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5.xml" ContentType="application/vnd.openxmlformats-officedocument.spreadsheetml.comments+xml"/>
  <Override PartName="/xl/webextensions/taskpanes.xml" ContentType="application/xml"/>
  <Override PartName="/xl/comments13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drawings/vmlDrawing2.vml" ContentType="application/vnd.openxmlformats-officedocument.vmlDrawing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vmlDrawing3.vml" ContentType="application/vnd.openxmlformats-officedocument.vmlDrawing"/>
  <Override PartName="/xl/drawings/drawing7.xml" ContentType="application/vnd.openxmlformats-officedocument.drawing+xml"/>
  <Override PartName="/xl/drawings/vmlDrawing4.vml" ContentType="application/vnd.openxmlformats-officedocument.vmlDrawing"/>
  <Override PartName="/xl/drawings/drawing13.xml" ContentType="application/vnd.openxmlformats-officedocument.drawing+xml"/>
  <Override PartName="/xl/drawings/vmlDrawing5.vml" ContentType="application/vnd.openxmlformats-officedocument.vmlDrawing"/>
  <Override PartName="/xl/drawings/drawing14.xml" ContentType="application/vnd.openxmlformats-officedocument.drawing+xml"/>
  <Override PartName="/xl/drawings/vmlDrawing6.vml" ContentType="application/vnd.openxmlformats-officedocument.vmlDrawing"/>
  <Override PartName="/xl/drawings/_rels/drawing1.xml.rels" ContentType="application/vnd.openxmlformats-package.relationships+xml"/>
  <Override PartName="/xl/drawings/_rels/drawing13.xml.rels" ContentType="application/vnd.openxmlformats-package.relationships+xml"/>
  <Override PartName="/xl/drawings/_rels/drawing2.xml.rels" ContentType="application/vnd.openxmlformats-package.relationships+xml"/>
  <Override PartName="/xl/drawings/_rels/drawing14.xml.rels" ContentType="application/vnd.openxmlformats-package.relationships+xml"/>
  <Override PartName="/xl/drawings/_rels/drawing22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_rels/drawing15.xml.rels" ContentType="application/vnd.openxmlformats-package.relationships+xml"/>
  <Override PartName="/xl/drawings/_rels/drawing16.xml.rels" ContentType="application/vnd.openxmlformats-package.relationships+xml"/>
  <Override PartName="/xl/drawings/_rels/drawing17.xml.rels" ContentType="application/vnd.openxmlformats-package.relationships+xml"/>
  <Override PartName="/xl/drawings/_rels/drawing18.xml.rels" ContentType="application/vnd.openxmlformats-package.relationships+xml"/>
  <Override PartName="/xl/drawings/_rels/drawing19.xml.rels" ContentType="application/vnd.openxmlformats-package.relationships+xml"/>
  <Override PartName="/xl/drawings/_rels/drawing21.xml.rels" ContentType="application/vnd.openxmlformats-package.relationships+xml"/>
  <Override PartName="/xl/drawings/drawing15.xml" ContentType="application/vnd.openxmlformats-officedocument.drawing+xml"/>
  <Override PartName="/xl/drawings/vmlDrawing7.vml" ContentType="application/vnd.openxmlformats-officedocument.vmlDrawing"/>
  <Override PartName="/xl/drawings/drawing16.xml" ContentType="application/vnd.openxmlformats-officedocument.drawing+xml"/>
  <Override PartName="/xl/drawings/vmlDrawing8.vml" ContentType="application/vnd.openxmlformats-officedocument.vmlDrawing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_rels/externalLink3.xml.rels" ContentType="application/vnd.openxmlformats-package.relationships+xml"/>
  <Override PartName="/xl/externalLinks/_rels/externalLink4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media/image1.wmf" ContentType="image/x-wmf"/>
  <Override PartName="/xl/media/image2.wmf" ContentType="image/x-wmf"/>
  <Override PartName="/xl/ctrlProps/ctrlProps3.xml" ContentType="application/vnd.ms-excel.controlproperties+xml"/>
  <Override PartName="/xl/ctrlProps/ctrlProps20.xml" ContentType="application/vnd.ms-excel.controlproperties+xml"/>
  <Override PartName="/xl/ctrlProps/ctrlProps4.xml" ContentType="application/vnd.ms-excel.controlproperties+xml"/>
  <Override PartName="/xl/ctrlProps/ctrlProps8.xml" ContentType="application/vnd.ms-excel.controlproperties+xml"/>
  <Override PartName="/xl/ctrlProps/ctrlProps12.xml" ContentType="application/vnd.ms-excel.controlproperties+xml"/>
  <Override PartName="/xl/ctrlProps/ctrlProps9.xml" ContentType="application/vnd.ms-excel.controlproperties+xml"/>
  <Override PartName="/xl/ctrlProps/ctrlProps10.xml" ContentType="application/vnd.ms-excel.controlproperties+xml"/>
  <Override PartName="/xl/ctrlProps/ctrlProps11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6.xml" ContentType="application/vnd.openxmlformats-officedocument.spreadsheetml.comments+xml"/>
  <Override PartName="/xl/comments10.xml" ContentType="application/vnd.openxmlformats-officedocument.spreadsheetml.comments+xml"/>
  <Override PartName="/xl/comments12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microsoft.com/office/2011/relationships/webextensiontaskpanes" Target="xl/webextensions/taskpanes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NOVO" sheetId="1" state="visible" r:id="rId3"/>
    <sheet name="MENU" sheetId="2" state="visible" r:id="rId4"/>
    <sheet name="DADOS" sheetId="3" state="visible" r:id="rId5"/>
    <sheet name="BDI" sheetId="4" state="visible" r:id="rId6"/>
    <sheet name="ORÇAMENTO" sheetId="5" state="visible" r:id="rId7"/>
    <sheet name="EVENTOS" sheetId="6" state="visible" r:id="rId8"/>
    <sheet name="CÁLCULO" sheetId="7" state="visible" r:id="rId9"/>
    <sheet name="CRONOPLE" sheetId="8" state="visible" r:id="rId10"/>
    <sheet name="CRONO" sheetId="9" state="visible" r:id="rId11"/>
    <sheet name="QCI" sheetId="10" state="visible" r:id="rId12"/>
    <sheet name="PLE" sheetId="11" state="hidden" r:id="rId13"/>
    <sheet name="BM" sheetId="12" state="hidden" r:id="rId14"/>
    <sheet name="RRE" sheetId="13" state="hidden" r:id="rId15"/>
    <sheet name="OFÍCIO" sheetId="14" state="hidden" r:id="rId16"/>
    <sheet name="PO-PLE" sheetId="15" state="hidden" r:id="rId17"/>
    <sheet name="CFF-PLE" sheetId="16" state="hidden" r:id="rId18"/>
    <sheet name="PO-BM" sheetId="17" state="hidden" r:id="rId19"/>
    <sheet name="CFF-BM" sheetId="18" state="hidden" r:id="rId20"/>
  </sheets>
  <externalReferences>
    <externalReference r:id="rId21"/>
    <externalReference r:id="rId22"/>
    <externalReference r:id="rId23"/>
    <externalReference r:id="rId24"/>
  </externalReferences>
  <definedNames>
    <definedName function="false" hidden="false" localSheetId="3" name="_xlnm.Print_Area" vbProcedure="false">BDI!$J$1:$S$132</definedName>
    <definedName function="false" hidden="false" localSheetId="3" name="_xlnm.Print_Titles" vbProcedure="false">BDI!$1:$13</definedName>
    <definedName function="false" hidden="true" localSheetId="3" name="_xlnm._FilterDatabase" vbProcedure="false">BDI!$I$11:$I$132</definedName>
    <definedName function="false" hidden="false" localSheetId="11" name="_xlnm.Print_Area" vbProcedure="false">BM!$D$1:$O$220</definedName>
    <definedName function="false" hidden="false" localSheetId="11" name="_xlnm.Print_Titles" vbProcedure="false">BM!$1:$15</definedName>
    <definedName function="false" hidden="true" localSheetId="11" name="_xlnm._FilterDatabase" vbProcedure="false">BM!$C$15:$C$205</definedName>
    <definedName function="false" hidden="false" localSheetId="6" name="_xlnm.Print_Area" vbProcedure="false">CÁLCULO!$E$6:$AQ$213</definedName>
    <definedName function="false" hidden="false" localSheetId="6" name="_xlnm.Print_Titles" vbProcedure="false">CÁLCULO!$E:$H,CÁLCULO!$6:$15</definedName>
    <definedName function="false" hidden="true" localSheetId="6" name="_xlnm._FilterDatabase" vbProcedure="false">CÁLCULO!$C$15:$C$205</definedName>
    <definedName function="false" hidden="false" localSheetId="8" name="_xlnm.Print_Area" vbProcedure="false">CRONO!$I$1:$BE$199</definedName>
    <definedName function="false" hidden="false" localSheetId="8" name="_xlnm.Print_Titles" vbProcedure="false">CRONO!$I:$T,CRONO!$1:$13</definedName>
    <definedName function="false" hidden="true" localSheetId="8" name="_xlnm._FilterDatabase" vbProcedure="false">CRONO!$G$13:$G$199</definedName>
    <definedName function="false" hidden="true" localSheetId="7" name="_xlnm._FilterDatabase" vbProcedure="false">CRONOPLE!$A$13:$A$77</definedName>
    <definedName function="false" hidden="false" localSheetId="5" name="_xlnm.Print_Area" vbProcedure="false">EVENTOS!$C$2:$AJ$54</definedName>
    <definedName function="false" hidden="true" localSheetId="5" name="_xlnm._FilterDatabase" vbProcedure="false">EVENTOS!$A$13:$A$54</definedName>
    <definedName function="false" hidden="false" localSheetId="1" name="_xlnm.Print_Area" vbProcedure="false">MENU!$A$1:$I$25</definedName>
    <definedName function="false" hidden="false" localSheetId="13" name="_xlnm.Print_Area" vbProcedure="false">OFÍCIO!$A$1:$G$56</definedName>
    <definedName function="false" hidden="false" localSheetId="4" name="_xlnm.Print_Area" vbProcedure="false">ORÇAMENTO!$O$1:$Y$222</definedName>
    <definedName function="false" hidden="false" localSheetId="4" name="_xlnm.Print_Titles" vbProcedure="false">ORÇAMENTO!$1:$15</definedName>
    <definedName function="false" hidden="true" localSheetId="4" name="_xlnm._FilterDatabase" vbProcedure="false">ORÇAMENTO!$L$15:$L$205</definedName>
    <definedName function="false" hidden="false" localSheetId="10" name="_xlnm.Print_Area" vbProcedure="false">PLE!$B$3:$BF$64</definedName>
    <definedName function="false" hidden="false" localSheetId="10" name="_xlnm.Print_Titles" vbProcedure="false">PLE!$B:$E,PLE!$1:$13</definedName>
    <definedName function="false" hidden="true" localSheetId="10" name="_xlnm._FilterDatabase" vbProcedure="false">PLE!$A$13:$A$63</definedName>
    <definedName function="false" hidden="false" localSheetId="9" name="_xlnm.Print_Area" vbProcedure="false">QCI!$D$1:$O$28</definedName>
    <definedName function="false" hidden="false" localSheetId="9" name="_xlnm.Print_Titles" vbProcedure="false">QCI!$1:$13</definedName>
    <definedName function="false" hidden="true" localSheetId="9" name="_xlnm._FilterDatabase" vbProcedure="false">QCI!$C$13:$C$16</definedName>
    <definedName function="false" hidden="false" localSheetId="12" name="_xlnm.Print_Area" vbProcedure="false">RRE!$E$1:$P$40</definedName>
    <definedName function="false" hidden="false" localSheetId="12" name="_xlnm.Print_Titles" vbProcedure="false">RRE!$1:$13</definedName>
    <definedName function="false" hidden="true" localSheetId="12" name="_xlnm._FilterDatabase" vbProcedure="false">RRE!$D$13:$D$21</definedName>
    <definedName function="false" hidden="true" name="ACOMPANHAMENTO" vbProcedure="false">MENU!$J$4</definedName>
    <definedName function="false" hidden="true" name="AdmLocal" vbProcedure="false">CÁLCULO!$A$11</definedName>
    <definedName function="false" hidden="true" name="AUTOEVENTO" vbProcedure="false">CÁLCULO!$A$12</definedName>
    <definedName function="false" hidden="true" name="BDI.ColAux" vbProcedure="false">BDI!$A:$G</definedName>
    <definedName function="false" hidden="true" name="BDI.Erro" vbProcedure="false">BDI!$U$7</definedName>
    <definedName function="false" hidden="true" name="BDI.Filtro" vbProcedure="false">BDI!$I$11:$I$132</definedName>
    <definedName function="false" hidden="true" name="BDI.Opcao" vbProcedure="false">DADOS!$C$18</definedName>
    <definedName function="false" hidden="true" name="BDI.TipoObra" vbProcedure="false">BDI!$A$138:$A$146</definedName>
    <definedName function="false" hidden="true" name="BDI_1.Título" vbProcedure="false">BDI!$J$14</definedName>
    <definedName function="false" hidden="true" name="BDI_2.Título" vbProcedure="false">BDI!$J$54</definedName>
    <definedName function="false" hidden="true" name="BDI_3.Título" vbProcedure="false">BDI!$J$94</definedName>
    <definedName function="false" hidden="true" name="BM.AFAcumulado" vbProcedure="false">BM!$R1</definedName>
    <definedName function="false" hidden="true" name="BM.AFAnterior" vbProcedure="false">BM!$Q1</definedName>
    <definedName function="false" hidden="true" name="BM.CaixaColunas" vbProcedure="false">BM!$Q:$AA</definedName>
    <definedName function="false" hidden="true" name="BM.Erro" vbProcedure="false">BM!$F$10</definedName>
    <definedName function="false" hidden="true" name="BM.Filtro" vbProcedure="false">BM!$C$15:$C$205</definedName>
    <definedName function="false" hidden="true" name="BM.firstrow" vbProcedure="false">BM!$15:$15</definedName>
    <definedName function="false" hidden="true" name="BM.FormulaMed" vbProcedure="false">BM!$AO$7</definedName>
    <definedName function="false" hidden="true" name="BM.lastrow" vbProcedure="false">BM!$205:$205</definedName>
    <definedName function="false" hidden="true" name="BM.LinhaPadrão" vbProcedure="false">BM!$14:$14</definedName>
    <definedName function="false" hidden="true" name="BM.MaxMed" vbProcedure="false">IF(RegimeExecucao="Global",1,BM!$G1)</definedName>
    <definedName function="false" hidden="true" name="RegimeExecucao" vbProcedure="false">IF(OR(Import.RegimeExecução="",Import.RegimeExecução="Empreitada por Preço Global",Import.RegimeExecução="Empreitada Integral"),"Global","Unitário")</definedName>
    <definedName function="false" hidden="true" name="Import.RegimeExecução" vbProcedure="false">OFFSET(DADOS!$D$40,0,-1)</definedName>
    <definedName function="false" hidden="true" name="BM.MCAIXA.Filter" vbProcedure="false">BM!$C$15:$Z$205</definedName>
    <definedName function="false" hidden="true" name="BM.MEDAcumulado" vbProcedure="false">IF(COUNTIF(BM!$AB$13:$AM$13,BM.medicao)&gt;0,SUM(OFFSET(BM!$AB1,0,0,1,MATCH(BM.medicao,BM!$AB$13:$AM$13,0))),0)</definedName>
    <definedName function="false" hidden="true" name="BM.medicao" vbProcedure="false">OFFSET(BM!$O$7,1,0)</definedName>
    <definedName function="false" hidden="true" name="BM.MEDAnterior" vbProcedure="false">IF(COUNTIF(BM!$AB$13:$AM$13,BM.medicao-1)&gt;0,SUM(OFFSET(BM!$AB1,0,0,1,MATCH(BM.medicao-1,BM!$AB$13:$AM$13,0))),0)</definedName>
    <definedName function="false" hidden="true" name="BM.MinMed" vbProcedure="false">IF(RegimeExecucao="Global",-1,-BM!$G1)</definedName>
    <definedName function="false" hidden="true" name="BM.TomadorColunas" vbProcedure="false">BM!$AB:$AN</definedName>
    <definedName function="false" hidden="true" name="BM.Título" vbProcedure="false">BM!$E$1</definedName>
    <definedName function="false" hidden="true" name="Brasao" vbProcedure="false">OFÍCIO!$B$1</definedName>
    <definedName function="false" hidden="true" name="CAIXA.Modo" vbProcedure="false">BM!$A$3</definedName>
    <definedName function="false" hidden="true" name="CRONO.ColAux" vbProcedure="false">CRONO!$M:$R</definedName>
    <definedName function="false" hidden="true" name="CRONO.ColunaPadrão" vbProcedure="false">CRONO!$E:$E</definedName>
    <definedName function="false" hidden="true" name="CRONO.Erro" vbProcedure="false">CRONO!$K$10</definedName>
    <definedName function="false" hidden="true" name="CRONO.Filtro" vbProcedure="false">CRONO!$G$13:$G$199</definedName>
    <definedName function="false" hidden="true" name="CRONO.FirstCol" vbProcedure="false">CRONO!$T:$T</definedName>
    <definedName function="false" hidden="true" name="CRONO.firstrow" vbProcedure="false">CRONO!$13:$13</definedName>
    <definedName function="false" hidden="true" name="CRONO.Frenterow" vbProcedure="false">CRONO!$12:$12</definedName>
    <definedName function="false" hidden="true" name="CRONO.LastCol" vbProcedure="false">CRONO!$BE:$BE</definedName>
    <definedName function="false" hidden="true" name="CRONO.lastrow" vbProcedure="false">CRONO!$182:$182</definedName>
    <definedName function="false" hidden="true" name="CRONO.lastrow2" vbProcedure="false">CRONO!$194:$194</definedName>
    <definedName function="false" hidden="true" name="CRONO.LinhaPadrão" vbProcedure="false">CRONO!$1:$3</definedName>
    <definedName function="false" hidden="true" name="CRONO.LinhasNecessarias" vbProcedure="false">COUNTIF(QCI!$B$13:$B$15,"Manual")+COUNTIF(QCI!$B$13:$B$15,"SemiAuto")+COUNT(ORÇAMENTO.ListaCrono)</definedName>
    <definedName function="false" hidden="true" name="ORÇAMENTO.ListaCrono" vbProcedure="false">OFFSET(ORÇAMENTO!$AD$15,1,0):OFFSET(ORÇAMENTO!$AD$205,-1,0)</definedName>
    <definedName function="false" hidden="true" name="CRONO.margemrow" vbProcedure="false">CRONO!$199:$199</definedName>
    <definedName function="false" hidden="true" name="CRONO.MaxParc" vbProcedure="false">CRONO!$H1048576+CRONO!A1</definedName>
    <definedName function="false" hidden="true" name="CRONO.NivelExibicao" vbProcedure="false">CRONO!$H$10</definedName>
    <definedName function="false" hidden="true" name="CRONO.Parcela1" vbProcedure="false">CRONO!$U$12:$U$13</definedName>
    <definedName function="false" hidden="true" name="CRONO.ParcelaFinal" vbProcedure="false">MATCH(100%,CRONO!$U$188:$BE$188,0)</definedName>
    <definedName function="false" hidden="true" name="CRONO.Título" vbProcedure="false">CRONO!$S$4</definedName>
    <definedName function="false" hidden="true" name="CRONOPLE.ColunaPadrão" vbProcedure="false">CRONOPLE!$E:$E</definedName>
    <definedName function="false" hidden="true" name="CRONOPLE.Erro" vbProcedure="false">CRONOPLE!$B$6</definedName>
    <definedName function="false" hidden="true" name="CRONOPLE.Filtro" vbProcedure="false">CRONOPLE!$A$13:$A$77</definedName>
    <definedName function="false" hidden="true" name="CRONOPLE.FirstCol" vbProcedure="false">CRONOPLE!$F:$F</definedName>
    <definedName function="false" hidden="true" name="CRONOPLE.firstrow" vbProcedure="false">CRONOPLE!$15:$15</definedName>
    <definedName function="false" hidden="true" name="CRONOPLE.Frenterow" vbProcedure="false">CRONOPLE!$11:$11</definedName>
    <definedName function="false" hidden="true" name="CRONOPLE.LastCol" vbProcedure="false">CRONOPLE!$BE:$BE</definedName>
    <definedName function="false" hidden="true" name="CRONOPLE.lastrow" vbProcedure="false">CRONOPLE!$47:$47</definedName>
    <definedName function="false" hidden="true" name="CRONOPLE.lastrow2" vbProcedure="false">CRONOPLE!$72:$72</definedName>
    <definedName function="false" hidden="true" name="CRONOPLE.LinhaPadrão" vbProcedure="false">CRONOPLE!$1:$1</definedName>
    <definedName function="false" hidden="true" name="CRONOPLE.margemrow" vbProcedure="false">CRONOPLE!$79:$79</definedName>
    <definedName function="false" hidden="true" name="CRONOPLE.Título" vbProcedure="false">CRONOPLE!$G$2</definedName>
    <definedName function="false" hidden="true" name="CRONOPLE.ValorDoEvento" vbProcedure="false">SUMIF(CÁLCULO!$M$15:$M$205,CRONOPLE!$B1,OFFSET(CÁLCULO!$AQ$15:$AQ$205,0,CRONOPLE!A$12))</definedName>
    <definedName function="false" hidden="true" name="CÁLCULO.AgrupEventos" vbProcedure="false">CÁLCULO!$K1</definedName>
    <definedName function="false" hidden="true" name="CÁLCULO.ColunaPadrão" vbProcedure="false">CÁLCULO!$O:$O</definedName>
    <definedName function="false" hidden="true" name="CÁLCULO.Erro" vbProcedure="false">CÁLCULO!$F$11</definedName>
    <definedName function="false" hidden="true" name="CÁLCULO.Filtro" vbProcedure="false">CÁLCULO!$C$15:$C$205</definedName>
    <definedName function="false" hidden="true" name="CÁLCULO.firstcol" vbProcedure="false">CÁLCULO!$P:$P</definedName>
    <definedName function="false" hidden="true" name="CÁLCULO.firstrow" vbProcedure="false">CÁLCULO!$15:$15</definedName>
    <definedName function="false" hidden="true" name="CÁLCULO.Frenterow" vbProcedure="false">CÁLCULO!$12:$12</definedName>
    <definedName function="false" hidden="true" name="CÁLCULO.FrentesPreenchidas" vbProcedure="false">CÁLCULO!$M$1</definedName>
    <definedName function="false" hidden="true" name="CÁLCULO.lastcol" vbProcedure="false">CÁLCULO!$AQ:$AQ</definedName>
    <definedName function="false" hidden="true" name="CÁLCULO.lastrow" vbProcedure="false">CÁLCULO!$205:$205</definedName>
    <definedName function="false" hidden="true" name="CÁLCULO.LinhaPadrão" vbProcedure="false">CÁLCULO!$14:$14</definedName>
    <definedName function="false" hidden="true" name="CÁLCULO.margemrow" vbProcedure="false">CÁLCULO!$213:$213</definedName>
    <definedName function="false" hidden="true" name="CÁLCULO.MATRIZ1.ColunaPadrão" vbProcedure="false">CÁLCULO!$AS:$AS</definedName>
    <definedName function="false" hidden="true" name="CÁLCULO.MATRIZ1.firstcol" vbProcedure="false">CÁLCULO!$AQ:$AQ</definedName>
    <definedName function="false" hidden="true" name="CÁLCULO.MATRIZ1.lastcol" vbProcedure="false">CÁLCULO!$BR:$BR</definedName>
    <definedName function="false" hidden="true" name="CÁLCULO.MATRIZ1.lastrow" vbProcedure="false">CÁLCULO!$205:$205</definedName>
    <definedName function="false" hidden="true" name="CÁLCULO.MATRIZ2.ColunaPadrão" vbProcedure="false">CÁLCULO!$BT:$BT</definedName>
    <definedName function="false" hidden="true" name="CÁLCULO.MATRIZ2.firstcol" vbProcedure="false">CÁLCULO!$BR:$BR</definedName>
    <definedName function="false" hidden="true" name="CÁLCULO.MATRIZ2.lastcol" vbProcedure="false">CÁLCULO!$CS:$CS</definedName>
    <definedName function="false" hidden="true" name="CÁLCULO.MATRIZ2.lastrow" vbProcedure="false">CÁLCULO!$205:$205</definedName>
    <definedName function="false" hidden="true" name="CÁLCULO.MATRIZ3.ColunaPadrão" vbProcedure="false">CÁLCULO!$CU:$CU</definedName>
    <definedName function="false" hidden="true" name="CÁLCULO.MATRIZ3.firstcol" vbProcedure="false">CÁLCULO!$CS:$CS</definedName>
    <definedName function="false" hidden="true" name="CÁLCULO.MATRIZ3.lastcol" vbProcedure="false">CÁLCULO!$DT:$DT</definedName>
    <definedName function="false" hidden="true" name="CÁLCULO.MATRIZ3.lastrow" vbProcedure="false">CÁLCULO!$205:$205</definedName>
    <definedName function="false" hidden="true" name="CÁLCULO.nEvento" vbProcedure="false">CÁLCULO!$M$12</definedName>
    <definedName function="false" hidden="true" name="CÁLCULO.NúmeroDeEventos" vbProcedure="false">IF(AUTOEVENTO&lt;&gt;"manual",MAX(CÁLCULO!$M$15:$M$205),MAX(OFFSET(EVENTOS!$C$1:$C$47,1,0)))</definedName>
    <definedName function="false" hidden="true" name="CÁLCULO.NúmeroDeFrentes" vbProcedure="false">COLUMN(CÁLCULO!$AQ$15)-COLUMN(CÁLCULO!$Q$15)</definedName>
    <definedName function="false" hidden="true" name="CÁLCULO.TotalAdmLocal" vbProcedure="false">IF(AUTOEVENTO="manual",SUMIF(CÁLCULO!$M$15:$M$205,1,ORÇAMENTO!$X$15:$X$205),0)</definedName>
    <definedName function="false" hidden="true" name="CÁLCULO.Título" vbProcedure="false">CÁLCULO!$F$6</definedName>
    <definedName function="false" hidden="true" name="DADOS.ColAux" vbProcedure="false">DADOS!$G:$AR</definedName>
    <definedName function="false" hidden="true" name="DADOS.Erro" vbProcedure="false">DADOS!$D$1</definedName>
    <definedName function="false" hidden="true" name="DESONERACAO" vbProcedure="false">IF(OR(Import.Desoneracao="DESONERADO",Import.Desoneracao="SIM"),"SIM","NÃO")</definedName>
    <definedName function="false" hidden="true" name="Import.Desoneracao" vbProcedure="false">OFFSET(DADOS!$D$18,0,-1)</definedName>
    <definedName function="false" hidden="true" name="EVENTOS.ColunaPadrão" vbProcedure="false">EVENTOS!$E:$E</definedName>
    <definedName function="false" hidden="true" name="EVENTOS.Erro" vbProcedure="false">EVENTOS!$F$6</definedName>
    <definedName function="false" hidden="true" name="EVENTOS.Filtro" vbProcedure="false">EVENTOS!$A$13:$A$54</definedName>
    <definedName function="false" hidden="true" name="EVENTOS.firstcol" vbProcedure="false">EVENTOS!$G:$G</definedName>
    <definedName function="false" hidden="true" name="EVENTOS.firstrow" vbProcedure="false">EVENTOS!$15:$15</definedName>
    <definedName function="false" hidden="true" name="EVENTOS.FrenteRow" vbProcedure="false">EVENTOS!$10:$10</definedName>
    <definedName function="false" hidden="true" name="EVENTOS.LastCol" vbProcedure="false">EVENTOS!$AJ:$AJ</definedName>
    <definedName function="false" hidden="true" name="EVENTOS.lastrow" vbProcedure="false">EVENTOS!$47:$47</definedName>
    <definedName function="false" hidden="true" name="EVENTOS.LinhaPadrão" vbProcedure="false">EVENTOS!$1:$1</definedName>
    <definedName function="false" hidden="true" name="EVENTOS.Lista" vbProcedure="false">EVENTOS!$C$15:OFFSET(EVENTOS!$C$47,-1,0)</definedName>
    <definedName function="false" hidden="true" name="EVENTOS.ListaValidacao" vbProcedure="false">EVENTOS!$B$15:OFFSET(EVENTOS!$B$47,-1,0)</definedName>
    <definedName function="false" hidden="true" name="EVENTOS.Manual.Preenchidos" vbProcedure="false">EVENTOS!$C$10</definedName>
    <definedName function="false" hidden="true" name="EVENTOS.MargemRow" vbProcedure="false">EVENTOS!$54:$54</definedName>
    <definedName function="false" hidden="true" name="EVENTOS.Título" vbProcedure="false">EVENTOS!$F$2</definedName>
    <definedName function="false" hidden="true" name="Excel_BuiltIn_Database" vbProcedure="false">TEXT(Import.DataBase,"mm-aaaa")</definedName>
    <definedName function="false" hidden="true" name="Import.DataBase" vbProcedure="false">OFFSET(DADOS!$D$19,0,-1)</definedName>
    <definedName function="false" hidden="true" name="Import.Apelido" vbProcedure="false">DADOS!$C$16</definedName>
    <definedName function="false" hidden="true" name="Import.BDI.Det1" vbProcedure="false">BDI!$S$21:$S$26</definedName>
    <definedName function="false" hidden="true" name="Import.BDI.Det2" vbProcedure="false">BDI!$S$61:$S$66</definedName>
    <definedName function="false" hidden="true" name="Import.BDI.Det3" vbProcedure="false">BDI!$S$101:$S$106</definedName>
    <definedName function="false" hidden="true" name="Import.BDI.ISS" vbProcedure="false">BDI!$R$10:$S$11</definedName>
    <definedName function="false" hidden="true" name="Import.BDI.Obs1" vbProcedure="false">BDI!$J$43</definedName>
    <definedName function="false" hidden="true" name="Import.BDI.Obs2" vbProcedure="false">BDI!$J$83</definedName>
    <definedName function="false" hidden="true" name="Import.BDI.Obs3" vbProcedure="false">BDI!$J$123</definedName>
    <definedName function="false" hidden="true" name="Import.BDI.Tipo1" vbProcedure="false">BDI!$J$17</definedName>
    <definedName function="false" hidden="true" name="Import.BDI.Tipo2" vbProcedure="false">BDI!$J$57</definedName>
    <definedName function="false" hidden="true" name="Import.BDI.Tipo3" vbProcedure="false">BDI!$J$97</definedName>
    <definedName function="false" hidden="true" name="Import.BM.Datas" vbProcedure="false">BM!$AB$12:$AM$12</definedName>
    <definedName function="false" hidden="true" name="Import.BM.Obs" vbProcedure="false">BM!$D$208</definedName>
    <definedName function="false" hidden="true" name="Import.BMAFAcumulado" vbProcedure="false">OFFSET(BM!$R$15,1,0):OFFSET(BM!$R$205,-1,0)</definedName>
    <definedName function="false" hidden="true" name="Import.BMArred" vbProcedure="false">BM!$A$9</definedName>
    <definedName function="false" hidden="true" name="Import.CNPJ" vbProcedure="false">DADOS!$C$39</definedName>
    <definedName function="false" hidden="true" name="Import.Contrapartida" vbProcedure="false">DADOS!$C$10</definedName>
    <definedName function="false" hidden="true" name="Import.CPMaxPerc" vbProcedure="false">DADOS!$C$13</definedName>
    <definedName function="false" hidden="true" name="Import.CPMinAbsoluta" vbProcedure="false">DADOS!$C$12</definedName>
    <definedName function="false" hidden="true" name="Import.CPMinPerc" vbProcedure="false">DADOS!$C$11</definedName>
    <definedName function="false" hidden="true" name="Import.CR" vbProcedure="false">DADOS!$C$7</definedName>
    <definedName function="false" hidden="true" name="Import.CRONOPLE" vbProcedure="false">OFFSET(CRONOPLE!$F$15,1,1):OFFSET(CRONOPLE!$BE$47,-1,-1)</definedName>
    <definedName function="false" hidden="true" name="Import.CTEF" vbProcedure="false">DADOS!$C$37</definedName>
    <definedName function="false" hidden="true" name="Import.CustoUnitário" vbProcedure="false">OFFSET(ORÇAMENTO!$U$15,1,0):OFFSET(ORÇAMENTO!$U$205,-1,0)</definedName>
    <definedName function="false" hidden="true" name="Import.Código" vbProcedure="false">OFFSET(ORÇAMENTO!$Q$15,1,0):OFFSET(ORÇAMENTO!$Q$205,-1,0)</definedName>
    <definedName function="false" hidden="true" name="Import.DataBaseLicit" vbProcedure="false">OFFSET(DADOS!$D$41,0,-1)</definedName>
    <definedName function="false" hidden="true" name="Import.DataEmissaoLicit" vbProcedure="false">DADOS!$C$36</definedName>
    <definedName function="false" hidden="true" name="Import.DataFechaRRE" vbProcedure="false">DADOS!$C$48</definedName>
    <definedName function="false" hidden="true" name="Import.DataInicioObra" vbProcedure="false">DADOS!$C$47</definedName>
    <definedName function="false" hidden="true" name="Import.DataPreenchimento" vbProcedure="false">OFFSET(DADOS!$D$25,0,-1)</definedName>
    <definedName function="false" hidden="true" name="Import.DescLote" vbProcedure="false">DADOS!$C$17</definedName>
    <definedName function="false" hidden="true" name="Import.Descrição" vbProcedure="false">OFFSET(ORÇAMENTO!$R$15,1,0):OFFSET(ORÇAMENTO!$R$205,-1,0)</definedName>
    <definedName function="false" hidden="true" name="Import.empresa" vbProcedure="false">DADOS!$C$38</definedName>
    <definedName function="false" hidden="true" name="Import.EventoAdmLocal" vbProcedure="false">CRONOPLE!$B$8</definedName>
    <definedName function="false" hidden="true" name="Import.Eventos.Nomes" vbProcedure="false">OFFSET(EVENTOS!$D$15,1,0):OFFSET(EVENTOS!$D$47,-1,0)</definedName>
    <definedName function="false" hidden="true" name="Import.Eventos.Nível" vbProcedure="false">EVENTOS!$C$8</definedName>
    <definedName function="false" hidden="true" name="Import.Fonte" vbProcedure="false">OFFSET(ORÇAMENTO!$P$15,1,0):OFFSET(ORÇAMENTO!$P$205,-1,0)</definedName>
    <definedName function="false" hidden="true" name="Import.FrenteDeObra" vbProcedure="false">CÁLCULO!$Q$12:OFFSET(CÁLCULO!$AQ$12,0,-1)</definedName>
    <definedName function="false" hidden="true" name="Import.MacrosserviçoAdmLocal" vbProcedure="false">CRONO!$H$193</definedName>
    <definedName function="false" hidden="true" name="Import.Município" vbProcedure="false">DADOS!$C$6</definedName>
    <definedName function="false" hidden="true" name="Import.Nível" vbProcedure="false">OFFSET(ORÇAMENTO!$M$15,1,0):OFFSET(ORÇAMENTO!$M$205,-1,0)</definedName>
    <definedName function="false" hidden="true" name="Import.Ofício.Dest" vbProcedure="false">OFÍCIO!$B$11</definedName>
    <definedName function="false" hidden="true" name="Import.Ofício.GIGOV" vbProcedure="false">OFÍCIO!$C$11</definedName>
    <definedName function="false" hidden="true" name="Import.Ofício.Num" vbProcedure="false">OFÍCIO!$C$6</definedName>
    <definedName function="false" hidden="true" name="Import.OpcaoBDI" vbProcedure="false">OFFSET(ORÇAMENTO!$V$15,1,0):OFFSET(ORÇAMENTO!$V$205,-1,0)</definedName>
    <definedName function="false" hidden="true" name="Import.ORÇAMENTO.DivRecurso" vbProcedure="false">OFFSET(ORÇAMENTO!$Y$15,1,0):OFFSET(ORÇAMENTO!$Y$205,-1,0)</definedName>
    <definedName function="false" hidden="true" name="Import.ORÇAMENTO.Obs" vbProcedure="false">ORÇAMENTO!$O$211</definedName>
    <definedName function="false" hidden="true" name="Import.PLE" vbProcedure="false">OFFSET(PLE!$G$15,1,1):OFFSET(PLE!$BF$47,-1,-1)</definedName>
    <definedName function="false" hidden="true" name="Import.PLE.Datas" vbProcedure="false">PLE!$I$50:$AF$50</definedName>
    <definedName function="false" hidden="true" name="Import.PLQ" vbProcedure="false">OFFSET(CÁLCULO!$P$15,1,1):OFFSET(CÁLCULO!$AQ$205,-1,-1)</definedName>
    <definedName function="false" hidden="true" name="Import.PLQ.MemCalc" vbProcedure="false">OFFSET(CÁLCULO!$I$15,1,0):OFFSET(CÁLCULO!$I$205,-1,0)</definedName>
    <definedName function="false" hidden="true" name="Import.PLQ.nAgrupEvent" vbProcedure="false">OFFSET(CÁLCULO!$K$15,1,0):OFFSET(CÁLCULO!$K$205,-1,0)</definedName>
    <definedName function="false" hidden="true" name="Import.POArred" vbProcedure="false">ORÇAMENTO!$AF$7:$AF$11</definedName>
    <definedName function="false" hidden="true" name="IMport.Prefeito" vbProcedure="false">DADOS!$C$28:$C$29</definedName>
    <definedName function="false" hidden="true" name="Import.Proponente" vbProcedure="false">DADOS!$C$5</definedName>
    <definedName function="false" hidden="true" name="Import.QCI.Divisao" vbProcedure="false">OFFSET(QCI!$V$13,1,0):OFFSET(QCI!$V$15,-1,0)</definedName>
    <definedName function="false" hidden="true" name="Import.QCI.ItemInv" vbProcedure="false">OFFSET(QCI!$E$13,1,0):OFFSET(QCI!$E$15,-1,0)</definedName>
    <definedName function="false" hidden="true" name="Import.QCI.Obs" vbProcedure="false">QCI!$D$19</definedName>
    <definedName function="false" hidden="true" name="Import.QCI.Qtde" vbProcedure="false">OFFSET(QCI!$I$13,1,0):OFFSET(QCI!$I$15,-1,0)</definedName>
    <definedName function="false" hidden="true" name="Import.QCI.Situacao" vbProcedure="false">OFFSET(QCI!$H$13,1,0):OFFSET(QCI!$H$15,-1,0)</definedName>
    <definedName function="false" hidden="true" name="Import.QCI.SubItemInv" vbProcedure="false">OFFSET(QCI!$F$13,1,0):OFFSET(QCI!$F$15,-1,0)</definedName>
    <definedName function="false" hidden="true" name="Import.QCICP" vbProcedure="false">OFFSET(QCI!$W$13,1,0):OFFSET(QCI!$W$15,-1,0)</definedName>
    <definedName function="false" hidden="true" name="Import.QCIDesc" vbProcedure="false">OFFSET(QCI!$R$13,1,0):OFFSET(QCI!$R$15,-1,0)</definedName>
    <definedName function="false" hidden="true" name="Import.QCIInv" vbProcedure="false">OFFSET(QCI!$U$13,1,0):OFFSET(QCI!$U$15,-1,0)</definedName>
    <definedName function="false" hidden="true" name="Import.QCILote" vbProcedure="false">OFFSET(QCI!$T$13,1,0):OFFSET(QCI!$T$15,-1,0)</definedName>
    <definedName function="false" hidden="true" name="Import.QCIOutros" vbProcedure="false">OFFSET(QCI!$X$13,1,0):OFFSET(QCI!$X$15,-1,0)</definedName>
    <definedName function="false" hidden="true" name="Import.Quantidade" vbProcedure="false">OFFSET(ORÇAMENTO!$AJ$15,1,0):OFFSET(ORÇAMENTO!$AJ$205,-1,0)</definedName>
    <definedName function="false" hidden="true" name="import.recurso" vbProcedure="false">DADOS!$C$4</definedName>
    <definedName function="false" hidden="true" name="Import.Repasse" vbProcedure="false">DADOS!$C$9</definedName>
    <definedName function="false" hidden="true" name="Import.RespFiscalização" vbProcedure="false">DADOS!$C$51:$C$54</definedName>
    <definedName function="false" hidden="true" name="Import.RespOrçamento" vbProcedure="false">DADOS!$C$22:$C$24</definedName>
    <definedName function="false" hidden="true" name="Import.RRE.Financeiro" vbProcedure="false">RRE!$M$38:$O$40</definedName>
    <definedName function="false" hidden="true" name="Import.RRE.Obs" vbProcedure="false">RRE!$E$22</definedName>
    <definedName function="false" hidden="true" name="Import.RRE.Social" vbProcedure="false">RRE!$F$38:$G$40</definedName>
    <definedName function="false" hidden="true" name="Import.SICONV" vbProcedure="false">DADOS!$C$8</definedName>
    <definedName function="false" hidden="true" name="Import.TipoArredondamento" vbProcedure="false">DADOS!$C$31</definedName>
    <definedName function="false" hidden="true" name="Import.TransfereGOV" vbProcedure="false">DADOS!$C$8</definedName>
    <definedName function="false" hidden="true" name="Import.Unidade" vbProcedure="false">OFFSET(ORÇAMENTO!$S$15,1,0):OFFSET(ORÇAMENTO!$S$205,-1,0)</definedName>
    <definedName function="false" hidden="true" name="Import.UnitarioLicitado" vbProcedure="false">OFFSET(ORÇAMENTO!$AL$15,1,0):OFFSET(ORÇAMENTO!$AL$205,-1,0)</definedName>
    <definedName function="false" hidden="true" name="ListaTgov.Unidades" vbProcedure="false">DADOS!$AQ$3:$AQ$220</definedName>
    <definedName function="false" hidden="true" name="MENU.Acompanhamento" vbProcedure="false">MENU!$O$4</definedName>
    <definedName function="false" hidden="true" name="Menu.b.bdi" vbProcedure="false">MENU!$C$10</definedName>
    <definedName function="false" hidden="true" name="Menu.b.bm" vbProcedure="false">MENU!$G$22</definedName>
    <definedName function="false" hidden="true" name="Menu.b.branco" vbProcedure="false">MENU!$G$12</definedName>
    <definedName function="false" hidden="true" name="Menu.b.cronolicit" vbProcedure="false">MENU!$G$18</definedName>
    <definedName function="false" hidden="true" name="Menu.b.cronoprop" vbProcedure="false">MENU!$E$12</definedName>
    <definedName function="false" hidden="true" name="Menu.b.dados" vbProcedure="false">MENU!$E$6</definedName>
    <definedName function="false" hidden="true" name="Menu.b.novo" vbProcedure="false">MENU!$G$6</definedName>
    <definedName function="false" hidden="true" name="Menu.b.oficio" vbProcedure="false">MENU!$E$24</definedName>
    <definedName function="false" hidden="true" name="Menu.b.orçlicit" vbProcedure="false">MENU!$C$18</definedName>
    <definedName function="false" hidden="true" name="Menu.b.orçprop" vbProcedure="false">MENU!$E$10</definedName>
    <definedName function="false" hidden="true" name="Menu.b.PLE" vbProcedure="false">MENU!$C$22</definedName>
    <definedName function="false" hidden="true" name="Menu.b.PLQ" vbProcedure="false">MENU!$G$10</definedName>
    <definedName function="false" hidden="true" name="Menu.b.QCIlicit" vbProcedure="false">MENU!$E$18</definedName>
    <definedName function="false" hidden="true" name="Menu.b.qciprop" vbProcedure="false">MENU!$C$12</definedName>
    <definedName function="false" hidden="true" name="Menu.b.RRE" vbProcedure="false">MENU!$E$22</definedName>
    <definedName function="false" hidden="true" name="MENU.CRONO" vbProcedure="false">OFFSET(CRONO!$U$11,1,0)</definedName>
    <definedName function="false" hidden="true" name="MENU.Import.Form.PLQ" vbProcedure="false">MENU!$K$2</definedName>
    <definedName function="false" hidden="true" name="MENU.Import.Form.PreçoUnit" vbProcedure="false">MENU!$K$1</definedName>
    <definedName function="false" hidden="true" name="MENU.TipoOrçamento" vbProcedure="false">MENU!$O$3</definedName>
    <definedName function="false" hidden="true" name="Menu.tit.acompanhamento" vbProcedure="false">MENU!$B$20</definedName>
    <definedName function="false" hidden="true" name="Menu.tit.licitacao" vbProcedure="false">MENU!$B$16</definedName>
    <definedName function="false" hidden="true" name="Menu.tit.proposta" vbProcedure="false">MENU!$B$8</definedName>
    <definedName function="false" hidden="true" name="NumEventos" vbProcedure="false">COUNT(OFFSET(eventos,0,0,,1))</definedName>
    <definedName function="false" hidden="true" name="Objeto" vbProcedure="false">MENU!$J$1</definedName>
    <definedName function="false" hidden="true" name="OFÍCIO.Erro" vbProcedure="false">OFÍCIO!$C$5</definedName>
    <definedName function="false" hidden="true" name="ORÇAMENTO.BancoRef" vbProcedure="false">ORÇAMENTO!$F$8</definedName>
    <definedName function="false" hidden="true" name="ORÇAMENTO.CodBarra" vbProcedure="false">IF(ORÇAMENTO.Fonte="Sinapi",SUBSTITUTE(SUBSTITUTE(ORÇAMENTO.Codigo,"/00","/"),"/0","/"),ORÇAMENTO.Codigo)</definedName>
    <definedName function="false" hidden="true" name="ORÇAMENTO.Fonte" vbProcedure="false">ORÇAMENTO!$P1</definedName>
    <definedName function="false" hidden="true" name="ORÇAMENTO.Codigo" vbProcedure="false">ORÇAMENTO!$Q1</definedName>
    <definedName function="false" hidden="true" name="ORÇAMENTO.ColAux1" vbProcedure="false">ORÇAMENTO!$Z:$AB</definedName>
    <definedName function="false" hidden="true" name="ORÇAMENTO.ColAux2" vbProcedure="false">ORÇAMENTO!$AD:$AF</definedName>
    <definedName function="false" hidden="true" name="ORÇAMENTO.ColunaLicit" vbProcedure="false">ORÇAMENTO!$AL$15</definedName>
    <definedName function="false" hidden="true" name="ORÇAMENTO.CopyFormat1" vbProcedure="false">ORÇAMENTO!$P$14:$S$14</definedName>
    <definedName function="false" hidden="true" name="ORÇAMENTO.CopyFormat2" vbProcedure="false">ORÇAMENTO!$U$14:$V$14</definedName>
    <definedName function="false" hidden="true" name="ORÇAMENTO.CustoUnitario" vbProcedure="false">ROUND(ORÇAMENTO!$U1,15-13*ORÇAMENTO!$AF$8)</definedName>
    <definedName function="false" hidden="true" name="ORÇAMENTO.Descricao" vbProcedure="false">ORÇAMENTO!$R1</definedName>
    <definedName function="false" hidden="true" name="ORÇAMENTO.Erro" vbProcedure="false">ORÇAMENTO!$O$12</definedName>
    <definedName function="false" hidden="true" name="ORÇAMENTO.Filtro" vbProcedure="false">ORÇAMENTO!$L$15:$L$205</definedName>
    <definedName function="false" hidden="true" name="ORÇAMENTO.firstrow" vbProcedure="false">ORÇAMENTO!$15:$15</definedName>
    <definedName function="false" hidden="true" name="ORÇAMENTO.lastrow" vbProcedure="false">ORÇAMENTO!$205:$205</definedName>
    <definedName function="false" hidden="true" name="ORÇAMENTO.LinhaPadrão" vbProcedure="false">ORÇAMENTO!$14:$14</definedName>
    <definedName function="false" hidden="true" name="ORÇAMENTO.MáximoListaCrono" vbProcedure="false">MAX(ORÇAMENTO.ListaCrono)</definedName>
    <definedName function="false" hidden="true" name="ORÇAMENTO.Nivel" vbProcedure="false">ORÇAMENTO!$M1</definedName>
    <definedName function="false" hidden="true" name="ORÇAMENTO.OpcaoBDI" vbProcedure="false">ORÇAMENTO!$V1</definedName>
    <definedName function="false" hidden="true" name="ORÇAMENTO.PasteFormat1" vbProcedure="false">OFFSET(ORÇAMENTO!$P$15,1,0):OFFSET(ORÇAMENTO!$S$205,-1,0)</definedName>
    <definedName function="false" hidden="true" name="ORÇAMENTO.PasteFormat2" vbProcedure="false">OFFSET(ORÇAMENTO!$U$15,1,0):OFFSET(ORÇAMENTO!$V$205,-1,0)</definedName>
    <definedName function="false" hidden="true" name="ORÇAMENTO.PrecoUnitarioLicitado" vbProcedure="false">ORÇAMENTO!$AL1</definedName>
    <definedName function="false" hidden="true" name="ORÇAMENTO.QuantBM" vbProcedure="false">ORÇAMENTO!$AJ1</definedName>
    <definedName function="false" hidden="true" name="ORÇAMENTO.RangeQuant" vbProcedure="false">OFFSET(ORÇAMENTO!$T$15,1,0):OFFSET(ORÇAMENTO!$T$205,-1,0)</definedName>
    <definedName function="false" hidden="true" name="ORÇAMENTO.SumCPMANUAL" vbProcedure="false">SUMIF(ORÇAMENTO!$Z$15:$Z$205,"CP",ORÇAMENTO!$AA$15:$AA$205)</definedName>
    <definedName function="false" hidden="true" name="ORÇAMENTO.SumINVMANUAL" vbProcedure="false">SUMIF(ORÇAMENTO!$Z$15:$Z$205,"RP",ORÇAMENTO!$X$15:$X$205)+SUMIF(ORÇAMENTO!$Z$15:$Z$205,"CP",ORÇAMENTO!$X$15:$X$205)+SUMIF(ORÇAMENTO!$Z$15:$Z$205,"OU",ORÇAMENTO!$X$15:$X$205)</definedName>
    <definedName function="false" hidden="true" name="ORÇAMENTO.SumOUTROSMANUAL" vbProcedure="false">SUMIF(ORÇAMENTO!$Z$15:$Z$205,"OU",ORÇAMENTO!$AB$15:$AB$205)</definedName>
    <definedName function="false" hidden="true" name="ORÇAMENTO.SumREPASSEMANUAL" vbProcedure="false">ORÇAMENTO.SumINVMANUAL-ORÇAMENTO.SumCPMANUAL-ORÇAMENTO.SumOUTROSMANUAL</definedName>
    <definedName function="false" hidden="true" name="ORÇAMENTO.Título" vbProcedure="false">ORÇAMENTO!$R$1</definedName>
    <definedName function="false" hidden="true" name="ORÇAMENTO.Unidade" vbProcedure="false">ORÇAMENTO!$S1</definedName>
    <definedName function="false" hidden="true" name="PLE.ColunaPadrão" vbProcedure="false">PLE!$F:$F</definedName>
    <definedName function="false" hidden="true" name="PLE.Erro" vbProcedure="false">PLE!$C$11</definedName>
    <definedName function="false" hidden="true" name="PLE.Filtro" vbProcedure="false">PLE!$A$13:$A$63</definedName>
    <definedName function="false" hidden="true" name="PLE.FirstCol" vbProcedure="false">PLE!$G:$G</definedName>
    <definedName function="false" hidden="true" name="PLE.firstrow" vbProcedure="false">PLE!$15:$15</definedName>
    <definedName function="false" hidden="true" name="PLE.FrenteRow" vbProcedure="false">PLE!$11:$11</definedName>
    <definedName function="false" hidden="true" name="PLE.LastCol" vbProcedure="false">PLE!$BF:$BF</definedName>
    <definedName function="false" hidden="true" name="PLE.lastrow" vbProcedure="false">PLE!$47:$47</definedName>
    <definedName function="false" hidden="true" name="PLE.LinhaPadrão" vbProcedure="false">PLE!$1:$1</definedName>
    <definedName function="false" hidden="true" name="PLE.margemrow" vbProcedure="false">PLE!$64:$64</definedName>
    <definedName function="false" hidden="true" name="PLE.Medicao" vbProcedure="false">PLE!$J$9</definedName>
    <definedName function="false" hidden="true" name="PLE.MEDIÇÕES.firstrow" vbProcedure="false">PLE!$48:$48</definedName>
    <definedName function="false" hidden="true" name="PLE.MEDIÇÕES.lastrow" vbProcedure="false">PLE!$58:$58</definedName>
    <definedName function="false" hidden="true" name="PLE.MEDIÇÕES.LinhaPadrão" vbProcedure="false">PLE!$48:$55</definedName>
    <definedName function="false" hidden="true" name="PLE.Título" vbProcedure="false">PLE!$H$3</definedName>
    <definedName function="false" hidden="true" name="PLE.ValorDoEvento" vbProcedure="false">SUMIF(CÁLCULO!$M$15:$M$205,PLE!$B1,OFFSET(CÁLCULO!$AQ$15:$AQ$205,0,PLE!A$12))</definedName>
    <definedName function="false" hidden="true" name="PO.ValoresBDI" vbProcedure="false">OFFSET(ORÇAMENTO!$AH$15,1,0):OFFSET(ORÇAMENTO!$AH$205,-1,0)</definedName>
    <definedName function="false" hidden="true" name="QCI.ColAux" vbProcedure="false">QCI!$Z:$AE</definedName>
    <definedName function="false" hidden="true" name="QCI.CPManual" vbProcedure="false">ROUND(QCI!$W1,2)</definedName>
    <definedName function="false" hidden="true" name="QCI.DescManual" vbProcedure="false">QCI!$R1</definedName>
    <definedName function="false" hidden="true" name="QCI.Divisao" vbProcedure="false">QCI!$V1</definedName>
    <definedName function="false" hidden="true" name="QCI.Erro" vbProcedure="false">QCI!$G$9</definedName>
    <definedName function="false" hidden="true" name="QCI.ExisteManual" vbProcedure="false">(COUNTIF(QCI!$B$13:$B$15,"Manual")+COUNTIF(QCI!$B$13:$B$15,"SemiAuto"))&gt;0</definedName>
    <definedName function="false" hidden="true" name="QCI.Filtro" vbProcedure="false">QCI!$C$13:$C$16</definedName>
    <definedName function="false" hidden="true" name="QCI.firstrow" vbProcedure="false">QCI!$13:$13</definedName>
    <definedName function="false" hidden="true" name="QCI.InvManual" vbProcedure="false">ROUND(QCI!$U1,2)</definedName>
    <definedName function="false" hidden="true" name="QCI.ItemInvestimento" vbProcedure="false">OFFSET(DADOS!$G$2,1,0,COUNTA(DADOS!$G:$G)-1,1)</definedName>
    <definedName function="false" hidden="true" name="QCI.lastrow" vbProcedure="false">QCI!$15:$15</definedName>
    <definedName function="false" hidden="true" name="QCI.LinhaPadrão" vbProcedure="false">QCI!$12:$12</definedName>
    <definedName function="false" hidden="true" name="QCI.LoteManual" vbProcedure="false">QCI!$T1</definedName>
    <definedName function="false" hidden="true" name="QCI.MaxCPManual" vbProcedure="false">QCI!$O1-QCI!$X1</definedName>
    <definedName function="false" hidden="true" name="QCI.MaxOUManual" vbProcedure="false">QCI!$O1-QCI!$W1</definedName>
    <definedName function="false" hidden="true" name="QCI.OutrosManual" vbProcedure="false">ROUND(QCI!$X1,2)</definedName>
    <definedName function="false" hidden="true" name="QCI.RepasseManual" vbProcedure="false">QCI!$U1</definedName>
    <definedName function="false" hidden="true" name="QCI.SubItemInvestimento" vbProcedure="false">OFFSET(DADOS!$A$2,1,MATCH(QCI!$E1,DADOS!$2:$2,0)-1,INDEX(DADOS!$2:$2,MATCH(QCI!$E1,DADOS!$2:$2,0)+1))</definedName>
    <definedName function="false" hidden="true" name="QCI.SumCPMANUAL" vbProcedure="false">SUMIF(QCI!$B$13:$B$15,"Manual",QCI!$AA$13:$AA$15)</definedName>
    <definedName function="false" hidden="true" name="QCI.SumINVMANUAL" vbProcedure="false">SUMIF(QCI!$B$13:$B$15,"Manual",QCI!$O$13:$O$15)</definedName>
    <definedName function="false" hidden="true" name="QCI.SumOUTROSMANUAL" vbProcedure="false">SUMIF(QCI!$B$13:$B$15,"Manual",QCI!$AB$13:$AB$15)</definedName>
    <definedName function="false" hidden="true" name="QCI.SumREPASSEMANUAL" vbProcedure="false">QCI.SumINVMANUAL-QCI.CPManual-QCI.OutrosManual</definedName>
    <definedName function="false" hidden="true" name="QCI.TotalCP" vbProcedure="false">QCI!$M$15</definedName>
    <definedName function="false" hidden="true" name="QCI.Título" vbProcedure="false">QCI!$F$1</definedName>
    <definedName function="false" hidden="true" name="REFERENCIA.Descricao" vbProcedure="false">IF(ISNUMBER(ORÇAMENTO!$AF1),OFFSET(INDIRECT(ORÇAMENTO.BancoRef),ORÇAMENTO!$AF1-1,3,1),ORÇAMENTO!$AF1)</definedName>
    <definedName function="false" hidden="true" name="REFERENCIA.Desonerado" vbProcedure="false">IF(ISNUMBER(ORÇAMENTO!$AF1),VALUE(OFFSET(INDIRECT(ORÇAMENTO.BancoRef),ORÇAMENTO!$AF1-1,5,1)),0)</definedName>
    <definedName function="false" hidden="true" name="REFERENCIA.NaoDesonerado" vbProcedure="false">IF(ISNUMBER(ORÇAMENTO!$AF1),VALUE(OFFSET(INDIRECT(ORÇAMENTO.BancoRef),ORÇAMENTO!$AF1-1,6,1)),0)</definedName>
    <definedName function="false" hidden="true" name="REFERENCIA.Unidade" vbProcedure="false">IF(ISNUMBER(ORÇAMENTO!$AF1),OFFSET(INDIRECT(ORÇAMENTO.BancoRef),ORÇAMENTO!$AF1-1,4,1),"-")</definedName>
    <definedName function="false" hidden="true" name="RRE.ColAux1" vbProcedure="false">RRE!$Q:$V</definedName>
    <definedName function="false" hidden="true" name="RRE.ColAux2" vbProcedure="false">RRE!$AC:$AO</definedName>
    <definedName function="false" hidden="true" name="RRE.CPDiferente" vbProcedure="false">RRE!$Y$17:$Z$18</definedName>
    <definedName function="false" hidden="true" name="RRE.Filtro" vbProcedure="false">RRE!$D$13:$D$19</definedName>
    <definedName function="false" hidden="true" name="RRE.firstrow" vbProcedure="false">RRE!$13:$13</definedName>
    <definedName function="false" hidden="true" name="RRE.lastrow" vbProcedure="false">RRE!$15:$15</definedName>
    <definedName function="false" hidden="true" name="RRE.LinhaPadrão" vbProcedure="false">RRE!$12:$12</definedName>
    <definedName function="false" hidden="true" name="RRE.MaxCPAcum" vbProcedure="false">RRE!$AD$17</definedName>
    <definedName function="false" hidden="true" name="RRE.MaxCPAnt" vbProcedure="false">RRE!$AC$17</definedName>
    <definedName function="false" hidden="true" name="RRE.MaxOUAcum" vbProcedure="false">RRE!$AD$18</definedName>
    <definedName function="false" hidden="true" name="RRE.MaxOUAnt" vbProcedure="false">RRE!$AC$18</definedName>
    <definedName function="false" hidden="true" name="RRE.Numero" vbProcedure="false">OFFSET(RRE!$O$7,0,1)</definedName>
    <definedName function="false" hidden="true" name="RRE.Título" vbProcedure="false">RRE!$F$1</definedName>
    <definedName function="false" hidden="true" name="RRE.VIMeta" vbProcedure="false">RRE!$L1</definedName>
    <definedName function="false" hidden="true" name="SENHAGT" vbProcedure="false">"PM3CAIXA"</definedName>
    <definedName function="false" hidden="true" name="SomaAgrup" vbProcedure="false">SUMIF(OFFSET(ORÇAMENTO!$C1,1,0,ORÇAMENTO!$D1),"S",OFFSET(ORÇAMENTO!A1,1,0,ORÇAMENTO!$D1))</definedName>
    <definedName function="false" hidden="true" name="SomaAgrupBM" vbProcedure="false">SUMIF(OFFSET(BM!$A1,1,0,BM!$B1),"S",OFFSET(BM!A1,1,0,BM!$B1))</definedName>
    <definedName function="false" hidden="true" name="TIPOORCAMENTO" vbProcedure="false">IF(VALUE(MENU!$O$3)=2,"Licitado","Proposto")</definedName>
    <definedName function="false" hidden="true" name="Versao" vbProcedure="false">MENU!$J$2</definedName>
    <definedName function="false" hidden="true" name="VTOTAL1" vbProcedure="false">ROUND(ORÇAMENTO!$T1*ORÇAMENTO!$W1,15-13*ORÇAMENTO!$AF$11)</definedName>
    <definedName function="false" hidden="true" name="VTOTALBM" vbProcedure="false">IF(BM!$I1=0,0,CHOOSE(MATCH(RegimeExecucao,{"Global","Unitário"},0),ROUND(ROUND(BM!XFB1,15-13*BM!$A$9)/100*BM!$I1,15-13*ORÇAMENTO!$AF$11),ROUND(ROUND(BM!XFB1,15-13*BM!$A$9)*ROUND(BM!$H1,15-13*ORÇAMENTO!$AF$10),15-13*ORÇAMENTO!$AF$11)))</definedName>
    <definedName function="false" hidden="true" name="VTOTALMED" vbProcedure="false">BM!$P$14</definedName>
    <definedName function="false" hidden="true" localSheetId="16" name="NumEventos" vbProcedure="false">COUNT(OFFSET(eventos,0,0,,1))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41" authorId="0">
      <text>
        <r>
          <rPr>
            <sz val="10"/>
            <rFont val="Arial"/>
            <family val="2"/>
          </rPr>
          <t xml:space="preserve">Informar a data-base do CTEF no formato mm-aaaa.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I6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L8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</comment>
    <comment ref="Y8" authorId="0">
      <text>
        <r>
          <rPr>
            <sz val="10"/>
            <rFont val="Arial"/>
            <family val="2"/>
          </rPr>
          <t xml:space="preserve">RECURSO:
</t>
        </r>
        <r>
          <rPr>
            <sz val="9"/>
            <color rgb="FF000000"/>
            <rFont val="Tahoma"/>
            <family val="2"/>
            <charset val="1"/>
          </rPr>
          <t xml:space="preserve">Selecione a composição do item do Orçamento no Investimento.
RA: Rateio proporcional entre Repasse e Contrapartida.
RP: 100% valor de Repasse.
CP: 100%  valor de Contrapartida.
OU: 100% valor "Outros".</t>
        </r>
      </text>
    </comment>
    <comment ref="AJ7" authorId="0">
      <text>
        <r>
          <rPr>
            <sz val="10"/>
            <rFont val="Arial"/>
            <family val="2"/>
          </rPr>
          <t xml:space="preserve">QUANTIDADES:
</t>
        </r>
        <r>
          <rPr>
            <sz val="9"/>
            <color rgb="FF000000"/>
            <rFont val="Tahoma"/>
            <family val="2"/>
            <charset val="1"/>
          </rPr>
          <t xml:space="preserve">PREENCHA AS QUANTIDADES AQUI PARA ACOMPANHAMENTOS POR BM.</t>
        </r>
      </text>
    </comment>
    <comment ref="AL7" authorId="0">
      <text>
        <r>
          <rPr>
            <sz val="10"/>
            <rFont val="Arial"/>
            <family val="2"/>
          </rPr>
          <t xml:space="preserve">PREÇO UNITÁRIO LICITADO:
</t>
        </r>
        <r>
          <rPr>
            <sz val="9"/>
            <color rgb="FF000000"/>
            <rFont val="Tahoma"/>
            <family val="2"/>
            <charset val="1"/>
          </rPr>
          <t xml:space="preserve">PREENCHA AQUI O PREÇO UNITÁRIO DA LICITAÇÃO.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15" authorId="0">
      <text>
        <r>
          <rPr>
            <sz val="10"/>
            <rFont val="Arial"/>
            <family val="2"/>
          </rPr>
          <t xml:space="preserve">O evento de administração local é fixo, de uso opcional.
Os serviços agrupados neste evento serão medidos proporcionalmente à execução dos demais eventos.</t>
        </r>
      </text>
    </comment>
  </commentList>
</comments>
</file>

<file path=xl/comments1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7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</comment>
  </commentList>
</comments>
</file>

<file path=xl/comments1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8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</comment>
    <comment ref="AB12" authorId="0">
      <text>
        <r>
          <rPr>
            <sz val="10"/>
            <rFont val="Arial"/>
            <family val="2"/>
          </rPr>
          <t xml:space="preserve">Digite nestes campos as datas das medições</t>
        </r>
      </text>
    </comment>
    <comment ref="AB13" authorId="0">
      <text>
        <r>
          <rPr>
            <sz val="10"/>
            <rFont val="Arial"/>
            <family val="2"/>
          </rPr>
          <t xml:space="preserve">Para medições além da 12ª, preencha esta coluna com as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quantidades acumuladas.</t>
        </r>
      </text>
    </comment>
  </commentList>
</comments>
</file>

<file path=xl/comments1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7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</comment>
    <comment ref="Z16" authorId="0">
      <text>
        <r>
          <rPr>
            <sz val="10"/>
            <rFont val="Arial"/>
            <family val="2"/>
          </rPr>
          <t xml:space="preserve">Valores de Contrapartida e Outros:
</t>
        </r>
        <r>
          <rPr>
            <sz val="9"/>
            <color rgb="FF000000"/>
            <rFont val="Segoe UI"/>
            <family val="2"/>
            <charset val="1"/>
          </rPr>
          <t xml:space="preserve">Digite somente para desbloquear valores diferentes do previsto no RRE.</t>
        </r>
      </text>
    </comment>
  </commentList>
</comments>
</file>

<file path=xl/sharedStrings.xml><?xml version="1.0" encoding="utf-8"?>
<sst xmlns="http://schemas.openxmlformats.org/spreadsheetml/2006/main" count="3153" uniqueCount="1143">
  <si>
    <t xml:space="preserve">Novidades da Versão</t>
  </si>
  <si>
    <t xml:space="preserve">V3.00</t>
  </si>
  <si>
    <t xml:space="preserve">GERAL</t>
  </si>
  <si>
    <t xml:space="preserve">Lançamento: Adequação à Portaria 424/2016. Acompanhamento por Eventos.</t>
  </si>
  <si>
    <t xml:space="preserve">V3.01</t>
  </si>
  <si>
    <t xml:space="preserve">Ajustes de formatações.</t>
  </si>
  <si>
    <t xml:space="preserve">PO</t>
  </si>
  <si>
    <t xml:space="preserve">Correção da aplicação do BDI não desonerado.</t>
  </si>
  <si>
    <t xml:space="preserve">Inclusão de coluna exclusiva "Preço Unitário Edital", para o Modo 'Orçamento Licitado'.</t>
  </si>
  <si>
    <t xml:space="preserve">V3.02</t>
  </si>
  <si>
    <t xml:space="preserve">Correção do Problema de Guias ocultas no BROFFICE.</t>
  </si>
  <si>
    <t xml:space="preserve">ORÇAMENTO</t>
  </si>
  <si>
    <t xml:space="preserve">Ampliada obtenção de dados da Planilha Referência de 20.000 para 65.536 linhas.</t>
  </si>
  <si>
    <t xml:space="preserve">CRONOGRAMA</t>
  </si>
  <si>
    <t xml:space="preserve">Correção na formulação do total acumulado por Repasse, CP e Outros</t>
  </si>
  <si>
    <t xml:space="preserve">QCI</t>
  </si>
  <si>
    <t xml:space="preserve">Correção na formulação do arredondamento no rateio dos valores do QCI.</t>
  </si>
  <si>
    <t xml:space="preserve">RRE</t>
  </si>
  <si>
    <t xml:space="preserve">Correção na formulação do total por Repasse, CP e Outros.</t>
  </si>
  <si>
    <t xml:space="preserve">V3.03</t>
  </si>
  <si>
    <t xml:space="preserve">CÁLCULO</t>
  </si>
  <si>
    <t xml:space="preserve">Corrigida lentidão e travamento ao incluir e excluir frentes.</t>
  </si>
  <si>
    <t xml:space="preserve">V3.04</t>
  </si>
  <si>
    <t xml:space="preserve">BDI</t>
  </si>
  <si>
    <t xml:space="preserve">Correção da CPRB que exibia 4,5% mesmo quando não desonerado.</t>
  </si>
  <si>
    <t xml:space="preserve">Correção da distribuição de Repasse, CP e Outros para as metas manuais.</t>
  </si>
  <si>
    <t xml:space="preserve">Adicionado botão para adotar a CP do QCI como CP do contrato (zera saldo a reprogramar de CP).</t>
  </si>
  <si>
    <t xml:space="preserve">V3.05</t>
  </si>
  <si>
    <t xml:space="preserve">Corrigido modo de Cálculo da Planilha para Automático.</t>
  </si>
  <si>
    <t xml:space="preserve">V3.06</t>
  </si>
  <si>
    <t xml:space="preserve">Adicionado modo de arredondamento para compatibilidade com o TransfereGOV, altera na aba DADOS</t>
  </si>
  <si>
    <t xml:space="preserve">A planilha passará a ser disponibilizada com o formato .xlsm. Deve ser usado arquivo referência 1.9 ou superior, também no formato .xlsm</t>
  </si>
  <si>
    <t xml:space="preserve">V3.07</t>
  </si>
  <si>
    <t xml:space="preserve">Alterada a posição da aba NOVO para antes da aba MENU.</t>
  </si>
  <si>
    <t xml:space="preserve">Alterada a posição da aba CÁLCULO para depois da aba EVENTOS. Pois, no caso de acompanhamento por PLE, a lista supensa na coluna "Nº  Agrupador de Eventos" na aba CÁLCULO depende do preenchimento prévio da aba EVENTOS.</t>
  </si>
  <si>
    <t xml:space="preserve">Alterada a posição da aba CRONO para depois da aba CRONOPLE. Pois, no caso de acompanhamento por PLE, a aba CRONO tem o preenchimento automático a partir da aba CRONOPLE.</t>
  </si>
  <si>
    <t xml:space="preserve">Alterada a posição da aba PLE para depois da aba QCI. Com a finalidade de deixar agrupadas todas as abas de acompanhamento (PLE, BM, RRE, OFÍCIO).</t>
  </si>
  <si>
    <t xml:space="preserve">Acrescentados botões de navegação (cor azul claro) em várias abas. Em relação a esses botões, também foram ajustados os links, nomes e formatação.</t>
  </si>
  <si>
    <t xml:space="preserve">Criada macro para exibir apenas as abas pertinentes (exemplo: caso o acompanhamento seja por PLE, a aba BM fica oculta).</t>
  </si>
  <si>
    <t xml:space="preserve">Ajuste na macro para correção automática do Nº AGRUPADOR DE EVENTOS na aba CÁLCULO, quando se ADCIONAR ou EXCLUIR LINHAS na aba EVENTOS.</t>
  </si>
  <si>
    <t xml:space="preserve">MENU</t>
  </si>
  <si>
    <t xml:space="preserve">Acrescentado o botão "IMPORTAR DE OUTROS MODELOS CAIXA": PO (MO27476); PLE (MO27477); e QCI (MO41211).</t>
  </si>
  <si>
    <t xml:space="preserve">Acrescentado o botão de seleção "Importar Fórmulas para o Custo Unitário (aba ORÇAMENTO)". </t>
  </si>
  <si>
    <t xml:space="preserve">Caso selecionada, será importada a fórmula (se houver) do custo unitário; Caso desmarcada, será importado somente o valor.</t>
  </si>
  <si>
    <t xml:space="preserve">Acrescentado o botão de seleção "Importar Fórmulas para as Quantidades da PLQ (aba CÁLCULO)". </t>
  </si>
  <si>
    <t xml:space="preserve">Caso selecionada, será importada a fórmula (se houver) do quantitativo; Caso desmarcada, será importado somente o valor.</t>
  </si>
  <si>
    <t xml:space="preserve">Atualizada a macro de Importação para incluir a importar da coluna "Nº Agrupador de Eventos" da aba CÁLCULO.</t>
  </si>
  <si>
    <t xml:space="preserve">Atualizada a macro de Imprimir Documentos (para englobar as abas EVENTOS e CRONOPLE).</t>
  </si>
  <si>
    <t xml:space="preserve">Ajuste automático do valor da CPRB em função da data base do orçamento (para atendimento do Art. 9-A da Lei 12.546 de 14/12/2011).</t>
  </si>
  <si>
    <t xml:space="preserve">EVENTOS</t>
  </si>
  <si>
    <t xml:space="preserve">Acrescentados os dados de identificação do Contrato de Repasse.</t>
  </si>
  <si>
    <t xml:space="preserve">Acrescentadas as colunas dos totais dos Eventos por Frentes de Obra.</t>
  </si>
  <si>
    <t xml:space="preserve">Acrescentados os dados de Local, Data e Responsável Técnico.</t>
  </si>
  <si>
    <t xml:space="preserve">Acrescentado FILTRO para exibir apenas as linhas preenchidas.</t>
  </si>
  <si>
    <t xml:space="preserve">CRONOPLE</t>
  </si>
  <si>
    <t xml:space="preserve">Acrescentado o quadro "Cronograma" com percentual e valor da parcela e percentual e valor acumulado.</t>
  </si>
  <si>
    <t xml:space="preserve">Correção na fórmula da data, para replicar a “Data de fechamento do RRE” na aba DADOS.</t>
  </si>
  <si>
    <t xml:space="preserve">OFÍCIO</t>
  </si>
  <si>
    <t xml:space="preserve">Exclusão do quadro "Resumo de Valores por CTEF".</t>
  </si>
  <si>
    <t xml:space="preserve">V3.08</t>
  </si>
  <si>
    <t xml:space="preserve">Incluídos alertas de erro de preenchimento em todas as abas.</t>
  </si>
  <si>
    <t xml:space="preserve">Incluído botão de macro para gerar arquivo (em xlsx) para upload da PO e CFF no TransfereGOV.</t>
  </si>
  <si>
    <t xml:space="preserve">Ajustada a macro "Importar de outra Planilha Múltipla" para importar o Cronograma da aba CRONO. Também foram incluídas as importações dos campos: Data do preenchimento (DADOS), Data de fechamento do RRE (DADOS); nº da 1ª Parcela do Cronograma (CRONO), mês da 1ª Parcela do Cronograma (CRONO), nº da Medição (BM) e nº da Medição (PLE).</t>
  </si>
  <si>
    <t xml:space="preserve">Incluída a informação do progresso na macro "Importar de outra Planilha Múltipla", por meio de uma barra de progresso (janela que será exibida na tela) e da indicação das etapas de importação na barra de status do Excel (canto inferior esquerdo da janela do Excel).</t>
  </si>
  <si>
    <t xml:space="preserve">Incluídos botões de navegação para os formulários de BDI (BDI 1, BDI 2, BDI 3).</t>
  </si>
  <si>
    <t xml:space="preserve">Incluído botão de macro para padronizar as siglas de unidades, conforme lista de siglas válidas no TransfereGOV.</t>
  </si>
  <si>
    <t xml:space="preserve">O Título de Evento "Administração Local" com preenchimento automático proporcional agora é exibido apenas no modo Arredondamento de Frentes "Tradicional" e para a opção Agrupadores de Eventos "Definir Manualmente".</t>
  </si>
  <si>
    <t xml:space="preserve">Não é mais possível deixar Eventos em branco (sem nome ou sem valor).</t>
  </si>
  <si>
    <t xml:space="preserve">Não é mais possível deixar Frentes de Obra em branco (sem nome ou sem quantidades).</t>
  </si>
  <si>
    <t xml:space="preserve">Incluído campo para selecionar o Título do Evento referente à Administração Local (acompanhamento por PLE).</t>
  </si>
  <si>
    <t xml:space="preserve">Incluída linha com o percentual acumulado da Administração Local em cada período.</t>
  </si>
  <si>
    <t xml:space="preserve">CRONO</t>
  </si>
  <si>
    <t xml:space="preserve">Ajustada a fórmula do % acumulado a partir da parcela 13 (para manter o padrão da fórmula das parcelas 1 a 12).</t>
  </si>
  <si>
    <t xml:space="preserve">Incluído campo para selecionar o Macrosserviço referente à Administração Local (acompanhamento por BM).</t>
  </si>
  <si>
    <t xml:space="preserve">Incluída linha com o percentual acumulado da Administração Local em cada parcela.</t>
  </si>
  <si>
    <t xml:space="preserve">Corrigida a fórmula do % no quadro "Percentual previsto em:". Que estava limitada a buscar o % previsto até a parcela 12.</t>
  </si>
  <si>
    <t xml:space="preserve">PLE</t>
  </si>
  <si>
    <t xml:space="preserve">Incluída linha com o percentual acumulado da Administração Local em cada medição.</t>
  </si>
  <si>
    <t xml:space="preserve">BM</t>
  </si>
  <si>
    <t xml:space="preserve">Incluído campo com o percentual medido acumulado da Administração Local.</t>
  </si>
  <si>
    <t xml:space="preserve">V3.09</t>
  </si>
  <si>
    <t xml:space="preserve">Atualizada a macro "Gerar arquivo para upload no TransfereGOV" para ajustar os códigos de composições SINAPI (acrescentar zeros a esquerda até completar dez dígitos) para Data base igual ou superior a JAN/2025.</t>
  </si>
  <si>
    <t xml:space="preserve">Acrescentada formatação condicional na coluna "Descrição" para exibir os textos de alerta de erro, textos que começam com "(", na cor vermelha.</t>
  </si>
  <si>
    <t xml:space="preserve">Corrigida a macro dos botões de navegação para os formulários do BDI.</t>
  </si>
  <si>
    <t xml:space="preserve">V3.10</t>
  </si>
  <si>
    <t xml:space="preserve">Corrigidas as fórmulas da v3.08 / v3.09 que eram incompatíveis com as versões do Excel anteriores ao Office 365.</t>
  </si>
  <si>
    <t xml:space="preserve">V3.11</t>
  </si>
  <si>
    <t xml:space="preserve">Ajuste na macro "Importar de outra Planilha Múltipla" para tratar o erro "tipos incompatíveis".</t>
  </si>
  <si>
    <t xml:space="preserve">Ajuste na macro "Gerar arquivo para upload no TransfereGOV" para informar no status o número da linha que está sendo mesclada.</t>
  </si>
  <si>
    <t xml:space="preserve">Correção nas fórmulas dos valores no período da 13ª parcela do cronograma.</t>
  </si>
  <si>
    <t xml:space="preserve">Correção nas fórmulas dos valores acumulados no caso de Administração Local de preenchimento manual.</t>
  </si>
  <si>
    <t xml:space="preserve">V3.12</t>
  </si>
  <si>
    <t xml:space="preserve">Atualização na macro "Gerar arquivo para upload no TransfereGOV" em virtude de alteração no upload no TransfereGOV (código sem zeros a esquerda).</t>
  </si>
  <si>
    <t xml:space="preserve">Revisão nos alertas de erro de preenchimento.</t>
  </si>
  <si>
    <t xml:space="preserve">Revisão na lista suspensa de opções da forma de definição dos agrupadores de eventos.</t>
  </si>
  <si>
    <t xml:space="preserve">Correção na macro "Atualizar Linhas".</t>
  </si>
  <si>
    <t xml:space="preserve">Correção na fórmula dos porcentuais de Administração Local, no caso de agrupadores de eventos automáticos.</t>
  </si>
  <si>
    <t xml:space="preserve">PM</t>
  </si>
  <si>
    <t xml:space="preserve">v3.12</t>
  </si>
  <si>
    <t xml:space="preserve">Proposto</t>
  </si>
  <si>
    <t xml:space="preserve">DADOS DO CONTRATO</t>
  </si>
  <si>
    <t xml:space="preserve">NOVIDADES DA VERSÃO</t>
  </si>
  <si>
    <t xml:space="preserve">Licitado</t>
  </si>
  <si>
    <t xml:space="preserve">LEGENDA:</t>
  </si>
  <si>
    <r>
      <rPr>
        <sz val="10"/>
        <rFont val="Arial"/>
        <family val="2"/>
        <charset val="1"/>
      </rPr>
      <t xml:space="preserve">Cores das </t>
    </r>
    <r>
      <rPr>
        <b val="true"/>
        <sz val="10"/>
        <rFont val="Arial"/>
        <family val="2"/>
        <charset val="1"/>
      </rPr>
      <t xml:space="preserve">células</t>
    </r>
    <r>
      <rPr>
        <sz val="10"/>
        <rFont val="Arial"/>
        <family val="2"/>
        <charset val="1"/>
      </rPr>
      <t xml:space="preserve">:</t>
    </r>
  </si>
  <si>
    <t xml:space="preserve">Fundo amarelo: células para preencher</t>
  </si>
  <si>
    <t xml:space="preserve">Fundo azul: células para seleção de opções</t>
  </si>
  <si>
    <r>
      <rPr>
        <sz val="10"/>
        <rFont val="Arial"/>
        <family val="2"/>
        <charset val="1"/>
      </rPr>
      <t xml:space="preserve">Cores dos </t>
    </r>
    <r>
      <rPr>
        <b val="true"/>
        <sz val="10"/>
        <rFont val="Arial"/>
        <family val="2"/>
        <charset val="1"/>
      </rPr>
      <t xml:space="preserve">botões</t>
    </r>
    <r>
      <rPr>
        <sz val="10"/>
        <rFont val="Arial"/>
        <family val="2"/>
        <charset val="1"/>
      </rPr>
      <t xml:space="preserve">:</t>
    </r>
  </si>
  <si>
    <t xml:space="preserve">Fundo azul claro: navegação entre abas</t>
  </si>
  <si>
    <t xml:space="preserve">Fundo laranja: execução de macro</t>
  </si>
  <si>
    <t xml:space="preserve">A. DOCUMENTAÇÃO DA PROPOSTA</t>
  </si>
  <si>
    <t xml:space="preserve">Sub-Itens de Investimento</t>
  </si>
  <si>
    <t xml:space="preserve">Unidades válidas no Tgov</t>
  </si>
  <si>
    <t xml:space="preserve">Itens de Investimento</t>
  </si>
  <si>
    <t xml:space="preserve">Unidades habitacionais</t>
  </si>
  <si>
    <t xml:space="preserve">Equipamentos comunitários</t>
  </si>
  <si>
    <t xml:space="preserve">Pavimentação</t>
  </si>
  <si>
    <t xml:space="preserve">Drenagem </t>
  </si>
  <si>
    <t xml:space="preserve">Abastecimento de água</t>
  </si>
  <si>
    <t xml:space="preserve">Esgotamento sanitário</t>
  </si>
  <si>
    <t xml:space="preserve">Energia elétrica e iluminação pública</t>
  </si>
  <si>
    <t xml:space="preserve">Coleta e tratamento de resíduos sólidos</t>
  </si>
  <si>
    <t xml:space="preserve">Contenção e estabilização de encostas </t>
  </si>
  <si>
    <t xml:space="preserve">Regularização fundiária</t>
  </si>
  <si>
    <t xml:space="preserve">Aquisição de terreno</t>
  </si>
  <si>
    <t xml:space="preserve">Aquisição de equipamentos e insumos</t>
  </si>
  <si>
    <t xml:space="preserve">Elaboração de estudos e projetos</t>
  </si>
  <si>
    <t xml:space="preserve">Instrumentos e ações em planejamento e gestão pública</t>
  </si>
  <si>
    <t xml:space="preserve">Ações complementares às obras</t>
  </si>
  <si>
    <t xml:space="preserve">Gerenciamento</t>
  </si>
  <si>
    <t xml:space="preserve">Trabalho social</t>
  </si>
  <si>
    <t xml:space="preserve">Sigla</t>
  </si>
  <si>
    <t xml:space="preserve">Descrição</t>
  </si>
  <si>
    <t xml:space="preserve">Dados do Contrato (Inicial)</t>
  </si>
  <si>
    <t xml:space="preserve">Aquisição</t>
  </si>
  <si>
    <t xml:space="preserve">un</t>
  </si>
  <si>
    <t xml:space="preserve">Convivência comunitária, assistência social e/ou comunitária</t>
  </si>
  <si>
    <t xml:space="preserve">m²</t>
  </si>
  <si>
    <t xml:space="preserve">Capeamento de vias</t>
  </si>
  <si>
    <t xml:space="preserve">Obras de microdrenagem </t>
  </si>
  <si>
    <t xml:space="preserve">m</t>
  </si>
  <si>
    <t xml:space="preserve">Captação subterrânea</t>
  </si>
  <si>
    <t xml:space="preserve">m³/s</t>
  </si>
  <si>
    <t xml:space="preserve">Ligações domiciliares e/ou intradomiciliares</t>
  </si>
  <si>
    <t xml:space="preserve">Iluminação pública - luminárias</t>
  </si>
  <si>
    <t xml:space="preserve">Acondicionamento </t>
  </si>
  <si>
    <t xml:space="preserve">Estabilização de taludes</t>
  </si>
  <si>
    <t xml:space="preserve">Desapropriacões/Indenizações</t>
  </si>
  <si>
    <t xml:space="preserve">Avaliação pós intervenção</t>
  </si>
  <si>
    <t xml:space="preserve">%CT</t>
  </si>
  <si>
    <t xml:space="preserve">Projeto de Trabalho Social Preliminar</t>
  </si>
  <si>
    <t xml:space="preserve">nº fam</t>
  </si>
  <si>
    <t xml:space="preserve">Fonte de recursos:</t>
  </si>
  <si>
    <t xml:space="preserve">OGU</t>
  </si>
  <si>
    <t xml:space="preserve">Construção</t>
  </si>
  <si>
    <t xml:space="preserve">Educação e cultura</t>
  </si>
  <si>
    <t xml:space="preserve">Recapeamento de vias</t>
  </si>
  <si>
    <t xml:space="preserve">Desassoreamento de cursos de água</t>
  </si>
  <si>
    <t xml:space="preserve">Captação superficial</t>
  </si>
  <si>
    <t xml:space="preserve">Rede coletora e/ou condominial</t>
  </si>
  <si>
    <t xml:space="preserve">Ligações domiciliares</t>
  </si>
  <si>
    <t xml:space="preserve">Aterro sanitário e/ou disposição final</t>
  </si>
  <si>
    <t xml:space="preserve">m³</t>
  </si>
  <si>
    <t xml:space="preserve">Obras complementares a ações de redução de risco e/ou contenções</t>
  </si>
  <si>
    <t xml:space="preserve">Projeto de Regularização Fundiária</t>
  </si>
  <si>
    <t xml:space="preserve">Benfeitorias</t>
  </si>
  <si>
    <t xml:space="preserve">Demolições</t>
  </si>
  <si>
    <t xml:space="preserve">Projeto de Trabalho Social</t>
  </si>
  <si>
    <t xml:space="preserve">°C</t>
  </si>
  <si>
    <t xml:space="preserve">GRAU CELSIUS</t>
  </si>
  <si>
    <t xml:space="preserve">Proponente/Tomador:</t>
  </si>
  <si>
    <t xml:space="preserve">PREFEITURA MUNICIPAL DE SALINAS</t>
  </si>
  <si>
    <t xml:space="preserve">Reforma e/ou melhoria</t>
  </si>
  <si>
    <t xml:space="preserve">Esportes</t>
  </si>
  <si>
    <t xml:space="preserve">Obras de artes especiais</t>
  </si>
  <si>
    <t xml:space="preserve">Canalização de cursos de água</t>
  </si>
  <si>
    <t xml:space="preserve">Estação de bombeamento de água bruta</t>
  </si>
  <si>
    <t xml:space="preserve">Coletor tronco e/ou interceptores</t>
  </si>
  <si>
    <t xml:space="preserve">Linhas de distribuição - baixa tensão </t>
  </si>
  <si>
    <t xml:space="preserve">Erradicação de lixões</t>
  </si>
  <si>
    <t xml:space="preserve">Plano de Reassentamento e medidas compensatórias</t>
  </si>
  <si>
    <t xml:space="preserve">Plano de Desenvolvimento Socioterritorial</t>
  </si>
  <si>
    <t xml:space="preserve">°F</t>
  </si>
  <si>
    <t xml:space="preserve">GRAU FAHRENHEIT</t>
  </si>
  <si>
    <t xml:space="preserve">Município/UF:</t>
  </si>
  <si>
    <t xml:space="preserve">SALINAS</t>
  </si>
  <si>
    <t xml:space="preserve">Lazer e turismo</t>
  </si>
  <si>
    <t xml:space="preserve">Pavimentação de calçadas</t>
  </si>
  <si>
    <t xml:space="preserve">Recomposição de vegetação ciliar, renaturalização de cursos de água ou restauração de margens</t>
  </si>
  <si>
    <t xml:space="preserve">Adução</t>
  </si>
  <si>
    <t xml:space="preserve">Emissário</t>
  </si>
  <si>
    <t xml:space="preserve">Linhas de transmissão - alta tensão </t>
  </si>
  <si>
    <t xml:space="preserve">Sistema de coleta seletiva tradicional, transporte e/ou equipamentos</t>
  </si>
  <si>
    <t xml:space="preserve">Plano de Gestão Condominial</t>
  </si>
  <si>
    <t xml:space="preserve">100M</t>
  </si>
  <si>
    <t xml:space="preserve">100 METROS</t>
  </si>
  <si>
    <t xml:space="preserve">Nº da Operação (0000000-00):</t>
  </si>
  <si>
    <t xml:space="preserve">1100251-88</t>
  </si>
  <si>
    <t xml:space="preserve">Saúde</t>
  </si>
  <si>
    <t xml:space="preserve">Pavimentação de vias</t>
  </si>
  <si>
    <t xml:space="preserve">Reservatório de amortecimento de cheias</t>
  </si>
  <si>
    <t xml:space="preserve">Estação de Tratamento de Água (ETA)</t>
  </si>
  <si>
    <t xml:space="preserve">Estação Elevatória</t>
  </si>
  <si>
    <t xml:space="preserve">Tratamento local </t>
  </si>
  <si>
    <t xml:space="preserve">18L</t>
  </si>
  <si>
    <t xml:space="preserve">18 LITROS</t>
  </si>
  <si>
    <t xml:space="preserve">Nº do TransfereGOV (000000):</t>
  </si>
  <si>
    <t xml:space="preserve">974240/2024</t>
  </si>
  <si>
    <t xml:space="preserve">Segurança pública</t>
  </si>
  <si>
    <t xml:space="preserve">Sinalização</t>
  </si>
  <si>
    <t xml:space="preserve">Estação de Bombeamento</t>
  </si>
  <si>
    <t xml:space="preserve">Estação de bombeamento de água tratada</t>
  </si>
  <si>
    <t xml:space="preserve">Estação de Tratamento de Esgoto (ETE)</t>
  </si>
  <si>
    <t xml:space="preserve">Usinas de reciclagem </t>
  </si>
  <si>
    <t xml:space="preserve">200KG</t>
  </si>
  <si>
    <t xml:space="preserve">200 QUILOS</t>
  </si>
  <si>
    <t xml:space="preserve">Linha de recalque</t>
  </si>
  <si>
    <t xml:space="preserve">Sistema simplificado de tratamento</t>
  </si>
  <si>
    <t xml:space="preserve">250G</t>
  </si>
  <si>
    <t xml:space="preserve">250 GRAMAS</t>
  </si>
  <si>
    <t xml:space="preserve">Valor de Contrapartida Contratada (R$):</t>
  </si>
  <si>
    <t xml:space="preserve">Reservação</t>
  </si>
  <si>
    <t xml:space="preserve">Unidades sanitárias</t>
  </si>
  <si>
    <t xml:space="preserve">310ML</t>
  </si>
  <si>
    <t xml:space="preserve">310 MILILITROS</t>
  </si>
  <si>
    <t xml:space="preserve">% mínimo de Contrapartida:</t>
  </si>
  <si>
    <t xml:space="preserve">Rede de distribuição</t>
  </si>
  <si>
    <t xml:space="preserve">50KG</t>
  </si>
  <si>
    <t xml:space="preserve">50 QUILOS</t>
  </si>
  <si>
    <t xml:space="preserve">R$ mínimo de Contrapartida (se houver):</t>
  </si>
  <si>
    <t xml:space="preserve">A</t>
  </si>
  <si>
    <t xml:space="preserve">AMPÈRE</t>
  </si>
  <si>
    <t xml:space="preserve">% máximo de Contrapartida:</t>
  </si>
  <si>
    <t xml:space="preserve">Sistema simplificado de abastecimento</t>
  </si>
  <si>
    <t xml:space="preserve">ACA/ACC</t>
  </si>
  <si>
    <t xml:space="preserve">A.CORR.ALTERN/CONT.</t>
  </si>
  <si>
    <t xml:space="preserve">AH</t>
  </si>
  <si>
    <t xml:space="preserve">AMPÈRE HORA</t>
  </si>
  <si>
    <t xml:space="preserve">Dados do Empreendimento e Orçamento</t>
  </si>
  <si>
    <t xml:space="preserve">AH/H/V</t>
  </si>
  <si>
    <t xml:space="preserve">AMPÉRE-H/H/VOLT</t>
  </si>
  <si>
    <t xml:space="preserve">Nome/apelido:</t>
  </si>
  <si>
    <t xml:space="preserve">CONSTRUÇÃO DE UNIDADES HABITACIONAIS EM ÁREAS URBANAS</t>
  </si>
  <si>
    <t xml:space="preserve">AM</t>
  </si>
  <si>
    <t xml:space="preserve">AMPOLA</t>
  </si>
  <si>
    <t xml:space="preserve">Descrição do Objeto do Lote / CTEF:</t>
  </si>
  <si>
    <t xml:space="preserve">CONSTRUÇÃO DE UNIDADES HABITACIONAIS EM ÁREAS URBANAS, NO MUNICIPIO DE SALINAS/MG, UTILIZANDO RECURSOS DO FNHIS, PELO PROGRAMA MINHA CASA MINHA VIDA</t>
  </si>
  <si>
    <t xml:space="preserve">AM0/4ML</t>
  </si>
  <si>
    <t xml:space="preserve">AMPOLA COM 0,4 Ml</t>
  </si>
  <si>
    <t xml:space="preserve">Regime previdenciário previsto para a obra:</t>
  </si>
  <si>
    <t xml:space="preserve">DESONERADO</t>
  </si>
  <si>
    <t xml:space="preserve">AM0/5ML</t>
  </si>
  <si>
    <t xml:space="preserve">AMPOLA COM 0,5 mL</t>
  </si>
  <si>
    <t xml:space="preserve">Data base do Orçamento:</t>
  </si>
  <si>
    <t xml:space="preserve">AM1/5ML</t>
  </si>
  <si>
    <t xml:space="preserve">AMPOLA COM 1,5 mL</t>
  </si>
  <si>
    <t xml:space="preserve">AM10ML</t>
  </si>
  <si>
    <t xml:space="preserve">AMPOLA COM 10 mL</t>
  </si>
  <si>
    <t xml:space="preserve">Responsável pelo Orçamento</t>
  </si>
  <si>
    <t xml:space="preserve">AM1ML</t>
  </si>
  <si>
    <t xml:space="preserve">AMPOLA COM 1 mL</t>
  </si>
  <si>
    <t xml:space="preserve">Nome:</t>
  </si>
  <si>
    <t xml:space="preserve">DEBHORA DOS SANTOS GUIMARÃES</t>
  </si>
  <si>
    <t xml:space="preserve">AM2/5ML</t>
  </si>
  <si>
    <t xml:space="preserve">AMPOLA COM 2,5 mL</t>
  </si>
  <si>
    <t xml:space="preserve">CREA/CAU:</t>
  </si>
  <si>
    <t xml:space="preserve">111769/D</t>
  </si>
  <si>
    <t xml:space="preserve">AM2ML</t>
  </si>
  <si>
    <t xml:space="preserve">AMPOLA COM 2 mL</t>
  </si>
  <si>
    <t xml:space="preserve">ART/RRT:</t>
  </si>
  <si>
    <t xml:space="preserve">MG20254000676</t>
  </si>
  <si>
    <t xml:space="preserve">AM3ML</t>
  </si>
  <si>
    <t xml:space="preserve">AMPOLA COM 3 mL</t>
  </si>
  <si>
    <t xml:space="preserve">Data do preenchimento:</t>
  </si>
  <si>
    <t xml:space="preserve">AM4ML</t>
  </si>
  <si>
    <t xml:space="preserve">AMPOLA COM 4 mL</t>
  </si>
  <si>
    <t xml:space="preserve">AM5ML</t>
  </si>
  <si>
    <t xml:space="preserve">AMPOLA COM 5 mL</t>
  </si>
  <si>
    <t xml:space="preserve">Responsável pelo Tomador (Prefeito, no caso de Municípios)</t>
  </si>
  <si>
    <t xml:space="preserve">AM6ML</t>
  </si>
  <si>
    <t xml:space="preserve">AMPOLA COM 6 mL</t>
  </si>
  <si>
    <t xml:space="preserve">JOAQIMNERES XAVIER DIAS</t>
  </si>
  <si>
    <t xml:space="preserve">AM7ML</t>
  </si>
  <si>
    <t xml:space="preserve">AMPOLA COM 7 mL</t>
  </si>
  <si>
    <t xml:space="preserve">Cargo:</t>
  </si>
  <si>
    <t xml:space="preserve">PREFEITO MUNICIPAL</t>
  </si>
  <si>
    <t xml:space="preserve">ANO</t>
  </si>
  <si>
    <t xml:space="preserve">ANO/ANOS</t>
  </si>
  <si>
    <t xml:space="preserve">ANOS</t>
  </si>
  <si>
    <t xml:space="preserve">Arredondamento das frentes:</t>
  </si>
  <si>
    <t xml:space="preserve">TransfereGOV</t>
  </si>
  <si>
    <t xml:space="preserve">ARR</t>
  </si>
  <si>
    <t xml:space="preserve">ARROBA</t>
  </si>
  <si>
    <t xml:space="preserve">AWG</t>
  </si>
  <si>
    <t xml:space="preserve">AMERICAN WIRE GAUGE</t>
  </si>
  <si>
    <t xml:space="preserve">B. RESULTADO DO PROCESSO LICITATÓRIO</t>
  </si>
  <si>
    <t xml:space="preserve">BAR</t>
  </si>
  <si>
    <t xml:space="preserve">BARRIL</t>
  </si>
  <si>
    <t xml:space="preserve">BAR.</t>
  </si>
  <si>
    <t xml:space="preserve">Licitação</t>
  </si>
  <si>
    <t xml:space="preserve">BD</t>
  </si>
  <si>
    <t xml:space="preserve">BALDE</t>
  </si>
  <si>
    <t xml:space="preserve">Data de emissão dos documentos de licitação:</t>
  </si>
  <si>
    <t xml:space="preserve">BIS</t>
  </si>
  <si>
    <t xml:space="preserve">BISNAGA</t>
  </si>
  <si>
    <t xml:space="preserve">Nº do CTEF (contrato com empresa):</t>
  </si>
  <si>
    <t xml:space="preserve">BIS/GL</t>
  </si>
  <si>
    <t xml:space="preserve">BISNAGA POR GALÃO</t>
  </si>
  <si>
    <t xml:space="preserve">Nome da empresa:</t>
  </si>
  <si>
    <t xml:space="preserve">BIS1/65G</t>
  </si>
  <si>
    <t xml:space="preserve">BISNAGA COM 1,65 g</t>
  </si>
  <si>
    <t xml:space="preserve">CNPJ da empresa:</t>
  </si>
  <si>
    <t xml:space="preserve">BIS1/8G</t>
  </si>
  <si>
    <t xml:space="preserve">BISNAGA COM 1,8 g</t>
  </si>
  <si>
    <t xml:space="preserve">Regime de execução do CTEF:</t>
  </si>
  <si>
    <t xml:space="preserve">EMPREITADA POR PREÇO GLOBAL</t>
  </si>
  <si>
    <t xml:space="preserve">BIS100G</t>
  </si>
  <si>
    <t xml:space="preserve">BISNAGA COM 100 g</t>
  </si>
  <si>
    <t xml:space="preserve">Data base do CTEF:</t>
  </si>
  <si>
    <t xml:space="preserve">BIS10G</t>
  </si>
  <si>
    <t xml:space="preserve">BISNAGA COM 10 g</t>
  </si>
  <si>
    <t xml:space="preserve">BIS135G</t>
  </si>
  <si>
    <t xml:space="preserve">BISNAGA COM 135 g</t>
  </si>
  <si>
    <t xml:space="preserve">BIS13G</t>
  </si>
  <si>
    <t xml:space="preserve">BISNAGA COM 13 g</t>
  </si>
  <si>
    <t xml:space="preserve">C. ACOMPANHAMENTO DO EMPREENDIMENTO</t>
  </si>
  <si>
    <t xml:space="preserve">BIS14G</t>
  </si>
  <si>
    <t xml:space="preserve">BISNAGA COM 14 g</t>
  </si>
  <si>
    <t xml:space="preserve">BIS15G</t>
  </si>
  <si>
    <t xml:space="preserve">BISNAGA COM 15 g</t>
  </si>
  <si>
    <t xml:space="preserve">Dados da obra</t>
  </si>
  <si>
    <t xml:space="preserve">BIS1G</t>
  </si>
  <si>
    <t xml:space="preserve">BISNAGA COM 1 g</t>
  </si>
  <si>
    <t xml:space="preserve">Data do Início da Obra:</t>
  </si>
  <si>
    <t xml:space="preserve">BIS20G</t>
  </si>
  <si>
    <t xml:space="preserve">BISNAGA COM 20 g</t>
  </si>
  <si>
    <t xml:space="preserve">Data de fechamento do RRE:</t>
  </si>
  <si>
    <t xml:space="preserve">BIS25G</t>
  </si>
  <si>
    <t xml:space="preserve">BISNAGA COM 25 g</t>
  </si>
  <si>
    <t xml:space="preserve">BIS28/8G</t>
  </si>
  <si>
    <t xml:space="preserve">BISNAGA COM 28,8 g</t>
  </si>
  <si>
    <t xml:space="preserve">Responsável pela Fiscalização</t>
  </si>
  <si>
    <t xml:space="preserve">BIS28G</t>
  </si>
  <si>
    <t xml:space="preserve">BISNAGA COM 28 g</t>
  </si>
  <si>
    <t xml:space="preserve">BIS2G</t>
  </si>
  <si>
    <t xml:space="preserve">BISNAGA COM 2 g</t>
  </si>
  <si>
    <t xml:space="preserve">Profissão:</t>
  </si>
  <si>
    <t xml:space="preserve">BIS3/5G</t>
  </si>
  <si>
    <t xml:space="preserve">BISNAGA COM 3,5 g</t>
  </si>
  <si>
    <t xml:space="preserve">CREA/CAU (para obras/projetos):</t>
  </si>
  <si>
    <t xml:space="preserve">BIS30G</t>
  </si>
  <si>
    <t xml:space="preserve">BISNAGA COM 30 g</t>
  </si>
  <si>
    <t xml:space="preserve">ART/RRT (para obras/projetos):</t>
  </si>
  <si>
    <t xml:space="preserve">BIS30ML</t>
  </si>
  <si>
    <t xml:space="preserve">BISNAGA COM 30 mL</t>
  </si>
  <si>
    <t xml:space="preserve">BIS40G</t>
  </si>
  <si>
    <t xml:space="preserve">BISNAGA COM 40 g</t>
  </si>
  <si>
    <t xml:space="preserve">BIS43G</t>
  </si>
  <si>
    <t xml:space="preserve">BISNAGA COM 43 g</t>
  </si>
  <si>
    <t xml:space="preserve">D. ACOMPANHAMENTO CAIXA</t>
  </si>
  <si>
    <t xml:space="preserve">BIS45G</t>
  </si>
  <si>
    <t xml:space="preserve">BISNAGA COM 45 g</t>
  </si>
  <si>
    <t xml:space="preserve">BIS47G</t>
  </si>
  <si>
    <t xml:space="preserve">BISNAGA COM 47 g</t>
  </si>
  <si>
    <t xml:space="preserve">Responsável Gerencial</t>
  </si>
  <si>
    <t xml:space="preserve">BIS4G</t>
  </si>
  <si>
    <t xml:space="preserve">BISNAGA COM 4 g</t>
  </si>
  <si>
    <t xml:space="preserve">BIS50G</t>
  </si>
  <si>
    <t xml:space="preserve">BISNAGA COM 50 g</t>
  </si>
  <si>
    <t xml:space="preserve">Função:</t>
  </si>
  <si>
    <t xml:space="preserve">BIS55G</t>
  </si>
  <si>
    <t xml:space="preserve">BISNAGA COM 55 g</t>
  </si>
  <si>
    <t xml:space="preserve">BIS56G</t>
  </si>
  <si>
    <t xml:space="preserve">BISNAGA COM 56 g</t>
  </si>
  <si>
    <t xml:space="preserve">BIS5G</t>
  </si>
  <si>
    <t xml:space="preserve">BISNAGA COM 5 g</t>
  </si>
  <si>
    <t xml:space="preserve">BIS60G</t>
  </si>
  <si>
    <t xml:space="preserve">BISNAGA COM 60 g</t>
  </si>
  <si>
    <t xml:space="preserve">BIS6G</t>
  </si>
  <si>
    <t xml:space="preserve">BISNAGA COM 6 g</t>
  </si>
  <si>
    <t xml:space="preserve">BIS7/5G</t>
  </si>
  <si>
    <t xml:space="preserve">BISNAGA COM 7,5 g</t>
  </si>
  <si>
    <t xml:space="preserve">BIS70G</t>
  </si>
  <si>
    <t xml:space="preserve">BISNAGA COM 70 g</t>
  </si>
  <si>
    <t xml:space="preserve">BIS80G</t>
  </si>
  <si>
    <t xml:space="preserve">BISNAGA COM 80 g</t>
  </si>
  <si>
    <t xml:space="preserve">BIS90G</t>
  </si>
  <si>
    <t xml:space="preserve">BISNAGA COM 90 g</t>
  </si>
  <si>
    <t xml:space="preserve">BIT</t>
  </si>
  <si>
    <t xml:space="preserve">BITS</t>
  </si>
  <si>
    <t xml:space="preserve">BL</t>
  </si>
  <si>
    <t xml:space="preserve">BLOCO</t>
  </si>
  <si>
    <t xml:space="preserve">BLIS</t>
  </si>
  <si>
    <t xml:space="preserve">BLISTER</t>
  </si>
  <si>
    <t xml:space="preserve">BLIS21CP</t>
  </si>
  <si>
    <t xml:space="preserve">BLISTER COM 21 COMPRIMIDOS</t>
  </si>
  <si>
    <t xml:space="preserve">BLIS35CP</t>
  </si>
  <si>
    <t xml:space="preserve">BLISTER COM 35 COMPRIMIDOS</t>
  </si>
  <si>
    <t xml:space="preserve">BOB</t>
  </si>
  <si>
    <t xml:space="preserve">BOBINA</t>
  </si>
  <si>
    <t xml:space="preserve">BOL</t>
  </si>
  <si>
    <t xml:space="preserve">BOLSA</t>
  </si>
  <si>
    <t xml:space="preserve">BOM</t>
  </si>
  <si>
    <t xml:space="preserve">BOMBONA</t>
  </si>
  <si>
    <t xml:space="preserve">BPM</t>
  </si>
  <si>
    <t xml:space="preserve">BATIDA POR MINUTO</t>
  </si>
  <si>
    <t xml:space="preserve">BPS</t>
  </si>
  <si>
    <t xml:space="preserve">BYTE POR SEGUNDO</t>
  </si>
  <si>
    <t xml:space="preserve">BR</t>
  </si>
  <si>
    <t xml:space="preserve">BARRA</t>
  </si>
  <si>
    <t xml:space="preserve">BRI</t>
  </si>
  <si>
    <t xml:space="preserve">BARRICA</t>
  </si>
  <si>
    <t xml:space="preserve">BTJ</t>
  </si>
  <si>
    <t xml:space="preserve">BOTIJÃO</t>
  </si>
  <si>
    <t xml:space="preserve">BTU</t>
  </si>
  <si>
    <t xml:space="preserve">BRITISH THERMAL UNIT</t>
  </si>
  <si>
    <t xml:space="preserve">BTU/H</t>
  </si>
  <si>
    <t xml:space="preserve">BTU POR HORA</t>
  </si>
  <si>
    <t xml:space="preserve">BWG</t>
  </si>
  <si>
    <t xml:space="preserve">FIEIRA DE BIRMINGHAN</t>
  </si>
  <si>
    <t xml:space="preserve">C</t>
  </si>
  <si>
    <t xml:space="preserve">CENTENA</t>
  </si>
  <si>
    <t xml:space="preserve">CA</t>
  </si>
  <si>
    <t xml:space="preserve">CARTUCHO</t>
  </si>
  <si>
    <t xml:space="preserve">CAD</t>
  </si>
  <si>
    <t xml:space="preserve">CADERNO</t>
  </si>
  <si>
    <t xml:space="preserve">CAL/G</t>
  </si>
  <si>
    <t xml:space="preserve">CALORIA/GRAMA</t>
  </si>
  <si>
    <t xml:space="preserve">CAPS</t>
  </si>
  <si>
    <t xml:space="preserve">CÁPSULA</t>
  </si>
  <si>
    <t xml:space="preserve">CAR</t>
  </si>
  <si>
    <t xml:space="preserve">CARACTER</t>
  </si>
  <si>
    <t xml:space="preserve">CC</t>
  </si>
  <si>
    <t xml:space="preserve">CILINDRADA</t>
  </si>
  <si>
    <t xml:space="preserve">CD</t>
  </si>
  <si>
    <t xml:space="preserve">CANDELA</t>
  </si>
  <si>
    <t xml:space="preserve">CD/M2</t>
  </si>
  <si>
    <t xml:space="preserve">CANDELA/METRO 2</t>
  </si>
  <si>
    <t xml:space="preserve">CENTO</t>
  </si>
  <si>
    <t xml:space="preserve">CG</t>
  </si>
  <si>
    <t xml:space="preserve">CENTIGRAMA</t>
  </si>
  <si>
    <t xml:space="preserve">CH</t>
  </si>
  <si>
    <t xml:space="preserve">CHAPA</t>
  </si>
  <si>
    <t xml:space="preserve">CHI</t>
  </si>
  <si>
    <t xml:space="preserve">CHP</t>
  </si>
  <si>
    <t xml:space="preserve">CI</t>
  </si>
  <si>
    <t xml:space="preserve">CURIE</t>
  </si>
  <si>
    <t xml:space="preserve">CIL</t>
  </si>
  <si>
    <t xml:space="preserve">CILINDRO</t>
  </si>
  <si>
    <t xml:space="preserve">CIN</t>
  </si>
  <si>
    <t xml:space="preserve">CINQUENTA</t>
  </si>
  <si>
    <t xml:space="preserve">CJ</t>
  </si>
  <si>
    <t xml:space="preserve">CONJUNTO</t>
  </si>
  <si>
    <t xml:space="preserve">CL</t>
  </si>
  <si>
    <t xml:space="preserve">CENTILITRO</t>
  </si>
  <si>
    <t xml:space="preserve">CM</t>
  </si>
  <si>
    <t xml:space="preserve">CENTÍMETRO</t>
  </si>
  <si>
    <t xml:space="preserve">CM/POL</t>
  </si>
  <si>
    <t xml:space="preserve">CENTÍMETRO/POLEGADA</t>
  </si>
  <si>
    <t xml:space="preserve">CM2</t>
  </si>
  <si>
    <t xml:space="preserve">CENTIMETRO QUADRADO</t>
  </si>
  <si>
    <t xml:space="preserve">CM2/H</t>
  </si>
  <si>
    <t xml:space="preserve">CENT.QUAD/HORA</t>
  </si>
  <si>
    <t xml:space="preserve">CM2/M</t>
  </si>
  <si>
    <t xml:space="preserve">CENT.QUADRADO/METRO</t>
  </si>
  <si>
    <t xml:space="preserve">CM3</t>
  </si>
  <si>
    <t xml:space="preserve">CENTÍMETRO CÚBICO</t>
  </si>
  <si>
    <t xml:space="preserve">CM³/H</t>
  </si>
  <si>
    <t xml:space="preserve">CENT.CÚBICO POR HORA</t>
  </si>
  <si>
    <t xml:space="preserve">CM³/MIN</t>
  </si>
  <si>
    <t xml:space="preserve">CM³/MINUTO</t>
  </si>
  <si>
    <t xml:space="preserve">CNT</t>
  </si>
  <si>
    <t xml:space="preserve">RECIPIENTE</t>
  </si>
  <si>
    <t xml:space="preserve">CO</t>
  </si>
  <si>
    <t xml:space="preserve">CONTEINER</t>
  </si>
  <si>
    <t xml:space="preserve">COL</t>
  </si>
  <si>
    <t xml:space="preserve">COLEÇÃO</t>
  </si>
  <si>
    <t xml:space="preserve">COMP</t>
  </si>
  <si>
    <t xml:space="preserve">COMPRIMENTO</t>
  </si>
  <si>
    <t xml:space="preserve">COMPR</t>
  </si>
  <si>
    <t xml:space="preserve">COMPRIMIDO</t>
  </si>
  <si>
    <t xml:space="preserve">CÓPIA</t>
  </si>
  <si>
    <t xml:space="preserve">COPO</t>
  </si>
  <si>
    <t xml:space="preserve">CP</t>
  </si>
  <si>
    <t xml:space="preserve">CENTIPOISE</t>
  </si>
  <si>
    <t xml:space="preserve">CPL</t>
  </si>
  <si>
    <t xml:space="preserve">CARACTERES POR LINHA</t>
  </si>
  <si>
    <t xml:space="preserve">CPM</t>
  </si>
  <si>
    <t xml:space="preserve">CÓPIA POR MINUTO</t>
  </si>
  <si>
    <t xml:space="preserve">CPS</t>
  </si>
  <si>
    <t xml:space="preserve">CARACTER POR SEGUNDO</t>
  </si>
  <si>
    <t xml:space="preserve">CRT</t>
  </si>
  <si>
    <t xml:space="preserve">CARRETEL</t>
  </si>
  <si>
    <t xml:space="preserve">CS</t>
  </si>
  <si>
    <t xml:space="preserve">GRADEADO DE JAULA</t>
  </si>
  <si>
    <t xml:space="preserve">CST</t>
  </si>
  <si>
    <t xml:space="preserve">CENTISTOCKS</t>
  </si>
  <si>
    <t xml:space="preserve">CT</t>
  </si>
  <si>
    <t xml:space="preserve">CARTAO</t>
  </si>
  <si>
    <t xml:space="preserve">CTE</t>
  </si>
  <si>
    <t xml:space="preserve">CARTELA</t>
  </si>
  <si>
    <t xml:space="preserve">CV</t>
  </si>
  <si>
    <t xml:space="preserve">CAVALO VAPOR</t>
  </si>
  <si>
    <t xml:space="preserve">CX</t>
  </si>
  <si>
    <t xml:space="preserve">CAIXA</t>
  </si>
  <si>
    <t xml:space="preserve">CX100UN</t>
  </si>
  <si>
    <t xml:space="preserve">CAIXA COM 100 UNIDADES</t>
  </si>
  <si>
    <t xml:space="preserve">CX40UN</t>
  </si>
  <si>
    <t xml:space="preserve">CAIXA COM 40 UNIDADES</t>
  </si>
  <si>
    <t xml:space="preserve">D</t>
  </si>
  <si>
    <t xml:space="preserve">DIA</t>
  </si>
  <si>
    <t xml:space="preserve">DAG</t>
  </si>
  <si>
    <t xml:space="preserve">DECAGRAMA</t>
  </si>
  <si>
    <t xml:space="preserve">DAL</t>
  </si>
  <si>
    <t xml:space="preserve">DECALITRO</t>
  </si>
  <si>
    <t xml:space="preserve">DAM</t>
  </si>
  <si>
    <t xml:space="preserve">DECAMETRO</t>
  </si>
  <si>
    <t xml:space="preserve">DAN</t>
  </si>
  <si>
    <t xml:space="preserve">DECANEWTON</t>
  </si>
  <si>
    <t xml:space="preserve">DB</t>
  </si>
  <si>
    <t xml:space="preserve">DECIBEL</t>
  </si>
  <si>
    <t xml:space="preserve">DBM</t>
  </si>
  <si>
    <t xml:space="preserve">DECIBEL MILIWATT</t>
  </si>
  <si>
    <t xml:space="preserve">DG</t>
  </si>
  <si>
    <t xml:space="preserve">DECIGRAMA</t>
  </si>
  <si>
    <t xml:space="preserve">DGT</t>
  </si>
  <si>
    <t xml:space="preserve">DÍGITO</t>
  </si>
  <si>
    <t xml:space="preserve">DIAS</t>
  </si>
  <si>
    <t xml:space="preserve">DISCO</t>
  </si>
  <si>
    <t xml:space="preserve">DL</t>
  </si>
  <si>
    <t xml:space="preserve">DM</t>
  </si>
  <si>
    <t xml:space="preserve">DECIMETRO</t>
  </si>
  <si>
    <t xml:space="preserve">DM2</t>
  </si>
  <si>
    <t xml:space="preserve">DECIMETRO QUADRADO</t>
  </si>
  <si>
    <t xml:space="preserve">DM3</t>
  </si>
  <si>
    <t xml:space="preserve">DECIMETRO CUBICO</t>
  </si>
  <si>
    <t xml:space="preserve">DOSES</t>
  </si>
  <si>
    <t xml:space="preserve">DPI</t>
  </si>
  <si>
    <t xml:space="preserve">PONTOS DE DEFINIÇÃO</t>
  </si>
  <si>
    <t xml:space="preserve">DPT</t>
  </si>
  <si>
    <t xml:space="preserve">DIOPTRIA</t>
  </si>
  <si>
    <t xml:space="preserve">DRAG</t>
  </si>
  <si>
    <t xml:space="preserve">DRÁGEA</t>
  </si>
  <si>
    <t xml:space="preserve">DZ</t>
  </si>
  <si>
    <t xml:space="preserve">DUZIA</t>
  </si>
  <si>
    <t xml:space="preserve">EMB</t>
  </si>
  <si>
    <t xml:space="preserve">EMBALAGEM</t>
  </si>
  <si>
    <t xml:space="preserve">EMB/H</t>
  </si>
  <si>
    <t xml:space="preserve">EMBALAGEM POR HORA</t>
  </si>
  <si>
    <t xml:space="preserve">EMP</t>
  </si>
  <si>
    <t xml:space="preserve">EMPLASTRO</t>
  </si>
  <si>
    <t xml:space="preserve">ENV</t>
  </si>
  <si>
    <t xml:space="preserve">ENVELOPE</t>
  </si>
  <si>
    <t xml:space="preserve">ENV27/9G</t>
  </si>
  <si>
    <t xml:space="preserve">ENVELOPE COM 27,9 g</t>
  </si>
  <si>
    <t xml:space="preserve">ENV30G</t>
  </si>
  <si>
    <t xml:space="preserve">ENVELOPE COM 30 g</t>
  </si>
  <si>
    <t xml:space="preserve">EQP</t>
  </si>
  <si>
    <t xml:space="preserve">EQUIPAMENTO</t>
  </si>
  <si>
    <t xml:space="preserve">EST</t>
  </si>
  <si>
    <t xml:space="preserve">ESTUDANTE</t>
  </si>
  <si>
    <t xml:space="preserve">EV</t>
  </si>
  <si>
    <t xml:space="preserve">ELÉTRON-VOLT</t>
  </si>
  <si>
    <t xml:space="preserve">F</t>
  </si>
  <si>
    <t xml:space="preserve">FARAD</t>
  </si>
  <si>
    <t xml:space="preserve">FCK</t>
  </si>
  <si>
    <t xml:space="preserve">FD</t>
  </si>
  <si>
    <t xml:space="preserve">FARDO</t>
  </si>
  <si>
    <t xml:space="preserve">FL</t>
  </si>
  <si>
    <t xml:space="preserve">FOLHA</t>
  </si>
  <si>
    <t xml:space="preserve">FLAC</t>
  </si>
  <si>
    <t xml:space="preserve">FLACONETE</t>
  </si>
  <si>
    <t xml:space="preserve">FLS/H</t>
  </si>
  <si>
    <t xml:space="preserve">FOLHAS POR HORA</t>
  </si>
  <si>
    <t xml:space="preserve">FPM</t>
  </si>
  <si>
    <t xml:space="preserve">FLASH POR MINUTO</t>
  </si>
  <si>
    <t xml:space="preserve">FPS</t>
  </si>
  <si>
    <t xml:space="preserve">FOTOS P/SEGUNDO</t>
  </si>
  <si>
    <t xml:space="preserve">FR</t>
  </si>
  <si>
    <t xml:space="preserve">FRASCO</t>
  </si>
  <si>
    <t xml:space="preserve">FR1000ML</t>
  </si>
  <si>
    <t xml:space="preserve">FRASCO COM 1000 mL</t>
  </si>
  <si>
    <t xml:space="preserve">FR100DS</t>
  </si>
  <si>
    <t xml:space="preserve">FRASCO COM 100 DOSES</t>
  </si>
  <si>
    <t xml:space="preserve">FR100ML</t>
  </si>
  <si>
    <t xml:space="preserve">FRASCO COM 100 mL</t>
  </si>
  <si>
    <t xml:space="preserve">FR105ML</t>
  </si>
  <si>
    <t xml:space="preserve">FRASCO COM 105 mL</t>
  </si>
  <si>
    <t xml:space="preserve">FR10ML</t>
  </si>
  <si>
    <t xml:space="preserve">FRASCO COM 10 mL</t>
  </si>
  <si>
    <t xml:space="preserve">FR110ML</t>
  </si>
  <si>
    <t xml:space="preserve">FRASCO COM 110 mL</t>
  </si>
  <si>
    <t xml:space="preserve">FR1200MG</t>
  </si>
  <si>
    <t xml:space="preserve">FRASCO COM 1200 MG</t>
  </si>
  <si>
    <t xml:space="preserve">FR120DS</t>
  </si>
  <si>
    <t xml:space="preserve">FRASCO COM 120 DOSES</t>
  </si>
  <si>
    <t xml:space="preserve">FR120ML</t>
  </si>
  <si>
    <t xml:space="preserve">FRASCO COM 120 mL</t>
  </si>
  <si>
    <t xml:space="preserve">FR125ML</t>
  </si>
  <si>
    <t xml:space="preserve">FRASCO COM 125 mL</t>
  </si>
  <si>
    <t xml:space="preserve">FR130DS</t>
  </si>
  <si>
    <t xml:space="preserve">FRASCO COM 130 DOSES</t>
  </si>
  <si>
    <t xml:space="preserve">FR1500MG</t>
  </si>
  <si>
    <t xml:space="preserve">FRASCO COM 1500 MG</t>
  </si>
  <si>
    <t xml:space="preserve">FR150DS</t>
  </si>
  <si>
    <t xml:space="preserve">FRASCO COM 150 DOSES</t>
  </si>
  <si>
    <t xml:space="preserve">FR150ML</t>
  </si>
  <si>
    <t xml:space="preserve">FRASCO COM 150 mL</t>
  </si>
  <si>
    <t xml:space="preserve">FR15ML</t>
  </si>
  <si>
    <t xml:space="preserve">FRASCO COM 15 mL</t>
  </si>
  <si>
    <t xml:space="preserve">FR160ML</t>
  </si>
  <si>
    <t xml:space="preserve">FRASCO COM 160 mL</t>
  </si>
  <si>
    <t xml:space="preserve">FR200DS</t>
  </si>
  <si>
    <t xml:space="preserve">FRASCO COM 200 DOSES</t>
  </si>
  <si>
    <t xml:space="preserve">FR200ML</t>
  </si>
  <si>
    <t xml:space="preserve">FRASCO COM 200 mL</t>
  </si>
  <si>
    <t xml:space="preserve">FR20ML</t>
  </si>
  <si>
    <t xml:space="preserve">FRASCO COM 20 mL</t>
  </si>
  <si>
    <t xml:space="preserve">FR240ML</t>
  </si>
  <si>
    <t xml:space="preserve">FRASCO COM 240 mL</t>
  </si>
  <si>
    <t xml:space="preserve">FR250ML</t>
  </si>
  <si>
    <t xml:space="preserve">FRASCO COM 250 mL</t>
  </si>
  <si>
    <t xml:space="preserve">FR300DS</t>
  </si>
  <si>
    <t xml:space="preserve">FRASCO COM 300 DOSES</t>
  </si>
  <si>
    <t xml:space="preserve">FR300ML</t>
  </si>
  <si>
    <t xml:space="preserve">FRASCO COM 300 mL</t>
  </si>
  <si>
    <t xml:space="preserve">FR30DS</t>
  </si>
  <si>
    <t xml:space="preserve">FRASCO COM 30 DOSES</t>
  </si>
  <si>
    <t xml:space="preserve">FR30G</t>
  </si>
  <si>
    <t xml:space="preserve">FRASCO COM 30 g</t>
  </si>
  <si>
    <t xml:space="preserve">FR30ML</t>
  </si>
  <si>
    <t xml:space="preserve">FRASCO COM 30 mL</t>
  </si>
  <si>
    <t xml:space="preserve">FR340ML</t>
  </si>
  <si>
    <t xml:space="preserve">FRASCO COM 340 mL</t>
  </si>
  <si>
    <t xml:space="preserve">FR350ML</t>
  </si>
  <si>
    <t xml:space="preserve">FRASCO COM 350 mL</t>
  </si>
  <si>
    <t xml:space="preserve">FR40ML</t>
  </si>
  <si>
    <t xml:space="preserve">FRASCO COM 40 mL</t>
  </si>
  <si>
    <t xml:space="preserve">FR45ML</t>
  </si>
  <si>
    <t xml:space="preserve">FRASCO COM 45 mL</t>
  </si>
  <si>
    <t xml:space="preserve">FR500ML</t>
  </si>
  <si>
    <t xml:space="preserve">FRASCO COM 500 mL</t>
  </si>
  <si>
    <t xml:space="preserve">H</t>
  </si>
  <si>
    <t xml:space="preserve">HORA</t>
  </si>
  <si>
    <t xml:space="preserve">KG</t>
  </si>
  <si>
    <t xml:space="preserve">QUILOGRAMA</t>
  </si>
  <si>
    <t xml:space="preserve">KM</t>
  </si>
  <si>
    <t xml:space="preserve">QUILOMETRO</t>
  </si>
  <si>
    <t xml:space="preserve">M</t>
  </si>
  <si>
    <t xml:space="preserve">METRO</t>
  </si>
  <si>
    <t xml:space="preserve">M2</t>
  </si>
  <si>
    <t xml:space="preserve">METRO QUADRADO</t>
  </si>
  <si>
    <t xml:space="preserve">M3</t>
  </si>
  <si>
    <t xml:space="preserve">METRO CÚBICO</t>
  </si>
  <si>
    <t xml:space="preserve">M3XKM</t>
  </si>
  <si>
    <t xml:space="preserve">MES</t>
  </si>
  <si>
    <t xml:space="preserve">MÊS</t>
  </si>
  <si>
    <t xml:space="preserve">MÊS/MESES</t>
  </si>
  <si>
    <t xml:space="preserve">MESES</t>
  </si>
  <si>
    <t xml:space="preserve">OUTRAS</t>
  </si>
  <si>
    <t xml:space="preserve">PAR</t>
  </si>
  <si>
    <t xml:space="preserve">PC</t>
  </si>
  <si>
    <t xml:space="preserve">PEÇA</t>
  </si>
  <si>
    <t xml:space="preserve">T</t>
  </si>
  <si>
    <t xml:space="preserve">TONELADA</t>
  </si>
  <si>
    <t xml:space="preserve">TXKM</t>
  </si>
  <si>
    <t xml:space="preserve">UN</t>
  </si>
  <si>
    <t xml:space="preserve">UNIDADE</t>
  </si>
  <si>
    <t xml:space="preserve">MIN</t>
  </si>
  <si>
    <t xml:space="preserve">MED</t>
  </si>
  <si>
    <t xml:space="preserve">MAX</t>
  </si>
  <si>
    <t xml:space="preserve">Grau de Sigilo</t>
  </si>
  <si>
    <t xml:space="preserve">Construção e Reforma de Edifícios</t>
  </si>
  <si>
    <t xml:space="preserve">AC</t>
  </si>
  <si>
    <t xml:space="preserve">#PUBLICO</t>
  </si>
  <si>
    <t xml:space="preserve">SG</t>
  </si>
  <si>
    <t xml:space="preserve">R</t>
  </si>
  <si>
    <t xml:space="preserve">Nº OPERAÇÃO</t>
  </si>
  <si>
    <t xml:space="preserve">Nº TRANSFEREGOV</t>
  </si>
  <si>
    <t xml:space="preserve">PROPONENTE / TOMADOR</t>
  </si>
  <si>
    <t xml:space="preserve">DF</t>
  </si>
  <si>
    <t xml:space="preserve">L</t>
  </si>
  <si>
    <t xml:space="preserve">FILTRO</t>
  </si>
  <si>
    <t xml:space="preserve">BDI PAD</t>
  </si>
  <si>
    <t xml:space="preserve">APELIDO DO EMPREENDIMENTO / DESCRIÇÃO DO LOTE</t>
  </si>
  <si>
    <t xml:space="preserve">Construção de Praças Urbanas, Rodovias, Ferrovias e recapeamento e pavimentação de vias urbanas</t>
  </si>
  <si>
    <t xml:space="preserve">Conforme legislação tributária municipal, definir estimativa de percentual da base de cálculo para o ISS:</t>
  </si>
  <si>
    <t xml:space="preserve">↓</t>
  </si>
  <si>
    <t xml:space="preserve">Sobre a base de cálculo, definir a respectiva alíquota do ISS (entre 2% e 5%):</t>
  </si>
  <si>
    <t xml:space="preserve">Construção de Redes de Abastecimento de Água, Coleta de Esgoto</t>
  </si>
  <si>
    <t xml:space="preserve">BDI 1</t>
  </si>
  <si>
    <t xml:space="preserve">TIPO DE OBRA</t>
  </si>
  <si>
    <t xml:space="preserve">Itens</t>
  </si>
  <si>
    <t xml:space="preserve">Siglas</t>
  </si>
  <si>
    <t xml:space="preserve">% Adotado</t>
  </si>
  <si>
    <t xml:space="preserve">Situação</t>
  </si>
  <si>
    <t xml:space="preserve">1º Quartil</t>
  </si>
  <si>
    <t xml:space="preserve">Médio</t>
  </si>
  <si>
    <t xml:space="preserve">3º Quartil</t>
  </si>
  <si>
    <t xml:space="preserve">Construção e Manutenção de Estações e Redes de Distribuição de Energia Elétrica</t>
  </si>
  <si>
    <t xml:space="preserve">Risco</t>
  </si>
  <si>
    <t xml:space="preserve">Despesas Financeiras</t>
  </si>
  <si>
    <t xml:space="preserve">Obras Portuárias, Marítimas e Fluviais</t>
  </si>
  <si>
    <t xml:space="preserve">Tributos (impostos COFINS 3%, e  PIS 0,65%)</t>
  </si>
  <si>
    <t xml:space="preserve">Tributos (ISS, variável de acordo com o município)</t>
  </si>
  <si>
    <t xml:space="preserve">ISS</t>
  </si>
  <si>
    <t xml:space="preserve">Tributos (Contribuição Previdenciária sobre a Receita Bruta - Lei 12.546 de 14/12/2011 - Desoneração)</t>
  </si>
  <si>
    <t xml:space="preserve">CPRB</t>
  </si>
  <si>
    <t xml:space="preserve">BDI SEM desoneração (Fórmula Acórdão TCU)</t>
  </si>
  <si>
    <t xml:space="preserve">BDI COM desoneração</t>
  </si>
  <si>
    <t xml:space="preserve">BDI DES</t>
  </si>
  <si>
    <t xml:space="preserve">Fornecimento de Materiais e Equipamentos (aquisição indireta - em conjunto com licitação de obras)</t>
  </si>
  <si>
    <t xml:space="preserve">Os valores de BDI foram calculados com o emprego da fórmula:</t>
  </si>
  <si>
    <t xml:space="preserve">BDI =</t>
  </si>
  <si>
    <t xml:space="preserve"> - 1</t>
  </si>
  <si>
    <t xml:space="preserve">(1-CP-ISS-CRPB)</t>
  </si>
  <si>
    <t xml:space="preserve">Fornecimento de Materiais e Equipamentos (aquisição direta)</t>
  </si>
  <si>
    <t xml:space="preserve">-</t>
  </si>
  <si>
    <t xml:space="preserve">Observações:</t>
  </si>
  <si>
    <t xml:space="preserve">Estudos e Projetos, Planos e Gerenciamento e outros correlatos</t>
  </si>
  <si>
    <t xml:space="preserve">K1</t>
  </si>
  <si>
    <t xml:space="preserve">K2</t>
  </si>
  <si>
    <t xml:space="preserve">Local</t>
  </si>
  <si>
    <t xml:space="preserve">Data</t>
  </si>
  <si>
    <t xml:space="preserve">K3</t>
  </si>
  <si>
    <t xml:space="preserve">Responsável Técnico</t>
  </si>
  <si>
    <t xml:space="preserve">BDI 2</t>
  </si>
  <si>
    <t xml:space="preserve">(SELECIONAR)</t>
  </si>
  <si>
    <t xml:space="preserve">BDI 3</t>
  </si>
  <si>
    <t xml:space="preserve">PO - PLANILHA ORÇAMENTÁRIA</t>
  </si>
  <si>
    <t xml:space="preserve">LOTE</t>
  </si>
  <si>
    <t xml:space="preserve">Meta</t>
  </si>
  <si>
    <t xml:space="preserve">Nível 2</t>
  </si>
  <si>
    <t xml:space="preserve">Nível 3</t>
  </si>
  <si>
    <t xml:space="preserve">Nível 4</t>
  </si>
  <si>
    <t xml:space="preserve">Serviço</t>
  </si>
  <si>
    <t xml:space="preserve">Nmax</t>
  </si>
  <si>
    <t xml:space="preserve">Nº TransfereGOV</t>
  </si>
  <si>
    <t xml:space="preserve">APELIDO DO EMPREENDIMENTO</t>
  </si>
  <si>
    <t xml:space="preserve">Arredondamento</t>
  </si>
  <si>
    <t xml:space="preserve">LOCALIDADE SINAPI</t>
  </si>
  <si>
    <t xml:space="preserve">DATA BASE</t>
  </si>
  <si>
    <t xml:space="preserve">Quantidade</t>
  </si>
  <si>
    <t xml:space="preserve">QUANTIDADES: ACOMP. POR BM</t>
  </si>
  <si>
    <t xml:space="preserve">PREÇO UNITÁRIO LICITADO</t>
  </si>
  <si>
    <t xml:space="preserve">RECURSO</t>
  </si>
  <si>
    <t xml:space="preserve">SGL RECURSO</t>
  </si>
  <si>
    <t xml:space="preserve">Custo Unitáro</t>
  </si>
  <si>
    <t xml:space="preserve">ERRO GERAL</t>
  </si>
  <si>
    <t xml:space="preserve">Preço Unitário</t>
  </si>
  <si>
    <t xml:space="preserve">Preço Total</t>
  </si>
  <si>
    <t xml:space="preserve">Valores não Arredondados</t>
  </si>
  <si>
    <t xml:space="preserve">Nível E</t>
  </si>
  <si>
    <t xml:space="preserve">Save Nivel</t>
  </si>
  <si>
    <t xml:space="preserve">Nível C</t>
  </si>
  <si>
    <t xml:space="preserve">Altura</t>
  </si>
  <si>
    <t xml:space="preserve">n1</t>
  </si>
  <si>
    <t xml:space="preserve">n2</t>
  </si>
  <si>
    <t xml:space="preserve">n3</t>
  </si>
  <si>
    <t xml:space="preserve">n4</t>
  </si>
  <si>
    <t xml:space="preserve">n5</t>
  </si>
  <si>
    <t xml:space="preserve">Czero</t>
  </si>
  <si>
    <t xml:space="preserve">Cnível</t>
  </si>
  <si>
    <t xml:space="preserve">Nível</t>
  </si>
  <si>
    <t xml:space="preserve">Nível Corrigido</t>
  </si>
  <si>
    <t xml:space="preserve">Item</t>
  </si>
  <si>
    <t xml:space="preserve">Fonte</t>
  </si>
  <si>
    <t xml:space="preserve">Código</t>
  </si>
  <si>
    <t xml:space="preserve">Unidade</t>
  </si>
  <si>
    <t xml:space="preserve">Preço Unitário (com BDI) (R$)</t>
  </si>
  <si>
    <t xml:space="preserve">Preço Total
(R$)</t>
  </si>
  <si>
    <t xml:space="preserve">Contrapartida (R$)</t>
  </si>
  <si>
    <t xml:space="preserve">Outros (R$)</t>
  </si>
  <si>
    <t xml:space="preserve">Erro de Dados</t>
  </si>
  <si>
    <t xml:space="preserve">Lista Crono</t>
  </si>
  <si>
    <t xml:space="preserve">Concatenação Fonte-Código</t>
  </si>
  <si>
    <t xml:space="preserve">BancoDesloc</t>
  </si>
  <si>
    <t xml:space="preserve">Custo Unitário Referência (R$)</t>
  </si>
  <si>
    <t xml:space="preserve">Preço Total
Licit. (R$)</t>
  </si>
  <si>
    <t xml:space="preserve">Preço Unitário Edital (R$)</t>
  </si>
  <si>
    <t xml:space="preserve">SINAPI</t>
  </si>
  <si>
    <t xml:space="preserve">RA</t>
  </si>
  <si>
    <t xml:space="preserve"> </t>
  </si>
  <si>
    <t xml:space="preserve">CONSTRUÇÃO DE CASAS POPULARES</t>
  </si>
  <si>
    <t xml:space="preserve">SERVIÇOS PRELIMINARES</t>
  </si>
  <si>
    <t xml:space="preserve">103689</t>
  </si>
  <si>
    <t xml:space="preserve">FORNECIMENTO E INSTALAÇÃO DE PLACA DE OBRA COM CHAPA GALVANIZADA E ESTRUTURA DE MADEIRA. AF_03/2022_PS </t>
  </si>
  <si>
    <t xml:space="preserve">99059</t>
  </si>
  <si>
    <t xml:space="preserve">LOCAÇÃO CONVENCIONAL DE OBRA, UTILIZANDO GABARITO DE TÁBUAS CORRIDAS PONTALETADAS A CADA 2,00M - 2 UTILIZAÇÕES. AF_03/2024</t>
  </si>
  <si>
    <t xml:space="preserve">SICRO</t>
  </si>
  <si>
    <t xml:space="preserve">ED-50150</t>
  </si>
  <si>
    <t xml:space="preserve">LIGAÇÃO DE ÁGUA PROVISÓRIA PARA CANTEIRO, INCLUSIVE
HIDRÔMETRO E CAVALETE PARA MEDIÇÃO DE ÁGUA - ENTRADA
PRINCIPAL,EM AÇO GALVANIZADO DN 20MM (1/2") - PADRÃO
CONCESSIONÁRIA</t>
  </si>
  <si>
    <t xml:space="preserve">ED-50151</t>
  </si>
  <si>
    <t xml:space="preserve">LIGAÇÃO PROVISÓRIA COM ENTRADA DE ENERGIA AÉREA,
PADRÃO CEMIG, CARGA INSTALADA DE 15,1KVA ATÉ 30KVA,
TRIFÁSICO, COM SAÍDA SUBTERRÂNEA, INCLUSIVE POSTE, CAIXA
PARA MEDIDOR, DISJUNTOR, BARRAMENTO, ATERRAMENTO E
ACESSÓRIOS</t>
  </si>
  <si>
    <t xml:space="preserve">98525</t>
  </si>
  <si>
    <t xml:space="preserve">LIMPEZA MECANIZADA DE CAMADA VEGETAL, VEGETAÇÃO E PEQUENAS ÁRVORES DIÂMETRO DE TRONCO MENOR QUE 0,20 M), COM TRATOR DE ESTEIRAS. AF_03/2024</t>
  </si>
  <si>
    <t xml:space="preserve">ADMINISRAÇÃO LOCAL</t>
  </si>
  <si>
    <t xml:space="preserve">90778</t>
  </si>
  <si>
    <t xml:space="preserve">ENGENHEIRO CIVIL DE OBRA PLENO COM ENCARGOS COMPLEMENTARES </t>
  </si>
  <si>
    <t xml:space="preserve">90776</t>
  </si>
  <si>
    <t xml:space="preserve">ENCARREGADO GERAL COM ENCARGOS COMPLEMENTARES</t>
  </si>
  <si>
    <t xml:space="preserve">90780</t>
  </si>
  <si>
    <t xml:space="preserve">MESTRE DE OBRAS COM ENCARGOS COMPLEMENTARES</t>
  </si>
  <si>
    <t xml:space="preserve">104916</t>
  </si>
  <si>
    <t xml:space="preserve">ARMAÇÃO DE SAPATA ISOLADA, VIGA BALDRAME E SAPATA CORRIDA UTILIZANDO AÇO CA-60 DE 5 MM -MONTAGEM. AF_01/2024</t>
  </si>
  <si>
    <t xml:space="preserve">104918</t>
  </si>
  <si>
    <t xml:space="preserve">ARMAÇÃO DE SAPATA ISOLADA, VIGA BALDRAME E SAPATA CORRIDA UTILIZANDO AÇO CA-50 DE 8 MM -MONTAGEM. AF_01/2024</t>
  </si>
  <si>
    <t xml:space="preserve">104919</t>
  </si>
  <si>
    <t xml:space="preserve">ARMAÇÃO DE SAPATA ISOLADA, VIGA BALDRAME E SAPATA CORRIDA UTILIZANDO AÇO CA-50 DE 10 MM -
MONTAGEM. AF_01/2024</t>
  </si>
  <si>
    <t xml:space="preserve">96558</t>
  </si>
  <si>
    <t xml:space="preserve">CONCRETAGEM DE SAPATA, FCK 30 MPA, COM USO DE BOMBA - LANÇAMENTO, ADENSAMENTO E ACABAMENTO.
AF_01/2024</t>
  </si>
  <si>
    <t xml:space="preserve">96527</t>
  </si>
  <si>
    <t xml:space="preserve">96619</t>
  </si>
  <si>
    <t xml:space="preserve">LASTRO DE CONCRETO MAGRO, APLICADO EM BLOCOS DE COROAMENTO OU SAPATAS, ESPESSURA DE 5 CM.AF_01/2024</t>
  </si>
  <si>
    <t xml:space="preserve">ARMAÇÃO DE SAPATA ISOLADA, VIGA BALDRAME E SAPATA CORRIDA UTILIZANDO AÇO CA-50 DE 10 MM -MONTAGEM. AF_01/2024</t>
  </si>
  <si>
    <t xml:space="preserve">ED-8471</t>
  </si>
  <si>
    <t xml:space="preserve">IMPERMEABILIZAÇÃO DE SUPERFÍCIE COM EMULSÃO ASFÁLTICA, 2 DEMÃOS. AF_09/2023</t>
  </si>
  <si>
    <t xml:space="preserve">92759</t>
  </si>
  <si>
    <t xml:space="preserve">ARMAÇÃO DE PILAR OU VIGA DE ESTRUTURA CONVENCIONAL DE CONCRETO ARMADO UTILIZANDO AÇO CA-60
DE 5,0 MM - MONTAGEM. AF_06/2022</t>
  </si>
  <si>
    <t xml:space="preserve">92762</t>
  </si>
  <si>
    <t xml:space="preserve">ARMAÇÃO DE PILAR OU VIGA DE ESTRUTURA CONVENCIONAL DE CONCRETO ARMADO UTILIZANDO AÇO CA-50
DE 10,0 MM - MONTAGEM. AF_06/2022</t>
  </si>
  <si>
    <t xml:space="preserve">ED-50252</t>
  </si>
  <si>
    <t xml:space="preserve">ED-19637</t>
  </si>
  <si>
    <t xml:space="preserve">PAREDES E PAINÉIS</t>
  </si>
  <si>
    <t xml:space="preserve">ALVENARIA DE VEDAÇÃO DE BLOCOS CERÂMICOS FURADOS NA HORIZONTAL DE 9X19X19 CM (ESPESSURA 9 CM)
E ARGAMASSA DE ASSENTAMENTO COM PREPARO EM BETONEIRA. AF_12/2021</t>
  </si>
  <si>
    <t xml:space="preserve">ED-9903</t>
  </si>
  <si>
    <t xml:space="preserve">94570</t>
  </si>
  <si>
    <t xml:space="preserve">JANELA DE ALUMÍNIO DE CORRER COM 2 FOLHAS PARA VIDROS (VIDROS INCLUSOS), BATENTE/ REQUADRO 6 A 14
CM, ACABAMENTO COM ACETATO OU BRILHANTE, FIXAÇÃO COM PARAFUSO, SEM GUARNIÇÃO/ ALIZAR,
DIMENSÕES 100X120 CM, VEDAÇÃO COM SILICONE, EXCLUSIVE CONTRAMARCO - FORNECIMENTO E
INSTALAÇÃO. AF_11/2024</t>
  </si>
  <si>
    <t xml:space="preserve">ED-29481</t>
  </si>
  <si>
    <t xml:space="preserve">KIT DE PORTA DE MADEIRA PARA PINTURA, SEMI-OCA (LEVE OU MÉDIA), PADRÃO POPULAR, 80X210CM, ESPESSURA
DE 3,5CM, ITENS INCLUSOS: DOBRADIÇAS, MONTAGEM E INSTALAÇÃO DO BATENTE, FECHADURA COM EXECUÇÃO
DO FURO - FORNECIMENTO E INSTALAÇÃO. AF_12/2019</t>
  </si>
  <si>
    <t xml:space="preserve">UM</t>
  </si>
  <si>
    <t xml:space="preserve">ED-50732</t>
  </si>
  <si>
    <t xml:space="preserve">TRAMA DE MADEIRA COMPOSTA POR TERÇAS PARA TELHADOS DE ATÉ 2 ÁGUAS PARATELHA ONDULADA DE FIBROCIMENTO, METÁLICA, PLÁSTICA OU TERMOACÚSTICA,</t>
  </si>
  <si>
    <t xml:space="preserve">TELHAMENTO COM TELHA DE AÇO/ALUMÍNIO E = 0,5 MM, COM ATÉ 2 ÁGUAS, INCLUSO IÇAMENTO. AF_07/2019</t>
  </si>
  <si>
    <t xml:space="preserve">CALHA EM CHAPA DE AÇO GALVANIZADO NÚMERO 24, DESENVOLVIMENTO DE 33 CM, INCLUSO TRANSPORTE VERTICAL. </t>
  </si>
  <si>
    <t xml:space="preserve">RUFO EXTERNO/INTERNO EM CHAPA DE AÇO GALVANIZADO NÚMERO 26, CORTE DE 33 CM, INCLUSO IÇAMENTO.  </t>
  </si>
  <si>
    <t xml:space="preserve">CHAPIM (RUFO CAPA) EM AÇO GALVANIZADO, CORTE 33</t>
  </si>
  <si>
    <t xml:space="preserve">ED-50668</t>
  </si>
  <si>
    <t xml:space="preserve">CONDUTOR CIRCULAR DE ÁGUA PLUVIAL PARA DO TELHADO EM
TUBO DE PVC, DIÂMETRO DE 100MM, INCLUSIVE CONEXÕES E
SUPORTES</t>
  </si>
  <si>
    <t xml:space="preserve">ED-50223</t>
  </si>
  <si>
    <t xml:space="preserve">ED-50224</t>
  </si>
  <si>
    <t xml:space="preserve">ED-50761</t>
  </si>
  <si>
    <t xml:space="preserve">ED-17905</t>
  </si>
  <si>
    <t xml:space="preserve">88415</t>
  </si>
  <si>
    <t xml:space="preserve">ED-29484</t>
  </si>
  <si>
    <t xml:space="preserve">87257</t>
  </si>
  <si>
    <t xml:space="preserve">ED-50266</t>
  </si>
  <si>
    <t xml:space="preserve">93653</t>
  </si>
  <si>
    <t xml:space="preserve">93655</t>
  </si>
  <si>
    <t xml:space="preserve">DISJUNTOR MONOPOLAR TIPO DIN, CORRENTE NOMINAL DE 20A - FORNECIMENTO E INSTALAÇÃO. AF_07/2025</t>
  </si>
  <si>
    <t xml:space="preserve">93675</t>
  </si>
  <si>
    <t xml:space="preserve">DISJUNTOR BIPOLAR TIPO DR, CORRENTE NOMINAL DE 40A - FORNECIMENTO E INSTALAÇÃO. AF_07/2025</t>
  </si>
  <si>
    <t xml:space="preserve">101873_ADP-01</t>
  </si>
  <si>
    <t xml:space="preserve">LUMINÁRIA TIPO PLAFON CIRCULAR, DE SOBREPOR, COM LED DE 12/13 W - FORNECIMENTO E INSTALAÇÃO. AF_09/2024</t>
  </si>
  <si>
    <t xml:space="preserve">ED-50227</t>
  </si>
  <si>
    <t xml:space="preserve">ED-50228</t>
  </si>
  <si>
    <t xml:space="preserve">101561</t>
  </si>
  <si>
    <t xml:space="preserve">CABO DE COBRE FLEXÍVEL ISOLADO, 16 MM², 0,6/1,0 KV, PARA REDE AÉREA DE DISTRIBUIÇÃO DE ENERGIA ELÉTRICA DE BAIXA TENSÃO - FORNECIMENTO E INSTALAÇÃO. AF_07/2020</t>
  </si>
  <si>
    <t xml:space="preserve">91837</t>
  </si>
  <si>
    <t xml:space="preserve">ELETRODUTO FLEXÍVEL CORRUGADO REFORÇADO, PVC, DN 32 MM (1"), PARA CIRCUITOS TERMINAIS, INSTALADO EM FORRO - FORNECIMENTO E INSTALAÇÃO. AF_03/2023</t>
  </si>
  <si>
    <t xml:space="preserve">104994_ADP-01</t>
  </si>
  <si>
    <t xml:space="preserve">Encargos sociais:</t>
  </si>
  <si>
    <t xml:space="preserve">Para elaboração deste orçamento, foram utilizados os encargos sociais do SINAPI para a Unidade da Federação indicada.</t>
  </si>
  <si>
    <t xml:space="preserve">Siglas da Composição do Investimento: RA - Rateio proporcional entre Repasse e Contrapartida; RP - 100% Repasse; CP - 100% Contrapartida; OU - 100% Outros.</t>
  </si>
  <si>
    <t xml:space="preserve">AGRUPADORES DE EVENTOS</t>
  </si>
  <si>
    <r>
      <rPr>
        <sz val="10"/>
        <rFont val="Arial"/>
        <family val="2"/>
        <charset val="1"/>
      </rPr>
      <t xml:space="preserve">Grau de Sigilo
</t>
    </r>
    <r>
      <rPr>
        <b val="true"/>
        <sz val="10"/>
        <rFont val="Arial"/>
        <family val="2"/>
        <charset val="1"/>
      </rPr>
      <t xml:space="preserve">#PUBLICO</t>
    </r>
  </si>
  <si>
    <t xml:space="preserve">APELIDO EMPREENDIMENTO</t>
  </si>
  <si>
    <t xml:space="preserve">Automática, conforme os agrupadores Nível 2 do Orçamento</t>
  </si>
  <si>
    <t xml:space="preserve">1. Selecione abaixo a forma de definição dos agrupadores de eventos:</t>
  </si>
  <si>
    <t xml:space="preserve">Automática, conforme os agrupadores Nível 3 do Orçamento</t>
  </si>
  <si>
    <t xml:space="preserve">Automática, conforme os agrupadores Nível 4 do Orçamento</t>
  </si>
  <si>
    <t xml:space="preserve">Definir Manualmente</t>
  </si>
  <si>
    <t xml:space="preserve">Nº do Evento</t>
  </si>
  <si>
    <t xml:space="preserve">Título do Evento</t>
  </si>
  <si>
    <t xml:space="preserve">Valor Total dos Eventos (R$)</t>
  </si>
  <si>
    <t xml:space="preserve">Total:</t>
  </si>
  <si>
    <t xml:space="preserve">.</t>
  </si>
  <si>
    <t xml:space="preserve">Preços dos serviços por frente</t>
  </si>
  <si>
    <t xml:space="preserve">Mês do cronograma</t>
  </si>
  <si>
    <t xml:space="preserve">Número da Medição</t>
  </si>
  <si>
    <t xml:space="preserve">AdmLocal</t>
  </si>
  <si>
    <t xml:space="preserve">Empty</t>
  </si>
  <si>
    <t xml:space="preserve">Nº AGRUPADOR DE EVENTOS</t>
  </si>
  <si>
    <t xml:space="preserve">CASA 01</t>
  </si>
  <si>
    <t xml:space="preserve">CASA 02</t>
  </si>
  <si>
    <t xml:space="preserve">CASA 03</t>
  </si>
  <si>
    <t xml:space="preserve">CASA 04</t>
  </si>
  <si>
    <t xml:space="preserve">CASA 05</t>
  </si>
  <si>
    <t xml:space="preserve">CASA 06</t>
  </si>
  <si>
    <t xml:space="preserve">CASA 07</t>
  </si>
  <si>
    <t xml:space="preserve">CASA 08</t>
  </si>
  <si>
    <t xml:space="preserve">CASA 09</t>
  </si>
  <si>
    <t xml:space="preserve">CASA 10</t>
  </si>
  <si>
    <t xml:space="preserve">CASA 11</t>
  </si>
  <si>
    <t xml:space="preserve">CASA 12</t>
  </si>
  <si>
    <t xml:space="preserve">CASA 13</t>
  </si>
  <si>
    <t xml:space="preserve">CASA 14</t>
  </si>
  <si>
    <t xml:space="preserve">CASA 15</t>
  </si>
  <si>
    <t xml:space="preserve">CASA 16</t>
  </si>
  <si>
    <t xml:space="preserve">CASA 17</t>
  </si>
  <si>
    <t xml:space="preserve">CASA 18</t>
  </si>
  <si>
    <t xml:space="preserve">CASA 19</t>
  </si>
  <si>
    <t xml:space="preserve">CASA 20</t>
  </si>
  <si>
    <t xml:space="preserve">CASA 21</t>
  </si>
  <si>
    <t xml:space="preserve">CASA 22</t>
  </si>
  <si>
    <t xml:space="preserve">CASA 23</t>
  </si>
  <si>
    <t xml:space="preserve">CASA 24</t>
  </si>
  <si>
    <t xml:space="preserve">CASA 25</t>
  </si>
  <si>
    <t xml:space="preserve">AUTOEVENTO</t>
  </si>
  <si>
    <t xml:space="preserve">Memória de Cálculo</t>
  </si>
  <si>
    <t xml:space="preserve">Nº</t>
  </si>
  <si>
    <t xml:space="preserve"># Evento</t>
  </si>
  <si>
    <t xml:space="preserve">Agrupador de Eventos</t>
  </si>
  <si>
    <t xml:space="preserve">TOTAL FINANC. POR FRENTE (R$):</t>
  </si>
  <si>
    <t xml:space="preserve">2,00 X 3,25</t>
  </si>
  <si>
    <t xml:space="preserve">84,00 X 2 + 60,00 X 2 = 288</t>
  </si>
  <si>
    <t xml:space="preserve">01</t>
  </si>
  <si>
    <t xml:space="preserve">= 60 X 84 = 5.040,00</t>
  </si>
  <si>
    <t xml:space="preserve">50 HORAS</t>
  </si>
  <si>
    <t xml:space="preserve">125 HORAS</t>
  </si>
  <si>
    <t xml:space="preserve">15,36 X 25 UNIDADES</t>
  </si>
  <si>
    <t xml:space="preserve">7,68 X 25 UNIDADES</t>
  </si>
  <si>
    <t xml:space="preserve">0,38 X 25 UNIDADES</t>
  </si>
  <si>
    <t xml:space="preserve">23,75 X 25 UNIDADES</t>
  </si>
  <si>
    <t xml:space="preserve">20,40 KG X 25 UNIDADES</t>
  </si>
  <si>
    <t xml:space="preserve">56,20 KG X 25 UNIDADES</t>
  </si>
  <si>
    <t xml:space="preserve">75,20 KG X 25 UNIADADES</t>
  </si>
  <si>
    <t xml:space="preserve">2,28 X 25 UNIDADES =  SENDO 3 SAPATAS DE 70X60X30 =0,378M³ / 2 SAPATAS DE 80X65X30 = 0,312M³ E 7 SAPATAS DE 65X55X30 =0,75M³ DANDO UM TOTAL NAS SAPATAS DE  1,44M² / PILARES DE TRANSIÇÃO = 14X25X2 = 0,07M³ X 12 PILARES = 0,84M³ DANDO UM TOTAL DE 2,28M³</t>
  </si>
  <si>
    <t xml:space="preserve">13,08 X 25 UNIDADES</t>
  </si>
  <si>
    <t xml:space="preserve">1,83 X 25 UNIDADES</t>
  </si>
  <si>
    <t xml:space="preserve">8,2575 ( 8,26 arredondado)X 25 UNIDADES</t>
  </si>
  <si>
    <t xml:space="preserve">46,90KG X 25 UNIDADES</t>
  </si>
  <si>
    <t xml:space="preserve">144,60 KG X 25 UNIDAES</t>
  </si>
  <si>
    <t xml:space="preserve">33,54 X 25 UNIDADES = VIGAS BALDRAME = 55,90 METROS X 0,30 X 2 = 33,54M² </t>
  </si>
  <si>
    <t xml:space="preserve">33,98 X 25 UNIDADES</t>
  </si>
  <si>
    <t xml:space="preserve">87,30 KG X 25 UNIDADES</t>
  </si>
  <si>
    <t xml:space="preserve">152,00 KG X 25 UNIDADES</t>
  </si>
  <si>
    <t xml:space="preserve">4,13 X 25 UNIDADES = SEM PILARES 0,14X0,25X 3,00 = 0,105 X 12 = 1,26M³ /  VIGAS = 51,25 METROS X 0,14 X 0,40 = 2,87M³ TOTAL = 4,13M³</t>
  </si>
  <si>
    <t xml:space="preserve">64,83 X 25 UNIDADES = SEDO PILARES 0,14 X 2 + 0,25 X = 0,78 X 3,00 = 2,34 X 12 PILARES = 28,08M² /  VIGAS 45,93 METROS X 0,40 X 2 = 36,75M² TOTALIZANDO = 64,83M² </t>
  </si>
  <si>
    <t xml:space="preserve">53,86 X 25 UNIDADES</t>
  </si>
  <si>
    <t xml:space="preserve">132,29 X 25 UNIDADES = SENDO PAREDES = 2,40X5 + 2,85X2 + 3,50X4 + 1,85X2 + 1,25 + 6,70 + 0,95 = 41,90 METROS X PÉ DIREIRO DESCONTADO A VIGA = 2,60 ÁREA TOTAL DE PAREDES = 108,94M² /  PLATBANDA = 5,40X2 + 9,15 X 2 X 1,30 ALTURA DA PLATBANDA = 37,83M² TOTAL DE 146,77M² MENOS AS ABERTURAS 1,40 X1X5 + 0,80X2,10X5 + 0,80X0,60 = 14,48M² TOTAL =  146,77-14,48 = 132,29M²</t>
  </si>
  <si>
    <t xml:space="preserve">0,32 X 25 UNIDADES</t>
  </si>
  <si>
    <t xml:space="preserve">6,60 X 25 UNIDADES</t>
  </si>
  <si>
    <t xml:space="preserve">0,20 X 25 UNIDADES</t>
  </si>
  <si>
    <t xml:space="preserve">3 X 25 UNIDADES</t>
  </si>
  <si>
    <t xml:space="preserve">43,50 X 25 UNIDADES</t>
  </si>
  <si>
    <t xml:space="preserve">2 X 25 UNIDADES</t>
  </si>
  <si>
    <t xml:space="preserve">2,20 X 25 UNIDADES</t>
  </si>
  <si>
    <t xml:space="preserve">59,25 X 25 UNIDADES</t>
  </si>
  <si>
    <t xml:space="preserve">9,10 X 25 UNIDADES</t>
  </si>
  <si>
    <t xml:space="preserve">29,10 X 25 UNIDADES</t>
  </si>
  <si>
    <t xml:space="preserve">30,30 X 25 UNIDADES</t>
  </si>
  <si>
    <t xml:space="preserve">9,00 X 25 UNIDADES</t>
  </si>
  <si>
    <t xml:space="preserve">96,55 X 25 UNIDADES SENDO 2,40X4 + 3,50X4 + 6,70 + 3,70 + 2,85 X 3,00 PÉ DIREITO = 110,55 M² - ABERTURAS 0,80X2,10X 5 + 140X1,00X4 = 14,00M² TOTAL == 110,55 - 14,00 = 96,55M²</t>
  </si>
  <si>
    <t xml:space="preserve">46,56 X 25 UNIDADES</t>
  </si>
  <si>
    <t xml:space="preserve">37,81 X 25 UNIDADES SENDO PAREDES DA COZINHA = 3,00 + 2,85 X 3,00 PÉ DIREITO = 17,55M² - ABERTURAS = 0,80X210 + 1,40X1,00 = 3,08M² TOTAL COZINHA = 17,55 - 3,08 = 14,47M² / BANHEIRO = 1,85X2 + 2,40X2 = 8,50 X 3,00 PÉ DIREITO = 25,50M² - ABERTURAS = 0,80X2,10 + 0,80X0,60 = 2,16M² TOTAL BAHEIRO = 23,34M² TOTAL COZ.+BAN. = 37,81M²</t>
  </si>
  <si>
    <t xml:space="preserve">132,29 X 25 UNIDADES SENDO CHAPISCO EXTERNO  IGUAL ÁREA DE ALVENARIA 132,29M² </t>
  </si>
  <si>
    <t xml:space="preserve">132,29 X 25 UNIDADES SENDO REBOCO EXTERNO IGUAL ÁREA DE ALVENARIA 132,29M² </t>
  </si>
  <si>
    <t xml:space="preserve">96,55 X 25 UNIDADES</t>
  </si>
  <si>
    <t xml:space="preserve">132,29 X 25 UNIDADES SENDO FUNDO SELADOR EXTERNA IGUAL ÁREA DE ALVENARIA 132,29M²</t>
  </si>
  <si>
    <t xml:space="preserve">132,29 X 25 UNIDADES SENDO PINTURA EXTERNA IGUAL ÁREA DE ALVENARIA 132,29M²</t>
  </si>
  <si>
    <t xml:space="preserve">10,80 X 25 UNIDADES</t>
  </si>
  <si>
    <t xml:space="preserve">47,49 X 25 UNIDADES ÁREA INTERNA DO COMODOS = 3,60+8,40+19,09+4,44+8,40+3,56 = 47,49M²</t>
  </si>
  <si>
    <t xml:space="preserve">13,70 X 25 UNIDADES</t>
  </si>
  <si>
    <t xml:space="preserve">33,79 X 25 UNIDADES ÁREA INTERNA DO COMODOS = 3,60+8,40+19,09+4,44+8,40+3,56 = 47,49M² -  13,70 M² DE ÁREAS MOLHADAS</t>
  </si>
  <si>
    <t xml:space="preserve">15,15 X 25 UNIDADES</t>
  </si>
  <si>
    <t xml:space="preserve">1,06 X 25 UNIDADES</t>
  </si>
  <si>
    <t xml:space="preserve">4,71 X 25 UNIDADES</t>
  </si>
  <si>
    <t xml:space="preserve">6,00 X 25 UNIDADES</t>
  </si>
  <si>
    <t xml:space="preserve">1,00 X 25 UNIDADES</t>
  </si>
  <si>
    <t xml:space="preserve">3,00 X 25 UNIDADES</t>
  </si>
  <si>
    <t xml:space="preserve">8,00 X 25 UNIDADES</t>
  </si>
  <si>
    <t xml:space="preserve">2,00 X 25 UNIDADES</t>
  </si>
  <si>
    <t xml:space="preserve">13,00 X 25 UNIDADES</t>
  </si>
  <si>
    <t xml:space="preserve">10,00 X 25 UNIDADES</t>
  </si>
  <si>
    <t xml:space="preserve">39,00 X 25 UNIDADES</t>
  </si>
  <si>
    <t xml:space="preserve">7,00 X 25 UNIDADES</t>
  </si>
  <si>
    <t xml:space="preserve">4,00 X 25 UNIDADES</t>
  </si>
  <si>
    <t xml:space="preserve">5,10 X 25 UNIDADES</t>
  </si>
  <si>
    <t xml:space="preserve">8,70 X 25 UNIDADES</t>
  </si>
  <si>
    <t xml:space="preserve">6,75 X 25 UNIDADES</t>
  </si>
  <si>
    <t xml:space="preserve">4,40 X 25 UNIDADES</t>
  </si>
  <si>
    <t xml:space="preserve">10,55 X 25 UNIDADES</t>
  </si>
  <si>
    <t xml:space="preserve">3,35 X 25 UNIDADES</t>
  </si>
  <si>
    <t xml:space="preserve">10,21 X 25 UNIDADES</t>
  </si>
  <si>
    <t xml:space="preserve">16,25 X 25 UNIDADES SENDO 5,80 + 5,05 + 4,75 +0,65 = 16,25 METROS</t>
  </si>
  <si>
    <t xml:space="preserve">54,00 X 25 UNIDADES</t>
  </si>
  <si>
    <t xml:space="preserve">CRONOGRAMA PREVISTO PLE</t>
  </si>
  <si>
    <t xml:space="preserve">1. SERVIÇOS PRELIMINARES</t>
  </si>
  <si>
    <t xml:space="preserve">Título dos Eventos</t>
  </si>
  <si>
    <t xml:space="preserve">Cronograma</t>
  </si>
  <si>
    <t xml:space="preserve">Parcela</t>
  </si>
  <si>
    <t xml:space="preserve">%</t>
  </si>
  <si>
    <t xml:space="preserve">R$</t>
  </si>
  <si>
    <t xml:space="preserve">Acumulado</t>
  </si>
  <si>
    <t xml:space="preserve">Administração Local</t>
  </si>
  <si>
    <t xml:space="preserve">% Período:</t>
  </si>
  <si>
    <t xml:space="preserve">Níveis a Exibir no Cronograma:</t>
  </si>
  <si>
    <t xml:space="preserve">Nº TGOV</t>
  </si>
  <si>
    <t xml:space="preserve">PROPONENTE TOMADOR</t>
  </si>
  <si>
    <t xml:space="preserve">Lista Macrosserviços</t>
  </si>
  <si>
    <t xml:space="preserve">Falta distribuir:</t>
  </si>
  <si>
    <t xml:space="preserve">Valor (R$)</t>
  </si>
  <si>
    <t xml:space="preserve">Parcelas:</t>
  </si>
  <si>
    <t xml:space="preserve">Item CRONO</t>
  </si>
  <si>
    <t xml:space="preserve">OU</t>
  </si>
  <si>
    <t xml:space="preserve">Linha PO
Linha QCI
Total Adm Local</t>
  </si>
  <si>
    <t xml:space="preserve">Linhas a somar</t>
  </si>
  <si>
    <t xml:space="preserve">#</t>
  </si>
  <si>
    <t xml:space="preserve">%:</t>
  </si>
  <si>
    <t xml:space="preserve">Período:</t>
  </si>
  <si>
    <t xml:space="preserve">Contrapartida:</t>
  </si>
  <si>
    <t xml:space="preserve">Outros:</t>
  </si>
  <si>
    <t xml:space="preserve">Investimento:</t>
  </si>
  <si>
    <t xml:space="preserve">Acumulado:</t>
  </si>
  <si>
    <t xml:space="preserve">Administração Local:</t>
  </si>
  <si>
    <t xml:space="preserve">QCI - Quadro de Composição do Investimento</t>
  </si>
  <si>
    <t xml:space="preserve">% Maior:</t>
  </si>
  <si>
    <t xml:space="preserve">% Rateio CP Fin:</t>
  </si>
  <si>
    <t xml:space="preserve">MUNICÍPIO / UF</t>
  </si>
  <si>
    <t xml:space="preserve">VALORES CONTRATADOS (R$):</t>
  </si>
  <si>
    <t xml:space="preserve">CONTRAPARTIDA</t>
  </si>
  <si>
    <t xml:space="preserve">INVESTIMENTO</t>
  </si>
  <si>
    <t xml:space="preserve">% CP Min Prog:</t>
  </si>
  <si>
    <t xml:space="preserve">% CP Absoluta:</t>
  </si>
  <si>
    <t xml:space="preserve">% CP Max Rep:</t>
  </si>
  <si>
    <t xml:space="preserve">Saldo a Reprogramar</t>
  </si>
  <si>
    <t xml:space="preserve">Ordem Meta</t>
  </si>
  <si>
    <t xml:space="preserve">Arred</t>
  </si>
  <si>
    <t xml:space="preserve">Repasse (R$)</t>
  </si>
  <si>
    <t xml:space="preserve">Proporcional</t>
  </si>
  <si>
    <t xml:space="preserve">Busca</t>
  </si>
  <si>
    <t xml:space="preserve">Item de Investimento</t>
  </si>
  <si>
    <t xml:space="preserve">Subitem de Investimento</t>
  </si>
  <si>
    <t xml:space="preserve">Descrição da Meta</t>
  </si>
  <si>
    <t xml:space="preserve">Unid.</t>
  </si>
  <si>
    <t xml:space="preserve">Lote de Licitação / nº do CTEF</t>
  </si>
  <si>
    <t xml:space="preserve">Contrapartida Financeira (R$)</t>
  </si>
  <si>
    <t xml:space="preserve">Investimento (R$)</t>
  </si>
  <si>
    <t xml:space="preserve">Divisão do Investimento</t>
  </si>
  <si>
    <t xml:space="preserve">Em Análise</t>
  </si>
  <si>
    <t xml:space="preserve">TR$</t>
  </si>
  <si>
    <t xml:space="preserve">TOTAL</t>
  </si>
  <si>
    <t xml:space="preserve">T%</t>
  </si>
  <si>
    <t xml:space="preserve">Representante Tomador</t>
  </si>
  <si>
    <t xml:space="preserve">PLE - PLANILHA DE LEVANTAMENTO DE EVENTOS</t>
  </si>
  <si>
    <t xml:space="preserve">Medição:</t>
  </si>
  <si>
    <t xml:space="preserve">% Realizado Período.:</t>
  </si>
  <si>
    <t xml:space="preserve">% Realizado Acum.:</t>
  </si>
  <si>
    <t xml:space="preserve">Filtro</t>
  </si>
  <si>
    <t xml:space="preserve">Informe abaixo o NÚMERO DA MEDIÇÃO em que os eventos foram concluídos</t>
  </si>
  <si>
    <t xml:space="preserve">Data das Medições</t>
  </si>
  <si>
    <t xml:space="preserve">Medições</t>
  </si>
  <si>
    <t xml:space="preserve">Responsável Técnico pela Fiscalização</t>
  </si>
  <si>
    <t xml:space="preserve">Modo CAIXA</t>
  </si>
  <si>
    <t xml:space="preserve">INÍCIO DE OBRA</t>
  </si>
  <si>
    <t xml:space="preserve">Regime </t>
  </si>
  <si>
    <t xml:space="preserve">Fórmula CopMed</t>
  </si>
  <si>
    <t xml:space="preserve">Nº CTEF</t>
  </si>
  <si>
    <t xml:space="preserve">EMPRESA EXECUTORA</t>
  </si>
  <si>
    <t xml:space="preserve">CNPJ</t>
  </si>
  <si>
    <t xml:space="preserve">PERÍODO DA MEDIÇÃO</t>
  </si>
  <si>
    <t xml:space="preserve">Nº MEDIÇÃO</t>
  </si>
  <si>
    <t xml:space="preserve">ARREDMED</t>
  </si>
  <si>
    <t xml:space="preserve">Linha Adm. L.</t>
  </si>
  <si>
    <t xml:space="preserve">Anexo</t>
  </si>
  <si>
    <t xml:space="preserve">Datas das Medições</t>
  </si>
  <si>
    <t xml:space="preserve">Orçamento Contratado</t>
  </si>
  <si>
    <t xml:space="preserve">Evolução Financeira (R$)</t>
  </si>
  <si>
    <t xml:space="preserve">Quadro de Glosas</t>
  </si>
  <si>
    <t xml:space="preserve">Acum. Anterior</t>
  </si>
  <si>
    <t xml:space="preserve">Período</t>
  </si>
  <si>
    <t xml:space="preserve">Acum. Incluindo o Período</t>
  </si>
  <si>
    <t xml:space="preserve">Valor Total Glosado (R$)</t>
  </si>
  <si>
    <t xml:space="preserve">Motivo da Glosa</t>
  </si>
  <si>
    <t xml:space="preserve">Valor Total Medido (R$)</t>
  </si>
  <si>
    <t xml:space="preserve">TOTAL:</t>
  </si>
  <si>
    <t xml:space="preserve">Observações</t>
  </si>
  <si>
    <t xml:space="preserve">Profissional CAIXA:</t>
  </si>
  <si>
    <t xml:space="preserve">Matrícula</t>
  </si>
  <si>
    <r>
      <rPr>
        <sz val="10.5"/>
        <rFont val="Arial Narrow"/>
        <family val="2"/>
        <charset val="1"/>
      </rPr>
      <t xml:space="preserve">Grau de Sigilo
</t>
    </r>
    <r>
      <rPr>
        <b val="true"/>
        <sz val="10"/>
        <rFont val="Arial"/>
        <family val="2"/>
        <charset val="1"/>
      </rPr>
      <t xml:space="preserve">#PUBLICO</t>
    </r>
  </si>
  <si>
    <t xml:space="preserve">Acum. Previsto</t>
  </si>
  <si>
    <t xml:space="preserve">Acum. Chegada</t>
  </si>
  <si>
    <t xml:space="preserve">Outros</t>
  </si>
  <si>
    <t xml:space="preserve">Nº RRE</t>
  </si>
  <si>
    <t xml:space="preserve">Investimento</t>
  </si>
  <si>
    <t xml:space="preserve">Situação do TC/CR:</t>
  </si>
  <si>
    <t xml:space="preserve">Percentual previsto em:</t>
  </si>
  <si>
    <t xml:space="preserve">Lista CTEF</t>
  </si>
  <si>
    <t xml:space="preserve">Lista CTEFs</t>
  </si>
  <si>
    <t xml:space="preserve">Acumulado Período Anterior</t>
  </si>
  <si>
    <t xml:space="preserve">Acumulado incluindo o Período</t>
  </si>
  <si>
    <t xml:space="preserve">Linha
PO</t>
  </si>
  <si>
    <t xml:space="preserve">BM / PLE nº</t>
  </si>
  <si>
    <t xml:space="preserve">Valor Total (R$)</t>
  </si>
  <si>
    <t xml:space="preserve">No Período</t>
  </si>
  <si>
    <t xml:space="preserve">Execução Física Acum.</t>
  </si>
  <si>
    <t xml:space="preserve">Acum. Período Anterior - CP</t>
  </si>
  <si>
    <t xml:space="preserve">Acum. Período Anterior - Outros</t>
  </si>
  <si>
    <t xml:space="preserve">Acum. Incluindo Período - CP</t>
  </si>
  <si>
    <t xml:space="preserve">Acum. Incluindo Período - Outros</t>
  </si>
  <si>
    <t xml:space="preserve">(%)</t>
  </si>
  <si>
    <t xml:space="preserve">Anterior (R$)</t>
  </si>
  <si>
    <t xml:space="preserve">Acumulado (R$)</t>
  </si>
  <si>
    <t xml:space="preserve">Max CP/OU Ant.</t>
  </si>
  <si>
    <t xml:space="preserve">Max CP/OU Acum.</t>
  </si>
  <si>
    <t xml:space="preserve">Contrapartida</t>
  </si>
  <si>
    <t xml:space="preserve"># PÚBLICO</t>
  </si>
  <si>
    <t xml:space="preserve">Ofício n°:</t>
  </si>
  <si>
    <t xml:space="preserve">À</t>
  </si>
  <si>
    <t xml:space="preserve">CAIXA ECONÔMICA FEDERAL</t>
  </si>
  <si>
    <t xml:space="preserve">GIGOV</t>
  </si>
  <si>
    <t xml:space="preserve">Assunto:</t>
  </si>
  <si>
    <t xml:space="preserve">REF:</t>
  </si>
  <si>
    <t xml:space="preserve">Objeto:</t>
  </si>
  <si>
    <t xml:space="preserve">Proponente / Tomador:</t>
  </si>
  <si>
    <t xml:space="preserve">Valores Vigentes do TC/CR</t>
  </si>
  <si>
    <t xml:space="preserve">Valores Medidos Acumulados</t>
  </si>
  <si>
    <t xml:space="preserve">Contrapartida Financeira:</t>
  </si>
  <si>
    <t xml:space="preserve">Execução Física:</t>
  </si>
  <si>
    <t xml:space="preserve">Atenciosamente,</t>
  </si>
  <si>
    <t xml:space="preserve">Nivel</t>
  </si>
  <si>
    <t xml:space="preserve">N° Macrosserviço / Serviço</t>
  </si>
  <si>
    <t xml:space="preserve">Descrição Macrosserviço / Serviço</t>
  </si>
  <si>
    <t xml:space="preserve">Qtd. (valor calculado)</t>
  </si>
  <si>
    <t xml:space="preserve">Und.</t>
  </si>
  <si>
    <t xml:space="preserve">Custo Unitário Referência</t>
  </si>
  <si>
    <t xml:space="preserve">Custo Unitário</t>
  </si>
  <si>
    <t xml:space="preserve">Preço Unitário (valor calculado)</t>
  </si>
  <si>
    <t xml:space="preserve">Preço Total (valor calculado)</t>
  </si>
  <si>
    <t xml:space="preserve">Observação</t>
  </si>
  <si>
    <t xml:space="preserve">N° Evento</t>
  </si>
  <si>
    <t xml:space="preserve">Evento</t>
  </si>
  <si>
    <t xml:space="preserve">N° Frente de Obra</t>
  </si>
  <si>
    <t xml:space="preserve">Frente de Obra</t>
  </si>
  <si>
    <t xml:space="preserve">Qtd.</t>
  </si>
  <si>
    <t xml:space="preserve">Valor</t>
  </si>
  <si>
    <t xml:space="preserve">N° do Evento</t>
  </si>
  <si>
    <t xml:space="preserve">N° da Frente de Obra</t>
  </si>
  <si>
    <t xml:space="preserve">N° do Período de Conclusão do Evento</t>
  </si>
  <si>
    <t xml:space="preserve">Número</t>
  </si>
  <si>
    <t xml:space="preserve">Macrosserviço</t>
  </si>
  <si>
    <t xml:space="preserve">Percentual Parcela</t>
  </si>
</sst>
</file>

<file path=xl/styles.xml><?xml version="1.0" encoding="utf-8"?>
<styleSheet xmlns="http://schemas.openxmlformats.org/spreadsheetml/2006/main">
  <numFmts count="35">
    <numFmt numFmtId="164" formatCode="General"/>
    <numFmt numFmtId="165" formatCode="_(&quot;R$ &quot;* #,##0.00_);_(&quot;R$ &quot;* \(#,##0.00\);_(&quot;R$ &quot;* \-??_);_(@_)"/>
    <numFmt numFmtId="166" formatCode="0%"/>
    <numFmt numFmtId="167" formatCode="_-* #,##0.00_-;\-* #,##0.00_-;_-* \-??_-;_-@_-"/>
    <numFmt numFmtId="168" formatCode="@"/>
    <numFmt numFmtId="169" formatCode="#,##0.00"/>
    <numFmt numFmtId="170" formatCode="0.00%"/>
    <numFmt numFmtId="171" formatCode="mm\-yyyy"/>
    <numFmt numFmtId="172" formatCode="d/m/yyyy"/>
    <numFmt numFmtId="173" formatCode="0"/>
    <numFmt numFmtId="174" formatCode="General;General"/>
    <numFmt numFmtId="175" formatCode="[$-F800]dddd&quot;, &quot;mmmm\ dd&quot;, &quot;yyyy"/>
    <numFmt numFmtId="176" formatCode="dd&quot; de &quot;mmmm&quot; de &quot;yyyy"/>
    <numFmt numFmtId="177" formatCode="mmm\-yy;@"/>
    <numFmt numFmtId="178" formatCode="_(* #,##0.00_);_(* \(#,##0.00\);_(* \-??_);_(@_)"/>
    <numFmt numFmtId="179" formatCode="General;;;"/>
    <numFmt numFmtId="180" formatCode="&quot;Mês &quot;00"/>
    <numFmt numFmtId="181" formatCode="_-#,##0.00_-;\-#,##0.00_-;_-\-??_-;_-@_-"/>
    <numFmt numFmtId="182" formatCode="0\."/>
    <numFmt numFmtId="183" formatCode="_(\ #,##0.00_);_(&quot; (&quot;#,##0.00\);_(&quot; -&quot;??_);_(@_)"/>
    <numFmt numFmtId="184" formatCode="mm/yy"/>
    <numFmt numFmtId="185" formatCode="0.00E+00"/>
    <numFmt numFmtId="186" formatCode="_-#,##0.00_-;\-#,##0.00_-;_-&quot; -&quot;??_-;_-@_-"/>
    <numFmt numFmtId="187" formatCode="##\."/>
    <numFmt numFmtId="188" formatCode="#,##0.00_ ;\-#,##0.00\ "/>
    <numFmt numFmtId="189" formatCode="_-&quot;R$ &quot;* #,##0.00_-;&quot;-R$ &quot;* #,##0.00_-;_-&quot;R$ &quot;* \-??_-;_-@_-"/>
    <numFmt numFmtId="190" formatCode="&quot;( &quot;0.00%&quot; )&quot;"/>
    <numFmt numFmtId="191" formatCode="&quot;Medição &quot;0"/>
    <numFmt numFmtId="192" formatCode="_(#,##0.00_);_(* \(#,##0.00\);_(* \-??_);_(@_)"/>
    <numFmt numFmtId="193" formatCode="dd/mm/yy;@"/>
    <numFmt numFmtId="194" formatCode="&quot;Medição &quot;##"/>
    <numFmt numFmtId="195" formatCode="_(* #,##0.00_);_(* \(#,##0.00\);;_(@_)"/>
    <numFmt numFmtId="196" formatCode="dddd&quot;, &quot;mmmm\ dd&quot;, &quot;yyyy"/>
    <numFmt numFmtId="197" formatCode="&quot;R$ &quot;#,##0.00"/>
    <numFmt numFmtId="198" formatCode="0.00"/>
  </numFmts>
  <fonts count="6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9"/>
      <name val="Arial"/>
      <family val="2"/>
      <charset val="1"/>
    </font>
    <font>
      <sz val="18"/>
      <color rgb="FF666699"/>
      <name val="Calibri Light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u val="single"/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000000"/>
      <name val="Calibri"/>
      <family val="0"/>
    </font>
    <font>
      <sz val="10"/>
      <color theme="0"/>
      <name val="Arial"/>
      <family val="2"/>
      <charset val="1"/>
    </font>
    <font>
      <b val="true"/>
      <sz val="13"/>
      <name val="Arial"/>
      <family val="2"/>
      <charset val="1"/>
    </font>
    <font>
      <b val="true"/>
      <sz val="18"/>
      <name val="Arial"/>
      <family val="2"/>
      <charset val="1"/>
    </font>
    <font>
      <sz val="10"/>
      <color rgb="FFFFFFFF"/>
      <name val="Arial"/>
      <family val="2"/>
      <charset val="1"/>
    </font>
    <font>
      <sz val="14"/>
      <color rgb="FF0000FF"/>
      <name val="Arial"/>
      <family val="2"/>
      <charset val="1"/>
    </font>
    <font>
      <u val="single"/>
      <sz val="10"/>
      <color theme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1"/>
      <name val="Arial"/>
      <family val="2"/>
      <charset val="1"/>
    </font>
    <font>
      <b val="true"/>
      <i val="true"/>
      <sz val="11"/>
      <color rgb="FF000000"/>
      <name val="Calibri"/>
      <family val="0"/>
    </font>
    <font>
      <b val="true"/>
      <sz val="11"/>
      <color rgb="FFFF000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family val="2"/>
    </font>
    <font>
      <b val="true"/>
      <sz val="10"/>
      <color rgb="FF0000FF"/>
      <name val="Arial"/>
      <family val="2"/>
      <charset val="1"/>
    </font>
    <font>
      <sz val="10"/>
      <name val="Calibri"/>
      <family val="2"/>
      <charset val="1"/>
    </font>
    <font>
      <b val="true"/>
      <sz val="10"/>
      <color rgb="FFFF0000"/>
      <name val="Arial"/>
      <family val="2"/>
      <charset val="1"/>
    </font>
    <font>
      <sz val="8"/>
      <name val="Calibri"/>
      <family val="2"/>
      <charset val="1"/>
    </font>
    <font>
      <sz val="11"/>
      <name val="Arial"/>
      <family val="2"/>
      <charset val="1"/>
    </font>
    <font>
      <i val="true"/>
      <sz val="12"/>
      <name val="Calibri"/>
      <family val="2"/>
      <charset val="1"/>
    </font>
    <font>
      <i val="true"/>
      <u val="single"/>
      <sz val="12"/>
      <name val="Calibri"/>
      <family val="2"/>
      <charset val="1"/>
    </font>
    <font>
      <u val="single"/>
      <sz val="10"/>
      <name val="Arial"/>
      <family val="2"/>
      <charset val="1"/>
    </font>
    <font>
      <sz val="9"/>
      <color rgb="FF000000"/>
      <name val="Tahoma"/>
      <family val="2"/>
      <charset val="1"/>
    </font>
    <font>
      <sz val="14"/>
      <color rgb="FFFFFFFF"/>
      <name val="Arial"/>
      <family val="2"/>
      <charset val="1"/>
    </font>
    <font>
      <sz val="12"/>
      <name val="Arial"/>
      <family val="2"/>
      <charset val="1"/>
    </font>
    <font>
      <sz val="8"/>
      <name val="Arial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9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rgb="FFFF0000"/>
      <name val="Calibri"/>
      <family val="2"/>
      <charset val="1"/>
    </font>
    <font>
      <b val="true"/>
      <sz val="7"/>
      <name val="Arial"/>
      <family val="2"/>
      <charset val="1"/>
    </font>
    <font>
      <i val="true"/>
      <sz val="10"/>
      <name val="Arial"/>
      <family val="2"/>
      <charset val="1"/>
    </font>
    <font>
      <sz val="10"/>
      <color rgb="FF000000"/>
      <name val="Arial"/>
      <family val="0"/>
    </font>
    <font>
      <b val="true"/>
      <sz val="10"/>
      <color rgb="FF000000"/>
      <name val="Calibri"/>
      <family val="0"/>
    </font>
    <font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.5"/>
      <name val="Arial Narrow"/>
      <family val="2"/>
      <charset val="1"/>
    </font>
    <font>
      <sz val="5"/>
      <color rgb="FFFF0000"/>
      <name val="Arial"/>
      <family val="2"/>
      <charset val="1"/>
    </font>
    <font>
      <b val="true"/>
      <sz val="10"/>
      <color theme="0" tint="-0.5"/>
      <name val="Arial"/>
      <family val="2"/>
      <charset val="1"/>
    </font>
    <font>
      <sz val="1"/>
      <color theme="0" tint="-0.25"/>
      <name val="Arial"/>
      <family val="2"/>
      <charset val="1"/>
    </font>
    <font>
      <sz val="10"/>
      <name val="Arial Narrow"/>
      <family val="2"/>
      <charset val="1"/>
    </font>
    <font>
      <sz val="10"/>
      <color theme="0" tint="-0.05"/>
      <name val="Arial"/>
      <family val="2"/>
      <charset val="1"/>
    </font>
    <font>
      <sz val="10"/>
      <color theme="0" tint="-0.25"/>
      <name val="Arial"/>
      <family val="2"/>
      <charset val="1"/>
    </font>
    <font>
      <sz val="9"/>
      <color rgb="FFFF0000"/>
      <name val="Arial Narrow"/>
      <family val="2"/>
      <charset val="1"/>
    </font>
    <font>
      <sz val="11"/>
      <name val="Arial Narrow"/>
      <family val="2"/>
      <charset val="1"/>
    </font>
    <font>
      <sz val="10"/>
      <color rgb="FFC0C0C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i val="true"/>
      <sz val="10"/>
      <name val="Arial"/>
      <family val="2"/>
      <charset val="1"/>
    </font>
    <font>
      <sz val="7"/>
      <color rgb="FFFF0000"/>
      <name val="Arial"/>
      <family val="2"/>
      <charset val="1"/>
    </font>
    <font>
      <b val="true"/>
      <sz val="10"/>
      <color rgb="FF000000"/>
      <name val="Arial"/>
      <family val="0"/>
    </font>
    <font>
      <sz val="11"/>
      <color rgb="FFFF0000"/>
      <name val="Arial"/>
      <family val="2"/>
      <charset val="1"/>
    </font>
    <font>
      <b val="true"/>
      <sz val="9"/>
      <color rgb="FF000000"/>
      <name val="Tahoma"/>
      <family val="2"/>
      <charset val="1"/>
    </font>
    <font>
      <sz val="10.5"/>
      <name val="Arial Narrow"/>
      <family val="2"/>
      <charset val="1"/>
    </font>
    <font>
      <i val="true"/>
      <sz val="8"/>
      <name val="Arial"/>
      <family val="2"/>
      <charset val="1"/>
    </font>
    <font>
      <sz val="9"/>
      <color rgb="FF000000"/>
      <name val="Segoe UI"/>
      <family val="2"/>
      <charset val="1"/>
    </font>
    <font>
      <b val="true"/>
      <sz val="10"/>
      <color rgb="FFFFFFFF"/>
      <name val="Arial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99CCFF"/>
        <bgColor rgb="FFCCCCFF"/>
      </patternFill>
    </fill>
    <fill>
      <patternFill patternType="solid">
        <fgColor rgb="FFFFFF99"/>
        <bgColor rgb="FFF2F2F2"/>
      </patternFill>
    </fill>
    <fill>
      <patternFill patternType="solid">
        <fgColor rgb="FFCCCCFF"/>
        <bgColor rgb="FFD9D9D9"/>
      </patternFill>
    </fill>
    <fill>
      <patternFill patternType="solid">
        <fgColor rgb="FFFFCC99"/>
        <bgColor rgb="FFD9D9D9"/>
      </patternFill>
    </fill>
    <fill>
      <patternFill patternType="solid">
        <fgColor rgb="FFFFCC00"/>
        <bgColor rgb="FFFFC000"/>
      </patternFill>
    </fill>
    <fill>
      <patternFill patternType="solid">
        <fgColor rgb="FF808080"/>
        <bgColor rgb="FF969696"/>
      </patternFill>
    </fill>
    <fill>
      <patternFill patternType="solid">
        <fgColor rgb="FFF0F0F0"/>
        <bgColor rgb="FFF2F2F2"/>
      </patternFill>
    </fill>
    <fill>
      <patternFill patternType="solid">
        <fgColor rgb="FFA8A8A8"/>
        <bgColor rgb="FF969696"/>
      </patternFill>
    </fill>
    <fill>
      <patternFill patternType="solid">
        <fgColor theme="0" tint="-0.25"/>
        <bgColor rgb="FFC0C0C0"/>
      </patternFill>
    </fill>
    <fill>
      <patternFill patternType="solid">
        <fgColor theme="0" tint="-0.15"/>
        <bgColor rgb="FFDFDFDF"/>
      </patternFill>
    </fill>
    <fill>
      <patternFill patternType="solid">
        <fgColor rgb="FFDFDFDF"/>
        <bgColor rgb="FFD9D9D9"/>
      </patternFill>
    </fill>
    <fill>
      <patternFill patternType="solid">
        <fgColor rgb="FFF2F2FF"/>
        <bgColor rgb="FFF3F3FF"/>
      </patternFill>
    </fill>
    <fill>
      <patternFill patternType="solid">
        <fgColor rgb="FFF3F3FF"/>
        <bgColor rgb="FFF2F2FF"/>
      </patternFill>
    </fill>
    <fill>
      <patternFill patternType="solid">
        <fgColor rgb="FF000000"/>
        <bgColor rgb="FF003300"/>
      </patternFill>
    </fill>
    <fill>
      <patternFill patternType="solid">
        <fgColor theme="0" tint="-0.05"/>
        <bgColor rgb="FFF0F0F0"/>
      </patternFill>
    </fill>
  </fills>
  <borders count="94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hair"/>
      <top style="medium"/>
      <bottom style="hair"/>
      <diagonal/>
    </border>
    <border diagonalUp="false" diagonalDown="false">
      <left/>
      <right style="medium"/>
      <top style="medium"/>
      <bottom style="hair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/>
      <right style="medium"/>
      <top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 style="medium"/>
      <right style="hair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hair"/>
      <top style="medium"/>
      <bottom/>
      <diagonal/>
    </border>
    <border diagonalUp="false" diagonalDown="false">
      <left style="hair"/>
      <right style="medium"/>
      <top style="medium"/>
      <bottom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/>
      <right style="medium"/>
      <top style="hair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hair"/>
      <top style="thin"/>
      <bottom/>
      <diagonal/>
    </border>
    <border diagonalUp="false" diagonalDown="false">
      <left style="hair"/>
      <right style="thin"/>
      <top style="thin"/>
      <bottom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thin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hair"/>
      <right style="hair"/>
      <top style="thin"/>
      <bottom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 style="hair"/>
      <top/>
      <bottom style="thin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hair"/>
      <right style="thin"/>
      <top/>
      <bottom style="thin"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808080"/>
      </left>
      <right/>
      <top style="thin">
        <color rgb="FF808080"/>
      </top>
      <bottom style="thin">
        <color rgb="FF808080"/>
      </bottom>
      <diagonal/>
    </border>
    <border diagonalUp="false" diagonalDown="false">
      <left/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>
        <color rgb="FF808080"/>
      </left>
      <right style="hair"/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808080"/>
      </left>
      <right/>
      <top style="thin">
        <color rgb="FF808080"/>
      </top>
      <bottom/>
      <diagonal/>
    </border>
    <border diagonalUp="false" diagonalDown="false">
      <left style="thin">
        <color theme="0" tint="-0.5"/>
      </left>
      <right/>
      <top/>
      <bottom/>
      <diagonal/>
    </border>
    <border diagonalUp="false" diagonalDown="false">
      <left/>
      <right/>
      <top style="thin">
        <color theme="0" tint="-0.5"/>
      </top>
      <bottom/>
      <diagonal/>
    </border>
    <border diagonalUp="false" diagonalDown="false">
      <left style="hair"/>
      <right style="hair"/>
      <top style="thin"/>
      <bottom style="hair">
        <color rgb="FF969696"/>
      </bottom>
      <diagonal/>
    </border>
    <border diagonalUp="false" diagonalDown="false">
      <left style="thin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hair"/>
      <right style="hair"/>
      <top style="hair">
        <color rgb="FF969696"/>
      </top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/>
      <diagonal/>
    </border>
    <border diagonalUp="false" diagonalDown="false">
      <left/>
      <right style="hair"/>
      <top/>
      <bottom style="thin"/>
      <diagonal/>
    </border>
    <border diagonalUp="false" diagonalDown="false">
      <left style="hair"/>
      <right/>
      <top style="thin"/>
      <bottom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hair"/>
      <diagonal/>
    </border>
    <border diagonalUp="false" diagonalDown="false">
      <left/>
      <right style="thin"/>
      <top style="thin"/>
      <bottom style="hair"/>
      <diagonal/>
    </border>
    <border diagonalUp="false" diagonalDown="false">
      <left style="hair"/>
      <right/>
      <top style="thin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/>
      <top style="hair"/>
      <bottom style="thin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/>
      <right style="hair"/>
      <top style="hair"/>
      <bottom/>
      <diagonal/>
    </border>
    <border diagonalUp="false" diagonalDown="false">
      <left/>
      <right style="hair"/>
      <top style="hair"/>
      <bottom style="thin"/>
      <diagonal/>
    </border>
    <border diagonalUp="false" diagonalDown="false">
      <left/>
      <right/>
      <top style="hair"/>
      <bottom style="thin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/>
      <right/>
      <top/>
      <bottom style="thin">
        <color rgb="FF808080"/>
      </bottom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/>
      <right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thin"/>
      <right style="thin"/>
      <top style="hair"/>
      <bottom style="thin"/>
      <diagonal/>
    </border>
  </borders>
  <cellStyleXfs count="2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89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8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bottom" textRotation="0" wrapText="false" indent="1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bottom" textRotation="0" wrapText="false" indent="1" shrinkToFit="false"/>
      <protection locked="true" hidden="false"/>
    </xf>
    <xf numFmtId="164" fontId="10" fillId="0" borderId="0" xfId="0" applyFont="true" applyBorder="false" applyAlignment="true" applyProtection="true">
      <alignment horizontal="left" vertical="top" textRotation="0" wrapText="false" indent="1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0" fillId="0" borderId="5" xfId="0" applyFont="fals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10" fillId="0" borderId="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13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4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14" fillId="2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3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3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3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1" fillId="3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5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3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5" borderId="1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4" borderId="1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4" borderId="1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0" fillId="4" borderId="1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0" fontId="0" fillId="4" borderId="1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2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0" fillId="4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0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4" borderId="23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0" fillId="4" borderId="24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5" borderId="2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0" fillId="4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9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4" borderId="1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2" fontId="0" fillId="4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4" borderId="1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4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5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2" fontId="0" fillId="4" borderId="15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1" fontId="0" fillId="4" borderId="28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2" fontId="0" fillId="4" borderId="2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8" fontId="0" fillId="4" borderId="15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0" fillId="4" borderId="29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0" fillId="4" borderId="2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22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0" xfId="22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8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27" fillId="0" borderId="8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30" xfId="2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13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8" fillId="0" borderId="0" xf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8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8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3" xfId="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8" xfId="2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70" fontId="5" fillId="4" borderId="8" xfId="2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3" fontId="3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8" xf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22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0" fillId="0" borderId="8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5" borderId="13" xfId="21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21" fillId="0" borderId="8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1" fillId="0" borderId="8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8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8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8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31" fillId="4" borderId="8" xfId="22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31" fillId="0" borderId="8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31" fillId="0" borderId="8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31" fillId="0" borderId="8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8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2" borderId="8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1" fillId="2" borderId="8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22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5" fillId="0" borderId="0" xfId="22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0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22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34" fillId="0" borderId="0" xfId="22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8" xfId="22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0" fillId="4" borderId="8" xfId="22" applyFont="true" applyBorder="true" applyAlignment="true" applyProtection="true">
      <alignment horizontal="left" vertical="top" textRotation="0" wrapText="true" indent="0" shrinkToFit="false"/>
      <protection locked="false" hidden="false"/>
    </xf>
    <xf numFmtId="174" fontId="0" fillId="0" borderId="3" xf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5" fontId="0" fillId="0" borderId="3" xf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0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6" fontId="0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5" xf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5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8" fillId="0" borderId="0" xfId="25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0" xfId="22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74" fontId="0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0" fillId="0" borderId="0" xfId="22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30" xfId="2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13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2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22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0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5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8" fillId="0" borderId="9" xfId="2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8" fillId="0" borderId="0" xfId="25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18" fillId="0" borderId="30" xfId="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8" fillId="0" borderId="0" xfId="0" applyFont="true" applyBorder="true" applyAlignment="true" applyProtection="true">
      <alignment horizontal="center" vertical="bottom" textRotation="90" wrapText="true" indent="0" shrinkToFit="false"/>
      <protection locked="true" hidden="false"/>
    </xf>
    <xf numFmtId="164" fontId="39" fillId="0" borderId="0" xfId="0" applyFont="true" applyBorder="true" applyAlignment="true" applyProtection="true">
      <alignment horizontal="center" vertical="bottom" textRotation="90" wrapText="true" indent="0" shrinkToFit="false"/>
      <protection locked="true" hidden="false"/>
    </xf>
    <xf numFmtId="164" fontId="0" fillId="7" borderId="0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77" fontId="0" fillId="0" borderId="13" xfId="22" applyFont="true" applyBorder="true" applyAlignment="true" applyProtection="true">
      <alignment horizontal="general" vertical="top" textRotation="0" wrapText="false" indent="0" shrinkToFit="true"/>
      <protection locked="true" hidden="false"/>
    </xf>
    <xf numFmtId="164" fontId="0" fillId="0" borderId="10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3" xf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13" xf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40" fillId="0" borderId="3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8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4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3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3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3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0" borderId="3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3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3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5" borderId="3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0" borderId="3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7" xfId="0" applyFont="false" applyBorder="true" applyAlignment="true" applyProtection="true">
      <alignment horizontal="general" vertical="center" textRotation="0" wrapText="true" indent="0" shrinkToFit="true"/>
      <protection locked="true" hidden="false"/>
    </xf>
    <xf numFmtId="168" fontId="0" fillId="5" borderId="3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0" fillId="4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4" borderId="38" xfId="0" applyFont="false" applyBorder="true" applyAlignment="true" applyProtection="true">
      <alignment horizontal="left" vertical="center" textRotation="0" wrapText="true" indent="0" shrinkToFit="false"/>
      <protection locked="false" hidden="false"/>
    </xf>
    <xf numFmtId="164" fontId="0" fillId="4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78" fontId="0" fillId="0" borderId="3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4" borderId="38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0" fontId="0" fillId="5" borderId="38" xfId="19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8" fontId="0" fillId="0" borderId="39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0" fontId="28" fillId="5" borderId="40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4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8" fontId="0" fillId="0" borderId="37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0" fontId="0" fillId="0" borderId="39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4" borderId="40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8" fontId="0" fillId="4" borderId="37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8" fontId="0" fillId="0" borderId="38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0" fillId="0" borderId="39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18" fillId="8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8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8" fillId="8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8" fillId="8" borderId="4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8" borderId="4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8" fillId="8" borderId="1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44" fillId="8" borderId="8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44" fillId="8" borderId="1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8" fillId="8" borderId="4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8" borderId="4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8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8" borderId="4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8" fillId="8" borderId="46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8" fillId="8" borderId="4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3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8" fontId="0" fillId="4" borderId="3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4" borderId="3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9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4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4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1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4" borderId="13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31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31" fillId="0" borderId="0" xfId="0" applyFont="true" applyBorder="false" applyAlignment="true" applyProtection="true">
      <alignment horizontal="left" vertical="bottom" textRotation="0" wrapText="true" indent="0" shrinkToFit="false"/>
      <protection locked="false" hidden="false"/>
    </xf>
    <xf numFmtId="164" fontId="21" fillId="0" borderId="8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8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74" fontId="0" fillId="0" borderId="3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21" fillId="0" borderId="3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22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5" fontId="0" fillId="0" borderId="0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7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4" borderId="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78" fontId="0" fillId="0" borderId="8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29" fillId="0" borderId="8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0" fillId="0" borderId="8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8" fillId="0" borderId="9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8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9" fillId="0" borderId="30" xfId="2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10" xfId="22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3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7" fillId="0" borderId="13" xfId="23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5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30" fillId="0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24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4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11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8" fontId="18" fillId="11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8" fillId="11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12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12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8" fontId="0" fillId="12" borderId="8" xfId="15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8" fontId="0" fillId="12" borderId="2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0" fillId="11" borderId="8" xfId="15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0" fillId="11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4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22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75" fontId="0" fillId="0" borderId="3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center" textRotation="0" wrapText="false" indent="10" shrinkToFit="false"/>
      <protection locked="true" hidden="false"/>
    </xf>
    <xf numFmtId="164" fontId="20" fillId="0" borderId="0" xfId="0" applyFont="true" applyBorder="false" applyAlignment="true" applyProtection="true">
      <alignment horizontal="left" vertical="center" textRotation="0" wrapText="false" indent="10" shrinkToFit="false"/>
      <protection locked="true" hidden="false"/>
    </xf>
    <xf numFmtId="164" fontId="2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true">
      <alignment horizontal="left" vertical="center" textRotation="0" wrapText="false" indent="10" shrinkToFit="false"/>
      <protection locked="true" hidden="false"/>
    </xf>
    <xf numFmtId="164" fontId="37" fillId="0" borderId="0" xfId="0" applyFont="true" applyBorder="false" applyAlignment="true" applyProtection="true">
      <alignment horizontal="left" vertical="center" textRotation="0" wrapText="false" indent="10" shrinkToFit="false"/>
      <protection locked="true" hidden="false"/>
    </xf>
    <xf numFmtId="164" fontId="3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9" xfId="2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18" fillId="0" borderId="0" xfId="25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18" fillId="0" borderId="1" xfId="2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18" fillId="0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0" xfId="22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3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1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30" fillId="0" borderId="0" xfId="0" applyFont="true" applyBorder="false" applyAlignment="true" applyProtection="true">
      <alignment horizontal="center" vertical="bottom" textRotation="90" wrapText="false" indent="0" shrinkToFit="false"/>
      <protection locked="true" hidden="false"/>
    </xf>
    <xf numFmtId="164" fontId="29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3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30" fillId="0" borderId="0" xfId="0" applyFont="true" applyBorder="false" applyAlignment="true" applyProtection="true">
      <alignment horizontal="left" vertical="bottom" textRotation="90" wrapText="true" indent="0" shrinkToFit="false"/>
      <protection locked="true" hidden="false"/>
    </xf>
    <xf numFmtId="164" fontId="18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4" borderId="47" xfId="0" applyFont="fals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4" borderId="48" xfId="0" applyFont="true" applyBorder="true" applyAlignment="true" applyProtection="true">
      <alignment horizontal="center" vertical="bottom" textRotation="90" wrapText="true" indent="0" shrinkToFit="false"/>
      <protection locked="false" hidden="false"/>
    </xf>
    <xf numFmtId="169" fontId="0" fillId="4" borderId="47" xfId="0" applyFont="tru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4" borderId="49" xfId="0" applyFont="tru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0" borderId="48" xfId="0" applyFont="false" applyBorder="true" applyAlignment="true" applyProtection="true">
      <alignment horizontal="center" vertical="bottom" textRotation="90" wrapText="true" indent="0" shrinkToFit="false"/>
      <protection locked="true" hidden="false"/>
    </xf>
    <xf numFmtId="164" fontId="0" fillId="0" borderId="47" xfId="0" applyFont="false" applyBorder="true" applyAlignment="true" applyProtection="true">
      <alignment horizontal="center" vertical="bottom" textRotation="90" wrapText="true" indent="0" shrinkToFit="false"/>
      <protection locked="true" hidden="false"/>
    </xf>
    <xf numFmtId="164" fontId="0" fillId="0" borderId="49" xfId="0" applyFont="false" applyBorder="true" applyAlignment="true" applyProtection="true">
      <alignment horizontal="center" vertical="bottom" textRotation="9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false" indent="0" shrinkToFit="false"/>
      <protection locked="true" hidden="false"/>
    </xf>
    <xf numFmtId="164" fontId="18" fillId="0" borderId="5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4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4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4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8" xfId="0" applyFont="fals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38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4" borderId="39" xfId="15" applyFont="true" applyBorder="true" applyAlignment="true" applyProtection="true">
      <alignment horizontal="left" vertical="center" textRotation="0" wrapText="true" indent="0" shrinkToFit="true"/>
      <protection locked="false" hidden="false"/>
    </xf>
    <xf numFmtId="164" fontId="5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5" borderId="8" xfId="15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4" fillId="0" borderId="33" xfId="15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44" fillId="0" borderId="40" xfId="15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78" fontId="0" fillId="4" borderId="37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4" borderId="38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4" borderId="39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0" borderId="4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3" fontId="0" fillId="0" borderId="51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3" fontId="0" fillId="0" borderId="5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8" fillId="8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8" fillId="8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8" fillId="8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1" fillId="8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8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8" fillId="8" borderId="53" xfId="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9" fontId="18" fillId="8" borderId="54" xfId="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9" fontId="18" fillId="8" borderId="55" xfId="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9" fontId="18" fillId="8" borderId="48" xfId="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18" fillId="8" borderId="48" xfId="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15" fillId="2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3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3" borderId="4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3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5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3" fontId="0" fillId="4" borderId="3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3" fontId="0" fillId="4" borderId="3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3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3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9" fontId="53" fillId="2" borderId="56" xfId="0" applyFont="true" applyBorder="true" applyAlignment="true" applyProtection="true">
      <alignment horizontal="center" vertical="bottom" textRotation="90" wrapText="true" indent="0" shrinkToFit="false"/>
      <protection locked="true" hidden="false"/>
    </xf>
    <xf numFmtId="164" fontId="18" fillId="2" borderId="5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8" fillId="2" borderId="5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2" borderId="5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2" borderId="5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2" borderId="5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2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3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3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2" borderId="1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2" borderId="1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14" borderId="8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2" borderId="43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2" borderId="6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48" fillId="2" borderId="8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8" fillId="12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47" fillId="12" borderId="8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8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47" fillId="0" borderId="8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0" fillId="0" borderId="6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0" fillId="0" borderId="8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0" fillId="12" borderId="6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6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12" borderId="8" xfId="1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0" fillId="0" borderId="6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9" fillId="0" borderId="0" xf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6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7" fillId="0" borderId="0" xfId="23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57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0" fontId="15" fillId="0" borderId="67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47" fillId="0" borderId="3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2" fontId="47" fillId="0" borderId="68" xfId="23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0" fontId="47" fillId="0" borderId="69" xfId="23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47" fillId="0" borderId="69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69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3" fontId="0" fillId="0" borderId="70" xfId="1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83" fontId="0" fillId="0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0" borderId="9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12" fillId="0" borderId="71" xfId="26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7" fillId="0" borderId="30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72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72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7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72" xfId="2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83" fontId="0" fillId="0" borderId="3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0" borderId="73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8" fillId="0" borderId="74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13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8" fillId="0" borderId="0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13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0" fillId="0" borderId="0" xfId="2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center" vertical="bottom" textRotation="90" wrapText="false" indent="0" shrinkToFit="false"/>
      <protection locked="true" hidden="false"/>
    </xf>
    <xf numFmtId="164" fontId="47" fillId="0" borderId="0" xf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7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9" xfId="2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18" fillId="0" borderId="9" xfId="2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8" fillId="0" borderId="30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10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3" xfId="2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7" fillId="0" borderId="10" xfId="23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7" fillId="5" borderId="8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9" fillId="0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7" fillId="0" borderId="3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8" fillId="0" borderId="50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8" xf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8" fillId="0" borderId="1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8" fillId="0" borderId="43" xfId="2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8" fillId="0" borderId="5" xfId="2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7" fillId="0" borderId="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8" fillId="0" borderId="12" xf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3" fontId="18" fillId="0" borderId="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0" borderId="34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8" fillId="0" borderId="75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0" xfId="23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84" fontId="48" fillId="0" borderId="53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8" fillId="0" borderId="3" xfId="2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7" fillId="0" borderId="3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0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4" fontId="48" fillId="0" borderId="54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84" fontId="48" fillId="0" borderId="76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10" borderId="43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9" borderId="8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9" borderId="1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9" borderId="43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15" borderId="43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9" borderId="43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2" borderId="52" xf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9" fillId="0" borderId="4" xfId="23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7" fillId="2" borderId="3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0" xfId="28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0" fillId="2" borderId="77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2" borderId="78" xf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0" fillId="2" borderId="79" xf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0" fillId="0" borderId="38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7" fillId="2" borderId="30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36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80" xf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2" borderId="38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8" fillId="0" borderId="0" xfId="23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7" fillId="2" borderId="30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2" borderId="36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2" borderId="80" xf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0" borderId="41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0" fillId="0" borderId="68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70" xf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18" fillId="2" borderId="46" xfId="28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85" fontId="47" fillId="0" borderId="0" xfId="23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7" fillId="2" borderId="13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2" borderId="81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8" fillId="2" borderId="82" xf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18" fillId="2" borderId="83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18" fillId="2" borderId="60" xf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18" fillId="2" borderId="69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0" fontId="0" fillId="0" borderId="84" xfId="19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0" fillId="5" borderId="6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7" fontId="0" fillId="0" borderId="81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85" xf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7" fillId="0" borderId="3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3" xf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left" vertical="center" textRotation="0" wrapText="false" indent="2" shrinkToFit="false"/>
      <protection locked="true" hidden="false"/>
    </xf>
    <xf numFmtId="169" fontId="18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30" xf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8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0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3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13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22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2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29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0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4" fillId="0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86" fontId="0" fillId="0" borderId="1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1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8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87" fontId="18" fillId="0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5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4" borderId="3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38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9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86" fontId="0" fillId="0" borderId="36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6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8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4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8" fontId="2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86" xfId="0" applyFont="false" applyBorder="true" applyAlignment="true" applyProtection="true">
      <alignment horizontal="left" vertical="center" textRotation="0" wrapText="true" indent="0" shrinkToFit="false"/>
      <protection locked="false" hidden="false"/>
    </xf>
    <xf numFmtId="164" fontId="6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4" borderId="87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86" fontId="0" fillId="4" borderId="87" xfId="0" applyFont="false" applyBorder="true" applyAlignment="true" applyProtection="true">
      <alignment horizontal="right" vertical="center" textRotation="0" wrapText="false" indent="0" shrinkToFit="false"/>
      <protection locked="false" hidden="false"/>
    </xf>
    <xf numFmtId="168" fontId="0" fillId="5" borderId="8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86" fontId="0" fillId="4" borderId="41" xfId="0" applyFont="false" applyBorder="true" applyAlignment="true" applyProtection="true">
      <alignment horizontal="right" vertical="center" textRotation="0" wrapText="false" indent="0" shrinkToFit="false"/>
      <protection locked="false" hidden="false"/>
    </xf>
    <xf numFmtId="186" fontId="0" fillId="4" borderId="42" xfId="0" applyFont="false" applyBorder="true" applyAlignment="true" applyProtection="true">
      <alignment horizontal="right" vertical="center" textRotation="0" wrapText="false" indent="0" shrinkToFit="false"/>
      <protection locked="false" hidden="false"/>
    </xf>
    <xf numFmtId="169" fontId="0" fillId="0" borderId="0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8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4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21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21" fillId="2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21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21" fillId="2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1" borderId="3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3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90" fontId="5" fillId="2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90" fontId="5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90" fontId="5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90" fontId="5" fillId="2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1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0" fillId="4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48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0" fillId="4" borderId="1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0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20" fillId="0" borderId="1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24" fillId="0" borderId="8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8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0" fillId="4" borderId="4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0" fillId="4" borderId="4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0" fillId="4" borderId="4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91" fontId="18" fillId="2" borderId="8" xf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8" fillId="0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0" fillId="0" borderId="7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3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5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92" fontId="0" fillId="0" borderId="13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92" fontId="0" fillId="0" borderId="3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70" fontId="0" fillId="0" borderId="9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3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92" fontId="0" fillId="0" borderId="10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92" fontId="0" fillId="0" borderId="0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22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left" vertical="center" textRotation="0" wrapText="false" indent="12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top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left" vertical="center" textRotation="0" wrapText="false" indent="12" shrinkToFit="false"/>
      <protection locked="true" hidden="false"/>
    </xf>
    <xf numFmtId="164" fontId="0" fillId="0" borderId="10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93" fontId="0" fillId="0" borderId="2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3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13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8" fillId="4" borderId="1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2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2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0" fontId="12" fillId="0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0" fillId="0" borderId="10" xfId="0" applyFont="false" applyBorder="true" applyAlignment="true" applyProtection="true">
      <alignment horizontal="general" vertical="top" textRotation="0" wrapText="false" indent="0" shrinkToFit="false"/>
      <protection locked="true" hidden="false"/>
    </xf>
    <xf numFmtId="167" fontId="20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20" fillId="4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0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18" fillId="4" borderId="4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2" fontId="18" fillId="4" borderId="4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2" fontId="18" fillId="4" borderId="4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8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94" fontId="18" fillId="2" borderId="3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0" fillId="0" borderId="36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80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37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0" fillId="4" borderId="37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8" fontId="0" fillId="4" borderId="39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95" fontId="0" fillId="0" borderId="3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7" fontId="0" fillId="0" borderId="3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39" xfId="0" applyFont="false" applyBorder="true" applyAlignment="true" applyProtection="true">
      <alignment horizontal="general" vertical="bottom" textRotation="0" wrapText="false" indent="0" shrinkToFit="true"/>
      <protection locked="false" hidden="false"/>
    </xf>
    <xf numFmtId="178" fontId="0" fillId="4" borderId="38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8" fillId="8" borderId="1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8" fillId="8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8" fillId="8" borderId="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8" fillId="8" borderId="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8" fillId="8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8" fillId="8" borderId="13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0" fillId="8" borderId="4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3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7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8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8" fillId="2" borderId="13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0" fillId="2" borderId="4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4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4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3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3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0" borderId="0" xfId="0" applyFont="fals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23" fillId="0" borderId="3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3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0" xfId="22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20" fillId="0" borderId="0" xfId="0" applyFont="true" applyBorder="false" applyAlignment="true" applyProtection="true">
      <alignment horizontal="left" vertical="center" textRotation="0" wrapText="false" indent="15" shrinkToFit="false"/>
      <protection locked="true" hidden="false"/>
    </xf>
    <xf numFmtId="164" fontId="65" fillId="0" borderId="1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8" fillId="0" borderId="8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88" fontId="18" fillId="0" borderId="8" xfId="17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18" fillId="0" borderId="1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0" fillId="0" borderId="30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9" fontId="18" fillId="0" borderId="3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13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9" fontId="0" fillId="0" borderId="13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0" fillId="0" borderId="10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8" fillId="4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9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0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4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7" fontId="18" fillId="0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18" fillId="0" borderId="2" xf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86" fontId="0" fillId="0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7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7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true">
      <alignment horizontal="left" vertical="top" textRotation="0" wrapText="false" indent="0" shrinkToFit="false"/>
      <protection locked="true" hidden="false"/>
    </xf>
    <xf numFmtId="168" fontId="0" fillId="0" borderId="38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9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6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8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0" fillId="4" borderId="8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86" fontId="0" fillId="4" borderId="8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86" fontId="0" fillId="4" borderId="4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9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90" fontId="5" fillId="2" borderId="9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90" fontId="5" fillId="2" borderId="7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90" fontId="5" fillId="2" borderId="9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90" fontId="5" fillId="2" borderId="7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18" fillId="2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1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2" borderId="4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2" borderId="36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2" borderId="6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2" borderId="8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1" borderId="9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0" fillId="4" borderId="5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0" fillId="4" borderId="9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86" fontId="66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9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86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68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69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7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1" borderId="9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0" fillId="4" borderId="4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0" fillId="4" borderId="4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21" fillId="2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21" fillId="2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21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21" fillId="2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6" fontId="21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22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22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96" fontId="0" fillId="0" borderId="0" xfId="22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8" fontId="0" fillId="4" borderId="0" xfId="22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96" fontId="0" fillId="0" borderId="0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22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4" borderId="0" xfId="22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0" fillId="0" borderId="0" xfId="22" applyFont="true" applyBorder="true" applyAlignment="true" applyProtection="true">
      <alignment horizontal="left" vertical="top" textRotation="0" wrapText="true" indent="0" shrinkToFit="true"/>
      <protection locked="true" hidden="false"/>
    </xf>
    <xf numFmtId="164" fontId="0" fillId="0" borderId="0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0" xfId="2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0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51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2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92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7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9" fontId="18" fillId="0" borderId="38" xfId="15" applyFont="true" applyBorder="true" applyAlignment="true" applyProtection="true">
      <alignment horizontal="general" vertical="top" textRotation="0" wrapText="false" indent="0" shrinkToFit="true"/>
      <protection locked="true" hidden="false"/>
    </xf>
    <xf numFmtId="189" fontId="18" fillId="0" borderId="39" xfId="15" applyFont="true" applyBorder="true" applyAlignment="true" applyProtection="true">
      <alignment horizontal="general" vertical="top" textRotation="0" wrapText="false" indent="0" shrinkToFit="true"/>
      <protection locked="true" hidden="false"/>
    </xf>
    <xf numFmtId="164" fontId="0" fillId="0" borderId="44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9" fontId="18" fillId="0" borderId="46" xfId="15" applyFont="true" applyBorder="true" applyAlignment="true" applyProtection="true">
      <alignment horizontal="right" vertical="top" textRotation="0" wrapText="false" indent="0" shrinkToFit="true"/>
      <protection locked="true" hidden="false"/>
    </xf>
    <xf numFmtId="170" fontId="18" fillId="0" borderId="46" xfId="1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70" fontId="18" fillId="0" borderId="45" xfId="1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0" fillId="4" borderId="0" xfId="22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0" fillId="4" borderId="0" xfId="22" applyFont="true" applyBorder="false" applyAlignment="true" applyProtection="true">
      <alignment horizontal="general" vertical="top" textRotation="0" wrapText="true" indent="0" shrinkToFit="false"/>
      <protection locked="false" hidden="false"/>
    </xf>
    <xf numFmtId="164" fontId="0" fillId="0" borderId="3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22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0" xfId="24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4" fillId="0" borderId="0" xfId="24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8" fillId="16" borderId="0" xfId="24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68" fillId="16" borderId="0" xfId="24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8" xf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0" fillId="17" borderId="8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97" fontId="0" fillId="0" borderId="8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98" fontId="0" fillId="0" borderId="8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97" fontId="0" fillId="17" borderId="8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97" fontId="0" fillId="17" borderId="8" xf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8" xf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0" fillId="0" borderId="8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1" xf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8" xf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0" fillId="0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1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_Composicao BDI v2.1" xfId="21"/>
    <cellStyle name="Normal 2" xfId="22"/>
    <cellStyle name="Normal 3" xfId="23"/>
    <cellStyle name="Normal 4" xfId="24"/>
    <cellStyle name="Normal_FICHA DE VERIFICAÇÃO PRELIMINAR - Plano R" xfId="25"/>
    <cellStyle name="Porcentagem 2" xfId="26"/>
    <cellStyle name="Título 5" xfId="27"/>
    <cellStyle name="Vírgula 2" xfId="28"/>
    <cellStyle name="*unknown*" xfId="20" builtinId="8"/>
  </cellStyles>
  <dxfs count="765"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b val="0"/>
        <color rgb="FFFF0000"/>
      </font>
    </dxf>
    <dxf>
      <font>
        <b val="0"/>
        <color rgb="FFFF0000"/>
      </font>
    </dxf>
    <dxf>
      <font>
        <b val="0"/>
        <color rgb="FFFFFFFF"/>
      </font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ill>
        <patternFill patternType="solid">
          <bgColor rgb="FF00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0"/>
        </patternFill>
      </fill>
    </dxf>
    <dxf>
      <font>
        <color rgb="FFFFFFFF"/>
      </font>
      <fill>
        <patternFill>
          <bgColor theme="0"/>
        </patternFill>
      </fill>
    </dxf>
    <dxf>
      <font>
        <color rgb="FFFFFFFF"/>
      </font>
      <fill>
        <patternFill>
          <bgColor theme="0"/>
        </patternFill>
      </fill>
    </dxf>
    <dxf>
      <font>
        <color rgb="FFFFFFFF"/>
      </font>
      <fill>
        <patternFill>
          <bgColor theme="0"/>
        </patternFill>
      </fill>
    </dxf>
    <dxf>
      <font>
        <color rgb="FFFFFFFF"/>
      </font>
      <fill>
        <patternFill>
          <bgColor theme="0"/>
        </patternFill>
      </fill>
    </dxf>
    <dxf>
      <font>
        <color rgb="FFFFFFFF"/>
      </font>
      <fill>
        <patternFill>
          <bgColor theme="0"/>
        </patternFill>
      </fill>
    </dxf>
    <dxf>
      <font>
        <b val="1"/>
        <i val="0"/>
        <color rgb="FFFFFFFF"/>
      </font>
      <border diagonalUp="false" diagonalDown="false">
        <left/>
        <right/>
        <top style="thin"/>
        <bottom/>
        <diagonal/>
      </border>
    </dxf>
    <dxf>
      <font>
        <b val="0"/>
        <color rgb="FFFF0000"/>
      </font>
      <border diagonalUp="false" diagonalDown="false">
        <left style="thin"/>
        <right style="thin"/>
        <top style="thin"/>
        <bottom style="thin"/>
        <diagonal/>
      </border>
    </dxf>
    <dxf>
      <font>
        <b val="0"/>
        <color rgb="FF008000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  <color rgb="FF0070C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border diagonalUp="false" diagonalDown="false">
        <left/>
        <right/>
        <top style="thin"/>
        <bottom/>
        <diagonal/>
      </border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border diagonalUp="false" diagonalDown="false">
        <left style="thin"/>
        <right style="thin"/>
        <top/>
        <bottom/>
        <diagonal/>
      </border>
    </dxf>
    <dxf>
      <fill>
        <patternFill patternType="solid">
          <fgColor rgb="FFFFFFFF"/>
          <bgColor rgb="FF000000"/>
        </patternFill>
      </fill>
    </dxf>
    <dxf>
      <font>
        <color rgb="FFFFFFFF"/>
      </font>
      <fill>
        <patternFill>
          <bgColor theme="0"/>
        </patternFill>
      </fill>
      <border diagonalUp="false" diagonalDown="false">
        <left/>
        <right/>
        <top/>
        <bottom/>
        <diagonal/>
      </border>
    </dxf>
    <dxf>
      <font>
        <color rgb="FFFFFFFF"/>
      </font>
      <border diagonalUp="false" diagonalDown="false">
        <left/>
        <right/>
        <top/>
        <bottom/>
        <diagonal/>
      </border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color rgb="FFFF0000"/>
      </font>
    </dxf>
    <dxf>
      <font>
        <b val="1"/>
        <i val="0"/>
        <color rgb="FFFF0000"/>
      </font>
    </dxf>
    <dxf>
      <font>
        <color rgb="FFD9D9D9"/>
      </font>
    </dxf>
    <dxf>
      <font>
        <color rgb="FFFFFFFF"/>
      </font>
    </dxf>
    <dxf>
      <font>
        <color rgb="FFD9D9D9"/>
      </font>
    </dxf>
    <dxf>
      <font>
        <color rgb="FFFFFFFF"/>
      </font>
    </dxf>
    <dxf>
      <font>
        <color rgb="FFD9D9D9"/>
      </font>
    </dxf>
    <dxf>
      <font>
        <color rgb="FFBFBFBF"/>
      </font>
    </dxf>
    <dxf>
      <font>
        <b val="1"/>
        <i val="0"/>
        <color rgb="FFFF0000"/>
      </font>
    </dxf>
    <dxf>
      <font>
        <color rgb="FFD9D9D9"/>
      </font>
    </dxf>
    <dxf>
      <font>
        <color rgb="FFFFFFFF"/>
      </font>
    </dxf>
    <dxf>
      <font>
        <color rgb="FFD9D9D9"/>
      </font>
    </dxf>
    <dxf>
      <font>
        <color rgb="FFFFFFFF"/>
      </font>
    </dxf>
    <dxf>
      <font>
        <color rgb="FFD9D9D9"/>
      </font>
    </dxf>
    <dxf>
      <font>
        <color rgb="FFBFBFBF"/>
      </font>
    </dxf>
    <dxf>
      <font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color rgb="FFD9D9D9"/>
      </font>
    </dxf>
    <dxf>
      <font>
        <color rgb="FFFFFFFF"/>
      </font>
      <fill>
        <patternFill>
          <bgColor theme="0"/>
        </patternFill>
      </fill>
      <border diagonalUp="false" diagonalDown="false">
        <left/>
        <right/>
        <top/>
        <bottom/>
        <diagonal/>
      </border>
    </dxf>
    <dxf>
      <font>
        <color rgb="FFFFFFFF"/>
      </font>
      <fill>
        <patternFill>
          <bgColor theme="0"/>
        </patternFill>
      </fill>
      <border diagonalUp="false" diagonalDown="false">
        <left/>
        <right/>
        <top/>
        <bottom/>
        <diagonal/>
      </border>
    </dxf>
    <dxf>
      <font>
        <color rgb="FFFFFFFF"/>
      </font>
    </dxf>
    <dxf>
      <font>
        <color rgb="FFD9D9D9"/>
      </font>
    </dxf>
    <dxf>
      <font>
        <color rgb="FFFFFFFF"/>
      </font>
    </dxf>
    <dxf>
      <font>
        <color rgb="FFD9D9D9"/>
      </font>
    </dxf>
    <dxf>
      <font>
        <color rgb="FFBFBFBF"/>
      </font>
    </dxf>
    <dxf>
      <font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ill>
        <patternFill patternType="solid">
          <fgColor rgb="FF000000"/>
          <bgColor rgb="FF000000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FFFF"/>
      </font>
      <border diagonalUp="false" diagonalDown="false">
        <left/>
        <right/>
        <top/>
        <bottom/>
        <diagonal/>
      </border>
    </dxf>
    <dxf>
      <fill>
        <patternFill>
          <bgColor rgb="FFFFFF99"/>
        </patternFill>
      </fill>
    </dxf>
    <dxf>
      <font>
        <color rgb="FFFFFFFF"/>
      </font>
      <border diagonalUp="false" diagonalDown="false">
        <left/>
        <right/>
        <top/>
        <bottom/>
        <diagonal/>
      </border>
    </dxf>
    <dxf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FFFFFF"/>
      </font>
    </dxf>
    <dxf>
      <font>
        <color rgb="FFFF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FFFFFF"/>
      </font>
    </dxf>
    <dxf>
      <font>
        <color rgb="FFFFFFFF"/>
      </font>
      <fill>
        <patternFill>
          <bgColor theme="0"/>
        </patternFill>
      </fill>
      <border diagonalUp="false" diagonalDown="false">
        <left/>
        <right/>
        <top/>
        <bottom/>
        <diagonal/>
      </border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0000"/>
      </font>
    </dxf>
    <dxf>
      <font>
        <b val="1"/>
        <i val="0"/>
      </font>
      <fill>
        <patternFill>
          <bgColor rgb="FFFF0000"/>
        </patternFill>
      </fill>
    </dxf>
    <dxf>
      <font>
        <color rgb="FFFFFFFF"/>
      </font>
      <border diagonalUp="false" diagonalDown="false">
        <left/>
        <right/>
        <top/>
        <bottom/>
        <diagonal/>
      </border>
    </dxf>
    <dxf>
      <fill>
        <patternFill>
          <bgColor rgb="FFFFFF99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color rgb="FFC0C0C0"/>
      </font>
    </dxf>
    <dxf>
      <font>
        <b val="0"/>
        <color rgb="FFFFFFFF"/>
      </font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FFFFFF"/>
      </font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FFFFFF"/>
      </font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b val="0"/>
        <color rgb="FFFFFFFF"/>
      </font>
      <border diagonalUp="false" diagonalDown="false">
        <left/>
        <right style="thin"/>
        <top/>
        <bottom/>
        <diagonal/>
      </border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FF0000"/>
      </font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color rgb="FFFF0000"/>
      </font>
    </dxf>
    <dxf>
      <font>
        <b val="1"/>
        <i val="0"/>
        <color rgb="FFFF0000"/>
      </font>
    </dxf>
    <dxf>
      <font>
        <color rgb="FFD9D9D9"/>
      </font>
    </dxf>
    <dxf>
      <font>
        <color rgb="FFFFFFFF"/>
      </font>
    </dxf>
    <dxf>
      <fill>
        <patternFill>
          <bgColor rgb="FFFFC00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FFFFFF"/>
      </font>
      <border diagonalUp="false" diagonalDown="false">
        <left/>
        <right style="thin"/>
        <top/>
        <bottom/>
        <diagonal/>
      </border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FF0000"/>
      </font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color rgb="FFFF0000"/>
      </font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0"/>
        <color rgb="FFFFFFFF"/>
      </font>
    </dxf>
    <dxf>
      <font>
        <b val="1"/>
        <i val="0"/>
        <color rgb="FFFFFFFF"/>
      </font>
      <fill>
        <patternFill>
          <bgColor rgb="FFFF0000"/>
        </patternFill>
      </fill>
    </dxf>
    <dxf>
      <fill>
        <patternFill>
          <bgColor rgb="FFFFCC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0"/>
        <color rgb="FFFFFFFF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1"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1"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1"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DFDFDF"/>
      <rgbColor rgb="FFFF00FF"/>
      <rgbColor rgb="FF00FFFF"/>
      <rgbColor rgb="FF800000"/>
      <rgbColor rgb="FF008000"/>
      <rgbColor rgb="FF000080"/>
      <rgbColor rgb="FF808000"/>
      <rgbColor rgb="FF800080"/>
      <rgbColor rgb="FF0070C0"/>
      <rgbColor rgb="FFC0C0C0"/>
      <rgbColor rgb="FF808080"/>
      <rgbColor rgb="FF9999FF"/>
      <rgbColor rgb="FF993366"/>
      <rgbColor rgb="FFF2F2F2"/>
      <rgbColor rgb="FFF2F2FF"/>
      <rgbColor rgb="FF660066"/>
      <rgbColor rgb="FFD9D9D9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3F3FF"/>
      <rgbColor rgb="FFF0F0F0"/>
      <rgbColor rgb="FFFFFF99"/>
      <rgbColor rgb="FF99CCFF"/>
      <rgbColor rgb="FFBFBFBF"/>
      <rgbColor rgb="FFA8A8A8"/>
      <rgbColor rgb="FFFFCC99"/>
      <rgbColor rgb="FF3366FF"/>
      <rgbColor rgb="FF33CCCC"/>
      <rgbColor rgb="FF99CC00"/>
      <rgbColor rgb="FFFFCC00"/>
      <rgbColor rgb="FFFFC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externalLink" Target="externalLinks/externalLink1.xml"/><Relationship Id="rId22" Type="http://schemas.openxmlformats.org/officeDocument/2006/relationships/externalLink" Target="externalLinks/externalLink2.xml"/><Relationship Id="rId23" Type="http://schemas.openxmlformats.org/officeDocument/2006/relationships/externalLink" Target="externalLinks/externalLink3.xml"/><Relationship Id="rId24" Type="http://schemas.openxmlformats.org/officeDocument/2006/relationships/externalLink" Target="externalLinks/externalLink4.xml"/><Relationship Id="rId25" Type="http://schemas.openxmlformats.org/officeDocument/2006/relationships/sharedStrings" Target="sharedStrings.xml"/>
</Relationships>
</file>

<file path=xl/ctrlProps/ctrlProps3.xml><?xml version="1.0" encoding="utf-8"?>
<formControlPr xmlns="http://schemas.microsoft.com/office/spreadsheetml/2009/9/main" objectType="CheckBox" autoLine="false" print="true" fmlaLink="NOVO!$K$1" lockText="1" noThreeD="1"/>
</file>

<file path=xl/ctrlProps/ctrlProps4.xml><?xml version="1.0" encoding="utf-8"?>
<formControlPr xmlns="http://schemas.microsoft.com/office/spreadsheetml/2009/9/main" objectType="CheckBox" checked="Checked" autoLine="false" print="true" fmlaLink="MENU!$K$2" lockText="1" noThreeD="1"/>
</file>

<file path=xl/ctrlProps/ctrlProps8.xml><?xml version="1.0" encoding="utf-8"?>
<formControlPr xmlns="http://schemas.microsoft.com/office/spreadsheetml/2009/9/main" objectType="CheckBox" autoLine="false" print="true" fmlaLink="NOVO!$AF$7" lockText="1" noThreeD="1"/>
</file>

<file path=xl/ctrlProps/ctrlProps9.xml><?xml version="1.0" encoding="utf-8"?>
<formControlPr xmlns="http://schemas.microsoft.com/office/spreadsheetml/2009/9/main" objectType="CheckBox" checked="Checked" autoLine="false" print="true" fmlaLink="ORÇAMENTO!$AF$8" lockText="1" noThreeD="1"/>
</file>

<file path=xl/ctrlProps/ctrlProps10.xml><?xml version="1.0" encoding="utf-8"?>
<formControlPr xmlns="http://schemas.microsoft.com/office/spreadsheetml/2009/9/main" objectType="CheckBox" checked="Checked" autoLine="false" print="true" fmlaLink="ORÇAMENTO!$AF$9" lockText="1" noThreeD="1"/>
</file>

<file path=xl/ctrlProps/ctrlProps11.xml><?xml version="1.0" encoding="utf-8"?>
<formControlPr xmlns="http://schemas.microsoft.com/office/spreadsheetml/2009/9/main" objectType="CheckBox" checked="Checked" autoLine="false" print="true" fmlaLink="ORÇAMENTO!$AF$10" lockText="1" noThreeD="1"/>
</file>

<file path=xl/ctrlProps/ctrlProps12.xml><?xml version="1.0" encoding="utf-8"?>
<formControlPr xmlns="http://schemas.microsoft.com/office/spreadsheetml/2009/9/main" objectType="CheckBox" checked="Checked" autoLine="false" print="true" fmlaLink="ORÇAMENTO!$AF$11" lockText="1" noThreeD="1"/>
</file>

<file path=xl/ctrlProps/ctrlProps20.xml><?xml version="1.0" encoding="utf-8"?>
<formControlPr xmlns="http://schemas.microsoft.com/office/spreadsheetml/2009/9/main" objectType="CheckBox" autoLine="false" print="true" fmlaLink="NOVO!$A$9" lockText="1" noThreeD="1"/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#MENU!E6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hyperlink" Target="#BDI!J14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OR&#199;AMENTO!M13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BDI!J14"/><Relationship Id="rId4" Type="http://schemas.openxmlformats.org/officeDocument/2006/relationships/hyperlink" Target="#C&#193;LCULO!I16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hyperlink" Target="#C&#193;LCULO!A1"/><Relationship Id="rId2" Type="http://schemas.openxmlformats.org/officeDocument/2006/relationships/image" Target="../media/image2.wmf"/><Relationship Id="rId3" Type="http://schemas.openxmlformats.org/officeDocument/2006/relationships/hyperlink" Target="#MENU!E6"/><Relationship Id="rId4" Type="http://schemas.openxmlformats.org/officeDocument/2006/relationships/hyperlink" Target="#OR&#199;AMENTO!M13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hyperlink" Target="#OR&#199;AMENTO!M13"/><Relationship Id="rId3" Type="http://schemas.openxmlformats.org/officeDocument/2006/relationships/image" Target="../media/image2.wmf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hyperlink" Target="#EVENTOS!D15"/><Relationship Id="rId2" Type="http://schemas.openxmlformats.org/officeDocument/2006/relationships/image" Target="../media/image2.wmf"/><Relationship Id="rId3" Type="http://schemas.openxmlformats.org/officeDocument/2006/relationships/hyperlink" Target="#MENU!E6"/><Relationship Id="rId4" Type="http://schemas.openxmlformats.org/officeDocument/2006/relationships/hyperlink" Target="#CRONO!E7"/><Relationship Id="rId5" Type="http://schemas.openxmlformats.org/officeDocument/2006/relationships/hyperlink" Target="#C&#193;LCULO!Q12"/>
</Relationships>
</file>

<file path=xl/drawings/_rels/drawing16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image" Target="../media/image2.wmf"/><Relationship Id="rId3" Type="http://schemas.openxmlformats.org/officeDocument/2006/relationships/hyperlink" Target="#QCI!H13"/><Relationship Id="rId4" Type="http://schemas.openxmlformats.org/officeDocument/2006/relationships/hyperlink" Target="#OR&#199;AMENTO!T16"/>
</Relationships>
</file>

<file path=xl/drawings/_rels/drawing17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image" Target="../media/image2.wmf"/><Relationship Id="rId3" Type="http://schemas.openxmlformats.org/officeDocument/2006/relationships/hyperlink" Target="#DADOS!E21"/>
</Relationships>
</file>

<file path=xl/drawings/_rels/drawing18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hyperlink" Target="#C&#193;LCULO!D13"/><Relationship Id="rId3" Type="http://schemas.openxmlformats.org/officeDocument/2006/relationships/hyperlink" Target="#RRE!E13"/><Relationship Id="rId4" Type="http://schemas.openxmlformats.org/officeDocument/2006/relationships/image" Target="../media/image2.wmf"/><Relationship Id="rId5" Type="http://schemas.openxmlformats.org/officeDocument/2006/relationships/hyperlink" Target="#CRONOPLE!G15"/>
</Relationships>
</file>

<file path=xl/drawings/_rels/drawing19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hyperlink" Target="#CRONO!T14"/><Relationship Id="rId3" Type="http://schemas.openxmlformats.org/officeDocument/2006/relationships/image" Target="../media/image2.wmf"/><Relationship Id="rId4" Type="http://schemas.openxmlformats.org/officeDocument/2006/relationships/hyperlink" Target="#RRE!E13"/><Relationship Id="rId5" Type="http://schemas.openxmlformats.org/officeDocument/2006/relationships/hyperlink" Target="#DADOS!F40"/>
</Relationships>
</file>

<file path=xl/drawings/_rels/drawing21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image" Target="../media/image2.wmf"/><Relationship Id="rId3" Type="http://schemas.openxmlformats.org/officeDocument/2006/relationships/hyperlink" Target="#OF&#205;CIO:OF&#205;CIO.$F:$F"/>
</Relationships>
</file>

<file path=xl/drawings/_rels/drawing22.xml.rels><?xml version="1.0" encoding="UTF-8"?>
<Relationships xmlns="http://schemas.openxmlformats.org/package/2006/relationships"><Relationship Id="rId1" Type="http://schemas.openxmlformats.org/officeDocument/2006/relationships/hyperlink" Target="#DADOS!E46"/><Relationship Id="rId2" Type="http://schemas.openxmlformats.org/officeDocument/2006/relationships/hyperlink" Target="#RRE!E13"/><Relationship Id="rId3" Type="http://schemas.openxmlformats.org/officeDocument/2006/relationships/hyperlink" Target="#MENU!E6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104760</xdr:colOff>
      <xdr:row>0</xdr:row>
      <xdr:rowOff>76320</xdr:rowOff>
    </xdr:from>
    <xdr:to>
      <xdr:col>1</xdr:col>
      <xdr:colOff>102240</xdr:colOff>
      <xdr:row>2</xdr:row>
      <xdr:rowOff>48960</xdr:rowOff>
    </xdr:to>
    <xdr:sp>
      <xdr:nvSpPr>
        <xdr:cNvPr id="0" name="AutoShape 67">
          <a:hlinkClick r:id="rId1"/>
        </xdr:cNvPr>
        <xdr:cNvSpPr/>
      </xdr:nvSpPr>
      <xdr:spPr>
        <a:xfrm>
          <a:off x="104760" y="76320"/>
          <a:ext cx="601200" cy="296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2</xdr:col>
      <xdr:colOff>2087280</xdr:colOff>
      <xdr:row>2</xdr:row>
      <xdr:rowOff>258480</xdr:rowOff>
    </xdr:to>
    <xdr:pic>
      <xdr:nvPicPr>
        <xdr:cNvPr id="1" name="Imagem 23" descr=""/>
        <xdr:cNvPicPr/>
      </xdr:nvPicPr>
      <xdr:blipFill>
        <a:blip r:embed="rId1"/>
        <a:stretch/>
      </xdr:blipFill>
      <xdr:spPr>
        <a:xfrm>
          <a:off x="201240" y="190440"/>
          <a:ext cx="2479680" cy="544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9</xdr:col>
      <xdr:colOff>66600</xdr:colOff>
      <xdr:row>6</xdr:row>
      <xdr:rowOff>159840</xdr:rowOff>
    </xdr:from>
    <xdr:to>
      <xdr:col>9</xdr:col>
      <xdr:colOff>1201320</xdr:colOff>
      <xdr:row>9</xdr:row>
      <xdr:rowOff>46800</xdr:rowOff>
    </xdr:to>
    <xdr:sp>
      <xdr:nvSpPr>
        <xdr:cNvPr id="2" name="Bot.ImprimirProposta"/>
        <xdr:cNvSpPr/>
      </xdr:nvSpPr>
      <xdr:spPr>
        <a:xfrm>
          <a:off x="10194120" y="1607760"/>
          <a:ext cx="1134720" cy="4773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66600</xdr:colOff>
      <xdr:row>15</xdr:row>
      <xdr:rowOff>17280</xdr:rowOff>
    </xdr:from>
    <xdr:to>
      <xdr:col>9</xdr:col>
      <xdr:colOff>1201320</xdr:colOff>
      <xdr:row>17</xdr:row>
      <xdr:rowOff>65880</xdr:rowOff>
    </xdr:to>
    <xdr:sp>
      <xdr:nvSpPr>
        <xdr:cNvPr id="3" name="Bot.ImprimirLicitacao"/>
        <xdr:cNvSpPr/>
      </xdr:nvSpPr>
      <xdr:spPr>
        <a:xfrm>
          <a:off x="10194120" y="3236760"/>
          <a:ext cx="1134720" cy="4773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57240</xdr:colOff>
      <xdr:row>19</xdr:row>
      <xdr:rowOff>9720</xdr:rowOff>
    </xdr:from>
    <xdr:to>
      <xdr:col>9</xdr:col>
      <xdr:colOff>1191960</xdr:colOff>
      <xdr:row>21</xdr:row>
      <xdr:rowOff>66240</xdr:rowOff>
    </xdr:to>
    <xdr:sp>
      <xdr:nvSpPr>
        <xdr:cNvPr id="4" name="Bot.ImprimirAcompanhamento"/>
        <xdr:cNvSpPr/>
      </xdr:nvSpPr>
      <xdr:spPr>
        <a:xfrm>
          <a:off x="10184760" y="4086360"/>
          <a:ext cx="1134720" cy="4852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66600</xdr:colOff>
      <xdr:row>2</xdr:row>
      <xdr:rowOff>0</xdr:rowOff>
    </xdr:from>
    <xdr:to>
      <xdr:col>11</xdr:col>
      <xdr:colOff>218880</xdr:colOff>
      <xdr:row>5</xdr:row>
      <xdr:rowOff>65880</xdr:rowOff>
    </xdr:to>
    <xdr:sp>
      <xdr:nvSpPr>
        <xdr:cNvPr id="5" name="Bot.Importar"/>
        <xdr:cNvSpPr/>
      </xdr:nvSpPr>
      <xdr:spPr>
        <a:xfrm>
          <a:off x="10194120" y="476280"/>
          <a:ext cx="1703160" cy="7707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IMPORTAR DE OUTRA PLANILHA MÚLTIPLA</a:t>
          </a:r>
          <a:endParaRPr b="0" lang="pt-BR" sz="11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(A PARTIR DA VERSÃO 3)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11</xdr:col>
      <xdr:colOff>371520</xdr:colOff>
      <xdr:row>2</xdr:row>
      <xdr:rowOff>28440</xdr:rowOff>
    </xdr:from>
    <xdr:to>
      <xdr:col>13</xdr:col>
      <xdr:colOff>1168560</xdr:colOff>
      <xdr:row>5</xdr:row>
      <xdr:rowOff>89280</xdr:rowOff>
    </xdr:to>
    <xdr:sp>
      <xdr:nvSpPr>
        <xdr:cNvPr id="6" name="Bot.Importar"/>
        <xdr:cNvSpPr/>
      </xdr:nvSpPr>
      <xdr:spPr>
        <a:xfrm>
          <a:off x="12049920" y="504720"/>
          <a:ext cx="1518840" cy="7657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IMPORTAR DE OUTROS MODELOS CAIXA</a:t>
          </a:r>
          <a:endParaRPr b="0" lang="pt-BR" sz="11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i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(PO / PLE / QCI)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28440</xdr:colOff>
      <xdr:row>9</xdr:row>
      <xdr:rowOff>181080</xdr:rowOff>
    </xdr:from>
    <xdr:to>
      <xdr:col>9</xdr:col>
      <xdr:colOff>1245960</xdr:colOff>
      <xdr:row>13</xdr:row>
      <xdr:rowOff>77760</xdr:rowOff>
    </xdr:to>
    <xdr:sp>
      <xdr:nvSpPr>
        <xdr:cNvPr id="7" name="Bot.ImprimirProposta"/>
        <xdr:cNvSpPr/>
      </xdr:nvSpPr>
      <xdr:spPr>
        <a:xfrm>
          <a:off x="10155960" y="2219400"/>
          <a:ext cx="1217520" cy="7538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GERAR ARQUIVO PARA UPLOAD NO TRANSFEREGOV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442440</xdr:colOff>
          <xdr:row>0</xdr:row>
          <xdr:rowOff>47520</xdr:rowOff>
        </xdr:from>
        <xdr:to>
          <xdr:col>11</xdr:col>
          <xdr:colOff>40320</xdr:colOff>
          <xdr:row>1</xdr:row>
          <xdr:rowOff>56880</xdr:rowOff>
        </xdr:to>
        <xdr:sp>
          <xdr:nvSpPr>
            <xdr:cNvPr id="1001" name="Check Box 95" descr="Importar Fórmulas para o Custo Unitário (aba ORÇAMENTO)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Importar Fórmulas para o Custo Unitário (aba ORÇAMENTO)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38160</xdr:colOff>
          <xdr:row>1</xdr:row>
          <xdr:rowOff>66600</xdr:rowOff>
        </xdr:from>
        <xdr:to>
          <xdr:col>13</xdr:col>
          <xdr:colOff>2390400</xdr:colOff>
          <xdr:row>2</xdr:row>
          <xdr:rowOff>-57240</xdr:rowOff>
        </xdr:to>
        <xdr:sp>
          <xdr:nvSpPr>
            <xdr:cNvPr id="1002" name="Check Box 96" descr="Importar Fórmulas para as Quantidades da PLQ (aba CÁLCULO)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Importar Fórmulas para as Quantidades da PLQ (aba CÁLCULO)</a:t>
              </a:r>
            </a:p>
          </xdr:txBody>
        </xdr:sp>
        <xdr:clientData/>
      </xdr:twoCellAnchor>
    </mc:Choice>
  </mc:AlternateContent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64800</xdr:colOff>
      <xdr:row>0</xdr:row>
      <xdr:rowOff>38160</xdr:rowOff>
    </xdr:from>
    <xdr:to>
      <xdr:col>0</xdr:col>
      <xdr:colOff>635760</xdr:colOff>
      <xdr:row>1</xdr:row>
      <xdr:rowOff>134640</xdr:rowOff>
    </xdr:to>
    <xdr:sp>
      <xdr:nvSpPr>
        <xdr:cNvPr id="8" name="AutoShape 67">
          <a:hlinkClick r:id="rId1"/>
        </xdr:cNvPr>
        <xdr:cNvSpPr/>
      </xdr:nvSpPr>
      <xdr:spPr>
        <a:xfrm>
          <a:off x="64800" y="38160"/>
          <a:ext cx="570960" cy="296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2809800</xdr:colOff>
      <xdr:row>0</xdr:row>
      <xdr:rowOff>14760</xdr:rowOff>
    </xdr:from>
    <xdr:to>
      <xdr:col>2</xdr:col>
      <xdr:colOff>3528000</xdr:colOff>
      <xdr:row>1</xdr:row>
      <xdr:rowOff>123120</xdr:rowOff>
    </xdr:to>
    <xdr:sp>
      <xdr:nvSpPr>
        <xdr:cNvPr id="9" name="AutoShape 67">
          <a:hlinkClick r:id="rId2"/>
        </xdr:cNvPr>
        <xdr:cNvSpPr/>
      </xdr:nvSpPr>
      <xdr:spPr>
        <a:xfrm>
          <a:off x="6554880" y="14760"/>
          <a:ext cx="718200" cy="3085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BDI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1738080</xdr:colOff>
      <xdr:row>33</xdr:row>
      <xdr:rowOff>113760</xdr:rowOff>
    </xdr:from>
    <xdr:to>
      <xdr:col>2</xdr:col>
      <xdr:colOff>3528000</xdr:colOff>
      <xdr:row>35</xdr:row>
      <xdr:rowOff>65160</xdr:rowOff>
    </xdr:to>
    <xdr:sp>
      <xdr:nvSpPr>
        <xdr:cNvPr id="10" name="AutoShape 67"/>
        <xdr:cNvSpPr/>
      </xdr:nvSpPr>
      <xdr:spPr>
        <a:xfrm>
          <a:off x="5483160" y="6143760"/>
          <a:ext cx="1789920" cy="3038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ORÇAMENTO LICITADO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2324160</xdr:colOff>
      <xdr:row>44</xdr:row>
      <xdr:rowOff>151920</xdr:rowOff>
    </xdr:from>
    <xdr:to>
      <xdr:col>2</xdr:col>
      <xdr:colOff>3528000</xdr:colOff>
      <xdr:row>46</xdr:row>
      <xdr:rowOff>103680</xdr:rowOff>
    </xdr:to>
    <xdr:sp>
      <xdr:nvSpPr>
        <xdr:cNvPr id="11" name="AutoShape 67"/>
        <xdr:cNvSpPr/>
      </xdr:nvSpPr>
      <xdr:spPr>
        <a:xfrm>
          <a:off x="6069240" y="8020080"/>
          <a:ext cx="1203840" cy="3042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MEDIÇÃO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30600</xdr:colOff>
      <xdr:row>0</xdr:row>
      <xdr:rowOff>15120</xdr:rowOff>
    </xdr:from>
    <xdr:to>
      <xdr:col>11</xdr:col>
      <xdr:colOff>403200</xdr:colOff>
      <xdr:row>2</xdr:row>
      <xdr:rowOff>46800</xdr:rowOff>
    </xdr:to>
    <xdr:pic>
      <xdr:nvPicPr>
        <xdr:cNvPr id="12" name="Logo1" descr=""/>
        <xdr:cNvPicPr/>
      </xdr:nvPicPr>
      <xdr:blipFill>
        <a:blip r:embed="rId1"/>
        <a:stretch/>
      </xdr:blipFill>
      <xdr:spPr>
        <a:xfrm>
          <a:off x="1027080" y="15120"/>
          <a:ext cx="1862280" cy="3841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7</xdr:col>
      <xdr:colOff>176760</xdr:colOff>
      <xdr:row>0</xdr:row>
      <xdr:rowOff>50760</xdr:rowOff>
    </xdr:from>
    <xdr:to>
      <xdr:col>8</xdr:col>
      <xdr:colOff>27720</xdr:colOff>
      <xdr:row>1</xdr:row>
      <xdr:rowOff>161280</xdr:rowOff>
    </xdr:to>
    <xdr:sp>
      <xdr:nvSpPr>
        <xdr:cNvPr id="13" name="AutoShape 67">
          <a:hlinkClick r:id="rId2"/>
        </xdr:cNvPr>
        <xdr:cNvSpPr/>
      </xdr:nvSpPr>
      <xdr:spPr>
        <a:xfrm>
          <a:off x="176760" y="50760"/>
          <a:ext cx="595800" cy="3009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176760</xdr:colOff>
      <xdr:row>2</xdr:row>
      <xdr:rowOff>24120</xdr:rowOff>
    </xdr:from>
    <xdr:to>
      <xdr:col>8</xdr:col>
      <xdr:colOff>27720</xdr:colOff>
      <xdr:row>4</xdr:row>
      <xdr:rowOff>8640</xdr:rowOff>
    </xdr:to>
    <xdr:sp>
      <xdr:nvSpPr>
        <xdr:cNvPr id="14" name="AutoShape 67">
          <a:hlinkClick r:id="rId3"/>
        </xdr:cNvPr>
        <xdr:cNvSpPr/>
      </xdr:nvSpPr>
      <xdr:spPr>
        <a:xfrm>
          <a:off x="176760" y="376560"/>
          <a:ext cx="595800" cy="3085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148320</xdr:colOff>
      <xdr:row>6</xdr:row>
      <xdr:rowOff>9720</xdr:rowOff>
    </xdr:from>
    <xdr:to>
      <xdr:col>7</xdr:col>
      <xdr:colOff>744120</xdr:colOff>
      <xdr:row>6</xdr:row>
      <xdr:rowOff>279000</xdr:rowOff>
    </xdr:to>
    <xdr:sp>
      <xdr:nvSpPr>
        <xdr:cNvPr id="15" name="AutoShape 67"/>
        <xdr:cNvSpPr/>
      </xdr:nvSpPr>
      <xdr:spPr>
        <a:xfrm>
          <a:off x="148320" y="1009800"/>
          <a:ext cx="595800" cy="2692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BDI 1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148320</xdr:colOff>
      <xdr:row>7</xdr:row>
      <xdr:rowOff>30240</xdr:rowOff>
    </xdr:from>
    <xdr:to>
      <xdr:col>7</xdr:col>
      <xdr:colOff>744120</xdr:colOff>
      <xdr:row>8</xdr:row>
      <xdr:rowOff>54000</xdr:rowOff>
    </xdr:to>
    <xdr:sp>
      <xdr:nvSpPr>
        <xdr:cNvPr id="16" name="AutoShape 67"/>
        <xdr:cNvSpPr/>
      </xdr:nvSpPr>
      <xdr:spPr>
        <a:xfrm>
          <a:off x="148320" y="1333440"/>
          <a:ext cx="595800" cy="3074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BDI 2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148320</xdr:colOff>
      <xdr:row>8</xdr:row>
      <xdr:rowOff>105480</xdr:rowOff>
    </xdr:from>
    <xdr:to>
      <xdr:col>7</xdr:col>
      <xdr:colOff>744120</xdr:colOff>
      <xdr:row>10</xdr:row>
      <xdr:rowOff>50400</xdr:rowOff>
    </xdr:to>
    <xdr:sp>
      <xdr:nvSpPr>
        <xdr:cNvPr id="17" name="AutoShape 67"/>
        <xdr:cNvSpPr/>
      </xdr:nvSpPr>
      <xdr:spPr>
        <a:xfrm>
          <a:off x="148320" y="1692360"/>
          <a:ext cx="595800" cy="2689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BDI 3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14</xdr:col>
      <xdr:colOff>60840</xdr:colOff>
      <xdr:row>0</xdr:row>
      <xdr:rowOff>15120</xdr:rowOff>
    </xdr:from>
    <xdr:to>
      <xdr:col>15</xdr:col>
      <xdr:colOff>1035360</xdr:colOff>
      <xdr:row>1</xdr:row>
      <xdr:rowOff>174960</xdr:rowOff>
    </xdr:to>
    <xdr:pic>
      <xdr:nvPicPr>
        <xdr:cNvPr id="18" name="Picture 2" descr=""/>
        <xdr:cNvPicPr/>
      </xdr:nvPicPr>
      <xdr:blipFill>
        <a:blip r:embed="rId1"/>
        <a:stretch/>
      </xdr:blipFill>
      <xdr:spPr>
        <a:xfrm>
          <a:off x="1519920" y="15120"/>
          <a:ext cx="1860480" cy="3801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19</xdr:col>
      <xdr:colOff>8280</xdr:colOff>
      <xdr:row>8</xdr:row>
      <xdr:rowOff>103680</xdr:rowOff>
    </xdr:from>
    <xdr:to>
      <xdr:col>24</xdr:col>
      <xdr:colOff>2160</xdr:colOff>
      <xdr:row>10</xdr:row>
      <xdr:rowOff>148320</xdr:rowOff>
    </xdr:to>
    <xdr:sp>
      <xdr:nvSpPr>
        <xdr:cNvPr id="19" name="TextBoxArred"/>
        <xdr:cNvSpPr/>
      </xdr:nvSpPr>
      <xdr:spPr>
        <a:xfrm flipH="1">
          <a:off x="9914400" y="1381320"/>
          <a:ext cx="4916160" cy="368640"/>
        </a:xfrm>
        <a:prstGeom prst="rect">
          <a:avLst/>
        </a:prstGeom>
        <a:noFill/>
        <a:ln w="648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2680" bIns="0" anchor="t">
          <a:noAutofit/>
        </a:bodyPr>
        <a:p>
          <a:pPr algn="ctr">
            <a:lnSpc>
              <a:spcPct val="100000"/>
            </a:lnSpc>
          </a:pPr>
          <a:r>
            <a:rPr b="0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Considerar valores arredondados com (0,00)</a:t>
          </a:r>
          <a:endParaRPr b="0" lang="pt-BR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302760</xdr:colOff>
      <xdr:row>0</xdr:row>
      <xdr:rowOff>60120</xdr:rowOff>
    </xdr:from>
    <xdr:to>
      <xdr:col>13</xdr:col>
      <xdr:colOff>439920</xdr:colOff>
      <xdr:row>1</xdr:row>
      <xdr:rowOff>151560</xdr:rowOff>
    </xdr:to>
    <xdr:sp>
      <xdr:nvSpPr>
        <xdr:cNvPr id="20" name="AutoShape 67">
          <a:hlinkClick r:id="rId2"/>
        </xdr:cNvPr>
        <xdr:cNvSpPr/>
      </xdr:nvSpPr>
      <xdr:spPr>
        <a:xfrm>
          <a:off x="554400" y="60120"/>
          <a:ext cx="740880" cy="3117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14</xdr:col>
      <xdr:colOff>3960</xdr:colOff>
      <xdr:row>8</xdr:row>
      <xdr:rowOff>54000</xdr:rowOff>
    </xdr:from>
    <xdr:to>
      <xdr:col>15</xdr:col>
      <xdr:colOff>396360</xdr:colOff>
      <xdr:row>11</xdr:row>
      <xdr:rowOff>25920</xdr:rowOff>
    </xdr:to>
    <xdr:sp>
      <xdr:nvSpPr>
        <xdr:cNvPr id="21" name="AutoShape 67"/>
        <xdr:cNvSpPr/>
      </xdr:nvSpPr>
      <xdr:spPr>
        <a:xfrm>
          <a:off x="1463040" y="1331640"/>
          <a:ext cx="1278360" cy="457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16</xdr:col>
      <xdr:colOff>836280</xdr:colOff>
      <xdr:row>8</xdr:row>
      <xdr:rowOff>50040</xdr:rowOff>
    </xdr:from>
    <xdr:to>
      <xdr:col>17</xdr:col>
      <xdr:colOff>1024920</xdr:colOff>
      <xdr:row>11</xdr:row>
      <xdr:rowOff>27720</xdr:rowOff>
    </xdr:to>
    <xdr:sp>
      <xdr:nvSpPr>
        <xdr:cNvPr id="22" name="AutoShape 67"/>
        <xdr:cNvSpPr/>
      </xdr:nvSpPr>
      <xdr:spPr>
        <a:xfrm>
          <a:off x="4278600" y="1327680"/>
          <a:ext cx="1285920" cy="4633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FIXAR DESCRIÇÕES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15</xdr:col>
      <xdr:colOff>527760</xdr:colOff>
      <xdr:row>8</xdr:row>
      <xdr:rowOff>46440</xdr:rowOff>
    </xdr:from>
    <xdr:to>
      <xdr:col>16</xdr:col>
      <xdr:colOff>716400</xdr:colOff>
      <xdr:row>11</xdr:row>
      <xdr:rowOff>28080</xdr:rowOff>
    </xdr:to>
    <xdr:sp>
      <xdr:nvSpPr>
        <xdr:cNvPr id="23" name="AutoShape 67"/>
        <xdr:cNvSpPr/>
      </xdr:nvSpPr>
      <xdr:spPr>
        <a:xfrm>
          <a:off x="2872800" y="1324080"/>
          <a:ext cx="1285920" cy="4672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2535480</xdr:colOff>
      <xdr:row>8</xdr:row>
      <xdr:rowOff>46440</xdr:rowOff>
    </xdr:from>
    <xdr:to>
      <xdr:col>17</xdr:col>
      <xdr:colOff>3764160</xdr:colOff>
      <xdr:row>11</xdr:row>
      <xdr:rowOff>28080</xdr:rowOff>
    </xdr:to>
    <xdr:sp>
      <xdr:nvSpPr>
        <xdr:cNvPr id="24" name="AutoShape 67"/>
        <xdr:cNvSpPr/>
      </xdr:nvSpPr>
      <xdr:spPr>
        <a:xfrm>
          <a:off x="7075080" y="1324080"/>
          <a:ext cx="1228680" cy="4672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RECUPERAR FÓRMULAS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3889800</xdr:colOff>
      <xdr:row>8</xdr:row>
      <xdr:rowOff>48240</xdr:rowOff>
    </xdr:from>
    <xdr:to>
      <xdr:col>18</xdr:col>
      <xdr:colOff>640080</xdr:colOff>
      <xdr:row>11</xdr:row>
      <xdr:rowOff>16560</xdr:rowOff>
    </xdr:to>
    <xdr:sp>
      <xdr:nvSpPr>
        <xdr:cNvPr id="25" name="AutoShape 67"/>
        <xdr:cNvSpPr/>
      </xdr:nvSpPr>
      <xdr:spPr>
        <a:xfrm>
          <a:off x="8429400" y="1325880"/>
          <a:ext cx="1371960" cy="4539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BUSCAR CÓDIGO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303840</xdr:colOff>
      <xdr:row>2</xdr:row>
      <xdr:rowOff>29520</xdr:rowOff>
    </xdr:from>
    <xdr:to>
      <xdr:col>13</xdr:col>
      <xdr:colOff>441000</xdr:colOff>
      <xdr:row>4</xdr:row>
      <xdr:rowOff>14040</xdr:rowOff>
    </xdr:to>
    <xdr:sp>
      <xdr:nvSpPr>
        <xdr:cNvPr id="26" name="AutoShape 67">
          <a:hlinkClick r:id="rId3"/>
        </xdr:cNvPr>
        <xdr:cNvSpPr/>
      </xdr:nvSpPr>
      <xdr:spPr>
        <a:xfrm>
          <a:off x="555480" y="440280"/>
          <a:ext cx="740880" cy="3085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BDI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308160</xdr:colOff>
      <xdr:row>4</xdr:row>
      <xdr:rowOff>75960</xdr:rowOff>
    </xdr:from>
    <xdr:to>
      <xdr:col>13</xdr:col>
      <xdr:colOff>445320</xdr:colOff>
      <xdr:row>7</xdr:row>
      <xdr:rowOff>4320</xdr:rowOff>
    </xdr:to>
    <xdr:sp>
      <xdr:nvSpPr>
        <xdr:cNvPr id="27" name="AutoShape 67">
          <a:hlinkClick r:id="rId4"/>
        </xdr:cNvPr>
        <xdr:cNvSpPr/>
      </xdr:nvSpPr>
      <xdr:spPr>
        <a:xfrm>
          <a:off x="559800" y="810720"/>
          <a:ext cx="740880" cy="3092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CÁLCULO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308160</xdr:colOff>
      <xdr:row>7</xdr:row>
      <xdr:rowOff>61200</xdr:rowOff>
    </xdr:from>
    <xdr:to>
      <xdr:col>13</xdr:col>
      <xdr:colOff>445320</xdr:colOff>
      <xdr:row>9</xdr:row>
      <xdr:rowOff>45720</xdr:rowOff>
    </xdr:to>
    <xdr:sp>
      <xdr:nvSpPr>
        <xdr:cNvPr id="28" name="AutoShape 67"/>
        <xdr:cNvSpPr/>
      </xdr:nvSpPr>
      <xdr:spPr>
        <a:xfrm>
          <a:off x="559800" y="1176840"/>
          <a:ext cx="740880" cy="3085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000" strike="noStrike" u="none">
              <a:solidFill>
                <a:srgbClr val="000000"/>
              </a:solidFill>
              <a:effectLst/>
              <a:uFillTx/>
              <a:latin typeface="Calibri"/>
            </a:rPr>
            <a:t>EVENTOS</a:t>
          </a:r>
          <a:endParaRPr b="0" lang="pt-BR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308160</xdr:colOff>
      <xdr:row>9</xdr:row>
      <xdr:rowOff>114120</xdr:rowOff>
    </xdr:from>
    <xdr:to>
      <xdr:col>13</xdr:col>
      <xdr:colOff>445320</xdr:colOff>
      <xdr:row>11</xdr:row>
      <xdr:rowOff>98280</xdr:rowOff>
    </xdr:to>
    <xdr:sp>
      <xdr:nvSpPr>
        <xdr:cNvPr id="29" name="AutoShape 67"/>
        <xdr:cNvSpPr/>
      </xdr:nvSpPr>
      <xdr:spPr>
        <a:xfrm>
          <a:off x="559800" y="1553760"/>
          <a:ext cx="740880" cy="307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CRONO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1161720</xdr:colOff>
      <xdr:row>8</xdr:row>
      <xdr:rowOff>50040</xdr:rowOff>
    </xdr:from>
    <xdr:to>
      <xdr:col>17</xdr:col>
      <xdr:colOff>2390400</xdr:colOff>
      <xdr:row>11</xdr:row>
      <xdr:rowOff>27720</xdr:rowOff>
    </xdr:to>
    <xdr:sp>
      <xdr:nvSpPr>
        <xdr:cNvPr id="30" name="AutoShape 67"/>
        <xdr:cNvSpPr/>
      </xdr:nvSpPr>
      <xdr:spPr>
        <a:xfrm>
          <a:off x="5701320" y="1327680"/>
          <a:ext cx="1228680" cy="4633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PADRONIZAR UNIDADES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9115560</xdr:colOff>
          <xdr:row>6</xdr:row>
          <xdr:rowOff>122760</xdr:rowOff>
        </xdr:from>
        <xdr:to>
          <xdr:col>4</xdr:col>
          <xdr:colOff>358200</xdr:colOff>
          <xdr:row>8</xdr:row>
          <xdr:rowOff>10440</xdr:rowOff>
        </xdr:to>
        <xdr:sp>
          <xdr:nvSpPr>
            <xdr:cNvPr id="1001" name="CaixaArredQuant" descr="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 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447480</xdr:colOff>
          <xdr:row>9</xdr:row>
          <xdr:rowOff>76320</xdr:rowOff>
        </xdr:from>
        <xdr:to>
          <xdr:col>21</xdr:col>
          <xdr:colOff>-152640</xdr:colOff>
          <xdr:row>10</xdr:row>
          <xdr:rowOff>152640</xdr:rowOff>
        </xdr:to>
        <xdr:sp>
          <xdr:nvSpPr>
            <xdr:cNvPr id="1002" name="CaixaArredCustoUnit" descr="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 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295200</xdr:colOff>
          <xdr:row>9</xdr:row>
          <xdr:rowOff>76320</xdr:rowOff>
        </xdr:from>
        <xdr:to>
          <xdr:col>22</xdr:col>
          <xdr:colOff>-28440</xdr:colOff>
          <xdr:row>10</xdr:row>
          <xdr:rowOff>152640</xdr:rowOff>
        </xdr:to>
        <xdr:sp>
          <xdr:nvSpPr>
            <xdr:cNvPr id="1003" name="CaixaArredBDI" descr="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 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371520</xdr:colOff>
          <xdr:row>9</xdr:row>
          <xdr:rowOff>76320</xdr:rowOff>
        </xdr:from>
        <xdr:to>
          <xdr:col>23</xdr:col>
          <xdr:colOff>-237960</xdr:colOff>
          <xdr:row>10</xdr:row>
          <xdr:rowOff>152640</xdr:rowOff>
        </xdr:to>
        <xdr:sp>
          <xdr:nvSpPr>
            <xdr:cNvPr id="1004" name="CaixaArredPrecoUnit" descr="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 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447480</xdr:colOff>
          <xdr:row>9</xdr:row>
          <xdr:rowOff>57240</xdr:rowOff>
        </xdr:from>
        <xdr:to>
          <xdr:col>24</xdr:col>
          <xdr:colOff>-219240</xdr:colOff>
          <xdr:row>10</xdr:row>
          <xdr:rowOff>152640</xdr:rowOff>
        </xdr:to>
        <xdr:sp>
          <xdr:nvSpPr>
            <xdr:cNvPr id="1005" name="CaixaArredPrecoTotal" descr="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 </a:t>
              </a:r>
            </a:p>
          </xdr:txBody>
        </xdr:sp>
        <xdr:clientData/>
      </xdr:twoCellAnchor>
    </mc:Choice>
  </mc:AlternateContent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3</xdr:col>
      <xdr:colOff>315720</xdr:colOff>
      <xdr:row>9</xdr:row>
      <xdr:rowOff>19080</xdr:rowOff>
    </xdr:from>
    <xdr:to>
      <xdr:col>3</xdr:col>
      <xdr:colOff>1774080</xdr:colOff>
      <xdr:row>9</xdr:row>
      <xdr:rowOff>323280</xdr:rowOff>
    </xdr:to>
    <xdr:sp>
      <xdr:nvSpPr>
        <xdr:cNvPr id="31" name="AutoShape 67"/>
        <xdr:cNvSpPr/>
      </xdr:nvSpPr>
      <xdr:spPr>
        <a:xfrm>
          <a:off x="1452960" y="1590840"/>
          <a:ext cx="1458360" cy="3042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1866240</xdr:colOff>
      <xdr:row>9</xdr:row>
      <xdr:rowOff>19080</xdr:rowOff>
    </xdr:from>
    <xdr:to>
      <xdr:col>3</xdr:col>
      <xdr:colOff>3301560</xdr:colOff>
      <xdr:row>9</xdr:row>
      <xdr:rowOff>323280</xdr:rowOff>
    </xdr:to>
    <xdr:sp>
      <xdr:nvSpPr>
        <xdr:cNvPr id="32" name="AutoShape 67"/>
        <xdr:cNvSpPr/>
      </xdr:nvSpPr>
      <xdr:spPr>
        <a:xfrm>
          <a:off x="3003480" y="1590840"/>
          <a:ext cx="1435320" cy="3042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95400</xdr:colOff>
      <xdr:row>9</xdr:row>
      <xdr:rowOff>19080</xdr:rowOff>
    </xdr:from>
    <xdr:to>
      <xdr:col>5</xdr:col>
      <xdr:colOff>1851480</xdr:colOff>
      <xdr:row>9</xdr:row>
      <xdr:rowOff>323280</xdr:rowOff>
    </xdr:to>
    <xdr:sp>
      <xdr:nvSpPr>
        <xdr:cNvPr id="33" name="AutoShape 67">
          <a:hlinkClick r:id="rId1"/>
        </xdr:cNvPr>
        <xdr:cNvSpPr/>
      </xdr:nvSpPr>
      <xdr:spPr>
        <a:xfrm>
          <a:off x="4797000" y="1590840"/>
          <a:ext cx="1756080" cy="3042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DEFINIR FRENTES DE OBRA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31680</xdr:colOff>
      <xdr:row>1</xdr:row>
      <xdr:rowOff>31680</xdr:rowOff>
    </xdr:from>
    <xdr:to>
      <xdr:col>3</xdr:col>
      <xdr:colOff>1006200</xdr:colOff>
      <xdr:row>2</xdr:row>
      <xdr:rowOff>35280</xdr:rowOff>
    </xdr:to>
    <xdr:pic>
      <xdr:nvPicPr>
        <xdr:cNvPr id="34" name="Picture 2" descr=""/>
        <xdr:cNvPicPr/>
      </xdr:nvPicPr>
      <xdr:blipFill>
        <a:blip r:embed="rId2"/>
        <a:stretch/>
      </xdr:blipFill>
      <xdr:spPr>
        <a:xfrm>
          <a:off x="283320" y="31680"/>
          <a:ext cx="1860120" cy="384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0</xdr:col>
      <xdr:colOff>95400</xdr:colOff>
      <xdr:row>9</xdr:row>
      <xdr:rowOff>19080</xdr:rowOff>
    </xdr:from>
    <xdr:to>
      <xdr:col>2</xdr:col>
      <xdr:colOff>420840</xdr:colOff>
      <xdr:row>9</xdr:row>
      <xdr:rowOff>323280</xdr:rowOff>
    </xdr:to>
    <xdr:sp>
      <xdr:nvSpPr>
        <xdr:cNvPr id="35" name="AutoShape 67">
          <a:hlinkClick r:id="rId3"/>
        </xdr:cNvPr>
        <xdr:cNvSpPr/>
      </xdr:nvSpPr>
      <xdr:spPr>
        <a:xfrm>
          <a:off x="95400" y="1590840"/>
          <a:ext cx="577080" cy="3042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497520</xdr:colOff>
      <xdr:row>9</xdr:row>
      <xdr:rowOff>23040</xdr:rowOff>
    </xdr:from>
    <xdr:to>
      <xdr:col>3</xdr:col>
      <xdr:colOff>229320</xdr:colOff>
      <xdr:row>9</xdr:row>
      <xdr:rowOff>327240</xdr:rowOff>
    </xdr:to>
    <xdr:sp>
      <xdr:nvSpPr>
        <xdr:cNvPr id="36" name="AutoShape 67">
          <a:hlinkClick r:id="rId4"/>
        </xdr:cNvPr>
        <xdr:cNvSpPr/>
      </xdr:nvSpPr>
      <xdr:spPr>
        <a:xfrm>
          <a:off x="749160" y="1594800"/>
          <a:ext cx="617400" cy="3042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152280</xdr:colOff>
      <xdr:row>6</xdr:row>
      <xdr:rowOff>9360</xdr:rowOff>
    </xdr:from>
    <xdr:to>
      <xdr:col>3</xdr:col>
      <xdr:colOff>473400</xdr:colOff>
      <xdr:row>7</xdr:row>
      <xdr:rowOff>123120</xdr:rowOff>
    </xdr:to>
    <xdr:sp>
      <xdr:nvSpPr>
        <xdr:cNvPr id="37" name="AutoShape 67">
          <a:hlinkClick r:id="rId1"/>
        </xdr:cNvPr>
        <xdr:cNvSpPr/>
      </xdr:nvSpPr>
      <xdr:spPr>
        <a:xfrm>
          <a:off x="152280" y="209520"/>
          <a:ext cx="572760" cy="3042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178920</xdr:colOff>
      <xdr:row>11</xdr:row>
      <xdr:rowOff>266760</xdr:rowOff>
    </xdr:from>
    <xdr:to>
      <xdr:col>5</xdr:col>
      <xdr:colOff>2904120</xdr:colOff>
      <xdr:row>11</xdr:row>
      <xdr:rowOff>570960</xdr:rowOff>
    </xdr:to>
    <xdr:sp>
      <xdr:nvSpPr>
        <xdr:cNvPr id="38" name="AutoShape 67"/>
        <xdr:cNvSpPr/>
      </xdr:nvSpPr>
      <xdr:spPr>
        <a:xfrm>
          <a:off x="1920240" y="1333440"/>
          <a:ext cx="2725200" cy="3042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REDEFINIR AGRUPADORES DE EVENTOS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2977560</xdr:colOff>
      <xdr:row>11</xdr:row>
      <xdr:rowOff>266760</xdr:rowOff>
    </xdr:from>
    <xdr:to>
      <xdr:col>6</xdr:col>
      <xdr:colOff>25920</xdr:colOff>
      <xdr:row>11</xdr:row>
      <xdr:rowOff>570960</xdr:rowOff>
    </xdr:to>
    <xdr:sp>
      <xdr:nvSpPr>
        <xdr:cNvPr id="39" name="AutoShape 67"/>
        <xdr:cNvSpPr/>
      </xdr:nvSpPr>
      <xdr:spPr>
        <a:xfrm>
          <a:off x="4718880" y="1333440"/>
          <a:ext cx="1669680" cy="3042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8 FRENTES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6</xdr:col>
      <xdr:colOff>93240</xdr:colOff>
      <xdr:row>11</xdr:row>
      <xdr:rowOff>266760</xdr:rowOff>
    </xdr:from>
    <xdr:to>
      <xdr:col>7</xdr:col>
      <xdr:colOff>907920</xdr:colOff>
      <xdr:row>11</xdr:row>
      <xdr:rowOff>580320</xdr:rowOff>
    </xdr:to>
    <xdr:sp>
      <xdr:nvSpPr>
        <xdr:cNvPr id="40" name="AutoShape 67"/>
        <xdr:cNvSpPr/>
      </xdr:nvSpPr>
      <xdr:spPr>
        <a:xfrm>
          <a:off x="6455880" y="1333440"/>
          <a:ext cx="1559520" cy="313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8 FRENTES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137520</xdr:colOff>
      <xdr:row>8</xdr:row>
      <xdr:rowOff>13680</xdr:rowOff>
    </xdr:from>
    <xdr:to>
      <xdr:col>3</xdr:col>
      <xdr:colOff>472320</xdr:colOff>
      <xdr:row>9</xdr:row>
      <xdr:rowOff>156960</xdr:rowOff>
    </xdr:to>
    <xdr:sp>
      <xdr:nvSpPr>
        <xdr:cNvPr id="41" name="AutoShape 67">
          <a:hlinkClick r:id="rId2"/>
        </xdr:cNvPr>
        <xdr:cNvSpPr/>
      </xdr:nvSpPr>
      <xdr:spPr>
        <a:xfrm>
          <a:off x="137520" y="566280"/>
          <a:ext cx="586440" cy="3049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5</xdr:row>
      <xdr:rowOff>21240</xdr:rowOff>
    </xdr:from>
    <xdr:to>
      <xdr:col>5</xdr:col>
      <xdr:colOff>974520</xdr:colOff>
      <xdr:row>7</xdr:row>
      <xdr:rowOff>14040</xdr:rowOff>
    </xdr:to>
    <xdr:pic>
      <xdr:nvPicPr>
        <xdr:cNvPr id="42" name="Picture 2" descr=""/>
        <xdr:cNvPicPr/>
      </xdr:nvPicPr>
      <xdr:blipFill>
        <a:blip r:embed="rId3"/>
        <a:stretch/>
      </xdr:blipFill>
      <xdr:spPr>
        <a:xfrm>
          <a:off x="855360" y="21240"/>
          <a:ext cx="1860480" cy="3834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2</xdr:col>
      <xdr:colOff>137520</xdr:colOff>
      <xdr:row>10</xdr:row>
      <xdr:rowOff>66600</xdr:rowOff>
    </xdr:from>
    <xdr:to>
      <xdr:col>3</xdr:col>
      <xdr:colOff>472320</xdr:colOff>
      <xdr:row>11</xdr:row>
      <xdr:rowOff>212040</xdr:rowOff>
    </xdr:to>
    <xdr:sp>
      <xdr:nvSpPr>
        <xdr:cNvPr id="43" name="AutoShape 67"/>
        <xdr:cNvSpPr/>
      </xdr:nvSpPr>
      <xdr:spPr>
        <a:xfrm>
          <a:off x="137520" y="942840"/>
          <a:ext cx="586440" cy="3358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CRONO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138960</xdr:colOff>
      <xdr:row>10</xdr:row>
      <xdr:rowOff>9360</xdr:rowOff>
    </xdr:from>
    <xdr:to>
      <xdr:col>2</xdr:col>
      <xdr:colOff>825840</xdr:colOff>
      <xdr:row>10</xdr:row>
      <xdr:rowOff>322920</xdr:rowOff>
    </xdr:to>
    <xdr:sp>
      <xdr:nvSpPr>
        <xdr:cNvPr id="44" name="AutoShape 67">
          <a:hlinkClick r:id="rId1"/>
        </xdr:cNvPr>
        <xdr:cNvSpPr/>
      </xdr:nvSpPr>
      <xdr:spPr>
        <a:xfrm>
          <a:off x="965160" y="1647720"/>
          <a:ext cx="686880" cy="313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EVENTOS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137160</xdr:colOff>
      <xdr:row>10</xdr:row>
      <xdr:rowOff>419040</xdr:rowOff>
    </xdr:from>
    <xdr:to>
      <xdr:col>2</xdr:col>
      <xdr:colOff>1603080</xdr:colOff>
      <xdr:row>10</xdr:row>
      <xdr:rowOff>723240</xdr:rowOff>
    </xdr:to>
    <xdr:sp>
      <xdr:nvSpPr>
        <xdr:cNvPr id="45" name="AutoShape 67"/>
        <xdr:cNvSpPr/>
      </xdr:nvSpPr>
      <xdr:spPr>
        <a:xfrm>
          <a:off x="963360" y="2057400"/>
          <a:ext cx="1465920" cy="3042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ATUALIZAR LINHAS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1</xdr:row>
      <xdr:rowOff>21240</xdr:rowOff>
    </xdr:from>
    <xdr:to>
      <xdr:col>2</xdr:col>
      <xdr:colOff>1281600</xdr:colOff>
      <xdr:row>2</xdr:row>
      <xdr:rowOff>24840</xdr:rowOff>
    </xdr:to>
    <xdr:pic>
      <xdr:nvPicPr>
        <xdr:cNvPr id="46" name="Picture 2" descr=""/>
        <xdr:cNvPicPr/>
      </xdr:nvPicPr>
      <xdr:blipFill>
        <a:blip r:embed="rId2"/>
        <a:stretch/>
      </xdr:blipFill>
      <xdr:spPr>
        <a:xfrm>
          <a:off x="251640" y="21240"/>
          <a:ext cx="1856160" cy="384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</xdr:col>
      <xdr:colOff>19080</xdr:colOff>
      <xdr:row>10</xdr:row>
      <xdr:rowOff>18720</xdr:rowOff>
    </xdr:from>
    <xdr:to>
      <xdr:col>2</xdr:col>
      <xdr:colOff>45000</xdr:colOff>
      <xdr:row>10</xdr:row>
      <xdr:rowOff>322920</xdr:rowOff>
    </xdr:to>
    <xdr:sp>
      <xdr:nvSpPr>
        <xdr:cNvPr id="47" name="AutoShape 67">
          <a:hlinkClick r:id="rId3"/>
        </xdr:cNvPr>
        <xdr:cNvSpPr/>
      </xdr:nvSpPr>
      <xdr:spPr>
        <a:xfrm>
          <a:off x="270720" y="1657080"/>
          <a:ext cx="600480" cy="3042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1672560</xdr:colOff>
      <xdr:row>10</xdr:row>
      <xdr:rowOff>9360</xdr:rowOff>
    </xdr:from>
    <xdr:to>
      <xdr:col>2</xdr:col>
      <xdr:colOff>2359440</xdr:colOff>
      <xdr:row>10</xdr:row>
      <xdr:rowOff>322920</xdr:rowOff>
    </xdr:to>
    <xdr:sp>
      <xdr:nvSpPr>
        <xdr:cNvPr id="48" name="AutoShape 67">
          <a:hlinkClick r:id="rId4"/>
        </xdr:cNvPr>
        <xdr:cNvSpPr/>
      </xdr:nvSpPr>
      <xdr:spPr>
        <a:xfrm>
          <a:off x="2498760" y="1647720"/>
          <a:ext cx="686880" cy="313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CFF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901080</xdr:colOff>
      <xdr:row>10</xdr:row>
      <xdr:rowOff>9360</xdr:rowOff>
    </xdr:from>
    <xdr:to>
      <xdr:col>2</xdr:col>
      <xdr:colOff>1587960</xdr:colOff>
      <xdr:row>10</xdr:row>
      <xdr:rowOff>322920</xdr:rowOff>
    </xdr:to>
    <xdr:sp>
      <xdr:nvSpPr>
        <xdr:cNvPr id="49" name="AutoShape 67">
          <a:hlinkClick r:id="rId5"/>
        </xdr:cNvPr>
        <xdr:cNvSpPr/>
      </xdr:nvSpPr>
      <xdr:spPr>
        <a:xfrm>
          <a:off x="1727280" y="1647720"/>
          <a:ext cx="686880" cy="313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PLQ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7</xdr:col>
      <xdr:colOff>142920</xdr:colOff>
      <xdr:row>3</xdr:row>
      <xdr:rowOff>85680</xdr:rowOff>
    </xdr:from>
    <xdr:to>
      <xdr:col>7</xdr:col>
      <xdr:colOff>729000</xdr:colOff>
      <xdr:row>4</xdr:row>
      <xdr:rowOff>189720</xdr:rowOff>
    </xdr:to>
    <xdr:sp>
      <xdr:nvSpPr>
        <xdr:cNvPr id="50" name="AutoShape 67">
          <a:hlinkClick r:id="rId1"/>
        </xdr:cNvPr>
        <xdr:cNvSpPr/>
      </xdr:nvSpPr>
      <xdr:spPr>
        <a:xfrm>
          <a:off x="394560" y="85680"/>
          <a:ext cx="586080" cy="2944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20</xdr:col>
      <xdr:colOff>66600</xdr:colOff>
      <xdr:row>8</xdr:row>
      <xdr:rowOff>93240</xdr:rowOff>
    </xdr:from>
    <xdr:to>
      <xdr:col>22</xdr:col>
      <xdr:colOff>697320</xdr:colOff>
      <xdr:row>10</xdr:row>
      <xdr:rowOff>75240</xdr:rowOff>
    </xdr:to>
    <xdr:sp>
      <xdr:nvSpPr>
        <xdr:cNvPr id="51" name="CRONO.b.preenchEventos"/>
        <xdr:cNvSpPr/>
      </xdr:nvSpPr>
      <xdr:spPr>
        <a:xfrm>
          <a:off x="5624640" y="960120"/>
          <a:ext cx="2181600" cy="305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PREENCHIMENTO POR EVENTOS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8</xdr:col>
      <xdr:colOff>14400</xdr:colOff>
      <xdr:row>8</xdr:row>
      <xdr:rowOff>93240</xdr:rowOff>
    </xdr:from>
    <xdr:to>
      <xdr:col>10</xdr:col>
      <xdr:colOff>16560</xdr:colOff>
      <xdr:row>10</xdr:row>
      <xdr:rowOff>75240</xdr:rowOff>
    </xdr:to>
    <xdr:sp>
      <xdr:nvSpPr>
        <xdr:cNvPr id="52" name="AutoShape 67"/>
        <xdr:cNvSpPr/>
      </xdr:nvSpPr>
      <xdr:spPr>
        <a:xfrm>
          <a:off x="1151640" y="960120"/>
          <a:ext cx="1321560" cy="3056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ATUALIZAR LINHAS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25</xdr:col>
      <xdr:colOff>223200</xdr:colOff>
      <xdr:row>8</xdr:row>
      <xdr:rowOff>93240</xdr:rowOff>
    </xdr:from>
    <xdr:to>
      <xdr:col>27</xdr:col>
      <xdr:colOff>483480</xdr:colOff>
      <xdr:row>10</xdr:row>
      <xdr:rowOff>75240</xdr:rowOff>
    </xdr:to>
    <xdr:sp>
      <xdr:nvSpPr>
        <xdr:cNvPr id="53" name="AutoShape 67"/>
        <xdr:cNvSpPr/>
      </xdr:nvSpPr>
      <xdr:spPr>
        <a:xfrm>
          <a:off x="9658080" y="960120"/>
          <a:ext cx="1810800" cy="3056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12 PARCELAS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27</xdr:col>
      <xdr:colOff>604440</xdr:colOff>
      <xdr:row>8</xdr:row>
      <xdr:rowOff>93240</xdr:rowOff>
    </xdr:from>
    <xdr:to>
      <xdr:col>29</xdr:col>
      <xdr:colOff>684720</xdr:colOff>
      <xdr:row>10</xdr:row>
      <xdr:rowOff>75240</xdr:rowOff>
    </xdr:to>
    <xdr:sp>
      <xdr:nvSpPr>
        <xdr:cNvPr id="54" name="AutoShape 67"/>
        <xdr:cNvSpPr/>
      </xdr:nvSpPr>
      <xdr:spPr>
        <a:xfrm>
          <a:off x="11589840" y="960120"/>
          <a:ext cx="1631160" cy="3056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12 PARCELAS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8</xdr:col>
      <xdr:colOff>0</xdr:colOff>
      <xdr:row>3</xdr:row>
      <xdr:rowOff>21240</xdr:rowOff>
    </xdr:from>
    <xdr:to>
      <xdr:col>10</xdr:col>
      <xdr:colOff>371520</xdr:colOff>
      <xdr:row>5</xdr:row>
      <xdr:rowOff>24840</xdr:rowOff>
    </xdr:to>
    <xdr:pic>
      <xdr:nvPicPr>
        <xdr:cNvPr id="55" name="Picture 2" descr=""/>
        <xdr:cNvPicPr/>
      </xdr:nvPicPr>
      <xdr:blipFill>
        <a:blip r:embed="rId2"/>
        <a:stretch/>
      </xdr:blipFill>
      <xdr:spPr>
        <a:xfrm>
          <a:off x="1137240" y="21240"/>
          <a:ext cx="1690920" cy="384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23</xdr:col>
      <xdr:colOff>714240</xdr:colOff>
      <xdr:row>8</xdr:row>
      <xdr:rowOff>93240</xdr:rowOff>
    </xdr:from>
    <xdr:to>
      <xdr:col>24</xdr:col>
      <xdr:colOff>567000</xdr:colOff>
      <xdr:row>10</xdr:row>
      <xdr:rowOff>64080</xdr:rowOff>
    </xdr:to>
    <xdr:sp>
      <xdr:nvSpPr>
        <xdr:cNvPr id="56" name="AutoShape 67">
          <a:hlinkClick r:id="rId3"/>
        </xdr:cNvPr>
        <xdr:cNvSpPr/>
      </xdr:nvSpPr>
      <xdr:spPr>
        <a:xfrm>
          <a:off x="8598240" y="960120"/>
          <a:ext cx="628200" cy="2944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QCI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23</xdr:col>
      <xdr:colOff>47520</xdr:colOff>
      <xdr:row>8</xdr:row>
      <xdr:rowOff>93240</xdr:rowOff>
    </xdr:from>
    <xdr:to>
      <xdr:col>23</xdr:col>
      <xdr:colOff>633600</xdr:colOff>
      <xdr:row>10</xdr:row>
      <xdr:rowOff>64080</xdr:rowOff>
    </xdr:to>
    <xdr:sp>
      <xdr:nvSpPr>
        <xdr:cNvPr id="57" name="AutoShape 67">
          <a:hlinkClick r:id="rId4"/>
        </xdr:cNvPr>
        <xdr:cNvSpPr/>
      </xdr:nvSpPr>
      <xdr:spPr>
        <a:xfrm>
          <a:off x="7931520" y="960120"/>
          <a:ext cx="586080" cy="2944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13</xdr:col>
      <xdr:colOff>116280</xdr:colOff>
      <xdr:row>7</xdr:row>
      <xdr:rowOff>141120</xdr:rowOff>
    </xdr:from>
    <xdr:to>
      <xdr:col>15</xdr:col>
      <xdr:colOff>2160</xdr:colOff>
      <xdr:row>10</xdr:row>
      <xdr:rowOff>147600</xdr:rowOff>
    </xdr:to>
    <xdr:sp>
      <xdr:nvSpPr>
        <xdr:cNvPr id="58" name="AutoShape 317"/>
        <xdr:cNvSpPr/>
      </xdr:nvSpPr>
      <xdr:spPr>
        <a:xfrm>
          <a:off x="12679920" y="1388880"/>
          <a:ext cx="2221200" cy="492120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0" tIns="22680" bIns="0" anchor="t">
          <a:noAutofit/>
        </a:bodyPr>
        <a:p>
          <a:pPr>
            <a:lnSpc>
              <a:spcPct val="100000"/>
            </a:lnSpc>
          </a:pPr>
          <a:r>
            <a:rPr b="1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Para inclusão de metas de outras Plan. Mult., digite a descrição e valores manualmente ao lado.</a:t>
          </a:r>
          <a:endParaRPr b="0" lang="pt-BR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38160</xdr:colOff>
      <xdr:row>8</xdr:row>
      <xdr:rowOff>9360</xdr:rowOff>
    </xdr:from>
    <xdr:to>
      <xdr:col>4</xdr:col>
      <xdr:colOff>57600</xdr:colOff>
      <xdr:row>9</xdr:row>
      <xdr:rowOff>161640</xdr:rowOff>
    </xdr:to>
    <xdr:sp>
      <xdr:nvSpPr>
        <xdr:cNvPr id="59" name="AutoShape 67">
          <a:hlinkClick r:id="rId1"/>
        </xdr:cNvPr>
        <xdr:cNvSpPr/>
      </xdr:nvSpPr>
      <xdr:spPr>
        <a:xfrm>
          <a:off x="289800" y="1419120"/>
          <a:ext cx="482040" cy="3142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710280</xdr:colOff>
      <xdr:row>8</xdr:row>
      <xdr:rowOff>11520</xdr:rowOff>
    </xdr:from>
    <xdr:to>
      <xdr:col>5</xdr:col>
      <xdr:colOff>721800</xdr:colOff>
      <xdr:row>10</xdr:row>
      <xdr:rowOff>9000</xdr:rowOff>
    </xdr:to>
    <xdr:sp>
      <xdr:nvSpPr>
        <xdr:cNvPr id="60" name="AutoShape 67"/>
        <xdr:cNvSpPr/>
      </xdr:nvSpPr>
      <xdr:spPr>
        <a:xfrm>
          <a:off x="1424520" y="1421280"/>
          <a:ext cx="1320480" cy="3211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777240</xdr:colOff>
      <xdr:row>8</xdr:row>
      <xdr:rowOff>9360</xdr:rowOff>
    </xdr:from>
    <xdr:to>
      <xdr:col>5</xdr:col>
      <xdr:colOff>1892520</xdr:colOff>
      <xdr:row>9</xdr:row>
      <xdr:rowOff>161640</xdr:rowOff>
    </xdr:to>
    <xdr:sp>
      <xdr:nvSpPr>
        <xdr:cNvPr id="61" name="AutoShape 67"/>
        <xdr:cNvSpPr/>
      </xdr:nvSpPr>
      <xdr:spPr>
        <a:xfrm>
          <a:off x="2800440" y="1419120"/>
          <a:ext cx="1115280" cy="3142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904320</xdr:colOff>
      <xdr:row>8</xdr:row>
      <xdr:rowOff>9360</xdr:rowOff>
    </xdr:from>
    <xdr:to>
      <xdr:col>9</xdr:col>
      <xdr:colOff>485280</xdr:colOff>
      <xdr:row>10</xdr:row>
      <xdr:rowOff>2160</xdr:rowOff>
    </xdr:to>
    <xdr:sp>
      <xdr:nvSpPr>
        <xdr:cNvPr id="62" name="AutoShape 67"/>
        <xdr:cNvSpPr/>
      </xdr:nvSpPr>
      <xdr:spPr>
        <a:xfrm>
          <a:off x="7448040" y="1419120"/>
          <a:ext cx="1564200" cy="3164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CP QCI = CP CONTRATO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0</xdr:colOff>
      <xdr:row>0</xdr:row>
      <xdr:rowOff>21240</xdr:rowOff>
    </xdr:from>
    <xdr:to>
      <xdr:col>5</xdr:col>
      <xdr:colOff>127800</xdr:colOff>
      <xdr:row>1</xdr:row>
      <xdr:rowOff>24840</xdr:rowOff>
    </xdr:to>
    <xdr:pic>
      <xdr:nvPicPr>
        <xdr:cNvPr id="63" name="Picture 2" descr=""/>
        <xdr:cNvPicPr/>
      </xdr:nvPicPr>
      <xdr:blipFill>
        <a:blip r:embed="rId2"/>
        <a:stretch/>
      </xdr:blipFill>
      <xdr:spPr>
        <a:xfrm>
          <a:off x="251640" y="21240"/>
          <a:ext cx="1899360" cy="384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4</xdr:col>
      <xdr:colOff>104760</xdr:colOff>
      <xdr:row>8</xdr:row>
      <xdr:rowOff>9360</xdr:rowOff>
    </xdr:from>
    <xdr:to>
      <xdr:col>4</xdr:col>
      <xdr:colOff>644040</xdr:colOff>
      <xdr:row>9</xdr:row>
      <xdr:rowOff>161640</xdr:rowOff>
    </xdr:to>
    <xdr:sp>
      <xdr:nvSpPr>
        <xdr:cNvPr id="64" name="AutoShape 67">
          <a:hlinkClick r:id="rId3"/>
        </xdr:cNvPr>
        <xdr:cNvSpPr/>
      </xdr:nvSpPr>
      <xdr:spPr>
        <a:xfrm>
          <a:off x="819000" y="1419120"/>
          <a:ext cx="539280" cy="3142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DADOS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7</xdr:row>
      <xdr:rowOff>61560</xdr:rowOff>
    </xdr:from>
    <xdr:to>
      <xdr:col>2</xdr:col>
      <xdr:colOff>27720</xdr:colOff>
      <xdr:row>9</xdr:row>
      <xdr:rowOff>32400</xdr:rowOff>
    </xdr:to>
    <xdr:sp>
      <xdr:nvSpPr>
        <xdr:cNvPr id="65" name="AutoShape 67">
          <a:hlinkClick r:id="rId1"/>
        </xdr:cNvPr>
        <xdr:cNvSpPr/>
      </xdr:nvSpPr>
      <xdr:spPr>
        <a:xfrm>
          <a:off x="251640" y="928440"/>
          <a:ext cx="602280" cy="3232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9</xdr:row>
      <xdr:rowOff>47520</xdr:rowOff>
    </xdr:from>
    <xdr:to>
      <xdr:col>2</xdr:col>
      <xdr:colOff>30960</xdr:colOff>
      <xdr:row>10</xdr:row>
      <xdr:rowOff>187920</xdr:rowOff>
    </xdr:to>
    <xdr:sp>
      <xdr:nvSpPr>
        <xdr:cNvPr id="66" name="AutoShape 67">
          <a:hlinkClick r:id="rId2"/>
        </xdr:cNvPr>
        <xdr:cNvSpPr/>
      </xdr:nvSpPr>
      <xdr:spPr>
        <a:xfrm>
          <a:off x="251640" y="1266840"/>
          <a:ext cx="605520" cy="3020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PLQ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10</xdr:row>
      <xdr:rowOff>529560</xdr:rowOff>
    </xdr:from>
    <xdr:to>
      <xdr:col>2</xdr:col>
      <xdr:colOff>30960</xdr:colOff>
      <xdr:row>11</xdr:row>
      <xdr:rowOff>2880</xdr:rowOff>
    </xdr:to>
    <xdr:sp>
      <xdr:nvSpPr>
        <xdr:cNvPr id="67" name="AutoShape 67">
          <a:hlinkClick r:id="rId3"/>
        </xdr:cNvPr>
        <xdr:cNvSpPr/>
      </xdr:nvSpPr>
      <xdr:spPr>
        <a:xfrm>
          <a:off x="251640" y="1910520"/>
          <a:ext cx="605520" cy="3020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RRE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2</xdr:row>
      <xdr:rowOff>21240</xdr:rowOff>
    </xdr:from>
    <xdr:to>
      <xdr:col>3</xdr:col>
      <xdr:colOff>149040</xdr:colOff>
      <xdr:row>4</xdr:row>
      <xdr:rowOff>22680</xdr:rowOff>
    </xdr:to>
    <xdr:pic>
      <xdr:nvPicPr>
        <xdr:cNvPr id="68" name="Picture 2" descr=""/>
        <xdr:cNvPicPr/>
      </xdr:nvPicPr>
      <xdr:blipFill>
        <a:blip r:embed="rId4"/>
        <a:stretch/>
      </xdr:blipFill>
      <xdr:spPr>
        <a:xfrm>
          <a:off x="251640" y="21240"/>
          <a:ext cx="1921680" cy="382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</xdr:col>
      <xdr:colOff>0</xdr:colOff>
      <xdr:row>10</xdr:row>
      <xdr:rowOff>209880</xdr:rowOff>
    </xdr:from>
    <xdr:to>
      <xdr:col>2</xdr:col>
      <xdr:colOff>30960</xdr:colOff>
      <xdr:row>10</xdr:row>
      <xdr:rowOff>511920</xdr:rowOff>
    </xdr:to>
    <xdr:sp>
      <xdr:nvSpPr>
        <xdr:cNvPr id="69" name="AutoShape 67">
          <a:hlinkClick r:id="rId5"/>
        </xdr:cNvPr>
        <xdr:cNvSpPr/>
      </xdr:nvSpPr>
      <xdr:spPr>
        <a:xfrm>
          <a:off x="251640" y="1590840"/>
          <a:ext cx="605520" cy="3020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CRONO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1275480</xdr:colOff>
      <xdr:row>8</xdr:row>
      <xdr:rowOff>66960</xdr:rowOff>
    </xdr:from>
    <xdr:to>
      <xdr:col>12</xdr:col>
      <xdr:colOff>444240</xdr:colOff>
      <xdr:row>10</xdr:row>
      <xdr:rowOff>94320</xdr:rowOff>
    </xdr:to>
    <xdr:sp>
      <xdr:nvSpPr>
        <xdr:cNvPr id="70" name="TextBoxArred"/>
        <xdr:cNvSpPr/>
      </xdr:nvSpPr>
      <xdr:spPr>
        <a:xfrm flipH="1">
          <a:off x="9268920" y="1314720"/>
          <a:ext cx="2923560" cy="351360"/>
        </a:xfrm>
        <a:prstGeom prst="rect">
          <a:avLst/>
        </a:prstGeom>
        <a:noFill/>
        <a:ln w="648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2680" bIns="0" anchor="t">
          <a:noAutofit/>
        </a:bodyPr>
        <a:p>
          <a:pPr algn="ctr">
            <a:lnSpc>
              <a:spcPct val="100000"/>
            </a:lnSpc>
          </a:pPr>
          <a:r>
            <a:rPr b="0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Considerar valores arredondados com (0,00)</a:t>
          </a:r>
          <a:endParaRPr b="0" lang="pt-BR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95400</xdr:colOff>
      <xdr:row>8</xdr:row>
      <xdr:rowOff>124200</xdr:rowOff>
    </xdr:from>
    <xdr:to>
      <xdr:col>3</xdr:col>
      <xdr:colOff>681480</xdr:colOff>
      <xdr:row>10</xdr:row>
      <xdr:rowOff>113760</xdr:rowOff>
    </xdr:to>
    <xdr:sp>
      <xdr:nvSpPr>
        <xdr:cNvPr id="71" name="AutoShape 67">
          <a:hlinkClick r:id="rId1"/>
        </xdr:cNvPr>
        <xdr:cNvSpPr/>
      </xdr:nvSpPr>
      <xdr:spPr>
        <a:xfrm>
          <a:off x="347040" y="1371960"/>
          <a:ext cx="586080" cy="313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2213640</xdr:colOff>
      <xdr:row>8</xdr:row>
      <xdr:rowOff>122040</xdr:rowOff>
    </xdr:from>
    <xdr:to>
      <xdr:col>4</xdr:col>
      <xdr:colOff>4095000</xdr:colOff>
      <xdr:row>10</xdr:row>
      <xdr:rowOff>104040</xdr:rowOff>
    </xdr:to>
    <xdr:sp>
      <xdr:nvSpPr>
        <xdr:cNvPr id="72" name="ShapeModoBM"/>
        <xdr:cNvSpPr/>
      </xdr:nvSpPr>
      <xdr:spPr>
        <a:xfrm>
          <a:off x="3210120" y="1369800"/>
          <a:ext cx="1881360" cy="306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Habilitar Modo CAIXA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27</xdr:col>
      <xdr:colOff>0</xdr:colOff>
      <xdr:row>6</xdr:row>
      <xdr:rowOff>52200</xdr:rowOff>
    </xdr:from>
    <xdr:to>
      <xdr:col>27</xdr:col>
      <xdr:colOff>360</xdr:colOff>
      <xdr:row>9</xdr:row>
      <xdr:rowOff>111600</xdr:rowOff>
    </xdr:to>
    <xdr:sp>
      <xdr:nvSpPr>
        <xdr:cNvPr id="73" name="ShapeCopiarMed"/>
        <xdr:cNvSpPr/>
      </xdr:nvSpPr>
      <xdr:spPr>
        <a:xfrm>
          <a:off x="16285680" y="975960"/>
          <a:ext cx="360" cy="545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Copiar da Medição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806400</xdr:colOff>
      <xdr:row>8</xdr:row>
      <xdr:rowOff>126000</xdr:rowOff>
    </xdr:from>
    <xdr:to>
      <xdr:col>4</xdr:col>
      <xdr:colOff>1392480</xdr:colOff>
      <xdr:row>10</xdr:row>
      <xdr:rowOff>110160</xdr:rowOff>
    </xdr:to>
    <xdr:sp>
      <xdr:nvSpPr>
        <xdr:cNvPr id="74" name="AutoShape 67">
          <a:hlinkClick r:id="rId2"/>
        </xdr:cNvPr>
        <xdr:cNvSpPr/>
      </xdr:nvSpPr>
      <xdr:spPr>
        <a:xfrm>
          <a:off x="1802880" y="1373760"/>
          <a:ext cx="586080" cy="3081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CFF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0</xdr:colOff>
      <xdr:row>0</xdr:row>
      <xdr:rowOff>21240</xdr:rowOff>
    </xdr:from>
    <xdr:to>
      <xdr:col>4</xdr:col>
      <xdr:colOff>1101600</xdr:colOff>
      <xdr:row>2</xdr:row>
      <xdr:rowOff>23760</xdr:rowOff>
    </xdr:to>
    <xdr:pic>
      <xdr:nvPicPr>
        <xdr:cNvPr id="75" name="Picture 2" descr=""/>
        <xdr:cNvPicPr/>
      </xdr:nvPicPr>
      <xdr:blipFill>
        <a:blip r:embed="rId3"/>
        <a:stretch/>
      </xdr:blipFill>
      <xdr:spPr>
        <a:xfrm>
          <a:off x="251640" y="21240"/>
          <a:ext cx="1846440" cy="3834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4</xdr:col>
      <xdr:colOff>1512360</xdr:colOff>
      <xdr:row>8</xdr:row>
      <xdr:rowOff>126000</xdr:rowOff>
    </xdr:from>
    <xdr:to>
      <xdr:col>4</xdr:col>
      <xdr:colOff>2098440</xdr:colOff>
      <xdr:row>10</xdr:row>
      <xdr:rowOff>110160</xdr:rowOff>
    </xdr:to>
    <xdr:sp>
      <xdr:nvSpPr>
        <xdr:cNvPr id="76" name="AutoShape 67">
          <a:hlinkClick r:id="rId4"/>
        </xdr:cNvPr>
        <xdr:cNvSpPr/>
      </xdr:nvSpPr>
      <xdr:spPr>
        <a:xfrm>
          <a:off x="2508840" y="1373760"/>
          <a:ext cx="586080" cy="3081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RRE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104760</xdr:colOff>
      <xdr:row>8</xdr:row>
      <xdr:rowOff>124200</xdr:rowOff>
    </xdr:from>
    <xdr:to>
      <xdr:col>4</xdr:col>
      <xdr:colOff>690840</xdr:colOff>
      <xdr:row>10</xdr:row>
      <xdr:rowOff>113760</xdr:rowOff>
    </xdr:to>
    <xdr:sp>
      <xdr:nvSpPr>
        <xdr:cNvPr id="77" name="AutoShape 67">
          <a:hlinkClick r:id="rId5"/>
        </xdr:cNvPr>
        <xdr:cNvSpPr/>
      </xdr:nvSpPr>
      <xdr:spPr>
        <a:xfrm>
          <a:off x="1101240" y="1371960"/>
          <a:ext cx="586080" cy="313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DADOS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9088560</xdr:colOff>
          <xdr:row>6</xdr:row>
          <xdr:rowOff>73800</xdr:rowOff>
        </xdr:from>
        <xdr:to>
          <xdr:col>4</xdr:col>
          <xdr:colOff>186480</xdr:colOff>
          <xdr:row>7</xdr:row>
          <xdr:rowOff>127080</xdr:rowOff>
        </xdr:to>
        <xdr:sp>
          <xdr:nvSpPr>
            <xdr:cNvPr id="1001" name="CaixaArredMed" descr="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 </a:t>
              </a:r>
            </a:p>
          </xdr:txBody>
        </xdr:sp>
        <xdr:clientData/>
      </xdr:twoCellAnchor>
    </mc:Choice>
  </mc:AlternateContent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14</xdr:col>
      <xdr:colOff>102960</xdr:colOff>
      <xdr:row>7</xdr:row>
      <xdr:rowOff>160200</xdr:rowOff>
    </xdr:from>
    <xdr:to>
      <xdr:col>24</xdr:col>
      <xdr:colOff>168840</xdr:colOff>
      <xdr:row>10</xdr:row>
      <xdr:rowOff>48960</xdr:rowOff>
    </xdr:to>
    <xdr:sp>
      <xdr:nvSpPr>
        <xdr:cNvPr id="78" name="AutoShape 317"/>
        <xdr:cNvSpPr/>
      </xdr:nvSpPr>
      <xdr:spPr>
        <a:xfrm>
          <a:off x="10974960" y="1407960"/>
          <a:ext cx="2833560" cy="374400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0" tIns="22680" bIns="0" anchor="t">
          <a:noAutofit/>
        </a:bodyPr>
        <a:p>
          <a:pPr>
            <a:lnSpc>
              <a:spcPct val="100000"/>
            </a:lnSpc>
          </a:pPr>
          <a:r>
            <a:rPr b="1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Para Metas preenchidas manualmente, digite o valor medido nas colunas à direita.</a:t>
          </a:r>
          <a:endParaRPr b="0" lang="pt-BR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85680</xdr:colOff>
      <xdr:row>8</xdr:row>
      <xdr:rowOff>28440</xdr:rowOff>
    </xdr:from>
    <xdr:to>
      <xdr:col>5</xdr:col>
      <xdr:colOff>142200</xdr:colOff>
      <xdr:row>10</xdr:row>
      <xdr:rowOff>10440</xdr:rowOff>
    </xdr:to>
    <xdr:sp>
      <xdr:nvSpPr>
        <xdr:cNvPr id="79" name="AutoShape 67">
          <a:hlinkClick r:id="rId1"/>
        </xdr:cNvPr>
        <xdr:cNvSpPr/>
      </xdr:nvSpPr>
      <xdr:spPr>
        <a:xfrm>
          <a:off x="337320" y="1438200"/>
          <a:ext cx="589680" cy="305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240480</xdr:colOff>
      <xdr:row>8</xdr:row>
      <xdr:rowOff>31680</xdr:rowOff>
    </xdr:from>
    <xdr:to>
      <xdr:col>5</xdr:col>
      <xdr:colOff>1523160</xdr:colOff>
      <xdr:row>10</xdr:row>
      <xdr:rowOff>8640</xdr:rowOff>
    </xdr:to>
    <xdr:sp>
      <xdr:nvSpPr>
        <xdr:cNvPr id="80" name="AutoShape 67"/>
        <xdr:cNvSpPr/>
      </xdr:nvSpPr>
      <xdr:spPr>
        <a:xfrm>
          <a:off x="1025280" y="1441440"/>
          <a:ext cx="1282680" cy="3006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EDITAR MEDIÇÃO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0</xdr:row>
      <xdr:rowOff>21240</xdr:rowOff>
    </xdr:from>
    <xdr:to>
      <xdr:col>5</xdr:col>
      <xdr:colOff>1302840</xdr:colOff>
      <xdr:row>1</xdr:row>
      <xdr:rowOff>24840</xdr:rowOff>
    </xdr:to>
    <xdr:pic>
      <xdr:nvPicPr>
        <xdr:cNvPr id="81" name="Picture 2" descr=""/>
        <xdr:cNvPicPr/>
      </xdr:nvPicPr>
      <xdr:blipFill>
        <a:blip r:embed="rId2"/>
        <a:stretch/>
      </xdr:blipFill>
      <xdr:spPr>
        <a:xfrm>
          <a:off x="251640" y="21240"/>
          <a:ext cx="1836000" cy="384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5</xdr:col>
      <xdr:colOff>1623600</xdr:colOff>
      <xdr:row>8</xdr:row>
      <xdr:rowOff>31680</xdr:rowOff>
    </xdr:from>
    <xdr:to>
      <xdr:col>5</xdr:col>
      <xdr:colOff>2209680</xdr:colOff>
      <xdr:row>10</xdr:row>
      <xdr:rowOff>8640</xdr:rowOff>
    </xdr:to>
    <xdr:sp>
      <xdr:nvSpPr>
        <xdr:cNvPr id="82" name="AutoShape 67">
          <a:hlinkClick r:id="rId3"/>
        </xdr:cNvPr>
        <xdr:cNvSpPr/>
      </xdr:nvSpPr>
      <xdr:spPr>
        <a:xfrm>
          <a:off x="2408400" y="1441440"/>
          <a:ext cx="586080" cy="3006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OFÍCIO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459360</xdr:colOff>
      <xdr:row>1</xdr:row>
      <xdr:rowOff>64440</xdr:rowOff>
    </xdr:from>
    <xdr:to>
      <xdr:col>5</xdr:col>
      <xdr:colOff>485280</xdr:colOff>
      <xdr:row>2</xdr:row>
      <xdr:rowOff>207360</xdr:rowOff>
    </xdr:to>
    <xdr:sp>
      <xdr:nvSpPr>
        <xdr:cNvPr id="83" name="ShapeBrasao"/>
        <xdr:cNvSpPr/>
      </xdr:nvSpPr>
      <xdr:spPr>
        <a:xfrm>
          <a:off x="3610080" y="226440"/>
          <a:ext cx="1475640" cy="3049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INSERIR BRASÃO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653400</xdr:colOff>
      <xdr:row>1</xdr:row>
      <xdr:rowOff>66600</xdr:rowOff>
    </xdr:from>
    <xdr:to>
      <xdr:col>3</xdr:col>
      <xdr:colOff>1192680</xdr:colOff>
      <xdr:row>2</xdr:row>
      <xdr:rowOff>209520</xdr:rowOff>
    </xdr:to>
    <xdr:sp>
      <xdr:nvSpPr>
        <xdr:cNvPr id="84" name="AutoShape 67">
          <a:hlinkClick r:id="rId1"/>
        </xdr:cNvPr>
        <xdr:cNvSpPr/>
      </xdr:nvSpPr>
      <xdr:spPr>
        <a:xfrm>
          <a:off x="2354400" y="228600"/>
          <a:ext cx="539280" cy="3049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DADOS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1236960</xdr:colOff>
      <xdr:row>1</xdr:row>
      <xdr:rowOff>63360</xdr:rowOff>
    </xdr:from>
    <xdr:to>
      <xdr:col>4</xdr:col>
      <xdr:colOff>398160</xdr:colOff>
      <xdr:row>2</xdr:row>
      <xdr:rowOff>206640</xdr:rowOff>
    </xdr:to>
    <xdr:sp>
      <xdr:nvSpPr>
        <xdr:cNvPr id="85" name="AutoShape 67">
          <a:hlinkClick r:id="rId2"/>
        </xdr:cNvPr>
        <xdr:cNvSpPr/>
      </xdr:nvSpPr>
      <xdr:spPr>
        <a:xfrm>
          <a:off x="2937960" y="225360"/>
          <a:ext cx="610920" cy="3052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RRE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72360</xdr:colOff>
      <xdr:row>1</xdr:row>
      <xdr:rowOff>66600</xdr:rowOff>
    </xdr:from>
    <xdr:to>
      <xdr:col>3</xdr:col>
      <xdr:colOff>611640</xdr:colOff>
      <xdr:row>2</xdr:row>
      <xdr:rowOff>209520</xdr:rowOff>
    </xdr:to>
    <xdr:sp>
      <xdr:nvSpPr>
        <xdr:cNvPr id="86" name="AutoShape 67">
          <a:hlinkClick r:id="rId3"/>
        </xdr:cNvPr>
        <xdr:cNvSpPr/>
      </xdr:nvSpPr>
      <xdr:spPr>
        <a:xfrm>
          <a:off x="1773360" y="228600"/>
          <a:ext cx="539280" cy="3049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../../../../C:/Users/Usuario/AppData/Local/Temp/Rar$DIa10704.26244/FNHIS_SUB50_Or&#231;amento_CD_SAP_V5.1_DB07-25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../../../../../../../C:/Users/Usuario/AppData/Local/Temp/Rar$DIa3204.40499/FNHIS_SUB50_Or&#231;amento_CD_SAP_V5.1_DB07-25.xlsx" TargetMode="External"/>
</Relationships>
</file>

<file path=xl/externalLinks/_rels/externalLink3.xml.rels><?xml version="1.0" encoding="UTF-8"?>
<Relationships xmlns="http://schemas.openxmlformats.org/package/2006/relationships"><Relationship Id="rId1" Type="http://schemas.openxmlformats.org/officeDocument/2006/relationships/externalLinkPath" Target="../../../../../../../C:/PROJETOS/SEC.%20OBRAS%202025/CASAS%20POPULARES%202025/Planilha_Multipla_v3.12%20(1).xlsm" TargetMode="External"/>
</Relationships>
</file>

<file path=xl/externalLinks/_rels/externalLink4.xml.rels><?xml version="1.0" encoding="UTF-8"?>
<Relationships xmlns="http://schemas.openxmlformats.org/package/2006/relationships"><Relationship Id="rId1" Type="http://schemas.openxmlformats.org/officeDocument/2006/relationships/externalLinkPath" Target="../../../../../../../C:/Users/Usuario/AppData/Local/Temp/Rar$DIa10236.40236/FNHIS_SUB50_Or&#231;amento_CD_SAP_V5.1_DB07-25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"/>
      <sheetName val="Composição Adaptadas (CD)"/>
      <sheetName val="SINAPI (Composições)"/>
    </sheetNames>
    <sheetDataSet>
      <sheetData sheetId="0">
        <row r="12">
          <cell r="B12" t="str">
            <v>FUNDAÇÕES E CONTENÇÕES</v>
          </cell>
        </row>
        <row r="13">
          <cell r="B13" t="str">
            <v>FUNDAÇÕES</v>
          </cell>
        </row>
        <row r="14">
          <cell r="B14" t="str">
            <v>SAPATA</v>
          </cell>
        </row>
        <row r="15">
          <cell r="D15" t="str">
            <v>ESCAVAÇÃO MECANIZADA PARA BLOCO DE COROAMENTO OU SAPATA COM RETROESCAVADEIRA (INCLUINDO ESCAVAÇÃO PARA COLOCAÇÃO DE FÔRMAS). AF_01/2024</v>
          </cell>
        </row>
        <row r="16">
          <cell r="D16" t="str">
            <v>PREPARO DE FUNDO DE VALA COM LARGURA MENOR QUE 1,5 M (ACERTO DO SOLO NATURAL). AF_08/2020</v>
          </cell>
        </row>
        <row r="17">
          <cell r="D17" t="str">
            <v>LASTRO DE CONCRETO MAGRO, APLICADO EM BLOCOS DE COROAMENTO OU SAPATAS, ESPESSURA DE 5 CM. AF_01/2024</v>
          </cell>
        </row>
        <row r="18">
          <cell r="D18" t="str">
            <v>FABRICAÇÃO, MONTAGEM E DESMONTAGEM DE FÔRMA PARA SAPATA, EM CHAPA DE MADEIRA COMPENSADA RESINADA, E=17 MM, 4 UTILIZAÇÕES. AF_01/2024</v>
          </cell>
        </row>
        <row r="23">
          <cell r="D23" t="str">
            <v>REATERRO MANUAL DE VALAS, COM COMPACTADOR DE SOLOS DE PERCUSSÃO. AF_08/2023</v>
          </cell>
        </row>
        <row r="24">
          <cell r="B24" t="str">
            <v>BALDRAMES</v>
          </cell>
        </row>
        <row r="33">
          <cell r="B33" t="str">
            <v>IMPERMEABILIZAÇÃO</v>
          </cell>
        </row>
        <row r="38">
          <cell r="B38" t="str">
            <v>SUPRAESTRUTURA</v>
          </cell>
        </row>
        <row r="39">
          <cell r="B39" t="str">
            <v>PILARES, VIGAS E LAJES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O"/>
      <sheetName val="Composição Adaptadas (CD)"/>
      <sheetName val="SINAPI (Composições)"/>
    </sheetNames>
    <sheetDataSet>
      <sheetData sheetId="0">
        <row r="15">
          <cell r="G15">
            <v>42.43</v>
          </cell>
        </row>
        <row r="16">
          <cell r="G16">
            <v>6.37</v>
          </cell>
        </row>
        <row r="17">
          <cell r="G17">
            <v>43.74</v>
          </cell>
        </row>
        <row r="18">
          <cell r="G18">
            <v>180.99</v>
          </cell>
        </row>
        <row r="23">
          <cell r="G23">
            <v>26.28</v>
          </cell>
        </row>
        <row r="86">
          <cell r="G86">
            <v>8.33</v>
          </cell>
        </row>
        <row r="94">
          <cell r="G94">
            <v>4.53</v>
          </cell>
        </row>
        <row r="95">
          <cell r="G95">
            <v>5.5</v>
          </cell>
        </row>
        <row r="96">
          <cell r="G96">
            <v>13.17</v>
          </cell>
        </row>
        <row r="97">
          <cell r="G97">
            <v>10.78</v>
          </cell>
        </row>
        <row r="99">
          <cell r="G99">
            <v>5.56</v>
          </cell>
        </row>
        <row r="100">
          <cell r="G100">
            <v>10.78</v>
          </cell>
        </row>
        <row r="102">
          <cell r="G102">
            <v>2.15</v>
          </cell>
        </row>
        <row r="103">
          <cell r="G103">
            <v>28.5</v>
          </cell>
        </row>
        <row r="104">
          <cell r="G104">
            <v>18.93</v>
          </cell>
        </row>
        <row r="113">
          <cell r="G113">
            <v>55.24</v>
          </cell>
        </row>
        <row r="114">
          <cell r="G114">
            <v>42.92</v>
          </cell>
        </row>
        <row r="120">
          <cell r="G120">
            <v>0.68</v>
          </cell>
        </row>
        <row r="121">
          <cell r="G121">
            <v>840.88</v>
          </cell>
        </row>
        <row r="124">
          <cell r="G124">
            <v>7.46</v>
          </cell>
        </row>
        <row r="135">
          <cell r="H135">
            <v>1598.7</v>
          </cell>
        </row>
        <row r="136">
          <cell r="H136">
            <v>248.64</v>
          </cell>
        </row>
        <row r="163">
          <cell r="G163">
            <v>12.72</v>
          </cell>
        </row>
        <row r="164">
          <cell r="G164">
            <v>8.64</v>
          </cell>
        </row>
        <row r="166">
          <cell r="G166">
            <v>6.57</v>
          </cell>
        </row>
        <row r="168">
          <cell r="G168">
            <v>23.56</v>
          </cell>
        </row>
        <row r="171">
          <cell r="G171">
            <v>140.98</v>
          </cell>
        </row>
        <row r="172">
          <cell r="G172">
            <v>148.79</v>
          </cell>
        </row>
        <row r="173">
          <cell r="D173" t="str">
            <v>REGISTRO DE ESFERA, PVC, SOLDÁVEL, COM VOLANTE, DN 32 MM - FORNECIMENTO E INSTALAÇÃO. AF_08/2021</v>
          </cell>
        </row>
        <row r="174">
          <cell r="D174" t="str">
            <v>ENGATE FLEXÍVEL EM PLÁSTICO BRANCO, 1/2" X 40CM - FORNECIMENTO E INSTALAÇÃO. AF_01/2020</v>
          </cell>
        </row>
        <row r="176">
          <cell r="G176">
            <v>188.03</v>
          </cell>
        </row>
        <row r="177">
          <cell r="G177">
            <v>154.05</v>
          </cell>
        </row>
        <row r="178">
          <cell r="G178">
            <v>62.06</v>
          </cell>
        </row>
        <row r="179">
          <cell r="G179">
            <v>12.27</v>
          </cell>
        </row>
        <row r="180">
          <cell r="G180">
            <v>5.17</v>
          </cell>
        </row>
        <row r="182">
          <cell r="G182">
            <v>11.95</v>
          </cell>
        </row>
        <row r="184">
          <cell r="G184">
            <v>302.22</v>
          </cell>
        </row>
        <row r="186">
          <cell r="G186">
            <v>4.86</v>
          </cell>
        </row>
        <row r="188">
          <cell r="G188">
            <v>25.47</v>
          </cell>
        </row>
        <row r="190">
          <cell r="G190">
            <v>8.64</v>
          </cell>
        </row>
        <row r="192">
          <cell r="G192">
            <v>13.64</v>
          </cell>
        </row>
        <row r="194">
          <cell r="G194">
            <v>16.75</v>
          </cell>
        </row>
        <row r="196">
          <cell r="G196">
            <v>12.27</v>
          </cell>
        </row>
        <row r="201">
          <cell r="G201">
            <v>15.29</v>
          </cell>
        </row>
        <row r="203">
          <cell r="G203">
            <v>14.57</v>
          </cell>
        </row>
        <row r="205">
          <cell r="G205">
            <v>23.59</v>
          </cell>
        </row>
        <row r="207">
          <cell r="H207">
            <v>10.82</v>
          </cell>
        </row>
        <row r="215">
          <cell r="D215" t="str">
            <v>RALO SIFONADO REDONDO, PVC, DN 100 X 40 MM, JUNTA SOLDÁVEL, FORNECIDO E INSTALADO EM RAMAL DE DESCARGA OU EM RAMAL DE ESGOTO SANITÁRIO. AF_08/2022</v>
          </cell>
        </row>
        <row r="215">
          <cell r="G215">
            <v>18.24</v>
          </cell>
        </row>
        <row r="217">
          <cell r="G217">
            <v>364.03</v>
          </cell>
        </row>
        <row r="219">
          <cell r="G219">
            <v>564.1</v>
          </cell>
        </row>
        <row r="220">
          <cell r="G220">
            <v>276.51</v>
          </cell>
        </row>
        <row r="221">
          <cell r="G221">
            <v>443.4</v>
          </cell>
        </row>
        <row r="222">
          <cell r="G222">
            <v>667.01</v>
          </cell>
        </row>
        <row r="223">
          <cell r="G223">
            <v>104.47</v>
          </cell>
        </row>
        <row r="224">
          <cell r="G224">
            <v>144.47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>
        <row r="28">
          <cell r="R28" t="str">
            <v>ESCAVAÇÃO MANUAL PARA VIGA BALDRAME OU SAPATA CORRIDA (INCLUINDO ESCAVAÇÃO PARA COLOCAÇÃO DE FÔRMAS)</v>
          </cell>
        </row>
        <row r="31">
          <cell r="R31" t="str">
            <v>CONCRETO FCK = 25MPA, TRAÇO 1:2,3:2,7 (EM MASSA SECA DE CIMENTO/ AREIAMÉDIA/ BRITA 1) - PREPARO MECÂNICO COM BETONEIRA 400 L</v>
          </cell>
        </row>
        <row r="32">
          <cell r="R32" t="str">
            <v>FÔRMA E DESFORMA DE TÁBUA E SARRAFO,
REAPROVEITAMENTO (5X), EXCLUSIVE ESCORAMENTO</v>
          </cell>
        </row>
        <row r="32">
          <cell r="U32">
            <v>53.02</v>
          </cell>
        </row>
        <row r="37">
          <cell r="R37" t="str">
            <v>CONCRETO FCK = 25MPA, TRAÇO 1:2,3:2,7 (EM MASSA SECA DE CIMENTO/ AREIAMÉDIA/ BRITA 1) - PREPARO MECÂNICO COM BETONEIRA 400 L</v>
          </cell>
        </row>
        <row r="38">
          <cell r="R38" t="str">
            <v>FÔRMA E DESFORMA DE TÁBUA E SARRAFO,
REAPROVEITAMENTO (5X), EXCLUSIVE ESCORAMENTO</v>
          </cell>
        </row>
        <row r="38">
          <cell r="U38">
            <v>53.02</v>
          </cell>
        </row>
        <row r="39">
          <cell r="R39" t="str">
            <v>LAJE PRÉ-MOLDADA UNIDIRECIONAL COM ENCHIMENTO EM
POLIESTIRENO EXPANDIDO (EPS), CAPEAMENTO DE 4CM,
SOBRECARGA DE 100KG/M2, ALTURA TOTAL DE 11CM E VÃO
LIVRE MÁXIMO DE 3M, INCLUSIVE CONCRETO ESTRUTURAL,
USINADO BOMBEADO COM FCK DE 20MPA, EXCLUSIVE TELA
ARMADA E CIMBRAMENTO</v>
          </cell>
        </row>
        <row r="40">
          <cell r="R40" t="str">
            <v>CIMBRAMENTO PARA LAJE PRÉ-MOLDADA COM ESCORAMENTO
METÁLICO, TIPO "A", ALTURA DE (200 ATÉ 310)CM, INCLUSIVE
DESCARGA, MONTAGEM, DESMONTAGEM E CARGA</v>
          </cell>
        </row>
        <row r="40">
          <cell r="U40">
            <v>22.16</v>
          </cell>
        </row>
        <row r="43">
          <cell r="R43" t="str">
            <v>VERGA OU CONTRAVERGA EM CONCRETO ESTRUTURAL PARA
VÃOS DE ATÉ 150CM, PREPARADO EM OBRA COM BETONEIRA,
CONTROLE "A", COM FCK 20 MPA, MOLDADA IN LOCO, INCLUSIVE
ARMAÇÃO</v>
          </cell>
        </row>
        <row r="43">
          <cell r="U43">
            <v>3141.48</v>
          </cell>
        </row>
        <row r="48">
          <cell r="R48" t="str">
            <v>APLICAÇÃO MANUAL DE GESSO DESEMPENADO (SEM TALISCAS) EM PAREDES, ESPESSURA DE 0,5CM. AF_03/2023</v>
          </cell>
        </row>
        <row r="49">
          <cell r="R49" t="str">
            <v>APLICAÇÃO MANUAL DE GESSO DESEMPENADO (SEM TALISCAS) EM TETO DE AMBIENTES DE ÁREA MAIOR QUE 10M², ESPESSURA DE 0,5CM. AF_03/20</v>
          </cell>
        </row>
        <row r="50">
          <cell r="R50" t="str">
            <v>REBOCO COM ARGAMASSA, TRAÇO 1:2:8 (CIMENTO, CAL E AREIA)
, ESP. 20MM, APLICAÇÃO MANUAL, INCLUSIVE ARGAMASSA COM
PREPARO MECANIZADO, EXCLUSIVE CHAPISCO</v>
          </cell>
        </row>
        <row r="51">
          <cell r="R51" t="str">
            <v>CHAPISCO APLICADO EM ALVENARIAS E ESTRUTURAS DE CONCRETO INTERNAS, COM COLHER DE PEDREIRO. ARGAMASSA TRAÇO 1:3 COM PREPARO MANUAL. AF_10/20</v>
          </cell>
        </row>
        <row r="52">
          <cell r="R52" t="str">
            <v>EMBOÇO COM ARGAMASSA, TRAÇO 1:6 (CIMENTO E AREIA), ESP.
20MM, APLICAÇÃO MANUAL, INCLUSIVE ARGAMASSA COM
PREPARO MECANIZADO, EXCLUSIVE CHAPISCO</v>
          </cell>
        </row>
        <row r="53">
          <cell r="R53" t="str">
            <v>REVESTIMENTO CERÂMICO PARA PISO COM PLACAS TIPO ESMALTADA DE DIMENSÕES 60X60 CM APLICADA EM AMBIENTES DE ÁREA MAIOR QUE 10 M2. AF_02/2023_PE.</v>
          </cell>
        </row>
        <row r="55">
          <cell r="R55" t="str">
            <v>REVESTIMENTO CERÂMICO PARA PAREDES INTERNAS COM PLACAS TIPO ESMALTADA DE DIMENSÕES 33X45 CM APLICADAS NA ALTURA INTEIRA DAS PAREDES.</v>
          </cell>
        </row>
        <row r="83">
          <cell r="R83" t="str">
            <v>PONTO DE EMBUTIR PARA UM (1) INTERRUPTOR SIMPLES (10A-
250V), COM PLACA 4"X2" DE UM (1) POSTO, COM ELETRODUTO
FLEXÍVEL CORRUGADO, ANTI-CHAMA, DN 25MM (3/4"), EMBUTIDO
NA ALVENARIA E CABO DE COBRE FLEXÍVEL, CLASSE 5,
ISOLAMENTO TIPO LSHF/ATOX, NÃO HALOGENADO, SEÇÃO 1,
5MM2 (70°C-450/750V), COM DISTÂNCIA DE ATÉ DEZ (10) METROS
DO PONTO DE DERIVAÇÃO, INCLUSIVE CAIXA DE LIGAÇÃO,
SUPORTE E FIXAÇÃO DO ELETRODUTO COM ENCHIMENTO DO
RASGO NA ALVENARIA/CONCRETO COM ARGAMASSA</v>
          </cell>
        </row>
        <row r="83">
          <cell r="U83">
            <v>236.04</v>
          </cell>
        </row>
        <row r="84">
          <cell r="R84" t="str">
            <v>PONTO DE EMBUTIR PARA UMA (1) LUMINÁRIA,COM ELETRODUTO
DE PVC RÍGIDO ROSCÁVEL, DN 20MM (3/4"), EMBUTIDO NA LAJE E
CABO DE COBRE FLEXÍVEL, CLASSE 5, ISOLAMENTO TIPO LSHF/
ATOX, NÃO HALOGENADO, SEÇÃO 1,5MM2 (70°C-450/750V), COM
DISTÂNCIA DE ATÉ CINCO (5) METROS DO PONTO DE DERIVAÇÃO,
EXCLUSIVE LUMINÁRIA, INCLUSIVE CAIXA DE LIGAÇÃO
OCTOGONAL, SUPORTE E FIXAÇÃO DO ELETRODUTO</v>
          </cell>
        </row>
        <row r="84">
          <cell r="U84">
            <v>142.11</v>
          </cell>
        </row>
        <row r="85">
          <cell r="R85" t="str">
            <v>PONTO DE EMBUTIR PARA UMA (1) TOMADA PADRÃO, TRÊS (3)
POLOS (2P+T/10A-250V), COM PLACA 4"X2" DE UM (1) POSTO, COM
ELETRODUTO DE PVC RÍGIDO ROSCÁVEL, DN 20MM (3/4"),
EMBUTIDO NO PISO E CABO DE COBRE FLEXÍVEL, CLASSE 5,
ISOLAMENTO TIPO LSHF/ATOX, NÃO HALOGENADO, SEÇÃO 2,
5MM2 (70°C-450/750V), COM DISTÂNCIA DE ATÉ DEZ (10) METROS
DO PONTO DE DERIVAÇÃO, INCLUSIVE CAIXA DE LIGAÇÃO,
SUPORTE E FIXAÇÃO DO ELETRODUTO COM ENCHIMENTO DO
RASGO NA ALVENARIA/CONCRETO COM ARGAMASSA</v>
          </cell>
        </row>
        <row r="85">
          <cell r="U85">
            <v>398.48</v>
          </cell>
        </row>
        <row r="87">
          <cell r="R87" t="str">
            <v>LUMINÁRIA ARANDELA TIPO MEIA LUA, DE SOBREPOR, COM 1 LÂMPADA LED DE 6W, SEM REATOR - FORNECIMENTO E INSTALAÇÃO. AF_09/2024</v>
          </cell>
        </row>
        <row r="97">
          <cell r="R97" t="str">
            <v>JANELA EM ALUMÍNIO MÁXIM-AR COM ALTURA DE 60CM, LINHA 25/
SUPREMA, ACABAMENTO ANODIZADO NATURAL, INCLUSIVE
PERFIS, VIDRO LISO 4MM E INSTALAÇÃO, EXCLUSIVE FERRAGENS
PARA MÓDULO DE JANELA DE ALUMÍNIO MÁXIM-AR</v>
          </cell>
        </row>
        <row r="97">
          <cell r="U97">
            <v>1023.63</v>
          </cell>
        </row>
        <row r="98">
          <cell r="R98" t="str">
            <v>PORTA DE ABRIR COM MOLA HIDRÁULICA, EM VIDRO TEMPERADO, 90X210 CM, ESPESSURA 10 MM, INCLUSIVE ACESSÓRIOS. AF_01/2021</v>
          </cell>
        </row>
        <row r="99">
          <cell r="R99" t="str">
            <v>DIVISÓRIA FIXA EM VIDRO TEMPERADO 10 MM, SEM ABERTURA. AF_01/2021_PS</v>
          </cell>
        </row>
        <row r="108">
          <cell r="R108" t="str">
            <v>LIMPEZA FINAL DE OBRA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O"/>
      <sheetName val="Composição Adaptadas (CD)"/>
      <sheetName val="SINAPI (Composições)"/>
    </sheetNames>
    <sheetDataSet>
      <sheetData sheetId="0">
        <row r="36">
          <cell r="G36">
            <v>39.63</v>
          </cell>
        </row>
        <row r="51">
          <cell r="B51" t="str">
            <v>ALVENARIA/FECHAMENTOS</v>
          </cell>
        </row>
        <row r="55">
          <cell r="B55" t="str">
            <v>ESQUADRIAS METÁLICAS</v>
          </cell>
        </row>
        <row r="62">
          <cell r="B62" t="str">
            <v>ESQUADRIAS DE MADEIRAS</v>
          </cell>
        </row>
        <row r="64">
          <cell r="B64" t="str">
            <v>VIDROS E ESQUADRIAS ESPECIAIS</v>
          </cell>
        </row>
        <row r="65">
          <cell r="B65" t="str">
            <v>COBERTURA E PROTEÇÕES</v>
          </cell>
        </row>
        <row r="73">
          <cell r="B73" t="str">
            <v>IMPERMEBILIZAÇÕES</v>
          </cell>
        </row>
        <row r="74">
          <cell r="B74" t="str">
            <v>REVESTIMENTOS</v>
          </cell>
        </row>
        <row r="75">
          <cell r="B75" t="str">
            <v>REVESTIMENTOS INTERNOS</v>
          </cell>
        </row>
        <row r="82">
          <cell r="B82" t="str">
            <v>REVESTIMENTOS CERÂMICOS</v>
          </cell>
        </row>
        <row r="85">
          <cell r="B85" t="str">
            <v>REVESTIMENTOS EXTERNOS</v>
          </cell>
        </row>
        <row r="86">
          <cell r="D86" t="str">
            <v>CHAPISCO APLICADO EM ALVENARIA (COM PRESENÇA DE VÃOS) E ESTRUTURAS DE CONCRETO DE FACHADA, COM COLHER DE PEDREIRO. ARGAMASSA TRAÇO 1:3 COM PREPARO EM BETONEIRA 400L. AF_10/2022</v>
          </cell>
        </row>
        <row r="90">
          <cell r="B90" t="str">
            <v>FORROS</v>
          </cell>
        </row>
        <row r="92">
          <cell r="B92" t="str">
            <v>PINTURA</v>
          </cell>
        </row>
        <row r="93">
          <cell r="B93" t="str">
            <v>PINTURAS INTERNAS</v>
          </cell>
        </row>
        <row r="94">
          <cell r="D94" t="str">
            <v>FUNDO SELADOR ACRÍLICO, APLICAÇÃO MANUAL EM PAREDE, UMA DEMÃO. AF_04/2023</v>
          </cell>
        </row>
        <row r="95">
          <cell r="D95" t="str">
            <v>FUNDO SELADOR ACRÍLICO, APLICAÇÃO MANUAL EM TETO, UMA DEMÃO. AF_04/2023</v>
          </cell>
        </row>
        <row r="96">
          <cell r="D96" t="str">
            <v>PINTURA LÁTEX ACRÍLICA STANDARD, APLICAÇÃO MANUAL EM TETO, DUAS DEMÃOS. AF_04/2023</v>
          </cell>
        </row>
        <row r="97">
          <cell r="D97" t="str">
            <v>PINTURA LÁTEX ACRÍLICA STANDARD, APLICAÇÃO MANUAL EM PAREDES, DUAS DEMÃOS. AF_04/2023</v>
          </cell>
        </row>
        <row r="98">
          <cell r="B98" t="str">
            <v>PINTURAS EXTERNAS</v>
          </cell>
        </row>
        <row r="99">
          <cell r="D99" t="str">
            <v>APLICAÇÃO MANUAL DE FUNDO SELADOR ACRÍLICO EM PAREDES EXTERNAS DE CASAS. AF_03/2024</v>
          </cell>
        </row>
        <row r="100">
          <cell r="D100" t="str">
            <v>PINTURA LÁTEX ACRÍLICA STANDARD, APLICAÇÃO MANUAL EM PAREDES, DUAS DEMÃOS. AF_04/2023</v>
          </cell>
        </row>
        <row r="101">
          <cell r="B101" t="str">
            <v>PINTURA ESQUADRIAS</v>
          </cell>
        </row>
        <row r="102">
          <cell r="D102" t="str">
            <v>LIXAMENTO DE MADEIRA PARA APLICAÇÃO DE FUNDO OU PINTURA. AF_01/2021</v>
          </cell>
        </row>
        <row r="103">
          <cell r="D103" t="str">
            <v>PINTURA FUNDO NIVELADOR ALQUÍDICO BRANCO EM MADEIRA. AF_01/2021</v>
          </cell>
        </row>
        <row r="104">
          <cell r="D104" t="str">
            <v>PINTURA TINTA DE ACABAMENTO (PIGMENTADA) ESMALTE SINTÉTICO ACETINADO EM MADEIRA, 2 DEMÃOS. AF_01/2021</v>
          </cell>
        </row>
        <row r="105">
          <cell r="B105" t="str">
            <v>ESPECIAIS / ELEMENTOS FACHADA</v>
          </cell>
        </row>
        <row r="106">
          <cell r="B106" t="str">
            <v>PAVIMENTAÇÕES</v>
          </cell>
        </row>
        <row r="107">
          <cell r="B107" t="str">
            <v>MADEIRA</v>
          </cell>
        </row>
        <row r="108">
          <cell r="B108" t="str">
            <v>CERÂMICA</v>
          </cell>
        </row>
        <row r="109">
          <cell r="D109" t="str">
            <v>COMPACTAÇÃO MECÂNICA DE SOLO PARA EXECUÇÃO DE RADIER, PISO DE CONCRETO OU LAJE SOBRE SOLO, COM COMPACTADOR DE SOLOS TIPO PLACA VIBRATÓRIA. AF_09/2021</v>
          </cell>
        </row>
        <row r="112">
          <cell r="D112" t="str">
            <v>LASTRO DE CONCRETO MAGRO, APLICADO EM PISOS, LAJES SOBRE SOLO OU RADIERS, ESPESSURA DE 5 CM. AF_01/2024</v>
          </cell>
        </row>
        <row r="113">
          <cell r="D113" t="str">
            <v>CONTRAPISO EM ARGAMASSA TRAÇO 1:4 (CIMENTO E AREIA), PREPARO MECÂNICO COM BETONEIRA 400 L, APLICADO EM ÁREAS MOLHADAS SOBRE LAJE, ADERIDO, ACABAMENTO NÃO REFORÇADO, ESPESSURA 3CM. AF_07/2021</v>
          </cell>
        </row>
        <row r="114">
          <cell r="D114" t="str">
            <v>CONTRAPISO EM ARGAMASSA TRAÇO 1:4 (CIMENTO E AREIA), PREPARO MECÂNICO COM BETONEIRA 400 L, APLICADO EM ÁREAS SECAS SOBRE LAJE, ADERIDO, ACABAMENTO NÃO REFORÇADO, ESPESSURA 3CM. AF_07/2021</v>
          </cell>
        </row>
        <row r="118">
          <cell r="B118" t="str">
            <v>CARPETE</v>
          </cell>
        </row>
        <row r="119">
          <cell r="B119" t="str">
            <v>CIMENTADOS</v>
          </cell>
        </row>
        <row r="120">
          <cell r="D120" t="str">
            <v>COMPACTAÇÃO MECÂNICA DE SOLO PARA EXECUÇÃO DE RADIER, PISO DE CONCRETO OU LAJE SOBRE SOLO, COM COMPACTADOR DE SOLOS TIPO PLACA VIBRATÓRIA. AF_09/2021</v>
          </cell>
        </row>
        <row r="121">
          <cell r="D121" t="str">
            <v>EXECUÇÃO DE PASSEIO (CALÇADA) OU PISO DE CONCRETO COM CONCRETO MOLDADO IN LOCO, FEITO EM OBRA, ACABAMENTO CONVENCIONAL, NÃO ARMADO. AF_08/2022</v>
          </cell>
        </row>
        <row r="122">
          <cell r="B122" t="str">
            <v>RODAPÉS, SOLEIRAS E PEITORIS</v>
          </cell>
        </row>
        <row r="124">
          <cell r="D124" t="str">
            <v>RODAPÉ CERÂMICO DE 7CM DE ALTURA COM PLACAS TIPO ESMALTADA DE DIMENSÕES 35X35CM. AF_02/2023</v>
          </cell>
        </row>
        <row r="125">
          <cell r="D125" t="str">
            <v>PEITORIL LINEAR EM GRANITO OU MÁRMORE, L = 15CM, ASSENTADO COM ARGAMASSA 1:6 COM ADITIVO. AF_11/2020</v>
          </cell>
        </row>
        <row r="126">
          <cell r="B126" t="str">
            <v>PAVIMENTAÇÕES ESPECIAIS</v>
          </cell>
        </row>
        <row r="127">
          <cell r="B127" t="str">
            <v>INSTALAÇÕES</v>
          </cell>
        </row>
        <row r="128">
          <cell r="B128" t="str">
            <v>ELÉTRICAS / TELEFÔNICAS</v>
          </cell>
        </row>
        <row r="129">
          <cell r="B129" t="str">
            <v>CENTRO DE DISTRIBUIÇÃO</v>
          </cell>
        </row>
        <row r="130">
          <cell r="D130" t="str">
            <v>DISJUNTOR MONOPOLAR TIPO DIN, CORRENTE NOMINAL DE 10A - FORNECIMENTO E INSTALAÇÃO. AF_07/2025</v>
          </cell>
        </row>
        <row r="135">
          <cell r="D135" t="str">
            <v>ENTRADA DE ENERGIA ELÉTRICA, AÉREA, MONOFÁSICA, COM CAIXA DE EMBUTIR, CABO DE 10 MM2 E DISJUNTOR DIN 50A (NÃO INCLUSO O POSTE DE CONCRETO). AF_07/2020_PS</v>
          </cell>
        </row>
        <row r="136">
          <cell r="D136" t="str">
            <v>QUADRO DE DISTRIBUIÇÃO DE LUZ EM PVC PARA 12 DISJUNTORES - FORNECIMENTO E INSTALAÇÃO.</v>
          </cell>
        </row>
        <row r="137">
          <cell r="B137" t="str">
            <v>ILUMINAÇÃO, TOMADAS E INTERRUPTORES</v>
          </cell>
        </row>
        <row r="151">
          <cell r="B151" t="str">
            <v>FIOS E CABOS</v>
          </cell>
        </row>
        <row r="161">
          <cell r="B161" t="str">
            <v>HIDRÁULICAS / GÁS / INCÊNCIO</v>
          </cell>
        </row>
        <row r="162">
          <cell r="B162" t="str">
            <v>TUBULAÇÕES E CONEXÕES</v>
          </cell>
        </row>
        <row r="163">
          <cell r="D163" t="str">
            <v>JOELHO 90 GRAUS COM BUCHA DE LATÃO, PVC, SOLDÁVEL, DN 25MM, X 1/2 INSTALADO EM RAMAL OU SUB-RAMAL DE ÁGUA - FORNECIMENTO E INSTALAÇÃO. AF_06/2022</v>
          </cell>
        </row>
        <row r="164">
          <cell r="D164" t="str">
            <v>JOELHO 90 GRAUS, PVC, SOLDÁVEL, DN 25MM, INSTALADO EM RAMAL DE DISTRIBUIÇÃO DE ÁGUA - FORNECIMENTO E INSTALAÇÃO. AF_06/2022</v>
          </cell>
        </row>
        <row r="165">
          <cell r="D165" t="str">
            <v>TE, PVC, SOLDÁVEL, DN 25MM, INSTALADO EM RAMAL OU SUB-RAMAL DE ÁGUA - FORNECIMENTO E INSTALAÇÃO. AF_06/2022</v>
          </cell>
        </row>
        <row r="166">
          <cell r="D166" t="str">
            <v>ADAPTADOR CURTO COM BOLSA E ROSCA PARA REGISTRO, PVC, SOLDÁVEL, DN 25MM X 3/4, INSTALADO EM RAMAL OU SUB-RAMAL DE ÁGUA - FORNECIMENTO E INSTALAÇÃO. AF_06/2022</v>
          </cell>
        </row>
        <row r="167">
          <cell r="D167" t="str">
            <v>TUBO, PVC, SOLDÁVEL, DE 25MM, INSTALADO EM PRUMADA DE ÁGUA - FORNECIMENTO E INSTALAÇÃO. AF_06/2022</v>
          </cell>
        </row>
        <row r="168">
          <cell r="D168" t="str">
            <v>TUBO, PVC, SOLDÁVEL, DE 25MM, INSTALADO EM RAMAL OU SUB-RAMAL DE ÁGUA - FORNECIMENTO E INSTALAÇÃO. AF_06/2022</v>
          </cell>
        </row>
        <row r="170">
          <cell r="B170" t="str">
            <v>REGISTROS</v>
          </cell>
        </row>
        <row r="171">
          <cell r="D171" t="str">
            <v>REGISTRO DE PRESSÃO BRUTO, LATÃO, ROSCÁVEL, 3/4", COM ACABAMENTO E CANOPLA CROMADOS - FORNECIMENTO E INSTALAÇÃO. AF_08/2021</v>
          </cell>
        </row>
        <row r="172">
          <cell r="D172" t="str">
            <v>REGISTRO DE GAVETA BRUTO, LATÃO, ROSCÁVEL, 3/4", COM ACABAMENTO E CANOPLA CROMADOS - FORNECIMENTO E INSTALAÇÃO. AF_08/2021</v>
          </cell>
        </row>
        <row r="175">
          <cell r="B175" t="str">
            <v>ENTRADA / ALIMENTAÇÃO</v>
          </cell>
        </row>
        <row r="176">
          <cell r="D176" t="str">
            <v>KIT CAVALETE PARA MEDIÇÃO DE ÁGUA - ENTRADA INDIVIDUALIZADA, EM PVC 25 MM (3/4"), PARA 1 MEDIDOR - FORNECIMENTO E INSTALAÇÃO (EXCLUSIVE HIDRÔMETRO). AF_03/2024</v>
          </cell>
        </row>
        <row r="177">
          <cell r="D177" t="str">
            <v>CAIXA DE EMBUTIR EM POLICARBONATO PARA ABRIGO DE HIDRÔMETRO - FORNECIMENTO E INSTALAÇÃO (EXCLUSIVE HIDRÔMETRO).</v>
          </cell>
        </row>
        <row r="178">
          <cell r="D178" t="str">
            <v>REGISTRO DE GAVETA BRUTO, LATÃO, ROSCÁVEL, 3/4" - FORNECIMENTO E INSTALAÇÃO. AF_08/2021</v>
          </cell>
        </row>
        <row r="179">
          <cell r="D179" t="str">
            <v>TUBO, PVC, SOLDÁVEL, DE 25MM, INSTALADO EM RAMAL DE DISTRIBUIÇÃO DE ÁGUA - FORNECIMENTO E INSTALAÇÃO. AF_06/2022</v>
          </cell>
        </row>
        <row r="180">
          <cell r="D180" t="str">
            <v>TUBO, PVC, SOLDÁVEL, DE 25MM, INSTALADO EM PRUMADA DE ÁGUA - FORNECIMENTO E INSTALAÇÃO. AF_06/2022</v>
          </cell>
        </row>
        <row r="181">
          <cell r="D181" t="str">
            <v>JOELHO 90 GRAUS, PVC, SOLDÁVEL, DN 25MM, INSTALADO EM RAMAL DE DISTRIBUIÇÃO DE ÁGUA - FORNECIMENTO E INSTALAÇÃO. AF_06/2022</v>
          </cell>
        </row>
        <row r="182">
          <cell r="D182" t="str">
            <v>TE, PVC, SOLDÁVEL, DN 25MM, INSTALADO EM RAMAL DE DISTRIBUIÇÃO DE ÁGUA - FORNECIMENTO E INSTALAÇÃO. AF_06/2022</v>
          </cell>
        </row>
        <row r="183">
          <cell r="B183" t="str">
            <v>CAIXA D'ÁGUA E BARRILETE</v>
          </cell>
        </row>
        <row r="184">
          <cell r="D184" t="str">
            <v>CAIXA D´ÁGUA EM POLIETILENO, 500 LITROS - FORNECIMENTO E INSTALAÇÃO. AF_06/2021</v>
          </cell>
        </row>
        <row r="185">
          <cell r="D185" t="str">
            <v>FURO EM CAIXA D'ÁGUA COM ESPESSURA DE 2 ATÉ 5 MM E DIÂMETRO DE 25 MM. AF_06/2021</v>
          </cell>
        </row>
        <row r="186">
          <cell r="D186" t="str">
            <v>FURO EM CAIXA D'ÁGUA COM ESPESSURA DE 2 ATÉ 5 MM E DIÂMETRO DE 32 MM. AF_06/2021</v>
          </cell>
        </row>
        <row r="187">
          <cell r="D187" t="str">
            <v>ADAPTADOR COM FLANGE E ANEL DE VEDAÇÃO, PVC, SOLDÁVEL, DN 25 MM X 3/4", INSTALADO EM RESERVAÇÃO PREDIAL DE ÁGUA - FORNECIMENTO E INSTALAÇÃO. AF_04/2024</v>
          </cell>
        </row>
        <row r="188">
          <cell r="D188" t="str">
            <v>ADAPTADOR COM FLANGE E ANEL DE VEDAÇÃO, PVC, SOLDÁVEL, DN 32 MM X 1", INSTALADO EM RESERVAÇÃO PREDIAL DE ÁGUA - FORNECIMENTO E INSTALAÇÃO. AF_04/2024</v>
          </cell>
        </row>
        <row r="189">
          <cell r="D189" t="str">
            <v>TORNEIRA DE BOIA PARA CAIXA D'ÁGUA, ROSCÁVEL, 3/4" - FORNECIMENTO E INSTALAÇÃO. AF_08/2021</v>
          </cell>
        </row>
        <row r="190">
          <cell r="D190" t="str">
            <v>JOELHO 90 GRAUS, PVC, SOLDÁVEL, DN 25MM, INSTALADO EM RAMAL DE DISTRIBUIÇÃO DE ÁGUA - FORNECIMENTO E INSTALAÇÃO. AF_06/2022</v>
          </cell>
        </row>
        <row r="191">
          <cell r="D191" t="str">
            <v>JOELHO 90 GRAUS, PVC, SOLDÁVEL, DN 32MM, INSTALADO EM RAMAL DE DISTRIBUIÇÃO DE ÁGUA - FORNECIMENTO E INSTALAÇÃO. AF_06/2022</v>
          </cell>
        </row>
        <row r="192">
          <cell r="D192" t="str">
            <v>JOELHO 45 GRAUS, PVC, SOLDÁVEL, DN 32MM, INSTALADO EM RAMAL DE DISTRIBUIÇÃO DE ÁGUA - FORNECIMENTO E INSTALAÇÃO. AF_06/2022</v>
          </cell>
        </row>
        <row r="193">
          <cell r="D193" t="str">
            <v>BUCHA DE REDUÇÃO, CURTA, PVC, SOLDÁVEL, DN 32 X 25 MM, INSTALADO EM RAMAL DE DISTRIBUIÇÃO DE ÁGUA - FORNECIMENTO E INSTALAÇÃO. AF_06/2022</v>
          </cell>
        </row>
        <row r="194">
          <cell r="D194" t="str">
            <v>TE, PVC, SOLDÁVEL, DN 32MM, INSTALADO EM RAMAL DE DISTRIBUIÇÃO DE ÁGUA - FORNECIMENTO E INSTALAÇÃO. AF_06/2022</v>
          </cell>
        </row>
        <row r="195">
          <cell r="D195" t="str">
            <v>TÊ DE REDUÇÃO, PVC, SOLDÁVEL, DN 32MM X 25MM, INSTALADO EM RAMAL DE DISTRIBUIÇÃO DE ÁGUA - FORNECIMENTO E INSTALAÇÃO. AF_06/2022</v>
          </cell>
        </row>
        <row r="196">
          <cell r="D196" t="str">
            <v>TUBO, PVC, SOLDÁVEL, DE 25MM, INSTALADO EM RAMAL DE DISTRIBUIÇÃO DE ÁGUA - FORNECIMENTO E INSTALAÇÃO. AF_06/2022</v>
          </cell>
        </row>
        <row r="197">
          <cell r="D197" t="str">
            <v>TUBO, PVC, SOLDÁVEL, DE 32MM, INSTALADO EM RAMAL DE DISTRIBUIÇÃO DE ÁGUA - FORNECIMENTO E INSTALAÇÃO. AF_06/2022</v>
          </cell>
        </row>
        <row r="198">
          <cell r="B198" t="str">
            <v>SANITÁRIAS / PLUVIAL</v>
          </cell>
        </row>
        <row r="199">
          <cell r="B199" t="str">
            <v>TUBULAÇÕES E CONEXÕES</v>
          </cell>
        </row>
        <row r="200">
          <cell r="D200" t="str">
            <v>JOELHO 45 GRAUS, PVC, SERIE NORMAL, ESGOTO PREDIAL, DN 40 MM, JUNTA SOLDÁVEL, FORNECIDO E INSTALADO EM RAMAL DE DESCARGA OU RAMAL DE ESGOTO SANITÁRIO. AF_08/2022</v>
          </cell>
        </row>
        <row r="201">
          <cell r="D201" t="str">
            <v>JOELHO 45 GRAUS, PVC, SERIE NORMAL, ESGOTO PREDIAL, DN 50 MM, JUNTA ELÁSTICA, FORNECIDO E INSTALADO EM RAMAL DE DESCARGA OU RAMAL DE ESGOTO SANITÁRIO. AF_08/2022</v>
          </cell>
        </row>
        <row r="202">
          <cell r="D202" t="str">
            <v>JOELHO 90 GRAUS, PVC, SERIE NORMAL, ESGOTO PREDIAL, DN 40 MM, JUNTA SOLDÁVEL, FORNECIDO E INSTALADO EM RAMAL DE DESCARGA OU RAMAL DE ESGOTO SANITÁRIO. AF_08/2022</v>
          </cell>
        </row>
        <row r="203">
          <cell r="D203" t="str">
            <v>JOELHO 90 GRAUS, PVC, SERIE NORMAL, ESGOTO PREDIAL, DN 50 MM, JUNTA ELÁSTICA, FORNECIDO E INSTALADO EM RAMAL DE DESCARGA OU RAMAL DE ESGOTO SANITÁRIO. AF_08/2022</v>
          </cell>
        </row>
        <row r="204">
          <cell r="D204" t="str">
            <v>JOELHO 90 GRAUS, PVC, SERIE NORMAL, ESGOTO PREDIAL, DN 100 MM, JUNTA ELÁSTICA, FORNECIDO E INSTALADO EM RAMAL DE DESCARGA OU RAMAL DE ESGOTO SANITÁRIO. AF_08/2022</v>
          </cell>
        </row>
        <row r="205">
          <cell r="D205" t="str">
            <v>TE, PVC, SERIE NORMAL, ESGOTO PREDIAL, DN 50 X 50 MM, JUNTA ELÁSTICA, FORNECIDO E INSTALADO EM RAMAL DE DESCARGA OU RAMAL DE ESGOTO SANITÁRIO. AF_08/2022</v>
          </cell>
        </row>
        <row r="206">
          <cell r="D206" t="str">
            <v>JUNÇÃO DE REDUÇÃO INVERTIDA, PVC, SÉRIE NORMAL, ESGOTO PREDIAL, DN 100 X 50 MM, JUNTA ELÁSTICA, FORNECIDO E INSTALADO EM RAMAL DE DESCARGA OU RAMAL DE ESGOTO SANITÁRIO. AF_08/2022</v>
          </cell>
        </row>
        <row r="207">
          <cell r="D207" t="str">
            <v>TERMINAL DE VENTILAÇÃO, PVC, SÉRIE NORMAL, ESGOTO PREDIAL, DN 50 MM, JUNTA SOLDÁVEL, FORNECIDO E INSTALADO EM PRUMADA DE ESGOTO SANITÁRIO OU VENTILAÇÃO. AF_08/2022</v>
          </cell>
        </row>
        <row r="208">
          <cell r="D208" t="str">
            <v>TUBO PVC, SERIE NORMAL, ESGOTO PREDIAL, DN 40 MM, FORNECIDO E INSTALADO EM RAMAL DE DESCARGA OU RAMAL DE ESGOTO SANITÁRIO. AF_08/2022</v>
          </cell>
        </row>
        <row r="209">
          <cell r="D209" t="str">
            <v>TUBO PVC, SERIE NORMAL, ESGOTO PREDIAL, DN 50 MM, FORNECIDO E INSTALADO EM RAMAL DE DESCARGA OU RAMAL DE ESGOTO SANITÁRIO. AF_08/2022</v>
          </cell>
        </row>
        <row r="210">
          <cell r="D210" t="str">
            <v>TUBO PVC, SERIE NORMAL, ESGOTO PREDIAL, DN 50 MM, FORNECIDO E INSTALADO EM PRUMADA DE ESGOTO SANITÁRIO OU VENTILAÇÃO. AF_08/2022</v>
          </cell>
        </row>
        <row r="211">
          <cell r="D211" t="str">
            <v>TUBO PVC, SERIE NORMAL, ESGOTO PREDIAL, DN 100 MM, FORNECIDO E INSTALADO EM RAMAL DE DESCARGA OU RAMAL DE ESGOTO SANITÁRIO. AF_08/2022</v>
          </cell>
        </row>
        <row r="212">
          <cell r="B212" t="str">
            <v>ACESSÓRIOS/CAIXAS</v>
          </cell>
        </row>
        <row r="214">
          <cell r="D214" t="str">
            <v>CAIXA SIFONADA, PVC, DN 100 X 100 X 50 MM, JUNTA ELÁSTICA, FORNECIDA E INSTALADA EM RAMAL DE DESCARGA OU EM RAMAL DE ESGOTO SANITÁRIO. AF_08/2022</v>
          </cell>
        </row>
        <row r="217">
          <cell r="D217" t="str">
            <v>CAIXA DE GORDURA SIMPLES (CAPACIDADE: 36L), RETANGULAR, EM ALVENARIA COM TIJOLOS CERÂMICOS MACIÇOS, DIMENSÕES INTERNAS = 0,2X0,4 M, ALTURA INTERNA = 0,8 M. AF_12/2020</v>
          </cell>
        </row>
        <row r="218">
          <cell r="B218" t="str">
            <v>APARELHOS, METAIS E BANCADAS</v>
          </cell>
        </row>
        <row r="219">
          <cell r="D219" t="str">
            <v>VASO SANITÁRIO SIFONADO COM CAIXA ACOPLADA LOUÇA BRANCA, INCLUSO ENGATE FLEXÍVEL EM PLÁSTICO BRANCO, 1/2 X 40CM - FORNECIMENTO E INSTALAÇÃO. AF_01/2020</v>
          </cell>
        </row>
        <row r="220">
          <cell r="D220" t="str">
            <v>LAVATÓRIO LOUÇA BRANCA SUSPENSO, 29,5 X 39CM OU EQUIVALENTE, PADRÃO POPULAR, INCLUSO SIFÃO FLEXÍVEL EM PVC, VÁLVULA E ENGATE FLEXÍVEL 30CM EM PLÁSTICO E TORNEIRA CROMADA DE MESA, PADRÃO POPULAR - FORNECIMENTO E INSTALAÇÃO. AF_01/2020</v>
          </cell>
        </row>
        <row r="221">
          <cell r="D221" t="str">
            <v>BANCADA DE MÁRMORE SINTÉTICO 120 X 60CM, COM CUBA INTEGRADA, INCLUSO SIFÃO TIPO FLEXÍVEL EM PVC, VÁLVULA EM PLÁSTICO CROMADO TIPO AMERICANA E TORNEIRA CROMADA LONGA, DE PAREDE, PADRÃO POPULAR - FORNECIMENTO E INSTALAÇÃO. AF_01/2020</v>
          </cell>
        </row>
        <row r="222">
          <cell r="D222" t="str">
            <v>TANQUE DE MÁRMORE SINTÉTICO COM COLUNA, 22L OU EQUIVALENTE, INCLUSO SIFÃO FLEXÍVEL EM PVC, VÁLVULA PLÁSTICA E TORNEIRA DE METAL CROMADO PADRÃO POPULAR - FORNECIMENTO E INSTALAÇÃO. AF_01/2020</v>
          </cell>
        </row>
        <row r="223">
          <cell r="D223" t="str">
            <v>CHUVEIRO ELÉTRICO COMUM CORPO PLÁSTICO, TIPO DUCHA - FORNECIMENTO E INSTALAÇÃO. AF_01/2020</v>
          </cell>
        </row>
        <row r="224">
          <cell r="D224" t="str">
            <v>KIT DE ACESSORIOS PARA BANHEIRO EM METAL CROMADO, 5 PECAS, INCLUSO FIXAÇÃO. AF_01/2020</v>
          </cell>
        </row>
        <row r="225">
          <cell r="B225" t="str">
            <v>ELEVADORES / BOMBAS</v>
          </cell>
        </row>
        <row r="226">
          <cell r="B226" t="str">
            <v>CLIMATIZAÇÃO</v>
          </cell>
        </row>
        <row r="227">
          <cell r="B227" t="str">
            <v>LÓGICA</v>
          </cell>
        </row>
        <row r="228">
          <cell r="B228" t="str">
            <v>ESPECIAIS</v>
          </cell>
        </row>
        <row r="229">
          <cell r="B229" t="str">
            <v>COMPLEMENTAÇÕES</v>
          </cell>
        </row>
        <row r="230">
          <cell r="B230" t="str">
            <v>CALAFETE / LIMPEZA</v>
          </cell>
        </row>
        <row r="240">
          <cell r="B240" t="str">
            <v>LIGAÇÕES DEFINITIVAS</v>
          </cell>
        </row>
        <row r="241">
          <cell r="B241" t="str">
            <v>OUTROS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s3.xml"/><Relationship Id="rId4" Type="http://schemas.openxmlformats.org/officeDocument/2006/relationships/ctrlProp" Target="../ctrlProps/ctrlProps4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2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6.xml"/><Relationship Id="rId3" Type="http://schemas.openxmlformats.org/officeDocument/2006/relationships/vmlDrawing" Target="../drawings/vmlDrawing3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drawing" Target="../drawings/drawing7.xml"/><Relationship Id="rId3" Type="http://schemas.openxmlformats.org/officeDocument/2006/relationships/vmlDrawing" Target="../drawings/vmlDrawing4.vml"/><Relationship Id="rId4" Type="http://schemas.openxmlformats.org/officeDocument/2006/relationships/ctrlProp" Target="../ctrlProps/ctrlProps8.xml"/><Relationship Id="rId5" Type="http://schemas.openxmlformats.org/officeDocument/2006/relationships/ctrlProp" Target="../ctrlProps/ctrlProps9.xml"/><Relationship Id="rId6" Type="http://schemas.openxmlformats.org/officeDocument/2006/relationships/ctrlProp" Target="../ctrlProps/ctrlProps10.xml"/><Relationship Id="rId7" Type="http://schemas.openxmlformats.org/officeDocument/2006/relationships/ctrlProp" Target="../ctrlProps/ctrlProps11.xml"/><Relationship Id="rId8" Type="http://schemas.openxmlformats.org/officeDocument/2006/relationships/ctrlProp" Target="../ctrlProps/ctrlProps12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drawing" Target="../drawings/drawing13.xml"/><Relationship Id="rId3" Type="http://schemas.openxmlformats.org/officeDocument/2006/relationships/vmlDrawing" Target="../drawings/vmlDrawing5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comments" Target="../comments10.xml"/><Relationship Id="rId2" Type="http://schemas.openxmlformats.org/officeDocument/2006/relationships/drawing" Target="../drawings/drawing17.xml"/><Relationship Id="rId3" Type="http://schemas.openxmlformats.org/officeDocument/2006/relationships/vmlDrawing" Target="../drawings/vmlDrawing6.v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comments" Target="../comments12.xml"/><Relationship Id="rId2" Type="http://schemas.openxmlformats.org/officeDocument/2006/relationships/drawing" Target="../drawings/drawing19.xml"/><Relationship Id="rId3" Type="http://schemas.openxmlformats.org/officeDocument/2006/relationships/vmlDrawing" Target="../drawings/vmlDrawing7.vml"/><Relationship Id="rId4" Type="http://schemas.openxmlformats.org/officeDocument/2006/relationships/ctrlProp" Target="../ctrlProps/ctrlProps20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comments" Target="../comments13.xml"/><Relationship Id="rId2" Type="http://schemas.openxmlformats.org/officeDocument/2006/relationships/drawing" Target="../drawings/drawing21.xml"/><Relationship Id="rId3" Type="http://schemas.openxmlformats.org/officeDocument/2006/relationships/vmlDrawing" Target="../drawings/vmlDrawing8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3:E15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1" width="8.57"/>
    <col collapsed="false" customWidth="true" hidden="false" outlineLevel="0" max="2" min="2" style="1" width="5.57"/>
    <col collapsed="false" customWidth="true" hidden="false" outlineLevel="0" max="3" min="3" style="1" width="3.57"/>
    <col collapsed="false" customWidth="true" hidden="false" outlineLevel="0" max="4" min="4" style="1" width="130.57"/>
  </cols>
  <sheetData>
    <row r="3" customFormat="false" ht="36.75" hidden="false" customHeight="true" outlineLevel="0" collapsed="false">
      <c r="B3" s="2" t="s">
        <v>0</v>
      </c>
    </row>
    <row r="5" customFormat="false" ht="17.35" hidden="false" customHeight="false" outlineLevel="0" collapsed="false">
      <c r="A5" s="3"/>
      <c r="B5" s="4"/>
      <c r="C5" s="4"/>
      <c r="D5" s="5"/>
    </row>
    <row r="6" customFormat="false" ht="17.35" hidden="false" customHeight="false" outlineLevel="0" collapsed="false">
      <c r="A6" s="6" t="s">
        <v>1</v>
      </c>
      <c r="B6" s="7"/>
      <c r="C6" s="7"/>
      <c r="D6" s="8"/>
    </row>
    <row r="7" customFormat="false" ht="13.8" hidden="false" customHeight="false" outlineLevel="0" collapsed="false">
      <c r="A7" s="9"/>
      <c r="B7" s="10" t="s">
        <v>2</v>
      </c>
      <c r="C7" s="10"/>
      <c r="D7" s="8"/>
    </row>
    <row r="8" customFormat="false" ht="13.8" hidden="false" customHeight="false" outlineLevel="0" collapsed="false">
      <c r="A8" s="9"/>
      <c r="B8" s="10"/>
      <c r="C8" s="11" t="str">
        <f aca="false">IF(D8&lt;&gt;"","▪","")</f>
        <v>▪</v>
      </c>
      <c r="D8" s="12" t="s">
        <v>3</v>
      </c>
    </row>
    <row r="9" customFormat="false" ht="13.8" hidden="false" customHeight="false" outlineLevel="0" collapsed="false">
      <c r="A9" s="9"/>
      <c r="B9" s="10"/>
      <c r="C9" s="11" t="str">
        <f aca="false">IF(D9&lt;&gt;"","▪","")</f>
        <v/>
      </c>
      <c r="D9" s="12"/>
    </row>
    <row r="10" customFormat="false" ht="17.35" hidden="false" customHeight="false" outlineLevel="0" collapsed="false">
      <c r="A10" s="13" t="s">
        <v>4</v>
      </c>
      <c r="B10" s="14"/>
      <c r="C10" s="14"/>
      <c r="D10" s="15"/>
    </row>
    <row r="11" customFormat="false" ht="13.8" hidden="false" customHeight="false" outlineLevel="0" collapsed="false">
      <c r="A11" s="9"/>
      <c r="B11" s="10" t="s">
        <v>2</v>
      </c>
      <c r="C11" s="10"/>
      <c r="D11" s="12"/>
    </row>
    <row r="12" customFormat="false" ht="13.8" hidden="false" customHeight="false" outlineLevel="0" collapsed="false">
      <c r="A12" s="9"/>
      <c r="B12" s="10"/>
      <c r="C12" s="11" t="str">
        <f aca="false">IF(D12&lt;&gt;"","▪","")</f>
        <v>▪</v>
      </c>
      <c r="D12" s="12" t="s">
        <v>5</v>
      </c>
    </row>
    <row r="13" customFormat="false" ht="13.8" hidden="false" customHeight="false" outlineLevel="0" collapsed="false">
      <c r="A13" s="9"/>
      <c r="B13" s="10" t="s">
        <v>6</v>
      </c>
      <c r="C13" s="10"/>
      <c r="D13" s="12"/>
    </row>
    <row r="14" customFormat="false" ht="13.8" hidden="false" customHeight="false" outlineLevel="0" collapsed="false">
      <c r="A14" s="9"/>
      <c r="B14" s="10"/>
      <c r="C14" s="11" t="str">
        <f aca="false">IF(D14&lt;&gt;"","▪","")</f>
        <v>▪</v>
      </c>
      <c r="D14" s="12" t="s">
        <v>7</v>
      </c>
    </row>
    <row r="15" customFormat="false" ht="13.8" hidden="false" customHeight="false" outlineLevel="0" collapsed="false">
      <c r="A15" s="9"/>
      <c r="C15" s="11" t="str">
        <f aca="false">IF(D15&lt;&gt;"","▪","")</f>
        <v>▪</v>
      </c>
      <c r="D15" s="12" t="s">
        <v>8</v>
      </c>
    </row>
    <row r="16" customFormat="false" ht="12.75" hidden="false" customHeight="false" outlineLevel="0" collapsed="false">
      <c r="A16" s="3"/>
      <c r="D16" s="16"/>
    </row>
    <row r="17" customFormat="false" ht="17.35" hidden="false" customHeight="false" outlineLevel="0" collapsed="false">
      <c r="A17" s="13" t="s">
        <v>9</v>
      </c>
      <c r="B17" s="14"/>
      <c r="C17" s="14"/>
      <c r="D17" s="15"/>
    </row>
    <row r="18" customFormat="false" ht="13.8" hidden="false" customHeight="false" outlineLevel="0" collapsed="false">
      <c r="A18" s="9"/>
      <c r="B18" s="10" t="s">
        <v>2</v>
      </c>
      <c r="C18" s="10"/>
      <c r="D18" s="12"/>
    </row>
    <row r="19" customFormat="false" ht="13.8" hidden="false" customHeight="false" outlineLevel="0" collapsed="false">
      <c r="A19" s="9"/>
      <c r="B19" s="10"/>
      <c r="C19" s="11" t="str">
        <f aca="false">IF(D19&lt;&gt;"","▪","")</f>
        <v>▪</v>
      </c>
      <c r="D19" s="12" t="s">
        <v>5</v>
      </c>
    </row>
    <row r="20" customFormat="false" ht="13.8" hidden="false" customHeight="false" outlineLevel="0" collapsed="false">
      <c r="A20" s="9"/>
      <c r="B20" s="10"/>
      <c r="C20" s="11" t="str">
        <f aca="false">IF(D20&lt;&gt;"","▪","")</f>
        <v>▪</v>
      </c>
      <c r="D20" s="12" t="s">
        <v>10</v>
      </c>
    </row>
    <row r="21" customFormat="false" ht="13.8" hidden="false" customHeight="false" outlineLevel="0" collapsed="false">
      <c r="A21" s="9"/>
      <c r="B21" s="10" t="s">
        <v>11</v>
      </c>
      <c r="C21" s="10"/>
      <c r="D21" s="12"/>
    </row>
    <row r="22" customFormat="false" ht="13.8" hidden="false" customHeight="false" outlineLevel="0" collapsed="false">
      <c r="A22" s="9"/>
      <c r="B22" s="10"/>
      <c r="C22" s="11" t="str">
        <f aca="false">IF(D22&lt;&gt;"","▪","")</f>
        <v>▪</v>
      </c>
      <c r="D22" s="12" t="s">
        <v>12</v>
      </c>
    </row>
    <row r="23" customFormat="false" ht="13.8" hidden="false" customHeight="false" outlineLevel="0" collapsed="false">
      <c r="A23" s="9"/>
      <c r="B23" s="10" t="s">
        <v>13</v>
      </c>
      <c r="C23" s="10"/>
      <c r="D23" s="12"/>
    </row>
    <row r="24" customFormat="false" ht="13.8" hidden="false" customHeight="false" outlineLevel="0" collapsed="false">
      <c r="A24" s="9"/>
      <c r="B24" s="10"/>
      <c r="C24" s="11" t="str">
        <f aca="false">IF(D24&lt;&gt;"","▪","")</f>
        <v>▪</v>
      </c>
      <c r="D24" s="12" t="s">
        <v>14</v>
      </c>
    </row>
    <row r="25" customFormat="false" ht="13.8" hidden="false" customHeight="false" outlineLevel="0" collapsed="false">
      <c r="A25" s="9"/>
      <c r="B25" s="10" t="s">
        <v>15</v>
      </c>
      <c r="C25" s="10"/>
      <c r="D25" s="12"/>
    </row>
    <row r="26" customFormat="false" ht="13.8" hidden="false" customHeight="false" outlineLevel="0" collapsed="false">
      <c r="A26" s="9"/>
      <c r="B26" s="10"/>
      <c r="C26" s="11" t="str">
        <f aca="false">IF(D26&lt;&gt;"","▪","")</f>
        <v>▪</v>
      </c>
      <c r="D26" s="12" t="s">
        <v>16</v>
      </c>
    </row>
    <row r="27" customFormat="false" ht="13.8" hidden="false" customHeight="false" outlineLevel="0" collapsed="false">
      <c r="A27" s="9"/>
      <c r="B27" s="10" t="s">
        <v>17</v>
      </c>
      <c r="C27" s="10"/>
      <c r="D27" s="12"/>
    </row>
    <row r="28" customFormat="false" ht="13.8" hidden="false" customHeight="false" outlineLevel="0" collapsed="false">
      <c r="A28" s="9"/>
      <c r="B28" s="10"/>
      <c r="C28" s="11" t="str">
        <f aca="false">IF(D28&lt;&gt;"","▪","")</f>
        <v>▪</v>
      </c>
      <c r="D28" s="12" t="s">
        <v>18</v>
      </c>
    </row>
    <row r="29" customFormat="false" ht="12.75" hidden="false" customHeight="false" outlineLevel="0" collapsed="false">
      <c r="A29" s="3"/>
      <c r="D29" s="16"/>
    </row>
    <row r="30" customFormat="false" ht="17.35" hidden="false" customHeight="false" outlineLevel="0" collapsed="false">
      <c r="A30" s="13" t="s">
        <v>19</v>
      </c>
      <c r="B30" s="14"/>
      <c r="C30" s="14"/>
      <c r="D30" s="15"/>
    </row>
    <row r="31" customFormat="false" ht="13.8" hidden="false" customHeight="false" outlineLevel="0" collapsed="false">
      <c r="A31" s="9"/>
      <c r="B31" s="10" t="s">
        <v>2</v>
      </c>
      <c r="C31" s="10"/>
      <c r="D31" s="12"/>
    </row>
    <row r="32" customFormat="false" ht="13.8" hidden="false" customHeight="false" outlineLevel="0" collapsed="false">
      <c r="A32" s="9"/>
      <c r="B32" s="10"/>
      <c r="C32" s="11" t="str">
        <f aca="false">IF(D32&lt;&gt;"","▪","")</f>
        <v>▪</v>
      </c>
      <c r="D32" s="12" t="s">
        <v>10</v>
      </c>
    </row>
    <row r="33" customFormat="false" ht="13.8" hidden="false" customHeight="false" outlineLevel="0" collapsed="false">
      <c r="A33" s="9"/>
      <c r="B33" s="10" t="s">
        <v>20</v>
      </c>
      <c r="C33" s="11"/>
      <c r="D33" s="12"/>
    </row>
    <row r="34" customFormat="false" ht="13.8" hidden="false" customHeight="false" outlineLevel="0" collapsed="false">
      <c r="A34" s="9"/>
      <c r="B34" s="10"/>
      <c r="C34" s="11" t="str">
        <f aca="false">IF(D34&lt;&gt;"","▪","")</f>
        <v>▪</v>
      </c>
      <c r="D34" s="12" t="s">
        <v>21</v>
      </c>
    </row>
    <row r="35" customFormat="false" ht="13.8" hidden="false" customHeight="false" outlineLevel="0" collapsed="false">
      <c r="A35" s="9"/>
      <c r="B35" s="10"/>
      <c r="C35" s="10"/>
      <c r="D35" s="17"/>
      <c r="E35" s="10"/>
    </row>
    <row r="36" customFormat="false" ht="12.75" hidden="false" customHeight="false" outlineLevel="0" collapsed="false">
      <c r="A36" s="3"/>
      <c r="D36" s="16"/>
    </row>
    <row r="37" customFormat="false" ht="17.35" hidden="false" customHeight="false" outlineLevel="0" collapsed="false">
      <c r="A37" s="13" t="s">
        <v>22</v>
      </c>
      <c r="B37" s="14"/>
      <c r="C37" s="14"/>
      <c r="D37" s="15"/>
    </row>
    <row r="38" customFormat="false" ht="13.8" hidden="false" customHeight="false" outlineLevel="0" collapsed="false">
      <c r="A38" s="9"/>
      <c r="B38" s="10" t="s">
        <v>23</v>
      </c>
      <c r="C38" s="10"/>
      <c r="D38" s="12"/>
    </row>
    <row r="39" customFormat="false" ht="13.8" hidden="false" customHeight="false" outlineLevel="0" collapsed="false">
      <c r="A39" s="9"/>
      <c r="B39" s="10"/>
      <c r="C39" s="11" t="str">
        <f aca="false">IF(D39&lt;&gt;"","▪","")</f>
        <v>▪</v>
      </c>
      <c r="D39" s="12" t="s">
        <v>24</v>
      </c>
    </row>
    <row r="40" customFormat="false" ht="13.8" hidden="false" customHeight="false" outlineLevel="0" collapsed="false">
      <c r="A40" s="9"/>
      <c r="B40" s="10" t="s">
        <v>13</v>
      </c>
      <c r="C40" s="10"/>
      <c r="D40" s="12"/>
    </row>
    <row r="41" customFormat="false" ht="13.8" hidden="false" customHeight="false" outlineLevel="0" collapsed="false">
      <c r="A41" s="9"/>
      <c r="B41" s="10"/>
      <c r="C41" s="11" t="str">
        <f aca="false">IF(D41&lt;&gt;"","▪","")</f>
        <v>▪</v>
      </c>
      <c r="D41" s="12" t="s">
        <v>25</v>
      </c>
    </row>
    <row r="42" customFormat="false" ht="13.8" hidden="false" customHeight="false" outlineLevel="0" collapsed="false">
      <c r="A42" s="9"/>
      <c r="B42" s="10" t="s">
        <v>15</v>
      </c>
      <c r="C42" s="10"/>
      <c r="D42" s="12"/>
      <c r="E42" s="10"/>
    </row>
    <row r="43" customFormat="false" ht="13.8" hidden="false" customHeight="false" outlineLevel="0" collapsed="false">
      <c r="A43" s="9"/>
      <c r="B43" s="10"/>
      <c r="C43" s="11" t="str">
        <f aca="false">IF(D43&lt;&gt;"","▪","")</f>
        <v>▪</v>
      </c>
      <c r="D43" s="12" t="s">
        <v>26</v>
      </c>
    </row>
    <row r="44" customFormat="false" ht="13.8" hidden="false" customHeight="false" outlineLevel="0" collapsed="false">
      <c r="A44" s="9"/>
      <c r="B44" s="10"/>
      <c r="C44" s="10"/>
      <c r="D44" s="17"/>
    </row>
    <row r="45" customFormat="false" ht="17.35" hidden="false" customHeight="false" outlineLevel="0" collapsed="false">
      <c r="A45" s="13" t="s">
        <v>27</v>
      </c>
      <c r="B45" s="14"/>
      <c r="C45" s="14"/>
      <c r="D45" s="15"/>
    </row>
    <row r="46" customFormat="false" ht="13.8" hidden="false" customHeight="false" outlineLevel="0" collapsed="false">
      <c r="A46" s="9"/>
      <c r="B46" s="10" t="s">
        <v>2</v>
      </c>
      <c r="C46" s="10"/>
      <c r="D46" s="12"/>
    </row>
    <row r="47" customFormat="false" ht="13.8" hidden="false" customHeight="false" outlineLevel="0" collapsed="false">
      <c r="A47" s="9"/>
      <c r="B47" s="10"/>
      <c r="C47" s="11" t="str">
        <f aca="false">IF(D47&lt;&gt;"","▪","")</f>
        <v>▪</v>
      </c>
      <c r="D47" s="12" t="s">
        <v>28</v>
      </c>
    </row>
    <row r="48" customFormat="false" ht="13.8" hidden="false" customHeight="false" outlineLevel="0" collapsed="false">
      <c r="A48" s="9"/>
      <c r="B48" s="10"/>
      <c r="C48" s="10"/>
      <c r="D48" s="17"/>
    </row>
    <row r="49" customFormat="false" ht="17.35" hidden="false" customHeight="false" outlineLevel="0" collapsed="false">
      <c r="A49" s="13" t="s">
        <v>29</v>
      </c>
      <c r="B49" s="14"/>
      <c r="C49" s="14"/>
      <c r="D49" s="15"/>
    </row>
    <row r="50" customFormat="false" ht="13.8" hidden="false" customHeight="false" outlineLevel="0" collapsed="false">
      <c r="A50" s="9"/>
      <c r="B50" s="10" t="s">
        <v>2</v>
      </c>
      <c r="C50" s="10"/>
      <c r="D50" s="12"/>
    </row>
    <row r="51" customFormat="false" ht="13.8" hidden="false" customHeight="false" outlineLevel="0" collapsed="false">
      <c r="A51" s="9"/>
      <c r="B51" s="10"/>
      <c r="C51" s="11" t="str">
        <f aca="false">IF(D51&lt;&gt;"","▪","")</f>
        <v>▪</v>
      </c>
      <c r="D51" s="12" t="s">
        <v>30</v>
      </c>
    </row>
    <row r="52" customFormat="false" ht="13.8" hidden="false" customHeight="false" outlineLevel="0" collapsed="false">
      <c r="A52" s="9"/>
      <c r="B52" s="10"/>
      <c r="C52" s="11" t="str">
        <f aca="false">IF(D52&lt;&gt;"","▪","")</f>
        <v>▪</v>
      </c>
      <c r="D52" s="12" t="s">
        <v>31</v>
      </c>
    </row>
    <row r="53" customFormat="false" ht="13.8" hidden="false" customHeight="false" outlineLevel="0" collapsed="false">
      <c r="A53" s="9"/>
      <c r="B53" s="10"/>
      <c r="C53" s="10"/>
      <c r="D53" s="17"/>
    </row>
    <row r="54" customFormat="false" ht="17.35" hidden="false" customHeight="false" outlineLevel="0" collapsed="false">
      <c r="A54" s="13" t="s">
        <v>32</v>
      </c>
      <c r="B54" s="14"/>
      <c r="C54" s="14"/>
      <c r="D54" s="15"/>
    </row>
    <row r="55" customFormat="false" ht="13.8" hidden="false" customHeight="false" outlineLevel="0" collapsed="false">
      <c r="A55" s="9"/>
      <c r="B55" s="10" t="s">
        <v>2</v>
      </c>
      <c r="C55" s="10"/>
      <c r="D55" s="12"/>
    </row>
    <row r="56" customFormat="false" ht="13.8" hidden="false" customHeight="false" outlineLevel="0" collapsed="false">
      <c r="A56" s="9"/>
      <c r="B56" s="10"/>
      <c r="C56" s="11" t="str">
        <f aca="false">IF(D56&lt;&gt;"","▪","")</f>
        <v>▪</v>
      </c>
      <c r="D56" s="12" t="s">
        <v>33</v>
      </c>
    </row>
    <row r="57" customFormat="false" ht="30" hidden="false" customHeight="true" outlineLevel="0" collapsed="false">
      <c r="A57" s="9"/>
      <c r="B57" s="10"/>
      <c r="C57" s="11" t="str">
        <f aca="false">IF(D57&lt;&gt;"","▪","")</f>
        <v>▪</v>
      </c>
      <c r="D57" s="12" t="s">
        <v>34</v>
      </c>
    </row>
    <row r="58" customFormat="false" ht="30" hidden="false" customHeight="true" outlineLevel="0" collapsed="false">
      <c r="A58" s="9"/>
      <c r="B58" s="10"/>
      <c r="C58" s="11" t="str">
        <f aca="false">IF(D58&lt;&gt;"","▪","")</f>
        <v>▪</v>
      </c>
      <c r="D58" s="12" t="s">
        <v>35</v>
      </c>
    </row>
    <row r="59" customFormat="false" ht="30" hidden="false" customHeight="true" outlineLevel="0" collapsed="false">
      <c r="A59" s="9"/>
      <c r="B59" s="10"/>
      <c r="C59" s="11" t="str">
        <f aca="false">IF(D59&lt;&gt;"","▪","")</f>
        <v>▪</v>
      </c>
      <c r="D59" s="12" t="s">
        <v>36</v>
      </c>
    </row>
    <row r="60" customFormat="false" ht="13.8" hidden="false" customHeight="false" outlineLevel="0" collapsed="false">
      <c r="A60" s="9"/>
      <c r="B60" s="10"/>
      <c r="C60" s="11" t="str">
        <f aca="false">IF(D60&lt;&gt;"","▪","")</f>
        <v>▪</v>
      </c>
      <c r="D60" s="12" t="s">
        <v>37</v>
      </c>
    </row>
    <row r="61" customFormat="false" ht="13.8" hidden="false" customHeight="false" outlineLevel="0" collapsed="false">
      <c r="A61" s="9"/>
      <c r="B61" s="10"/>
      <c r="C61" s="11" t="str">
        <f aca="false">IF(D61&lt;&gt;"","▪","")</f>
        <v>▪</v>
      </c>
      <c r="D61" s="12" t="s">
        <v>38</v>
      </c>
    </row>
    <row r="62" customFormat="false" ht="30" hidden="false" customHeight="true" outlineLevel="0" collapsed="false">
      <c r="A62" s="9"/>
      <c r="B62" s="10"/>
      <c r="C62" s="11" t="str">
        <f aca="false">IF(D62&lt;&gt;"","▪","")</f>
        <v>▪</v>
      </c>
      <c r="D62" s="12" t="s">
        <v>39</v>
      </c>
    </row>
    <row r="63" customFormat="false" ht="13.8" hidden="false" customHeight="false" outlineLevel="0" collapsed="false">
      <c r="A63" s="9"/>
      <c r="B63" s="10" t="s">
        <v>40</v>
      </c>
      <c r="C63" s="10"/>
      <c r="D63" s="12"/>
    </row>
    <row r="64" customFormat="false" ht="13.8" hidden="false" customHeight="false" outlineLevel="0" collapsed="false">
      <c r="A64" s="9"/>
      <c r="B64" s="10"/>
      <c r="C64" s="11" t="str">
        <f aca="false">IF(D64&lt;&gt;"","▪","")</f>
        <v>▪</v>
      </c>
      <c r="D64" s="12" t="s">
        <v>41</v>
      </c>
    </row>
    <row r="65" customFormat="false" ht="13.8" hidden="false" customHeight="false" outlineLevel="0" collapsed="false">
      <c r="A65" s="9"/>
      <c r="B65" s="10"/>
      <c r="C65" s="11" t="str">
        <f aca="false">IF(D65&lt;&gt;"","▪","")</f>
        <v>▪</v>
      </c>
      <c r="D65" s="12" t="s">
        <v>42</v>
      </c>
    </row>
    <row r="66" customFormat="false" ht="13.8" hidden="false" customHeight="false" outlineLevel="0" collapsed="false">
      <c r="A66" s="9"/>
      <c r="B66" s="10"/>
      <c r="C66" s="11"/>
      <c r="D66" s="18" t="s">
        <v>43</v>
      </c>
    </row>
    <row r="67" customFormat="false" ht="13.8" hidden="false" customHeight="false" outlineLevel="0" collapsed="false">
      <c r="A67" s="9"/>
      <c r="B67" s="10"/>
      <c r="C67" s="11" t="str">
        <f aca="false">IF(D67&lt;&gt;"","▪","")</f>
        <v>▪</v>
      </c>
      <c r="D67" s="12" t="s">
        <v>44</v>
      </c>
    </row>
    <row r="68" customFormat="false" ht="13.8" hidden="false" customHeight="false" outlineLevel="0" collapsed="false">
      <c r="A68" s="9"/>
      <c r="B68" s="10"/>
      <c r="C68" s="11"/>
      <c r="D68" s="18" t="s">
        <v>45</v>
      </c>
    </row>
    <row r="69" customFormat="false" ht="13.8" hidden="false" customHeight="false" outlineLevel="0" collapsed="false">
      <c r="A69" s="9"/>
      <c r="B69" s="10"/>
      <c r="C69" s="11" t="str">
        <f aca="false">IF(D69&lt;&gt;"","▪","")</f>
        <v>▪</v>
      </c>
      <c r="D69" s="12" t="s">
        <v>46</v>
      </c>
    </row>
    <row r="70" customFormat="false" ht="13.8" hidden="false" customHeight="false" outlineLevel="0" collapsed="false">
      <c r="A70" s="9"/>
      <c r="B70" s="10"/>
      <c r="C70" s="11" t="str">
        <f aca="false">IF(D70&lt;&gt;"","▪","")</f>
        <v>▪</v>
      </c>
      <c r="D70" s="12" t="s">
        <v>47</v>
      </c>
    </row>
    <row r="71" customFormat="false" ht="13.8" hidden="false" customHeight="false" outlineLevel="0" collapsed="false">
      <c r="A71" s="9"/>
      <c r="B71" s="10" t="s">
        <v>23</v>
      </c>
      <c r="C71" s="10"/>
      <c r="D71" s="12"/>
    </row>
    <row r="72" customFormat="false" ht="13.8" hidden="false" customHeight="false" outlineLevel="0" collapsed="false">
      <c r="A72" s="9"/>
      <c r="B72" s="10"/>
      <c r="C72" s="11" t="str">
        <f aca="false">IF(D72&lt;&gt;"","▪","")</f>
        <v>▪</v>
      </c>
      <c r="D72" s="12" t="s">
        <v>48</v>
      </c>
    </row>
    <row r="73" customFormat="false" ht="13.8" hidden="false" customHeight="false" outlineLevel="0" collapsed="false">
      <c r="A73" s="9"/>
      <c r="B73" s="10" t="s">
        <v>49</v>
      </c>
      <c r="C73" s="10"/>
      <c r="D73" s="12"/>
    </row>
    <row r="74" customFormat="false" ht="13.8" hidden="false" customHeight="false" outlineLevel="0" collapsed="false">
      <c r="A74" s="9"/>
      <c r="B74" s="10"/>
      <c r="C74" s="11" t="str">
        <f aca="false">IF(D74&lt;&gt;"","▪","")</f>
        <v>▪</v>
      </c>
      <c r="D74" s="12" t="s">
        <v>50</v>
      </c>
    </row>
    <row r="75" customFormat="false" ht="13.8" hidden="false" customHeight="false" outlineLevel="0" collapsed="false">
      <c r="A75" s="9"/>
      <c r="B75" s="10"/>
      <c r="C75" s="11" t="str">
        <f aca="false">IF(D75&lt;&gt;"","▪","")</f>
        <v>▪</v>
      </c>
      <c r="D75" s="12" t="s">
        <v>51</v>
      </c>
    </row>
    <row r="76" customFormat="false" ht="13.8" hidden="false" customHeight="false" outlineLevel="0" collapsed="false">
      <c r="A76" s="9"/>
      <c r="B76" s="10"/>
      <c r="C76" s="11" t="str">
        <f aca="false">IF(D76&lt;&gt;"","▪","")</f>
        <v>▪</v>
      </c>
      <c r="D76" s="12" t="s">
        <v>52</v>
      </c>
    </row>
    <row r="77" customFormat="false" ht="13.8" hidden="false" customHeight="false" outlineLevel="0" collapsed="false">
      <c r="A77" s="9"/>
      <c r="B77" s="10"/>
      <c r="C77" s="11" t="str">
        <f aca="false">IF(D77&lt;&gt;"","▪","")</f>
        <v>▪</v>
      </c>
      <c r="D77" s="12" t="s">
        <v>53</v>
      </c>
    </row>
    <row r="78" customFormat="false" ht="13.8" hidden="false" customHeight="false" outlineLevel="0" collapsed="false">
      <c r="A78" s="9"/>
      <c r="B78" s="10" t="s">
        <v>54</v>
      </c>
      <c r="C78" s="10"/>
      <c r="D78" s="12"/>
    </row>
    <row r="79" customFormat="false" ht="13.8" hidden="false" customHeight="false" outlineLevel="0" collapsed="false">
      <c r="A79" s="9"/>
      <c r="B79" s="10"/>
      <c r="C79" s="11" t="str">
        <f aca="false">IF(D79&lt;&gt;"","▪","")</f>
        <v>▪</v>
      </c>
      <c r="D79" s="12" t="s">
        <v>50</v>
      </c>
    </row>
    <row r="80" customFormat="false" ht="13.8" hidden="false" customHeight="false" outlineLevel="0" collapsed="false">
      <c r="A80" s="9"/>
      <c r="B80" s="10"/>
      <c r="C80" s="11" t="str">
        <f aca="false">IF(D80&lt;&gt;"","▪","")</f>
        <v>▪</v>
      </c>
      <c r="D80" s="12" t="s">
        <v>55</v>
      </c>
    </row>
    <row r="81" customFormat="false" ht="13.8" hidden="false" customHeight="false" outlineLevel="0" collapsed="false">
      <c r="A81" s="9"/>
      <c r="B81" s="10"/>
      <c r="C81" s="11" t="str">
        <f aca="false">IF(D81&lt;&gt;"","▪","")</f>
        <v>▪</v>
      </c>
      <c r="D81" s="12" t="s">
        <v>52</v>
      </c>
    </row>
    <row r="82" customFormat="false" ht="13.8" hidden="false" customHeight="false" outlineLevel="0" collapsed="false">
      <c r="A82" s="9"/>
      <c r="B82" s="10"/>
      <c r="C82" s="11" t="str">
        <f aca="false">IF(D82&lt;&gt;"","▪","")</f>
        <v>▪</v>
      </c>
      <c r="D82" s="12" t="s">
        <v>53</v>
      </c>
    </row>
    <row r="83" customFormat="false" ht="13.8" hidden="false" customHeight="false" outlineLevel="0" collapsed="false">
      <c r="A83" s="9"/>
      <c r="B83" s="10" t="s">
        <v>17</v>
      </c>
      <c r="C83" s="10"/>
      <c r="D83" s="12"/>
    </row>
    <row r="84" customFormat="false" ht="19.5" hidden="false" customHeight="true" outlineLevel="0" collapsed="false">
      <c r="A84" s="9"/>
      <c r="B84" s="10"/>
      <c r="C84" s="11" t="str">
        <f aca="false">IF(D84&lt;&gt;"","▪","")</f>
        <v>▪</v>
      </c>
      <c r="D84" s="12" t="s">
        <v>56</v>
      </c>
    </row>
    <row r="85" customFormat="false" ht="13.8" hidden="false" customHeight="false" outlineLevel="0" collapsed="false">
      <c r="A85" s="9"/>
      <c r="B85" s="10" t="s">
        <v>57</v>
      </c>
      <c r="C85" s="10"/>
      <c r="D85" s="12"/>
    </row>
    <row r="86" customFormat="false" ht="19.5" hidden="false" customHeight="true" outlineLevel="0" collapsed="false">
      <c r="A86" s="9"/>
      <c r="B86" s="10"/>
      <c r="C86" s="11" t="str">
        <f aca="false">IF(D86&lt;&gt;"","▪","")</f>
        <v>▪</v>
      </c>
      <c r="D86" s="12" t="s">
        <v>58</v>
      </c>
    </row>
    <row r="87" customFormat="false" ht="13.8" hidden="false" customHeight="false" outlineLevel="0" collapsed="false">
      <c r="A87" s="3"/>
      <c r="B87" s="19"/>
      <c r="C87" s="19"/>
      <c r="D87" s="20"/>
    </row>
    <row r="88" customFormat="false" ht="17.35" hidden="false" customHeight="false" outlineLevel="0" collapsed="false">
      <c r="A88" s="13" t="s">
        <v>59</v>
      </c>
      <c r="B88" s="14"/>
      <c r="C88" s="14"/>
      <c r="D88" s="15"/>
    </row>
    <row r="89" customFormat="false" ht="13.8" hidden="false" customHeight="false" outlineLevel="0" collapsed="false">
      <c r="A89" s="9"/>
      <c r="B89" s="10" t="s">
        <v>2</v>
      </c>
      <c r="C89" s="10"/>
      <c r="D89" s="12"/>
    </row>
    <row r="90" customFormat="false" ht="13.8" hidden="false" customHeight="false" outlineLevel="0" collapsed="false">
      <c r="A90" s="9"/>
      <c r="B90" s="10"/>
      <c r="C90" s="11" t="str">
        <f aca="false">IF(D90&lt;&gt;"","▪","")</f>
        <v>▪</v>
      </c>
      <c r="D90" s="12" t="s">
        <v>60</v>
      </c>
    </row>
    <row r="91" customFormat="false" ht="13.8" hidden="false" customHeight="false" outlineLevel="0" collapsed="false">
      <c r="A91" s="9"/>
      <c r="B91" s="10" t="s">
        <v>40</v>
      </c>
      <c r="C91" s="10"/>
      <c r="D91" s="12"/>
    </row>
    <row r="92" customFormat="false" ht="13.8" hidden="false" customHeight="false" outlineLevel="0" collapsed="false">
      <c r="A92" s="9"/>
      <c r="B92" s="10"/>
      <c r="C92" s="11" t="str">
        <f aca="false">IF(D92&lt;&gt;"","▪","")</f>
        <v>▪</v>
      </c>
      <c r="D92" s="12" t="s">
        <v>61</v>
      </c>
    </row>
    <row r="93" customFormat="false" ht="35.05" hidden="false" customHeight="false" outlineLevel="0" collapsed="false">
      <c r="A93" s="9"/>
      <c r="B93" s="10"/>
      <c r="C93" s="11" t="str">
        <f aca="false">IF(D93&lt;&gt;"","▪","")</f>
        <v>▪</v>
      </c>
      <c r="D93" s="12" t="s">
        <v>62</v>
      </c>
    </row>
    <row r="94" customFormat="false" ht="23.85" hidden="false" customHeight="false" outlineLevel="0" collapsed="false">
      <c r="A94" s="9"/>
      <c r="B94" s="10"/>
      <c r="C94" s="11" t="str">
        <f aca="false">IF(D94&lt;&gt;"","▪","")</f>
        <v>▪</v>
      </c>
      <c r="D94" s="12" t="s">
        <v>63</v>
      </c>
    </row>
    <row r="95" customFormat="false" ht="13.8" hidden="false" customHeight="false" outlineLevel="0" collapsed="false">
      <c r="A95" s="9"/>
      <c r="B95" s="10" t="s">
        <v>23</v>
      </c>
      <c r="C95" s="10"/>
      <c r="D95" s="12"/>
    </row>
    <row r="96" customFormat="false" ht="13.8" hidden="false" customHeight="false" outlineLevel="0" collapsed="false">
      <c r="A96" s="9"/>
      <c r="B96" s="10"/>
      <c r="C96" s="11" t="str">
        <f aca="false">IF(D96&lt;&gt;"","▪","")</f>
        <v>▪</v>
      </c>
      <c r="D96" s="12" t="s">
        <v>64</v>
      </c>
    </row>
    <row r="97" customFormat="false" ht="13.8" hidden="false" customHeight="false" outlineLevel="0" collapsed="false">
      <c r="A97" s="9"/>
      <c r="B97" s="10" t="s">
        <v>11</v>
      </c>
      <c r="C97" s="10"/>
      <c r="D97" s="12"/>
    </row>
    <row r="98" customFormat="false" ht="13.8" hidden="false" customHeight="false" outlineLevel="0" collapsed="false">
      <c r="A98" s="9"/>
      <c r="B98" s="10"/>
      <c r="C98" s="11" t="str">
        <f aca="false">IF(D98&lt;&gt;"","▪","")</f>
        <v>▪</v>
      </c>
      <c r="D98" s="12" t="s">
        <v>65</v>
      </c>
    </row>
    <row r="99" customFormat="false" ht="13.8" hidden="false" customHeight="false" outlineLevel="0" collapsed="false">
      <c r="A99" s="9"/>
      <c r="B99" s="10" t="s">
        <v>49</v>
      </c>
      <c r="C99" s="10"/>
      <c r="D99" s="12"/>
    </row>
    <row r="100" customFormat="false" ht="23.85" hidden="false" customHeight="false" outlineLevel="0" collapsed="false">
      <c r="A100" s="9"/>
      <c r="B100" s="10"/>
      <c r="C100" s="11" t="str">
        <f aca="false">IF(D100&lt;&gt;"","▪","")</f>
        <v>▪</v>
      </c>
      <c r="D100" s="12" t="s">
        <v>66</v>
      </c>
    </row>
    <row r="101" customFormat="false" ht="13.8" hidden="false" customHeight="false" outlineLevel="0" collapsed="false">
      <c r="A101" s="9"/>
      <c r="B101" s="10"/>
      <c r="C101" s="11" t="str">
        <f aca="false">IF(D101&lt;&gt;"","▪","")</f>
        <v>▪</v>
      </c>
      <c r="D101" s="12" t="s">
        <v>67</v>
      </c>
    </row>
    <row r="102" customFormat="false" ht="13.8" hidden="false" customHeight="false" outlineLevel="0" collapsed="false">
      <c r="A102" s="9"/>
      <c r="B102" s="10" t="s">
        <v>20</v>
      </c>
      <c r="C102" s="10"/>
      <c r="D102" s="12"/>
    </row>
    <row r="103" customFormat="false" ht="13.8" hidden="false" customHeight="false" outlineLevel="0" collapsed="false">
      <c r="A103" s="9"/>
      <c r="B103" s="10"/>
      <c r="C103" s="11" t="str">
        <f aca="false">IF(D103&lt;&gt;"","▪","")</f>
        <v>▪</v>
      </c>
      <c r="D103" s="12" t="s">
        <v>68</v>
      </c>
    </row>
    <row r="104" customFormat="false" ht="13.8" hidden="false" customHeight="false" outlineLevel="0" collapsed="false">
      <c r="A104" s="9"/>
      <c r="B104" s="10" t="s">
        <v>54</v>
      </c>
      <c r="C104" s="10"/>
      <c r="D104" s="12"/>
    </row>
    <row r="105" customFormat="false" ht="13.8" hidden="false" customHeight="false" outlineLevel="0" collapsed="false">
      <c r="A105" s="9"/>
      <c r="B105" s="10"/>
      <c r="C105" s="11" t="str">
        <f aca="false">IF(D105&lt;&gt;"","▪","")</f>
        <v>▪</v>
      </c>
      <c r="D105" s="12" t="s">
        <v>69</v>
      </c>
    </row>
    <row r="106" customFormat="false" ht="13.8" hidden="false" customHeight="false" outlineLevel="0" collapsed="false">
      <c r="A106" s="9"/>
      <c r="B106" s="10"/>
      <c r="C106" s="11" t="str">
        <f aca="false">IF(D106&lt;&gt;"","▪","")</f>
        <v>▪</v>
      </c>
      <c r="D106" s="12" t="s">
        <v>70</v>
      </c>
    </row>
    <row r="107" customFormat="false" ht="13.8" hidden="false" customHeight="false" outlineLevel="0" collapsed="false">
      <c r="A107" s="9"/>
      <c r="B107" s="10" t="s">
        <v>71</v>
      </c>
      <c r="C107" s="10"/>
      <c r="D107" s="12"/>
    </row>
    <row r="108" customFormat="false" ht="13.8" hidden="false" customHeight="false" outlineLevel="0" collapsed="false">
      <c r="A108" s="9"/>
      <c r="B108" s="10"/>
      <c r="C108" s="11" t="str">
        <f aca="false">IF(D108&lt;&gt;"","▪","")</f>
        <v>▪</v>
      </c>
      <c r="D108" s="12" t="s">
        <v>72</v>
      </c>
    </row>
    <row r="109" customFormat="false" ht="13.8" hidden="false" customHeight="false" outlineLevel="0" collapsed="false">
      <c r="A109" s="9"/>
      <c r="B109" s="10"/>
      <c r="C109" s="11" t="str">
        <f aca="false">IF(D109&lt;&gt;"","▪","")</f>
        <v>▪</v>
      </c>
      <c r="D109" s="12" t="s">
        <v>73</v>
      </c>
    </row>
    <row r="110" customFormat="false" ht="13.8" hidden="false" customHeight="false" outlineLevel="0" collapsed="false">
      <c r="A110" s="9"/>
      <c r="B110" s="10"/>
      <c r="C110" s="11" t="str">
        <f aca="false">IF(D110&lt;&gt;"","▪","")</f>
        <v>▪</v>
      </c>
      <c r="D110" s="12" t="s">
        <v>74</v>
      </c>
    </row>
    <row r="111" customFormat="false" ht="13.8" hidden="false" customHeight="false" outlineLevel="0" collapsed="false">
      <c r="A111" s="9"/>
      <c r="B111" s="10" t="s">
        <v>17</v>
      </c>
      <c r="C111" s="10"/>
      <c r="D111" s="12"/>
    </row>
    <row r="112" customFormat="false" ht="13.8" hidden="false" customHeight="false" outlineLevel="0" collapsed="false">
      <c r="A112" s="9"/>
      <c r="B112" s="10"/>
      <c r="C112" s="11" t="str">
        <f aca="false">IF(D112&lt;&gt;"","▪","")</f>
        <v>▪</v>
      </c>
      <c r="D112" s="12" t="s">
        <v>75</v>
      </c>
    </row>
    <row r="113" customFormat="false" ht="13.8" hidden="false" customHeight="false" outlineLevel="0" collapsed="false">
      <c r="A113" s="9"/>
      <c r="B113" s="10" t="s">
        <v>76</v>
      </c>
      <c r="C113" s="10"/>
      <c r="D113" s="12"/>
    </row>
    <row r="114" customFormat="false" ht="13.8" hidden="false" customHeight="false" outlineLevel="0" collapsed="false">
      <c r="A114" s="9"/>
      <c r="B114" s="10"/>
      <c r="C114" s="11" t="str">
        <f aca="false">IF(D114&lt;&gt;"","▪","")</f>
        <v>▪</v>
      </c>
      <c r="D114" s="12" t="s">
        <v>77</v>
      </c>
    </row>
    <row r="115" customFormat="false" ht="13.8" hidden="false" customHeight="false" outlineLevel="0" collapsed="false">
      <c r="A115" s="9"/>
      <c r="B115" s="10" t="s">
        <v>78</v>
      </c>
      <c r="C115" s="10"/>
      <c r="D115" s="12"/>
    </row>
    <row r="116" customFormat="false" ht="13.8" hidden="false" customHeight="false" outlineLevel="0" collapsed="false">
      <c r="A116" s="9"/>
      <c r="B116" s="10"/>
      <c r="C116" s="11" t="str">
        <f aca="false">IF(D116&lt;&gt;"","▪","")</f>
        <v>▪</v>
      </c>
      <c r="D116" s="12" t="s">
        <v>79</v>
      </c>
    </row>
    <row r="117" customFormat="false" ht="13.8" hidden="false" customHeight="false" outlineLevel="0" collapsed="false">
      <c r="A117" s="3"/>
      <c r="B117" s="19"/>
      <c r="C117" s="19"/>
      <c r="D117" s="20"/>
    </row>
    <row r="118" customFormat="false" ht="17.35" hidden="false" customHeight="false" outlineLevel="0" collapsed="false">
      <c r="A118" s="13" t="s">
        <v>80</v>
      </c>
      <c r="B118" s="14"/>
      <c r="C118" s="14"/>
      <c r="D118" s="15"/>
    </row>
    <row r="119" customFormat="false" ht="13.8" hidden="false" customHeight="false" outlineLevel="0" collapsed="false">
      <c r="A119" s="9"/>
      <c r="B119" s="10" t="s">
        <v>40</v>
      </c>
      <c r="C119" s="10"/>
      <c r="D119" s="12"/>
    </row>
    <row r="120" customFormat="false" ht="23.85" hidden="false" customHeight="false" outlineLevel="0" collapsed="false">
      <c r="A120" s="9"/>
      <c r="B120" s="10"/>
      <c r="C120" s="11" t="str">
        <f aca="false">IF(D120&lt;&gt;"","▪","")</f>
        <v>▪</v>
      </c>
      <c r="D120" s="12" t="s">
        <v>81</v>
      </c>
    </row>
    <row r="121" customFormat="false" ht="13.8" hidden="false" customHeight="false" outlineLevel="0" collapsed="false">
      <c r="A121" s="9"/>
      <c r="B121" s="10" t="s">
        <v>11</v>
      </c>
      <c r="C121" s="10"/>
      <c r="D121" s="12"/>
    </row>
    <row r="122" customFormat="false" ht="13.8" hidden="false" customHeight="false" outlineLevel="0" collapsed="false">
      <c r="A122" s="9"/>
      <c r="B122" s="10"/>
      <c r="C122" s="11" t="str">
        <f aca="false">IF(D122&lt;&gt;"","▪","")</f>
        <v>▪</v>
      </c>
      <c r="D122" s="12" t="s">
        <v>82</v>
      </c>
    </row>
    <row r="123" customFormat="false" ht="13.8" hidden="false" customHeight="false" outlineLevel="0" collapsed="false">
      <c r="A123" s="9"/>
      <c r="B123" s="10" t="s">
        <v>23</v>
      </c>
      <c r="C123" s="10"/>
      <c r="D123" s="12"/>
    </row>
    <row r="124" customFormat="false" ht="13.8" hidden="false" customHeight="false" outlineLevel="0" collapsed="false">
      <c r="A124" s="9"/>
      <c r="B124" s="10"/>
      <c r="C124" s="11" t="str">
        <f aca="false">IF(D124&lt;&gt;"","▪","")</f>
        <v>▪</v>
      </c>
      <c r="D124" s="12" t="s">
        <v>83</v>
      </c>
    </row>
    <row r="125" customFormat="false" ht="13.8" hidden="false" customHeight="false" outlineLevel="0" collapsed="false">
      <c r="A125" s="3"/>
      <c r="B125" s="19"/>
      <c r="C125" s="19"/>
      <c r="D125" s="20"/>
    </row>
    <row r="126" customFormat="false" ht="17.35" hidden="false" customHeight="false" outlineLevel="0" collapsed="false">
      <c r="A126" s="13" t="s">
        <v>84</v>
      </c>
      <c r="B126" s="14"/>
      <c r="C126" s="14"/>
      <c r="D126" s="15"/>
    </row>
    <row r="127" customFormat="false" ht="13.8" hidden="false" customHeight="false" outlineLevel="0" collapsed="false">
      <c r="A127" s="9"/>
      <c r="B127" s="10" t="s">
        <v>2</v>
      </c>
      <c r="C127" s="10"/>
      <c r="D127" s="12"/>
    </row>
    <row r="128" customFormat="false" ht="13.8" hidden="false" customHeight="false" outlineLevel="0" collapsed="false">
      <c r="A128" s="9"/>
      <c r="B128" s="10"/>
      <c r="C128" s="11" t="str">
        <f aca="false">IF(D128&lt;&gt;"","▪","")</f>
        <v>▪</v>
      </c>
      <c r="D128" s="12" t="s">
        <v>85</v>
      </c>
    </row>
    <row r="129" customFormat="false" ht="13.8" hidden="false" customHeight="false" outlineLevel="0" collapsed="false">
      <c r="A129" s="3"/>
      <c r="B129" s="19"/>
      <c r="C129" s="19"/>
      <c r="D129" s="20"/>
    </row>
    <row r="130" customFormat="false" ht="17.35" hidden="false" customHeight="false" outlineLevel="0" collapsed="false">
      <c r="A130" s="13" t="s">
        <v>86</v>
      </c>
      <c r="B130" s="14"/>
      <c r="C130" s="14"/>
      <c r="D130" s="15"/>
    </row>
    <row r="131" customFormat="false" ht="13.8" hidden="false" customHeight="false" outlineLevel="0" collapsed="false">
      <c r="A131" s="9"/>
      <c r="B131" s="10" t="s">
        <v>40</v>
      </c>
      <c r="C131" s="10"/>
      <c r="D131" s="12"/>
    </row>
    <row r="132" customFormat="false" ht="13.8" hidden="false" customHeight="false" outlineLevel="0" collapsed="false">
      <c r="A132" s="9"/>
      <c r="B132" s="10"/>
      <c r="C132" s="11" t="str">
        <f aca="false">IF(D132&lt;&gt;"","▪","")</f>
        <v>▪</v>
      </c>
      <c r="D132" s="12" t="s">
        <v>87</v>
      </c>
    </row>
    <row r="133" customFormat="false" ht="13.8" hidden="false" customHeight="false" outlineLevel="0" collapsed="false">
      <c r="A133" s="9"/>
      <c r="B133" s="10"/>
      <c r="C133" s="11" t="str">
        <f aca="false">IF(D133&lt;&gt;"","▪","")</f>
        <v>▪</v>
      </c>
      <c r="D133" s="12" t="s">
        <v>88</v>
      </c>
    </row>
    <row r="134" customFormat="false" ht="13.8" hidden="false" customHeight="false" outlineLevel="0" collapsed="false">
      <c r="A134" s="9"/>
      <c r="B134" s="10" t="s">
        <v>71</v>
      </c>
      <c r="C134" s="10"/>
      <c r="D134" s="12"/>
    </row>
    <row r="135" customFormat="false" ht="13.8" hidden="false" customHeight="false" outlineLevel="0" collapsed="false">
      <c r="A135" s="9"/>
      <c r="B135" s="10"/>
      <c r="C135" s="11" t="str">
        <f aca="false">IF(D135&lt;&gt;"","▪","")</f>
        <v>▪</v>
      </c>
      <c r="D135" s="12" t="s">
        <v>89</v>
      </c>
    </row>
    <row r="136" customFormat="false" ht="13.8" hidden="false" customHeight="false" outlineLevel="0" collapsed="false">
      <c r="A136" s="9"/>
      <c r="B136" s="10" t="s">
        <v>17</v>
      </c>
      <c r="C136" s="10"/>
      <c r="D136" s="12"/>
    </row>
    <row r="137" customFormat="false" ht="13.8" hidden="false" customHeight="false" outlineLevel="0" collapsed="false">
      <c r="A137" s="9"/>
      <c r="C137" s="11" t="str">
        <f aca="false">IF(D137&lt;&gt;"","▪","")</f>
        <v>▪</v>
      </c>
      <c r="D137" s="12" t="s">
        <v>90</v>
      </c>
    </row>
    <row r="138" customFormat="false" ht="13.8" hidden="false" customHeight="false" outlineLevel="0" collapsed="false">
      <c r="A138" s="3"/>
      <c r="B138" s="19"/>
      <c r="C138" s="19"/>
      <c r="D138" s="20"/>
    </row>
    <row r="139" customFormat="false" ht="17.35" hidden="false" customHeight="false" outlineLevel="0" collapsed="false">
      <c r="A139" s="13" t="s">
        <v>91</v>
      </c>
      <c r="B139" s="14"/>
      <c r="C139" s="14"/>
      <c r="D139" s="15"/>
    </row>
    <row r="140" customFormat="false" ht="13.8" hidden="false" customHeight="false" outlineLevel="0" collapsed="false">
      <c r="A140" s="9"/>
      <c r="B140" s="10" t="s">
        <v>40</v>
      </c>
      <c r="C140" s="10"/>
      <c r="D140" s="12"/>
    </row>
    <row r="141" customFormat="false" ht="13.8" hidden="false" customHeight="false" outlineLevel="0" collapsed="false">
      <c r="A141" s="9"/>
      <c r="B141" s="10"/>
      <c r="C141" s="11" t="str">
        <f aca="false">IF(D141&lt;&gt;"","▪","")</f>
        <v>▪</v>
      </c>
      <c r="D141" s="12" t="s">
        <v>92</v>
      </c>
    </row>
    <row r="142" customFormat="false" ht="13.8" hidden="false" customHeight="false" outlineLevel="0" collapsed="false">
      <c r="A142" s="9"/>
      <c r="B142" s="10" t="s">
        <v>23</v>
      </c>
      <c r="C142" s="10"/>
      <c r="D142" s="12"/>
    </row>
    <row r="143" customFormat="false" ht="13.8" hidden="false" customHeight="false" outlineLevel="0" collapsed="false">
      <c r="A143" s="9"/>
      <c r="B143" s="10"/>
      <c r="C143" s="11" t="str">
        <f aca="false">IF(D143&lt;&gt;"","▪","")</f>
        <v>▪</v>
      </c>
      <c r="D143" s="12" t="s">
        <v>93</v>
      </c>
    </row>
    <row r="144" customFormat="false" ht="13.8" hidden="false" customHeight="false" outlineLevel="0" collapsed="false">
      <c r="A144" s="9"/>
      <c r="B144" s="10" t="s">
        <v>11</v>
      </c>
      <c r="C144" s="10"/>
      <c r="D144" s="12"/>
    </row>
    <row r="145" customFormat="false" ht="13.8" hidden="false" customHeight="false" outlineLevel="0" collapsed="false">
      <c r="A145" s="9"/>
      <c r="C145" s="11" t="str">
        <f aca="false">IF(D145&lt;&gt;"","▪","")</f>
        <v>▪</v>
      </c>
      <c r="D145" s="12" t="s">
        <v>93</v>
      </c>
    </row>
    <row r="146" customFormat="false" ht="13.8" hidden="false" customHeight="false" outlineLevel="0" collapsed="false">
      <c r="A146" s="9"/>
      <c r="B146" s="10" t="s">
        <v>49</v>
      </c>
      <c r="C146" s="10"/>
      <c r="D146" s="12"/>
    </row>
    <row r="147" customFormat="false" ht="13.8" hidden="false" customHeight="false" outlineLevel="0" collapsed="false">
      <c r="A147" s="9"/>
      <c r="C147" s="11" t="str">
        <f aca="false">IF(D147&lt;&gt;"","▪","")</f>
        <v>▪</v>
      </c>
      <c r="D147" s="12" t="s">
        <v>94</v>
      </c>
    </row>
    <row r="148" customFormat="false" ht="13.8" hidden="false" customHeight="false" outlineLevel="0" collapsed="false">
      <c r="A148" s="9"/>
      <c r="B148" s="10" t="s">
        <v>20</v>
      </c>
      <c r="C148" s="10"/>
      <c r="D148" s="12"/>
    </row>
    <row r="149" customFormat="false" ht="13.8" hidden="false" customHeight="false" outlineLevel="0" collapsed="false">
      <c r="A149" s="9"/>
      <c r="C149" s="11" t="str">
        <f aca="false">IF(D149&lt;&gt;"","▪","")</f>
        <v>▪</v>
      </c>
      <c r="D149" s="12" t="s">
        <v>93</v>
      </c>
    </row>
    <row r="150" customFormat="false" ht="13.8" hidden="false" customHeight="false" outlineLevel="0" collapsed="false">
      <c r="A150" s="9"/>
      <c r="B150" s="10" t="s">
        <v>54</v>
      </c>
      <c r="C150" s="10"/>
      <c r="D150" s="12"/>
    </row>
    <row r="151" customFormat="false" ht="13.8" hidden="false" customHeight="false" outlineLevel="0" collapsed="false">
      <c r="A151" s="9"/>
      <c r="C151" s="11" t="str">
        <f aca="false">IF(D151&lt;&gt;"","▪","")</f>
        <v>▪</v>
      </c>
      <c r="D151" s="12" t="s">
        <v>95</v>
      </c>
    </row>
    <row r="152" customFormat="false" ht="13.8" hidden="false" customHeight="false" outlineLevel="0" collapsed="false">
      <c r="A152" s="9"/>
      <c r="B152" s="10" t="s">
        <v>71</v>
      </c>
      <c r="C152" s="10"/>
      <c r="D152" s="12"/>
    </row>
    <row r="153" customFormat="false" ht="13.8" hidden="false" customHeight="false" outlineLevel="0" collapsed="false">
      <c r="A153" s="9"/>
      <c r="C153" s="11" t="str">
        <f aca="false">IF(D153&lt;&gt;"","▪","")</f>
        <v>▪</v>
      </c>
      <c r="D153" s="12" t="s">
        <v>96</v>
      </c>
    </row>
    <row r="154" customFormat="false" ht="13.8" hidden="false" customHeight="false" outlineLevel="0" collapsed="false">
      <c r="A154" s="3"/>
      <c r="B154" s="19"/>
      <c r="C154" s="19"/>
      <c r="D154" s="20"/>
    </row>
  </sheetData>
  <sheetProtection algorithmName="SHA-512" hashValue="MdKuoIvnMpGkSRL9RVOMJTxxbtfjjij2CelQBuAN63Af5opbEGxDkjk7b5uBce0c+nw4ORCZCuI5GD8ngBgJ2w==" saltValue="fjodva1fJT0zjcRgfX/1tw==" spinCount="100000" sheet="true" objects="true" scenarios="true" autoFilter="false"/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1" width="2.86"/>
    <col collapsed="false" customWidth="true" hidden="false" outlineLevel="0" max="2" min="2" style="1" width="5.57"/>
    <col collapsed="false" customWidth="true" hidden="false" outlineLevel="0" max="3" min="3" style="1" width="38.57"/>
    <col collapsed="false" customWidth="true" hidden="false" outlineLevel="0" max="4" min="4" style="1" width="5.57"/>
    <col collapsed="false" customWidth="true" hidden="false" outlineLevel="0" max="5" min="5" style="1" width="38.57"/>
    <col collapsed="false" customWidth="true" hidden="false" outlineLevel="0" max="6" min="6" style="1" width="5.57"/>
    <col collapsed="false" customWidth="true" hidden="false" outlineLevel="0" max="7" min="7" style="1" width="38.57"/>
    <col collapsed="false" customWidth="true" hidden="false" outlineLevel="0" max="8" min="8" style="1" width="5.57"/>
    <col collapsed="false" customWidth="true" hidden="false" outlineLevel="0" max="9" min="9" style="1" width="2.86"/>
    <col collapsed="false" customWidth="true" hidden="false" outlineLevel="0" max="10" min="10" style="1" width="19"/>
    <col collapsed="false" customWidth="true" hidden="false" outlineLevel="0" max="11" min="11" style="1" width="3"/>
    <col collapsed="false" customWidth="true" hidden="false" outlineLevel="0" max="13" min="13" style="1" width="1.57"/>
    <col collapsed="false" customWidth="true" hidden="false" outlineLevel="0" max="14" min="14" style="1" width="38.86"/>
  </cols>
  <sheetData>
    <row r="1" customFormat="false" ht="15" hidden="false" customHeight="true" outlineLevel="0" collapsed="false">
      <c r="A1" s="21"/>
      <c r="B1" s="21"/>
      <c r="C1" s="21"/>
      <c r="D1" s="21"/>
      <c r="E1" s="21"/>
      <c r="F1" s="21"/>
      <c r="G1" s="21"/>
      <c r="H1" s="21"/>
      <c r="I1" s="21"/>
      <c r="J1" s="22" t="s">
        <v>97</v>
      </c>
      <c r="K1" s="23" t="b">
        <f aca="false">TRUE()</f>
        <v>1</v>
      </c>
    </row>
    <row r="2" customFormat="false" ht="22.5" hidden="false" customHeight="true" outlineLevel="0" collapsed="false">
      <c r="A2" s="21"/>
      <c r="B2" s="24"/>
      <c r="C2" s="24"/>
      <c r="D2" s="24"/>
      <c r="E2" s="25" t="str">
        <f aca="false">CHOOSE(MATCH(Objeto,{"PM","PO"}),"PLANILHA MÚLTIPLA ","PLANILHA ORÇAMENTÁRIA ")&amp; Versao</f>
        <v>PLANILHA MÚLTIPLA v3.12</v>
      </c>
      <c r="F2" s="25"/>
      <c r="G2" s="25"/>
      <c r="H2" s="26"/>
      <c r="I2" s="24"/>
      <c r="J2" s="22" t="s">
        <v>98</v>
      </c>
      <c r="K2" s="23" t="b">
        <f aca="false">TRUE()</f>
        <v>1</v>
      </c>
    </row>
    <row r="3" customFormat="false" ht="22.5" hidden="false" customHeight="true" outlineLevel="0" collapsed="false">
      <c r="A3" s="21"/>
      <c r="B3" s="24"/>
      <c r="C3" s="24"/>
      <c r="D3" s="24"/>
      <c r="E3" s="25"/>
      <c r="F3" s="25"/>
      <c r="G3" s="25"/>
      <c r="H3" s="26"/>
      <c r="I3" s="24"/>
      <c r="O3" s="27" t="n">
        <v>1</v>
      </c>
    </row>
    <row r="4" customFormat="false" ht="16.5" hidden="false" customHeight="true" outlineLevel="0" collapsed="false">
      <c r="A4" s="21"/>
      <c r="B4" s="24"/>
      <c r="C4" s="24"/>
      <c r="D4" s="24"/>
      <c r="E4" s="24"/>
      <c r="F4" s="28"/>
      <c r="G4" s="26"/>
      <c r="H4" s="26"/>
      <c r="I4" s="24"/>
      <c r="J4" s="29" t="str">
        <f aca="false">IF(VALUE(MENU!$O$4)=2,"BM","PLE")</f>
        <v>PLE</v>
      </c>
      <c r="O4" s="27" t="n">
        <v>1</v>
      </c>
    </row>
    <row r="5" customFormat="false" ht="16.5" hidden="false" customHeight="true" outlineLevel="0" collapsed="false">
      <c r="A5" s="21"/>
      <c r="B5" s="24"/>
      <c r="C5" s="24"/>
      <c r="D5" s="24"/>
      <c r="E5" s="24"/>
      <c r="F5" s="28"/>
      <c r="G5" s="26"/>
      <c r="H5" s="26"/>
      <c r="I5" s="24"/>
      <c r="J5" s="29" t="s">
        <v>99</v>
      </c>
    </row>
    <row r="6" customFormat="false" ht="21" hidden="false" customHeight="true" outlineLevel="0" collapsed="false">
      <c r="A6" s="21"/>
      <c r="B6" s="21"/>
      <c r="C6" s="21"/>
      <c r="D6" s="21"/>
      <c r="E6" s="30" t="s">
        <v>100</v>
      </c>
      <c r="F6" s="31"/>
      <c r="G6" s="30" t="s">
        <v>101</v>
      </c>
      <c r="H6" s="21"/>
      <c r="I6" s="21"/>
      <c r="J6" s="29" t="s">
        <v>102</v>
      </c>
    </row>
    <row r="7" customFormat="false" ht="12.75" hidden="false" customHeight="false" outlineLevel="0" collapsed="false">
      <c r="A7" s="21"/>
      <c r="B7" s="21"/>
      <c r="C7" s="21"/>
      <c r="D7" s="21"/>
      <c r="E7" s="21"/>
      <c r="F7" s="21"/>
      <c r="G7" s="21"/>
      <c r="H7" s="21"/>
      <c r="I7" s="21"/>
      <c r="J7" s="29" t="s">
        <v>76</v>
      </c>
      <c r="K7" s="32"/>
      <c r="L7" s="33"/>
      <c r="M7" s="33"/>
      <c r="N7" s="34"/>
    </row>
    <row r="8" customFormat="false" ht="21" hidden="false" customHeight="true" outlineLevel="0" collapsed="false">
      <c r="A8" s="24"/>
      <c r="B8" s="35" t="str">
        <f aca="false">IF($O$3&lt;&gt;2,"DOCUMENTAÇÃO DA PROPOSTA","PROPOSTA: Para visualizar/preencher esta seção, altere o TIPO DE ORÇAMENTO para 'Proposto'")</f>
        <v>DOCUMENTAÇÃO DA PROPOSTA</v>
      </c>
      <c r="C8" s="35"/>
      <c r="D8" s="35"/>
      <c r="E8" s="35"/>
      <c r="F8" s="35"/>
      <c r="G8" s="35"/>
      <c r="H8" s="35"/>
      <c r="I8" s="21"/>
      <c r="J8" s="29" t="s">
        <v>78</v>
      </c>
      <c r="K8" s="36"/>
      <c r="L8" s="37" t="s">
        <v>103</v>
      </c>
      <c r="M8" s="37"/>
      <c r="N8" s="9"/>
    </row>
    <row r="9" customFormat="false" ht="12.75" hidden="false" customHeight="false" outlineLevel="0" collapsed="false">
      <c r="A9" s="21"/>
      <c r="B9" s="21"/>
      <c r="C9" s="21"/>
      <c r="D9" s="21"/>
      <c r="E9" s="21"/>
      <c r="F9" s="21"/>
      <c r="G9" s="21"/>
      <c r="H9" s="21"/>
      <c r="I9" s="21"/>
      <c r="K9" s="36"/>
      <c r="L9" s="38" t="s">
        <v>104</v>
      </c>
      <c r="N9" s="9"/>
    </row>
    <row r="10" customFormat="false" ht="21" hidden="false" customHeight="true" outlineLevel="0" collapsed="false">
      <c r="A10" s="21"/>
      <c r="B10" s="21"/>
      <c r="C10" s="39" t="str">
        <f aca="false">IF(TIPOORCAMENTO&lt;&gt;"Proposto","","                    BDI                    ")</f>
        <v>                    BDI                    </v>
      </c>
      <c r="D10" s="31"/>
      <c r="E10" s="39" t="str">
        <f aca="false">IF(TIPOORCAMENTO&lt;&gt;"Proposto","","             ORÇAMENTO             ")</f>
        <v>             ORÇAMENTO             </v>
      </c>
      <c r="F10" s="31"/>
      <c r="G10" s="40" t="str">
        <f aca="false">IF(TIPOORCAMENTO&lt;&gt;"Proposto","","MEMÓRIA DE CÁLCULO / PLQ")</f>
        <v>MEMÓRIA DE CÁLCULO / PLQ</v>
      </c>
      <c r="H10" s="21"/>
      <c r="I10" s="21"/>
      <c r="K10" s="36"/>
      <c r="L10" s="41"/>
      <c r="M10" s="8"/>
      <c r="N10" s="42" t="s">
        <v>105</v>
      </c>
    </row>
    <row r="11" customFormat="false" ht="12.75" hidden="false" customHeight="false" outlineLevel="0" collapsed="false">
      <c r="A11" s="21"/>
      <c r="B11" s="21"/>
      <c r="C11" s="31"/>
      <c r="D11" s="31"/>
      <c r="E11" s="31"/>
      <c r="F11" s="31"/>
      <c r="G11" s="31"/>
      <c r="H11" s="21"/>
      <c r="I11" s="21"/>
      <c r="K11" s="36"/>
      <c r="N11" s="9"/>
    </row>
    <row r="12" customFormat="false" ht="21" hidden="false" customHeight="true" outlineLevel="0" collapsed="false">
      <c r="A12" s="21"/>
      <c r="B12" s="21"/>
      <c r="C12" s="39" t="str">
        <f aca="false">IF(TIPOORCAMENTO&lt;&gt;"Proposto","","                    QCI                    ")</f>
        <v>                    QCI                    </v>
      </c>
      <c r="D12" s="31"/>
      <c r="E12" s="43" t="str">
        <f aca="false">IF(TIPOORCAMENTO&lt;&gt;"Proposto","","CRONOGRAMA FÍSICO-FINANCEIRO")</f>
        <v>CRONOGRAMA FÍSICO-FINANCEIRO</v>
      </c>
      <c r="F12" s="31"/>
      <c r="G12" s="31"/>
      <c r="H12" s="21"/>
      <c r="I12" s="21"/>
      <c r="K12" s="36"/>
      <c r="L12" s="44"/>
      <c r="M12" s="8"/>
      <c r="N12" s="42" t="s">
        <v>106</v>
      </c>
    </row>
    <row r="13" customFormat="false" ht="12.75" hidden="false" customHeight="false" outlineLevel="0" collapsed="false">
      <c r="A13" s="21"/>
      <c r="B13" s="21"/>
      <c r="C13" s="21"/>
      <c r="D13" s="21"/>
      <c r="E13" s="21"/>
      <c r="F13" s="21"/>
      <c r="G13" s="21"/>
      <c r="H13" s="21"/>
      <c r="I13" s="21"/>
      <c r="K13" s="36"/>
      <c r="N13" s="9"/>
    </row>
    <row r="14" customFormat="false" ht="12.75" hidden="false" customHeight="false" outlineLevel="0" collapsed="false">
      <c r="A14" s="21"/>
      <c r="B14" s="21"/>
      <c r="C14" s="21" t="str">
        <f aca="true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07-2025.xlsm.</v>
      </c>
      <c r="D14" s="21"/>
      <c r="E14" s="21"/>
      <c r="F14" s="21"/>
      <c r="G14" s="21"/>
      <c r="H14" s="21"/>
      <c r="I14" s="21"/>
      <c r="K14" s="36"/>
      <c r="N14" s="9"/>
    </row>
    <row r="15" customFormat="false" ht="12.75" hidden="false" customHeight="false" outlineLevel="0" collapsed="false">
      <c r="A15" s="21"/>
      <c r="B15" s="21"/>
      <c r="C15" s="21"/>
      <c r="D15" s="21"/>
      <c r="E15" s="21"/>
      <c r="F15" s="21"/>
      <c r="G15" s="21"/>
      <c r="H15" s="21"/>
      <c r="I15" s="21"/>
      <c r="K15" s="36"/>
      <c r="L15" s="38" t="s">
        <v>107</v>
      </c>
      <c r="N15" s="9"/>
    </row>
    <row r="16" customFormat="false" ht="21" hidden="false" customHeight="true" outlineLevel="0" collapsed="false">
      <c r="A16" s="21"/>
      <c r="B16" s="35" t="str">
        <f aca="false"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35"/>
      <c r="D16" s="35"/>
      <c r="E16" s="35"/>
      <c r="F16" s="35"/>
      <c r="G16" s="35"/>
      <c r="H16" s="35"/>
      <c r="I16" s="21"/>
      <c r="K16" s="36"/>
      <c r="L16" s="45"/>
      <c r="M16" s="8"/>
      <c r="N16" s="42" t="s">
        <v>108</v>
      </c>
    </row>
    <row r="17" customFormat="false" ht="12.75" hidden="false" customHeight="false" outlineLevel="0" collapsed="false">
      <c r="A17" s="21"/>
      <c r="B17" s="21"/>
      <c r="C17" s="21"/>
      <c r="D17" s="21"/>
      <c r="E17" s="21"/>
      <c r="F17" s="21"/>
      <c r="G17" s="21"/>
      <c r="H17" s="21"/>
      <c r="I17" s="21"/>
      <c r="K17" s="36"/>
      <c r="N17" s="9"/>
    </row>
    <row r="18" customFormat="false" ht="21" hidden="false" customHeight="true" outlineLevel="0" collapsed="false">
      <c r="A18" s="21"/>
      <c r="B18" s="21"/>
      <c r="C18" s="39" t="str">
        <f aca="false">IF(TIPOORCAMENTO&lt;&gt;"Licitado","","             ORÇAMENTO             ")</f>
        <v/>
      </c>
      <c r="D18" s="31"/>
      <c r="E18" s="39" t="str">
        <f aca="false">IF(TIPOORCAMENTO&lt;&gt;"Licitado","","                    QCI                    ")</f>
        <v/>
      </c>
      <c r="F18" s="31"/>
      <c r="G18" s="43" t="str">
        <f aca="false">IF(TIPOORCAMENTO&lt;&gt;"Licitado","","CRONOGRAMA FÍSICO-FINANCEIRO")</f>
        <v/>
      </c>
      <c r="H18" s="21"/>
      <c r="I18" s="21"/>
      <c r="K18" s="36"/>
      <c r="L18" s="46"/>
      <c r="M18" s="8"/>
      <c r="N18" s="42" t="s">
        <v>109</v>
      </c>
    </row>
    <row r="19" customFormat="false" ht="12.75" hidden="false" customHeight="false" outlineLevel="0" collapsed="false">
      <c r="A19" s="21"/>
      <c r="B19" s="21"/>
      <c r="C19" s="21"/>
      <c r="D19" s="21"/>
      <c r="E19" s="21"/>
      <c r="F19" s="21"/>
      <c r="G19" s="21"/>
      <c r="H19" s="21"/>
      <c r="I19" s="21"/>
      <c r="K19" s="47"/>
      <c r="L19" s="48"/>
      <c r="M19" s="48"/>
      <c r="N19" s="3"/>
    </row>
    <row r="20" customFormat="false" ht="21" hidden="false" customHeight="true" outlineLevel="0" collapsed="false">
      <c r="A20" s="24"/>
      <c r="B20" s="35" t="str">
        <f aca="false"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35"/>
      <c r="D20" s="35"/>
      <c r="E20" s="35"/>
      <c r="F20" s="35"/>
      <c r="G20" s="35"/>
      <c r="H20" s="35"/>
      <c r="I20" s="21"/>
    </row>
    <row r="21" customFormat="false" ht="12.75" hidden="false" customHeight="false" outlineLevel="0" collapsed="false">
      <c r="A21" s="21"/>
      <c r="B21" s="21"/>
      <c r="C21" s="21"/>
      <c r="D21" s="21"/>
      <c r="E21" s="21"/>
      <c r="F21" s="21"/>
      <c r="G21" s="21"/>
      <c r="H21" s="21"/>
      <c r="I21" s="21"/>
    </row>
    <row r="22" customFormat="false" ht="21" hidden="false" customHeight="true" outlineLevel="0" collapsed="false">
      <c r="A22" s="21"/>
      <c r="B22" s="21"/>
      <c r="C22" s="49" t="e">
        <f aca="false" t="array" ref="C22:C22">IF(OR(_xlfn.single(TIPOORCAMENTO)&lt;&gt;"Licitado",ACOMPANHAMENTO&lt;&gt;"PLE"),"","PLAN. DE LEVANT. DE EVENTOS - PLE")</f>
        <v>#NAME?</v>
      </c>
      <c r="D22" s="31"/>
      <c r="E22" s="39" t="str">
        <f aca="false">IF(TIPOORCAMENTO&lt;&gt;"Licitado","","                    RRE                    ")</f>
        <v/>
      </c>
      <c r="F22" s="31"/>
      <c r="G22" s="40" t="e">
        <f aca="false" t="array" ref="G22:G22">IF(OR(_xlfn.single(TIPOORCAMENTO)&lt;&gt;"Licitado",ACOMPANHAMENTO&lt;&gt;"BM"),"","  BOLETIM DE MEDIÇÃO - BM  ")</f>
        <v>#NAME?</v>
      </c>
      <c r="H22" s="21"/>
      <c r="I22" s="21"/>
    </row>
    <row r="23" customFormat="false" ht="12.75" hidden="false" customHeight="false" outlineLevel="0" collapsed="false">
      <c r="A23" s="21"/>
      <c r="B23" s="21"/>
      <c r="C23" s="31"/>
      <c r="D23" s="31"/>
      <c r="E23" s="31"/>
      <c r="F23" s="31"/>
      <c r="G23" s="31"/>
      <c r="H23" s="21"/>
      <c r="I23" s="21"/>
    </row>
    <row r="24" customFormat="false" ht="21" hidden="false" customHeight="true" outlineLevel="0" collapsed="false">
      <c r="A24" s="21"/>
      <c r="B24" s="21"/>
      <c r="C24" s="31"/>
      <c r="D24" s="31"/>
      <c r="E24" s="49" t="str">
        <f aca="false">IF(TIPOORCAMENTO&lt;&gt;"Licitado","","OF. DE SOLICITAÇÃO DE DESBLOQUEIO")</f>
        <v/>
      </c>
      <c r="F24" s="31"/>
      <c r="G24" s="31"/>
      <c r="H24" s="21"/>
      <c r="I24" s="21"/>
    </row>
    <row r="25" customFormat="false" ht="12.75" hidden="false" customHeight="false" outlineLevel="0" collapsed="false">
      <c r="A25" s="21"/>
      <c r="B25" s="21"/>
      <c r="C25" s="21"/>
      <c r="D25" s="21"/>
      <c r="E25" s="21"/>
      <c r="F25" s="21"/>
      <c r="G25" s="21"/>
      <c r="H25" s="21"/>
      <c r="I25" s="21"/>
    </row>
  </sheetData>
  <sheetProtection algorithmName="SHA-512" hashValue="yg9Q7sMxiPsSEY1oXh4FBRtc2siSz/DaZj+UCwX4Oo2He1me6WBgXbMf9Bx08Gm6E4+Nn0ny7elqvLLPmzGDSQ==" saltValue="IHm5OLGYl8FawR6dY3PZxA==" spinCount="100000" sheet="true" objects="true" scenarios="true" autoFilter="false"/>
  <mergeCells count="4">
    <mergeCell ref="E2:G3"/>
    <mergeCell ref="B8:H8"/>
    <mergeCell ref="B16:H16"/>
    <mergeCell ref="B20:H20"/>
  </mergeCells>
  <conditionalFormatting sqref="C10:G14">
    <cfRule type="expression" priority="2" aboveAverage="0" equalAverage="0" bottom="0" percent="0" rank="0" text="" dxfId="0">
      <formula>TIPOORCAMENTO="Licitado"</formula>
    </cfRule>
  </conditionalFormatting>
  <conditionalFormatting sqref="C18:G18 E22:E24">
    <cfRule type="expression" priority="3" aboveAverage="0" equalAverage="0" bottom="0" percent="0" rank="0" text="" dxfId="1">
      <formula>TIPOORCAMENTO&lt;&gt;"Licitado"</formula>
    </cfRule>
  </conditionalFormatting>
  <conditionalFormatting sqref="C22">
    <cfRule type="expression" priority="4" aboveAverage="0" equalAverage="0" bottom="0" percent="0" rank="0" text="" dxfId="2">
      <formula>OR(TIPOORCAMENTO&lt;&gt;"Licitado",ACOMPANHAMENTO&lt;&gt;"PLE")</formula>
    </cfRule>
  </conditionalFormatting>
  <conditionalFormatting sqref="G22">
    <cfRule type="expression" priority="5" aboveAverage="0" equalAverage="0" bottom="0" percent="0" rank="0" text="" dxfId="3">
      <formula>OR(TIPOORCAMENTO&lt;&gt;"Licitado",ACOMPANHAMENTO&lt;&gt;"BM")</formula>
    </cfRule>
  </conditionalFormatting>
  <conditionalFormatting sqref="B16:H16 B20:H20">
    <cfRule type="expression" priority="6" aboveAverage="0" equalAverage="0" bottom="0" percent="0" rank="0" text="" dxfId="4">
      <formula>$O$3&lt;&gt;2</formula>
    </cfRule>
  </conditionalFormatting>
  <conditionalFormatting sqref="B8:H8">
    <cfRule type="expression" priority="7" aboveAverage="0" equalAverage="0" bottom="0" percent="0" rank="0" text="" dxfId="5">
      <formula>$O$3&lt;&gt;1</formula>
    </cfRule>
  </conditionalFormatting>
  <hyperlinks>
    <hyperlink ref="E6" location="DADOS!E3" display="DADOS DO CONTRATO"/>
    <hyperlink ref="G6" location="'NOVO'!A1" display="NOVIDADES DA VERSÃO"/>
    <hyperlink ref="C10" location="BDI!Q11" display="#BDI.Q11"/>
    <hyperlink ref="E10" location="ORÇAMENTO!M13" display="#ORÇAMENTO.M13"/>
    <hyperlink ref="G10" location="CÁLCULO!D13" display="#CÁLCULO.D13"/>
    <hyperlink ref="C12" location="QCI!D13" display="#QCI.D13"/>
    <hyperlink ref="E12" location="CRONO!G12" display="#CRONO.G12"/>
    <hyperlink ref="C18" location="ORÇAMENTO!AM15" display="#ORÇAMENTO.AM15"/>
    <hyperlink ref="E18" location="QCI!D13" display="#QCI.D13"/>
    <hyperlink ref="G18" location="CRONO!G12" display="#CRONO.G12"/>
    <hyperlink ref="C22" location="PLE!J8" display="#PLE.J8"/>
    <hyperlink ref="E22" location="RRE!E13" display="#RRE.E13"/>
    <hyperlink ref="G22" location="BM!D13" display="#BM.D13"/>
    <hyperlink ref="E24" location="Ofício!C6" display="#Ofício!C6"/>
  </hyperlink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58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  <colBreaks count="1" manualBreakCount="1">
    <brk id="9" man="true" max="65535" min="0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3" name="Importar Fórmulas para o Custo Unitário (aba ORÇAMENTO)">
              <controlPr defaultSize="0" locked="1" autoFill="0" autoLine="0" autoPict="0" print="true" altText="Check Box 95">
                <anchor moveWithCells="true" sizeWithCells="false">
                  <from>
                    <xdr:col>5</xdr:col>
                    <xdr:colOff>442440</xdr:colOff>
                    <xdr:row>0</xdr:row>
                    <xdr:rowOff>47520</xdr:rowOff>
                  </from>
                  <to>
                    <xdr:col>11</xdr:col>
                    <xdr:colOff>40320</xdr:colOff>
                    <xdr:row>1</xdr:row>
                    <xdr:rowOff>56880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" r:id="rId4" name="Importar Fórmulas para as Quantidades da PLQ (aba CÁLCULO)">
              <controlPr defaultSize="0" locked="1" autoFill="0" autoLine="0" autoPict="0" print="true" altText="Check Box 96">
                <anchor moveWithCells="true" sizeWithCells="false">
                  <from>
                    <xdr:col>10</xdr:col>
                    <xdr:colOff>38160</xdr:colOff>
                    <xdr:row>1</xdr:row>
                    <xdr:rowOff>66600</xdr:rowOff>
                  </from>
                  <to>
                    <xdr:col>13</xdr:col>
                    <xdr:colOff>2390400</xdr:colOff>
                    <xdr:row>2</xdr:row>
                    <xdr:rowOff>-57240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AR2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1" width="10.57"/>
    <col collapsed="false" customWidth="true" hidden="false" outlineLevel="0" max="2" min="2" style="8" width="42.57"/>
    <col collapsed="false" customWidth="true" hidden="false" outlineLevel="0" max="3" min="3" style="8" width="53.42"/>
    <col collapsed="false" customWidth="true" hidden="false" outlineLevel="0" max="4" min="4" style="1" width="80.57"/>
    <col collapsed="false" customWidth="true" hidden="false" outlineLevel="0" max="6" min="5" style="1" width="9.14"/>
    <col collapsed="false" customWidth="true" hidden="true" outlineLevel="0" max="7" min="7" style="1" width="14.42"/>
    <col collapsed="false" customWidth="true" hidden="true" outlineLevel="0" max="10" min="8" style="1" width="9.14"/>
    <col collapsed="false" customWidth="true" hidden="true" outlineLevel="0" max="11" min="11" style="50" width="9.14"/>
    <col collapsed="false" customWidth="true" hidden="true" outlineLevel="0" max="43" min="12" style="1" width="9.14"/>
    <col collapsed="false" customWidth="true" hidden="true" outlineLevel="0" max="44" min="44" style="1" width="15.57"/>
    <col collapsed="false" customWidth="true" hidden="false" outlineLevel="0" max="45" min="45" style="1" width="9.14"/>
  </cols>
  <sheetData>
    <row r="1" customFormat="false" ht="15.75" hidden="false" customHeight="true" outlineLevel="0" collapsed="false">
      <c r="B1" s="51" t="s">
        <v>110</v>
      </c>
      <c r="C1" s="52"/>
      <c r="D1" s="53" t="str">
        <f aca="false">IF(D3&lt;&gt;"","Falta preencher os Dados do Contrato",IF(D15&lt;&gt;"","Falta preencher os Dados do Empreendimento",IF(D21&lt;&gt;"","Falta preencher os Dados do Responsável pelo Orçamento",IF(D27&lt;&gt;"","Falta preencher os Dados do Responsável pelo Tomador",IF(D31&lt;&gt;"","Falta definir o método de arredondamento das frentes de obra",IF(D35&lt;&gt;"","Falta preencher os Dados da Licitação",IF(D46&lt;&gt;"","Falta preencher os Dados da Obra",IF(D50&lt;&gt;"","Falta preencher os Dados do Responsável pela Fiscalização",""))))))))</f>
        <v/>
      </c>
      <c r="H1" s="54"/>
      <c r="I1" s="55" t="s">
        <v>111</v>
      </c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Q1" s="56" t="s">
        <v>112</v>
      </c>
      <c r="AR1" s="57"/>
    </row>
    <row r="2" customFormat="false" ht="12.75" hidden="false" customHeight="true" outlineLevel="0" collapsed="false">
      <c r="B2" s="51"/>
      <c r="G2" s="58" t="s">
        <v>113</v>
      </c>
      <c r="H2" s="59" t="s">
        <v>114</v>
      </c>
      <c r="I2" s="60" t="n">
        <f aca="false">COUNTA(H:H)-1</f>
        <v>3</v>
      </c>
      <c r="J2" s="59" t="s">
        <v>115</v>
      </c>
      <c r="K2" s="60" t="n">
        <f aca="false">COUNTA(J:J)-1</f>
        <v>6</v>
      </c>
      <c r="L2" s="59" t="s">
        <v>116</v>
      </c>
      <c r="M2" s="60" t="n">
        <f aca="false">COUNTA(L:L)-1</f>
        <v>6</v>
      </c>
      <c r="N2" s="59" t="s">
        <v>117</v>
      </c>
      <c r="O2" s="60" t="n">
        <f aca="false">COUNTA(N:N)-1</f>
        <v>6</v>
      </c>
      <c r="P2" s="59" t="s">
        <v>118</v>
      </c>
      <c r="Q2" s="60" t="n">
        <f aca="false">COUNTA(P:P)-1</f>
        <v>11</v>
      </c>
      <c r="R2" s="59" t="s">
        <v>119</v>
      </c>
      <c r="S2" s="60" t="n">
        <f aca="false">COUNTA(R:R)-1</f>
        <v>8</v>
      </c>
      <c r="T2" s="59" t="s">
        <v>120</v>
      </c>
      <c r="U2" s="60" t="n">
        <f aca="false">COUNTA(T:T)-1</f>
        <v>4</v>
      </c>
      <c r="V2" s="59" t="s">
        <v>121</v>
      </c>
      <c r="W2" s="60" t="n">
        <f aca="false">COUNTA(V:V)-1</f>
        <v>6</v>
      </c>
      <c r="X2" s="59" t="s">
        <v>122</v>
      </c>
      <c r="Y2" s="60" t="n">
        <f aca="false">COUNTA(X:X)-1</f>
        <v>2</v>
      </c>
      <c r="Z2" s="59" t="s">
        <v>123</v>
      </c>
      <c r="AA2" s="60" t="n">
        <f aca="false">COUNTA(Z:Z)-1</f>
        <v>2</v>
      </c>
      <c r="AB2" s="59" t="s">
        <v>124</v>
      </c>
      <c r="AC2" s="60" t="n">
        <f aca="false">COUNTA(AB:AB)-1</f>
        <v>2</v>
      </c>
      <c r="AD2" s="59" t="s">
        <v>125</v>
      </c>
      <c r="AE2" s="60" t="n">
        <f aca="false">COUNTA(AD:AD)-1</f>
        <v>1</v>
      </c>
      <c r="AF2" s="59" t="s">
        <v>126</v>
      </c>
      <c r="AG2" s="60" t="n">
        <f aca="false">COUNTA(AF:AF)-1</f>
        <v>1</v>
      </c>
      <c r="AH2" s="59" t="s">
        <v>127</v>
      </c>
      <c r="AI2" s="60" t="n">
        <f aca="false">COUNTA(AH:AH)-1</f>
        <v>1</v>
      </c>
      <c r="AJ2" s="59" t="s">
        <v>128</v>
      </c>
      <c r="AK2" s="60" t="n">
        <f aca="false">COUNTA(AJ:AJ)-1</f>
        <v>3</v>
      </c>
      <c r="AL2" s="59" t="s">
        <v>129</v>
      </c>
      <c r="AM2" s="60" t="n">
        <f aca="false">COUNTA(AL:AL)-1</f>
        <v>1</v>
      </c>
      <c r="AN2" s="59" t="s">
        <v>130</v>
      </c>
      <c r="AO2" s="60" t="n">
        <f aca="false">COUNTA(AN:AN)-1</f>
        <v>4</v>
      </c>
      <c r="AQ2" s="61" t="s">
        <v>131</v>
      </c>
      <c r="AR2" s="62" t="s">
        <v>132</v>
      </c>
    </row>
    <row r="3" customFormat="false" ht="13.8" hidden="false" customHeight="false" outlineLevel="0" collapsed="false">
      <c r="B3" s="63" t="s">
        <v>133</v>
      </c>
      <c r="C3" s="63"/>
      <c r="D3" s="64" t="str">
        <f aca="false">IF(COUNTIF(D4:D13,"◄")=0,"","Falta preencher a linha "&amp;MATCH("◄",D4:D13,0)+ROW(D3))</f>
        <v/>
      </c>
      <c r="G3" s="65" t="s">
        <v>114</v>
      </c>
      <c r="H3" s="38" t="s">
        <v>134</v>
      </c>
      <c r="I3" s="50" t="s">
        <v>135</v>
      </c>
      <c r="J3" s="65" t="s">
        <v>136</v>
      </c>
      <c r="K3" s="50" t="s">
        <v>137</v>
      </c>
      <c r="L3" s="38" t="s">
        <v>138</v>
      </c>
      <c r="M3" s="50" t="s">
        <v>137</v>
      </c>
      <c r="N3" s="38" t="s">
        <v>139</v>
      </c>
      <c r="O3" s="50" t="s">
        <v>140</v>
      </c>
      <c r="P3" s="38" t="s">
        <v>141</v>
      </c>
      <c r="Q3" s="50" t="s">
        <v>142</v>
      </c>
      <c r="R3" s="38" t="s">
        <v>143</v>
      </c>
      <c r="S3" s="50" t="s">
        <v>135</v>
      </c>
      <c r="T3" s="38" t="s">
        <v>144</v>
      </c>
      <c r="U3" s="50" t="s">
        <v>135</v>
      </c>
      <c r="V3" s="38" t="s">
        <v>145</v>
      </c>
      <c r="W3" s="50" t="s">
        <v>135</v>
      </c>
      <c r="X3" s="38" t="s">
        <v>146</v>
      </c>
      <c r="Y3" s="50" t="s">
        <v>137</v>
      </c>
      <c r="Z3" s="38" t="s">
        <v>147</v>
      </c>
      <c r="AA3" s="50" t="s">
        <v>137</v>
      </c>
      <c r="AB3" s="38" t="s">
        <v>124</v>
      </c>
      <c r="AC3" s="50" t="s">
        <v>137</v>
      </c>
      <c r="AD3" s="38" t="s">
        <v>125</v>
      </c>
      <c r="AE3" s="50" t="s">
        <v>135</v>
      </c>
      <c r="AF3" s="38" t="s">
        <v>126</v>
      </c>
      <c r="AG3" s="50" t="s">
        <v>135</v>
      </c>
      <c r="AH3" s="38" t="s">
        <v>127</v>
      </c>
      <c r="AI3" s="50" t="s">
        <v>135</v>
      </c>
      <c r="AJ3" s="38" t="s">
        <v>148</v>
      </c>
      <c r="AK3" s="50" t="s">
        <v>135</v>
      </c>
      <c r="AL3" s="38" t="s">
        <v>129</v>
      </c>
      <c r="AM3" s="50" t="s">
        <v>149</v>
      </c>
      <c r="AN3" s="38" t="s">
        <v>150</v>
      </c>
      <c r="AO3" s="50" t="s">
        <v>151</v>
      </c>
      <c r="AQ3" s="38" t="s">
        <v>149</v>
      </c>
      <c r="AR3" s="38" t="s">
        <v>149</v>
      </c>
    </row>
    <row r="4" customFormat="false" ht="12.75" hidden="false" customHeight="false" outlineLevel="0" collapsed="false">
      <c r="B4" s="66" t="s">
        <v>152</v>
      </c>
      <c r="C4" s="67" t="s">
        <v>153</v>
      </c>
      <c r="D4" s="68" t="str">
        <f aca="true">IF(OR(OFFSET(D4,0,-1)="",OFFSET(D4,0,-1)="(SELECIONAR)"),"◄","")</f>
        <v/>
      </c>
      <c r="G4" s="65" t="s">
        <v>115</v>
      </c>
      <c r="H4" s="38" t="s">
        <v>154</v>
      </c>
      <c r="I4" s="50" t="s">
        <v>135</v>
      </c>
      <c r="J4" s="38" t="s">
        <v>155</v>
      </c>
      <c r="K4" s="50" t="s">
        <v>137</v>
      </c>
      <c r="L4" s="38" t="s">
        <v>156</v>
      </c>
      <c r="M4" s="50" t="s">
        <v>137</v>
      </c>
      <c r="N4" s="38" t="s">
        <v>157</v>
      </c>
      <c r="O4" s="50" t="s">
        <v>140</v>
      </c>
      <c r="P4" s="38" t="s">
        <v>158</v>
      </c>
      <c r="Q4" s="50" t="s">
        <v>142</v>
      </c>
      <c r="R4" s="38" t="s">
        <v>159</v>
      </c>
      <c r="S4" s="50" t="s">
        <v>140</v>
      </c>
      <c r="T4" s="38" t="s">
        <v>160</v>
      </c>
      <c r="U4" s="50" t="s">
        <v>135</v>
      </c>
      <c r="V4" s="38" t="s">
        <v>161</v>
      </c>
      <c r="W4" s="50" t="s">
        <v>162</v>
      </c>
      <c r="X4" s="38" t="s">
        <v>163</v>
      </c>
      <c r="Y4" s="50" t="s">
        <v>137</v>
      </c>
      <c r="Z4" s="38" t="s">
        <v>164</v>
      </c>
      <c r="AA4" s="50" t="s">
        <v>137</v>
      </c>
      <c r="AB4" s="38" t="s">
        <v>165</v>
      </c>
      <c r="AC4" s="50" t="s">
        <v>137</v>
      </c>
      <c r="AE4" s="50"/>
      <c r="AG4" s="50"/>
      <c r="AI4" s="50"/>
      <c r="AJ4" s="38" t="s">
        <v>166</v>
      </c>
      <c r="AK4" s="50" t="s">
        <v>135</v>
      </c>
      <c r="AN4" s="38" t="s">
        <v>167</v>
      </c>
      <c r="AO4" s="50" t="s">
        <v>151</v>
      </c>
      <c r="AQ4" s="38" t="s">
        <v>168</v>
      </c>
      <c r="AR4" s="38" t="s">
        <v>169</v>
      </c>
    </row>
    <row r="5" customFormat="false" ht="12.75" hidden="false" customHeight="false" outlineLevel="0" collapsed="false">
      <c r="B5" s="69" t="s">
        <v>170</v>
      </c>
      <c r="C5" s="70" t="s">
        <v>171</v>
      </c>
      <c r="D5" s="68" t="str">
        <f aca="true">IF(OFFSET(D5,0,-1)="","◄","")</f>
        <v/>
      </c>
      <c r="G5" s="65" t="s">
        <v>116</v>
      </c>
      <c r="H5" s="38" t="s">
        <v>172</v>
      </c>
      <c r="I5" s="50" t="s">
        <v>135</v>
      </c>
      <c r="J5" s="38" t="s">
        <v>173</v>
      </c>
      <c r="K5" s="50" t="s">
        <v>137</v>
      </c>
      <c r="L5" s="38" t="s">
        <v>174</v>
      </c>
      <c r="M5" s="50" t="s">
        <v>140</v>
      </c>
      <c r="N5" s="38" t="s">
        <v>175</v>
      </c>
      <c r="O5" s="50" t="s">
        <v>140</v>
      </c>
      <c r="P5" s="38" t="s">
        <v>176</v>
      </c>
      <c r="Q5" s="50" t="s">
        <v>142</v>
      </c>
      <c r="R5" s="38" t="s">
        <v>177</v>
      </c>
      <c r="S5" s="50" t="s">
        <v>140</v>
      </c>
      <c r="T5" s="38" t="s">
        <v>178</v>
      </c>
      <c r="U5" s="50" t="s">
        <v>140</v>
      </c>
      <c r="V5" s="38" t="s">
        <v>179</v>
      </c>
      <c r="W5" s="50" t="s">
        <v>162</v>
      </c>
      <c r="Y5" s="50"/>
      <c r="AA5" s="50"/>
      <c r="AC5" s="50"/>
      <c r="AE5" s="50"/>
      <c r="AG5" s="50"/>
      <c r="AI5" s="50"/>
      <c r="AJ5" s="38" t="s">
        <v>180</v>
      </c>
      <c r="AK5" s="50" t="s">
        <v>135</v>
      </c>
      <c r="AN5" s="38" t="s">
        <v>181</v>
      </c>
      <c r="AO5" s="50" t="s">
        <v>151</v>
      </c>
      <c r="AQ5" s="38" t="s">
        <v>182</v>
      </c>
      <c r="AR5" s="38" t="s">
        <v>183</v>
      </c>
    </row>
    <row r="6" customFormat="false" ht="12.75" hidden="false" customHeight="false" outlineLevel="0" collapsed="false">
      <c r="B6" s="69" t="s">
        <v>184</v>
      </c>
      <c r="C6" s="70" t="s">
        <v>185</v>
      </c>
      <c r="D6" s="68" t="str">
        <f aca="true">IF(OFFSET(D6,0,-1)="","◄","")</f>
        <v/>
      </c>
      <c r="G6" s="65" t="s">
        <v>117</v>
      </c>
      <c r="J6" s="38" t="s">
        <v>186</v>
      </c>
      <c r="K6" s="50" t="s">
        <v>137</v>
      </c>
      <c r="L6" s="38" t="s">
        <v>187</v>
      </c>
      <c r="M6" s="50" t="s">
        <v>137</v>
      </c>
      <c r="N6" s="38" t="s">
        <v>188</v>
      </c>
      <c r="O6" s="50" t="s">
        <v>137</v>
      </c>
      <c r="P6" s="38" t="s">
        <v>189</v>
      </c>
      <c r="Q6" s="50" t="s">
        <v>140</v>
      </c>
      <c r="R6" s="38" t="s">
        <v>190</v>
      </c>
      <c r="S6" s="50" t="s">
        <v>140</v>
      </c>
      <c r="T6" s="38" t="s">
        <v>191</v>
      </c>
      <c r="U6" s="50" t="s">
        <v>140</v>
      </c>
      <c r="V6" s="38" t="s">
        <v>192</v>
      </c>
      <c r="W6" s="50" t="s">
        <v>135</v>
      </c>
      <c r="AN6" s="38" t="s">
        <v>193</v>
      </c>
      <c r="AO6" s="50" t="s">
        <v>151</v>
      </c>
      <c r="AQ6" s="38" t="s">
        <v>194</v>
      </c>
      <c r="AR6" s="38" t="s">
        <v>195</v>
      </c>
    </row>
    <row r="7" customFormat="false" ht="12.75" hidden="false" customHeight="false" outlineLevel="0" collapsed="false">
      <c r="B7" s="71" t="s">
        <v>196</v>
      </c>
      <c r="C7" s="72" t="s">
        <v>197</v>
      </c>
      <c r="D7" s="68" t="str">
        <f aca="true">IF(OFFSET(D7,0,-1)="","◄","")</f>
        <v/>
      </c>
      <c r="G7" s="65" t="s">
        <v>118</v>
      </c>
      <c r="J7" s="38" t="s">
        <v>198</v>
      </c>
      <c r="K7" s="50" t="s">
        <v>137</v>
      </c>
      <c r="L7" s="38" t="s">
        <v>199</v>
      </c>
      <c r="M7" s="50" t="s">
        <v>137</v>
      </c>
      <c r="N7" s="38" t="s">
        <v>200</v>
      </c>
      <c r="O7" s="50" t="s">
        <v>162</v>
      </c>
      <c r="P7" s="38" t="s">
        <v>201</v>
      </c>
      <c r="Q7" s="50" t="s">
        <v>142</v>
      </c>
      <c r="R7" s="38" t="s">
        <v>202</v>
      </c>
      <c r="S7" s="50" t="s">
        <v>142</v>
      </c>
      <c r="V7" s="38" t="s">
        <v>203</v>
      </c>
      <c r="W7" s="50" t="s">
        <v>135</v>
      </c>
      <c r="AQ7" s="38" t="s">
        <v>204</v>
      </c>
      <c r="AR7" s="38" t="s">
        <v>205</v>
      </c>
    </row>
    <row r="8" customFormat="false" ht="12.75" hidden="false" customHeight="false" outlineLevel="0" collapsed="false">
      <c r="B8" s="71" t="s">
        <v>206</v>
      </c>
      <c r="C8" s="72" t="s">
        <v>207</v>
      </c>
      <c r="D8" s="68" t="str">
        <f aca="true">IF(AND(Import.TipoArredondamento="TransfereGOV",OFFSET(D8,0,-1)=""),"◄","")</f>
        <v/>
      </c>
      <c r="G8" s="65" t="s">
        <v>119</v>
      </c>
      <c r="J8" s="38" t="s">
        <v>208</v>
      </c>
      <c r="K8" s="50" t="s">
        <v>137</v>
      </c>
      <c r="L8" s="38" t="s">
        <v>209</v>
      </c>
      <c r="M8" s="50" t="s">
        <v>137</v>
      </c>
      <c r="N8" s="38" t="s">
        <v>210</v>
      </c>
      <c r="O8" s="50" t="s">
        <v>142</v>
      </c>
      <c r="P8" s="38" t="s">
        <v>211</v>
      </c>
      <c r="Q8" s="50" t="s">
        <v>142</v>
      </c>
      <c r="R8" s="38" t="s">
        <v>212</v>
      </c>
      <c r="S8" s="50" t="s">
        <v>142</v>
      </c>
      <c r="V8" s="38" t="s">
        <v>213</v>
      </c>
      <c r="W8" s="50" t="s">
        <v>137</v>
      </c>
      <c r="AQ8" s="38" t="s">
        <v>214</v>
      </c>
      <c r="AR8" s="38" t="s">
        <v>215</v>
      </c>
    </row>
    <row r="9" customFormat="false" ht="12.75" hidden="false" customHeight="false" outlineLevel="0" collapsed="false">
      <c r="B9" s="71" t="str">
        <f aca="false">IF(C4="FGTS","Valor de Financiamento Contratado (R$):","Valor do Repasse Contratado (R$):")</f>
        <v>Valor do Repasse Contratado (R$):</v>
      </c>
      <c r="C9" s="73" t="n">
        <v>3250000</v>
      </c>
      <c r="D9" s="68" t="str">
        <f aca="true">IF(OFFSET(D9,0,-1)="","◄","")</f>
        <v/>
      </c>
      <c r="G9" s="65" t="s">
        <v>120</v>
      </c>
      <c r="P9" s="38" t="s">
        <v>216</v>
      </c>
      <c r="Q9" s="50" t="s">
        <v>140</v>
      </c>
      <c r="R9" s="38" t="s">
        <v>217</v>
      </c>
      <c r="S9" s="50" t="s">
        <v>142</v>
      </c>
      <c r="AQ9" s="38" t="s">
        <v>218</v>
      </c>
      <c r="AR9" s="38" t="s">
        <v>219</v>
      </c>
    </row>
    <row r="10" customFormat="false" ht="12.75" hidden="false" customHeight="false" outlineLevel="0" collapsed="false">
      <c r="B10" s="71" t="s">
        <v>220</v>
      </c>
      <c r="C10" s="73" t="n">
        <v>405717.06</v>
      </c>
      <c r="D10" s="68" t="str">
        <f aca="true">IF(OFFSET(D10,0,-1)="","◄","")</f>
        <v/>
      </c>
      <c r="G10" s="65" t="s">
        <v>121</v>
      </c>
      <c r="P10" s="38" t="s">
        <v>221</v>
      </c>
      <c r="Q10" s="50" t="s">
        <v>162</v>
      </c>
      <c r="R10" s="38" t="s">
        <v>222</v>
      </c>
      <c r="S10" s="50" t="s">
        <v>135</v>
      </c>
      <c r="AQ10" s="38" t="s">
        <v>223</v>
      </c>
      <c r="AR10" s="38" t="s">
        <v>224</v>
      </c>
    </row>
    <row r="11" customFormat="false" ht="12.75" hidden="false" customHeight="false" outlineLevel="0" collapsed="false">
      <c r="B11" s="71" t="s">
        <v>225</v>
      </c>
      <c r="C11" s="74" t="n">
        <v>0</v>
      </c>
      <c r="D11" s="68" t="str">
        <f aca="true">IF(OFFSET(D11,0,-1)="","◄","")</f>
        <v/>
      </c>
      <c r="G11" s="65" t="s">
        <v>122</v>
      </c>
      <c r="P11" s="38" t="s">
        <v>226</v>
      </c>
      <c r="Q11" s="50" t="s">
        <v>140</v>
      </c>
      <c r="AQ11" s="38" t="s">
        <v>227</v>
      </c>
      <c r="AR11" s="38" t="s">
        <v>228</v>
      </c>
    </row>
    <row r="12" customFormat="false" ht="12.75" hidden="false" customHeight="false" outlineLevel="0" collapsed="false">
      <c r="B12" s="71" t="s">
        <v>229</v>
      </c>
      <c r="C12" s="73"/>
      <c r="G12" s="65" t="s">
        <v>123</v>
      </c>
      <c r="P12" s="38" t="s">
        <v>143</v>
      </c>
      <c r="Q12" s="50" t="s">
        <v>135</v>
      </c>
      <c r="AQ12" s="38" t="s">
        <v>230</v>
      </c>
      <c r="AR12" s="38" t="s">
        <v>231</v>
      </c>
    </row>
    <row r="13" customFormat="false" ht="12.75" hidden="false" customHeight="false" outlineLevel="0" collapsed="false">
      <c r="B13" s="75" t="s">
        <v>232</v>
      </c>
      <c r="C13" s="76"/>
      <c r="G13" s="65" t="s">
        <v>124</v>
      </c>
      <c r="P13" s="38" t="s">
        <v>233</v>
      </c>
      <c r="Q13" s="50" t="s">
        <v>140</v>
      </c>
      <c r="AQ13" s="38" t="s">
        <v>234</v>
      </c>
      <c r="AR13" s="38" t="s">
        <v>235</v>
      </c>
    </row>
    <row r="14" customFormat="false" ht="12.75" hidden="false" customHeight="false" outlineLevel="0" collapsed="false">
      <c r="C14" s="77"/>
      <c r="G14" s="65" t="s">
        <v>125</v>
      </c>
      <c r="AQ14" s="38" t="s">
        <v>236</v>
      </c>
      <c r="AR14" s="38" t="s">
        <v>237</v>
      </c>
    </row>
    <row r="15" customFormat="false" ht="13.8" hidden="false" customHeight="false" outlineLevel="0" collapsed="false">
      <c r="B15" s="63" t="s">
        <v>238</v>
      </c>
      <c r="C15" s="63"/>
      <c r="D15" s="64" t="str">
        <f aca="false">IF(COUNTIF(D16:D19,"◄")=0,"","Falta preencher a linha "&amp;MATCH("◄",D16:D19,0)+ROW(D15))</f>
        <v/>
      </c>
      <c r="G15" s="65" t="s">
        <v>126</v>
      </c>
      <c r="AQ15" s="38" t="s">
        <v>239</v>
      </c>
      <c r="AR15" s="38" t="s">
        <v>240</v>
      </c>
    </row>
    <row r="16" customFormat="false" ht="23.85" hidden="false" customHeight="false" outlineLevel="0" collapsed="false">
      <c r="B16" s="78" t="s">
        <v>241</v>
      </c>
      <c r="C16" s="79" t="s">
        <v>242</v>
      </c>
      <c r="D16" s="68" t="str">
        <f aca="true">IF(OFFSET(D16,0,-1)="","◄","")</f>
        <v/>
      </c>
      <c r="G16" s="65" t="s">
        <v>127</v>
      </c>
      <c r="AQ16" s="38" t="s">
        <v>243</v>
      </c>
      <c r="AR16" s="38" t="s">
        <v>244</v>
      </c>
    </row>
    <row r="17" customFormat="false" ht="46.25" hidden="false" customHeight="false" outlineLevel="0" collapsed="false">
      <c r="B17" s="71" t="s">
        <v>245</v>
      </c>
      <c r="C17" s="80" t="s">
        <v>246</v>
      </c>
      <c r="D17" s="68" t="str">
        <f aca="true">IF(OFFSET(D17,0,-1)="","◄","")</f>
        <v/>
      </c>
      <c r="G17" s="65" t="s">
        <v>128</v>
      </c>
      <c r="AQ17" s="38" t="s">
        <v>247</v>
      </c>
      <c r="AR17" s="38" t="s">
        <v>248</v>
      </c>
    </row>
    <row r="18" customFormat="false" ht="12.75" hidden="false" customHeight="false" outlineLevel="0" collapsed="false">
      <c r="B18" s="71" t="s">
        <v>249</v>
      </c>
      <c r="C18" s="81" t="s">
        <v>250</v>
      </c>
      <c r="D18" s="68" t="str">
        <f aca="true">IF(OR(OFFSET(D18,0,-1)="",OFFSET(D18,0,-1)="(SELECIONAR)"),"◄","")</f>
        <v/>
      </c>
      <c r="G18" s="65" t="s">
        <v>129</v>
      </c>
      <c r="AQ18" s="38" t="s">
        <v>251</v>
      </c>
      <c r="AR18" s="38" t="s">
        <v>252</v>
      </c>
    </row>
    <row r="19" customFormat="false" ht="12.75" hidden="false" customHeight="false" outlineLevel="0" collapsed="false">
      <c r="B19" s="82" t="s">
        <v>253</v>
      </c>
      <c r="C19" s="83" t="n">
        <v>45845</v>
      </c>
      <c r="D19" s="68" t="str">
        <f aca="true">IF(OFFSET(D19,0,-1)="","◄","")</f>
        <v/>
      </c>
      <c r="G19" s="65" t="s">
        <v>130</v>
      </c>
      <c r="AQ19" s="38" t="s">
        <v>254</v>
      </c>
      <c r="AR19" s="38" t="s">
        <v>255</v>
      </c>
    </row>
    <row r="20" customFormat="false" ht="12.75" hidden="false" customHeight="false" outlineLevel="0" collapsed="false">
      <c r="C20" s="84"/>
      <c r="G20" s="65"/>
      <c r="AQ20" s="38" t="s">
        <v>256</v>
      </c>
      <c r="AR20" s="38" t="s">
        <v>257</v>
      </c>
    </row>
    <row r="21" customFormat="false" ht="13.8" hidden="false" customHeight="false" outlineLevel="0" collapsed="false">
      <c r="B21" s="63" t="s">
        <v>258</v>
      </c>
      <c r="C21" s="63"/>
      <c r="D21" s="64" t="str">
        <f aca="false">IF(COUNTIF(D22:D25,"◄")=0,"","Falta preencher a linha "&amp;MATCH("◄",D22:D25,0)+ROW(D21))</f>
        <v/>
      </c>
      <c r="G21" s="65"/>
      <c r="AQ21" s="38" t="s">
        <v>259</v>
      </c>
      <c r="AR21" s="38" t="s">
        <v>260</v>
      </c>
    </row>
    <row r="22" customFormat="false" ht="12.75" hidden="false" customHeight="false" outlineLevel="0" collapsed="false">
      <c r="B22" s="69" t="s">
        <v>261</v>
      </c>
      <c r="C22" s="85" t="s">
        <v>262</v>
      </c>
      <c r="D22" s="68" t="str">
        <f aca="true">IF(OFFSET(D22,0,-1)="","◄","")</f>
        <v/>
      </c>
      <c r="AQ22" s="38" t="s">
        <v>263</v>
      </c>
      <c r="AR22" s="38" t="s">
        <v>264</v>
      </c>
    </row>
    <row r="23" customFormat="false" ht="12.75" hidden="false" customHeight="false" outlineLevel="0" collapsed="false">
      <c r="B23" s="71" t="s">
        <v>265</v>
      </c>
      <c r="C23" s="72" t="s">
        <v>266</v>
      </c>
      <c r="D23" s="68" t="str">
        <f aca="true">IF(OFFSET(D23,0,-1)="","◄","")</f>
        <v/>
      </c>
      <c r="AQ23" s="38" t="s">
        <v>267</v>
      </c>
      <c r="AR23" s="38" t="s">
        <v>268</v>
      </c>
    </row>
    <row r="24" customFormat="false" ht="12.75" hidden="false" customHeight="false" outlineLevel="0" collapsed="false">
      <c r="B24" s="71" t="s">
        <v>269</v>
      </c>
      <c r="C24" s="72" t="s">
        <v>270</v>
      </c>
      <c r="D24" s="68" t="str">
        <f aca="true">IF(OFFSET(D24,0,-1)="","◄","")</f>
        <v/>
      </c>
      <c r="AQ24" s="38" t="s">
        <v>271</v>
      </c>
      <c r="AR24" s="38" t="s">
        <v>272</v>
      </c>
    </row>
    <row r="25" customFormat="false" ht="12.75" hidden="false" customHeight="false" outlineLevel="0" collapsed="false">
      <c r="B25" s="75" t="s">
        <v>273</v>
      </c>
      <c r="C25" s="86" t="n">
        <v>45845</v>
      </c>
      <c r="D25" s="68"/>
      <c r="AQ25" s="38" t="s">
        <v>274</v>
      </c>
      <c r="AR25" s="38" t="s">
        <v>275</v>
      </c>
    </row>
    <row r="26" customFormat="false" ht="12.75" hidden="false" customHeight="false" outlineLevel="0" collapsed="false">
      <c r="AQ26" s="38" t="s">
        <v>276</v>
      </c>
      <c r="AR26" s="38" t="s">
        <v>277</v>
      </c>
    </row>
    <row r="27" customFormat="false" ht="13.8" hidden="false" customHeight="false" outlineLevel="0" collapsed="false">
      <c r="B27" s="63" t="s">
        <v>278</v>
      </c>
      <c r="C27" s="63"/>
      <c r="D27" s="64" t="str">
        <f aca="false">IF(COUNTIF(D28:D29,"◄")=0,"","Falta preencher a linha "&amp;MATCH("◄",D28:D29,0)+ROW(D27))</f>
        <v/>
      </c>
      <c r="AQ27" s="38" t="s">
        <v>279</v>
      </c>
      <c r="AR27" s="38" t="s">
        <v>280</v>
      </c>
    </row>
    <row r="28" customFormat="false" ht="12.75" hidden="false" customHeight="false" outlineLevel="0" collapsed="false">
      <c r="B28" s="66" t="s">
        <v>261</v>
      </c>
      <c r="C28" s="87" t="s">
        <v>281</v>
      </c>
      <c r="D28" s="68" t="str">
        <f aca="true">IF(OFFSET(D28,0,-1)="","◄","")</f>
        <v/>
      </c>
      <c r="AQ28" s="38" t="s">
        <v>282</v>
      </c>
      <c r="AR28" s="38" t="s">
        <v>283</v>
      </c>
    </row>
    <row r="29" customFormat="false" ht="12.75" hidden="false" customHeight="false" outlineLevel="0" collapsed="false">
      <c r="B29" s="75" t="s">
        <v>284</v>
      </c>
      <c r="C29" s="88" t="s">
        <v>285</v>
      </c>
      <c r="D29" s="68" t="str">
        <f aca="true">IF(OFFSET(D29,0,-1)="","◄","")</f>
        <v/>
      </c>
      <c r="AQ29" s="38" t="s">
        <v>286</v>
      </c>
      <c r="AR29" s="38" t="s">
        <v>287</v>
      </c>
    </row>
    <row r="30" customFormat="false" ht="15" hidden="false" customHeight="false" outlineLevel="0" collapsed="false">
      <c r="B30" s="51"/>
      <c r="AQ30" s="38" t="s">
        <v>288</v>
      </c>
      <c r="AR30" s="38" t="s">
        <v>287</v>
      </c>
    </row>
    <row r="31" customFormat="false" ht="12.75" hidden="false" customHeight="false" outlineLevel="0" collapsed="false">
      <c r="B31" s="89" t="s">
        <v>289</v>
      </c>
      <c r="C31" s="90" t="s">
        <v>290</v>
      </c>
      <c r="D31" s="68" t="str">
        <f aca="true">IF(OFFSET(D31,0,-1)="","◄ Falta definir o método de arredondamento.","")</f>
        <v/>
      </c>
      <c r="AQ31" s="38" t="s">
        <v>291</v>
      </c>
      <c r="AR31" s="38" t="s">
        <v>292</v>
      </c>
    </row>
    <row r="32" customFormat="false" ht="12.75" hidden="false" customHeight="true" outlineLevel="0" collapsed="false">
      <c r="B32" s="51"/>
      <c r="AQ32" s="38" t="s">
        <v>293</v>
      </c>
      <c r="AR32" s="38" t="s">
        <v>294</v>
      </c>
    </row>
    <row r="33" customFormat="false" ht="12.75" hidden="false" customHeight="true" outlineLevel="0" collapsed="false">
      <c r="B33" s="51" t="s">
        <v>295</v>
      </c>
      <c r="AQ33" s="38" t="s">
        <v>296</v>
      </c>
      <c r="AR33" s="38" t="s">
        <v>297</v>
      </c>
    </row>
    <row r="34" customFormat="false" ht="15" hidden="false" customHeight="false" outlineLevel="0" collapsed="false">
      <c r="B34" s="51"/>
      <c r="AQ34" s="38" t="s">
        <v>298</v>
      </c>
      <c r="AR34" s="38" t="s">
        <v>296</v>
      </c>
    </row>
    <row r="35" customFormat="false" ht="12.75" hidden="false" customHeight="true" outlineLevel="0" collapsed="false">
      <c r="B35" s="63" t="s">
        <v>299</v>
      </c>
      <c r="C35" s="63"/>
      <c r="D35" s="64" t="str">
        <f aca="false">IF(COUNTIF(D36:D39,"◄")=0,"","Falta preencher a linha "&amp;MATCH("◄",D36:D39,0)+ROW(D35))</f>
        <v/>
      </c>
      <c r="AQ35" s="38" t="s">
        <v>300</v>
      </c>
      <c r="AR35" s="38" t="s">
        <v>301</v>
      </c>
    </row>
    <row r="36" customFormat="false" ht="12.75" hidden="false" customHeight="false" outlineLevel="0" collapsed="false">
      <c r="B36" s="66" t="s">
        <v>302</v>
      </c>
      <c r="C36" s="91"/>
      <c r="D36" s="68" t="str">
        <f aca="true">IF(AND(TIPOORCAMENTO="Licitado",OFFSET(D36,0,-1)=""),"◄","")</f>
        <v/>
      </c>
      <c r="AQ36" s="38" t="s">
        <v>303</v>
      </c>
      <c r="AR36" s="38" t="s">
        <v>304</v>
      </c>
    </row>
    <row r="37" customFormat="false" ht="12.75" hidden="false" customHeight="false" outlineLevel="0" collapsed="false">
      <c r="B37" s="69" t="s">
        <v>305</v>
      </c>
      <c r="C37" s="70"/>
      <c r="D37" s="68" t="str">
        <f aca="true">IF(AND(TIPOORCAMENTO="Licitado",OFFSET(D37,0,-1)=""),"◄","")</f>
        <v/>
      </c>
      <c r="AQ37" s="38" t="s">
        <v>306</v>
      </c>
      <c r="AR37" s="38" t="s">
        <v>307</v>
      </c>
    </row>
    <row r="38" customFormat="false" ht="12.75" hidden="false" customHeight="false" outlineLevel="0" collapsed="false">
      <c r="B38" s="71" t="s">
        <v>308</v>
      </c>
      <c r="C38" s="72"/>
      <c r="D38" s="68" t="str">
        <f aca="true">IF(AND(TIPOORCAMENTO="Licitado",OFFSET(D38,0,-1)=""),"◄","")</f>
        <v/>
      </c>
      <c r="AQ38" s="38" t="s">
        <v>309</v>
      </c>
      <c r="AR38" s="38" t="s">
        <v>310</v>
      </c>
    </row>
    <row r="39" customFormat="false" ht="12.75" hidden="false" customHeight="false" outlineLevel="0" collapsed="false">
      <c r="B39" s="71" t="s">
        <v>311</v>
      </c>
      <c r="C39" s="72"/>
      <c r="D39" s="68" t="str">
        <f aca="true">IF(AND(TIPOORCAMENTO="Licitado",OFFSET(D39,0,-1)=""),"◄","")</f>
        <v/>
      </c>
      <c r="AQ39" s="38" t="s">
        <v>312</v>
      </c>
      <c r="AR39" s="38" t="s">
        <v>313</v>
      </c>
    </row>
    <row r="40" customFormat="false" ht="12.75" hidden="false" customHeight="false" outlineLevel="0" collapsed="false">
      <c r="B40" s="71" t="s">
        <v>314</v>
      </c>
      <c r="C40" s="81" t="s">
        <v>315</v>
      </c>
      <c r="D40" s="68" t="str">
        <f aca="true">IF(AND(TIPOORCAMENTO="Licitado",OR(OFFSET(D40,0,-1)="",OFFSET(D40,0,-1)="(SELECIONAR)")),"◄","")</f>
        <v/>
      </c>
      <c r="AQ40" s="38" t="s">
        <v>316</v>
      </c>
      <c r="AR40" s="38" t="s">
        <v>317</v>
      </c>
    </row>
    <row r="41" customFormat="false" ht="12.75" hidden="false" customHeight="false" outlineLevel="0" collapsed="false">
      <c r="B41" s="82" t="s">
        <v>318</v>
      </c>
      <c r="C41" s="92" t="n">
        <v>45658</v>
      </c>
      <c r="D41" s="68" t="str">
        <f aca="true">IF(AND(TIPOORCAMENTO="Licitado",OFFSET(D41,0,-1)=""),"◄","")</f>
        <v/>
      </c>
      <c r="AQ41" s="38" t="s">
        <v>319</v>
      </c>
      <c r="AR41" s="38" t="s">
        <v>320</v>
      </c>
    </row>
    <row r="42" customFormat="false" ht="15" hidden="false" customHeight="false" outlineLevel="0" collapsed="false">
      <c r="B42" s="51"/>
      <c r="AQ42" s="38" t="s">
        <v>321</v>
      </c>
      <c r="AR42" s="38" t="s">
        <v>322</v>
      </c>
    </row>
    <row r="43" customFormat="false" ht="12.75" hidden="false" customHeight="true" outlineLevel="0" collapsed="false">
      <c r="B43" s="51"/>
      <c r="AQ43" s="38" t="s">
        <v>323</v>
      </c>
      <c r="AR43" s="38" t="s">
        <v>324</v>
      </c>
    </row>
    <row r="44" customFormat="false" ht="12.75" hidden="false" customHeight="true" outlineLevel="0" collapsed="false">
      <c r="B44" s="51" t="s">
        <v>325</v>
      </c>
      <c r="AQ44" s="38" t="s">
        <v>326</v>
      </c>
      <c r="AR44" s="38" t="s">
        <v>327</v>
      </c>
    </row>
    <row r="45" customFormat="false" ht="15" hidden="false" customHeight="false" outlineLevel="0" collapsed="false">
      <c r="B45" s="51"/>
      <c r="AQ45" s="38" t="s">
        <v>328</v>
      </c>
      <c r="AR45" s="38" t="s">
        <v>329</v>
      </c>
    </row>
    <row r="46" customFormat="false" ht="12.75" hidden="false" customHeight="true" outlineLevel="0" collapsed="false">
      <c r="B46" s="63" t="s">
        <v>330</v>
      </c>
      <c r="C46" s="63"/>
      <c r="D46" s="64" t="str">
        <f aca="false">IF(COUNTIF(D47:D48,"◄")=0,"","Falta preencher a linha "&amp;MATCH("◄",D47:D48,0)+ROW(D46))</f>
        <v/>
      </c>
      <c r="AQ46" s="38" t="s">
        <v>331</v>
      </c>
      <c r="AR46" s="38" t="s">
        <v>332</v>
      </c>
    </row>
    <row r="47" customFormat="false" ht="12.75" hidden="false" customHeight="false" outlineLevel="0" collapsed="false">
      <c r="B47" s="66" t="s">
        <v>333</v>
      </c>
      <c r="C47" s="91"/>
      <c r="D47" s="68" t="str">
        <f aca="true">IF(AND(TIPOORCAMENTO="Licitado",OFFSET(D47,0,-1)="",IFERROR(RRE!$O$19,0)&gt;0),"◄","")</f>
        <v/>
      </c>
      <c r="AQ47" s="38" t="s">
        <v>334</v>
      </c>
      <c r="AR47" s="38" t="s">
        <v>335</v>
      </c>
    </row>
    <row r="48" customFormat="false" ht="12.75" hidden="false" customHeight="false" outlineLevel="0" collapsed="false">
      <c r="B48" s="82" t="s">
        <v>336</v>
      </c>
      <c r="C48" s="93"/>
      <c r="D48" s="68" t="str">
        <f aca="true">IF(AND(TIPOORCAMENTO="Licitado",OFFSET(D48,0,-1)="",IFERROR(RRE!$O$19,0)&gt;0),"◄","")</f>
        <v/>
      </c>
      <c r="AQ48" s="38" t="s">
        <v>337</v>
      </c>
      <c r="AR48" s="38" t="s">
        <v>338</v>
      </c>
    </row>
    <row r="49" customFormat="false" ht="15" hidden="false" customHeight="false" outlineLevel="0" collapsed="false">
      <c r="B49" s="51"/>
      <c r="AQ49" s="38" t="s">
        <v>339</v>
      </c>
      <c r="AR49" s="38" t="s">
        <v>340</v>
      </c>
    </row>
    <row r="50" customFormat="false" ht="12.75" hidden="false" customHeight="true" outlineLevel="0" collapsed="false">
      <c r="B50" s="63" t="s">
        <v>341</v>
      </c>
      <c r="C50" s="63"/>
      <c r="D50" s="64" t="str">
        <f aca="false">IF(COUNTIF(D51:D54,"◄")=0,"","Falta preencher a linha "&amp;MATCH("◄",D51:D54,0)+ROW(D50))</f>
        <v/>
      </c>
      <c r="AQ50" s="38" t="s">
        <v>342</v>
      </c>
      <c r="AR50" s="38" t="s">
        <v>343</v>
      </c>
    </row>
    <row r="51" customFormat="false" ht="12.75" hidden="false" customHeight="false" outlineLevel="0" collapsed="false">
      <c r="B51" s="66" t="s">
        <v>261</v>
      </c>
      <c r="C51" s="94"/>
      <c r="D51" s="68" t="str">
        <f aca="true">IF(AND(TIPOORCAMENTO="Licitado",OFFSET(D51,0,-1)="",IFERROR(RRE!$O$19,0)&gt;0),"◄","")</f>
        <v/>
      </c>
      <c r="AQ51" s="38" t="s">
        <v>344</v>
      </c>
      <c r="AR51" s="38" t="s">
        <v>345</v>
      </c>
    </row>
    <row r="52" customFormat="false" ht="12.75" hidden="false" customHeight="false" outlineLevel="0" collapsed="false">
      <c r="B52" s="71" t="s">
        <v>346</v>
      </c>
      <c r="C52" s="72"/>
      <c r="D52" s="68" t="str">
        <f aca="true">IF(AND(TIPOORCAMENTO="Licitado",OFFSET(D52,0,-1)="",IFERROR(RRE!$O$19,0)&gt;0),"◄","")</f>
        <v/>
      </c>
      <c r="AQ52" s="38" t="s">
        <v>347</v>
      </c>
      <c r="AR52" s="38" t="s">
        <v>348</v>
      </c>
    </row>
    <row r="53" customFormat="false" ht="12.75" hidden="false" customHeight="false" outlineLevel="0" collapsed="false">
      <c r="B53" s="71" t="s">
        <v>349</v>
      </c>
      <c r="C53" s="72"/>
      <c r="D53" s="68" t="str">
        <f aca="true">IF(AND(TIPOORCAMENTO="Licitado",OFFSET(D53,0,-1)="",IFERROR(RRE!$O$19,0)&gt;0),"◄","")</f>
        <v/>
      </c>
      <c r="AQ53" s="38" t="s">
        <v>350</v>
      </c>
      <c r="AR53" s="38" t="s">
        <v>351</v>
      </c>
    </row>
    <row r="54" customFormat="false" ht="12.75" hidden="false" customHeight="false" outlineLevel="0" collapsed="false">
      <c r="B54" s="75" t="s">
        <v>352</v>
      </c>
      <c r="C54" s="95"/>
      <c r="D54" s="68" t="str">
        <f aca="true">IF(AND(TIPOORCAMENTO="Licitado",OFFSET(D54,0,-1)="",IFERROR(RRE!$O$19,0)&gt;0),"◄","")</f>
        <v/>
      </c>
      <c r="AQ54" s="38" t="s">
        <v>353</v>
      </c>
      <c r="AR54" s="38" t="s">
        <v>354</v>
      </c>
    </row>
    <row r="55" customFormat="false" ht="12.75" hidden="false" customHeight="false" outlineLevel="0" collapsed="false">
      <c r="C55" s="84"/>
      <c r="AQ55" s="38" t="s">
        <v>355</v>
      </c>
      <c r="AR55" s="38" t="s">
        <v>356</v>
      </c>
    </row>
    <row r="56" customFormat="false" ht="12.75" hidden="false" customHeight="false" outlineLevel="0" collapsed="false">
      <c r="AQ56" s="38" t="s">
        <v>357</v>
      </c>
      <c r="AR56" s="38" t="s">
        <v>358</v>
      </c>
    </row>
    <row r="57" customFormat="false" ht="15" hidden="false" customHeight="false" outlineLevel="0" collapsed="false">
      <c r="B57" s="51" t="s">
        <v>359</v>
      </c>
      <c r="AQ57" s="38" t="s">
        <v>360</v>
      </c>
      <c r="AR57" s="38" t="s">
        <v>361</v>
      </c>
    </row>
    <row r="58" customFormat="false" ht="15" hidden="false" customHeight="false" outlineLevel="0" collapsed="false">
      <c r="B58" s="51"/>
      <c r="AQ58" s="38" t="s">
        <v>362</v>
      </c>
      <c r="AR58" s="38" t="s">
        <v>363</v>
      </c>
    </row>
    <row r="59" customFormat="false" ht="13.8" hidden="false" customHeight="false" outlineLevel="0" collapsed="false">
      <c r="B59" s="63" t="s">
        <v>364</v>
      </c>
      <c r="C59" s="63"/>
      <c r="AQ59" s="38" t="s">
        <v>365</v>
      </c>
      <c r="AR59" s="38" t="s">
        <v>366</v>
      </c>
    </row>
    <row r="60" customFormat="false" ht="12.75" hidden="false" customHeight="false" outlineLevel="0" collapsed="false">
      <c r="B60" s="66" t="s">
        <v>261</v>
      </c>
      <c r="C60" s="94"/>
      <c r="AQ60" s="38" t="s">
        <v>367</v>
      </c>
      <c r="AR60" s="38" t="s">
        <v>368</v>
      </c>
    </row>
    <row r="61" customFormat="false" ht="12.75" hidden="false" customHeight="false" outlineLevel="0" collapsed="false">
      <c r="B61" s="82" t="s">
        <v>369</v>
      </c>
      <c r="C61" s="96"/>
      <c r="AQ61" s="38" t="s">
        <v>370</v>
      </c>
      <c r="AR61" s="38" t="s">
        <v>371</v>
      </c>
    </row>
    <row r="62" customFormat="false" ht="12.75" hidden="false" customHeight="false" outlineLevel="0" collapsed="false">
      <c r="AQ62" s="38" t="s">
        <v>372</v>
      </c>
      <c r="AR62" s="38" t="s">
        <v>373</v>
      </c>
    </row>
    <row r="63" customFormat="false" ht="12.75" hidden="false" customHeight="false" outlineLevel="0" collapsed="false">
      <c r="AQ63" s="38" t="s">
        <v>374</v>
      </c>
      <c r="AR63" s="38" t="s">
        <v>375</v>
      </c>
    </row>
    <row r="64" customFormat="false" ht="12.75" hidden="false" customHeight="false" outlineLevel="0" collapsed="false">
      <c r="AQ64" s="38" t="s">
        <v>376</v>
      </c>
      <c r="AR64" s="38" t="s">
        <v>377</v>
      </c>
    </row>
    <row r="65" customFormat="false" ht="12.75" hidden="false" customHeight="false" outlineLevel="0" collapsed="false">
      <c r="AQ65" s="38" t="s">
        <v>378</v>
      </c>
      <c r="AR65" s="38" t="s">
        <v>379</v>
      </c>
    </row>
    <row r="66" customFormat="false" ht="12.75" hidden="false" customHeight="false" outlineLevel="0" collapsed="false">
      <c r="AQ66" s="38" t="s">
        <v>380</v>
      </c>
      <c r="AR66" s="38" t="s">
        <v>381</v>
      </c>
    </row>
    <row r="67" customFormat="false" ht="12.75" hidden="false" customHeight="false" outlineLevel="0" collapsed="false">
      <c r="AQ67" s="38" t="s">
        <v>382</v>
      </c>
      <c r="AR67" s="38" t="s">
        <v>383</v>
      </c>
    </row>
    <row r="68" customFormat="false" ht="12.75" hidden="false" customHeight="false" outlineLevel="0" collapsed="false">
      <c r="AQ68" s="38" t="s">
        <v>384</v>
      </c>
      <c r="AR68" s="38" t="s">
        <v>385</v>
      </c>
    </row>
    <row r="69" customFormat="false" ht="12.75" hidden="false" customHeight="false" outlineLevel="0" collapsed="false">
      <c r="AQ69" s="38" t="s">
        <v>386</v>
      </c>
      <c r="AR69" s="38" t="s">
        <v>387</v>
      </c>
    </row>
    <row r="70" customFormat="false" ht="12.75" hidden="false" customHeight="false" outlineLevel="0" collapsed="false">
      <c r="AQ70" s="38" t="s">
        <v>388</v>
      </c>
      <c r="AR70" s="38" t="s">
        <v>389</v>
      </c>
    </row>
    <row r="71" customFormat="false" ht="12.75" hidden="false" customHeight="false" outlineLevel="0" collapsed="false">
      <c r="AQ71" s="38" t="s">
        <v>390</v>
      </c>
      <c r="AR71" s="38" t="s">
        <v>391</v>
      </c>
    </row>
    <row r="72" customFormat="false" ht="12.75" hidden="false" customHeight="false" outlineLevel="0" collapsed="false">
      <c r="AQ72" s="38" t="s">
        <v>392</v>
      </c>
      <c r="AR72" s="38" t="s">
        <v>393</v>
      </c>
    </row>
    <row r="73" customFormat="false" ht="12.75" hidden="false" customHeight="false" outlineLevel="0" collapsed="false">
      <c r="AQ73" s="38" t="s">
        <v>394</v>
      </c>
      <c r="AR73" s="38" t="s">
        <v>395</v>
      </c>
    </row>
    <row r="74" customFormat="false" ht="12.75" hidden="false" customHeight="false" outlineLevel="0" collapsed="false">
      <c r="AQ74" s="38" t="s">
        <v>396</v>
      </c>
      <c r="AR74" s="38" t="s">
        <v>397</v>
      </c>
    </row>
    <row r="75" customFormat="false" ht="12.75" hidden="false" customHeight="false" outlineLevel="0" collapsed="false">
      <c r="AQ75" s="38" t="s">
        <v>398</v>
      </c>
      <c r="AR75" s="38" t="s">
        <v>399</v>
      </c>
    </row>
    <row r="76" customFormat="false" ht="12.75" hidden="false" customHeight="false" outlineLevel="0" collapsed="false">
      <c r="AQ76" s="38" t="s">
        <v>400</v>
      </c>
      <c r="AR76" s="38" t="s">
        <v>401</v>
      </c>
    </row>
    <row r="77" customFormat="false" ht="12.75" hidden="false" customHeight="false" outlineLevel="0" collapsed="false">
      <c r="AQ77" s="38" t="s">
        <v>402</v>
      </c>
      <c r="AR77" s="38" t="s">
        <v>403</v>
      </c>
    </row>
    <row r="78" customFormat="false" ht="12.75" hidden="false" customHeight="false" outlineLevel="0" collapsed="false">
      <c r="AQ78" s="38" t="s">
        <v>404</v>
      </c>
      <c r="AR78" s="38" t="s">
        <v>405</v>
      </c>
    </row>
    <row r="79" customFormat="false" ht="12.75" hidden="false" customHeight="false" outlineLevel="0" collapsed="false">
      <c r="AQ79" s="38" t="s">
        <v>406</v>
      </c>
      <c r="AR79" s="38" t="s">
        <v>407</v>
      </c>
    </row>
    <row r="80" customFormat="false" ht="12.75" hidden="false" customHeight="false" outlineLevel="0" collapsed="false">
      <c r="AQ80" s="38" t="s">
        <v>408</v>
      </c>
      <c r="AR80" s="38" t="s">
        <v>409</v>
      </c>
    </row>
    <row r="81" customFormat="false" ht="12.75" hidden="false" customHeight="false" outlineLevel="0" collapsed="false">
      <c r="AQ81" s="38" t="s">
        <v>410</v>
      </c>
      <c r="AR81" s="38" t="s">
        <v>411</v>
      </c>
    </row>
    <row r="82" customFormat="false" ht="12.75" hidden="false" customHeight="false" outlineLevel="0" collapsed="false">
      <c r="AQ82" s="38" t="s">
        <v>412</v>
      </c>
      <c r="AR82" s="38" t="s">
        <v>413</v>
      </c>
    </row>
    <row r="83" customFormat="false" ht="12.75" hidden="false" customHeight="false" outlineLevel="0" collapsed="false">
      <c r="AQ83" s="38" t="s">
        <v>414</v>
      </c>
      <c r="AR83" s="38" t="s">
        <v>415</v>
      </c>
    </row>
    <row r="84" customFormat="false" ht="12.75" hidden="false" customHeight="false" outlineLevel="0" collapsed="false">
      <c r="AQ84" s="38" t="s">
        <v>416</v>
      </c>
      <c r="AR84" s="38" t="s">
        <v>417</v>
      </c>
    </row>
    <row r="85" customFormat="false" ht="12.75" hidden="false" customHeight="false" outlineLevel="0" collapsed="false">
      <c r="AQ85" s="38" t="s">
        <v>418</v>
      </c>
      <c r="AR85" s="38" t="s">
        <v>419</v>
      </c>
    </row>
    <row r="86" customFormat="false" ht="12.75" hidden="false" customHeight="false" outlineLevel="0" collapsed="false">
      <c r="AQ86" s="38" t="s">
        <v>420</v>
      </c>
      <c r="AR86" s="38" t="s">
        <v>421</v>
      </c>
    </row>
    <row r="87" customFormat="false" ht="12.75" hidden="false" customHeight="false" outlineLevel="0" collapsed="false">
      <c r="AQ87" s="38" t="s">
        <v>422</v>
      </c>
      <c r="AR87" s="38" t="s">
        <v>423</v>
      </c>
    </row>
    <row r="88" customFormat="false" ht="12.75" hidden="false" customHeight="false" outlineLevel="0" collapsed="false">
      <c r="AQ88" s="38" t="s">
        <v>424</v>
      </c>
      <c r="AR88" s="38" t="s">
        <v>425</v>
      </c>
    </row>
    <row r="89" customFormat="false" ht="12.75" hidden="false" customHeight="false" outlineLevel="0" collapsed="false">
      <c r="AQ89" s="38" t="s">
        <v>426</v>
      </c>
      <c r="AR89" s="38" t="s">
        <v>427</v>
      </c>
    </row>
    <row r="90" customFormat="false" ht="12.75" hidden="false" customHeight="false" outlineLevel="0" collapsed="false">
      <c r="AQ90" s="38" t="s">
        <v>428</v>
      </c>
      <c r="AR90" s="38" t="s">
        <v>429</v>
      </c>
    </row>
    <row r="91" customFormat="false" ht="12.75" hidden="false" customHeight="false" outlineLevel="0" collapsed="false">
      <c r="AQ91" s="38" t="s">
        <v>430</v>
      </c>
      <c r="AR91" s="38" t="s">
        <v>431</v>
      </c>
    </row>
    <row r="92" customFormat="false" ht="12.75" hidden="false" customHeight="false" outlineLevel="0" collapsed="false">
      <c r="AQ92" s="38" t="s">
        <v>432</v>
      </c>
      <c r="AR92" s="38" t="s">
        <v>433</v>
      </c>
    </row>
    <row r="93" customFormat="false" ht="12.75" hidden="false" customHeight="false" outlineLevel="0" collapsed="false">
      <c r="AQ93" s="38" t="s">
        <v>434</v>
      </c>
      <c r="AR93" s="38" t="s">
        <v>435</v>
      </c>
    </row>
    <row r="94" customFormat="false" ht="12.75" hidden="false" customHeight="false" outlineLevel="0" collapsed="false">
      <c r="AQ94" s="38" t="s">
        <v>436</v>
      </c>
      <c r="AR94" s="38" t="s">
        <v>437</v>
      </c>
    </row>
    <row r="95" customFormat="false" ht="12.75" hidden="false" customHeight="false" outlineLevel="0" collapsed="false">
      <c r="AQ95" s="38" t="s">
        <v>438</v>
      </c>
      <c r="AR95" s="38" t="s">
        <v>438</v>
      </c>
    </row>
    <row r="96" customFormat="false" ht="12.75" hidden="false" customHeight="false" outlineLevel="0" collapsed="false">
      <c r="AQ96" s="38" t="s">
        <v>439</v>
      </c>
      <c r="AR96" s="38" t="s">
        <v>440</v>
      </c>
    </row>
    <row r="97" customFormat="false" ht="12.75" hidden="false" customHeight="false" outlineLevel="0" collapsed="false">
      <c r="AQ97" s="38" t="s">
        <v>441</v>
      </c>
      <c r="AR97" s="38" t="s">
        <v>442</v>
      </c>
    </row>
    <row r="98" customFormat="false" ht="12.75" hidden="false" customHeight="false" outlineLevel="0" collapsed="false">
      <c r="AQ98" s="38" t="s">
        <v>443</v>
      </c>
      <c r="AR98" s="38" t="s">
        <v>443</v>
      </c>
    </row>
    <row r="99" customFormat="false" ht="12.75" hidden="false" customHeight="false" outlineLevel="0" collapsed="false">
      <c r="AQ99" s="38" t="s">
        <v>444</v>
      </c>
      <c r="AR99" s="38" t="s">
        <v>444</v>
      </c>
    </row>
    <row r="100" customFormat="false" ht="12.75" hidden="false" customHeight="false" outlineLevel="0" collapsed="false">
      <c r="AQ100" s="38" t="s">
        <v>444</v>
      </c>
      <c r="AR100" s="38" t="s">
        <v>444</v>
      </c>
    </row>
    <row r="101" customFormat="false" ht="12.75" hidden="false" customHeight="false" outlineLevel="0" collapsed="false">
      <c r="AQ101" s="38" t="s">
        <v>445</v>
      </c>
      <c r="AR101" s="38" t="s">
        <v>446</v>
      </c>
    </row>
    <row r="102" customFormat="false" ht="12.75" hidden="false" customHeight="false" outlineLevel="0" collapsed="false">
      <c r="AQ102" s="38" t="s">
        <v>447</v>
      </c>
      <c r="AR102" s="38" t="s">
        <v>448</v>
      </c>
    </row>
    <row r="103" customFormat="false" ht="12.75" hidden="false" customHeight="false" outlineLevel="0" collapsed="false">
      <c r="AQ103" s="38" t="s">
        <v>449</v>
      </c>
      <c r="AR103" s="38" t="s">
        <v>450</v>
      </c>
    </row>
    <row r="104" customFormat="false" ht="12.75" hidden="false" customHeight="false" outlineLevel="0" collapsed="false">
      <c r="AQ104" s="38" t="s">
        <v>451</v>
      </c>
      <c r="AR104" s="38" t="s">
        <v>452</v>
      </c>
    </row>
    <row r="105" customFormat="false" ht="12.75" hidden="false" customHeight="false" outlineLevel="0" collapsed="false">
      <c r="AQ105" s="38" t="s">
        <v>453</v>
      </c>
      <c r="AR105" s="38" t="s">
        <v>454</v>
      </c>
    </row>
    <row r="106" customFormat="false" ht="12.75" hidden="false" customHeight="false" outlineLevel="0" collapsed="false">
      <c r="AQ106" s="38" t="s">
        <v>455</v>
      </c>
      <c r="AR106" s="38" t="s">
        <v>456</v>
      </c>
    </row>
    <row r="107" customFormat="false" ht="12.75" hidden="false" customHeight="false" outlineLevel="0" collapsed="false">
      <c r="AQ107" s="38" t="s">
        <v>457</v>
      </c>
      <c r="AR107" s="38" t="s">
        <v>458</v>
      </c>
    </row>
    <row r="108" customFormat="false" ht="12.75" hidden="false" customHeight="false" outlineLevel="0" collapsed="false">
      <c r="AQ108" s="38" t="s">
        <v>459</v>
      </c>
      <c r="AR108" s="38" t="s">
        <v>460</v>
      </c>
    </row>
    <row r="109" customFormat="false" ht="12.75" hidden="false" customHeight="false" outlineLevel="0" collapsed="false">
      <c r="AQ109" s="38" t="s">
        <v>461</v>
      </c>
      <c r="AR109" s="38" t="s">
        <v>462</v>
      </c>
    </row>
    <row r="110" customFormat="false" ht="12.75" hidden="false" customHeight="false" outlineLevel="0" collapsed="false">
      <c r="AQ110" s="38" t="s">
        <v>463</v>
      </c>
      <c r="AR110" s="38" t="s">
        <v>464</v>
      </c>
    </row>
    <row r="111" customFormat="false" ht="12.75" hidden="false" customHeight="false" outlineLevel="0" collapsed="false">
      <c r="AQ111" s="38" t="s">
        <v>465</v>
      </c>
      <c r="AR111" s="38" t="s">
        <v>466</v>
      </c>
    </row>
    <row r="112" customFormat="false" ht="12.75" hidden="false" customHeight="false" outlineLevel="0" collapsed="false">
      <c r="AQ112" s="38" t="s">
        <v>467</v>
      </c>
      <c r="AR112" s="38" t="s">
        <v>468</v>
      </c>
    </row>
    <row r="113" customFormat="false" ht="12.75" hidden="false" customHeight="false" outlineLevel="0" collapsed="false">
      <c r="AQ113" s="38" t="s">
        <v>469</v>
      </c>
      <c r="AR113" s="38" t="s">
        <v>470</v>
      </c>
    </row>
    <row r="114" customFormat="false" ht="12.75" hidden="false" customHeight="false" outlineLevel="0" collapsed="false">
      <c r="AQ114" s="38" t="s">
        <v>471</v>
      </c>
      <c r="AR114" s="38" t="s">
        <v>472</v>
      </c>
    </row>
    <row r="115" customFormat="false" ht="12.75" hidden="false" customHeight="false" outlineLevel="0" collapsed="false">
      <c r="AQ115" s="38" t="s">
        <v>473</v>
      </c>
      <c r="AR115" s="38" t="s">
        <v>474</v>
      </c>
    </row>
    <row r="116" customFormat="false" ht="12.75" hidden="false" customHeight="false" outlineLevel="0" collapsed="false">
      <c r="AQ116" s="38" t="s">
        <v>475</v>
      </c>
      <c r="AR116" s="38" t="s">
        <v>476</v>
      </c>
    </row>
    <row r="117" customFormat="false" ht="12.75" hidden="false" customHeight="false" outlineLevel="0" collapsed="false">
      <c r="AQ117" s="38" t="s">
        <v>477</v>
      </c>
      <c r="AR117" s="38" t="s">
        <v>478</v>
      </c>
    </row>
    <row r="118" customFormat="false" ht="12.75" hidden="false" customHeight="false" outlineLevel="0" collapsed="false">
      <c r="AQ118" s="38" t="s">
        <v>479</v>
      </c>
      <c r="AR118" s="38" t="s">
        <v>480</v>
      </c>
    </row>
    <row r="119" customFormat="false" ht="12.75" hidden="false" customHeight="false" outlineLevel="0" collapsed="false">
      <c r="AQ119" s="38" t="s">
        <v>481</v>
      </c>
      <c r="AR119" s="38" t="s">
        <v>481</v>
      </c>
    </row>
    <row r="120" customFormat="false" ht="12.75" hidden="false" customHeight="false" outlineLevel="0" collapsed="false">
      <c r="AQ120" s="38" t="s">
        <v>482</v>
      </c>
      <c r="AR120" s="38" t="s">
        <v>482</v>
      </c>
    </row>
    <row r="121" customFormat="false" ht="12.75" hidden="false" customHeight="false" outlineLevel="0" collapsed="false">
      <c r="AQ121" s="38" t="s">
        <v>483</v>
      </c>
      <c r="AR121" s="38" t="s">
        <v>484</v>
      </c>
    </row>
    <row r="122" customFormat="false" ht="12.75" hidden="false" customHeight="false" outlineLevel="0" collapsed="false">
      <c r="AQ122" s="38" t="s">
        <v>485</v>
      </c>
      <c r="AR122" s="38" t="s">
        <v>486</v>
      </c>
    </row>
    <row r="123" customFormat="false" ht="12.75" hidden="false" customHeight="false" outlineLevel="0" collapsed="false">
      <c r="AQ123" s="38" t="s">
        <v>487</v>
      </c>
      <c r="AR123" s="38" t="s">
        <v>488</v>
      </c>
    </row>
    <row r="124" customFormat="false" ht="12.75" hidden="false" customHeight="false" outlineLevel="0" collapsed="false">
      <c r="AQ124" s="38" t="s">
        <v>489</v>
      </c>
      <c r="AR124" s="38" t="s">
        <v>490</v>
      </c>
    </row>
    <row r="125" customFormat="false" ht="12.75" hidden="false" customHeight="false" outlineLevel="0" collapsed="false">
      <c r="AQ125" s="38" t="s">
        <v>491</v>
      </c>
      <c r="AR125" s="38" t="s">
        <v>492</v>
      </c>
    </row>
    <row r="126" customFormat="false" ht="12.75" hidden="false" customHeight="false" outlineLevel="0" collapsed="false">
      <c r="AQ126" s="38" t="s">
        <v>493</v>
      </c>
      <c r="AR126" s="38" t="s">
        <v>494</v>
      </c>
    </row>
    <row r="127" customFormat="false" ht="12.75" hidden="false" customHeight="false" outlineLevel="0" collapsed="false">
      <c r="AQ127" s="38" t="s">
        <v>495</v>
      </c>
      <c r="AR127" s="38" t="s">
        <v>496</v>
      </c>
    </row>
    <row r="128" customFormat="false" ht="12.75" hidden="false" customHeight="false" outlineLevel="0" collapsed="false">
      <c r="AQ128" s="38" t="s">
        <v>497</v>
      </c>
      <c r="AR128" s="38" t="s">
        <v>498</v>
      </c>
    </row>
    <row r="129" customFormat="false" ht="12.75" hidden="false" customHeight="false" outlineLevel="0" collapsed="false">
      <c r="AQ129" s="38" t="s">
        <v>499</v>
      </c>
      <c r="AR129" s="38" t="s">
        <v>500</v>
      </c>
    </row>
    <row r="130" customFormat="false" ht="12.75" hidden="false" customHeight="false" outlineLevel="0" collapsed="false">
      <c r="AQ130" s="38" t="s">
        <v>501</v>
      </c>
      <c r="AR130" s="38" t="s">
        <v>502</v>
      </c>
    </row>
    <row r="131" customFormat="false" ht="12.75" hidden="false" customHeight="false" outlineLevel="0" collapsed="false">
      <c r="AQ131" s="38" t="s">
        <v>503</v>
      </c>
      <c r="AR131" s="38" t="s">
        <v>504</v>
      </c>
    </row>
    <row r="132" customFormat="false" ht="12.75" hidden="false" customHeight="false" outlineLevel="0" collapsed="false">
      <c r="AQ132" s="38" t="s">
        <v>505</v>
      </c>
      <c r="AR132" s="38" t="s">
        <v>506</v>
      </c>
    </row>
    <row r="133" customFormat="false" ht="12.75" hidden="false" customHeight="false" outlineLevel="0" collapsed="false">
      <c r="AQ133" s="38" t="s">
        <v>507</v>
      </c>
      <c r="AR133" s="38" t="s">
        <v>508</v>
      </c>
    </row>
    <row r="134" customFormat="false" ht="12.75" hidden="false" customHeight="false" outlineLevel="0" collapsed="false">
      <c r="AQ134" s="38" t="s">
        <v>509</v>
      </c>
      <c r="AR134" s="38" t="s">
        <v>510</v>
      </c>
    </row>
    <row r="135" customFormat="false" ht="12.75" hidden="false" customHeight="false" outlineLevel="0" collapsed="false">
      <c r="AQ135" s="38" t="s">
        <v>511</v>
      </c>
      <c r="AR135" s="38" t="s">
        <v>512</v>
      </c>
    </row>
    <row r="136" customFormat="false" ht="12.75" hidden="false" customHeight="false" outlineLevel="0" collapsed="false">
      <c r="AQ136" s="38" t="s">
        <v>513</v>
      </c>
      <c r="AR136" s="38" t="s">
        <v>514</v>
      </c>
    </row>
    <row r="137" customFormat="false" ht="12.75" hidden="false" customHeight="false" outlineLevel="0" collapsed="false">
      <c r="AQ137" s="38" t="s">
        <v>515</v>
      </c>
      <c r="AR137" s="38" t="s">
        <v>516</v>
      </c>
    </row>
    <row r="138" customFormat="false" ht="12.75" hidden="false" customHeight="false" outlineLevel="0" collapsed="false">
      <c r="AQ138" s="38" t="s">
        <v>517</v>
      </c>
      <c r="AR138" s="38" t="s">
        <v>518</v>
      </c>
    </row>
    <row r="139" customFormat="false" ht="12.75" hidden="false" customHeight="false" outlineLevel="0" collapsed="false">
      <c r="AQ139" s="38" t="s">
        <v>519</v>
      </c>
      <c r="AR139" s="38" t="s">
        <v>520</v>
      </c>
    </row>
    <row r="140" customFormat="false" ht="12.75" hidden="false" customHeight="false" outlineLevel="0" collapsed="false">
      <c r="AQ140" s="38" t="s">
        <v>521</v>
      </c>
      <c r="AR140" s="38" t="s">
        <v>522</v>
      </c>
    </row>
    <row r="141" customFormat="false" ht="12.75" hidden="false" customHeight="false" outlineLevel="0" collapsed="false">
      <c r="AQ141" s="38" t="s">
        <v>523</v>
      </c>
      <c r="AR141" s="38" t="s">
        <v>524</v>
      </c>
    </row>
    <row r="142" customFormat="false" ht="12.75" hidden="false" customHeight="false" outlineLevel="0" collapsed="false">
      <c r="AQ142" s="38" t="s">
        <v>525</v>
      </c>
      <c r="AR142" s="38" t="s">
        <v>526</v>
      </c>
    </row>
    <row r="143" customFormat="false" ht="12.75" hidden="false" customHeight="false" outlineLevel="0" collapsed="false">
      <c r="AQ143" s="38" t="s">
        <v>510</v>
      </c>
      <c r="AR143" s="38" t="s">
        <v>510</v>
      </c>
    </row>
    <row r="144" customFormat="false" ht="12.75" hidden="false" customHeight="false" outlineLevel="0" collapsed="false">
      <c r="AQ144" s="38" t="s">
        <v>527</v>
      </c>
      <c r="AR144" s="38" t="s">
        <v>527</v>
      </c>
    </row>
    <row r="145" customFormat="false" ht="12.75" hidden="false" customHeight="false" outlineLevel="0" collapsed="false">
      <c r="AQ145" s="38" t="s">
        <v>528</v>
      </c>
      <c r="AR145" s="38" t="s">
        <v>528</v>
      </c>
    </row>
    <row r="146" customFormat="false" ht="12.75" hidden="false" customHeight="false" outlineLevel="0" collapsed="false">
      <c r="AQ146" s="38" t="s">
        <v>529</v>
      </c>
      <c r="AR146" s="38" t="s">
        <v>514</v>
      </c>
    </row>
    <row r="147" customFormat="false" ht="12.75" hidden="false" customHeight="false" outlineLevel="0" collapsed="false">
      <c r="AQ147" s="38" t="s">
        <v>530</v>
      </c>
      <c r="AR147" s="38" t="s">
        <v>531</v>
      </c>
    </row>
    <row r="148" customFormat="false" ht="12.75" hidden="false" customHeight="false" outlineLevel="0" collapsed="false">
      <c r="AQ148" s="38" t="s">
        <v>532</v>
      </c>
      <c r="AR148" s="38" t="s">
        <v>533</v>
      </c>
    </row>
    <row r="149" customFormat="false" ht="12.75" hidden="false" customHeight="false" outlineLevel="0" collapsed="false">
      <c r="AQ149" s="38" t="s">
        <v>534</v>
      </c>
      <c r="AR149" s="38" t="s">
        <v>535</v>
      </c>
    </row>
    <row r="150" customFormat="false" ht="12.75" hidden="false" customHeight="false" outlineLevel="0" collapsed="false">
      <c r="AQ150" s="38" t="s">
        <v>534</v>
      </c>
      <c r="AR150" s="38" t="s">
        <v>535</v>
      </c>
    </row>
    <row r="151" customFormat="false" ht="12.75" hidden="false" customHeight="false" outlineLevel="0" collapsed="false">
      <c r="AQ151" s="38" t="s">
        <v>536</v>
      </c>
      <c r="AR151" s="38" t="s">
        <v>536</v>
      </c>
    </row>
    <row r="152" customFormat="false" ht="12.75" hidden="false" customHeight="false" outlineLevel="0" collapsed="false">
      <c r="AQ152" s="38" t="s">
        <v>537</v>
      </c>
      <c r="AR152" s="38" t="s">
        <v>538</v>
      </c>
    </row>
    <row r="153" customFormat="false" ht="12.75" hidden="false" customHeight="false" outlineLevel="0" collapsed="false">
      <c r="AQ153" s="38" t="s">
        <v>539</v>
      </c>
      <c r="AR153" s="38" t="s">
        <v>540</v>
      </c>
    </row>
    <row r="154" customFormat="false" ht="12.75" hidden="false" customHeight="false" outlineLevel="0" collapsed="false">
      <c r="AQ154" s="38" t="s">
        <v>541</v>
      </c>
      <c r="AR154" s="38" t="s">
        <v>542</v>
      </c>
    </row>
    <row r="155" customFormat="false" ht="12.75" hidden="false" customHeight="false" outlineLevel="0" collapsed="false">
      <c r="AQ155" s="38" t="s">
        <v>543</v>
      </c>
      <c r="AR155" s="38" t="s">
        <v>544</v>
      </c>
    </row>
    <row r="156" customFormat="false" ht="12.75" hidden="false" customHeight="false" outlineLevel="0" collapsed="false">
      <c r="AQ156" s="38" t="s">
        <v>545</v>
      </c>
      <c r="AR156" s="38" t="s">
        <v>546</v>
      </c>
    </row>
    <row r="157" customFormat="false" ht="12.75" hidden="false" customHeight="false" outlineLevel="0" collapsed="false">
      <c r="AQ157" s="38" t="s">
        <v>547</v>
      </c>
      <c r="AR157" s="38" t="s">
        <v>548</v>
      </c>
    </row>
    <row r="158" customFormat="false" ht="12.75" hidden="false" customHeight="false" outlineLevel="0" collapsed="false">
      <c r="AQ158" s="38" t="s">
        <v>549</v>
      </c>
      <c r="AR158" s="38" t="s">
        <v>550</v>
      </c>
    </row>
    <row r="159" customFormat="false" ht="12.75" hidden="false" customHeight="false" outlineLevel="0" collapsed="false">
      <c r="AQ159" s="38" t="s">
        <v>551</v>
      </c>
      <c r="AR159" s="38" t="s">
        <v>552</v>
      </c>
    </row>
    <row r="160" customFormat="false" ht="12.75" hidden="false" customHeight="false" outlineLevel="0" collapsed="false">
      <c r="AQ160" s="38" t="s">
        <v>553</v>
      </c>
      <c r="AR160" s="38" t="s">
        <v>554</v>
      </c>
    </row>
    <row r="161" customFormat="false" ht="12.75" hidden="false" customHeight="false" outlineLevel="0" collapsed="false">
      <c r="AQ161" s="38" t="s">
        <v>555</v>
      </c>
      <c r="AR161" s="38" t="s">
        <v>556</v>
      </c>
    </row>
    <row r="162" customFormat="false" ht="12.75" hidden="false" customHeight="false" outlineLevel="0" collapsed="false">
      <c r="AQ162" s="38" t="s">
        <v>557</v>
      </c>
      <c r="AR162" s="38" t="s">
        <v>558</v>
      </c>
    </row>
    <row r="163" customFormat="false" ht="12.75" hidden="false" customHeight="false" outlineLevel="0" collapsed="false">
      <c r="AQ163" s="38" t="s">
        <v>559</v>
      </c>
      <c r="AR163" s="38" t="s">
        <v>560</v>
      </c>
    </row>
    <row r="164" customFormat="false" ht="12.75" hidden="false" customHeight="false" outlineLevel="0" collapsed="false">
      <c r="AQ164" s="38" t="s">
        <v>561</v>
      </c>
      <c r="AR164" s="38" t="s">
        <v>562</v>
      </c>
    </row>
    <row r="165" customFormat="false" ht="12.75" hidden="false" customHeight="false" outlineLevel="0" collapsed="false">
      <c r="AQ165" s="38" t="s">
        <v>563</v>
      </c>
      <c r="AR165" s="38" t="s">
        <v>564</v>
      </c>
    </row>
    <row r="166" customFormat="false" ht="12.75" hidden="false" customHeight="false" outlineLevel="0" collapsed="false">
      <c r="AQ166" s="38" t="s">
        <v>565</v>
      </c>
      <c r="AR166" s="38" t="s">
        <v>565</v>
      </c>
    </row>
    <row r="167" customFormat="false" ht="12.75" hidden="false" customHeight="false" outlineLevel="0" collapsed="false">
      <c r="AQ167" s="38" t="s">
        <v>566</v>
      </c>
      <c r="AR167" s="38" t="s">
        <v>567</v>
      </c>
    </row>
    <row r="168" customFormat="false" ht="12.75" hidden="false" customHeight="false" outlineLevel="0" collapsed="false">
      <c r="AQ168" s="38" t="s">
        <v>568</v>
      </c>
      <c r="AR168" s="38" t="s">
        <v>569</v>
      </c>
    </row>
    <row r="169" customFormat="false" ht="12.75" hidden="false" customHeight="false" outlineLevel="0" collapsed="false">
      <c r="AQ169" s="38" t="s">
        <v>570</v>
      </c>
      <c r="AR169" s="38" t="s">
        <v>571</v>
      </c>
    </row>
    <row r="170" customFormat="false" ht="12.75" hidden="false" customHeight="false" outlineLevel="0" collapsed="false">
      <c r="AQ170" s="38" t="s">
        <v>572</v>
      </c>
      <c r="AR170" s="38" t="s">
        <v>573</v>
      </c>
    </row>
    <row r="171" customFormat="false" ht="12.75" hidden="false" customHeight="false" outlineLevel="0" collapsed="false">
      <c r="AQ171" s="38" t="s">
        <v>574</v>
      </c>
      <c r="AR171" s="38" t="s">
        <v>575</v>
      </c>
    </row>
    <row r="172" customFormat="false" ht="12.75" hidden="false" customHeight="false" outlineLevel="0" collapsed="false">
      <c r="AQ172" s="38" t="s">
        <v>576</v>
      </c>
      <c r="AR172" s="38" t="s">
        <v>577</v>
      </c>
    </row>
    <row r="173" customFormat="false" ht="12.75" hidden="false" customHeight="false" outlineLevel="0" collapsed="false">
      <c r="AQ173" s="38" t="s">
        <v>578</v>
      </c>
      <c r="AR173" s="38" t="s">
        <v>579</v>
      </c>
    </row>
    <row r="174" customFormat="false" ht="12.75" hidden="false" customHeight="false" outlineLevel="0" collapsed="false">
      <c r="AQ174" s="38" t="s">
        <v>580</v>
      </c>
      <c r="AR174" s="38" t="s">
        <v>581</v>
      </c>
    </row>
    <row r="175" customFormat="false" ht="12.75" hidden="false" customHeight="false" outlineLevel="0" collapsed="false">
      <c r="AQ175" s="38" t="s">
        <v>582</v>
      </c>
      <c r="AR175" s="38" t="s">
        <v>583</v>
      </c>
    </row>
    <row r="176" customFormat="false" ht="12.75" hidden="false" customHeight="false" outlineLevel="0" collapsed="false">
      <c r="AQ176" s="38" t="s">
        <v>584</v>
      </c>
      <c r="AR176" s="38" t="s">
        <v>585</v>
      </c>
    </row>
    <row r="177" customFormat="false" ht="12.75" hidden="false" customHeight="false" outlineLevel="0" collapsed="false">
      <c r="AQ177" s="38" t="s">
        <v>586</v>
      </c>
      <c r="AR177" s="38" t="s">
        <v>587</v>
      </c>
    </row>
    <row r="178" customFormat="false" ht="12.75" hidden="false" customHeight="false" outlineLevel="0" collapsed="false">
      <c r="AQ178" s="38" t="s">
        <v>588</v>
      </c>
      <c r="AR178" s="38" t="s">
        <v>589</v>
      </c>
    </row>
    <row r="179" customFormat="false" ht="12.75" hidden="false" customHeight="false" outlineLevel="0" collapsed="false">
      <c r="AQ179" s="38" t="s">
        <v>590</v>
      </c>
      <c r="AR179" s="38" t="s">
        <v>591</v>
      </c>
    </row>
    <row r="180" customFormat="false" ht="12.75" hidden="false" customHeight="false" outlineLevel="0" collapsed="false">
      <c r="AQ180" s="38" t="s">
        <v>592</v>
      </c>
      <c r="AR180" s="38" t="s">
        <v>593</v>
      </c>
    </row>
    <row r="181" customFormat="false" ht="12.75" hidden="false" customHeight="false" outlineLevel="0" collapsed="false">
      <c r="AQ181" s="38" t="s">
        <v>594</v>
      </c>
      <c r="AR181" s="38" t="s">
        <v>595</v>
      </c>
    </row>
    <row r="182" customFormat="false" ht="12.75" hidden="false" customHeight="false" outlineLevel="0" collapsed="false">
      <c r="AQ182" s="38" t="s">
        <v>596</v>
      </c>
      <c r="AR182" s="38" t="s">
        <v>597</v>
      </c>
    </row>
    <row r="183" customFormat="false" ht="12.75" hidden="false" customHeight="false" outlineLevel="0" collapsed="false">
      <c r="AQ183" s="38" t="s">
        <v>598</v>
      </c>
      <c r="AR183" s="38" t="s">
        <v>599</v>
      </c>
    </row>
    <row r="184" customFormat="false" ht="12.75" hidden="false" customHeight="false" outlineLevel="0" collapsed="false">
      <c r="AQ184" s="38" t="s">
        <v>600</v>
      </c>
      <c r="AR184" s="38" t="s">
        <v>601</v>
      </c>
    </row>
    <row r="185" customFormat="false" ht="12.75" hidden="false" customHeight="false" outlineLevel="0" collapsed="false">
      <c r="AQ185" s="38" t="s">
        <v>602</v>
      </c>
      <c r="AR185" s="38" t="s">
        <v>603</v>
      </c>
    </row>
    <row r="186" customFormat="false" ht="12.75" hidden="false" customHeight="false" outlineLevel="0" collapsed="false">
      <c r="AQ186" s="38" t="s">
        <v>604</v>
      </c>
      <c r="AR186" s="38" t="s">
        <v>605</v>
      </c>
    </row>
    <row r="187" customFormat="false" ht="12.75" hidden="false" customHeight="false" outlineLevel="0" collapsed="false">
      <c r="AQ187" s="38" t="s">
        <v>606</v>
      </c>
      <c r="AR187" s="38" t="s">
        <v>607</v>
      </c>
    </row>
    <row r="188" customFormat="false" ht="12.75" hidden="false" customHeight="false" outlineLevel="0" collapsed="false">
      <c r="AQ188" s="38" t="s">
        <v>608</v>
      </c>
      <c r="AR188" s="38" t="s">
        <v>609</v>
      </c>
    </row>
    <row r="189" customFormat="false" ht="12.75" hidden="false" customHeight="false" outlineLevel="0" collapsed="false">
      <c r="AQ189" s="38" t="s">
        <v>610</v>
      </c>
      <c r="AR189" s="38" t="s">
        <v>611</v>
      </c>
    </row>
    <row r="190" customFormat="false" ht="12.75" hidden="false" customHeight="false" outlineLevel="0" collapsed="false">
      <c r="AQ190" s="38" t="s">
        <v>612</v>
      </c>
      <c r="AR190" s="38" t="s">
        <v>613</v>
      </c>
    </row>
    <row r="191" customFormat="false" ht="12.75" hidden="false" customHeight="false" outlineLevel="0" collapsed="false">
      <c r="AQ191" s="38" t="s">
        <v>614</v>
      </c>
      <c r="AR191" s="38" t="s">
        <v>615</v>
      </c>
    </row>
    <row r="192" customFormat="false" ht="12.75" hidden="false" customHeight="false" outlineLevel="0" collapsed="false">
      <c r="AQ192" s="38" t="s">
        <v>616</v>
      </c>
      <c r="AR192" s="38" t="s">
        <v>617</v>
      </c>
    </row>
    <row r="193" customFormat="false" ht="12.75" hidden="false" customHeight="false" outlineLevel="0" collapsed="false">
      <c r="AQ193" s="38" t="s">
        <v>618</v>
      </c>
      <c r="AR193" s="38" t="s">
        <v>619</v>
      </c>
    </row>
    <row r="194" customFormat="false" ht="12.75" hidden="false" customHeight="false" outlineLevel="0" collapsed="false">
      <c r="AQ194" s="38" t="s">
        <v>620</v>
      </c>
      <c r="AR194" s="38" t="s">
        <v>621</v>
      </c>
    </row>
    <row r="195" customFormat="false" ht="12.75" hidden="false" customHeight="false" outlineLevel="0" collapsed="false">
      <c r="AQ195" s="38" t="s">
        <v>622</v>
      </c>
      <c r="AR195" s="38" t="s">
        <v>623</v>
      </c>
    </row>
    <row r="196" customFormat="false" ht="12.75" hidden="false" customHeight="false" outlineLevel="0" collapsed="false">
      <c r="AQ196" s="38" t="s">
        <v>624</v>
      </c>
      <c r="AR196" s="38" t="s">
        <v>625</v>
      </c>
    </row>
    <row r="197" customFormat="false" ht="12.75" hidden="false" customHeight="false" outlineLevel="0" collapsed="false">
      <c r="AQ197" s="38" t="s">
        <v>626</v>
      </c>
      <c r="AR197" s="38" t="s">
        <v>627</v>
      </c>
    </row>
    <row r="198" customFormat="false" ht="12.75" hidden="false" customHeight="false" outlineLevel="0" collapsed="false">
      <c r="AQ198" s="38" t="s">
        <v>628</v>
      </c>
      <c r="AR198" s="38" t="s">
        <v>629</v>
      </c>
    </row>
    <row r="199" customFormat="false" ht="12.75" hidden="false" customHeight="false" outlineLevel="0" collapsed="false">
      <c r="AQ199" s="38" t="s">
        <v>630</v>
      </c>
      <c r="AR199" s="38" t="s">
        <v>631</v>
      </c>
    </row>
    <row r="200" customFormat="false" ht="12.75" hidden="false" customHeight="false" outlineLevel="0" collapsed="false">
      <c r="AQ200" s="38" t="s">
        <v>632</v>
      </c>
      <c r="AR200" s="38" t="s">
        <v>633</v>
      </c>
    </row>
    <row r="201" customFormat="false" ht="12.75" hidden="false" customHeight="false" outlineLevel="0" collapsed="false">
      <c r="AQ201" s="38" t="s">
        <v>634</v>
      </c>
      <c r="AR201" s="38" t="s">
        <v>635</v>
      </c>
    </row>
    <row r="202" customFormat="false" ht="12.75" hidden="false" customHeight="false" outlineLevel="0" collapsed="false">
      <c r="AQ202" s="38" t="s">
        <v>636</v>
      </c>
      <c r="AR202" s="38" t="s">
        <v>637</v>
      </c>
    </row>
    <row r="203" customFormat="false" ht="12.75" hidden="false" customHeight="false" outlineLevel="0" collapsed="false">
      <c r="AQ203" s="38" t="s">
        <v>638</v>
      </c>
      <c r="AR203" s="38" t="s">
        <v>639</v>
      </c>
    </row>
    <row r="204" customFormat="false" ht="12.75" hidden="false" customHeight="false" outlineLevel="0" collapsed="false">
      <c r="AQ204" s="38" t="s">
        <v>640</v>
      </c>
      <c r="AR204" s="38" t="s">
        <v>641</v>
      </c>
    </row>
    <row r="205" customFormat="false" ht="12.75" hidden="false" customHeight="false" outlineLevel="0" collapsed="false">
      <c r="AQ205" s="38" t="s">
        <v>642</v>
      </c>
      <c r="AR205" s="38" t="s">
        <v>643</v>
      </c>
    </row>
    <row r="206" customFormat="false" ht="12.75" hidden="false" customHeight="false" outlineLevel="0" collapsed="false">
      <c r="AQ206" s="38" t="s">
        <v>644</v>
      </c>
      <c r="AR206" s="38" t="s">
        <v>645</v>
      </c>
    </row>
    <row r="207" customFormat="false" ht="12.75" hidden="false" customHeight="false" outlineLevel="0" collapsed="false">
      <c r="AQ207" s="38" t="s">
        <v>646</v>
      </c>
      <c r="AR207" s="38" t="s">
        <v>647</v>
      </c>
    </row>
    <row r="208" customFormat="false" ht="12.75" hidden="false" customHeight="false" outlineLevel="0" collapsed="false">
      <c r="AQ208" s="38" t="s">
        <v>648</v>
      </c>
      <c r="AR208" s="38" t="s">
        <v>649</v>
      </c>
    </row>
    <row r="209" customFormat="false" ht="12.75" hidden="false" customHeight="false" outlineLevel="0" collapsed="false">
      <c r="AQ209" s="38" t="s">
        <v>650</v>
      </c>
      <c r="AR209" s="38" t="s">
        <v>651</v>
      </c>
    </row>
    <row r="210" customFormat="false" ht="12.75" hidden="false" customHeight="false" outlineLevel="0" collapsed="false">
      <c r="AQ210" s="38" t="s">
        <v>652</v>
      </c>
      <c r="AR210" s="38" t="s">
        <v>653</v>
      </c>
    </row>
    <row r="211" customFormat="false" ht="12.75" hidden="false" customHeight="false" outlineLevel="0" collapsed="false">
      <c r="AQ211" s="38" t="s">
        <v>654</v>
      </c>
      <c r="AR211" s="38" t="s">
        <v>654</v>
      </c>
    </row>
    <row r="212" customFormat="false" ht="12.75" hidden="false" customHeight="false" outlineLevel="0" collapsed="false">
      <c r="AQ212" s="38" t="s">
        <v>655</v>
      </c>
      <c r="AR212" s="38" t="s">
        <v>655</v>
      </c>
    </row>
    <row r="213" customFormat="false" ht="12.75" hidden="false" customHeight="false" outlineLevel="0" collapsed="false">
      <c r="AQ213" s="38" t="s">
        <v>656</v>
      </c>
      <c r="AR213" s="38" t="s">
        <v>657</v>
      </c>
    </row>
    <row r="214" customFormat="false" ht="12.75" hidden="false" customHeight="false" outlineLevel="0" collapsed="false">
      <c r="AQ214" s="38" t="s">
        <v>658</v>
      </c>
      <c r="AR214" s="38" t="s">
        <v>657</v>
      </c>
    </row>
    <row r="215" customFormat="false" ht="12.75" hidden="false" customHeight="false" outlineLevel="0" collapsed="false">
      <c r="AQ215" s="38" t="s">
        <v>659</v>
      </c>
      <c r="AR215" s="38" t="s">
        <v>659</v>
      </c>
    </row>
    <row r="216" customFormat="false" ht="12.75" hidden="false" customHeight="false" outlineLevel="0" collapsed="false">
      <c r="AQ216" s="38" t="s">
        <v>660</v>
      </c>
      <c r="AR216" s="38" t="s">
        <v>660</v>
      </c>
    </row>
    <row r="217" customFormat="false" ht="12.75" hidden="false" customHeight="false" outlineLevel="0" collapsed="false">
      <c r="AQ217" s="38" t="s">
        <v>661</v>
      </c>
      <c r="AR217" s="38" t="s">
        <v>662</v>
      </c>
    </row>
    <row r="218" customFormat="false" ht="12.75" hidden="false" customHeight="false" outlineLevel="0" collapsed="false">
      <c r="AQ218" s="38" t="s">
        <v>663</v>
      </c>
      <c r="AR218" s="38" t="s">
        <v>664</v>
      </c>
    </row>
    <row r="219" customFormat="false" ht="12.75" hidden="false" customHeight="false" outlineLevel="0" collapsed="false">
      <c r="AQ219" s="38" t="s">
        <v>665</v>
      </c>
      <c r="AR219" s="38" t="s">
        <v>665</v>
      </c>
    </row>
    <row r="220" customFormat="false" ht="12.75" hidden="false" customHeight="false" outlineLevel="0" collapsed="false">
      <c r="AQ220" s="38" t="s">
        <v>666</v>
      </c>
      <c r="AR220" s="38" t="s">
        <v>667</v>
      </c>
    </row>
    <row r="222" customFormat="false" ht="12.75" hidden="false" customHeight="false" outlineLevel="0" collapsed="false">
      <c r="AQ222" s="61"/>
      <c r="AR222" s="62"/>
    </row>
  </sheetData>
  <sheetProtection algorithmName="SHA-512" hashValue="BGukebSkFfBQWTAN9G0p2DRVvvKDrxuldrtCeXxyu7GscfJU23xbfr2UGCbt5Z72stMYLP7bPzX3VYrg7OUrSQ==" saltValue="FZltpk8NXIcKz74m336AhA==" spinCount="100000" sheet="true" objects="true" scenarios="true" autoFilter="false"/>
  <mergeCells count="9">
    <mergeCell ref="I1:AO1"/>
    <mergeCell ref="B3:C3"/>
    <mergeCell ref="B15:C15"/>
    <mergeCell ref="B21:C21"/>
    <mergeCell ref="B27:C27"/>
    <mergeCell ref="B35:C35"/>
    <mergeCell ref="B46:C46"/>
    <mergeCell ref="B50:C50"/>
    <mergeCell ref="B59:C59"/>
  </mergeCells>
  <conditionalFormatting sqref="B57:C58">
    <cfRule type="expression" priority="2" aboveAverage="0" equalAverage="0" bottom="0" percent="0" rank="0" text="" dxfId="6">
      <formula>CAIXA.Modo=0</formula>
    </cfRule>
  </conditionalFormatting>
  <conditionalFormatting sqref="B59:C61">
    <cfRule type="expression" priority="3" aboveAverage="0" equalAverage="0" bottom="0" percent="0" rank="0" text="" dxfId="7">
      <formula>CAIXA.Modo=0</formula>
    </cfRule>
  </conditionalFormatting>
  <dataValidations count="7">
    <dataValidation allowBlank="true" error="Digite somente datas válidas no formato mm/aaaa." errorStyle="stop" errorTitle="Dados inválidos" operator="between" showDropDown="false" showErrorMessage="true" showInputMessage="false" sqref="C19 C25 C36 C41 C47:C48" type="date">
      <formula1>36526</formula1>
      <formula2>72686</formula2>
    </dataValidation>
    <dataValidation allowBlank="true" errorStyle="stop" operator="between" showDropDown="false" showErrorMessage="true" showInputMessage="false" sqref="C18" type="list">
      <formula1>"(SELECIONAR),NÃO SE APLICA,DESONERADO,NÃO DESONERADO"</formula1>
      <formula2>0</formula2>
    </dataValidation>
    <dataValidation allowBlank="true" error="Digite um valor em percentual.&#10;&#10;Ou seja um valor de 0% (zero) até 100% (cem). " errorStyle="stop" operator="between" showDropDown="false" showErrorMessage="true" showInputMessage="false" sqref="C11 C13:C14" type="decimal">
      <formula1>0</formula1>
      <formula2>1</formula2>
    </dataValidation>
    <dataValidation allowBlank="true" errorStyle="stop" operator="between" showDropDown="false" showErrorMessage="true" showInputMessage="false" sqref="C4" type="list">
      <formula1>"(SELECIONAR),OGU,FGTS"</formula1>
      <formula2>0</formula2>
    </dataValidation>
    <dataValidation allowBlank="true" error="Digite um valor maior do que 0." errorStyle="stop" operator="greaterThan" showDropDown="false" showErrorMessage="true" showInputMessage="false" sqref="C12" type="decimal">
      <formula1>0</formula1>
      <formula2>0</formula2>
    </dataValidation>
    <dataValidation allowBlank="true" errorStyle="stop" operator="between" showDropDown="false" showErrorMessage="true" showInputMessage="false" sqref="C40" type="list">
      <formula1>"(SELECIONAR),INDEFINIDO / NÃO SE APLICA,EMPREITADA POR PREÇO GLOBAL,EMPREITADA POR PREÇO UNITÁRIO,EMPREITADA INTEGRAL,TAREFA,CONTRATAÇÃO INTEGRADA,ADM. DIRETA"</formula1>
      <formula2>0</formula2>
    </dataValidation>
    <dataValidation allowBlank="true" errorStyle="stop" operator="between" showDropDown="false" showErrorMessage="true" showInputMessage="false" sqref="C31" type="list">
      <formula1>"Tradicional,TransfereGOV"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46"/>
  <sheetViews>
    <sheetView showFormulas="false" showGridLines="false" showRowColHeaders="true" showZeros="true" rightToLeft="false" tabSelected="false" showOutlineSymbols="true" defaultGridColor="true" view="normal" topLeftCell="I1" colorId="64" zoomScale="100" zoomScaleNormal="100" zoomScalePageLayoutView="100" workbookViewId="0">
      <pane xSplit="0" ySplit="11" topLeftCell="A12" activePane="bottomLeft" state="frozen"/>
      <selection pane="topLeft" activeCell="I1" activeCellId="0" sqref="I1"/>
      <selection pane="bottomLef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true" outlineLevel="0" max="4" min="1" style="97" width="5.57"/>
    <col collapsed="false" customWidth="true" hidden="true" outlineLevel="0" max="6" min="5" style="97" width="11.43"/>
    <col collapsed="false" customWidth="true" hidden="true" outlineLevel="0" max="7" min="7" style="97" width="11.85"/>
    <col collapsed="false" customWidth="true" hidden="false" outlineLevel="0" max="8" min="8" style="1" width="10.57"/>
    <col collapsed="false" customWidth="true" hidden="false" outlineLevel="0" max="9" min="9" style="1" width="3.57"/>
    <col collapsed="false" customWidth="true" hidden="false" outlineLevel="0" max="15" min="10" style="97" width="10.57"/>
    <col collapsed="false" customWidth="true" hidden="false" outlineLevel="0" max="16" min="16" style="97" width="12.86"/>
    <col collapsed="false" customWidth="true" hidden="false" outlineLevel="0" max="19" min="17" style="97" width="10.57"/>
  </cols>
  <sheetData>
    <row r="1" customFormat="false" ht="15" hidden="false" customHeight="false" outlineLevel="0" collapsed="false">
      <c r="E1" s="98" t="s">
        <v>668</v>
      </c>
      <c r="F1" s="98" t="s">
        <v>669</v>
      </c>
      <c r="G1" s="98" t="s">
        <v>670</v>
      </c>
      <c r="O1" s="99" t="str">
        <f aca="false">"Quadro de Composição do BDI"</f>
        <v>Quadro de Composição do BDI</v>
      </c>
      <c r="R1" s="100" t="s">
        <v>671</v>
      </c>
      <c r="S1" s="100"/>
    </row>
    <row r="2" customFormat="false" ht="12.75" hidden="false" customHeight="false" outlineLevel="0" collapsed="false">
      <c r="A2" s="97" t="s">
        <v>672</v>
      </c>
      <c r="B2" s="101" t="s">
        <v>673</v>
      </c>
      <c r="C2" s="97" t="str">
        <f aca="false">CONCATENATE(A2,"-",B2)</f>
        <v>Construção e Reforma de Edifícios-AC</v>
      </c>
      <c r="E2" s="102" t="n">
        <v>0.03</v>
      </c>
      <c r="F2" s="102" t="n">
        <v>0.04</v>
      </c>
      <c r="G2" s="102" t="n">
        <v>0.055</v>
      </c>
      <c r="R2" s="60" t="s">
        <v>674</v>
      </c>
      <c r="S2" s="60"/>
    </row>
    <row r="3" customFormat="false" ht="12.75" hidden="false" customHeight="false" outlineLevel="0" collapsed="false">
      <c r="A3" s="97" t="str">
        <f aca="false">A2</f>
        <v>Construção e Reforma de Edifícios</v>
      </c>
      <c r="B3" s="101" t="s">
        <v>675</v>
      </c>
      <c r="C3" s="97" t="str">
        <f aca="false">CONCATENATE(A3,"-",B3)</f>
        <v>Construção e Reforma de Edifícios-SG</v>
      </c>
      <c r="E3" s="102" t="n">
        <v>0.008</v>
      </c>
      <c r="F3" s="102" t="n">
        <v>0.008</v>
      </c>
      <c r="G3" s="102" t="n">
        <v>0.01</v>
      </c>
    </row>
    <row r="4" customFormat="false" ht="12.75" hidden="false" customHeight="false" outlineLevel="0" collapsed="false">
      <c r="A4" s="97" t="str">
        <f aca="false">A3</f>
        <v>Construção e Reforma de Edifícios</v>
      </c>
      <c r="B4" s="101" t="s">
        <v>676</v>
      </c>
      <c r="C4" s="97" t="str">
        <f aca="false">CONCATENATE(A4,"-",B4)</f>
        <v>Construção e Reforma de Edifícios-R</v>
      </c>
      <c r="E4" s="102" t="n">
        <v>0.0097</v>
      </c>
      <c r="F4" s="102" t="n">
        <v>0.0127</v>
      </c>
      <c r="G4" s="102" t="n">
        <v>0.0127</v>
      </c>
      <c r="J4" s="103" t="s">
        <v>677</v>
      </c>
      <c r="K4" s="103"/>
      <c r="L4" s="103" t="s">
        <v>678</v>
      </c>
      <c r="M4" s="103"/>
      <c r="N4" s="103" t="s">
        <v>679</v>
      </c>
      <c r="O4" s="103"/>
      <c r="P4" s="103"/>
      <c r="Q4" s="103"/>
      <c r="R4" s="103"/>
      <c r="S4" s="103"/>
    </row>
    <row r="5" customFormat="false" ht="12.75" hidden="false" customHeight="true" outlineLevel="0" collapsed="false">
      <c r="A5" s="97" t="str">
        <f aca="false">A4</f>
        <v>Construção e Reforma de Edifícios</v>
      </c>
      <c r="B5" s="101" t="s">
        <v>680</v>
      </c>
      <c r="C5" s="97" t="str">
        <f aca="false">CONCATENATE(A5,"-",B5)</f>
        <v>Construção e Reforma de Edifícios-DF</v>
      </c>
      <c r="E5" s="102" t="n">
        <v>0.0059</v>
      </c>
      <c r="F5" s="102" t="n">
        <v>0.0123</v>
      </c>
      <c r="G5" s="102" t="n">
        <v>0.0139</v>
      </c>
      <c r="J5" s="104" t="str">
        <f aca="false">Import.CR</f>
        <v>1100251-88</v>
      </c>
      <c r="K5" s="104"/>
      <c r="L5" s="104" t="str">
        <f aca="false">Import.TransfereGOV</f>
        <v>974240/2024</v>
      </c>
      <c r="M5" s="104"/>
      <c r="N5" s="104" t="str">
        <f aca="false">Import.Proponente</f>
        <v>PREFEITURA MUNICIPAL DE SALINAS</v>
      </c>
      <c r="O5" s="104"/>
      <c r="P5" s="104"/>
      <c r="Q5" s="104"/>
      <c r="R5" s="104"/>
      <c r="S5" s="104"/>
    </row>
    <row r="6" customFormat="false" ht="12.75" hidden="false" customHeight="false" outlineLevel="0" collapsed="false">
      <c r="A6" s="97" t="str">
        <f aca="false">A5</f>
        <v>Construção e Reforma de Edifícios</v>
      </c>
      <c r="B6" s="101" t="s">
        <v>681</v>
      </c>
      <c r="C6" s="97" t="str">
        <f aca="false">CONCATENATE(A6,"-",B6)</f>
        <v>Construção e Reforma de Edifícios-L</v>
      </c>
      <c r="E6" s="102" t="n">
        <v>0.0616</v>
      </c>
      <c r="F6" s="102" t="n">
        <v>0.074</v>
      </c>
      <c r="G6" s="102" t="n">
        <v>0.0896</v>
      </c>
      <c r="I6" s="105" t="s">
        <v>682</v>
      </c>
      <c r="J6" s="106"/>
      <c r="K6" s="106"/>
      <c r="L6" s="106"/>
      <c r="M6" s="106"/>
      <c r="N6" s="106"/>
      <c r="O6" s="106"/>
      <c r="P6" s="106"/>
      <c r="Q6" s="106"/>
      <c r="R6" s="106"/>
      <c r="S6" s="106"/>
    </row>
    <row r="7" customFormat="false" ht="23.85" hidden="false" customHeight="false" outlineLevel="0" collapsed="false">
      <c r="A7" s="97" t="str">
        <f aca="false">A6</f>
        <v>Construção e Reforma de Edifícios</v>
      </c>
      <c r="B7" s="107" t="s">
        <v>683</v>
      </c>
      <c r="C7" s="97" t="str">
        <f aca="false">CONCATENATE(A7,"-",B7)</f>
        <v>Construção e Reforma de Edifícios-BDI PAD</v>
      </c>
      <c r="E7" s="102" t="n">
        <v>0.2034</v>
      </c>
      <c r="F7" s="102" t="n">
        <v>0.2212</v>
      </c>
      <c r="G7" s="102" t="n">
        <v>0.25</v>
      </c>
      <c r="I7" s="105"/>
      <c r="J7" s="103" t="s">
        <v>684</v>
      </c>
      <c r="K7" s="103"/>
      <c r="L7" s="103"/>
      <c r="M7" s="103"/>
      <c r="N7" s="103"/>
      <c r="O7" s="103"/>
      <c r="P7" s="103"/>
      <c r="Q7" s="103"/>
      <c r="R7" s="103"/>
      <c r="S7" s="103"/>
      <c r="U7" s="53" t="str">
        <f aca="false">IF(OR(U10&lt;&gt;"",U11&lt;&gt;""),"Falta preencher os percentuais do ISS",IF(U14&lt;&gt;"","Falta preencher o BDI 1",IF(U54&lt;&gt;"","Falta preencher o BDI 2",IF(U94&lt;&gt;"","Falta preencher o BDI 3",""))))</f>
        <v/>
      </c>
    </row>
    <row r="8" customFormat="false" ht="22.35" hidden="false" customHeight="false" outlineLevel="0" collapsed="false">
      <c r="A8" s="97" t="s">
        <v>685</v>
      </c>
      <c r="B8" s="101" t="s">
        <v>673</v>
      </c>
      <c r="C8" s="97" t="str">
        <f aca="false">CONCATENATE(A8,"-",B8)</f>
        <v>Construção de Praças Urbanas, Rodovias, Ferrovias e recapeamento e pavimentação de vias urbanas-AC</v>
      </c>
      <c r="E8" s="102" t="n">
        <v>0.038</v>
      </c>
      <c r="F8" s="102" t="n">
        <v>0.0401</v>
      </c>
      <c r="G8" s="102" t="n">
        <v>0.0467</v>
      </c>
      <c r="I8" s="105"/>
      <c r="J8" s="108" t="str">
        <f aca="false">Import.Apelido&amp;" / "&amp;Import.DescLote</f>
        <v>CONSTRUÇÃO DE UNIDADES HABITACIONAIS EM ÁREAS URBANAS / CONSTRUÇÃO DE UNIDADES HABITACIONAIS EM ÁREAS URBANAS, NO MUNICIPIO DE SALINAS/MG, UTILIZANDO RECURSOS DO FNHIS, PELO PROGRAMA MINHA CASA MINHA VIDA</v>
      </c>
      <c r="K8" s="108"/>
      <c r="L8" s="108"/>
      <c r="M8" s="108"/>
      <c r="N8" s="108"/>
      <c r="O8" s="108"/>
      <c r="P8" s="108"/>
      <c r="Q8" s="108"/>
      <c r="R8" s="108"/>
      <c r="S8" s="108"/>
      <c r="U8" s="53" t="str">
        <f aca="false">IF(U29="FORA DO INTERVALO","BDI 1 fora do intervalo",IF(U69="FORA DO INTERVALO","BDI 2 fora do intervalo",IF(U109="FORA DO INTERVALO","BDI 3 fora do intervalo","")))</f>
        <v/>
      </c>
    </row>
    <row r="9" customFormat="false" ht="12.75" hidden="false" customHeight="false" outlineLevel="0" collapsed="false">
      <c r="A9" s="97" t="s">
        <v>685</v>
      </c>
      <c r="B9" s="101" t="s">
        <v>675</v>
      </c>
      <c r="C9" s="97" t="str">
        <f aca="false">CONCATENATE(A9,"-",B9)</f>
        <v>Construção de Praças Urbanas, Rodovias, Ferrovias e recapeamento e pavimentação de vias urbanas-SG</v>
      </c>
      <c r="E9" s="102" t="n">
        <v>0.0032</v>
      </c>
      <c r="F9" s="102" t="n">
        <v>0.004</v>
      </c>
      <c r="G9" s="102" t="n">
        <v>0.0074</v>
      </c>
      <c r="I9" s="105"/>
      <c r="J9" s="106"/>
      <c r="K9" s="106"/>
      <c r="L9" s="106"/>
      <c r="M9" s="106"/>
      <c r="N9" s="106"/>
      <c r="O9" s="106"/>
      <c r="P9" s="106"/>
      <c r="Q9" s="106"/>
      <c r="R9" s="106"/>
      <c r="S9" s="106"/>
    </row>
    <row r="10" customFormat="false" ht="12.75" hidden="false" customHeight="true" outlineLevel="0" collapsed="false">
      <c r="A10" s="97" t="s">
        <v>685</v>
      </c>
      <c r="B10" s="101" t="s">
        <v>676</v>
      </c>
      <c r="C10" s="97" t="str">
        <f aca="false">CONCATENATE(A10,"-",B10)</f>
        <v>Construção de Praças Urbanas, Rodovias, Ferrovias e recapeamento e pavimentação de vias urbanas-R</v>
      </c>
      <c r="E10" s="102" t="n">
        <v>0.005</v>
      </c>
      <c r="F10" s="102" t="n">
        <v>0.0056</v>
      </c>
      <c r="G10" s="102" t="n">
        <v>0.0097</v>
      </c>
      <c r="I10" s="105"/>
      <c r="J10" s="109" t="s">
        <v>686</v>
      </c>
      <c r="K10" s="109"/>
      <c r="L10" s="109"/>
      <c r="M10" s="109"/>
      <c r="N10" s="109"/>
      <c r="O10" s="109"/>
      <c r="P10" s="109"/>
      <c r="Q10" s="109"/>
      <c r="R10" s="110" t="n">
        <v>1</v>
      </c>
      <c r="S10" s="110"/>
      <c r="U10" s="111" t="str">
        <f aca="false">IF(R10="","Falta definir a base de cálculo para o ISS","")</f>
        <v/>
      </c>
    </row>
    <row r="11" customFormat="false" ht="12.75" hidden="false" customHeight="true" outlineLevel="0" collapsed="false">
      <c r="A11" s="97" t="s">
        <v>685</v>
      </c>
      <c r="B11" s="101" t="s">
        <v>680</v>
      </c>
      <c r="C11" s="97" t="str">
        <f aca="false">CONCATENATE(A11,"-",B11)</f>
        <v>Construção de Praças Urbanas, Rodovias, Ferrovias e recapeamento e pavimentação de vias urbanas-DF</v>
      </c>
      <c r="E11" s="102" t="n">
        <v>0.0102</v>
      </c>
      <c r="F11" s="102" t="n">
        <v>0.0111</v>
      </c>
      <c r="G11" s="102" t="n">
        <v>0.0121</v>
      </c>
      <c r="I11" s="112" t="s">
        <v>687</v>
      </c>
      <c r="J11" s="113" t="s">
        <v>688</v>
      </c>
      <c r="K11" s="113"/>
      <c r="L11" s="113"/>
      <c r="M11" s="113"/>
      <c r="N11" s="113"/>
      <c r="O11" s="113"/>
      <c r="P11" s="113"/>
      <c r="Q11" s="113"/>
      <c r="R11" s="110" t="n">
        <v>0.03</v>
      </c>
      <c r="S11" s="110"/>
      <c r="U11" s="111" t="str">
        <f aca="false">IF(R11="","Falta definir a alíquota do ISS","")</f>
        <v/>
      </c>
    </row>
    <row r="12" customFormat="false" ht="12.75" hidden="false" customHeight="false" outlineLevel="0" collapsed="false">
      <c r="A12" s="97" t="s">
        <v>685</v>
      </c>
      <c r="B12" s="101" t="s">
        <v>681</v>
      </c>
      <c r="C12" s="97" t="str">
        <f aca="false">CONCATENATE(A12,"-",B12)</f>
        <v>Construção de Praças Urbanas, Rodovias, Ferrovias e recapeamento e pavimentação de vias urbanas-L</v>
      </c>
      <c r="E12" s="102" t="n">
        <v>0.0664</v>
      </c>
      <c r="F12" s="102" t="n">
        <v>0.073</v>
      </c>
      <c r="G12" s="102" t="n">
        <v>0.0869</v>
      </c>
      <c r="I12" s="50" t="s">
        <v>563</v>
      </c>
      <c r="J12" s="114"/>
      <c r="K12" s="114"/>
      <c r="L12" s="114"/>
      <c r="M12" s="114"/>
      <c r="N12" s="114"/>
      <c r="O12" s="114"/>
      <c r="P12" s="114"/>
      <c r="Q12" s="114"/>
      <c r="R12" s="114"/>
      <c r="S12" s="114"/>
    </row>
    <row r="13" customFormat="false" ht="15" hidden="false" customHeight="true" outlineLevel="0" collapsed="false">
      <c r="A13" s="97" t="s">
        <v>685</v>
      </c>
      <c r="B13" s="107" t="s">
        <v>683</v>
      </c>
      <c r="C13" s="97" t="str">
        <f aca="false">CONCATENATE(A13,"-",B13)</f>
        <v>Construção de Praças Urbanas, Rodovias, Ferrovias e recapeamento e pavimentação de vias urbanas-BDI PAD</v>
      </c>
      <c r="E13" s="102" t="n">
        <v>0.196</v>
      </c>
      <c r="F13" s="102" t="n">
        <v>0.2097</v>
      </c>
      <c r="G13" s="102" t="n">
        <v>0.2423</v>
      </c>
      <c r="I13" s="50" t="s">
        <v>563</v>
      </c>
    </row>
    <row r="14" customFormat="false" ht="15" hidden="false" customHeight="false" outlineLevel="0" collapsed="false">
      <c r="A14" s="97" t="s">
        <v>689</v>
      </c>
      <c r="B14" s="101" t="s">
        <v>673</v>
      </c>
      <c r="C14" s="97" t="str">
        <f aca="false">CONCATENATE(A14,"-",B14)</f>
        <v>Construção de Redes de Abastecimento de Água, Coleta de Esgoto-AC</v>
      </c>
      <c r="E14" s="102" t="n">
        <v>0.0343</v>
      </c>
      <c r="F14" s="102" t="n">
        <v>0.0493</v>
      </c>
      <c r="G14" s="102" t="n">
        <v>0.0671</v>
      </c>
      <c r="I14" s="50" t="s">
        <v>563</v>
      </c>
      <c r="J14" s="115" t="s">
        <v>690</v>
      </c>
      <c r="K14" s="115"/>
      <c r="L14" s="115"/>
      <c r="M14" s="115"/>
      <c r="N14" s="115"/>
      <c r="O14" s="115"/>
      <c r="P14" s="115"/>
      <c r="Q14" s="115"/>
      <c r="R14" s="115"/>
      <c r="S14" s="115"/>
      <c r="U14" s="53" t="str">
        <f aca="false">IF(COUNTIF(ORÇAMENTO!$V$15:$V$205,BDI_1.Título)=0,"",IF(OR(Import.BDI.Tipo1="(SELECIONAR)",Import.BDI.Tipo1="",U17&lt;&gt;"",AND($J17&lt;&gt;$A$145,OR(S21="",S22="",AND($J17&lt;&gt;$A$146,OR(S23="",S24="")),S25="",S26=""))),"Falta preencher o BDI 1",""))</f>
        <v/>
      </c>
    </row>
    <row r="15" customFormat="false" ht="12.75" hidden="false" customHeight="false" outlineLevel="0" collapsed="false">
      <c r="A15" s="97" t="str">
        <f aca="false">A14</f>
        <v>Construção de Redes de Abastecimento de Água, Coleta de Esgoto</v>
      </c>
      <c r="B15" s="101" t="s">
        <v>675</v>
      </c>
      <c r="C15" s="97" t="str">
        <f aca="false">CONCATENATE(A15,"-",B15)</f>
        <v>Construção de Redes de Abastecimento de Água, Coleta de Esgoto-SG</v>
      </c>
      <c r="E15" s="102" t="n">
        <v>0.0028</v>
      </c>
      <c r="F15" s="102" t="n">
        <v>0.0049</v>
      </c>
      <c r="G15" s="102" t="n">
        <v>0.0075</v>
      </c>
      <c r="I15" s="50" t="s">
        <v>563</v>
      </c>
    </row>
    <row r="16" customFormat="false" ht="12.75" hidden="false" customHeight="false" outlineLevel="0" collapsed="false">
      <c r="A16" s="97" t="str">
        <f aca="false">A15</f>
        <v>Construção de Redes de Abastecimento de Água, Coleta de Esgoto</v>
      </c>
      <c r="B16" s="101" t="s">
        <v>676</v>
      </c>
      <c r="C16" s="97" t="str">
        <f aca="false">CONCATENATE(A16,"-",B16)</f>
        <v>Construção de Redes de Abastecimento de Água, Coleta de Esgoto-R</v>
      </c>
      <c r="E16" s="102" t="n">
        <v>0.01</v>
      </c>
      <c r="F16" s="102" t="n">
        <v>0.0139</v>
      </c>
      <c r="G16" s="102" t="n">
        <v>0.0174</v>
      </c>
      <c r="I16" s="50" t="s">
        <v>563</v>
      </c>
      <c r="J16" s="103" t="s">
        <v>691</v>
      </c>
      <c r="K16" s="103"/>
      <c r="L16" s="103"/>
      <c r="M16" s="103"/>
      <c r="N16" s="103"/>
      <c r="O16" s="103"/>
      <c r="P16" s="103"/>
      <c r="Q16" s="103"/>
      <c r="R16" s="103"/>
      <c r="S16" s="103"/>
    </row>
    <row r="17" customFormat="false" ht="13.8" hidden="false" customHeight="false" outlineLevel="0" collapsed="false">
      <c r="A17" s="97" t="str">
        <f aca="false">A16</f>
        <v>Construção de Redes de Abastecimento de Água, Coleta de Esgoto</v>
      </c>
      <c r="B17" s="101" t="s">
        <v>680</v>
      </c>
      <c r="C17" s="97" t="str">
        <f aca="false">CONCATENATE(A17,"-",B17)</f>
        <v>Construção de Redes de Abastecimento de Água, Coleta de Esgoto-DF</v>
      </c>
      <c r="E17" s="102" t="n">
        <v>0.0094</v>
      </c>
      <c r="F17" s="102" t="n">
        <v>0.0099</v>
      </c>
      <c r="G17" s="102" t="n">
        <v>0.0117</v>
      </c>
      <c r="I17" s="50" t="s">
        <v>563</v>
      </c>
      <c r="J17" s="116" t="s">
        <v>672</v>
      </c>
      <c r="K17" s="116"/>
      <c r="L17" s="116"/>
      <c r="M17" s="116"/>
      <c r="N17" s="116"/>
      <c r="O17" s="116"/>
      <c r="P17" s="116"/>
      <c r="Q17" s="116"/>
      <c r="R17" s="116"/>
      <c r="S17" s="116"/>
      <c r="T17" s="68" t="str">
        <f aca="false">IF(U17="","","◄")</f>
        <v/>
      </c>
      <c r="U17" s="64" t="str">
        <f aca="false">IF(AND(OR(S29&gt;0,COUNTIF(ORÇAMENTO!$V$15:$V$205,BDI_1.Título)&gt;0),OR(Import.BDI.Tipo1="(SELECIONAR)",Import.BDI.Tipo1="")),"Selecione o Tipo de obra","")</f>
        <v/>
      </c>
    </row>
    <row r="18" customFormat="false" ht="12.75" hidden="false" customHeight="false" outlineLevel="0" collapsed="false">
      <c r="A18" s="97" t="str">
        <f aca="false">A17</f>
        <v>Construção de Redes de Abastecimento de Água, Coleta de Esgoto</v>
      </c>
      <c r="B18" s="101" t="s">
        <v>681</v>
      </c>
      <c r="C18" s="97" t="str">
        <f aca="false">CONCATENATE(A18,"-",B18)</f>
        <v>Construção de Redes de Abastecimento de Água, Coleta de Esgoto-L</v>
      </c>
      <c r="E18" s="102" t="n">
        <v>0.0674</v>
      </c>
      <c r="F18" s="102" t="n">
        <v>0.0804</v>
      </c>
      <c r="G18" s="102" t="n">
        <v>0.094</v>
      </c>
      <c r="I18" s="50" t="s">
        <v>563</v>
      </c>
    </row>
    <row r="19" customFormat="false" ht="12.75" hidden="false" customHeight="true" outlineLevel="0" collapsed="false">
      <c r="A19" s="97" t="str">
        <f aca="false">A18</f>
        <v>Construção de Redes de Abastecimento de Água, Coleta de Esgoto</v>
      </c>
      <c r="B19" s="107" t="s">
        <v>683</v>
      </c>
      <c r="C19" s="97" t="str">
        <f aca="false">CONCATENATE(A19,"-",B19)</f>
        <v>Construção de Redes de Abastecimento de Água, Coleta de Esgoto-BDI PAD</v>
      </c>
      <c r="E19" s="102" t="n">
        <v>0.2076</v>
      </c>
      <c r="F19" s="102" t="n">
        <v>0.2418</v>
      </c>
      <c r="G19" s="102" t="n">
        <v>0.2644</v>
      </c>
      <c r="I19" s="50" t="s">
        <v>563</v>
      </c>
      <c r="J19" s="117" t="s">
        <v>692</v>
      </c>
      <c r="K19" s="117"/>
      <c r="L19" s="117"/>
      <c r="M19" s="117"/>
      <c r="N19" s="117"/>
      <c r="O19" s="117"/>
      <c r="P19" s="117"/>
      <c r="Q19" s="117"/>
      <c r="R19" s="117" t="s">
        <v>693</v>
      </c>
      <c r="S19" s="118" t="s">
        <v>694</v>
      </c>
      <c r="U19" s="118" t="s">
        <v>695</v>
      </c>
      <c r="V19" s="118"/>
      <c r="W19" s="118"/>
      <c r="X19" s="119" t="s">
        <v>696</v>
      </c>
      <c r="Y19" s="119" t="s">
        <v>697</v>
      </c>
      <c r="Z19" s="119" t="s">
        <v>698</v>
      </c>
    </row>
    <row r="20" customFormat="false" ht="12.75" hidden="false" customHeight="true" outlineLevel="0" collapsed="false">
      <c r="A20" s="97" t="s">
        <v>699</v>
      </c>
      <c r="B20" s="101" t="s">
        <v>673</v>
      </c>
      <c r="C20" s="97" t="str">
        <f aca="false">CONCATENATE(A20,"-",B20)</f>
        <v>Construção e Manutenção de Estações e Redes de Distribuição de Energia Elétrica-AC</v>
      </c>
      <c r="E20" s="102" t="n">
        <v>0.0529</v>
      </c>
      <c r="F20" s="102" t="n">
        <v>0.0592</v>
      </c>
      <c r="G20" s="102" t="n">
        <v>0.0793</v>
      </c>
      <c r="I20" s="50" t="s">
        <v>563</v>
      </c>
      <c r="J20" s="117"/>
      <c r="K20" s="117"/>
      <c r="L20" s="117"/>
      <c r="M20" s="117"/>
      <c r="N20" s="117"/>
      <c r="O20" s="117"/>
      <c r="P20" s="117"/>
      <c r="Q20" s="117"/>
      <c r="R20" s="117"/>
      <c r="S20" s="118"/>
      <c r="U20" s="118"/>
      <c r="V20" s="118"/>
      <c r="W20" s="118"/>
      <c r="X20" s="119"/>
      <c r="Y20" s="119"/>
      <c r="Z20" s="119"/>
    </row>
    <row r="21" customFormat="false" ht="15" hidden="false" customHeight="true" outlineLevel="0" collapsed="false">
      <c r="A21" s="97" t="str">
        <f aca="false">A20</f>
        <v>Construção e Manutenção de Estações e Redes de Distribuição de Energia Elétrica</v>
      </c>
      <c r="B21" s="101" t="s">
        <v>675</v>
      </c>
      <c r="C21" s="97" t="str">
        <f aca="false">CONCATENATE(A21,"-",B21)</f>
        <v>Construção e Manutenção de Estações e Redes de Distribuição de Energia Elétrica-SG</v>
      </c>
      <c r="E21" s="102" t="n">
        <v>0.0025</v>
      </c>
      <c r="F21" s="102" t="n">
        <v>0.0051</v>
      </c>
      <c r="G21" s="102" t="n">
        <v>0.0056</v>
      </c>
      <c r="I21" s="50" t="s">
        <v>563</v>
      </c>
      <c r="J21" s="120" t="str">
        <f aca="false">IF($J$17=$A$146,"Encargos Sociais incidentes sobre a mão de obra","Administração Central")</f>
        <v>Administração Central</v>
      </c>
      <c r="K21" s="120"/>
      <c r="L21" s="120"/>
      <c r="M21" s="120"/>
      <c r="N21" s="120"/>
      <c r="O21" s="120"/>
      <c r="P21" s="120"/>
      <c r="Q21" s="120"/>
      <c r="R21" s="121" t="str">
        <f aca="false">IF($J17=$A$146,"K1","AC")</f>
        <v>AC</v>
      </c>
      <c r="S21" s="122" t="n">
        <v>0.055</v>
      </c>
      <c r="T21" s="123" t="str">
        <f aca="false">IF(AND($U$14&lt;&gt;"",$U$17="",R21&lt;&gt;"",S21=""),"◄","")</f>
        <v/>
      </c>
      <c r="U21" s="124" t="str">
        <f aca="false">IFERROR(IF(T21="◄","FALTA PREENCHER",IF(AND(OR(S21&gt;=X21,X21="-"),OR(S21&lt;=Z21,Z21="-")),"OK","FORA DO INTERVALO")),"-")</f>
        <v>OK</v>
      </c>
      <c r="V21" s="124"/>
      <c r="W21" s="124"/>
      <c r="X21" s="125" t="n">
        <f aca="false">VLOOKUP(CONCATENATE(J17,"-",R21),$C$2:$G$136,3,FALSE())</f>
        <v>0.03</v>
      </c>
      <c r="Y21" s="125" t="n">
        <f aca="false">VLOOKUP(CONCATENATE(J17,"-",R21),$C$2:$G$136,4,FALSE())</f>
        <v>0.04</v>
      </c>
      <c r="Z21" s="125" t="n">
        <f aca="false">VLOOKUP(CONCATENATE(J17,"-",R21),$C$2:$G$136,5,FALSE())</f>
        <v>0.055</v>
      </c>
    </row>
    <row r="22" customFormat="false" ht="15" hidden="false" customHeight="true" outlineLevel="0" collapsed="false">
      <c r="A22" s="97" t="str">
        <f aca="false">A21</f>
        <v>Construção e Manutenção de Estações e Redes de Distribuição de Energia Elétrica</v>
      </c>
      <c r="B22" s="101" t="s">
        <v>676</v>
      </c>
      <c r="C22" s="97" t="str">
        <f aca="false">CONCATENATE(A22,"-",B22)</f>
        <v>Construção e Manutenção de Estações e Redes de Distribuição de Energia Elétrica-R</v>
      </c>
      <c r="E22" s="102" t="n">
        <v>0.01</v>
      </c>
      <c r="F22" s="102" t="n">
        <v>0.0148</v>
      </c>
      <c r="G22" s="102" t="n">
        <v>0.0197</v>
      </c>
      <c r="I22" s="50" t="s">
        <v>563</v>
      </c>
      <c r="J22" s="120" t="str">
        <f aca="false">IF($J$17=$A$146,"Administração Central da empresa ou consultoria - overhead","Seguro e Garantia")</f>
        <v>Seguro e Garantia</v>
      </c>
      <c r="K22" s="120"/>
      <c r="L22" s="120"/>
      <c r="M22" s="120"/>
      <c r="N22" s="120"/>
      <c r="O22" s="120"/>
      <c r="P22" s="120"/>
      <c r="Q22" s="120"/>
      <c r="R22" s="121" t="str">
        <f aca="false">IF($J17=$A$146,"K2","SG")</f>
        <v>SG</v>
      </c>
      <c r="S22" s="122" t="n">
        <v>0.01</v>
      </c>
      <c r="T22" s="123" t="str">
        <f aca="false">IF(AND($U$14&lt;&gt;"",$U$17="",R22&lt;&gt;"",S22=""),"◄","")</f>
        <v/>
      </c>
      <c r="U22" s="124" t="str">
        <f aca="false">IFERROR(IF(T22="◄","FALTA PREENCHER",IF(AND(OR(S22&gt;=X22,X22="-"),OR(S22&lt;=Z22,Z22="-")),"OK","FORA DO INTERVALO")),"-")</f>
        <v>OK</v>
      </c>
      <c r="V22" s="124"/>
      <c r="W22" s="124"/>
      <c r="X22" s="125" t="n">
        <f aca="false">VLOOKUP(CONCATENATE(J17,"-",R22),$C$2:$G$136,3,FALSE())</f>
        <v>0.008</v>
      </c>
      <c r="Y22" s="125" t="n">
        <f aca="false">VLOOKUP(CONCATENATE(J17,"-",R22),$C$2:$G$136,4,FALSE())</f>
        <v>0.008</v>
      </c>
      <c r="Z22" s="125" t="n">
        <f aca="false">VLOOKUP(CONCATENATE(J17,"-",R22),$C$2:$G$136,5,FALSE())</f>
        <v>0.01</v>
      </c>
    </row>
    <row r="23" customFormat="false" ht="15" hidden="false" customHeight="true" outlineLevel="0" collapsed="false">
      <c r="A23" s="97" t="str">
        <f aca="false">A22</f>
        <v>Construção e Manutenção de Estações e Redes de Distribuição de Energia Elétrica</v>
      </c>
      <c r="B23" s="101" t="s">
        <v>680</v>
      </c>
      <c r="C23" s="97" t="str">
        <f aca="false">CONCATENATE(A23,"-",B23)</f>
        <v>Construção e Manutenção de Estações e Redes de Distribuição de Energia Elétrica-DF</v>
      </c>
      <c r="E23" s="102" t="n">
        <v>0.0101</v>
      </c>
      <c r="F23" s="102" t="n">
        <v>0.0107</v>
      </c>
      <c r="G23" s="102" t="n">
        <v>0.0111</v>
      </c>
      <c r="I23" s="50" t="s">
        <v>563</v>
      </c>
      <c r="J23" s="120" t="s">
        <v>700</v>
      </c>
      <c r="K23" s="120"/>
      <c r="L23" s="120"/>
      <c r="M23" s="120"/>
      <c r="N23" s="120"/>
      <c r="O23" s="120"/>
      <c r="P23" s="120"/>
      <c r="Q23" s="120"/>
      <c r="R23" s="121" t="str">
        <f aca="false">IF($J17=$A$146,"","R")</f>
        <v>R</v>
      </c>
      <c r="S23" s="122" t="n">
        <v>0.0127</v>
      </c>
      <c r="T23" s="123" t="str">
        <f aca="false">IF(AND($U$14&lt;&gt;"",$U$17="",R23&lt;&gt;"",S23=""),"◄","")</f>
        <v/>
      </c>
      <c r="U23" s="124" t="str">
        <f aca="false">IFERROR(IF(T23="◄","FALTA PREENCHER",IF(AND(OR(S23&gt;=X23,X23="-"),OR(S23&lt;=Z23,Z23="-")),"OK","FORA DO INTERVALO")),"-")</f>
        <v>OK</v>
      </c>
      <c r="V23" s="124"/>
      <c r="W23" s="124"/>
      <c r="X23" s="125" t="n">
        <f aca="false">VLOOKUP(CONCATENATE(J17,"-",R23),$C$2:$G$136,3,FALSE())</f>
        <v>0.0097</v>
      </c>
      <c r="Y23" s="125" t="n">
        <f aca="false">VLOOKUP(CONCATENATE(J17,"-",R23),$C$2:$G$136,4,FALSE())</f>
        <v>0.0127</v>
      </c>
      <c r="Z23" s="125" t="n">
        <f aca="false">VLOOKUP(CONCATENATE(J17,"-",R23),$C$2:$G$136,5,FALSE())</f>
        <v>0.0127</v>
      </c>
    </row>
    <row r="24" customFormat="false" ht="15" hidden="false" customHeight="true" outlineLevel="0" collapsed="false">
      <c r="A24" s="97" t="str">
        <f aca="false">A23</f>
        <v>Construção e Manutenção de Estações e Redes de Distribuição de Energia Elétrica</v>
      </c>
      <c r="B24" s="101" t="s">
        <v>681</v>
      </c>
      <c r="C24" s="97" t="str">
        <f aca="false">CONCATENATE(A24,"-",B24)</f>
        <v>Construção e Manutenção de Estações e Redes de Distribuição de Energia Elétrica-L</v>
      </c>
      <c r="E24" s="102" t="n">
        <v>0.08</v>
      </c>
      <c r="F24" s="102" t="n">
        <v>0.0831</v>
      </c>
      <c r="G24" s="102" t="n">
        <v>0.0951</v>
      </c>
      <c r="I24" s="50" t="s">
        <v>563</v>
      </c>
      <c r="J24" s="120" t="s">
        <v>701</v>
      </c>
      <c r="K24" s="120"/>
      <c r="L24" s="120"/>
      <c r="M24" s="120"/>
      <c r="N24" s="120"/>
      <c r="O24" s="120"/>
      <c r="P24" s="120"/>
      <c r="Q24" s="120"/>
      <c r="R24" s="121" t="str">
        <f aca="false">IF($J17=$A$146,"","DF")</f>
        <v>DF</v>
      </c>
      <c r="S24" s="122" t="n">
        <v>0.0123</v>
      </c>
      <c r="T24" s="123" t="str">
        <f aca="false">IF(AND($U$14&lt;&gt;"",$U$17="",R24&lt;&gt;"",S24=""),"◄","")</f>
        <v/>
      </c>
      <c r="U24" s="124" t="str">
        <f aca="false">IFERROR(IF(T24="◄","FALTA PREENCHER",IF(AND(OR(S24&gt;=X24,X24="-"),OR(S24&lt;=Z24,Z24="-")),"OK","FORA DO INTERVALO")),"-")</f>
        <v>OK</v>
      </c>
      <c r="V24" s="124"/>
      <c r="W24" s="124"/>
      <c r="X24" s="125" t="n">
        <f aca="false">VLOOKUP(CONCATENATE(J17,"-",R24),$C$2:$G$136,3,FALSE())</f>
        <v>0.0059</v>
      </c>
      <c r="Y24" s="125" t="n">
        <f aca="false">VLOOKUP(CONCATENATE(J17,"-",R24),$C$2:$G$136,4,FALSE())</f>
        <v>0.0123</v>
      </c>
      <c r="Z24" s="125" t="n">
        <f aca="false">VLOOKUP(CONCATENATE(J17,"-",R24),$C$2:$G$136,5,FALSE())</f>
        <v>0.0139</v>
      </c>
    </row>
    <row r="25" customFormat="false" ht="15" hidden="false" customHeight="true" outlineLevel="0" collapsed="false">
      <c r="A25" s="97" t="str">
        <f aca="false">A24</f>
        <v>Construção e Manutenção de Estações e Redes de Distribuição de Energia Elétrica</v>
      </c>
      <c r="B25" s="107" t="s">
        <v>683</v>
      </c>
      <c r="C25" s="97" t="str">
        <f aca="false">CONCATENATE(A25,"-",B25)</f>
        <v>Construção e Manutenção de Estações e Redes de Distribuição de Energia Elétrica-BDI PAD</v>
      </c>
      <c r="E25" s="102" t="n">
        <v>0.24</v>
      </c>
      <c r="F25" s="102" t="n">
        <v>0.2584</v>
      </c>
      <c r="G25" s="102" t="n">
        <v>0.2786</v>
      </c>
      <c r="I25" s="50" t="s">
        <v>563</v>
      </c>
      <c r="J25" s="120" t="str">
        <f aca="false">IF($J$17=$A$146,"Margem bruta da empresa de consultoria","Lucro")</f>
        <v>Lucro</v>
      </c>
      <c r="K25" s="120"/>
      <c r="L25" s="120"/>
      <c r="M25" s="120"/>
      <c r="N25" s="120"/>
      <c r="O25" s="120"/>
      <c r="P25" s="120"/>
      <c r="Q25" s="120"/>
      <c r="R25" s="121" t="str">
        <f aca="false">IF($J17=$A$146,"K3","L")</f>
        <v>L</v>
      </c>
      <c r="S25" s="122" t="n">
        <v>0.0616</v>
      </c>
      <c r="T25" s="123" t="str">
        <f aca="false">IF(AND($U$14&lt;&gt;"",$U$17="",R25&lt;&gt;"",S25=""),"◄","")</f>
        <v/>
      </c>
      <c r="U25" s="124" t="str">
        <f aca="false">IFERROR(IF(T25="◄","FALTA PREENCHER",IF(AND(OR(S25&gt;=X25,X25="-"),OR(S25&lt;=Z25,Z25="-")),"OK","FORA DO INTERVALO")),"-")</f>
        <v>OK</v>
      </c>
      <c r="V25" s="124"/>
      <c r="W25" s="124"/>
      <c r="X25" s="125" t="n">
        <f aca="false">VLOOKUP(CONCATENATE(J17,"-",R25),$C$2:$G$136,3,FALSE())</f>
        <v>0.0616</v>
      </c>
      <c r="Y25" s="125" t="n">
        <f aca="false">VLOOKUP(CONCATENATE(J17,"-",R25),$C$2:$G$136,4,FALSE())</f>
        <v>0.074</v>
      </c>
      <c r="Z25" s="125" t="n">
        <f aca="false">VLOOKUP(CONCATENATE(J17,"-",R25),$C$2:$G$136,5,FALSE())</f>
        <v>0.0896</v>
      </c>
    </row>
    <row r="26" customFormat="false" ht="15" hidden="false" customHeight="true" outlineLevel="0" collapsed="false">
      <c r="A26" s="97" t="s">
        <v>702</v>
      </c>
      <c r="B26" s="101" t="s">
        <v>673</v>
      </c>
      <c r="C26" s="97" t="str">
        <f aca="false">CONCATENATE(A26,"-",B26)</f>
        <v>Obras Portuárias, Marítimas e Fluviais-AC</v>
      </c>
      <c r="E26" s="102" t="n">
        <v>0.04</v>
      </c>
      <c r="F26" s="102" t="n">
        <v>0.0552</v>
      </c>
      <c r="G26" s="102" t="n">
        <v>0.0785</v>
      </c>
      <c r="I26" s="50" t="s">
        <v>563</v>
      </c>
      <c r="J26" s="120" t="s">
        <v>703</v>
      </c>
      <c r="K26" s="120"/>
      <c r="L26" s="120"/>
      <c r="M26" s="120"/>
      <c r="N26" s="120"/>
      <c r="O26" s="120"/>
      <c r="P26" s="120"/>
      <c r="Q26" s="120"/>
      <c r="R26" s="121" t="s">
        <v>483</v>
      </c>
      <c r="S26" s="122" t="n">
        <v>0.0365</v>
      </c>
      <c r="T26" s="123" t="str">
        <f aca="false">IF(AND($U$14&lt;&gt;"",$U$17="",R26&lt;&gt;"",S26=""),"◄","")</f>
        <v/>
      </c>
      <c r="U26" s="124" t="str">
        <f aca="false">IFERROR(IF(T26="◄","FALTA PREENCHER",IF(AND(OR(S26&gt;=X26,X26="-"),OR(S26&lt;=Z26,Z26="-")),"OK","FORA DO INTERVALO")),"-")</f>
        <v>OK</v>
      </c>
      <c r="V26" s="124"/>
      <c r="W26" s="124"/>
      <c r="X26" s="125" t="n">
        <f aca="false">Y26</f>
        <v>0.0365</v>
      </c>
      <c r="Y26" s="125" t="n">
        <f aca="false">IF($J17=$A$145,"-",3.65%)</f>
        <v>0.0365</v>
      </c>
      <c r="Z26" s="125" t="n">
        <f aca="false">Y26</f>
        <v>0.0365</v>
      </c>
    </row>
    <row r="27" customFormat="false" ht="15" hidden="false" customHeight="true" outlineLevel="0" collapsed="false">
      <c r="A27" s="97" t="str">
        <f aca="false">A26</f>
        <v>Obras Portuárias, Marítimas e Fluviais</v>
      </c>
      <c r="B27" s="101" t="s">
        <v>675</v>
      </c>
      <c r="C27" s="97" t="str">
        <f aca="false">CONCATENATE(A27,"-",B27)</f>
        <v>Obras Portuárias, Marítimas e Fluviais-SG</v>
      </c>
      <c r="E27" s="102" t="n">
        <v>0.0081</v>
      </c>
      <c r="F27" s="102" t="n">
        <v>0.0122</v>
      </c>
      <c r="G27" s="102" t="n">
        <v>0.0199</v>
      </c>
      <c r="I27" s="50" t="s">
        <v>563</v>
      </c>
      <c r="J27" s="120" t="s">
        <v>704</v>
      </c>
      <c r="K27" s="120"/>
      <c r="L27" s="120"/>
      <c r="M27" s="120"/>
      <c r="N27" s="120"/>
      <c r="O27" s="120"/>
      <c r="P27" s="120"/>
      <c r="Q27" s="120"/>
      <c r="R27" s="121" t="s">
        <v>705</v>
      </c>
      <c r="S27" s="125" t="n">
        <f aca="true">IF(AND($J17&lt;&gt;$A$145,COUNTA(OFFSET(S20,1,0,6))&gt;0),$R$11*$R$10,0)</f>
        <v>0.03</v>
      </c>
      <c r="U27" s="124" t="str">
        <f aca="false">IFERROR(IF(T27="◄","FALTA PREENCHER",IF(AND(OR(S27&gt;=X27,X27="-"),OR(S27&lt;=Z27,Z27="-")),"OK","FORA DO INTERVALO")),"-")</f>
        <v>OK</v>
      </c>
      <c r="V27" s="124"/>
      <c r="W27" s="124"/>
      <c r="X27" s="125" t="n">
        <v>0</v>
      </c>
      <c r="Y27" s="125" t="n">
        <v>0.025</v>
      </c>
      <c r="Z27" s="125" t="n">
        <v>0.05</v>
      </c>
    </row>
    <row r="28" customFormat="false" ht="15" hidden="false" customHeight="true" outlineLevel="0" collapsed="false">
      <c r="A28" s="97" t="str">
        <f aca="false">A27</f>
        <v>Obras Portuárias, Marítimas e Fluviais</v>
      </c>
      <c r="B28" s="101" t="s">
        <v>676</v>
      </c>
      <c r="C28" s="97" t="str">
        <f aca="false">CONCATENATE(A28,"-",B28)</f>
        <v>Obras Portuárias, Marítimas e Fluviais-R</v>
      </c>
      <c r="E28" s="102" t="n">
        <v>0.0146</v>
      </c>
      <c r="F28" s="102" t="n">
        <v>0.0232</v>
      </c>
      <c r="G28" s="102" t="n">
        <v>0.0316</v>
      </c>
      <c r="I28" s="50" t="s">
        <v>563</v>
      </c>
      <c r="J28" s="120" t="s">
        <v>706</v>
      </c>
      <c r="K28" s="120"/>
      <c r="L28" s="120"/>
      <c r="M28" s="120"/>
      <c r="N28" s="120"/>
      <c r="O28" s="120"/>
      <c r="P28" s="120"/>
      <c r="Q28" s="120"/>
      <c r="R28" s="121" t="s">
        <v>707</v>
      </c>
      <c r="S28" s="125" t="n">
        <f aca="true" t="array" ref="S28:S28">IF(BDI.Opcao&lt;&gt;"Desonerado",0,IF(AND($J17&lt;&gt;$A$145,COUNTA(OFFSET(S20,1,0,6))&gt;0),IF(YEAR(Import.DataBase)&lt;2025,4.5%,IF(YEAR(Import.DataBase)=2025,3.6%,IF(YEAR(Import.DataBase)=2026,2.7%,IF(YEAR(Import.DataBase)=2027,1.8%,0%)))),0%))</f>
        <v>0.036</v>
      </c>
      <c r="U28" s="124" t="str">
        <f aca="false">IFERROR(IF(T28="◄","FALTA PREENCHER",IF(AND(OR(S28&gt;=X28,X28="-"),OR(S28&lt;=Z28,Z28="-")),"OK","FORA DO INTERVALO")),"-")</f>
        <v>OK</v>
      </c>
      <c r="V28" s="124"/>
      <c r="W28" s="124"/>
      <c r="X28" s="126" t="n">
        <f aca="false">$S28</f>
        <v>0.036</v>
      </c>
      <c r="Y28" s="126" t="n">
        <f aca="false">$S28</f>
        <v>0.036</v>
      </c>
      <c r="Z28" s="126" t="n">
        <f aca="false">$S28</f>
        <v>0.036</v>
      </c>
    </row>
    <row r="29" customFormat="false" ht="15" hidden="false" customHeight="true" outlineLevel="0" collapsed="false">
      <c r="A29" s="97" t="str">
        <f aca="false">A28</f>
        <v>Obras Portuárias, Marítimas e Fluviais</v>
      </c>
      <c r="B29" s="101" t="s">
        <v>680</v>
      </c>
      <c r="C29" s="97" t="str">
        <f aca="false">CONCATENATE(A29,"-",B29)</f>
        <v>Obras Portuárias, Marítimas e Fluviais-DF</v>
      </c>
      <c r="E29" s="102" t="n">
        <v>0.0094</v>
      </c>
      <c r="F29" s="102" t="n">
        <v>0.0102</v>
      </c>
      <c r="G29" s="102" t="n">
        <v>0.0133</v>
      </c>
      <c r="I29" s="50" t="s">
        <v>563</v>
      </c>
      <c r="J29" s="120" t="s">
        <v>708</v>
      </c>
      <c r="K29" s="120"/>
      <c r="L29" s="120"/>
      <c r="M29" s="120"/>
      <c r="N29" s="120"/>
      <c r="O29" s="120"/>
      <c r="P29" s="120"/>
      <c r="Q29" s="120"/>
      <c r="R29" s="127" t="s">
        <v>683</v>
      </c>
      <c r="S29" s="125" t="n">
        <f aca="false">IF($J17=$A$145,0,ROUND((((1+S21+S22+S23)*(1+S24)*(1+S25)/(1-(S26+S27)))-1),4))</f>
        <v>0.2407</v>
      </c>
      <c r="U29" s="118" t="str">
        <f aca="false">IFERROR(IF(AND(OR(S29&gt;=X29,X29="-"),OR(S29&lt;=Z29,Z29="-")),"OK","FORA DO INTERVALO"),IF(S29=0,"OK","Selecione o Tipo de obra"))</f>
        <v>OK</v>
      </c>
      <c r="V29" s="118"/>
      <c r="W29" s="118"/>
      <c r="X29" s="125" t="n">
        <f aca="false">IF($J17=$A$145,0,VLOOKUP(CONCATENATE($J17,"-",$R29),$C$2:$G$136,3,FALSE()))</f>
        <v>0.2034</v>
      </c>
      <c r="Y29" s="125" t="n">
        <f aca="false">IF($J17=$A$145,0,VLOOKUP(CONCATENATE($J17,"-",$R29),$C$2:$G$136,4,FALSE()))</f>
        <v>0.2212</v>
      </c>
      <c r="Z29" s="125" t="n">
        <f aca="false">IF($J17=$A$145,0,VLOOKUP(CONCATENATE($J17,"-",$R29),$C$2:$G$136,5,FALSE()))</f>
        <v>0.25</v>
      </c>
    </row>
    <row r="30" customFormat="false" ht="15" hidden="false" customHeight="true" outlineLevel="0" collapsed="false">
      <c r="A30" s="97" t="str">
        <f aca="false">A29</f>
        <v>Obras Portuárias, Marítimas e Fluviais</v>
      </c>
      <c r="B30" s="101" t="s">
        <v>681</v>
      </c>
      <c r="C30" s="97" t="str">
        <f aca="false">CONCATENATE(A30,"-",B30)</f>
        <v>Obras Portuárias, Marítimas e Fluviais-L</v>
      </c>
      <c r="E30" s="102" t="n">
        <v>0.0714</v>
      </c>
      <c r="F30" s="102" t="n">
        <v>0.084</v>
      </c>
      <c r="G30" s="102" t="n">
        <v>0.1043</v>
      </c>
      <c r="I30" s="50" t="s">
        <v>563</v>
      </c>
      <c r="J30" s="128" t="s">
        <v>709</v>
      </c>
      <c r="K30" s="128"/>
      <c r="L30" s="128"/>
      <c r="M30" s="128"/>
      <c r="N30" s="128"/>
      <c r="O30" s="128"/>
      <c r="P30" s="128"/>
      <c r="Q30" s="128"/>
      <c r="R30" s="128" t="s">
        <v>710</v>
      </c>
      <c r="S30" s="129" t="n">
        <f aca="false">IF($J17=$A$145,0,ROUND((((1+S21+S22+S23)*(1+S24)*(1+S25)/(1-(S26+S27+S28)))-1),4))</f>
        <v>0.2904</v>
      </c>
    </row>
    <row r="31" customFormat="false" ht="15" hidden="false" customHeight="true" outlineLevel="0" collapsed="false">
      <c r="A31" s="97" t="str">
        <f aca="false">A30</f>
        <v>Obras Portuárias, Marítimas e Fluviais</v>
      </c>
      <c r="B31" s="107" t="s">
        <v>683</v>
      </c>
      <c r="C31" s="97" t="str">
        <f aca="false">CONCATENATE(A31,"-",B31)</f>
        <v>Obras Portuárias, Marítimas e Fluviais-BDI PAD</v>
      </c>
      <c r="E31" s="102" t="n">
        <v>0.228</v>
      </c>
      <c r="F31" s="102" t="n">
        <v>0.2748</v>
      </c>
      <c r="G31" s="102" t="n">
        <v>0.3095</v>
      </c>
      <c r="I31" s="50" t="s">
        <v>563</v>
      </c>
    </row>
    <row r="32" customFormat="false" ht="15" hidden="false" customHeight="false" outlineLevel="0" collapsed="false">
      <c r="A32" s="97" t="s">
        <v>711</v>
      </c>
      <c r="B32" s="101" t="s">
        <v>673</v>
      </c>
      <c r="C32" s="97" t="str">
        <f aca="false">CONCATENATE(A32,"-",B32)</f>
        <v>Fornecimento de Materiais e Equipamentos (aquisição indireta - em conjunto com licitação de obras)-AC</v>
      </c>
      <c r="E32" s="102" t="n">
        <v>0.015</v>
      </c>
      <c r="F32" s="102" t="n">
        <v>0.0345</v>
      </c>
      <c r="G32" s="102" t="n">
        <v>0.0449</v>
      </c>
      <c r="I32" s="50" t="s">
        <v>563</v>
      </c>
      <c r="J32" s="130" t="str">
        <f aca="false">IF(U29&lt;&gt;"ok","X","")</f>
        <v/>
      </c>
      <c r="K32" s="131" t="str">
        <f aca="false">IF(U29&lt;&gt;"ok","Anexo: Relatório Técnico Circunstanciado justificando a adoção do percentual de cada parcela do BDI.","")</f>
        <v/>
      </c>
      <c r="L32" s="131"/>
      <c r="M32" s="131"/>
      <c r="N32" s="131"/>
      <c r="O32" s="131"/>
      <c r="P32" s="131"/>
      <c r="Q32" s="131"/>
      <c r="R32" s="131"/>
      <c r="S32" s="131"/>
    </row>
    <row r="33" customFormat="false" ht="12.75" hidden="false" customHeight="false" outlineLevel="0" collapsed="false">
      <c r="A33" s="97" t="str">
        <f aca="false">A32</f>
        <v>Fornecimento de Materiais e Equipamentos (aquisição indireta - em conjunto com licitação de obras)</v>
      </c>
      <c r="B33" s="101" t="s">
        <v>675</v>
      </c>
      <c r="C33" s="97" t="str">
        <f aca="false">CONCATENATE(A33,"-",B33)</f>
        <v>Fornecimento de Materiais e Equipamentos (aquisição indireta - em conjunto com licitação de obras)-SG</v>
      </c>
      <c r="E33" s="102" t="n">
        <v>0.003</v>
      </c>
      <c r="F33" s="102" t="n">
        <v>0.0048</v>
      </c>
      <c r="G33" s="102" t="n">
        <v>0.0082</v>
      </c>
      <c r="I33" s="50" t="s">
        <v>563</v>
      </c>
    </row>
    <row r="34" customFormat="false" ht="12.75" hidden="false" customHeight="false" outlineLevel="0" collapsed="false">
      <c r="A34" s="97" t="str">
        <f aca="false">A33</f>
        <v>Fornecimento de Materiais e Equipamentos (aquisição indireta - em conjunto com licitação de obras)</v>
      </c>
      <c r="B34" s="101" t="s">
        <v>676</v>
      </c>
      <c r="C34" s="97" t="str">
        <f aca="false">CONCATENATE(A34,"-",B34)</f>
        <v>Fornecimento de Materiais e Equipamentos (aquisição indireta - em conjunto com licitação de obras)-R</v>
      </c>
      <c r="E34" s="102" t="n">
        <v>0.0056</v>
      </c>
      <c r="F34" s="102" t="n">
        <v>0.0085</v>
      </c>
      <c r="G34" s="102" t="n">
        <v>0.0089</v>
      </c>
      <c r="I34" s="50" t="s">
        <v>563</v>
      </c>
      <c r="J34" s="132" t="s">
        <v>712</v>
      </c>
      <c r="K34" s="132"/>
      <c r="L34" s="132"/>
      <c r="M34" s="132"/>
      <c r="N34" s="132"/>
      <c r="O34" s="132"/>
      <c r="P34" s="132"/>
      <c r="Q34" s="132"/>
      <c r="R34" s="132"/>
      <c r="S34" s="132"/>
    </row>
    <row r="35" customFormat="false" ht="15" hidden="false" customHeight="false" outlineLevel="0" collapsed="false">
      <c r="A35" s="97" t="str">
        <f aca="false">A34</f>
        <v>Fornecimento de Materiais e Equipamentos (aquisição indireta - em conjunto com licitação de obras)</v>
      </c>
      <c r="B35" s="101" t="s">
        <v>680</v>
      </c>
      <c r="C35" s="97" t="str">
        <f aca="false">CONCATENATE(A35,"-",B35)</f>
        <v>Fornecimento de Materiais e Equipamentos (aquisição indireta - em conjunto com licitação de obras)-DF</v>
      </c>
      <c r="E35" s="102" t="n">
        <v>0.0085</v>
      </c>
      <c r="F35" s="102" t="n">
        <v>0.0085</v>
      </c>
      <c r="G35" s="102" t="n">
        <v>0.0111</v>
      </c>
      <c r="I35" s="50" t="s">
        <v>563</v>
      </c>
      <c r="J35" s="133"/>
      <c r="K35" s="133"/>
      <c r="L35" s="133"/>
      <c r="M35" s="134" t="s">
        <v>713</v>
      </c>
      <c r="N35" s="135" t="str">
        <f aca="false">IF($J17=$A$146,"(1+K1+K2)*(1+K3)","(1+AC + S + R + G)*(1 + DF)*(1+L)")</f>
        <v>(1+AC + S + R + G)*(1 + DF)*(1+L)</v>
      </c>
      <c r="O35" s="135"/>
      <c r="P35" s="135"/>
      <c r="Q35" s="136" t="s">
        <v>714</v>
      </c>
      <c r="R35" s="133"/>
      <c r="S35" s="133"/>
    </row>
    <row r="36" customFormat="false" ht="15" hidden="false" customHeight="false" outlineLevel="0" collapsed="false">
      <c r="A36" s="97" t="str">
        <f aca="false">A35</f>
        <v>Fornecimento de Materiais e Equipamentos (aquisição indireta - em conjunto com licitação de obras)</v>
      </c>
      <c r="B36" s="101" t="s">
        <v>681</v>
      </c>
      <c r="C36" s="97" t="str">
        <f aca="false">CONCATENATE(A36,"-",B36)</f>
        <v>Fornecimento de Materiais e Equipamentos (aquisição indireta - em conjunto com licitação de obras)-L</v>
      </c>
      <c r="E36" s="102" t="n">
        <v>0.035</v>
      </c>
      <c r="F36" s="102" t="n">
        <v>0.0511</v>
      </c>
      <c r="G36" s="102" t="n">
        <v>0.0622</v>
      </c>
      <c r="I36" s="50" t="s">
        <v>563</v>
      </c>
      <c r="J36" s="133"/>
      <c r="K36" s="133"/>
      <c r="L36" s="133"/>
      <c r="M36" s="134"/>
      <c r="N36" s="137" t="s">
        <v>715</v>
      </c>
      <c r="O36" s="137"/>
      <c r="P36" s="137"/>
      <c r="Q36" s="136"/>
      <c r="R36" s="133"/>
      <c r="S36" s="133"/>
    </row>
    <row r="37" customFormat="false" ht="15" hidden="false" customHeight="true" outlineLevel="0" collapsed="false">
      <c r="A37" s="97" t="str">
        <f aca="false">A36</f>
        <v>Fornecimento de Materiais e Equipamentos (aquisição indireta - em conjunto com licitação de obras)</v>
      </c>
      <c r="B37" s="107" t="s">
        <v>683</v>
      </c>
      <c r="C37" s="97" t="str">
        <f aca="false">CONCATENATE(A37,"-",B37)</f>
        <v>Fornecimento de Materiais e Equipamentos (aquisição indireta - em conjunto com licitação de obras)-BDI PAD</v>
      </c>
      <c r="E37" s="102" t="n">
        <v>0.111</v>
      </c>
      <c r="F37" s="102" t="n">
        <v>0.1402</v>
      </c>
      <c r="G37" s="102" t="n">
        <v>0.168</v>
      </c>
      <c r="I37" s="50" t="s">
        <v>563</v>
      </c>
      <c r="J37" s="138"/>
      <c r="K37" s="138"/>
      <c r="L37" s="138"/>
      <c r="M37" s="138"/>
      <c r="N37" s="138"/>
      <c r="O37" s="138"/>
      <c r="P37" s="138"/>
      <c r="Q37" s="138"/>
      <c r="R37" s="138"/>
      <c r="S37" s="138"/>
    </row>
    <row r="38" customFormat="false" ht="49.5" hidden="false" customHeight="true" outlineLevel="0" collapsed="false">
      <c r="A38" s="97" t="s">
        <v>716</v>
      </c>
      <c r="B38" s="107" t="s">
        <v>673</v>
      </c>
      <c r="C38" s="97" t="str">
        <f aca="false">CONCATENATE(A38,"-",B38)</f>
        <v>Fornecimento de Materiais e Equipamentos (aquisição direta)-AC</v>
      </c>
      <c r="E38" s="102" t="s">
        <v>717</v>
      </c>
      <c r="F38" s="102" t="s">
        <v>717</v>
      </c>
      <c r="G38" s="102" t="s">
        <v>717</v>
      </c>
      <c r="I38" s="38" t="s">
        <v>563</v>
      </c>
      <c r="J38" s="139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38" s="139"/>
      <c r="L38" s="139"/>
      <c r="M38" s="139"/>
      <c r="N38" s="139"/>
      <c r="O38" s="139"/>
      <c r="P38" s="139"/>
      <c r="Q38" s="139"/>
      <c r="R38" s="139"/>
      <c r="S38" s="139"/>
    </row>
    <row r="39" customFormat="false" ht="12.75" hidden="false" customHeight="false" outlineLevel="0" collapsed="false">
      <c r="A39" s="97" t="s">
        <v>716</v>
      </c>
      <c r="B39" s="107" t="s">
        <v>675</v>
      </c>
      <c r="C39" s="97" t="str">
        <f aca="false">CONCATENATE(A39,"-",B39)</f>
        <v>Fornecimento de Materiais e Equipamentos (aquisição direta)-SG</v>
      </c>
      <c r="E39" s="102" t="s">
        <v>717</v>
      </c>
      <c r="F39" s="102" t="s">
        <v>717</v>
      </c>
      <c r="G39" s="102" t="s">
        <v>717</v>
      </c>
      <c r="I39" s="38" t="s">
        <v>563</v>
      </c>
    </row>
    <row r="40" customFormat="false" ht="49.5" hidden="false" customHeight="true" outlineLevel="0" collapsed="false">
      <c r="A40" s="97" t="s">
        <v>716</v>
      </c>
      <c r="B40" s="107" t="s">
        <v>676</v>
      </c>
      <c r="C40" s="97" t="str">
        <f aca="false">CONCATENATE(A40,"-",B40)</f>
        <v>Fornecimento de Materiais e Equipamentos (aquisição direta)-R</v>
      </c>
      <c r="E40" s="102" t="s">
        <v>717</v>
      </c>
      <c r="F40" s="102" t="s">
        <v>717</v>
      </c>
      <c r="G40" s="102" t="s">
        <v>717</v>
      </c>
      <c r="I40" s="38" t="s">
        <v>563</v>
      </c>
      <c r="J40" s="139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0" s="139"/>
      <c r="L40" s="139"/>
      <c r="M40" s="139"/>
      <c r="N40" s="139"/>
      <c r="O40" s="139"/>
      <c r="P40" s="139"/>
      <c r="Q40" s="139"/>
      <c r="R40" s="139"/>
      <c r="S40" s="139"/>
    </row>
    <row r="41" customFormat="false" ht="12.75" hidden="false" customHeight="false" outlineLevel="0" collapsed="false">
      <c r="A41" s="97" t="s">
        <v>716</v>
      </c>
      <c r="B41" s="107" t="s">
        <v>680</v>
      </c>
      <c r="C41" s="97" t="str">
        <f aca="false">CONCATENATE(A41,"-",B41)</f>
        <v>Fornecimento de Materiais e Equipamentos (aquisição direta)-DF</v>
      </c>
      <c r="E41" s="102" t="s">
        <v>717</v>
      </c>
      <c r="F41" s="102" t="s">
        <v>717</v>
      </c>
      <c r="G41" s="102" t="s">
        <v>717</v>
      </c>
      <c r="I41" s="38" t="s">
        <v>563</v>
      </c>
    </row>
    <row r="42" customFormat="false" ht="12.75" hidden="false" customHeight="false" outlineLevel="0" collapsed="false">
      <c r="A42" s="97" t="s">
        <v>716</v>
      </c>
      <c r="B42" s="107" t="s">
        <v>681</v>
      </c>
      <c r="C42" s="97" t="str">
        <f aca="false">CONCATENATE(A42,"-",B42)</f>
        <v>Fornecimento de Materiais e Equipamentos (aquisição direta)-L</v>
      </c>
      <c r="E42" s="102" t="s">
        <v>717</v>
      </c>
      <c r="F42" s="102" t="s">
        <v>717</v>
      </c>
      <c r="G42" s="102" t="s">
        <v>717</v>
      </c>
      <c r="I42" s="38" t="s">
        <v>563</v>
      </c>
      <c r="J42" s="97" t="s">
        <v>718</v>
      </c>
    </row>
    <row r="43" customFormat="false" ht="99.75" hidden="false" customHeight="true" outlineLevel="0" collapsed="false">
      <c r="A43" s="97" t="s">
        <v>716</v>
      </c>
      <c r="B43" s="107" t="s">
        <v>683</v>
      </c>
      <c r="C43" s="97" t="str">
        <f aca="false">CONCATENATE(A43,"-",B43)</f>
        <v>Fornecimento de Materiais e Equipamentos (aquisição direta)-BDI PAD</v>
      </c>
      <c r="E43" s="102" t="s">
        <v>717</v>
      </c>
      <c r="F43" s="102" t="s">
        <v>717</v>
      </c>
      <c r="G43" s="102" t="s">
        <v>717</v>
      </c>
      <c r="I43" s="38" t="s">
        <v>563</v>
      </c>
      <c r="J43" s="140"/>
      <c r="K43" s="140"/>
      <c r="L43" s="140"/>
      <c r="M43" s="140"/>
      <c r="N43" s="140"/>
      <c r="O43" s="140"/>
      <c r="P43" s="140"/>
      <c r="Q43" s="140"/>
      <c r="R43" s="140"/>
      <c r="S43" s="140"/>
    </row>
    <row r="44" customFormat="false" ht="12.75" hidden="false" customHeight="false" outlineLevel="0" collapsed="false">
      <c r="A44" s="97" t="s">
        <v>719</v>
      </c>
      <c r="B44" s="101" t="s">
        <v>720</v>
      </c>
      <c r="C44" s="97" t="str">
        <f aca="false">CONCATENATE(A44,"-",B44)</f>
        <v>Estudos e Projetos, Planos e Gerenciamento e outros correlatos-K1</v>
      </c>
      <c r="E44" s="102" t="s">
        <v>717</v>
      </c>
      <c r="F44" s="102" t="s">
        <v>717</v>
      </c>
      <c r="G44" s="102" t="s">
        <v>717</v>
      </c>
      <c r="I44" s="38" t="s">
        <v>563</v>
      </c>
    </row>
    <row r="45" customFormat="false" ht="12.75" hidden="false" customHeight="false" outlineLevel="0" collapsed="false">
      <c r="A45" s="97" t="str">
        <f aca="false">A44</f>
        <v>Estudos e Projetos, Planos e Gerenciamento e outros correlatos</v>
      </c>
      <c r="B45" s="101" t="s">
        <v>721</v>
      </c>
      <c r="C45" s="97" t="str">
        <f aca="false">CONCATENATE(A45,"-",B45)</f>
        <v>Estudos e Projetos, Planos e Gerenciamento e outros correlatos-K2</v>
      </c>
      <c r="E45" s="102" t="s">
        <v>717</v>
      </c>
      <c r="F45" s="102" t="n">
        <v>0.2</v>
      </c>
      <c r="G45" s="102" t="s">
        <v>717</v>
      </c>
      <c r="I45" s="38" t="s">
        <v>563</v>
      </c>
      <c r="J45" s="141" t="str">
        <f aca="false">Import.Município</f>
        <v>SALINAS</v>
      </c>
      <c r="K45" s="141"/>
      <c r="L45" s="141"/>
      <c r="M45" s="141"/>
      <c r="P45" s="142" t="n">
        <f aca="false">DADOS!$C$25</f>
        <v>45845</v>
      </c>
      <c r="Q45" s="142"/>
      <c r="R45" s="142"/>
      <c r="S45" s="142"/>
    </row>
    <row r="46" customFormat="false" ht="12.75" hidden="false" customHeight="false" outlineLevel="0" collapsed="false">
      <c r="A46" s="97" t="str">
        <f aca="false">A45</f>
        <v>Estudos e Projetos, Planos e Gerenciamento e outros correlatos</v>
      </c>
      <c r="B46" s="101"/>
      <c r="C46" s="97" t="str">
        <f aca="false">CONCATENATE(A46,"-",B46)</f>
        <v>Estudos e Projetos, Planos e Gerenciamento e outros correlatos-</v>
      </c>
      <c r="E46" s="102" t="s">
        <v>717</v>
      </c>
      <c r="F46" s="102" t="s">
        <v>717</v>
      </c>
      <c r="G46" s="102" t="s">
        <v>717</v>
      </c>
      <c r="I46" s="38" t="s">
        <v>563</v>
      </c>
      <c r="J46" s="143" t="s">
        <v>722</v>
      </c>
      <c r="K46" s="143"/>
      <c r="L46" s="143"/>
      <c r="M46" s="143"/>
      <c r="O46" s="144"/>
      <c r="P46" s="145" t="s">
        <v>723</v>
      </c>
      <c r="Q46" s="146"/>
      <c r="R46" s="146"/>
      <c r="S46" s="146"/>
    </row>
    <row r="47" customFormat="false" ht="30" hidden="false" customHeight="true" outlineLevel="0" collapsed="false">
      <c r="A47" s="97" t="str">
        <f aca="false">A46</f>
        <v>Estudos e Projetos, Planos e Gerenciamento e outros correlatos</v>
      </c>
      <c r="B47" s="101"/>
      <c r="C47" s="97" t="str">
        <f aca="false">CONCATENATE(A47,"-",B47)</f>
        <v>Estudos e Projetos, Planos e Gerenciamento e outros correlatos-</v>
      </c>
      <c r="E47" s="102" t="s">
        <v>717</v>
      </c>
      <c r="F47" s="102" t="s">
        <v>717</v>
      </c>
      <c r="G47" s="102" t="s">
        <v>717</v>
      </c>
      <c r="I47" s="38" t="s">
        <v>563</v>
      </c>
    </row>
    <row r="48" customFormat="false" ht="13.8" hidden="false" customHeight="false" outlineLevel="0" collapsed="false">
      <c r="A48" s="97" t="str">
        <f aca="false">A47</f>
        <v>Estudos e Projetos, Planos e Gerenciamento e outros correlatos</v>
      </c>
      <c r="B48" s="101" t="s">
        <v>724</v>
      </c>
      <c r="C48" s="97" t="str">
        <f aca="false">CONCATENATE(A48,"-",B48)</f>
        <v>Estudos e Projetos, Planos e Gerenciamento e outros correlatos-K3</v>
      </c>
      <c r="E48" s="102" t="s">
        <v>717</v>
      </c>
      <c r="F48" s="102" t="n">
        <v>0.12</v>
      </c>
      <c r="G48" s="102" t="s">
        <v>717</v>
      </c>
      <c r="I48" s="38" t="s">
        <v>563</v>
      </c>
      <c r="J48" s="147"/>
      <c r="K48" s="147"/>
      <c r="L48" s="147"/>
      <c r="M48" s="147"/>
      <c r="N48" s="148"/>
    </row>
    <row r="49" customFormat="false" ht="12.75" hidden="false" customHeight="true" outlineLevel="0" collapsed="false">
      <c r="A49" s="97" t="str">
        <f aca="false">A48</f>
        <v>Estudos e Projetos, Planos e Gerenciamento e outros correlatos</v>
      </c>
      <c r="B49" s="107" t="s">
        <v>683</v>
      </c>
      <c r="C49" s="97" t="str">
        <f aca="false">CONCATENATE(A49,"-",B49)</f>
        <v>Estudos e Projetos, Planos e Gerenciamento e outros correlatos-BDI PAD</v>
      </c>
      <c r="E49" s="102" t="s">
        <v>717</v>
      </c>
      <c r="F49" s="102" t="s">
        <v>717</v>
      </c>
      <c r="G49" s="102" t="s">
        <v>717</v>
      </c>
      <c r="I49" s="38" t="s">
        <v>563</v>
      </c>
      <c r="J49" s="149" t="s">
        <v>725</v>
      </c>
      <c r="K49" s="149"/>
      <c r="L49" s="149"/>
      <c r="M49" s="149"/>
    </row>
    <row r="50" customFormat="false" ht="13.8" hidden="false" customHeight="false" outlineLevel="0" collapsed="false">
      <c r="B50" s="107"/>
      <c r="E50" s="102"/>
      <c r="F50" s="102"/>
      <c r="G50" s="102"/>
      <c r="I50" s="38" t="s">
        <v>563</v>
      </c>
      <c r="J50" s="150" t="s">
        <v>261</v>
      </c>
      <c r="K50" s="151" t="str">
        <f aca="false" t="array" ref="K50:K52">Import.RespOrçamento</f>
        <v>DEBHORA DOS SANTOS GUIMARÃES</v>
      </c>
      <c r="L50" s="152"/>
      <c r="M50" s="152"/>
      <c r="N50" s="148"/>
    </row>
    <row r="51" customFormat="false" ht="13.8" hidden="false" customHeight="false" outlineLevel="0" collapsed="false">
      <c r="I51" s="38" t="s">
        <v>563</v>
      </c>
      <c r="J51" s="150" t="s">
        <v>265</v>
      </c>
      <c r="K51" s="151" t="str">
        <v>111769/D</v>
      </c>
      <c r="L51" s="152"/>
      <c r="M51" s="152"/>
      <c r="N51" s="148"/>
    </row>
    <row r="52" customFormat="false" ht="13.8" hidden="false" customHeight="false" outlineLevel="0" collapsed="false">
      <c r="I52" s="38" t="s">
        <v>563</v>
      </c>
      <c r="J52" s="150" t="s">
        <v>269</v>
      </c>
      <c r="K52" s="151" t="str">
        <v>MG20254000676</v>
      </c>
      <c r="L52" s="152"/>
      <c r="M52" s="152"/>
      <c r="N52" s="148"/>
    </row>
    <row r="53" customFormat="false" ht="13.8" hidden="false" customHeight="false" outlineLevel="0" collapsed="false">
      <c r="I53" s="38" t="s">
        <v>563</v>
      </c>
      <c r="J53" s="150"/>
      <c r="K53" s="153"/>
      <c r="L53" s="152"/>
      <c r="M53" s="152"/>
      <c r="N53" s="148"/>
    </row>
    <row r="54" customFormat="false" ht="15" hidden="false" customHeight="false" outlineLevel="0" collapsed="false">
      <c r="I54" s="1" t="str">
        <f aca="false">IF($S$69=0,"","F")</f>
        <v/>
      </c>
      <c r="J54" s="115" t="s">
        <v>726</v>
      </c>
      <c r="K54" s="115"/>
      <c r="L54" s="115"/>
      <c r="M54" s="115"/>
      <c r="N54" s="115"/>
      <c r="O54" s="115"/>
      <c r="P54" s="115"/>
      <c r="Q54" s="115"/>
      <c r="R54" s="115"/>
      <c r="S54" s="115"/>
      <c r="U54" s="53" t="str">
        <f aca="false">IF(COUNTIF(ORÇAMENTO!$V$15:$V$205,BDI_2.Título)=0,"",IF(OR(Import.BDI.Tipo2="(SELECIONAR)",Import.BDI.Tipo2="",U57&lt;&gt;"",AND($J57&lt;&gt;$A$145,OR(S61="",S62="",AND($J57&lt;&gt;$A$146,OR(S63="",S64="")),S65="",S66=""))),"Falta preencher o BDI 2",""))</f>
        <v/>
      </c>
    </row>
    <row r="55" customFormat="false" ht="12.75" hidden="false" customHeight="false" outlineLevel="0" collapsed="false">
      <c r="I55" s="1" t="str">
        <f aca="false">IF($S$69=0,"","F")</f>
        <v/>
      </c>
    </row>
    <row r="56" customFormat="false" ht="12.75" hidden="false" customHeight="false" outlineLevel="0" collapsed="false">
      <c r="I56" s="1" t="str">
        <f aca="false">IF($S$69=0,"","F")</f>
        <v/>
      </c>
      <c r="J56" s="103" t="s">
        <v>691</v>
      </c>
      <c r="K56" s="103"/>
      <c r="L56" s="103"/>
      <c r="M56" s="103"/>
      <c r="N56" s="103"/>
      <c r="O56" s="103"/>
      <c r="P56" s="103"/>
      <c r="Q56" s="103"/>
      <c r="R56" s="103"/>
      <c r="S56" s="103"/>
    </row>
    <row r="57" customFormat="false" ht="13.8" hidden="false" customHeight="false" outlineLevel="0" collapsed="false">
      <c r="I57" s="1" t="str">
        <f aca="false">IF($S$69=0,"","F")</f>
        <v/>
      </c>
      <c r="J57" s="116" t="s">
        <v>727</v>
      </c>
      <c r="K57" s="116"/>
      <c r="L57" s="116"/>
      <c r="M57" s="116"/>
      <c r="N57" s="116"/>
      <c r="O57" s="116"/>
      <c r="P57" s="116"/>
      <c r="Q57" s="116"/>
      <c r="R57" s="116"/>
      <c r="S57" s="116"/>
      <c r="T57" s="68" t="str">
        <f aca="false">IF(U57="","","◄")</f>
        <v/>
      </c>
      <c r="U57" s="64" t="str">
        <f aca="false">IF(AND(OR(S69&gt;0,COUNTIF(ORÇAMENTO!$V$15:$V$205,BDI_2.Título)&gt;0),OR(Import.BDI.Tipo2="(SELECIONAR)",Import.BDI.Tipo2="")),"Selecione o Tipo de obra","")</f>
        <v/>
      </c>
    </row>
    <row r="58" customFormat="false" ht="12.75" hidden="false" customHeight="false" outlineLevel="0" collapsed="false">
      <c r="I58" s="1" t="str">
        <f aca="false">IF($S$69=0,"","F")</f>
        <v/>
      </c>
    </row>
    <row r="59" customFormat="false" ht="12.75" hidden="false" customHeight="true" outlineLevel="0" collapsed="false">
      <c r="I59" s="1" t="str">
        <f aca="false">IF($S$69=0,"","F")</f>
        <v/>
      </c>
      <c r="J59" s="117" t="s">
        <v>692</v>
      </c>
      <c r="K59" s="117"/>
      <c r="L59" s="117"/>
      <c r="M59" s="117"/>
      <c r="N59" s="117"/>
      <c r="O59" s="117"/>
      <c r="P59" s="117"/>
      <c r="Q59" s="117"/>
      <c r="R59" s="117" t="s">
        <v>693</v>
      </c>
      <c r="S59" s="118" t="s">
        <v>694</v>
      </c>
      <c r="U59" s="118" t="s">
        <v>695</v>
      </c>
      <c r="V59" s="118"/>
      <c r="W59" s="118"/>
      <c r="X59" s="119" t="s">
        <v>696</v>
      </c>
      <c r="Y59" s="119" t="s">
        <v>697</v>
      </c>
      <c r="Z59" s="119" t="s">
        <v>698</v>
      </c>
    </row>
    <row r="60" customFormat="false" ht="12.75" hidden="false" customHeight="true" outlineLevel="0" collapsed="false">
      <c r="I60" s="1" t="str">
        <f aca="false">IF($S$69=0,"","F")</f>
        <v/>
      </c>
      <c r="J60" s="117"/>
      <c r="K60" s="117"/>
      <c r="L60" s="117"/>
      <c r="M60" s="117"/>
      <c r="N60" s="117"/>
      <c r="O60" s="117"/>
      <c r="P60" s="117"/>
      <c r="Q60" s="117"/>
      <c r="R60" s="117"/>
      <c r="S60" s="118"/>
      <c r="U60" s="118"/>
      <c r="V60" s="118"/>
      <c r="W60" s="118"/>
      <c r="X60" s="119"/>
      <c r="Y60" s="119"/>
      <c r="Z60" s="119"/>
    </row>
    <row r="61" customFormat="false" ht="15" hidden="false" customHeight="true" outlineLevel="0" collapsed="false">
      <c r="I61" s="1" t="str">
        <f aca="false">IF($S$69=0,"","F")</f>
        <v/>
      </c>
      <c r="J61" s="120" t="str">
        <f aca="false">IF($J$17=$A$146,"Encargos Sociais incidentes sobre a mão de obra","Administração Central")</f>
        <v>Administração Central</v>
      </c>
      <c r="K61" s="120"/>
      <c r="L61" s="120"/>
      <c r="M61" s="120"/>
      <c r="N61" s="120"/>
      <c r="O61" s="120"/>
      <c r="P61" s="120"/>
      <c r="Q61" s="120"/>
      <c r="R61" s="121" t="str">
        <f aca="false">IF($J57=$A$146,"K1","AC")</f>
        <v>AC</v>
      </c>
      <c r="S61" s="122"/>
      <c r="T61" s="123" t="str">
        <f aca="false">IF(AND($U$54&lt;&gt;"",$U$57="",R61&lt;&gt;"",S61=""),"◄","")</f>
        <v/>
      </c>
      <c r="U61" s="124" t="str">
        <f aca="false">IFERROR(IF(T61="◄","FALTA PREENCHER",IF(AND(OR(S61&gt;=X61,X61="-"),OR(S61&lt;=Z61,Z61="-")),"OK","FORA DO INTERVALO")),"-")</f>
        <v>-</v>
      </c>
      <c r="V61" s="124"/>
      <c r="W61" s="124"/>
      <c r="X61" s="125" t="e">
        <f aca="false">VLOOKUP(CONCATENATE(J57,"-",R61),$C$2:$G$136,3,FALSE())</f>
        <v>#N/A</v>
      </c>
      <c r="Y61" s="125" t="e">
        <f aca="false">VLOOKUP(CONCATENATE(J57,"-",R61),$C$2:$G$136,4,FALSE())</f>
        <v>#N/A</v>
      </c>
      <c r="Z61" s="125" t="e">
        <f aca="false">VLOOKUP(CONCATENATE(J57,"-",R61),$C$2:$G$136,5,FALSE())</f>
        <v>#N/A</v>
      </c>
    </row>
    <row r="62" customFormat="false" ht="15" hidden="false" customHeight="true" outlineLevel="0" collapsed="false">
      <c r="I62" s="1" t="str">
        <f aca="false">IF($S$69=0,"","F")</f>
        <v/>
      </c>
      <c r="J62" s="120" t="str">
        <f aca="false">IF($J$17=$A$146,"Administração Central da empresa ou consultoria - overhead","Seguro e Garantia")</f>
        <v>Seguro e Garantia</v>
      </c>
      <c r="K62" s="120"/>
      <c r="L62" s="120"/>
      <c r="M62" s="120"/>
      <c r="N62" s="120"/>
      <c r="O62" s="120"/>
      <c r="P62" s="120"/>
      <c r="Q62" s="120"/>
      <c r="R62" s="121" t="str">
        <f aca="false">IF($J57=$A$146,"K2","SG")</f>
        <v>SG</v>
      </c>
      <c r="S62" s="122"/>
      <c r="T62" s="123" t="str">
        <f aca="false">IF(AND($U$54&lt;&gt;"",$U$57="",R62&lt;&gt;"",S62=""),"◄","")</f>
        <v/>
      </c>
      <c r="U62" s="124" t="str">
        <f aca="false">IFERROR(IF(T62="◄","FALTA PREENCHER",IF(AND(OR(S62&gt;=X62,X62="-"),OR(S62&lt;=Z62,Z62="-")),"OK","FORA DO INTERVALO")),"-")</f>
        <v>-</v>
      </c>
      <c r="V62" s="124"/>
      <c r="W62" s="124"/>
      <c r="X62" s="125" t="e">
        <f aca="false">VLOOKUP(CONCATENATE(J57,"-",R62),$C$2:$G$136,3,FALSE())</f>
        <v>#N/A</v>
      </c>
      <c r="Y62" s="125" t="e">
        <f aca="false">VLOOKUP(CONCATENATE(J57,"-",R62),$C$2:$G$136,4,FALSE())</f>
        <v>#N/A</v>
      </c>
      <c r="Z62" s="125" t="e">
        <f aca="false">VLOOKUP(CONCATENATE(J57,"-",R62),$C$2:$G$136,5,FALSE())</f>
        <v>#N/A</v>
      </c>
    </row>
    <row r="63" customFormat="false" ht="15" hidden="false" customHeight="true" outlineLevel="0" collapsed="false">
      <c r="I63" s="1" t="str">
        <f aca="false">IF($S$69=0,"","F")</f>
        <v/>
      </c>
      <c r="J63" s="120" t="s">
        <v>700</v>
      </c>
      <c r="K63" s="120"/>
      <c r="L63" s="120"/>
      <c r="M63" s="120"/>
      <c r="N63" s="120"/>
      <c r="O63" s="120"/>
      <c r="P63" s="120"/>
      <c r="Q63" s="120"/>
      <c r="R63" s="121" t="str">
        <f aca="false">IF($J57=$A$146,"","R")</f>
        <v>R</v>
      </c>
      <c r="S63" s="122"/>
      <c r="T63" s="123" t="str">
        <f aca="false">IF(AND($U$54&lt;&gt;"",$U$57="",R63&lt;&gt;"",S63=""),"◄","")</f>
        <v/>
      </c>
      <c r="U63" s="124" t="str">
        <f aca="false">IFERROR(IF(T63="◄","FALTA PREENCHER",IF(AND(OR(S63&gt;=X63,X63="-"),OR(S63&lt;=Z63,Z63="-")),"OK","FORA DO INTERVALO")),"-")</f>
        <v>-</v>
      </c>
      <c r="V63" s="124"/>
      <c r="W63" s="124"/>
      <c r="X63" s="125" t="e">
        <f aca="false">VLOOKUP(CONCATENATE(J57,"-",R63),$C$2:$G$136,3,FALSE())</f>
        <v>#N/A</v>
      </c>
      <c r="Y63" s="125" t="e">
        <f aca="false">VLOOKUP(CONCATENATE(J57,"-",R63),$C$2:$G$136,4,FALSE())</f>
        <v>#N/A</v>
      </c>
      <c r="Z63" s="125" t="e">
        <f aca="false">VLOOKUP(CONCATENATE(J57,"-",R63),$C$2:$G$136,5,FALSE())</f>
        <v>#N/A</v>
      </c>
    </row>
    <row r="64" customFormat="false" ht="15" hidden="false" customHeight="true" outlineLevel="0" collapsed="false">
      <c r="I64" s="1" t="str">
        <f aca="false">IF($S$69=0,"","F")</f>
        <v/>
      </c>
      <c r="J64" s="120" t="s">
        <v>701</v>
      </c>
      <c r="K64" s="120"/>
      <c r="L64" s="120"/>
      <c r="M64" s="120"/>
      <c r="N64" s="120"/>
      <c r="O64" s="120"/>
      <c r="P64" s="120"/>
      <c r="Q64" s="120"/>
      <c r="R64" s="121" t="str">
        <f aca="false">IF($J57=$A$146,"","DF")</f>
        <v>DF</v>
      </c>
      <c r="S64" s="122"/>
      <c r="T64" s="123" t="str">
        <f aca="false">IF(AND($U$54&lt;&gt;"",$U$57="",R64&lt;&gt;"",S64=""),"◄","")</f>
        <v/>
      </c>
      <c r="U64" s="124" t="str">
        <f aca="false">IFERROR(IF(T64="◄","FALTA PREENCHER",IF(AND(OR(S64&gt;=X64,X64="-"),OR(S64&lt;=Z64,Z64="-")),"OK","FORA DO INTERVALO")),"-")</f>
        <v>-</v>
      </c>
      <c r="V64" s="124"/>
      <c r="W64" s="124"/>
      <c r="X64" s="125" t="e">
        <f aca="false">VLOOKUP(CONCATENATE(J57,"-",R64),$C$2:$G$136,3,FALSE())</f>
        <v>#N/A</v>
      </c>
      <c r="Y64" s="125" t="e">
        <f aca="false">VLOOKUP(CONCATENATE(J57,"-",R64),$C$2:$G$136,4,FALSE())</f>
        <v>#N/A</v>
      </c>
      <c r="Z64" s="125" t="e">
        <f aca="false">VLOOKUP(CONCATENATE(J57,"-",R64),$C$2:$G$136,5,FALSE())</f>
        <v>#N/A</v>
      </c>
    </row>
    <row r="65" customFormat="false" ht="15" hidden="false" customHeight="true" outlineLevel="0" collapsed="false">
      <c r="I65" s="1" t="str">
        <f aca="false">IF($S$69=0,"","F")</f>
        <v/>
      </c>
      <c r="J65" s="120" t="str">
        <f aca="false">IF($J$17=$A$146,"Margem bruta da empresa de consultoria","Lucro")</f>
        <v>Lucro</v>
      </c>
      <c r="K65" s="120"/>
      <c r="L65" s="120"/>
      <c r="M65" s="120"/>
      <c r="N65" s="120"/>
      <c r="O65" s="120"/>
      <c r="P65" s="120"/>
      <c r="Q65" s="120"/>
      <c r="R65" s="121" t="str">
        <f aca="false">IF($J57=$A$146,"K3","L")</f>
        <v>L</v>
      </c>
      <c r="S65" s="122"/>
      <c r="T65" s="123" t="str">
        <f aca="false">IF(AND($U$54&lt;&gt;"",$U$57="",R65&lt;&gt;"",S65=""),"◄","")</f>
        <v/>
      </c>
      <c r="U65" s="124" t="str">
        <f aca="false">IFERROR(IF(T65="◄","FALTA PREENCHER",IF(AND(OR(S65&gt;=X65,X65="-"),OR(S65&lt;=Z65,Z65="-")),"OK","FORA DO INTERVALO")),"-")</f>
        <v>-</v>
      </c>
      <c r="V65" s="124"/>
      <c r="W65" s="124"/>
      <c r="X65" s="125" t="e">
        <f aca="false">VLOOKUP(CONCATENATE(J57,"-",R65),$C$2:$G$136,3,FALSE())</f>
        <v>#N/A</v>
      </c>
      <c r="Y65" s="125" t="e">
        <f aca="false">VLOOKUP(CONCATENATE(J57,"-",R65),$C$2:$G$136,4,FALSE())</f>
        <v>#N/A</v>
      </c>
      <c r="Z65" s="125" t="e">
        <f aca="false">VLOOKUP(CONCATENATE(J57,"-",R65),$C$2:$G$136,5,FALSE())</f>
        <v>#N/A</v>
      </c>
    </row>
    <row r="66" customFormat="false" ht="15" hidden="false" customHeight="true" outlineLevel="0" collapsed="false">
      <c r="I66" s="1" t="str">
        <f aca="false">IF($S$69=0,"","F")</f>
        <v/>
      </c>
      <c r="J66" s="120" t="s">
        <v>703</v>
      </c>
      <c r="K66" s="120"/>
      <c r="L66" s="120"/>
      <c r="M66" s="120"/>
      <c r="N66" s="120"/>
      <c r="O66" s="120"/>
      <c r="P66" s="120"/>
      <c r="Q66" s="120"/>
      <c r="R66" s="121" t="s">
        <v>483</v>
      </c>
      <c r="S66" s="122"/>
      <c r="T66" s="123" t="str">
        <f aca="false">IF(AND($U$54&lt;&gt;"",$U$57="",R66&lt;&gt;"",S66=""),"◄","")</f>
        <v/>
      </c>
      <c r="U66" s="124" t="str">
        <f aca="false">IFERROR(IF(T66="◄","FALTA PREENCHER",IF(AND(OR(S66&gt;=X66,X66="-"),OR(S66&lt;=Z66,Z66="-")),"OK","FORA DO INTERVALO")),"-")</f>
        <v>FORA DO INTERVALO</v>
      </c>
      <c r="V66" s="124"/>
      <c r="W66" s="124"/>
      <c r="X66" s="125" t="n">
        <f aca="false">Y66</f>
        <v>0.0365</v>
      </c>
      <c r="Y66" s="125" t="n">
        <f aca="false">IF($J57=$A$145,"-",3.65%)</f>
        <v>0.0365</v>
      </c>
      <c r="Z66" s="125" t="n">
        <f aca="false">Y66</f>
        <v>0.0365</v>
      </c>
    </row>
    <row r="67" customFormat="false" ht="15" hidden="false" customHeight="true" outlineLevel="0" collapsed="false">
      <c r="I67" s="1" t="str">
        <f aca="false">IF($S$69=0,"","F")</f>
        <v/>
      </c>
      <c r="J67" s="120" t="s">
        <v>704</v>
      </c>
      <c r="K67" s="120"/>
      <c r="L67" s="120"/>
      <c r="M67" s="120"/>
      <c r="N67" s="120"/>
      <c r="O67" s="120"/>
      <c r="P67" s="120"/>
      <c r="Q67" s="120"/>
      <c r="R67" s="121" t="s">
        <v>705</v>
      </c>
      <c r="S67" s="125" t="n">
        <f aca="true">IF(AND($J57&lt;&gt;$A$145,COUNTA(OFFSET(S60,1,0,6))&gt;0),$R$11*$R$10,0)</f>
        <v>0</v>
      </c>
      <c r="U67" s="124" t="str">
        <f aca="false">IFERROR(IF(T67="◄","FALTA PREENCHER",IF(AND(OR(S67&gt;=X67,X67="-"),OR(S67&lt;=Z67,Z67="-")),"OK","FORA DO INTERVALO")),"-")</f>
        <v>OK</v>
      </c>
      <c r="V67" s="124"/>
      <c r="W67" s="124"/>
      <c r="X67" s="125" t="n">
        <v>0</v>
      </c>
      <c r="Y67" s="125" t="n">
        <v>0.025</v>
      </c>
      <c r="Z67" s="125" t="n">
        <v>0.05</v>
      </c>
    </row>
    <row r="68" customFormat="false" ht="15" hidden="false" customHeight="true" outlineLevel="0" collapsed="false">
      <c r="I68" s="1" t="str">
        <f aca="false">IF($S$69=0,"","F")</f>
        <v/>
      </c>
      <c r="J68" s="120" t="s">
        <v>706</v>
      </c>
      <c r="K68" s="120"/>
      <c r="L68" s="120"/>
      <c r="M68" s="120"/>
      <c r="N68" s="120"/>
      <c r="O68" s="120"/>
      <c r="P68" s="120"/>
      <c r="Q68" s="120"/>
      <c r="R68" s="121" t="s">
        <v>707</v>
      </c>
      <c r="S68" s="125" t="n">
        <f aca="true" t="array" ref="S68:S68">IF(BDI.Opcao&lt;&gt;"Desonerado",0,IF(AND($J57&lt;&gt;$A$145,COUNTA(OFFSET(S60,1,0,6))&gt;0),IF(YEAR(Import.DataBase)&lt;2025,4.5%,IF(YEAR(Import.DataBase)=2025,3.6%,IF(YEAR(Import.DataBase)=2026,2.7%,IF(YEAR(Import.DataBase)=2027,1.8%,0%)))),0%))</f>
        <v>0</v>
      </c>
      <c r="U68" s="124" t="str">
        <f aca="false">IFERROR(IF(T68="◄","FALTA PREENCHER",IF(AND(OR(S68&gt;=X68,X68="-"),OR(S68&lt;=Z68,Z68="-")),"OK","FORA DO INTERVALO")),"-")</f>
        <v>OK</v>
      </c>
      <c r="V68" s="124"/>
      <c r="W68" s="124"/>
      <c r="X68" s="126" t="n">
        <f aca="false">$S68</f>
        <v>0</v>
      </c>
      <c r="Y68" s="126" t="n">
        <f aca="false">$S68</f>
        <v>0</v>
      </c>
      <c r="Z68" s="126" t="n">
        <f aca="false">$S68</f>
        <v>0</v>
      </c>
    </row>
    <row r="69" customFormat="false" ht="15" hidden="false" customHeight="true" outlineLevel="0" collapsed="false">
      <c r="I69" s="1" t="str">
        <f aca="false">IF($S$69=0,"","F")</f>
        <v/>
      </c>
      <c r="J69" s="120" t="s">
        <v>708</v>
      </c>
      <c r="K69" s="120"/>
      <c r="L69" s="120"/>
      <c r="M69" s="120"/>
      <c r="N69" s="120"/>
      <c r="O69" s="120"/>
      <c r="P69" s="120"/>
      <c r="Q69" s="120"/>
      <c r="R69" s="127" t="s">
        <v>683</v>
      </c>
      <c r="S69" s="125" t="n">
        <f aca="false">IF($J57=$A$145,0,ROUND((((1+S61+S62+S63)*(1+S64)*(1+S65)/(1-(S66+S67)))-1),4))</f>
        <v>0</v>
      </c>
      <c r="U69" s="118" t="str">
        <f aca="false">IFERROR(IF(AND(OR(S69&gt;=X69,X69="-"),OR(S69&lt;=Z69,Z69="-")),"OK","FORA DO INTERVALO"),IF(S69=0,"OK","Selecione o Tipo de obra"))</f>
        <v>OK</v>
      </c>
      <c r="V69" s="118"/>
      <c r="W69" s="118"/>
      <c r="X69" s="125" t="e">
        <f aca="false">IF($J57=$A$145,0,VLOOKUP(CONCATENATE($J57,"-",$R69),$C$2:$G$136,3,FALSE()))</f>
        <v>#N/A</v>
      </c>
      <c r="Y69" s="125" t="e">
        <f aca="false">IF($J57=$A$145,0,VLOOKUP(CONCATENATE($J57,"-",$R69),$C$2:$G$136,4,FALSE()))</f>
        <v>#N/A</v>
      </c>
      <c r="Z69" s="125" t="e">
        <f aca="false">IF($J57=$A$145,0,VLOOKUP(CONCATENATE($J57,"-",$R69),$C$2:$G$136,5,FALSE()))</f>
        <v>#N/A</v>
      </c>
    </row>
    <row r="70" customFormat="false" ht="15" hidden="false" customHeight="true" outlineLevel="0" collapsed="false">
      <c r="I70" s="1" t="str">
        <f aca="false">IF($S$69=0,"","F")</f>
        <v/>
      </c>
      <c r="J70" s="128" t="s">
        <v>709</v>
      </c>
      <c r="K70" s="128"/>
      <c r="L70" s="128"/>
      <c r="M70" s="128"/>
      <c r="N70" s="128"/>
      <c r="O70" s="128"/>
      <c r="P70" s="128"/>
      <c r="Q70" s="128"/>
      <c r="R70" s="128" t="s">
        <v>710</v>
      </c>
      <c r="S70" s="129" t="n">
        <f aca="false">IF($J57=$A$145,0,ROUND((((1+S61+S62+S63)*(1+S64)*(1+S65)/(1-(S66+S67+S68)))-1),4))</f>
        <v>0</v>
      </c>
    </row>
    <row r="71" customFormat="false" ht="15" hidden="false" customHeight="true" outlineLevel="0" collapsed="false">
      <c r="I71" s="1" t="str">
        <f aca="false">IF($S$69=0,"","F")</f>
        <v/>
      </c>
    </row>
    <row r="72" customFormat="false" ht="15" hidden="false" customHeight="false" outlineLevel="0" collapsed="false">
      <c r="I72" s="1" t="str">
        <f aca="false">IF($S$69=0,"","F")</f>
        <v/>
      </c>
      <c r="J72" s="130" t="str">
        <f aca="false">IF(U69&lt;&gt;"ok","X","")</f>
        <v/>
      </c>
      <c r="K72" s="131" t="str">
        <f aca="false">IF(U69&lt;&gt;"ok","Anexo: Relatório Técnico Circunstanciado justificando a adoção do percentual de cada parcela do BDI.","")</f>
        <v/>
      </c>
      <c r="L72" s="131"/>
      <c r="M72" s="131"/>
      <c r="N72" s="131"/>
      <c r="O72" s="131"/>
      <c r="P72" s="131"/>
      <c r="Q72" s="131"/>
      <c r="R72" s="131"/>
      <c r="S72" s="131"/>
    </row>
    <row r="73" customFormat="false" ht="12.75" hidden="false" customHeight="false" outlineLevel="0" collapsed="false">
      <c r="I73" s="1" t="str">
        <f aca="false">IF($S$69=0,"","F")</f>
        <v/>
      </c>
    </row>
    <row r="74" customFormat="false" ht="12.75" hidden="false" customHeight="false" outlineLevel="0" collapsed="false">
      <c r="I74" s="1" t="str">
        <f aca="false">IF($S$69=0,"","F")</f>
        <v/>
      </c>
      <c r="J74" s="132" t="s">
        <v>712</v>
      </c>
      <c r="K74" s="132"/>
      <c r="L74" s="132"/>
      <c r="M74" s="132"/>
      <c r="N74" s="132"/>
      <c r="O74" s="132"/>
      <c r="P74" s="132"/>
      <c r="Q74" s="132"/>
      <c r="R74" s="132"/>
      <c r="S74" s="132"/>
    </row>
    <row r="75" customFormat="false" ht="15" hidden="false" customHeight="false" outlineLevel="0" collapsed="false">
      <c r="I75" s="1" t="str">
        <f aca="false">IF($S$69=0,"","F")</f>
        <v/>
      </c>
      <c r="J75" s="133"/>
      <c r="K75" s="133"/>
      <c r="L75" s="133"/>
      <c r="M75" s="134" t="s">
        <v>713</v>
      </c>
      <c r="N75" s="135" t="str">
        <f aca="false">IF($J57=$A$146,"(1+K1+K2)*(1+K3)","(1+AC + S + R + G)*(1 + DF)*(1+L)")</f>
        <v>(1+AC + S + R + G)*(1 + DF)*(1+L)</v>
      </c>
      <c r="O75" s="135"/>
      <c r="P75" s="135"/>
      <c r="Q75" s="136" t="s">
        <v>714</v>
      </c>
      <c r="R75" s="133"/>
      <c r="S75" s="133"/>
    </row>
    <row r="76" customFormat="false" ht="15" hidden="false" customHeight="false" outlineLevel="0" collapsed="false">
      <c r="I76" s="1" t="str">
        <f aca="false">IF($S$69=0,"","F")</f>
        <v/>
      </c>
      <c r="J76" s="133"/>
      <c r="K76" s="133"/>
      <c r="L76" s="133"/>
      <c r="M76" s="134"/>
      <c r="N76" s="137" t="s">
        <v>715</v>
      </c>
      <c r="O76" s="137"/>
      <c r="P76" s="137"/>
      <c r="Q76" s="136"/>
      <c r="R76" s="133"/>
      <c r="S76" s="133"/>
    </row>
    <row r="77" customFormat="false" ht="15" hidden="false" customHeight="true" outlineLevel="0" collapsed="false">
      <c r="I77" s="1" t="str">
        <f aca="false">IF($S$69=0,"","F")</f>
        <v/>
      </c>
      <c r="J77" s="133"/>
      <c r="K77" s="133"/>
      <c r="L77" s="133"/>
      <c r="M77" s="154"/>
      <c r="N77" s="155"/>
      <c r="O77" s="155"/>
      <c r="P77" s="155"/>
      <c r="Q77" s="156"/>
      <c r="R77" s="133"/>
      <c r="S77" s="133"/>
    </row>
    <row r="78" customFormat="false" ht="49.5" hidden="false" customHeight="true" outlineLevel="0" collapsed="false">
      <c r="I78" s="1" t="str">
        <f aca="false">IF($S$69=0,"","F")</f>
        <v/>
      </c>
      <c r="J78" s="139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78" s="139"/>
      <c r="L78" s="139"/>
      <c r="M78" s="139"/>
      <c r="N78" s="139"/>
      <c r="O78" s="139"/>
      <c r="P78" s="139"/>
      <c r="Q78" s="139"/>
      <c r="R78" s="139"/>
      <c r="S78" s="139"/>
    </row>
    <row r="79" customFormat="false" ht="12.75" hidden="false" customHeight="false" outlineLevel="0" collapsed="false">
      <c r="I79" s="1" t="str">
        <f aca="false">IF($S$69=0,"","F")</f>
        <v/>
      </c>
    </row>
    <row r="80" customFormat="false" ht="49.5" hidden="false" customHeight="true" outlineLevel="0" collapsed="false">
      <c r="I80" s="1" t="str">
        <f aca="false">IF($S$69=0,"","F")</f>
        <v/>
      </c>
      <c r="J80" s="139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80" s="139"/>
      <c r="L80" s="139"/>
      <c r="M80" s="139"/>
      <c r="N80" s="139"/>
      <c r="O80" s="139"/>
      <c r="P80" s="139"/>
      <c r="Q80" s="139"/>
      <c r="R80" s="139"/>
      <c r="S80" s="139"/>
    </row>
    <row r="81" customFormat="false" ht="12.75" hidden="false" customHeight="false" outlineLevel="0" collapsed="false">
      <c r="I81" s="1" t="str">
        <f aca="false">IF($S$69=0,"","F")</f>
        <v/>
      </c>
    </row>
    <row r="82" customFormat="false" ht="12.75" hidden="false" customHeight="false" outlineLevel="0" collapsed="false">
      <c r="I82" s="1" t="str">
        <f aca="false">IF($S$69=0,"","F")</f>
        <v/>
      </c>
      <c r="J82" s="97" t="s">
        <v>718</v>
      </c>
    </row>
    <row r="83" customFormat="false" ht="99.75" hidden="false" customHeight="true" outlineLevel="0" collapsed="false">
      <c r="I83" s="1" t="str">
        <f aca="false">IF($S$69=0,"","F")</f>
        <v/>
      </c>
      <c r="J83" s="140"/>
      <c r="K83" s="140"/>
      <c r="L83" s="140"/>
      <c r="M83" s="140"/>
      <c r="N83" s="140"/>
      <c r="O83" s="140"/>
      <c r="P83" s="140"/>
      <c r="Q83" s="140"/>
      <c r="R83" s="140"/>
      <c r="S83" s="140"/>
    </row>
    <row r="84" customFormat="false" ht="12.75" hidden="false" customHeight="false" outlineLevel="0" collapsed="false">
      <c r="I84" s="1" t="str">
        <f aca="false">IF($S$69=0,"","F")</f>
        <v/>
      </c>
    </row>
    <row r="85" customFormat="false" ht="12.75" hidden="false" customHeight="false" outlineLevel="0" collapsed="false">
      <c r="I85" s="1" t="str">
        <f aca="false">IF($S$69=0,"","F")</f>
        <v/>
      </c>
      <c r="J85" s="141" t="str">
        <f aca="false">Import.Município</f>
        <v>SALINAS</v>
      </c>
      <c r="K85" s="141"/>
      <c r="L85" s="141"/>
      <c r="M85" s="141"/>
      <c r="P85" s="142" t="n">
        <f aca="false">DADOS!$C$25</f>
        <v>45845</v>
      </c>
      <c r="Q85" s="142"/>
      <c r="R85" s="142"/>
      <c r="S85" s="142"/>
    </row>
    <row r="86" customFormat="false" ht="12.75" hidden="false" customHeight="false" outlineLevel="0" collapsed="false">
      <c r="I86" s="1" t="str">
        <f aca="false">IF($S$69=0,"","F")</f>
        <v/>
      </c>
      <c r="J86" s="143" t="s">
        <v>722</v>
      </c>
      <c r="K86" s="143"/>
      <c r="L86" s="143"/>
      <c r="M86" s="143"/>
      <c r="O86" s="144"/>
      <c r="P86" s="145" t="s">
        <v>723</v>
      </c>
      <c r="Q86" s="146"/>
      <c r="R86" s="146"/>
      <c r="S86" s="146"/>
    </row>
    <row r="87" customFormat="false" ht="30" hidden="false" customHeight="true" outlineLevel="0" collapsed="false">
      <c r="I87" s="1" t="str">
        <f aca="false">IF($S$69=0,"","F")</f>
        <v/>
      </c>
    </row>
    <row r="88" customFormat="false" ht="13.8" hidden="false" customHeight="false" outlineLevel="0" collapsed="false">
      <c r="I88" s="1" t="str">
        <f aca="false">IF($S$69=0,"","F")</f>
        <v/>
      </c>
      <c r="J88" s="147"/>
      <c r="K88" s="147"/>
      <c r="L88" s="147"/>
      <c r="M88" s="147"/>
      <c r="N88" s="148"/>
    </row>
    <row r="89" customFormat="false" ht="12.75" hidden="false" customHeight="false" outlineLevel="0" collapsed="false">
      <c r="I89" s="1" t="str">
        <f aca="false">IF($S$69=0,"","F")</f>
        <v/>
      </c>
      <c r="J89" s="149" t="s">
        <v>725</v>
      </c>
      <c r="K89" s="149"/>
      <c r="L89" s="149"/>
      <c r="M89" s="149"/>
    </row>
    <row r="90" customFormat="false" ht="13.8" hidden="false" customHeight="false" outlineLevel="0" collapsed="false">
      <c r="I90" s="1" t="str">
        <f aca="false">IF($S$69=0,"","F")</f>
        <v/>
      </c>
      <c r="J90" s="150" t="s">
        <v>261</v>
      </c>
      <c r="K90" s="151" t="str">
        <f aca="false" t="array" ref="K90:K92">Import.RespOrçamento</f>
        <v>DEBHORA DOS SANTOS GUIMARÃES</v>
      </c>
      <c r="L90" s="152"/>
      <c r="M90" s="152"/>
      <c r="N90" s="148"/>
    </row>
    <row r="91" customFormat="false" ht="13.8" hidden="false" customHeight="false" outlineLevel="0" collapsed="false">
      <c r="I91" s="1" t="str">
        <f aca="false">IF($S$69=0,"","F")</f>
        <v/>
      </c>
      <c r="J91" s="150" t="s">
        <v>265</v>
      </c>
      <c r="K91" s="151" t="str">
        <v>111769/D</v>
      </c>
      <c r="L91" s="152"/>
      <c r="M91" s="152"/>
      <c r="N91" s="148"/>
    </row>
    <row r="92" customFormat="false" ht="13.8" hidden="false" customHeight="false" outlineLevel="0" collapsed="false">
      <c r="I92" s="1" t="str">
        <f aca="false">IF($S$69=0,"","F")</f>
        <v/>
      </c>
      <c r="J92" s="150" t="s">
        <v>269</v>
      </c>
      <c r="K92" s="151" t="str">
        <v>MG20254000676</v>
      </c>
      <c r="L92" s="152"/>
      <c r="M92" s="152"/>
      <c r="N92" s="148"/>
    </row>
    <row r="93" customFormat="false" ht="13.8" hidden="false" customHeight="false" outlineLevel="0" collapsed="false">
      <c r="I93" s="1" t="str">
        <f aca="false">IF($S$69=0,"","F")</f>
        <v/>
      </c>
      <c r="J93" s="150"/>
      <c r="K93" s="153"/>
      <c r="L93" s="152"/>
      <c r="M93" s="152"/>
      <c r="N93" s="148"/>
    </row>
    <row r="94" customFormat="false" ht="15" hidden="false" customHeight="false" outlineLevel="0" collapsed="false">
      <c r="I94" s="1" t="str">
        <f aca="false">IF($S$109=0,"","F")</f>
        <v/>
      </c>
      <c r="J94" s="115" t="s">
        <v>728</v>
      </c>
      <c r="K94" s="115"/>
      <c r="L94" s="115"/>
      <c r="M94" s="115"/>
      <c r="N94" s="115"/>
      <c r="O94" s="115"/>
      <c r="P94" s="115"/>
      <c r="Q94" s="115"/>
      <c r="R94" s="115"/>
      <c r="S94" s="115"/>
      <c r="U94" s="53" t="str">
        <f aca="false">IF(COUNTIF(ORÇAMENTO!$V$15:$V$205,BDI_3.Título)=0,"",IF(OR(Import.BDI.Tipo3="(SELECIONAR)",Import.BDI.Tipo3="",U97&lt;&gt;"",AND($J97&lt;&gt;$A$145,OR(S101="",S102="",AND($J97&lt;&gt;$A$146,OR(S103="",S104="")),S105="",S106=""))),"Falta preencher o BDI 3",""))</f>
        <v/>
      </c>
    </row>
    <row r="95" customFormat="false" ht="12.75" hidden="false" customHeight="false" outlineLevel="0" collapsed="false">
      <c r="I95" s="1" t="str">
        <f aca="false">IF($S$109=0,"","F")</f>
        <v/>
      </c>
    </row>
    <row r="96" customFormat="false" ht="12.75" hidden="false" customHeight="false" outlineLevel="0" collapsed="false">
      <c r="I96" s="1" t="str">
        <f aca="false">IF($S$109=0,"","F")</f>
        <v/>
      </c>
      <c r="J96" s="103" t="s">
        <v>691</v>
      </c>
      <c r="K96" s="103"/>
      <c r="L96" s="103"/>
      <c r="M96" s="103"/>
      <c r="N96" s="103"/>
      <c r="O96" s="103"/>
      <c r="P96" s="103"/>
      <c r="Q96" s="103"/>
      <c r="R96" s="103"/>
      <c r="S96" s="103"/>
    </row>
    <row r="97" customFormat="false" ht="13.8" hidden="false" customHeight="false" outlineLevel="0" collapsed="false">
      <c r="I97" s="1" t="str">
        <f aca="false">IF($S$109=0,"","F")</f>
        <v/>
      </c>
      <c r="J97" s="116" t="s">
        <v>727</v>
      </c>
      <c r="K97" s="116"/>
      <c r="L97" s="116"/>
      <c r="M97" s="116"/>
      <c r="N97" s="116"/>
      <c r="O97" s="116"/>
      <c r="P97" s="116"/>
      <c r="Q97" s="116"/>
      <c r="R97" s="116"/>
      <c r="S97" s="116"/>
      <c r="T97" s="68" t="str">
        <f aca="false">IF(U97="","","◄")</f>
        <v/>
      </c>
      <c r="U97" s="64" t="str">
        <f aca="false">IF(AND(OR(S109&gt;0,COUNTIF(ORÇAMENTO!$V$15:$V$205,BDI_3.Título)&gt;0),OR(Import.BDI.Tipo3="(SELECIONAR)",Import.BDI.Tipo3="")),"Selecione o Tipo de obra","")</f>
        <v/>
      </c>
    </row>
    <row r="98" customFormat="false" ht="12.75" hidden="false" customHeight="false" outlineLevel="0" collapsed="false">
      <c r="I98" s="1" t="str">
        <f aca="false">IF($S$109=0,"","F")</f>
        <v/>
      </c>
    </row>
    <row r="99" customFormat="false" ht="12.75" hidden="false" customHeight="true" outlineLevel="0" collapsed="false">
      <c r="I99" s="1" t="str">
        <f aca="false">IF($S$109=0,"","F")</f>
        <v/>
      </c>
      <c r="J99" s="117" t="s">
        <v>692</v>
      </c>
      <c r="K99" s="117"/>
      <c r="L99" s="117"/>
      <c r="M99" s="117"/>
      <c r="N99" s="117"/>
      <c r="O99" s="117"/>
      <c r="P99" s="117"/>
      <c r="Q99" s="117"/>
      <c r="R99" s="117" t="s">
        <v>693</v>
      </c>
      <c r="S99" s="118" t="s">
        <v>694</v>
      </c>
      <c r="U99" s="118" t="s">
        <v>695</v>
      </c>
      <c r="V99" s="118"/>
      <c r="W99" s="118"/>
      <c r="X99" s="119" t="s">
        <v>696</v>
      </c>
      <c r="Y99" s="119" t="s">
        <v>697</v>
      </c>
      <c r="Z99" s="119" t="s">
        <v>698</v>
      </c>
    </row>
    <row r="100" customFormat="false" ht="12.75" hidden="false" customHeight="true" outlineLevel="0" collapsed="false">
      <c r="I100" s="1" t="str">
        <f aca="false">IF($S$109=0,"","F")</f>
        <v/>
      </c>
      <c r="J100" s="117"/>
      <c r="K100" s="117"/>
      <c r="L100" s="117"/>
      <c r="M100" s="117"/>
      <c r="N100" s="117"/>
      <c r="O100" s="117"/>
      <c r="P100" s="117"/>
      <c r="Q100" s="117"/>
      <c r="R100" s="117"/>
      <c r="S100" s="118"/>
      <c r="U100" s="118"/>
      <c r="V100" s="118"/>
      <c r="W100" s="118"/>
      <c r="X100" s="119"/>
      <c r="Y100" s="119"/>
      <c r="Z100" s="119"/>
    </row>
    <row r="101" customFormat="false" ht="15" hidden="false" customHeight="true" outlineLevel="0" collapsed="false">
      <c r="I101" s="1" t="str">
        <f aca="false">IF($S$109=0,"","F")</f>
        <v/>
      </c>
      <c r="J101" s="120" t="str">
        <f aca="false">IF($J$17=$A$146,"Encargos Sociais incidentes sobre a mão de obra","Administração Central")</f>
        <v>Administração Central</v>
      </c>
      <c r="K101" s="120"/>
      <c r="L101" s="120"/>
      <c r="M101" s="120"/>
      <c r="N101" s="120"/>
      <c r="O101" s="120"/>
      <c r="P101" s="120"/>
      <c r="Q101" s="120"/>
      <c r="R101" s="121" t="str">
        <f aca="false">IF($J97=$A$146,"K1","AC")</f>
        <v>AC</v>
      </c>
      <c r="S101" s="122"/>
      <c r="T101" s="123" t="str">
        <f aca="false">IF(AND($U$94&lt;&gt;"",$U$97="",R101&lt;&gt;"",S101=""),"◄","")</f>
        <v/>
      </c>
      <c r="U101" s="124" t="str">
        <f aca="false">IFERROR(IF(T101="◄","FALTA PREENCHER",IF(AND(OR(S101&gt;=X101,X101="-"),OR(S101&lt;=Z101,Z101="-")),"OK","FORA DO INTERVALO")),"-")</f>
        <v>-</v>
      </c>
      <c r="V101" s="124"/>
      <c r="W101" s="124"/>
      <c r="X101" s="125" t="e">
        <f aca="false">VLOOKUP(CONCATENATE(J97,"-",R101),$C$2:$G$136,3,FALSE())</f>
        <v>#N/A</v>
      </c>
      <c r="Y101" s="125" t="e">
        <f aca="false">VLOOKUP(CONCATENATE(J97,"-",R101),$C$2:$G$136,4,FALSE())</f>
        <v>#N/A</v>
      </c>
      <c r="Z101" s="125" t="e">
        <f aca="false">VLOOKUP(CONCATENATE(J97,"-",R101),$C$2:$G$136,5,FALSE())</f>
        <v>#N/A</v>
      </c>
    </row>
    <row r="102" customFormat="false" ht="15" hidden="false" customHeight="true" outlineLevel="0" collapsed="false">
      <c r="I102" s="1" t="str">
        <f aca="false">IF($S$109=0,"","F")</f>
        <v/>
      </c>
      <c r="J102" s="120" t="str">
        <f aca="false">IF($J$17=$A$146,"Administração Central da empresa ou consultoria - overhead","Seguro e Garantia")</f>
        <v>Seguro e Garantia</v>
      </c>
      <c r="K102" s="120"/>
      <c r="L102" s="120"/>
      <c r="M102" s="120"/>
      <c r="N102" s="120"/>
      <c r="O102" s="120"/>
      <c r="P102" s="120"/>
      <c r="Q102" s="120"/>
      <c r="R102" s="121" t="str">
        <f aca="false">IF($J97=$A$146,"K2","SG")</f>
        <v>SG</v>
      </c>
      <c r="S102" s="122"/>
      <c r="T102" s="123" t="str">
        <f aca="false">IF(AND($U$94&lt;&gt;"",$U$97="",R102&lt;&gt;"",S102=""),"◄","")</f>
        <v/>
      </c>
      <c r="U102" s="124" t="str">
        <f aca="false">IFERROR(IF(T102="◄","FALTA PREENCHER",IF(AND(OR(S102&gt;=X102,X102="-"),OR(S102&lt;=Z102,Z102="-")),"OK","FORA DO INTERVALO")),"-")</f>
        <v>-</v>
      </c>
      <c r="V102" s="124"/>
      <c r="W102" s="124"/>
      <c r="X102" s="125" t="e">
        <f aca="false">VLOOKUP(CONCATENATE(J97,"-",R102),$C$2:$G$136,3,FALSE())</f>
        <v>#N/A</v>
      </c>
      <c r="Y102" s="125" t="e">
        <f aca="false">VLOOKUP(CONCATENATE(J97,"-",R102),$C$2:$G$136,4,FALSE())</f>
        <v>#N/A</v>
      </c>
      <c r="Z102" s="125" t="e">
        <f aca="false">VLOOKUP(CONCATENATE(J97,"-",R102),$C$2:$G$136,5,FALSE())</f>
        <v>#N/A</v>
      </c>
    </row>
    <row r="103" customFormat="false" ht="15" hidden="false" customHeight="true" outlineLevel="0" collapsed="false">
      <c r="I103" s="1" t="str">
        <f aca="false">IF($S$109=0,"","F")</f>
        <v/>
      </c>
      <c r="J103" s="120" t="s">
        <v>700</v>
      </c>
      <c r="K103" s="120"/>
      <c r="L103" s="120"/>
      <c r="M103" s="120"/>
      <c r="N103" s="120"/>
      <c r="O103" s="120"/>
      <c r="P103" s="120"/>
      <c r="Q103" s="120"/>
      <c r="R103" s="121" t="str">
        <f aca="false">IF($J97=$A$146,"","R")</f>
        <v>R</v>
      </c>
      <c r="S103" s="122"/>
      <c r="T103" s="123" t="str">
        <f aca="false">IF(AND($U$94&lt;&gt;"",$U$97="",R103&lt;&gt;"",S103=""),"◄","")</f>
        <v/>
      </c>
      <c r="U103" s="124" t="str">
        <f aca="false">IFERROR(IF(T103="◄","FALTA PREENCHER",IF(AND(OR(S103&gt;=X103,X103="-"),OR(S103&lt;=Z103,Z103="-")),"OK","FORA DO INTERVALO")),"-")</f>
        <v>-</v>
      </c>
      <c r="V103" s="124"/>
      <c r="W103" s="124"/>
      <c r="X103" s="125" t="e">
        <f aca="false">VLOOKUP(CONCATENATE(J97,"-",R103),$C$2:$G$136,3,FALSE())</f>
        <v>#N/A</v>
      </c>
      <c r="Y103" s="125" t="e">
        <f aca="false">VLOOKUP(CONCATENATE(J97,"-",R103),$C$2:$G$136,4,FALSE())</f>
        <v>#N/A</v>
      </c>
      <c r="Z103" s="125" t="e">
        <f aca="false">VLOOKUP(CONCATENATE(J97,"-",R103),$C$2:$G$136,5,FALSE())</f>
        <v>#N/A</v>
      </c>
    </row>
    <row r="104" customFormat="false" ht="15" hidden="false" customHeight="true" outlineLevel="0" collapsed="false">
      <c r="I104" s="1" t="str">
        <f aca="false">IF($S$109=0,"","F")</f>
        <v/>
      </c>
      <c r="J104" s="120" t="s">
        <v>701</v>
      </c>
      <c r="K104" s="120"/>
      <c r="L104" s="120"/>
      <c r="M104" s="120"/>
      <c r="N104" s="120"/>
      <c r="O104" s="120"/>
      <c r="P104" s="120"/>
      <c r="Q104" s="120"/>
      <c r="R104" s="121" t="str">
        <f aca="false">IF($J97=$A$146,"","DF")</f>
        <v>DF</v>
      </c>
      <c r="S104" s="122"/>
      <c r="T104" s="123" t="str">
        <f aca="false">IF(AND($U$94&lt;&gt;"",$U$97="",R104&lt;&gt;"",S104=""),"◄","")</f>
        <v/>
      </c>
      <c r="U104" s="124" t="str">
        <f aca="false">IFERROR(IF(T104="◄","FALTA PREENCHER",IF(AND(OR(S104&gt;=X104,X104="-"),OR(S104&lt;=Z104,Z104="-")),"OK","FORA DO INTERVALO")),"-")</f>
        <v>-</v>
      </c>
      <c r="V104" s="124"/>
      <c r="W104" s="124"/>
      <c r="X104" s="125" t="e">
        <f aca="false">VLOOKUP(CONCATENATE(J97,"-",R104),$C$2:$G$136,3,FALSE())</f>
        <v>#N/A</v>
      </c>
      <c r="Y104" s="125" t="e">
        <f aca="false">VLOOKUP(CONCATENATE(J97,"-",R104),$C$2:$G$136,4,FALSE())</f>
        <v>#N/A</v>
      </c>
      <c r="Z104" s="125" t="e">
        <f aca="false">VLOOKUP(CONCATENATE(J97,"-",R104),$C$2:$G$136,5,FALSE())</f>
        <v>#N/A</v>
      </c>
    </row>
    <row r="105" customFormat="false" ht="15" hidden="false" customHeight="true" outlineLevel="0" collapsed="false">
      <c r="I105" s="1" t="str">
        <f aca="false">IF($S$109=0,"","F")</f>
        <v/>
      </c>
      <c r="J105" s="120" t="str">
        <f aca="false">IF($J$17=$A$146,"Margem bruta da empresa de consultoria","Lucro")</f>
        <v>Lucro</v>
      </c>
      <c r="K105" s="120"/>
      <c r="L105" s="120"/>
      <c r="M105" s="120"/>
      <c r="N105" s="120"/>
      <c r="O105" s="120"/>
      <c r="P105" s="120"/>
      <c r="Q105" s="120"/>
      <c r="R105" s="121" t="str">
        <f aca="false">IF($J97=$A$146,"K3","L")</f>
        <v>L</v>
      </c>
      <c r="S105" s="122"/>
      <c r="T105" s="123" t="str">
        <f aca="false">IF(AND($U$94&lt;&gt;"",$U$97="",R105&lt;&gt;"",S105=""),"◄","")</f>
        <v/>
      </c>
      <c r="U105" s="124" t="str">
        <f aca="false">IFERROR(IF(T105="◄","FALTA PREENCHER",IF(AND(OR(S105&gt;=X105,X105="-"),OR(S105&lt;=Z105,Z105="-")),"OK","FORA DO INTERVALO")),"-")</f>
        <v>-</v>
      </c>
      <c r="V105" s="124"/>
      <c r="W105" s="124"/>
      <c r="X105" s="125" t="e">
        <f aca="false">VLOOKUP(CONCATENATE(J97,"-",R105),$C$2:$G$136,3,FALSE())</f>
        <v>#N/A</v>
      </c>
      <c r="Y105" s="125" t="e">
        <f aca="false">VLOOKUP(CONCATENATE(J97,"-",R105),$C$2:$G$136,4,FALSE())</f>
        <v>#N/A</v>
      </c>
      <c r="Z105" s="125" t="e">
        <f aca="false">VLOOKUP(CONCATENATE(J97,"-",R105),$C$2:$G$136,5,FALSE())</f>
        <v>#N/A</v>
      </c>
    </row>
    <row r="106" customFormat="false" ht="15" hidden="false" customHeight="true" outlineLevel="0" collapsed="false">
      <c r="I106" s="1" t="str">
        <f aca="false">IF($S$109=0,"","F")</f>
        <v/>
      </c>
      <c r="J106" s="120" t="s">
        <v>703</v>
      </c>
      <c r="K106" s="120"/>
      <c r="L106" s="120"/>
      <c r="M106" s="120"/>
      <c r="N106" s="120"/>
      <c r="O106" s="120"/>
      <c r="P106" s="120"/>
      <c r="Q106" s="120"/>
      <c r="R106" s="121" t="s">
        <v>483</v>
      </c>
      <c r="S106" s="122"/>
      <c r="T106" s="123" t="str">
        <f aca="false">IF(AND($U$94&lt;&gt;"",$U$97="",R106&lt;&gt;"",S106=""),"◄","")</f>
        <v/>
      </c>
      <c r="U106" s="124" t="str">
        <f aca="false">IFERROR(IF(T106="◄","FALTA PREENCHER",IF(AND(OR(S106&gt;=X106,X106="-"),OR(S106&lt;=Z106,Z106="-")),"OK","FORA DO INTERVALO")),"-")</f>
        <v>FORA DO INTERVALO</v>
      </c>
      <c r="V106" s="124"/>
      <c r="W106" s="124"/>
      <c r="X106" s="125" t="n">
        <f aca="false">Y106</f>
        <v>0.0365</v>
      </c>
      <c r="Y106" s="125" t="n">
        <f aca="false">IF($J97=$A$145,"-",3.65%)</f>
        <v>0.0365</v>
      </c>
      <c r="Z106" s="125" t="n">
        <f aca="false">Y106</f>
        <v>0.0365</v>
      </c>
    </row>
    <row r="107" customFormat="false" ht="15" hidden="false" customHeight="true" outlineLevel="0" collapsed="false">
      <c r="I107" s="1" t="str">
        <f aca="false">IF($S$109=0,"","F")</f>
        <v/>
      </c>
      <c r="J107" s="120" t="s">
        <v>704</v>
      </c>
      <c r="K107" s="120"/>
      <c r="L107" s="120"/>
      <c r="M107" s="120"/>
      <c r="N107" s="120"/>
      <c r="O107" s="120"/>
      <c r="P107" s="120"/>
      <c r="Q107" s="120"/>
      <c r="R107" s="121" t="s">
        <v>705</v>
      </c>
      <c r="S107" s="125" t="n">
        <f aca="true">IF(AND($J97&lt;&gt;$A$145,COUNTA(OFFSET(S100,1,0,6))&gt;0),$R$11*$R$10,0)</f>
        <v>0</v>
      </c>
      <c r="U107" s="124" t="str">
        <f aca="false">IFERROR(IF(T107="◄","FALTA PREENCHER",IF(AND(OR(S107&gt;=X107,X107="-"),OR(S107&lt;=Z107,Z107="-")),"OK","FORA DO INTERVALO")),"-")</f>
        <v>OK</v>
      </c>
      <c r="V107" s="124"/>
      <c r="W107" s="124"/>
      <c r="X107" s="125" t="n">
        <v>0</v>
      </c>
      <c r="Y107" s="125" t="n">
        <v>0.025</v>
      </c>
      <c r="Z107" s="125" t="n">
        <v>0.05</v>
      </c>
    </row>
    <row r="108" customFormat="false" ht="15" hidden="false" customHeight="true" outlineLevel="0" collapsed="false">
      <c r="I108" s="1" t="str">
        <f aca="false">IF($S$109=0,"","F")</f>
        <v/>
      </c>
      <c r="J108" s="120" t="s">
        <v>706</v>
      </c>
      <c r="K108" s="120"/>
      <c r="L108" s="120"/>
      <c r="M108" s="120"/>
      <c r="N108" s="120"/>
      <c r="O108" s="120"/>
      <c r="P108" s="120"/>
      <c r="Q108" s="120"/>
      <c r="R108" s="121" t="s">
        <v>707</v>
      </c>
      <c r="S108" s="125" t="n">
        <f aca="true" t="array" ref="S108:S108">IF(BDI.Opcao&lt;&gt;"Desonerado",0,IF(AND($J97&lt;&gt;$A$145,COUNTA(OFFSET(S100,1,0,6))&gt;0),IF(YEAR(Import.DataBase)&lt;2025,4.5%,IF(YEAR(Import.DataBase)=2025,3.6%,IF(YEAR(Import.DataBase)=2026,2.7%,IF(YEAR(Import.DataBase)=2027,1.8%,0%)))),0%))</f>
        <v>0</v>
      </c>
      <c r="U108" s="124" t="str">
        <f aca="false">IFERROR(IF(T108="◄","FALTA PREENCHER",IF(AND(OR(S108&gt;=X108,X108="-"),OR(S108&lt;=Z108,Z108="-")),"OK","FORA DO INTERVALO")),"-")</f>
        <v>OK</v>
      </c>
      <c r="V108" s="124"/>
      <c r="W108" s="124"/>
      <c r="X108" s="126" t="n">
        <f aca="false">$S108</f>
        <v>0</v>
      </c>
      <c r="Y108" s="126" t="n">
        <f aca="false">$S108</f>
        <v>0</v>
      </c>
      <c r="Z108" s="126" t="n">
        <f aca="false">$S108</f>
        <v>0</v>
      </c>
    </row>
    <row r="109" customFormat="false" ht="15" hidden="false" customHeight="true" outlineLevel="0" collapsed="false">
      <c r="I109" s="1" t="str">
        <f aca="false">IF($S$109=0,"","F")</f>
        <v/>
      </c>
      <c r="J109" s="120" t="s">
        <v>708</v>
      </c>
      <c r="K109" s="120"/>
      <c r="L109" s="120"/>
      <c r="M109" s="120"/>
      <c r="N109" s="120"/>
      <c r="O109" s="120"/>
      <c r="P109" s="120"/>
      <c r="Q109" s="120"/>
      <c r="R109" s="127" t="s">
        <v>683</v>
      </c>
      <c r="S109" s="125" t="n">
        <f aca="false">IF($J97=$A$145,0,ROUND((((1+S101+S102+S103)*(1+S104)*(1+S105)/(1-(S106+S107)))-1),4))</f>
        <v>0</v>
      </c>
      <c r="U109" s="118" t="str">
        <f aca="false">IFERROR(IF(AND(OR(S109&gt;=X109,X109="-"),OR(S109&lt;=Z109,Z109="-")),"OK","FORA DO INTERVALO"),IF(S109=0,"OK","Selecione o Tipo de obra"))</f>
        <v>OK</v>
      </c>
      <c r="V109" s="118"/>
      <c r="W109" s="118"/>
      <c r="X109" s="125" t="e">
        <f aca="false">IF($J97=$A$145,0,VLOOKUP(CONCATENATE($J97,"-",$R109),$C$2:$G$136,3,FALSE()))</f>
        <v>#N/A</v>
      </c>
      <c r="Y109" s="125" t="e">
        <f aca="false">IF($J97=$A$145,0,VLOOKUP(CONCATENATE($J97,"-",$R109),$C$2:$G$136,4,FALSE()))</f>
        <v>#N/A</v>
      </c>
      <c r="Z109" s="125" t="e">
        <f aca="false">IF($J97=$A$145,0,VLOOKUP(CONCATENATE($J97,"-",$R109),$C$2:$G$136,5,FALSE()))</f>
        <v>#N/A</v>
      </c>
    </row>
    <row r="110" customFormat="false" ht="15" hidden="false" customHeight="true" outlineLevel="0" collapsed="false">
      <c r="I110" s="1" t="str">
        <f aca="false">IF($S$109=0,"","F")</f>
        <v/>
      </c>
      <c r="J110" s="128" t="s">
        <v>709</v>
      </c>
      <c r="K110" s="128"/>
      <c r="L110" s="128"/>
      <c r="M110" s="128"/>
      <c r="N110" s="128"/>
      <c r="O110" s="128"/>
      <c r="P110" s="128"/>
      <c r="Q110" s="128"/>
      <c r="R110" s="128" t="s">
        <v>710</v>
      </c>
      <c r="S110" s="129" t="n">
        <f aca="false">IF($J97=$A$145,0,ROUND((((1+S101+S102+S103)*(1+S104)*(1+S105)/(1-(S106+S107+S108)))-1),4))</f>
        <v>0</v>
      </c>
    </row>
    <row r="111" customFormat="false" ht="15" hidden="false" customHeight="true" outlineLevel="0" collapsed="false">
      <c r="I111" s="1" t="str">
        <f aca="false">IF($S$109=0,"","F")</f>
        <v/>
      </c>
    </row>
    <row r="112" customFormat="false" ht="15" hidden="false" customHeight="false" outlineLevel="0" collapsed="false">
      <c r="I112" s="1" t="str">
        <f aca="false">IF($S$109=0,"","F")</f>
        <v/>
      </c>
      <c r="J112" s="130" t="str">
        <f aca="false">IF(U109&lt;&gt;"ok","X","")</f>
        <v/>
      </c>
      <c r="K112" s="131" t="str">
        <f aca="false">IF(U109&lt;&gt;"ok","Anexo: Relatório Técnico Circunstanciado justificando a adoção do percentual de cada parcela do BDI.","")</f>
        <v/>
      </c>
      <c r="L112" s="131"/>
      <c r="M112" s="131"/>
      <c r="N112" s="131"/>
      <c r="O112" s="131"/>
      <c r="P112" s="131"/>
      <c r="Q112" s="131"/>
      <c r="R112" s="131"/>
      <c r="S112" s="131"/>
    </row>
    <row r="113" customFormat="false" ht="12.75" hidden="false" customHeight="false" outlineLevel="0" collapsed="false">
      <c r="I113" s="1" t="str">
        <f aca="false">IF($S$109=0,"","F")</f>
        <v/>
      </c>
    </row>
    <row r="114" customFormat="false" ht="12.75" hidden="false" customHeight="false" outlineLevel="0" collapsed="false">
      <c r="I114" s="1" t="str">
        <f aca="false">IF($S$109=0,"","F")</f>
        <v/>
      </c>
      <c r="J114" s="132" t="s">
        <v>712</v>
      </c>
      <c r="K114" s="132"/>
      <c r="L114" s="132"/>
      <c r="M114" s="132"/>
      <c r="N114" s="132"/>
      <c r="O114" s="132"/>
      <c r="P114" s="132"/>
      <c r="Q114" s="132"/>
      <c r="R114" s="132"/>
      <c r="S114" s="132"/>
    </row>
    <row r="115" customFormat="false" ht="15" hidden="false" customHeight="false" outlineLevel="0" collapsed="false">
      <c r="I115" s="1" t="str">
        <f aca="false">IF($S$109=0,"","F")</f>
        <v/>
      </c>
      <c r="J115" s="133"/>
      <c r="K115" s="133"/>
      <c r="L115" s="133"/>
      <c r="M115" s="134" t="s">
        <v>713</v>
      </c>
      <c r="N115" s="135" t="str">
        <f aca="false">IF($J97=$A$146,"(1+K1+K2)*(1+K3)","(1+AC + S + R + G)*(1 + DF)*(1+L)")</f>
        <v>(1+AC + S + R + G)*(1 + DF)*(1+L)</v>
      </c>
      <c r="O115" s="135"/>
      <c r="P115" s="135"/>
      <c r="Q115" s="136" t="s">
        <v>714</v>
      </c>
      <c r="R115" s="133"/>
      <c r="S115" s="133"/>
    </row>
    <row r="116" customFormat="false" ht="15" hidden="false" customHeight="false" outlineLevel="0" collapsed="false">
      <c r="I116" s="1" t="str">
        <f aca="false">IF($S$109=0,"","F")</f>
        <v/>
      </c>
      <c r="J116" s="133"/>
      <c r="K116" s="133"/>
      <c r="L116" s="133"/>
      <c r="M116" s="134"/>
      <c r="N116" s="137" t="s">
        <v>715</v>
      </c>
      <c r="O116" s="137"/>
      <c r="P116" s="137"/>
      <c r="Q116" s="136"/>
      <c r="R116" s="133"/>
      <c r="S116" s="133"/>
    </row>
    <row r="117" customFormat="false" ht="15" hidden="false" customHeight="true" outlineLevel="0" collapsed="false">
      <c r="I117" s="1" t="str">
        <f aca="false">IF($S$109=0,"","F")</f>
        <v/>
      </c>
      <c r="J117" s="133"/>
      <c r="K117" s="133"/>
      <c r="L117" s="133"/>
      <c r="M117" s="154"/>
      <c r="N117" s="155"/>
      <c r="O117" s="155"/>
      <c r="P117" s="155"/>
      <c r="Q117" s="156"/>
      <c r="R117" s="133"/>
      <c r="S117" s="133"/>
    </row>
    <row r="118" customFormat="false" ht="49.5" hidden="false" customHeight="true" outlineLevel="0" collapsed="false">
      <c r="I118" s="1" t="str">
        <f aca="false">IF($S$109=0,"","F")</f>
        <v/>
      </c>
      <c r="J118" s="139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118" s="139"/>
      <c r="L118" s="139"/>
      <c r="M118" s="139"/>
      <c r="N118" s="139"/>
      <c r="O118" s="139"/>
      <c r="P118" s="139"/>
      <c r="Q118" s="139"/>
      <c r="R118" s="139"/>
      <c r="S118" s="139"/>
    </row>
    <row r="119" customFormat="false" ht="12.75" hidden="false" customHeight="false" outlineLevel="0" collapsed="false">
      <c r="I119" s="1" t="str">
        <f aca="false">IF($S$109=0,"","F")</f>
        <v/>
      </c>
    </row>
    <row r="120" customFormat="false" ht="49.5" hidden="false" customHeight="true" outlineLevel="0" collapsed="false">
      <c r="I120" s="1" t="str">
        <f aca="false">IF($S$109=0,"","F")</f>
        <v/>
      </c>
      <c r="J120" s="139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120" s="139"/>
      <c r="L120" s="139"/>
      <c r="M120" s="139"/>
      <c r="N120" s="139"/>
      <c r="O120" s="139"/>
      <c r="P120" s="139"/>
      <c r="Q120" s="139"/>
      <c r="R120" s="139"/>
      <c r="S120" s="139"/>
    </row>
    <row r="121" customFormat="false" ht="12.75" hidden="false" customHeight="false" outlineLevel="0" collapsed="false">
      <c r="I121" s="1" t="str">
        <f aca="false">IF($S$109=0,"","F")</f>
        <v/>
      </c>
    </row>
    <row r="122" customFormat="false" ht="12.75" hidden="false" customHeight="false" outlineLevel="0" collapsed="false">
      <c r="I122" s="1" t="str">
        <f aca="false">IF($S$109=0,"","F")</f>
        <v/>
      </c>
      <c r="J122" s="97" t="s">
        <v>718</v>
      </c>
    </row>
    <row r="123" customFormat="false" ht="109.5" hidden="false" customHeight="true" outlineLevel="0" collapsed="false">
      <c r="I123" s="1" t="str">
        <f aca="false">IF($S$109=0,"","F")</f>
        <v/>
      </c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</row>
    <row r="124" customFormat="false" ht="12.75" hidden="false" customHeight="false" outlineLevel="0" collapsed="false">
      <c r="I124" s="1" t="str">
        <f aca="false">IF($S$109=0,"","F")</f>
        <v/>
      </c>
    </row>
    <row r="125" customFormat="false" ht="12.75" hidden="false" customHeight="false" outlineLevel="0" collapsed="false">
      <c r="I125" s="1" t="str">
        <f aca="false">IF($S$109=0,"","F")</f>
        <v/>
      </c>
      <c r="J125" s="141" t="str">
        <f aca="false">Import.Município</f>
        <v>SALINAS</v>
      </c>
      <c r="K125" s="141"/>
      <c r="L125" s="141"/>
      <c r="M125" s="141"/>
      <c r="P125" s="142" t="n">
        <f aca="false">DADOS!$C$25</f>
        <v>45845</v>
      </c>
      <c r="Q125" s="142"/>
      <c r="R125" s="142"/>
      <c r="S125" s="142"/>
    </row>
    <row r="126" customFormat="false" ht="12.75" hidden="false" customHeight="false" outlineLevel="0" collapsed="false">
      <c r="I126" s="1" t="str">
        <f aca="false">IF($S$109=0,"","F")</f>
        <v/>
      </c>
      <c r="J126" s="143" t="s">
        <v>722</v>
      </c>
      <c r="K126" s="143"/>
      <c r="L126" s="143"/>
      <c r="M126" s="143"/>
      <c r="O126" s="144"/>
      <c r="P126" s="145" t="s">
        <v>723</v>
      </c>
      <c r="Q126" s="146"/>
      <c r="R126" s="146"/>
      <c r="S126" s="146"/>
    </row>
    <row r="127" customFormat="false" ht="30" hidden="false" customHeight="true" outlineLevel="0" collapsed="false">
      <c r="I127" s="1" t="str">
        <f aca="false">IF($S$109=0,"","F")</f>
        <v/>
      </c>
    </row>
    <row r="128" customFormat="false" ht="13.8" hidden="false" customHeight="false" outlineLevel="0" collapsed="false">
      <c r="I128" s="1" t="str">
        <f aca="false">IF($S$109=0,"","F")</f>
        <v/>
      </c>
      <c r="J128" s="147"/>
      <c r="K128" s="147"/>
      <c r="L128" s="147"/>
      <c r="M128" s="147"/>
      <c r="N128" s="148"/>
    </row>
    <row r="129" customFormat="false" ht="12.75" hidden="false" customHeight="false" outlineLevel="0" collapsed="false">
      <c r="I129" s="1" t="str">
        <f aca="false">IF($S$109=0,"","F")</f>
        <v/>
      </c>
      <c r="J129" s="149" t="s">
        <v>725</v>
      </c>
      <c r="K129" s="149"/>
      <c r="L129" s="149"/>
      <c r="M129" s="149"/>
    </row>
    <row r="130" customFormat="false" ht="13.8" hidden="false" customHeight="false" outlineLevel="0" collapsed="false">
      <c r="I130" s="1" t="str">
        <f aca="false">IF($S$109=0,"","F")</f>
        <v/>
      </c>
      <c r="J130" s="150" t="s">
        <v>261</v>
      </c>
      <c r="K130" s="151" t="str">
        <f aca="false" t="array" ref="K130:K132">Import.RespOrçamento</f>
        <v>DEBHORA DOS SANTOS GUIMARÃES</v>
      </c>
      <c r="L130" s="152"/>
      <c r="M130" s="152"/>
      <c r="N130" s="148"/>
    </row>
    <row r="131" customFormat="false" ht="13.8" hidden="false" customHeight="false" outlineLevel="0" collapsed="false">
      <c r="I131" s="1" t="str">
        <f aca="false">IF($S$109=0,"","F")</f>
        <v/>
      </c>
      <c r="J131" s="150" t="s">
        <v>265</v>
      </c>
      <c r="K131" s="151" t="str">
        <v>111769/D</v>
      </c>
      <c r="L131" s="152"/>
      <c r="M131" s="152"/>
      <c r="N131" s="148"/>
    </row>
    <row r="132" customFormat="false" ht="13.8" hidden="false" customHeight="false" outlineLevel="0" collapsed="false">
      <c r="I132" s="1" t="str">
        <f aca="false">IF($S$109=0,"","F")</f>
        <v/>
      </c>
      <c r="J132" s="150" t="s">
        <v>269</v>
      </c>
      <c r="K132" s="151" t="str">
        <v>MG20254000676</v>
      </c>
      <c r="L132" s="152"/>
      <c r="M132" s="152"/>
      <c r="N132" s="148"/>
    </row>
    <row r="138" customFormat="false" ht="12.75" hidden="false" customHeight="false" outlineLevel="0" collapsed="false">
      <c r="A138" s="97" t="s">
        <v>727</v>
      </c>
    </row>
    <row r="139" customFormat="false" ht="12.75" hidden="false" customHeight="false" outlineLevel="0" collapsed="false">
      <c r="A139" s="97" t="s">
        <v>672</v>
      </c>
    </row>
    <row r="140" customFormat="false" ht="12.75" hidden="false" customHeight="false" outlineLevel="0" collapsed="false">
      <c r="A140" s="97" t="s">
        <v>685</v>
      </c>
    </row>
    <row r="141" customFormat="false" ht="12.75" hidden="false" customHeight="false" outlineLevel="0" collapsed="false">
      <c r="A141" s="97" t="s">
        <v>689</v>
      </c>
    </row>
    <row r="142" customFormat="false" ht="12.75" hidden="false" customHeight="false" outlineLevel="0" collapsed="false">
      <c r="A142" s="97" t="s">
        <v>699</v>
      </c>
    </row>
    <row r="143" customFormat="false" ht="12.75" hidden="false" customHeight="false" outlineLevel="0" collapsed="false">
      <c r="A143" s="97" t="s">
        <v>702</v>
      </c>
    </row>
    <row r="144" customFormat="false" ht="12.75" hidden="false" customHeight="false" outlineLevel="0" collapsed="false">
      <c r="A144" s="97" t="s">
        <v>711</v>
      </c>
    </row>
    <row r="145" customFormat="false" ht="12.75" hidden="false" customHeight="false" outlineLevel="0" collapsed="false">
      <c r="A145" s="97" t="s">
        <v>716</v>
      </c>
    </row>
    <row r="146" customFormat="false" ht="12.75" hidden="false" customHeight="false" outlineLevel="0" collapsed="false">
      <c r="A146" s="97" t="s">
        <v>719</v>
      </c>
    </row>
  </sheetData>
  <sheetProtection algorithmName="SHA-512" hashValue="zxdOGG16g7g5dW0ny80iBO+ETZlevZFNcJRPGNY/JFzcXmQsl1kIKufOuDOqOZtKuyMeeaqPZpDS/QgeVorddw==" saltValue="rWRow8ALqqBaE1oQ06AZiw==" spinCount="100000" sheet="true" objects="true" scenarios="true" autoFilter="false"/>
  <autoFilter ref="I11:I132"/>
  <mergeCells count="144">
    <mergeCell ref="R1:S1"/>
    <mergeCell ref="R2:S2"/>
    <mergeCell ref="J4:K4"/>
    <mergeCell ref="L4:M4"/>
    <mergeCell ref="N4:S4"/>
    <mergeCell ref="J5:K5"/>
    <mergeCell ref="L5:M5"/>
    <mergeCell ref="N5:S5"/>
    <mergeCell ref="I6:I10"/>
    <mergeCell ref="J7:S7"/>
    <mergeCell ref="J8:S8"/>
    <mergeCell ref="J10:Q10"/>
    <mergeCell ref="R10:S10"/>
    <mergeCell ref="J11:Q11"/>
    <mergeCell ref="R11:S11"/>
    <mergeCell ref="J14:S14"/>
    <mergeCell ref="J16:S16"/>
    <mergeCell ref="J17:S17"/>
    <mergeCell ref="J19:Q20"/>
    <mergeCell ref="R19:R20"/>
    <mergeCell ref="S19:S20"/>
    <mergeCell ref="U19:W20"/>
    <mergeCell ref="X19:X20"/>
    <mergeCell ref="Y19:Y20"/>
    <mergeCell ref="Z19:Z20"/>
    <mergeCell ref="J21:Q21"/>
    <mergeCell ref="U21:W21"/>
    <mergeCell ref="J22:Q22"/>
    <mergeCell ref="U22:W22"/>
    <mergeCell ref="J23:Q23"/>
    <mergeCell ref="U23:W23"/>
    <mergeCell ref="J24:Q24"/>
    <mergeCell ref="U24:W24"/>
    <mergeCell ref="J25:Q25"/>
    <mergeCell ref="U25:W25"/>
    <mergeCell ref="J26:Q26"/>
    <mergeCell ref="U26:W26"/>
    <mergeCell ref="J27:Q27"/>
    <mergeCell ref="U27:W27"/>
    <mergeCell ref="J28:Q28"/>
    <mergeCell ref="U28:W28"/>
    <mergeCell ref="J29:Q29"/>
    <mergeCell ref="U29:W29"/>
    <mergeCell ref="J30:Q30"/>
    <mergeCell ref="K32:S32"/>
    <mergeCell ref="J34:S34"/>
    <mergeCell ref="M35:M36"/>
    <mergeCell ref="N35:P35"/>
    <mergeCell ref="Q35:Q36"/>
    <mergeCell ref="N36:P36"/>
    <mergeCell ref="J38:S38"/>
    <mergeCell ref="J40:S40"/>
    <mergeCell ref="J43:S43"/>
    <mergeCell ref="J45:M45"/>
    <mergeCell ref="P45:S45"/>
    <mergeCell ref="J46:M46"/>
    <mergeCell ref="J48:M48"/>
    <mergeCell ref="J49:M49"/>
    <mergeCell ref="J54:S54"/>
    <mergeCell ref="J56:S56"/>
    <mergeCell ref="J57:S57"/>
    <mergeCell ref="J59:Q60"/>
    <mergeCell ref="R59:R60"/>
    <mergeCell ref="S59:S60"/>
    <mergeCell ref="U59:W60"/>
    <mergeCell ref="X59:X60"/>
    <mergeCell ref="Y59:Y60"/>
    <mergeCell ref="Z59:Z60"/>
    <mergeCell ref="J61:Q61"/>
    <mergeCell ref="U61:W61"/>
    <mergeCell ref="J62:Q62"/>
    <mergeCell ref="U62:W62"/>
    <mergeCell ref="J63:Q63"/>
    <mergeCell ref="U63:W63"/>
    <mergeCell ref="J64:Q64"/>
    <mergeCell ref="U64:W64"/>
    <mergeCell ref="J65:Q65"/>
    <mergeCell ref="U65:W65"/>
    <mergeCell ref="J66:Q66"/>
    <mergeCell ref="U66:W66"/>
    <mergeCell ref="J67:Q67"/>
    <mergeCell ref="U67:W67"/>
    <mergeCell ref="J68:Q68"/>
    <mergeCell ref="U68:W68"/>
    <mergeCell ref="J69:Q69"/>
    <mergeCell ref="U69:W69"/>
    <mergeCell ref="J70:Q70"/>
    <mergeCell ref="K72:S72"/>
    <mergeCell ref="J74:S74"/>
    <mergeCell ref="M75:M76"/>
    <mergeCell ref="N75:P75"/>
    <mergeCell ref="Q75:Q76"/>
    <mergeCell ref="N76:P76"/>
    <mergeCell ref="J78:S78"/>
    <mergeCell ref="J80:S80"/>
    <mergeCell ref="J83:S83"/>
    <mergeCell ref="J85:M85"/>
    <mergeCell ref="P85:S85"/>
    <mergeCell ref="J86:M86"/>
    <mergeCell ref="J88:M88"/>
    <mergeCell ref="J89:M89"/>
    <mergeCell ref="J94:S94"/>
    <mergeCell ref="J96:S96"/>
    <mergeCell ref="J97:S97"/>
    <mergeCell ref="J99:Q100"/>
    <mergeCell ref="R99:R100"/>
    <mergeCell ref="S99:S100"/>
    <mergeCell ref="U99:W100"/>
    <mergeCell ref="X99:X100"/>
    <mergeCell ref="Y99:Y100"/>
    <mergeCell ref="Z99:Z100"/>
    <mergeCell ref="J101:Q101"/>
    <mergeCell ref="U101:W101"/>
    <mergeCell ref="J102:Q102"/>
    <mergeCell ref="U102:W102"/>
    <mergeCell ref="J103:Q103"/>
    <mergeCell ref="U103:W103"/>
    <mergeCell ref="J104:Q104"/>
    <mergeCell ref="U104:W104"/>
    <mergeCell ref="J105:Q105"/>
    <mergeCell ref="U105:W105"/>
    <mergeCell ref="J106:Q106"/>
    <mergeCell ref="U106:W106"/>
    <mergeCell ref="J107:Q107"/>
    <mergeCell ref="U107:W107"/>
    <mergeCell ref="J108:Q108"/>
    <mergeCell ref="U108:W108"/>
    <mergeCell ref="J109:Q109"/>
    <mergeCell ref="U109:W109"/>
    <mergeCell ref="J110:Q110"/>
    <mergeCell ref="K112:S112"/>
    <mergeCell ref="J114:S114"/>
    <mergeCell ref="M115:M116"/>
    <mergeCell ref="N115:P115"/>
    <mergeCell ref="Q115:Q116"/>
    <mergeCell ref="N116:P116"/>
    <mergeCell ref="J118:S118"/>
    <mergeCell ref="J120:S120"/>
    <mergeCell ref="J123:S123"/>
    <mergeCell ref="J125:M125"/>
    <mergeCell ref="P125:S125"/>
    <mergeCell ref="J126:M126"/>
    <mergeCell ref="J128:M128"/>
    <mergeCell ref="J129:M129"/>
  </mergeCells>
  <conditionalFormatting sqref="U101:W108">
    <cfRule type="cellIs" priority="2" operator="notEqual" aboveAverage="0" equalAverage="0" bottom="0" percent="0" rank="0" text="" dxfId="9">
      <formula>"OK"</formula>
    </cfRule>
  </conditionalFormatting>
  <conditionalFormatting sqref="U61:W68">
    <cfRule type="cellIs" priority="3" operator="notEqual" aboveAverage="0" equalAverage="0" bottom="0" percent="0" rank="0" text="" dxfId="10">
      <formula>"OK"</formula>
    </cfRule>
  </conditionalFormatting>
  <conditionalFormatting sqref="U21:W28">
    <cfRule type="cellIs" priority="4" operator="notEqual" aboveAverage="0" equalAverage="0" bottom="0" percent="0" rank="0" text="" dxfId="11">
      <formula>"OK"</formula>
    </cfRule>
  </conditionalFormatting>
  <conditionalFormatting sqref="S101:S106">
    <cfRule type="expression" priority="5" aboveAverage="0" equalAverage="0" bottom="0" percent="0" rank="0" text="" dxfId="12">
      <formula>$J$97=$A$145</formula>
    </cfRule>
  </conditionalFormatting>
  <conditionalFormatting sqref="J103:S104">
    <cfRule type="expression" priority="6" aboveAverage="0" equalAverage="0" bottom="0" percent="0" rank="0" text="" dxfId="13">
      <formula>$J$97=$A$146</formula>
    </cfRule>
  </conditionalFormatting>
  <conditionalFormatting sqref="S61:S66">
    <cfRule type="expression" priority="7" aboveAverage="0" equalAverage="0" bottom="0" percent="0" rank="0" text="" dxfId="14">
      <formula>$J$57=$A$145</formula>
    </cfRule>
  </conditionalFormatting>
  <conditionalFormatting sqref="J63:S64">
    <cfRule type="expression" priority="8" aboveAverage="0" equalAverage="0" bottom="0" percent="0" rank="0" text="" dxfId="15">
      <formula>$J$57=$A$146</formula>
    </cfRule>
  </conditionalFormatting>
  <conditionalFormatting sqref="S21:S26">
    <cfRule type="expression" priority="9" aboveAverage="0" equalAverage="0" bottom="0" percent="0" rank="0" text="" dxfId="16">
      <formula>$J$17=$A$145</formula>
    </cfRule>
  </conditionalFormatting>
  <conditionalFormatting sqref="J23:S24">
    <cfRule type="expression" priority="10" aboveAverage="0" equalAverage="0" bottom="0" percent="0" rank="0" text="" dxfId="17">
      <formula>$J$17=$A$146</formula>
    </cfRule>
  </conditionalFormatting>
  <conditionalFormatting sqref="J30:S30 J70:S70 J110:S110">
    <cfRule type="expression" priority="11" aboveAverage="0" equalAverage="0" bottom="0" percent="0" rank="0" text="" dxfId="18">
      <formula>DESONERACAO="não"</formula>
    </cfRule>
  </conditionalFormatting>
  <conditionalFormatting sqref="U69:W69 U29:W29 U109:W109">
    <cfRule type="expression" priority="12" aboveAverage="0" equalAverage="0" bottom="0" percent="0" rank="0" text="" dxfId="19">
      <formula>AND(U29&lt;&gt;"OK",U29&lt;&gt;"-",U29&lt;&gt;"")</formula>
    </cfRule>
    <cfRule type="cellIs" priority="13" operator="equal" aboveAverage="0" equalAverage="0" bottom="0" percent="0" rank="0" text="" dxfId="20">
      <formula>"OK"</formula>
    </cfRule>
  </conditionalFormatting>
  <conditionalFormatting sqref="S29 S69 S109">
    <cfRule type="expression" priority="14" aboveAverage="0" equalAverage="0" bottom="0" percent="0" rank="0" text="" dxfId="21">
      <formula>DESONERACAO="não"</formula>
    </cfRule>
  </conditionalFormatting>
  <dataValidations count="6">
    <dataValidation allowBlank="true" error="Digite um valor entre 0% e 100%" errorStyle="stop" errorTitle="Erro de valores" operator="between" showDropDown="false" showErrorMessage="true" showInputMessage="false" sqref="S21:S26 S61:S66 S101:S106" type="decimal">
      <formula1>0</formula1>
      <formula2>1</formula2>
    </dataValidation>
    <dataValidation allowBlank="true" error="Digite um valor maior do que 0." errorStyle="stop" errorTitle="Erro de valores" operator="between" showDropDown="false" showErrorMessage="true" showInputMessage="false" sqref="S27 S67 S107" type="decimal">
      <formula1>0</formula1>
      <formula2>1</formula2>
    </dataValidation>
    <dataValidation allowBlank="true" error="Digite um valor igual a 0% ou 2%." errorStyle="stop" errorTitle="Erro de valores" operator="greaterThanOrEqual" showDropDown="false" showErrorMessage="true" showInputMessage="false" sqref="S28 S68 S108" type="none">
      <formula1>0</formula1>
      <formula2>0</formula2>
    </dataValidation>
    <dataValidation allowBlank="true" error="Digite um percentual entre 2% e 5%." errorStyle="stop" errorTitle="Valor não permitido" operator="between" prompt="Entre 2 e 5%." promptTitle="Valores comuns:" showDropDown="false" showErrorMessage="true" showInputMessage="true" sqref="R11:S11" type="decimal">
      <formula1>0.02</formula1>
      <formula2>0.05</formula2>
    </dataValidation>
    <dataValidation allowBlank="true" error="Digite um percentual entre 0% e 100%." errorStyle="stop" errorTitle="Valor não permitido" operator="between" prompt="Insira valores entre 0 e 100%." promptTitle="Valores admissíveis:" showDropDown="false" showErrorMessage="true" showInputMessage="true" sqref="R10:S10" type="decimal">
      <formula1>0</formula1>
      <formula2>1</formula2>
    </dataValidation>
    <dataValidation allowBlank="true" errorStyle="stop" operator="between" showDropDown="false" showErrorMessage="true" showInputMessage="false" sqref="J17:S17 J57:S57 J97:S97" type="list">
      <formula1>BDI.TipoObra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N222"/>
  <sheetViews>
    <sheetView showFormulas="false" showGridLines="false" showRowColHeaders="true" showZeros="true" rightToLeft="false" tabSelected="true" showOutlineSymbols="true" defaultGridColor="true" view="normal" topLeftCell="A1" colorId="64" zoomScale="80" zoomScaleNormal="80" zoomScalePageLayoutView="100" workbookViewId="0">
      <pane xSplit="19" ySplit="15" topLeftCell="W36" activePane="bottomRight" state="frozen"/>
      <selection pane="topLeft" activeCell="A1" activeCellId="0" sqref="A1"/>
      <selection pane="topRight" activeCell="W1" activeCellId="0" sqref="W1"/>
      <selection pane="bottomLeft" activeCell="A36" activeCellId="0" sqref="A36"/>
      <selection pane="bottomRight" activeCell="Q37" activeCellId="0" sqref="Q37"/>
    </sheetView>
  </sheetViews>
  <sheetFormatPr defaultColWidth="8.6796875" defaultRowHeight="12.75" customHeight="true" zeroHeight="false" outlineLevelRow="0" outlineLevelCol="0"/>
  <cols>
    <col collapsed="false" customWidth="true" hidden="true" outlineLevel="0" max="1" min="1" style="1" width="5.57"/>
    <col collapsed="false" customWidth="true" hidden="true" outlineLevel="0" max="2" min="2" style="1" width="10.42"/>
    <col collapsed="false" customWidth="true" hidden="true" outlineLevel="0" max="3" min="3" style="1" width="5.57"/>
    <col collapsed="false" customWidth="true" hidden="true" outlineLevel="0" max="4" min="4" style="1" width="12.86"/>
    <col collapsed="false" customWidth="true" hidden="true" outlineLevel="0" max="5" min="5" style="1" width="8.57"/>
    <col collapsed="false" customWidth="true" hidden="true" outlineLevel="0" max="6" min="6" style="1" width="12.42"/>
    <col collapsed="false" customWidth="true" hidden="true" outlineLevel="0" max="7" min="7" style="1" width="14.57"/>
    <col collapsed="false" customWidth="true" hidden="true" outlineLevel="0" max="8" min="8" style="1" width="11.43"/>
    <col collapsed="false" customWidth="true" hidden="true" outlineLevel="0" max="9" min="9" style="1" width="13.42"/>
    <col collapsed="false" customWidth="true" hidden="true" outlineLevel="0" max="10" min="10" style="1" width="7.42"/>
    <col collapsed="false" customWidth="true" hidden="true" outlineLevel="0" max="11" min="11" style="1" width="7.57"/>
    <col collapsed="false" customWidth="true" hidden="false" outlineLevel="0" max="12" min="12" style="1" width="3.57"/>
    <col collapsed="false" customWidth="true" hidden="false" outlineLevel="0" max="14" min="13" style="1" width="8.57"/>
    <col collapsed="false" customWidth="true" hidden="false" outlineLevel="0" max="15" min="15" style="1" width="12.57"/>
    <col collapsed="false" customWidth="true" hidden="false" outlineLevel="0" max="17" min="16" style="1" width="15.57"/>
    <col collapsed="false" customWidth="true" hidden="false" outlineLevel="0" max="18" min="18" style="1" width="65.57"/>
    <col collapsed="false" customWidth="true" hidden="false" outlineLevel="0" max="19" min="19" style="1" width="10.57"/>
    <col collapsed="false" customWidth="true" hidden="false" outlineLevel="0" max="21" min="20" style="1" width="14.57"/>
    <col collapsed="false" customWidth="true" hidden="false" outlineLevel="0" max="22" min="22" style="1" width="10.57"/>
    <col collapsed="false" customWidth="true" hidden="false" outlineLevel="0" max="23" min="23" style="1" width="14.57"/>
    <col collapsed="false" customWidth="true" hidden="false" outlineLevel="0" max="24" min="24" style="1" width="15.57"/>
    <col collapsed="false" customWidth="true" hidden="false" outlineLevel="0" max="25" min="25" style="1" width="3.57"/>
    <col collapsed="false" customWidth="true" hidden="true" outlineLevel="0" max="26" min="26" style="1" width="3.57"/>
    <col collapsed="false" customWidth="true" hidden="true" outlineLevel="0" max="28" min="27" style="1" width="14.57"/>
    <col collapsed="false" customWidth="true" hidden="false" outlineLevel="0" max="29" min="29" style="1" width="15.57"/>
    <col collapsed="false" customWidth="true" hidden="true" outlineLevel="0" max="31" min="30" style="1" width="9.14"/>
    <col collapsed="false" customWidth="true" hidden="true" outlineLevel="0" max="32" min="32" style="1" width="15.57"/>
    <col collapsed="false" customWidth="true" hidden="false" outlineLevel="0" max="33" min="33" style="1" width="15.57"/>
    <col collapsed="false" customWidth="true" hidden="false" outlineLevel="0" max="35" min="35" style="1" width="1.57"/>
    <col collapsed="false" customWidth="true" hidden="false" outlineLevel="0" max="36" min="36" style="1" width="14.57"/>
    <col collapsed="false" customWidth="true" hidden="false" outlineLevel="0" max="37" min="37" style="1" width="1.57"/>
    <col collapsed="false" customWidth="true" hidden="false" outlineLevel="0" max="38" min="38" style="1" width="14.57"/>
    <col collapsed="false" customWidth="true" hidden="false" outlineLevel="0" max="40" min="39" style="1" width="15.57"/>
  </cols>
  <sheetData>
    <row r="1" customFormat="false" ht="17.35" hidden="false" customHeight="false" outlineLevel="0" collapsed="false">
      <c r="M1" s="157"/>
      <c r="N1" s="157"/>
      <c r="R1" s="158" t="s">
        <v>729</v>
      </c>
      <c r="T1" s="158"/>
      <c r="X1" s="100" t="s">
        <v>671</v>
      </c>
      <c r="Y1" s="50"/>
      <c r="Z1" s="50"/>
      <c r="AA1" s="50"/>
      <c r="AB1" s="50"/>
    </row>
    <row r="2" customFormat="false" ht="15" hidden="false" customHeight="false" outlineLevel="0" collapsed="false">
      <c r="D2" s="1" t="s">
        <v>730</v>
      </c>
      <c r="E2" s="1" t="s">
        <v>731</v>
      </c>
      <c r="F2" s="1" t="s">
        <v>732</v>
      </c>
      <c r="G2" s="1" t="s">
        <v>733</v>
      </c>
      <c r="H2" s="1" t="s">
        <v>734</v>
      </c>
      <c r="I2" s="1" t="s">
        <v>735</v>
      </c>
      <c r="R2" s="159" t="str">
        <f aca="false" t="array" ref="R2:R2">IF(TIPOORCAMENTO="licitado","Orçamento Licitado","Orçamento Base para Licitação")&amp;" - "&amp;import.recurso</f>
        <v>Orçamento Base para Licitação - OGU</v>
      </c>
      <c r="X2" s="60" t="s">
        <v>674</v>
      </c>
      <c r="Y2" s="62"/>
      <c r="Z2" s="62"/>
      <c r="AA2" s="62"/>
      <c r="AB2" s="62"/>
    </row>
    <row r="3" customFormat="false" ht="12.75" hidden="false" customHeight="false" outlineLevel="0" collapsed="false">
      <c r="H3" s="160"/>
      <c r="R3" s="16"/>
    </row>
    <row r="4" customFormat="false" ht="12.75" hidden="false" customHeight="false" outlineLevel="0" collapsed="false">
      <c r="A4" s="1" t="s">
        <v>736</v>
      </c>
      <c r="F4" s="1" t="s">
        <v>690</v>
      </c>
      <c r="G4" s="1" t="s">
        <v>726</v>
      </c>
      <c r="H4" s="1" t="s">
        <v>728</v>
      </c>
      <c r="I4" s="161" t="n">
        <v>0</v>
      </c>
      <c r="O4" s="103" t="s">
        <v>677</v>
      </c>
      <c r="P4" s="103"/>
      <c r="Q4" s="162" t="s">
        <v>737</v>
      </c>
      <c r="R4" s="162" t="s">
        <v>679</v>
      </c>
      <c r="S4" s="103" t="s">
        <v>738</v>
      </c>
      <c r="T4" s="103"/>
      <c r="U4" s="103"/>
      <c r="V4" s="103"/>
      <c r="W4" s="103"/>
      <c r="X4" s="103"/>
      <c r="Y4" s="150"/>
      <c r="Z4" s="150"/>
      <c r="AA4" s="150"/>
      <c r="AB4" s="150"/>
    </row>
    <row r="5" customFormat="false" ht="12.75" hidden="false" customHeight="true" outlineLevel="0" collapsed="false">
      <c r="A5" s="50" t="n">
        <f aca="false">MAX($C$15:$C$205)</f>
        <v>2</v>
      </c>
      <c r="B5" s="50"/>
      <c r="C5" s="50"/>
      <c r="F5" s="161" t="n">
        <f aca="false">IF(BDI.Opcao="DESONERADO",BDI!$S$30,BDI!$S$29)</f>
        <v>0.2904</v>
      </c>
      <c r="G5" s="161" t="n">
        <f aca="false">IF(BDI.Opcao="DESONERADO",BDI!$S$70,BDI!$S$69)</f>
        <v>0</v>
      </c>
      <c r="H5" s="161" t="n">
        <f aca="false">IF(BDI.Opcao="DESONERADO",BDI!$S$110,BDI!$S$109)</f>
        <v>0</v>
      </c>
      <c r="O5" s="104" t="str">
        <f aca="false">Import.CR</f>
        <v>1100251-88</v>
      </c>
      <c r="P5" s="104"/>
      <c r="Q5" s="163" t="str">
        <f aca="false" t="array" ref="Q5:Q5">Import.TransfereGOV</f>
        <v>974240/2024</v>
      </c>
      <c r="R5" s="164" t="str">
        <f aca="false">Import.Proponente</f>
        <v>PREFEITURA MUNICIPAL DE SALINAS</v>
      </c>
      <c r="S5" s="104" t="str">
        <f aca="false">Import.Apelido</f>
        <v>CONSTRUÇÃO DE UNIDADES HABITACIONAIS EM ÁREAS URBANAS</v>
      </c>
      <c r="T5" s="104"/>
      <c r="U5" s="104"/>
      <c r="V5" s="104"/>
      <c r="W5" s="104"/>
      <c r="X5" s="104"/>
      <c r="Y5" s="165"/>
      <c r="Z5" s="165"/>
      <c r="AA5" s="165"/>
      <c r="AB5" s="165"/>
      <c r="AE5" s="166" t="s">
        <v>739</v>
      </c>
      <c r="AF5" s="166"/>
    </row>
    <row r="6" customFormat="false" ht="4.5" hidden="false" customHeight="true" outlineLevel="0" collapsed="false">
      <c r="A6" s="50"/>
      <c r="B6" s="50"/>
      <c r="C6" s="50"/>
      <c r="H6" s="160"/>
      <c r="O6" s="167"/>
      <c r="P6" s="167"/>
      <c r="Q6" s="168"/>
      <c r="R6" s="168"/>
      <c r="S6" s="167"/>
      <c r="T6" s="167"/>
      <c r="U6" s="167"/>
      <c r="V6" s="167"/>
      <c r="W6" s="167"/>
      <c r="X6" s="167"/>
      <c r="Y6" s="165"/>
      <c r="Z6" s="165"/>
      <c r="AA6" s="165"/>
      <c r="AB6" s="165"/>
      <c r="AC6" s="169"/>
      <c r="AE6" s="170"/>
      <c r="AF6" s="171"/>
    </row>
    <row r="7" customFormat="false" ht="12.75" hidden="false" customHeight="true" outlineLevel="0" collapsed="false">
      <c r="H7" s="160"/>
      <c r="O7" s="103" t="s">
        <v>740</v>
      </c>
      <c r="P7" s="103"/>
      <c r="Q7" s="162" t="s">
        <v>741</v>
      </c>
      <c r="R7" s="162" t="str">
        <f aca="false" t="array" ref="R7:R7">IF(TIPOORCAMENTO="Licitado","NOME DA EMPRESA","DESCRIÇÃO DO LOTE")</f>
        <v>DESCRIÇÃO DO LOTE</v>
      </c>
      <c r="S7" s="172" t="str">
        <f aca="false" t="array" ref="S7:S7">IF(TIPOORCAMENTO="Licitado","REGIME DE EXECUÇÃO","MUNICÍPIO / UF")</f>
        <v>MUNICÍPIO / UF</v>
      </c>
      <c r="T7" s="172"/>
      <c r="U7" s="172"/>
      <c r="V7" s="173" t="str">
        <f aca="false" t="array" ref="V7:V7">IF(TIPOORCAMENTO="Licitado","","BDI 1")</f>
        <v>BDI 1</v>
      </c>
      <c r="W7" s="173" t="str">
        <f aca="false" t="array" ref="W7:W7">IF(TIPOORCAMENTO="Licitado","","BDI 2")</f>
        <v>BDI 2</v>
      </c>
      <c r="X7" s="174" t="str">
        <f aca="false" t="array" ref="X7:X7">IF(TIPOORCAMENTO="Licitado","Nº CTEF","BDI 3")</f>
        <v>BDI 3</v>
      </c>
      <c r="Y7" s="173"/>
      <c r="Z7" s="173"/>
      <c r="AE7" s="170" t="s">
        <v>742</v>
      </c>
      <c r="AF7" s="171" t="b">
        <f aca="false">TRUE()</f>
        <v>1</v>
      </c>
      <c r="AJ7" s="175" t="s">
        <v>743</v>
      </c>
      <c r="AL7" s="176" t="s">
        <v>744</v>
      </c>
    </row>
    <row r="8" customFormat="false" ht="12.75" hidden="false" customHeight="true" outlineLevel="0" collapsed="false">
      <c r="A8" s="50"/>
      <c r="B8" s="50"/>
      <c r="C8" s="50"/>
      <c r="F8" s="177" t="str">
        <f aca="true">IF(LEN(INFO("release"))&gt;5,"'Referência "&amp;Excel_BuiltIn_Database&amp;".xlsm'#Banco.$a5:$a$65536","'[Referência "&amp;Excel_BuiltIn_Database&amp;".xlsm]Banco'!$a5:$a$65536")</f>
        <v>'Referência 07-2025.xlsm'#Banco.$a5:$a$65536</v>
      </c>
      <c r="G8" s="177"/>
      <c r="H8" s="177"/>
      <c r="I8" s="177"/>
      <c r="J8" s="177"/>
      <c r="K8" s="177"/>
      <c r="L8" s="105" t="s">
        <v>682</v>
      </c>
      <c r="O8" s="104" t="str">
        <f aca="true">IF(ISERROR(INDIRECT($F$9)),"(N/D: 'Referência "&amp;Excel_BuiltIn_Database&amp;".xlsm)",INDIRECT($F$9))</f>
        <v>(N/D: 'Referência 07-2025.xlsm)</v>
      </c>
      <c r="P8" s="104"/>
      <c r="Q8" s="178" t="str">
        <f aca="true" t="array" ref="Q8:Q8">TEXT(Import.DataBase,"mm-aa")&amp;IF(DESONERACAO="Sim"," (DES.)"," (N DES.)")</f>
        <v>07-25 (DES.)</v>
      </c>
      <c r="R8" s="164" t="str">
        <f aca="false" t="array" ref="R8:R8">IF(TIPOORCAMENTO="Licitado",Import.empresa,Import.DescLote)</f>
        <v>CONSTRUÇÃO DE UNIDADES HABITACIONAIS EM ÁREAS URBANAS, NO MUNICIPIO DE SALINAS/MG, UTILIZANDO RECURSOS DO FNHIS, PELO PROGRAMA MINHA CASA MINHA VIDA</v>
      </c>
      <c r="S8" s="179" t="str">
        <f aca="true" t="array" ref="S8:S8">IF(TIPOORCAMENTO="Licitado",Import.RegimeExecução,Import.Município)</f>
        <v>SALINAS</v>
      </c>
      <c r="T8" s="179"/>
      <c r="U8" s="179"/>
      <c r="V8" s="180" t="str">
        <f aca="false" t="array" ref="V8:V8">IF(TIPOORCAMENTO="Licitado","",TEXT(F5,"0,00%"))</f>
        <v>29,04%</v>
      </c>
      <c r="W8" s="180" t="str">
        <f aca="false" t="array" ref="W8:W8">IF(TIPOORCAMENTO="Licitado","",TEXT(G5,"0,00%"))</f>
        <v>0,00%</v>
      </c>
      <c r="X8" s="181" t="str">
        <f aca="false" t="array" ref="X8:X8">IF(TIPOORCAMENTO="Licitado",Import.CTEF,TEXT(H5,"0,00%"))</f>
        <v>0,00%</v>
      </c>
      <c r="Y8" s="105" t="s">
        <v>745</v>
      </c>
      <c r="Z8" s="105" t="s">
        <v>746</v>
      </c>
      <c r="AA8" s="182"/>
      <c r="AB8" s="182"/>
      <c r="AE8" s="170" t="s">
        <v>747</v>
      </c>
      <c r="AF8" s="171" t="b">
        <f aca="false">TRUE()</f>
        <v>1</v>
      </c>
      <c r="AJ8" s="175"/>
      <c r="AL8" s="176"/>
    </row>
    <row r="9" customFormat="false" ht="12.75" hidden="false" customHeight="true" outlineLevel="0" collapsed="false">
      <c r="F9" s="177" t="str">
        <f aca="true">IF(LEN(INFO("release"))&gt;5,"'Referência "&amp;Excel_BuiltIn_Database&amp;".xlsm'#Banco.$d$3","'[Referência "&amp;Excel_BuiltIn_Database&amp;".xlsm]Banco'!$d$3")</f>
        <v>'Referência 07-2025.xlsm'#Banco.$d$3</v>
      </c>
      <c r="G9" s="177"/>
      <c r="H9" s="177"/>
      <c r="I9" s="177"/>
      <c r="J9" s="177"/>
      <c r="K9" s="177"/>
      <c r="L9" s="105"/>
      <c r="Y9" s="105"/>
      <c r="Z9" s="105"/>
      <c r="AE9" s="170" t="s">
        <v>23</v>
      </c>
      <c r="AF9" s="171" t="b">
        <f aca="false">TRUE()</f>
        <v>1</v>
      </c>
      <c r="AJ9" s="175"/>
      <c r="AL9" s="176"/>
    </row>
    <row r="10" customFormat="false" ht="12.75" hidden="false" customHeight="false" outlineLevel="0" collapsed="false">
      <c r="G10" s="160"/>
      <c r="H10" s="160"/>
      <c r="L10" s="105"/>
      <c r="Y10" s="105"/>
      <c r="Z10" s="105"/>
      <c r="AC10" s="183" t="s">
        <v>748</v>
      </c>
      <c r="AE10" s="170" t="s">
        <v>749</v>
      </c>
      <c r="AF10" s="171" t="b">
        <f aca="false">TRUE()</f>
        <v>1</v>
      </c>
      <c r="AJ10" s="175"/>
      <c r="AL10" s="176"/>
    </row>
    <row r="11" customFormat="false" ht="12.75" hidden="false" customHeight="false" outlineLevel="0" collapsed="false">
      <c r="G11" s="160"/>
      <c r="H11" s="184"/>
      <c r="L11" s="105"/>
      <c r="Y11" s="105"/>
      <c r="Z11" s="105"/>
      <c r="AC11" s="185" t="str">
        <f aca="false">IF(COUNTIFS($L$15:$L$205,"F",$AC$15:$AC$205,"&lt;&gt;"&amp;" ")&gt;0,"NÃO OK","OK")</f>
        <v>NÃO OK</v>
      </c>
      <c r="AE11" s="170" t="s">
        <v>750</v>
      </c>
      <c r="AF11" s="171" t="b">
        <f aca="false">TRUE()</f>
        <v>1</v>
      </c>
      <c r="AJ11" s="175"/>
      <c r="AL11" s="176"/>
    </row>
    <row r="12" customFormat="false" ht="19.5" hidden="false" customHeight="true" outlineLevel="0" collapsed="false">
      <c r="G12" s="160"/>
      <c r="H12" s="160"/>
      <c r="L12" s="105"/>
      <c r="O12" s="186" t="e">
        <f aca="false" t="array" ref="O12:O12">IF(COUNTIF($AC$15:$AC$205,"FONTE")&gt;0,"Falta preencher a Fonte (coluna P) na Linha "&amp;(14+MATCH("FONTE",$AC$15:$AC$205,0)),
 IF(COUNTIF($AC$15:$AC$205,"CÓDIGO")&gt;0,"Falta preencher o Código (coluna Q) na Linha "&amp;(14+MATCH("CÓDIGO",$AC$15:$AC$205,0)),
 IF(COUNTIF($AC$15:$AC$205,"CÓDIGO N/ID")&gt;0,"Código (coluna Q) não identificado na Linha "&amp;(14+MATCH("CÓDIGO N/ID",$AC$15:$AC$205,0))&amp;". Verifique se o código está correto ou busque outro código",
 IF(COUNTIF($AC$15:$AC$205,"DESCRIÇÃO")&gt;0,"Falta preencher a Descrição (coluna R) na Linha "&amp;(14+MATCH("DESCRIÇÃO",$AC$15:$AC$205,0)),
 IF(COUNTIF($AC$15:$AC$205,"UNIDADE")&gt;0,"Falta preencher a Unidade (coluna S) na Linha "&amp;(14+MATCH("UNIDADE",$AC$15:$AC$205,0)),
 IF(COUNTIF($AC$15:$AC$205,"SEM CUSTO")&gt;0,"Falta preencher o Custo Unitário (coluna U) na Linha "&amp;(14+MATCH("SEM CUSTO",$AC$15:$AC$205,0)),
 IF(COUNTIF($AC$15:$AC$205,"SEM PREÇO")&gt;0,"Falta preencher o Preço Unitário licitado (coluna AL) na Linha "&amp;(14+MATCH("SEM CUSTO",$AC$15:$AC$205,0)),
 IF(COUNTIF($AC$15:$AC$205,"BDI")&gt;0,"Falta definir o BDI (coluna V) na Linha "&amp;(14+MATCH("BDI",$AC$15:$AC$205,0)),
 IF(COUNTIF($AC$15:$AC$205,"ACIMA REF.")&gt;0,
         IF(TIPOORCAMENTO="Proposto","O custo unitário (coluna U) na Linha "&amp;(14+MATCH("ACIMA REF.",$AC$15:$AC$205,0))&amp;" está acima do custo referencial (coluna AG)",
            "O preço unitário licitado (coluna AL) na Linha "&amp;(14+MATCH("ACIMA REF.",$AC$15:$AC$205,0))&amp;" está acima do preço referencial do edital (coluna AN)"),
 IF(COUNTIF($AC$15:$AC$205,"QUANT.")&gt;0,"Falta a Quantidade do serviço na Linha "&amp;(14+MATCH("QUANT.",$AC$15:$AC$205,0))&amp;IF(ACOMPANHAMENTO="PLE",". Preencher na aba CÁLCULO",". Preencher na coluna AJ"),
 IF(COUNTIF($AC$15:$AC$205,"Código &gt;13")&gt;0,"O tamanho do código do serviço no TransfereGOV é limitado a 13 caracteres. Resuma o código (coluna Q) na Linha "&amp;(14+MATCH("Código &gt;13",$AC$15:$AC$205,0)),
 IF(COUNTIF($AC$15:$AC$205,"Descrição &gt;100")&gt;0,"O tamanho da descrição de macrosserviço no TransfereGOV é limitado a 100 caracteres. Resuma a descrição (coluna R) na Linha "&amp;(14+MATCH("Descrição &gt;100",$AC$15:$AC$205,0)),
 IF(COUNTIF($AC$15:$AC$205,"Descrição &gt;500")&gt;0,"O tamanho da descrição de serviço no TransfereGOV é limitado a 500 caracteres. Resuma a descrição (coluna R) na Linha "&amp;(14+MATCH("Descrição &gt;500",$AC$15:$AC$205,0)),
 IF(COUNTIF($AC$15:$AC$205,"Unid. Não Disp")&gt;0,"Unidade não disponível na lista do TransfereGOV. Reveja a unidade (coluna S) na Linha "&amp;(14+MATCH("Unid. Não Disp",$AC$15:$AC$205,0)),
 IF(AND(TIPOORCAMENTO="Proposto",LEFT($O$8,5)="(N/D:"),"Abra o arquivo Referência "&amp;_xlfn.single(Excel_BuiltIn_Database)&amp;".xlsm","")))))))))))))))</f>
        <v>#NAME?</v>
      </c>
      <c r="Y12" s="105"/>
      <c r="Z12" s="105"/>
      <c r="AA12" s="187" t="s">
        <v>751</v>
      </c>
      <c r="AB12" s="187"/>
      <c r="AJ12" s="112" t="s">
        <v>687</v>
      </c>
      <c r="AL12" s="188" t="s">
        <v>687</v>
      </c>
    </row>
    <row r="13" customFormat="false" ht="34.5" hidden="false" customHeight="true" outlineLevel="0" collapsed="false">
      <c r="A13" s="189" t="s">
        <v>752</v>
      </c>
      <c r="B13" s="189" t="s">
        <v>753</v>
      </c>
      <c r="C13" s="189" t="s">
        <v>754</v>
      </c>
      <c r="D13" s="189" t="s">
        <v>755</v>
      </c>
      <c r="E13" s="189" t="s">
        <v>756</v>
      </c>
      <c r="F13" s="189" t="s">
        <v>757</v>
      </c>
      <c r="G13" s="189" t="s">
        <v>758</v>
      </c>
      <c r="H13" s="189" t="s">
        <v>759</v>
      </c>
      <c r="I13" s="189" t="s">
        <v>760</v>
      </c>
      <c r="J13" s="189" t="s">
        <v>761</v>
      </c>
      <c r="K13" s="189" t="s">
        <v>762</v>
      </c>
      <c r="L13" s="112" t="s">
        <v>687</v>
      </c>
      <c r="M13" s="189" t="s">
        <v>763</v>
      </c>
      <c r="N13" s="190" t="s">
        <v>764</v>
      </c>
      <c r="O13" s="189" t="s">
        <v>765</v>
      </c>
      <c r="P13" s="189" t="s">
        <v>766</v>
      </c>
      <c r="Q13" s="189" t="s">
        <v>767</v>
      </c>
      <c r="R13" s="189" t="s">
        <v>132</v>
      </c>
      <c r="S13" s="191" t="s">
        <v>768</v>
      </c>
      <c r="T13" s="189" t="s">
        <v>742</v>
      </c>
      <c r="U13" s="189" t="str">
        <f aca="false" t="array" ref="U13:U13">IF(TIPOORCAMENTO="Licitado","","Custo Unitário (sem BDI) (R$)")</f>
        <v>Custo Unitário (sem BDI) (R$)</v>
      </c>
      <c r="V13" s="189" t="str">
        <f aca="false" t="array" ref="V13:V13">IF(TIPOORCAMENTO="Licitado","","BDI
(%)")</f>
        <v>BDI
(%)</v>
      </c>
      <c r="W13" s="189" t="s">
        <v>769</v>
      </c>
      <c r="X13" s="189" t="s">
        <v>770</v>
      </c>
      <c r="Y13" s="112" t="s">
        <v>687</v>
      </c>
      <c r="Z13" s="112" t="s">
        <v>687</v>
      </c>
      <c r="AA13" s="192" t="s">
        <v>771</v>
      </c>
      <c r="AB13" s="193" t="s">
        <v>772</v>
      </c>
      <c r="AC13" s="189" t="s">
        <v>773</v>
      </c>
      <c r="AD13" s="194" t="s">
        <v>774</v>
      </c>
      <c r="AE13" s="194" t="s">
        <v>775</v>
      </c>
      <c r="AF13" s="194" t="s">
        <v>776</v>
      </c>
      <c r="AG13" s="195" t="s">
        <v>777</v>
      </c>
      <c r="AH13" s="196" t="str">
        <f aca="false" t="array" ref="AH13:AH13">IF(TIPOORCAMENTO="LICITADO","Valor BDI Edital","Valor BDI")</f>
        <v>Valor BDI</v>
      </c>
      <c r="AJ13" s="197" t="s">
        <v>742</v>
      </c>
      <c r="AL13" s="197" t="s">
        <v>769</v>
      </c>
      <c r="AM13" s="195" t="s">
        <v>778</v>
      </c>
      <c r="AN13" s="198" t="s">
        <v>779</v>
      </c>
    </row>
    <row r="14" customFormat="false" ht="12.75" hidden="true" customHeight="false" outlineLevel="0" collapsed="false">
      <c r="A14" s="1" t="str">
        <f aca="false">CHOOSE(1+LOG(1+2*(ORÇAMENTO.Nivel="Meta")+4*(ORÇAMENTO.Nivel="Nível 2")+8*(ORÇAMENTO.Nivel="Nível 3")+16*(ORÇAMENTO.Nivel="Nível 4")+32*(ORÇAMENTO.Nivel="Serviço"),2),0,1,2,3,4,"S")</f>
        <v>S</v>
      </c>
      <c r="B14" s="1" t="str">
        <f aca="true">IF(OR(C14="s",C14=0),OFFSET(B14,-1,0),C14)</f>
        <v>Save Nivel</v>
      </c>
      <c r="C14" s="1" t="str">
        <f aca="true">IF(OFFSET(C14,-1,0)="L",1,IF(OFFSET(C14,-1,0)=1,2,IF(OR(A14="s",A14=0),"S",IF(AND(OFFSET(C14,-1,0)=2,A14=4),3,IF(AND(OR(OFFSET(C14,-1,0)="s",OFFSET(C14,-1,0)=0),A14&lt;&gt;"s",A14&gt;OFFSET(B14,-1,0)),OFFSET(B14,-1,0),A14)))))</f>
        <v>S</v>
      </c>
      <c r="D14" s="1" t="n">
        <f aca="false">IF(OR(C14="S",C14=0),0,IF(ISERROR(K14),J14,SMALL(J14:K14,1)))</f>
        <v>0</v>
      </c>
      <c r="E14" s="1" t="str">
        <f aca="true">IF($C14=1,OFFSET(E14,-1,0)+MAX(1,COUNTIF(QCI!$A$13:$A$15,OFFSET(ORÇAMENTO!E14,-1,0))),OFFSET(E14,-1,0))</f>
        <v>n1</v>
      </c>
      <c r="F14" s="1" t="str">
        <f aca="true">IF($C14=1,0,IF($C14=2,OFFSET(F14,-1,0)+1,OFFSET(F14,-1,0)))</f>
        <v>n2</v>
      </c>
      <c r="G14" s="1" t="str">
        <f aca="true">IF(AND($C14&lt;=2,$C14&lt;&gt;0),0,IF($C14=3,OFFSET(G14,-1,0)+1,OFFSET(G14,-1,0)))</f>
        <v>n3</v>
      </c>
      <c r="H14" s="1" t="str">
        <f aca="true">IF(AND($C14&lt;=3,$C14&lt;&gt;0),0,IF($C14=4,OFFSET(H14,-1,0)+1,OFFSET(H14,-1,0)))</f>
        <v>n4</v>
      </c>
      <c r="I14" s="1" t="str">
        <f aca="true">IF(AND($C14&lt;=4,$C14&lt;&gt;0),0,IF(AND($C14="S",$X14&gt;0),OFFSET(I14,-1,0)+1,OFFSET(I14,-1,0)))</f>
        <v>n5</v>
      </c>
      <c r="J14" s="1" t="n">
        <f aca="true">IF(OR($C14="S",$C14=0),0,MATCH(0,OFFSET($D14,1,$C14,ROW($C$205)-ROW($C14)),0))</f>
        <v>0</v>
      </c>
      <c r="K14" s="1" t="n">
        <f aca="true">IF(OR($C14="S",$C14=0),0,MATCH(OFFSET($D14,0,$C14)+IF($C14&lt;&gt;1,1,COUNTIF(QCI!$A$13:$A$15,ORÇAMENTO!E14)),OFFSET($D14,1,$C14,ROW($C$205)-ROW($C14)),0))</f>
        <v>0</v>
      </c>
      <c r="L14" s="199" t="str">
        <f aca="false">IF(OR($X14&gt;0,$C14=1,$C14=2,$C14=3,$C14=4),"F","")</f>
        <v/>
      </c>
      <c r="M14" s="200" t="s">
        <v>735</v>
      </c>
      <c r="N14" s="201" t="str">
        <f aca="false">CHOOSE(1+LOG(1+2*(C14=1)+4*(C14=2)+8*(C14=3)+16*(C14=4)+32*(C14="S"),2),"","Meta","Nível 2","Nível 3","Nível 4","Serviço")</f>
        <v>Serviço</v>
      </c>
      <c r="O14" s="202" t="str">
        <f aca="false">IF(OR($C14=0,$L14=""),"-",CONCATENATE(E14&amp;".",IF(AND($A$5&gt;=2,$C14&gt;=2),F14&amp;".",""),IF(AND($A$5&gt;=3,$C14&gt;=3),G14&amp;".",""),IF(AND($A$5&gt;=4,$C14&gt;=4),H14&amp;".",""),IF($C14="S",I14&amp;".","")))</f>
        <v>-</v>
      </c>
      <c r="P14" s="203" t="s">
        <v>780</v>
      </c>
      <c r="Q14" s="204"/>
      <c r="R14" s="205" t="str">
        <f aca="true">IF($C14="S",REFERENCIA.Descricao,"(digite a descrição aqui)")</f>
        <v>(abra o arquivo 'Referência 07-2025.xlsm)</v>
      </c>
      <c r="S14" s="206" t="str">
        <f aca="true">REFERENCIA.Unidade</f>
        <v>-</v>
      </c>
      <c r="T14" s="207" t="n">
        <f aca="true">OFFSET(CÁLCULO!H$15,ROW($T14)-ROW(T$15),0)</f>
        <v>0</v>
      </c>
      <c r="U14" s="208"/>
      <c r="V14" s="209" t="s">
        <v>690</v>
      </c>
      <c r="W14" s="207" t="n">
        <f aca="false">IF($C14="S",ROUND(IF(TIPOORCAMENTO="Proposto",ORÇAMENTO.CustoUnitario*(1+$AH14),ORÇAMENTO.PrecoUnitarioLicitado),15-13*$AF$10),0)</f>
        <v>0</v>
      </c>
      <c r="X14" s="210" t="n">
        <f aca="true" t="array" ref="X14:X14">IF($C14="S",IF(OR(Import.TipoArredondamento&lt;&gt;"TransfereGOV",ACOMPANHAMENTO="BM"),VTOTAL1,SUM(OFFSET(CÁLCULO!$AQ$15,ROW($X14)-ROW($X$15),1):OFFSET(CÁLCULO!$BR$15,ROW($X14)-ROW($X$15),-1))),IF($C14=0,0,ROUND(SomaAgrup,15-13*$AF$11)))</f>
        <v>0</v>
      </c>
      <c r="Y14" s="211" t="s">
        <v>781</v>
      </c>
      <c r="Z14" s="1" t="str">
        <f aca="false">IF(AND($C14="S",$X14&gt;0),IF(ISBLANK($Y14),"RA",LEFT($Y14,2)),"")</f>
        <v/>
      </c>
      <c r="AA14" s="212" t="n">
        <f aca="true">IF($C14="S",IF($Z14="CP",$X14,IF($Z14="RA",(($X14)*QCI!$AA$3),0)),SomaAgrup)</f>
        <v>0</v>
      </c>
      <c r="AB14" s="213" t="n">
        <f aca="true">IF($C14="S",IF($Z14="OU",ROUND($X14,2),0),SomaAgrup)</f>
        <v>0</v>
      </c>
      <c r="AC14" s="214" t="e">
        <f aca="false" t="array" ref="AC14:AC14">IF($N14=""," ",
IF(AND($C14&lt;&gt;"S",OR($R14="",$R14="(digite a descrição aqui)")),"DESCRIÇÃO",
IF(AND($C14="S",OR($Q14&lt;&gt;"",$T14&gt;0,$U14&gt;0),$P14=""),"FONTE",
IF(AND($C14="S",$P14&lt;&gt;"",OR($T14&gt;0,$U14&gt;0),$Q14=""),"CÓDIGO",
IF(AND($C14="S",$P14&lt;&gt;"",$Q14&lt;&gt;"",$R14="(Código não identificado nas referências)"),"CÓDIGO N/ID",
IF(AND($C14="S",OR($R14="",$R14="(digite a descrição aqui)"),OR($Q14&lt;&gt;"",$T14&gt;0,$U14&gt;0)),"DESCRIÇÃO",
IF(AND($C14="S",$P14&lt;&gt;"",$Q14&lt;&gt;"",$S14=""),"UNIDADE",
IF(AND($C14="S",$P14&lt;&gt;"",$Q14&lt;&gt;"",$U14=0),"SEM CUSTO",
IF(AND(_xlfn.single(TIPOORCAMENTO)="Licitado",$AL14=0,$AN14&gt;0),"SEM PREÇO",
IF(AND($C14="S",$P14&lt;&gt;"",$Q14&lt;&gt;"",$U14&gt;0,$V14=0),"BDI",
IF(OR(AND(TIPOORCAMENTO="Proposto",LEFT($O$8,5)&lt;&gt;"(N/D:",$AG14&lt;&gt;"",ORÇAMENTO.CustoUnitario&gt;$AG14),AND(TIPOORCAMENTO="LICITADO",ORÇAMENTO.PrecoUnitarioLicitado&gt;$AN14)),"ACIMA REF.",
IF(AND($C14="S",$P14&lt;&gt;"",$Q14&lt;&gt;"",$T14=0,$U14&gt;0),"QUANT.",
IF(AND(Import.TipoArredondamento="TransfereGOV",$L14="F",$C14="S",LEN($Q14)&gt;13),"Código &gt;13",
IF(AND(Import.TipoArredondamento="TransfereGOV",$L14="F",$C14&lt;&gt;"S",LEN($R14)&gt;100),"Descrição &gt;100",
IF(AND(Import.TipoArredondamento="TransfereGOV",$L14="F",$C14="S",LEN($R14)&gt;500),"Descrição &gt;500",
IF(AND(Import.TipoArredondamento="TransfereGOV",$L14="F",$C14="S",LEFT(TRIM(UPPER($P14)),6)&lt;&gt;"SINAPI",ISNA(VLOOKUP(TRIM(UPPER($S14)),ListaTgov.Unidades,1,FALSE()))),"Unid. Não Disp",
" "))))))))))))))))</f>
        <v>#NAME?</v>
      </c>
      <c r="AD14" s="1" t="str">
        <f aca="true">IF(C14&lt;=CRONO.NivelExibicao,MAX($AD$15:OFFSET(AD14,-1,0))+IF($C14&lt;&gt;1,1,MAX(1,COUNTIF(QCI!$A$13:$A$15,OFFSET($E14,-1,0)))),"")</f>
        <v/>
      </c>
      <c r="AE14" s="50" t="b">
        <f aca="false">IF(AND($C14="S",ORÇAMENTO.CodBarra&lt;&gt;""),IF(ORÇAMENTO.Fonte="",ORÇAMENTO.CodBarra,CONCATENATE(ORÇAMENTO.Fonte," ",ORÇAMENTO.CodBarra)))</f>
        <v>0</v>
      </c>
      <c r="AF14" s="65" t="str">
        <f aca="true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07-2025.xlsm)</v>
      </c>
      <c r="AG14" s="215" t="n">
        <f aca="true">ROUND(IF(DESONERACAO="sim",REFERENCIA.Desonerado,REFERENCIA.NaoDesonerado),2)</f>
        <v>0</v>
      </c>
      <c r="AH14" s="216" t="n">
        <f aca="false">ROUND(IF(ISNUMBER(ORÇAMENTO.OpcaoBDI),ORÇAMENTO.OpcaoBDI,IF(LEFT(ORÇAMENTO.OpcaoBDI,3)="BDI",HLOOKUP(ORÇAMENTO.OpcaoBDI,$F$4:$H$5,2,FALSE()),0)),15-11*$AF$9)</f>
        <v>0.2904</v>
      </c>
      <c r="AJ14" s="217"/>
      <c r="AL14" s="218"/>
      <c r="AM14" s="219" t="n">
        <f aca="false">$X14</f>
        <v>0</v>
      </c>
      <c r="AN14" s="220" t="n">
        <f aca="false">ROUND(ORÇAMENTO.CustoUnitario*(1+$AH14),2)</f>
        <v>0</v>
      </c>
    </row>
    <row r="15" customFormat="false" ht="12.75" hidden="false" customHeight="true" outlineLevel="0" collapsed="false">
      <c r="A15" s="1" t="n">
        <v>0</v>
      </c>
      <c r="C15" s="1" t="s">
        <v>681</v>
      </c>
      <c r="D15" s="1" t="n">
        <f aca="true">COUNTA(OFFSET(D15,1,0):D$205)</f>
        <v>189</v>
      </c>
      <c r="E15" s="1" t="n">
        <v>0</v>
      </c>
      <c r="L15" s="199" t="s">
        <v>563</v>
      </c>
      <c r="M15" s="221" t="str">
        <f aca="false">IF(TIPOORCAMENTO="LICITADO","CTEF","LOTE")</f>
        <v>LOTE</v>
      </c>
      <c r="N15" s="221" t="str">
        <f aca="false">IF(TIPOORCAMENTO="LICITADO","CTEF","LOTE")</f>
        <v>LOTE</v>
      </c>
      <c r="O15" s="222" t="str">
        <f aca="false">Import.DescLote</f>
        <v>CONSTRUÇÃO DE UNIDADES HABITACIONAIS EM ÁREAS URBANAS, NO MUNICIPIO DE SALINAS/MG, UTILIZANDO RECURSOS DO FNHIS, PELO PROGRAMA MINHA CASA MINHA VIDA</v>
      </c>
      <c r="P15" s="222"/>
      <c r="Q15" s="222"/>
      <c r="R15" s="222"/>
      <c r="S15" s="223"/>
      <c r="T15" s="224"/>
      <c r="U15" s="224"/>
      <c r="V15" s="225"/>
      <c r="W15" s="224"/>
      <c r="X15" s="226" t="n">
        <f aca="true">SUMIF(OFFSET($C15,1,0,ROW(X205)-ROW(X15)-1),"S",OFFSET(X15,1,0,ROW(X205)-ROW(X15)-1))</f>
        <v>3655717.06</v>
      </c>
      <c r="Y15" s="50"/>
      <c r="Z15" s="1" t="str">
        <f aca="false">IF(AND($C15="S",$X15&gt;0),LEFT($Y15,2),"")</f>
        <v/>
      </c>
      <c r="AA15" s="227" t="n">
        <f aca="true">SUMIF(OFFSET($C15,1,0,ROW(AA205)-ROW(AA15)-1),"S",OFFSET(AA15,1,0,ROW(AA205)-ROW(AA15)-1))</f>
        <v>405717.06</v>
      </c>
      <c r="AB15" s="228" t="n">
        <f aca="true">SUMIF(OFFSET($C15,1,0,ROW(AB205)-ROW(AB15)-1),"S",OFFSET(AB15,1,0,ROW(AB205)-ROW(AB15)-1))</f>
        <v>0</v>
      </c>
      <c r="AC15" s="111" t="s">
        <v>782</v>
      </c>
      <c r="AG15" s="229"/>
      <c r="AH15" s="230"/>
      <c r="AJ15" s="231"/>
      <c r="AL15" s="232"/>
      <c r="AM15" s="233" t="n">
        <f aca="false">$X15</f>
        <v>3655717.06</v>
      </c>
      <c r="AN15" s="234"/>
    </row>
    <row r="16" customFormat="false" ht="12.75" hidden="false" customHeight="false" outlineLevel="0" collapsed="false">
      <c r="A16" s="1" t="n">
        <f aca="false">CHOOSE(1+LOG(1+2*(ORÇAMENTO.Nivel="Meta")+4*(ORÇAMENTO.Nivel="Nível 2")+8*(ORÇAMENTO.Nivel="Nível 3")+16*(ORÇAMENTO.Nivel="Nível 4")+32*(ORÇAMENTO.Nivel="Serviço"),2),0,1,2,3,4,"S")</f>
        <v>1</v>
      </c>
      <c r="B16" s="1" t="n">
        <f aca="true">IF(OR(C16="s",C16=0),OFFSET(B16,-1,0),C16)</f>
        <v>1</v>
      </c>
      <c r="C16" s="1" t="n">
        <f aca="true">IF(OFFSET(C16,-1,0)="L",1,IF(OFFSET(C16,-1,0)=1,2,IF(OR(A16="s",A16=0),"S",IF(AND(OFFSET(C16,-1,0)=2,A16=4),3,IF(AND(OR(OFFSET(C16,-1,0)="s",OFFSET(C16,-1,0)=0),A16&lt;&gt;"s",A16&gt;OFFSET(B16,-1,0)),OFFSET(B16,-1,0),A16)))))</f>
        <v>1</v>
      </c>
      <c r="D16" s="1" t="n">
        <f aca="false">IF(OR(C16="S",C16=0),0,IF(ISERROR(K16),J16,SMALL(J16:K16,1)))</f>
        <v>189</v>
      </c>
      <c r="E16" s="1" t="n">
        <f aca="true">IF($C16=1,OFFSET(E16,-1,0)+MAX(1,COUNTIF(QCI!$A$13:$A$15,OFFSET(ORÇAMENTO!E16,-1,0))),OFFSET(E16,-1,0))</f>
        <v>1</v>
      </c>
      <c r="F16" s="1" t="n">
        <f aca="true">IF($C16=1,0,IF($C16=2,OFFSET(F16,-1,0)+1,OFFSET(F16,-1,0)))</f>
        <v>0</v>
      </c>
      <c r="G16" s="1" t="n">
        <f aca="true">IF(AND($C16&lt;=2,$C16&lt;&gt;0),0,IF($C16=3,OFFSET(G16,-1,0)+1,OFFSET(G16,-1,0)))</f>
        <v>0</v>
      </c>
      <c r="H16" s="1" t="n">
        <f aca="true">IF(AND($C16&lt;=3,$C16&lt;&gt;0),0,IF($C16=4,OFFSET(H16,-1,0)+1,OFFSET(H16,-1,0)))</f>
        <v>0</v>
      </c>
      <c r="I16" s="1" t="n">
        <f aca="true">IF(AND($C16&lt;=4,$C16&lt;&gt;0),0,IF(AND($C16="S",$X16&gt;0),OFFSET(I16,-1,0)+1,OFFSET(I16,-1,0)))</f>
        <v>0</v>
      </c>
      <c r="J16" s="1" t="n">
        <f aca="true">IF(OR($C16="S",$C16=0),0,MATCH(0,OFFSET($D16,1,$C16,ROW($C$205)-ROW($C16)),0))</f>
        <v>189</v>
      </c>
      <c r="K16" s="1" t="e">
        <f aca="true">IF(OR($C16="S",$C16=0),0,MATCH(OFFSET($D16,0,$C16)+IF($C16&lt;&gt;1,1,COUNTIF(QCI!$A$13:$A$15,ORÇAMENTO!E16)),OFFSET($D16,1,$C16,ROW($C$205)-ROW($C16)),0))</f>
        <v>#N/A</v>
      </c>
      <c r="L16" s="199" t="str">
        <f aca="false">IF(OR($X16&gt;0,$C16=1,$C16=2,$C16=3,$C16=4),"F","")</f>
        <v>F</v>
      </c>
      <c r="M16" s="200" t="s">
        <v>731</v>
      </c>
      <c r="N16" s="201" t="str">
        <f aca="false">CHOOSE(1+LOG(1+2*(C16=1)+4*(C16=2)+8*(C16=3)+16*(C16=4)+32*(C16="S"),2),"","Meta","Nível 2","Nível 3","Nível 4","Serviço")</f>
        <v>Meta</v>
      </c>
      <c r="O16" s="202" t="str">
        <f aca="false">IF(OR($C16=0,$L16=""),"-",CONCATENATE(E16&amp;".",IF(AND($A$5&gt;=2,$C16&gt;=2),F16&amp;".",""),IF(AND($A$5&gt;=3,$C16&gt;=3),G16&amp;".",""),IF(AND($A$5&gt;=4,$C16&gt;=4),H16&amp;".",""),IF($C16="S",I16&amp;".","")))</f>
        <v>1.</v>
      </c>
      <c r="P16" s="203" t="s">
        <v>780</v>
      </c>
      <c r="Q16" s="204"/>
      <c r="R16" s="235" t="s">
        <v>783</v>
      </c>
      <c r="S16" s="206" t="str">
        <f aca="true">REFERENCIA.Unidade</f>
        <v>-</v>
      </c>
      <c r="T16" s="207" t="n">
        <f aca="true">OFFSET(CÁLCULO!H$15,ROW($T16)-ROW(T$15),0)</f>
        <v>0</v>
      </c>
      <c r="U16" s="208"/>
      <c r="V16" s="209" t="s">
        <v>690</v>
      </c>
      <c r="W16" s="207" t="n">
        <f aca="false">IF($C16="S",ROUND(IF(TIPOORCAMENTO="Proposto",ORÇAMENTO.CustoUnitario*(1+$AH16),ORÇAMENTO.PrecoUnitarioLicitado),15-13*$AF$10),0)</f>
        <v>0</v>
      </c>
      <c r="X16" s="210" t="n">
        <f aca="true" t="array" ref="X16:X16">IF($C16="S",IF(OR(Import.TipoArredondamento&lt;&gt;"TransfereGOV",ACOMPANHAMENTO="BM"),VTOTAL1,SUM(OFFSET(CÁLCULO!$AQ$15,ROW($X16)-ROW($X$15),1):OFFSET(CÁLCULO!$BR$15,ROW($X16)-ROW($X$15),-1))),IF($C16=0,0,ROUND(SomaAgrup,15-13*$AF$11)))</f>
        <v>3655717.06</v>
      </c>
      <c r="Y16" s="211" t="s">
        <v>781</v>
      </c>
      <c r="Z16" s="1" t="str">
        <f aca="false">IF(AND($C16="S",$X16&gt;0),IF(ISBLANK($Y16),"RA",LEFT($Y16,2)),"")</f>
        <v/>
      </c>
      <c r="AA16" s="212" t="n">
        <f aca="true">IF($C16="S",IF($Z16="CP",$X16,IF($Z16="RA",(($X16)*QCI!$AA$3),0)),SomaAgrup)</f>
        <v>405717.06</v>
      </c>
      <c r="AB16" s="213" t="n">
        <f aca="true">IF($C16="S",IF($Z16="OU",ROUND($X16,2),0),SomaAgrup)</f>
        <v>0</v>
      </c>
      <c r="AC16" s="214" t="e">
        <f aca="false" t="array" ref="AC16:AC16">IF($N16=""," ",
IF(AND($C16&lt;&gt;"S",OR($R16="",$R16="(digite a descrição aqui)")),"DESCRIÇÃO",
IF(AND($C16="S",OR($Q16&lt;&gt;"",$T16&gt;0,$U16&gt;0),$P16=""),"FONTE",
IF(AND($C16="S",$P16&lt;&gt;"",OR($T16&gt;0,$U16&gt;0),$Q16=""),"CÓDIGO",
IF(AND($C16="S",$P16&lt;&gt;"",$Q16&lt;&gt;"",$R16="(Código não identificado nas referências)"),"CÓDIGO N/ID",
IF(AND($C16="S",OR($R16="",$R16="(digite a descrição aqui)"),OR($Q16&lt;&gt;"",$T16&gt;0,$U16&gt;0)),"DESCRIÇÃO",
IF(AND($C16="S",$P16&lt;&gt;"",$Q16&lt;&gt;"",$S16=""),"UNIDADE",
IF(AND($C16="S",$P16&lt;&gt;"",$Q16&lt;&gt;"",$U16=0),"SEM CUSTO",
IF(AND(_xlfn.single(TIPOORCAMENTO)="Licitado",$AL16=0,$AN16&gt;0),"SEM PREÇO",
IF(AND($C16="S",$P16&lt;&gt;"",$Q16&lt;&gt;"",$U16&gt;0,$V16=0),"BDI",
IF(OR(AND(TIPOORCAMENTO="Proposto",LEFT($O$8,5)&lt;&gt;"(N/D:",$AG16&lt;&gt;"",ORÇAMENTO.CustoUnitario&gt;$AG16),AND(TIPOORCAMENTO="LICITADO",ORÇAMENTO.PrecoUnitarioLicitado&gt;$AN16)),"ACIMA REF.",
IF(AND($C16="S",$P16&lt;&gt;"",$Q16&lt;&gt;"",$T16=0,$U16&gt;0),"QUANT.",
IF(AND(Import.TipoArredondamento="TransfereGOV",$L16="F",$C16="S",LEN($Q16)&gt;13),"Código &gt;13",
IF(AND(Import.TipoArredondamento="TransfereGOV",$L16="F",$C16&lt;&gt;"S",LEN($R16)&gt;100),"Descrição &gt;100",
IF(AND(Import.TipoArredondamento="TransfereGOV",$L16="F",$C16="S",LEN($R16)&gt;500),"Descrição &gt;500",
IF(AND(Import.TipoArredondamento="TransfereGOV",$L16="F",$C16="S",LEFT(TRIM(UPPER($P16)),6)&lt;&gt;"SINAPI",ISNA(VLOOKUP(TRIM(UPPER($S16)),ListaTgov.Unidades,1,FALSE()))),"Unid. Não Disp",
" "))))))))))))))))</f>
        <v>#NAME?</v>
      </c>
      <c r="AD16" s="38" t="n">
        <f aca="true">IF(C16&lt;=CRONO.NivelExibicao,MAX($AD$15:OFFSET(AD16,-1,0))+IF($C16&lt;&gt;1,1,MAX(1,COUNTIF(QCI!$A$13:$A$15,OFFSET($E16,-1,0)))),"")</f>
        <v>1</v>
      </c>
      <c r="AE16" s="50" t="b">
        <f aca="false">IF(AND($C16="S",ORÇAMENTO.CodBarra&lt;&gt;""),IF(ORÇAMENTO.Fonte="",ORÇAMENTO.CodBarra,CONCATENATE(ORÇAMENTO.Fonte," ",ORÇAMENTO.CodBarra)))</f>
        <v>0</v>
      </c>
      <c r="AF16" s="65" t="str">
        <f aca="true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07-2025.xlsm)</v>
      </c>
      <c r="AG16" s="215" t="n">
        <f aca="true">ROUND(IF(DESONERACAO="sim",REFERENCIA.Desonerado,REFERENCIA.NaoDesonerado),2)</f>
        <v>0</v>
      </c>
      <c r="AH16" s="216" t="n">
        <f aca="false">ROUND(IF(ISNUMBER(ORÇAMENTO.OpcaoBDI),ORÇAMENTO.OpcaoBDI,IF(LEFT(ORÇAMENTO.OpcaoBDI,3)="BDI",HLOOKUP(ORÇAMENTO.OpcaoBDI,$F$4:$H$5,2,FALSE()),0)),15-11*$AF$9)</f>
        <v>0.2904</v>
      </c>
      <c r="AJ16" s="217"/>
      <c r="AL16" s="218"/>
      <c r="AM16" s="219" t="n">
        <f aca="false">$X16</f>
        <v>3655717.06</v>
      </c>
      <c r="AN16" s="220" t="n">
        <f aca="false">ROUND(ORÇAMENTO.CustoUnitario*(1+$AH16),2)</f>
        <v>0</v>
      </c>
    </row>
    <row r="17" customFormat="false" ht="12.75" hidden="false" customHeight="false" outlineLevel="0" collapsed="false">
      <c r="A17" s="1" t="n">
        <f aca="false">CHOOSE(1+LOG(1+2*(ORÇAMENTO.Nivel="Meta")+4*(ORÇAMENTO.Nivel="Nível 2")+8*(ORÇAMENTO.Nivel="Nível 3")+16*(ORÇAMENTO.Nivel="Nível 4")+32*(ORÇAMENTO.Nivel="Serviço"),2),0,1,2,3,4,"S")</f>
        <v>2</v>
      </c>
      <c r="B17" s="1" t="n">
        <f aca="true">IF(OR(C17="s",C17=0),OFFSET(B17,-1,0),C17)</f>
        <v>2</v>
      </c>
      <c r="C17" s="1" t="n">
        <f aca="true">IF(OFFSET(C17,-1,0)="L",1,IF(OFFSET(C17,-1,0)=1,2,IF(OR(A17="s",A17=0),"S",IF(AND(OFFSET(C17,-1,0)=2,A17=4),3,IF(AND(OR(OFFSET(C17,-1,0)="s",OFFSET(C17,-1,0)=0),A17&lt;&gt;"s",A17&gt;OFFSET(B17,-1,0)),OFFSET(B17,-1,0),A17)))))</f>
        <v>2</v>
      </c>
      <c r="D17" s="1" t="n">
        <f aca="false">IF(OR(C17="S",C17=0),0,IF(ISERROR(K17),J17,SMALL(J17:K17,1)))</f>
        <v>6</v>
      </c>
      <c r="E17" s="1" t="n">
        <f aca="true">IF($C17=1,OFFSET(E17,-1,0)+MAX(1,COUNTIF(QCI!$A$13:$A$15,OFFSET(ORÇAMENTO!E17,-1,0))),OFFSET(E17,-1,0))</f>
        <v>1</v>
      </c>
      <c r="F17" s="1" t="n">
        <f aca="true">IF($C17=1,0,IF($C17=2,OFFSET(F17,-1,0)+1,OFFSET(F17,-1,0)))</f>
        <v>1</v>
      </c>
      <c r="G17" s="1" t="n">
        <f aca="true">IF(AND($C17&lt;=2,$C17&lt;&gt;0),0,IF($C17=3,OFFSET(G17,-1,0)+1,OFFSET(G17,-1,0)))</f>
        <v>0</v>
      </c>
      <c r="H17" s="1" t="n">
        <f aca="true">IF(AND($C17&lt;=3,$C17&lt;&gt;0),0,IF($C17=4,OFFSET(H17,-1,0)+1,OFFSET(H17,-1,0)))</f>
        <v>0</v>
      </c>
      <c r="I17" s="1" t="n">
        <f aca="true">IF(AND($C17&lt;=4,$C17&lt;&gt;0),0,IF(AND($C17="S",$X17&gt;0),OFFSET(I17,-1,0)+1,OFFSET(I17,-1,0)))</f>
        <v>0</v>
      </c>
      <c r="J17" s="1" t="n">
        <f aca="true">IF(OR($C17="S",$C17=0),0,MATCH(0,OFFSET($D17,1,$C17,ROW($C$205)-ROW($C17)),0))</f>
        <v>188</v>
      </c>
      <c r="K17" s="1" t="n">
        <f aca="true">IF(OR($C17="S",$C17=0),0,MATCH(OFFSET($D17,0,$C17)+IF($C17&lt;&gt;1,1,COUNTIF(QCI!$A$13:$A$15,ORÇAMENTO!E17)),OFFSET($D17,1,$C17,ROW($C$205)-ROW($C17)),0))</f>
        <v>6</v>
      </c>
      <c r="L17" s="199" t="str">
        <f aca="false">IF(OR($X17&gt;0,$C17=1,$C17=2,$C17=3,$C17=4),"F","")</f>
        <v>F</v>
      </c>
      <c r="M17" s="200" t="s">
        <v>732</v>
      </c>
      <c r="N17" s="201" t="str">
        <f aca="false">CHOOSE(1+LOG(1+2*(C17=1)+4*(C17=2)+8*(C17=3)+16*(C17=4)+32*(C17="S"),2),"","Meta","Nível 2","Nível 3","Nível 4","Serviço")</f>
        <v>Nível 2</v>
      </c>
      <c r="O17" s="202" t="str">
        <f aca="false">IF(OR($C17=0,$L17=""),"-",CONCATENATE(E17&amp;".",IF(AND($A$5&gt;=2,$C17&gt;=2),F17&amp;".",""),IF(AND($A$5&gt;=3,$C17&gt;=3),G17&amp;".",""),IF(AND($A$5&gt;=4,$C17&gt;=4),H17&amp;".",""),IF($C17="S",I17&amp;".","")))</f>
        <v>1.1.</v>
      </c>
      <c r="P17" s="203" t="s">
        <v>780</v>
      </c>
      <c r="Q17" s="204"/>
      <c r="R17" s="235" t="s">
        <v>784</v>
      </c>
      <c r="S17" s="206" t="str">
        <f aca="true">REFERENCIA.Unidade</f>
        <v>-</v>
      </c>
      <c r="T17" s="207" t="n">
        <f aca="true">OFFSET(CÁLCULO!H$15,ROW($T17)-ROW(T$15),0)</f>
        <v>0</v>
      </c>
      <c r="U17" s="208"/>
      <c r="V17" s="209" t="s">
        <v>690</v>
      </c>
      <c r="W17" s="207" t="n">
        <f aca="false">IF($C17="S",ROUND(IF(TIPOORCAMENTO="Proposto",ORÇAMENTO.CustoUnitario*(1+$AH17),ORÇAMENTO.PrecoUnitarioLicitado),15-13*$AF$10),0)</f>
        <v>0</v>
      </c>
      <c r="X17" s="210" t="n">
        <f aca="true" t="array" ref="X17:X17">IF($C17="S",IF(OR(Import.TipoArredondamento&lt;&gt;"TransfereGOV",ACOMPANHAMENTO="BM"),VTOTAL1,SUM(OFFSET(CÁLCULO!$AQ$15,ROW($X17)-ROW($X$15),1):OFFSET(CÁLCULO!$BR$15,ROW($X17)-ROW($X$15),-1))),IF($C17=0,0,ROUND(SomaAgrup,15-13*$AF$11)))</f>
        <v>36530.06</v>
      </c>
      <c r="Y17" s="211" t="s">
        <v>781</v>
      </c>
      <c r="Z17" s="1" t="str">
        <f aca="false">IF(AND($C17="S",$X17&gt;0),IF(ISBLANK($Y17),"RA",LEFT($Y17,2)),"")</f>
        <v/>
      </c>
      <c r="AA17" s="212" t="n">
        <f aca="true">IF($C17="S",IF($Z17="CP",$X17,IF($Z17="RA",(($X17)*QCI!$AA$3),0)),SomaAgrup)</f>
        <v>4054.16182422597</v>
      </c>
      <c r="AB17" s="213" t="n">
        <f aca="true">IF($C17="S",IF($Z17="OU",ROUND($X17,2),0),SomaAgrup)</f>
        <v>0</v>
      </c>
      <c r="AC17" s="214" t="e">
        <f aca="false" t="array" ref="AC17:AC17">IF($N17=""," ",
IF(AND($C17&lt;&gt;"S",OR($R17="",$R17="(digite a descrição aqui)")),"DESCRIÇÃO",
IF(AND($C17="S",OR($Q17&lt;&gt;"",$T17&gt;0,$U17&gt;0),$P17=""),"FONTE",
IF(AND($C17="S",$P17&lt;&gt;"",OR($T17&gt;0,$U17&gt;0),$Q17=""),"CÓDIGO",
IF(AND($C17="S",$P17&lt;&gt;"",$Q17&lt;&gt;"",$R17="(Código não identificado nas referências)"),"CÓDIGO N/ID",
IF(AND($C17="S",OR($R17="",$R17="(digite a descrição aqui)"),OR($Q17&lt;&gt;"",$T17&gt;0,$U17&gt;0)),"DESCRIÇÃO",
IF(AND($C17="S",$P17&lt;&gt;"",$Q17&lt;&gt;"",$S17=""),"UNIDADE",
IF(AND($C17="S",$P17&lt;&gt;"",$Q17&lt;&gt;"",$U17=0),"SEM CUSTO",
IF(AND(_xlfn.single(TIPOORCAMENTO)="Licitado",$AL17=0,$AN17&gt;0),"SEM PREÇO",
IF(AND($C17="S",$P17&lt;&gt;"",$Q17&lt;&gt;"",$U17&gt;0,$V17=0),"BDI",
IF(OR(AND(TIPOORCAMENTO="Proposto",LEFT($O$8,5)&lt;&gt;"(N/D:",$AG17&lt;&gt;"",ORÇAMENTO.CustoUnitario&gt;$AG17),AND(TIPOORCAMENTO="LICITADO",ORÇAMENTO.PrecoUnitarioLicitado&gt;$AN17)),"ACIMA REF.",
IF(AND($C17="S",$P17&lt;&gt;"",$Q17&lt;&gt;"",$T17=0,$U17&gt;0),"QUANT.",
IF(AND(Import.TipoArredondamento="TransfereGOV",$L17="F",$C17="S",LEN($Q17)&gt;13),"Código &gt;13",
IF(AND(Import.TipoArredondamento="TransfereGOV",$L17="F",$C17&lt;&gt;"S",LEN($R17)&gt;100),"Descrição &gt;100",
IF(AND(Import.TipoArredondamento="TransfereGOV",$L17="F",$C17="S",LEN($R17)&gt;500),"Descrição &gt;500",
IF(AND(Import.TipoArredondamento="TransfereGOV",$L17="F",$C17="S",LEFT(TRIM(UPPER($P17)),6)&lt;&gt;"SINAPI",ISNA(VLOOKUP(TRIM(UPPER($S17)),ListaTgov.Unidades,1,FALSE()))),"Unid. Não Disp",
" "))))))))))))))))</f>
        <v>#NAME?</v>
      </c>
      <c r="AD17" s="38" t="n">
        <f aca="true">IF(C17&lt;=CRONO.NivelExibicao,MAX($AD$15:OFFSET(AD17,-1,0))+IF($C17&lt;&gt;1,1,MAX(1,COUNTIF(QCI!$A$13:$A$15,OFFSET($E17,-1,0)))),"")</f>
        <v>2</v>
      </c>
      <c r="AE17" s="50" t="b">
        <f aca="false">IF(AND($C17="S",ORÇAMENTO.CodBarra&lt;&gt;""),IF(ORÇAMENTO.Fonte="",ORÇAMENTO.CodBarra,CONCATENATE(ORÇAMENTO.Fonte," ",ORÇAMENTO.CodBarra)))</f>
        <v>0</v>
      </c>
      <c r="AF17" s="65" t="str">
        <f aca="true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07-2025.xlsm)</v>
      </c>
      <c r="AG17" s="215" t="n">
        <f aca="true">ROUND(IF(DESONERACAO="sim",REFERENCIA.Desonerado,REFERENCIA.NaoDesonerado),2)</f>
        <v>0</v>
      </c>
      <c r="AH17" s="216" t="n">
        <f aca="false">ROUND(IF(ISNUMBER(ORÇAMENTO.OpcaoBDI),ORÇAMENTO.OpcaoBDI,IF(LEFT(ORÇAMENTO.OpcaoBDI,3)="BDI",HLOOKUP(ORÇAMENTO.OpcaoBDI,$F$4:$H$5,2,FALSE()),0)),15-11*$AF$9)</f>
        <v>0.2904</v>
      </c>
      <c r="AJ17" s="217"/>
      <c r="AL17" s="218"/>
      <c r="AM17" s="219" t="n">
        <f aca="false">$X17</f>
        <v>36530.06</v>
      </c>
      <c r="AN17" s="220" t="n">
        <f aca="false">ROUND(ORÇAMENTO.CustoUnitario*(1+$AH17),2)</f>
        <v>0</v>
      </c>
    </row>
    <row r="18" customFormat="false" ht="23.85" hidden="false" customHeight="false" outlineLevel="0" collapsed="false">
      <c r="A18" s="1" t="str">
        <f aca="false">CHOOSE(1+LOG(1+2*(ORÇAMENTO.Nivel="Meta")+4*(ORÇAMENTO.Nivel="Nível 2")+8*(ORÇAMENTO.Nivel="Nível 3")+16*(ORÇAMENTO.Nivel="Nível 4")+32*(ORÇAMENTO.Nivel="Serviço"),2),0,1,2,3,4,"S")</f>
        <v>S</v>
      </c>
      <c r="B18" s="1" t="n">
        <f aca="true">IF(OR(C18="s",C18=0),OFFSET(B18,-1,0),C18)</f>
        <v>2</v>
      </c>
      <c r="C18" s="1" t="str">
        <f aca="true">IF(OFFSET(C18,-1,0)="L",1,IF(OFFSET(C18,-1,0)=1,2,IF(OR(A18="s",A18=0),"S",IF(AND(OFFSET(C18,-1,0)=2,A18=4),3,IF(AND(OR(OFFSET(C18,-1,0)="s",OFFSET(C18,-1,0)=0),A18&lt;&gt;"s",A18&gt;OFFSET(B18,-1,0)),OFFSET(B18,-1,0),A18)))))</f>
        <v>S</v>
      </c>
      <c r="D18" s="1" t="n">
        <f aca="false">IF(OR(C18="S",C18=0),0,IF(ISERROR(K18),J18,SMALL(J18:K18,1)))</f>
        <v>0</v>
      </c>
      <c r="E18" s="1" t="n">
        <f aca="true">IF($C18=1,OFFSET(E18,-1,0)+MAX(1,COUNTIF(QCI!$A$13:$A$15,OFFSET(ORÇAMENTO!E18,-1,0))),OFFSET(E18,-1,0))</f>
        <v>1</v>
      </c>
      <c r="F18" s="1" t="n">
        <f aca="true">IF($C18=1,0,IF($C18=2,OFFSET(F18,-1,0)+1,OFFSET(F18,-1,0)))</f>
        <v>1</v>
      </c>
      <c r="G18" s="1" t="n">
        <f aca="true">IF(AND($C18&lt;=2,$C18&lt;&gt;0),0,IF($C18=3,OFFSET(G18,-1,0)+1,OFFSET(G18,-1,0)))</f>
        <v>0</v>
      </c>
      <c r="H18" s="1" t="n">
        <f aca="true">IF(AND($C18&lt;=3,$C18&lt;&gt;0),0,IF($C18=4,OFFSET(H18,-1,0)+1,OFFSET(H18,-1,0)))</f>
        <v>0</v>
      </c>
      <c r="I18" s="1" t="n">
        <f aca="true">IF(AND($C18&lt;=4,$C18&lt;&gt;0),0,IF(AND($C18="S",$X18&gt;0),OFFSET(I18,-1,0)+1,OFFSET(I18,-1,0)))</f>
        <v>1</v>
      </c>
      <c r="J18" s="1" t="n">
        <f aca="true">IF(OR($C18="S",$C18=0),0,MATCH(0,OFFSET($D18,1,$C18,ROW($C$205)-ROW($C18)),0))</f>
        <v>0</v>
      </c>
      <c r="K18" s="1" t="n">
        <f aca="true">IF(OR($C18="S",$C18=0),0,MATCH(OFFSET($D18,0,$C18)+IF($C18&lt;&gt;1,1,COUNTIF(QCI!$A$13:$A$15,ORÇAMENTO!E18)),OFFSET($D18,1,$C18,ROW($C$205)-ROW($C18)),0))</f>
        <v>0</v>
      </c>
      <c r="L18" s="199" t="str">
        <f aca="false">IF(OR($X18&gt;0,$C18=1,$C18=2,$C18=3,$C18=4),"F","")</f>
        <v>F</v>
      </c>
      <c r="M18" s="200" t="s">
        <v>735</v>
      </c>
      <c r="N18" s="201" t="str">
        <f aca="false">CHOOSE(1+LOG(1+2*(C18=1)+4*(C18=2)+8*(C18=3)+16*(C18=4)+32*(C18="S"),2),"","Meta","Nível 2","Nível 3","Nível 4","Serviço")</f>
        <v>Serviço</v>
      </c>
      <c r="O18" s="202" t="str">
        <f aca="false">IF(OR($C18=0,$L18=""),"-",CONCATENATE(E18&amp;".",IF(AND($A$5&gt;=2,$C18&gt;=2),F18&amp;".",""),IF(AND($A$5&gt;=3,$C18&gt;=3),G18&amp;".",""),IF(AND($A$5&gt;=4,$C18&gt;=4),H18&amp;".",""),IF($C18="S",I18&amp;".","")))</f>
        <v>1.1.1.</v>
      </c>
      <c r="P18" s="203" t="s">
        <v>780</v>
      </c>
      <c r="Q18" s="204" t="s">
        <v>785</v>
      </c>
      <c r="R18" s="235" t="s">
        <v>786</v>
      </c>
      <c r="S18" s="206" t="s">
        <v>650</v>
      </c>
      <c r="T18" s="207" t="n">
        <f aca="true">OFFSET(CÁLCULO!H$15,ROW($T18)-ROW(T$15),0)</f>
        <v>6.5</v>
      </c>
      <c r="U18" s="208" t="n">
        <v>498.55</v>
      </c>
      <c r="V18" s="209" t="s">
        <v>690</v>
      </c>
      <c r="W18" s="207" t="n">
        <f aca="false">IF($C18="S",ROUND(IF(TIPOORCAMENTO="Proposto",ORÇAMENTO.CustoUnitario*(1+$AH18),ORÇAMENTO.PrecoUnitarioLicitado),15-13*$AF$10),0)</f>
        <v>643.33</v>
      </c>
      <c r="X18" s="210" t="n">
        <f aca="true" t="array" ref="X18:X18">IF($C18="S",IF(OR(Import.TipoArredondamento&lt;&gt;"TransfereGOV",ACOMPANHAMENTO="BM"),VTOTAL1,SUM(OFFSET(CÁLCULO!$AQ$15,ROW($X18)-ROW($X$15),1):OFFSET(CÁLCULO!$BR$15,ROW($X18)-ROW($X$15),-1))),IF($C18=0,0,ROUND(SomaAgrup,15-13*$AF$11)))</f>
        <v>4181.65</v>
      </c>
      <c r="Y18" s="211" t="s">
        <v>781</v>
      </c>
      <c r="Z18" s="1" t="str">
        <f aca="false">IF(AND($C18="S",$X18&gt;0),IF(ISBLANK($Y18),"RA",LEFT($Y18,2)),"")</f>
        <v>RA</v>
      </c>
      <c r="AA18" s="212" t="n">
        <f aca="true">IF($C18="S",IF($Z18="CP",$X18,IF($Z18="RA",(($X18)*QCI!$AA$3),0)),SomaAgrup)</f>
        <v>464.085900550794</v>
      </c>
      <c r="AB18" s="213" t="n">
        <f aca="true">IF($C18="S",IF($Z18="OU",ROUND($X18,2),0),SomaAgrup)</f>
        <v>0</v>
      </c>
      <c r="AC18" s="214" t="e">
        <f aca="false" t="array" ref="AC18:AC18">IF($N18=""," ",
IF(AND($C18&lt;&gt;"S",OR($R18="",$R18="(digite a descrição aqui)")),"DESCRIÇÃO",
IF(AND($C18="S",OR($Q18&lt;&gt;"",$T18&gt;0,$U18&gt;0),$P18=""),"FONTE",
IF(AND($C18="S",$P18&lt;&gt;"",OR($T18&gt;0,$U18&gt;0),$Q18=""),"CÓDIGO",
IF(AND($C18="S",$P18&lt;&gt;"",$Q18&lt;&gt;"",$R18="(Código não identificado nas referências)"),"CÓDIGO N/ID",
IF(AND($C18="S",OR($R18="",$R18="(digite a descrição aqui)"),OR($Q18&lt;&gt;"",$T18&gt;0,$U18&gt;0)),"DESCRIÇÃO",
IF(AND($C18="S",$P18&lt;&gt;"",$Q18&lt;&gt;"",$S18=""),"UNIDADE",
IF(AND($C18="S",$P18&lt;&gt;"",$Q18&lt;&gt;"",$U18=0),"SEM CUSTO",
IF(AND(_xlfn.single(TIPOORCAMENTO)="Licitado",$AL18=0,$AN18&gt;0),"SEM PREÇO",
IF(AND($C18="S",$P18&lt;&gt;"",$Q18&lt;&gt;"",$U18&gt;0,$V18=0),"BDI",
IF(OR(AND(TIPOORCAMENTO="Proposto",LEFT($O$8,5)&lt;&gt;"(N/D:",$AG18&lt;&gt;"",ORÇAMENTO.CustoUnitario&gt;$AG18),AND(TIPOORCAMENTO="LICITADO",ORÇAMENTO.PrecoUnitarioLicitado&gt;$AN18)),"ACIMA REF.",
IF(AND($C18="S",$P18&lt;&gt;"",$Q18&lt;&gt;"",$T18=0,$U18&gt;0),"QUANT.",
IF(AND(Import.TipoArredondamento="TransfereGOV",$L18="F",$C18="S",LEN($Q18)&gt;13),"Código &gt;13",
IF(AND(Import.TipoArredondamento="TransfereGOV",$L18="F",$C18&lt;&gt;"S",LEN($R18)&gt;100),"Descrição &gt;100",
IF(AND(Import.TipoArredondamento="TransfereGOV",$L18="F",$C18="S",LEN($R18)&gt;500),"Descrição &gt;500",
IF(AND(Import.TipoArredondamento="TransfereGOV",$L18="F",$C18="S",LEFT(TRIM(UPPER($P18)),6)&lt;&gt;"SINAPI",ISNA(VLOOKUP(TRIM(UPPER($S18)),ListaTgov.Unidades,1,FALSE()))),"Unid. Não Disp",
" "))))))))))))))))</f>
        <v>#NAME?</v>
      </c>
      <c r="AD18" s="1" t="str">
        <f aca="true">IF(C18&lt;=CRONO.NivelExibicao,MAX($AD$15:OFFSET(AD18,-1,0))+IF($C18&lt;&gt;1,1,MAX(1,COUNTIF(QCI!$A$13:$A$15,OFFSET($E18,-1,0)))),"")</f>
        <v/>
      </c>
      <c r="AE18" s="50" t="str">
        <f aca="false">IF(AND($C18="S",ORÇAMENTO.CodBarra&lt;&gt;""),IF(ORÇAMENTO.Fonte="",ORÇAMENTO.CodBarra,CONCATENATE(ORÇAMENTO.Fonte," ",ORÇAMENTO.CodBarra)))</f>
        <v>SINAPI 103689</v>
      </c>
      <c r="AF18" s="65" t="str">
        <f aca="true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07-2025.xlsm)</v>
      </c>
      <c r="AG18" s="215" t="n">
        <f aca="true">ROUND(IF(DESONERACAO="sim",REFERENCIA.Desonerado,REFERENCIA.NaoDesonerado),2)</f>
        <v>0</v>
      </c>
      <c r="AH18" s="216" t="n">
        <f aca="false">ROUND(IF(ISNUMBER(ORÇAMENTO.OpcaoBDI),ORÇAMENTO.OpcaoBDI,IF(LEFT(ORÇAMENTO.OpcaoBDI,3)="BDI",HLOOKUP(ORÇAMENTO.OpcaoBDI,$F$4:$H$5,2,FALSE()),0)),15-11*$AF$9)</f>
        <v>0.2904</v>
      </c>
      <c r="AJ18" s="217"/>
      <c r="AL18" s="218"/>
      <c r="AM18" s="219" t="n">
        <f aca="false">$X18</f>
        <v>4181.65</v>
      </c>
      <c r="AN18" s="220" t="n">
        <f aca="false">ROUND(ORÇAMENTO.CustoUnitario*(1+$AH18),2)</f>
        <v>643.33</v>
      </c>
    </row>
    <row r="19" customFormat="false" ht="23.85" hidden="false" customHeight="false" outlineLevel="0" collapsed="false">
      <c r="A19" s="1" t="str">
        <f aca="false">CHOOSE(1+LOG(1+2*(ORÇAMENTO.Nivel="Meta")+4*(ORÇAMENTO.Nivel="Nível 2")+8*(ORÇAMENTO.Nivel="Nível 3")+16*(ORÇAMENTO.Nivel="Nível 4")+32*(ORÇAMENTO.Nivel="Serviço"),2),0,1,2,3,4,"S")</f>
        <v>S</v>
      </c>
      <c r="B19" s="1" t="n">
        <f aca="true">IF(OR(C19="s",C19=0),OFFSET(B19,-1,0),C19)</f>
        <v>2</v>
      </c>
      <c r="C19" s="1" t="str">
        <f aca="true">IF(OFFSET(C19,-1,0)="L",1,IF(OFFSET(C19,-1,0)=1,2,IF(OR(A19="s",A19=0),"S",IF(AND(OFFSET(C19,-1,0)=2,A19=4),3,IF(AND(OR(OFFSET(C19,-1,0)="s",OFFSET(C19,-1,0)=0),A19&lt;&gt;"s",A19&gt;OFFSET(B19,-1,0)),OFFSET(B19,-1,0),A19)))))</f>
        <v>S</v>
      </c>
      <c r="D19" s="1" t="n">
        <f aca="false">IF(OR(C19="S",C19=0),0,IF(ISERROR(K19),J19,SMALL(J19:K19,1)))</f>
        <v>0</v>
      </c>
      <c r="E19" s="1" t="n">
        <f aca="true">IF($C19=1,OFFSET(E19,-1,0)+MAX(1,COUNTIF(QCI!$A$13:$A$15,OFFSET(ORÇAMENTO!E19,-1,0))),OFFSET(E19,-1,0))</f>
        <v>1</v>
      </c>
      <c r="F19" s="1" t="n">
        <f aca="true">IF($C19=1,0,IF($C19=2,OFFSET(F19,-1,0)+1,OFFSET(F19,-1,0)))</f>
        <v>1</v>
      </c>
      <c r="G19" s="1" t="n">
        <f aca="true">IF(AND($C19&lt;=2,$C19&lt;&gt;0),0,IF($C19=3,OFFSET(G19,-1,0)+1,OFFSET(G19,-1,0)))</f>
        <v>0</v>
      </c>
      <c r="H19" s="1" t="n">
        <f aca="true">IF(AND($C19&lt;=3,$C19&lt;&gt;0),0,IF($C19=4,OFFSET(H19,-1,0)+1,OFFSET(H19,-1,0)))</f>
        <v>0</v>
      </c>
      <c r="I19" s="1" t="n">
        <f aca="true">IF(AND($C19&lt;=4,$C19&lt;&gt;0),0,IF(AND($C19="S",$X19&gt;0),OFFSET(I19,-1,0)+1,OFFSET(I19,-1,0)))</f>
        <v>2</v>
      </c>
      <c r="J19" s="1" t="n">
        <f aca="true">IF(OR($C19="S",$C19=0),0,MATCH(0,OFFSET($D19,1,$C19,ROW($C$205)-ROW($C19)),0))</f>
        <v>0</v>
      </c>
      <c r="K19" s="1" t="n">
        <f aca="true">IF(OR($C19="S",$C19=0),0,MATCH(OFFSET($D19,0,$C19)+IF($C19&lt;&gt;1,1,COUNTIF(QCI!$A$13:$A$15,ORÇAMENTO!E19)),OFFSET($D19,1,$C19,ROW($C$205)-ROW($C19)),0))</f>
        <v>0</v>
      </c>
      <c r="L19" s="199" t="str">
        <f aca="false">IF(OR($X19&gt;0,$C19=1,$C19=2,$C19=3,$C19=4),"F","")</f>
        <v>F</v>
      </c>
      <c r="M19" s="200" t="s">
        <v>735</v>
      </c>
      <c r="N19" s="201" t="str">
        <f aca="false">CHOOSE(1+LOG(1+2*(C19=1)+4*(C19=2)+8*(C19=3)+16*(C19=4)+32*(C19="S"),2),"","Meta","Nível 2","Nível 3","Nível 4","Serviço")</f>
        <v>Serviço</v>
      </c>
      <c r="O19" s="202" t="str">
        <f aca="false">IF(OR($C19=0,$L19=""),"-",CONCATENATE(E19&amp;".",IF(AND($A$5&gt;=2,$C19&gt;=2),F19&amp;".",""),IF(AND($A$5&gt;=3,$C19&gt;=3),G19&amp;".",""),IF(AND($A$5&gt;=4,$C19&gt;=4),H19&amp;".",""),IF($C19="S",I19&amp;".","")))</f>
        <v>1.1.2.</v>
      </c>
      <c r="P19" s="203" t="s">
        <v>780</v>
      </c>
      <c r="Q19" s="204" t="s">
        <v>787</v>
      </c>
      <c r="R19" s="235" t="s">
        <v>788</v>
      </c>
      <c r="S19" s="206" t="s">
        <v>648</v>
      </c>
      <c r="T19" s="207" t="n">
        <f aca="true">OFFSET(CÁLCULO!H$15,ROW($T19)-ROW(T$15),0)</f>
        <v>288</v>
      </c>
      <c r="U19" s="208" t="n">
        <v>69.94</v>
      </c>
      <c r="V19" s="209" t="s">
        <v>690</v>
      </c>
      <c r="W19" s="207" t="n">
        <f aca="false">IF($C19="S",ROUND(IF(TIPOORCAMENTO="Proposto",ORÇAMENTO.CustoUnitario*(1+$AH19),ORÇAMENTO.PrecoUnitarioLicitado),15-13*$AF$10),0)</f>
        <v>90.25</v>
      </c>
      <c r="X19" s="210" t="n">
        <f aca="true" t="array" ref="X19:X19">IF($C19="S",IF(OR(Import.TipoArredondamento&lt;&gt;"TransfereGOV",ACOMPANHAMENTO="BM"),VTOTAL1,SUM(OFFSET(CÁLCULO!$AQ$15,ROW($X19)-ROW($X$15),1):OFFSET(CÁLCULO!$BR$15,ROW($X19)-ROW($X$15),-1))),IF($C19=0,0,ROUND(SomaAgrup,15-13*$AF$11)))</f>
        <v>25992</v>
      </c>
      <c r="Y19" s="211" t="s">
        <v>781</v>
      </c>
      <c r="Z19" s="1" t="str">
        <f aca="false">IF(AND($C19="S",$X19&gt;0),IF(ISBLANK($Y19),"RA",LEFT($Y19,2)),"")</f>
        <v>RA</v>
      </c>
      <c r="AA19" s="212" t="n">
        <f aca="true">IF($C19="S",IF($Z19="CP",$X19,IF($Z19="RA",(($X19)*QCI!$AA$3),0)),SomaAgrup)</f>
        <v>2884.63183841695</v>
      </c>
      <c r="AB19" s="213" t="n">
        <f aca="true">IF($C19="S",IF($Z19="OU",ROUND($X19,2),0),SomaAgrup)</f>
        <v>0</v>
      </c>
      <c r="AC19" s="214" t="e">
        <f aca="false" t="array" ref="AC19:AC19">IF($N19=""," ",
IF(AND($C19&lt;&gt;"S",OR($R19="",$R19="(digite a descrição aqui)")),"DESCRIÇÃO",
IF(AND($C19="S",OR($Q19&lt;&gt;"",$T19&gt;0,$U19&gt;0),$P19=""),"FONTE",
IF(AND($C19="S",$P19&lt;&gt;"",OR($T19&gt;0,$U19&gt;0),$Q19=""),"CÓDIGO",
IF(AND($C19="S",$P19&lt;&gt;"",$Q19&lt;&gt;"",$R19="(Código não identificado nas referências)"),"CÓDIGO N/ID",
IF(AND($C19="S",OR($R19="",$R19="(digite a descrição aqui)"),OR($Q19&lt;&gt;"",$T19&gt;0,$U19&gt;0)),"DESCRIÇÃO",
IF(AND($C19="S",$P19&lt;&gt;"",$Q19&lt;&gt;"",$S19=""),"UNIDADE",
IF(AND($C19="S",$P19&lt;&gt;"",$Q19&lt;&gt;"",$U19=0),"SEM CUSTO",
IF(AND(_xlfn.single(TIPOORCAMENTO)="Licitado",$AL19=0,$AN19&gt;0),"SEM PREÇO",
IF(AND($C19="S",$P19&lt;&gt;"",$Q19&lt;&gt;"",$U19&gt;0,$V19=0),"BDI",
IF(OR(AND(TIPOORCAMENTO="Proposto",LEFT($O$8,5)&lt;&gt;"(N/D:",$AG19&lt;&gt;"",ORÇAMENTO.CustoUnitario&gt;$AG19),AND(TIPOORCAMENTO="LICITADO",ORÇAMENTO.PrecoUnitarioLicitado&gt;$AN19)),"ACIMA REF.",
IF(AND($C19="S",$P19&lt;&gt;"",$Q19&lt;&gt;"",$T19=0,$U19&gt;0),"QUANT.",
IF(AND(Import.TipoArredondamento="TransfereGOV",$L19="F",$C19="S",LEN($Q19)&gt;13),"Código &gt;13",
IF(AND(Import.TipoArredondamento="TransfereGOV",$L19="F",$C19&lt;&gt;"S",LEN($R19)&gt;100),"Descrição &gt;100",
IF(AND(Import.TipoArredondamento="TransfereGOV",$L19="F",$C19="S",LEN($R19)&gt;500),"Descrição &gt;500",
IF(AND(Import.TipoArredondamento="TransfereGOV",$L19="F",$C19="S",LEFT(TRIM(UPPER($P19)),6)&lt;&gt;"SINAPI",ISNA(VLOOKUP(TRIM(UPPER($S19)),ListaTgov.Unidades,1,FALSE()))),"Unid. Não Disp",
" "))))))))))))))))</f>
        <v>#NAME?</v>
      </c>
      <c r="AD19" s="1" t="str">
        <f aca="true">IF(C19&lt;=CRONO.NivelExibicao,MAX($AD$15:OFFSET(AD19,-1,0))+IF($C19&lt;&gt;1,1,MAX(1,COUNTIF(QCI!$A$13:$A$15,OFFSET($E19,-1,0)))),"")</f>
        <v/>
      </c>
      <c r="AE19" s="50" t="str">
        <f aca="false">IF(AND($C19="S",ORÇAMENTO.CodBarra&lt;&gt;""),IF(ORÇAMENTO.Fonte="",ORÇAMENTO.CodBarra,CONCATENATE(ORÇAMENTO.Fonte," ",ORÇAMENTO.CodBarra)))</f>
        <v>SINAPI 99059</v>
      </c>
      <c r="AF19" s="65" t="str">
        <f aca="true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07-2025.xlsm)</v>
      </c>
      <c r="AG19" s="215" t="n">
        <f aca="true">ROUND(IF(DESONERACAO="sim",REFERENCIA.Desonerado,REFERENCIA.NaoDesonerado),2)</f>
        <v>0</v>
      </c>
      <c r="AH19" s="216" t="n">
        <f aca="false">ROUND(IF(ISNUMBER(ORÇAMENTO.OpcaoBDI),ORÇAMENTO.OpcaoBDI,IF(LEFT(ORÇAMENTO.OpcaoBDI,3)="BDI",HLOOKUP(ORÇAMENTO.OpcaoBDI,$F$4:$H$5,2,FALSE()),0)),15-11*$AF$9)</f>
        <v>0.2904</v>
      </c>
      <c r="AJ19" s="217"/>
      <c r="AL19" s="218"/>
      <c r="AM19" s="219" t="n">
        <f aca="false">$X19</f>
        <v>25992</v>
      </c>
      <c r="AN19" s="220" t="n">
        <f aca="false">ROUND(ORÇAMENTO.CustoUnitario*(1+$AH19),2)</f>
        <v>90.25</v>
      </c>
    </row>
    <row r="20" customFormat="false" ht="46.25" hidden="false" customHeight="false" outlineLevel="0" collapsed="false">
      <c r="A20" s="1" t="str">
        <f aca="false">CHOOSE(1+LOG(1+2*(ORÇAMENTO.Nivel="Meta")+4*(ORÇAMENTO.Nivel="Nível 2")+8*(ORÇAMENTO.Nivel="Nível 3")+16*(ORÇAMENTO.Nivel="Nível 4")+32*(ORÇAMENTO.Nivel="Serviço"),2),0,1,2,3,4,"S")</f>
        <v>S</v>
      </c>
      <c r="B20" s="1" t="n">
        <f aca="true">IF(OR(C20="s",C20=0),OFFSET(B20,-1,0),C20)</f>
        <v>2</v>
      </c>
      <c r="C20" s="1" t="str">
        <f aca="true">IF(OFFSET(C20,-1,0)="L",1,IF(OFFSET(C20,-1,0)=1,2,IF(OR(A20="s",A20=0),"S",IF(AND(OFFSET(C20,-1,0)=2,A20=4),3,IF(AND(OR(OFFSET(C20,-1,0)="s",OFFSET(C20,-1,0)=0),A20&lt;&gt;"s",A20&gt;OFFSET(B20,-1,0)),OFFSET(B20,-1,0),A20)))))</f>
        <v>S</v>
      </c>
      <c r="D20" s="1" t="n">
        <f aca="false">IF(OR(C20="S",C20=0),0,IF(ISERROR(K20),J20,SMALL(J20:K20,1)))</f>
        <v>0</v>
      </c>
      <c r="E20" s="1" t="n">
        <f aca="true">IF($C20=1,OFFSET(E20,-1,0)+MAX(1,COUNTIF(QCI!$A$13:$A$15,OFFSET(ORÇAMENTO!E20,-1,0))),OFFSET(E20,-1,0))</f>
        <v>1</v>
      </c>
      <c r="F20" s="1" t="n">
        <f aca="true">IF($C20=1,0,IF($C20=2,OFFSET(F20,-1,0)+1,OFFSET(F20,-1,0)))</f>
        <v>1</v>
      </c>
      <c r="G20" s="1" t="n">
        <f aca="true">IF(AND($C20&lt;=2,$C20&lt;&gt;0),0,IF($C20=3,OFFSET(G20,-1,0)+1,OFFSET(G20,-1,0)))</f>
        <v>0</v>
      </c>
      <c r="H20" s="1" t="n">
        <f aca="true">IF(AND($C20&lt;=3,$C20&lt;&gt;0),0,IF($C20=4,OFFSET(H20,-1,0)+1,OFFSET(H20,-1,0)))</f>
        <v>0</v>
      </c>
      <c r="I20" s="1" t="n">
        <f aca="true">IF(AND($C20&lt;=4,$C20&lt;&gt;0),0,IF(AND($C20="S",$X20&gt;0),OFFSET(I20,-1,0)+1,OFFSET(I20,-1,0)))</f>
        <v>3</v>
      </c>
      <c r="J20" s="1" t="n">
        <f aca="true">IF(OR($C20="S",$C20=0),0,MATCH(0,OFFSET($D20,1,$C20,ROW($C$205)-ROW($C20)),0))</f>
        <v>0</v>
      </c>
      <c r="K20" s="1" t="n">
        <f aca="true">IF(OR($C20="S",$C20=0),0,MATCH(OFFSET($D20,0,$C20)+IF($C20&lt;&gt;1,1,COUNTIF(QCI!$A$13:$A$15,ORÇAMENTO!E20)),OFFSET($D20,1,$C20,ROW($C$205)-ROW($C20)),0))</f>
        <v>0</v>
      </c>
      <c r="L20" s="199" t="str">
        <f aca="false">IF(OR($X20&gt;0,$C20=1,$C20=2,$C20=3,$C20=4),"F","")</f>
        <v>F</v>
      </c>
      <c r="M20" s="200" t="s">
        <v>735</v>
      </c>
      <c r="N20" s="201" t="str">
        <f aca="false">CHOOSE(1+LOG(1+2*(C20=1)+4*(C20=2)+8*(C20=3)+16*(C20=4)+32*(C20="S"),2),"","Meta","Nível 2","Nível 3","Nível 4","Serviço")</f>
        <v>Serviço</v>
      </c>
      <c r="O20" s="202" t="str">
        <f aca="false">IF(OR($C20=0,$L20=""),"-",CONCATENATE(E20&amp;".",IF(AND($A$5&gt;=2,$C20&gt;=2),F20&amp;".",""),IF(AND($A$5&gt;=3,$C20&gt;=3),G20&amp;".",""),IF(AND($A$5&gt;=4,$C20&gt;=4),H20&amp;".",""),IF($C20="S",I20&amp;".","")))</f>
        <v>1.1.3.</v>
      </c>
      <c r="P20" s="203" t="s">
        <v>789</v>
      </c>
      <c r="Q20" s="204" t="s">
        <v>790</v>
      </c>
      <c r="R20" s="235" t="s">
        <v>791</v>
      </c>
      <c r="S20" s="206" t="s">
        <v>666</v>
      </c>
      <c r="T20" s="207" t="n">
        <f aca="true">OFFSET(CÁLCULO!H$15,ROW($T20)-ROW(T$15),0)</f>
        <v>1</v>
      </c>
      <c r="U20" s="208" t="n">
        <v>553.54</v>
      </c>
      <c r="V20" s="209" t="s">
        <v>690</v>
      </c>
      <c r="W20" s="207" t="n">
        <f aca="false">IF($C20="S",ROUND(IF(TIPOORCAMENTO="Proposto",ORÇAMENTO.CustoUnitario*(1+$AH20),ORÇAMENTO.PrecoUnitarioLicitado),15-13*$AF$10),0)</f>
        <v>714.29</v>
      </c>
      <c r="X20" s="210" t="n">
        <f aca="true" t="array" ref="X20:X20">IF($C20="S",IF(OR(Import.TipoArredondamento&lt;&gt;"TransfereGOV",ACOMPANHAMENTO="BM"),VTOTAL1,SUM(OFFSET(CÁLCULO!$AQ$15,ROW($X20)-ROW($X$15),1):OFFSET(CÁLCULO!$BR$15,ROW($X20)-ROW($X$15),-1))),IF($C20=0,0,ROUND(SomaAgrup,15-13*$AF$11)))</f>
        <v>714.29</v>
      </c>
      <c r="Y20" s="211" t="s">
        <v>781</v>
      </c>
      <c r="Z20" s="1" t="str">
        <f aca="false">IF(AND($C20="S",$X20&gt;0),IF(ISBLANK($Y20),"RA",LEFT($Y20,2)),"")</f>
        <v>RA</v>
      </c>
      <c r="AA20" s="212" t="n">
        <f aca="true">IF($C20="S",IF($Z20="CP",$X20,IF($Z20="RA",(($X20)*QCI!$AA$3),0)),SomaAgrup)</f>
        <v>79.2729946084504</v>
      </c>
      <c r="AB20" s="213" t="n">
        <f aca="true">IF($C20="S",IF($Z20="OU",ROUND($X20,2),0),SomaAgrup)</f>
        <v>0</v>
      </c>
      <c r="AC20" s="214" t="e">
        <f aca="false" t="array" ref="AC20:AC20">IF($N20=""," ",
IF(AND($C20&lt;&gt;"S",OR($R20="",$R20="(digite a descrição aqui)")),"DESCRIÇÃO",
IF(AND($C20="S",OR($Q20&lt;&gt;"",$T20&gt;0,$U20&gt;0),$P20=""),"FONTE",
IF(AND($C20="S",$P20&lt;&gt;"",OR($T20&gt;0,$U20&gt;0),$Q20=""),"CÓDIGO",
IF(AND($C20="S",$P20&lt;&gt;"",$Q20&lt;&gt;"",$R20="(Código não identificado nas referências)"),"CÓDIGO N/ID",
IF(AND($C20="S",OR($R20="",$R20="(digite a descrição aqui)"),OR($Q20&lt;&gt;"",$T20&gt;0,$U20&gt;0)),"DESCRIÇÃO",
IF(AND($C20="S",$P20&lt;&gt;"",$Q20&lt;&gt;"",$S20=""),"UNIDADE",
IF(AND($C20="S",$P20&lt;&gt;"",$Q20&lt;&gt;"",$U20=0),"SEM CUSTO",
IF(AND(_xlfn.single(TIPOORCAMENTO)="Licitado",$AL20=0,$AN20&gt;0),"SEM PREÇO",
IF(AND($C20="S",$P20&lt;&gt;"",$Q20&lt;&gt;"",$U20&gt;0,$V20=0),"BDI",
IF(OR(AND(TIPOORCAMENTO="Proposto",LEFT($O$8,5)&lt;&gt;"(N/D:",$AG20&lt;&gt;"",ORÇAMENTO.CustoUnitario&gt;$AG20),AND(TIPOORCAMENTO="LICITADO",ORÇAMENTO.PrecoUnitarioLicitado&gt;$AN20)),"ACIMA REF.",
IF(AND($C20="S",$P20&lt;&gt;"",$Q20&lt;&gt;"",$T20=0,$U20&gt;0),"QUANT.",
IF(AND(Import.TipoArredondamento="TransfereGOV",$L20="F",$C20="S",LEN($Q20)&gt;13),"Código &gt;13",
IF(AND(Import.TipoArredondamento="TransfereGOV",$L20="F",$C20&lt;&gt;"S",LEN($R20)&gt;100),"Descrição &gt;100",
IF(AND(Import.TipoArredondamento="TransfereGOV",$L20="F",$C20="S",LEN($R20)&gt;500),"Descrição &gt;500",
IF(AND(Import.TipoArredondamento="TransfereGOV",$L20="F",$C20="S",LEFT(TRIM(UPPER($P20)),6)&lt;&gt;"SINAPI",ISNA(VLOOKUP(TRIM(UPPER($S20)),ListaTgov.Unidades,1,FALSE()))),"Unid. Não Disp",
" "))))))))))))))))</f>
        <v>#NAME?</v>
      </c>
      <c r="AD20" s="1" t="str">
        <f aca="true">IF(C20&lt;=CRONO.NivelExibicao,MAX($AD$15:OFFSET(AD20,-1,0))+IF($C20&lt;&gt;1,1,MAX(1,COUNTIF(QCI!$A$13:$A$15,OFFSET($E20,-1,0)))),"")</f>
        <v/>
      </c>
      <c r="AE20" s="50" t="str">
        <f aca="false">IF(AND($C20="S",ORÇAMENTO.CodBarra&lt;&gt;""),IF(ORÇAMENTO.Fonte="",ORÇAMENTO.CodBarra,CONCATENATE(ORÇAMENTO.Fonte," ",ORÇAMENTO.CodBarra)))</f>
        <v>SICRO ED-50150</v>
      </c>
      <c r="AF20" s="65" t="str">
        <f aca="true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07-2025.xlsm)</v>
      </c>
      <c r="AG20" s="215" t="n">
        <f aca="true">ROUND(IF(DESONERACAO="sim",REFERENCIA.Desonerado,REFERENCIA.NaoDesonerado),2)</f>
        <v>0</v>
      </c>
      <c r="AH20" s="216" t="n">
        <f aca="false">ROUND(IF(ISNUMBER(ORÇAMENTO.OpcaoBDI),ORÇAMENTO.OpcaoBDI,IF(LEFT(ORÇAMENTO.OpcaoBDI,3)="BDI",HLOOKUP(ORÇAMENTO.OpcaoBDI,$F$4:$H$5,2,FALSE()),0)),15-11*$AF$9)</f>
        <v>0.2904</v>
      </c>
      <c r="AJ20" s="217"/>
      <c r="AL20" s="218"/>
      <c r="AM20" s="219" t="n">
        <f aca="false">$X20</f>
        <v>714.29</v>
      </c>
      <c r="AN20" s="220" t="n">
        <f aca="false">ROUND(ORÇAMENTO.CustoUnitario*(1+$AH20),2)</f>
        <v>714.29</v>
      </c>
    </row>
    <row r="21" customFormat="false" ht="57.45" hidden="false" customHeight="false" outlineLevel="0" collapsed="false">
      <c r="A21" s="1" t="str">
        <f aca="false">CHOOSE(1+LOG(1+2*(ORÇAMENTO.Nivel="Meta")+4*(ORÇAMENTO.Nivel="Nível 2")+8*(ORÇAMENTO.Nivel="Nível 3")+16*(ORÇAMENTO.Nivel="Nível 4")+32*(ORÇAMENTO.Nivel="Serviço"),2),0,1,2,3,4,"S")</f>
        <v>S</v>
      </c>
      <c r="B21" s="1" t="n">
        <f aca="true">IF(OR(C21="s",C21=0),OFFSET(B21,-1,0),C21)</f>
        <v>2</v>
      </c>
      <c r="C21" s="1" t="str">
        <f aca="true">IF(OFFSET(C21,-1,0)="L",1,IF(OFFSET(C21,-1,0)=1,2,IF(OR(A21="s",A21=0),"S",IF(AND(OFFSET(C21,-1,0)=2,A21=4),3,IF(AND(OR(OFFSET(C21,-1,0)="s",OFFSET(C21,-1,0)=0),A21&lt;&gt;"s",A21&gt;OFFSET(B21,-1,0)),OFFSET(B21,-1,0),A21)))))</f>
        <v>S</v>
      </c>
      <c r="D21" s="1" t="n">
        <f aca="false">IF(OR(C21="S",C21=0),0,IF(ISERROR(K21),J21,SMALL(J21:K21,1)))</f>
        <v>0</v>
      </c>
      <c r="E21" s="1" t="n">
        <f aca="true">IF($C21=1,OFFSET(E21,-1,0)+MAX(1,COUNTIF(QCI!$A$13:$A$15,OFFSET(ORÇAMENTO!E21,-1,0))),OFFSET(E21,-1,0))</f>
        <v>1</v>
      </c>
      <c r="F21" s="1" t="n">
        <f aca="true">IF($C21=1,0,IF($C21=2,OFFSET(F21,-1,0)+1,OFFSET(F21,-1,0)))</f>
        <v>1</v>
      </c>
      <c r="G21" s="1" t="n">
        <f aca="true">IF(AND($C21&lt;=2,$C21&lt;&gt;0),0,IF($C21=3,OFFSET(G21,-1,0)+1,OFFSET(G21,-1,0)))</f>
        <v>0</v>
      </c>
      <c r="H21" s="1" t="n">
        <f aca="true">IF(AND($C21&lt;=3,$C21&lt;&gt;0),0,IF($C21=4,OFFSET(H21,-1,0)+1,OFFSET(H21,-1,0)))</f>
        <v>0</v>
      </c>
      <c r="I21" s="1" t="n">
        <f aca="true">IF(AND($C21&lt;=4,$C21&lt;&gt;0),0,IF(AND($C21="S",$X21&gt;0),OFFSET(I21,-1,0)+1,OFFSET(I21,-1,0)))</f>
        <v>4</v>
      </c>
      <c r="J21" s="1" t="n">
        <f aca="true">IF(OR($C21="S",$C21=0),0,MATCH(0,OFFSET($D21,1,$C21,ROW($C$205)-ROW($C21)),0))</f>
        <v>0</v>
      </c>
      <c r="K21" s="1" t="n">
        <f aca="true">IF(OR($C21="S",$C21=0),0,MATCH(OFFSET($D21,0,$C21)+IF($C21&lt;&gt;1,1,COUNTIF(QCI!$A$13:$A$15,ORÇAMENTO!E21)),OFFSET($D21,1,$C21,ROW($C$205)-ROW($C21)),0))</f>
        <v>0</v>
      </c>
      <c r="L21" s="199" t="str">
        <f aca="false">IF(OR($X21&gt;0,$C21=1,$C21=2,$C21=3,$C21=4),"F","")</f>
        <v>F</v>
      </c>
      <c r="M21" s="200" t="s">
        <v>735</v>
      </c>
      <c r="N21" s="201" t="str">
        <f aca="false">CHOOSE(1+LOG(1+2*(C21=1)+4*(C21=2)+8*(C21=3)+16*(C21=4)+32*(C21="S"),2),"","Meta","Nível 2","Nível 3","Nível 4","Serviço")</f>
        <v>Serviço</v>
      </c>
      <c r="O21" s="202" t="str">
        <f aca="false">IF(OR($C21=0,$L21=""),"-",CONCATENATE(E21&amp;".",IF(AND($A$5&gt;=2,$C21&gt;=2),F21&amp;".",""),IF(AND($A$5&gt;=3,$C21&gt;=3),G21&amp;".",""),IF(AND($A$5&gt;=4,$C21&gt;=4),H21&amp;".",""),IF($C21="S",I21&amp;".","")))</f>
        <v>1.1.4.</v>
      </c>
      <c r="P21" s="203" t="s">
        <v>789</v>
      </c>
      <c r="Q21" s="204" t="s">
        <v>792</v>
      </c>
      <c r="R21" s="235" t="s">
        <v>793</v>
      </c>
      <c r="S21" s="206" t="s">
        <v>666</v>
      </c>
      <c r="T21" s="207" t="n">
        <f aca="true">OFFSET(CÁLCULO!H$15,ROW($T21)-ROW(T$15),0)</f>
        <v>1</v>
      </c>
      <c r="U21" s="208" t="n">
        <v>935.31</v>
      </c>
      <c r="V21" s="209" t="s">
        <v>690</v>
      </c>
      <c r="W21" s="207" t="n">
        <f aca="false">IF($C21="S",ROUND(IF(TIPOORCAMENTO="Proposto",ORÇAMENTO.CustoUnitario*(1+$AH21),ORÇAMENTO.PrecoUnitarioLicitado),15-13*$AF$10),0)</f>
        <v>1206.92</v>
      </c>
      <c r="X21" s="210" t="n">
        <f aca="true" t="array" ref="X21:X21">IF($C21="S",IF(OR(Import.TipoArredondamento&lt;&gt;"TransfereGOV",ACOMPANHAMENTO="BM"),VTOTAL1,SUM(OFFSET(CÁLCULO!$AQ$15,ROW($X21)-ROW($X$15),1):OFFSET(CÁLCULO!$BR$15,ROW($X21)-ROW($X$15),-1))),IF($C21=0,0,ROUND(SomaAgrup,15-13*$AF$11)))</f>
        <v>1206.92</v>
      </c>
      <c r="Y21" s="211" t="s">
        <v>781</v>
      </c>
      <c r="Z21" s="1" t="str">
        <f aca="false">IF(AND($C21="S",$X21&gt;0),IF(ISBLANK($Y21),"RA",LEFT($Y21,2)),"")</f>
        <v>RA</v>
      </c>
      <c r="AA21" s="212" t="n">
        <f aca="true">IF($C21="S",IF($Z21="CP",$X21,IF($Z21="RA",(($X21)*QCI!$AA$3),0)),SomaAgrup)</f>
        <v>133.945824039019</v>
      </c>
      <c r="AB21" s="213" t="n">
        <f aca="true">IF($C21="S",IF($Z21="OU",ROUND($X21,2),0),SomaAgrup)</f>
        <v>0</v>
      </c>
      <c r="AC21" s="214" t="e">
        <f aca="false" t="array" ref="AC21:AC21">IF($N21=""," ",
IF(AND($C21&lt;&gt;"S",OR($R21="",$R21="(digite a descrição aqui)")),"DESCRIÇÃO",
IF(AND($C21="S",OR($Q21&lt;&gt;"",$T21&gt;0,$U21&gt;0),$P21=""),"FONTE",
IF(AND($C21="S",$P21&lt;&gt;"",OR($T21&gt;0,$U21&gt;0),$Q21=""),"CÓDIGO",
IF(AND($C21="S",$P21&lt;&gt;"",$Q21&lt;&gt;"",$R21="(Código não identificado nas referências)"),"CÓDIGO N/ID",
IF(AND($C21="S",OR($R21="",$R21="(digite a descrição aqui)"),OR($Q21&lt;&gt;"",$T21&gt;0,$U21&gt;0)),"DESCRIÇÃO",
IF(AND($C21="S",$P21&lt;&gt;"",$Q21&lt;&gt;"",$S21=""),"UNIDADE",
IF(AND($C21="S",$P21&lt;&gt;"",$Q21&lt;&gt;"",$U21=0),"SEM CUSTO",
IF(AND(_xlfn.single(TIPOORCAMENTO)="Licitado",$AL21=0,$AN21&gt;0),"SEM PREÇO",
IF(AND($C21="S",$P21&lt;&gt;"",$Q21&lt;&gt;"",$U21&gt;0,$V21=0),"BDI",
IF(OR(AND(TIPOORCAMENTO="Proposto",LEFT($O$8,5)&lt;&gt;"(N/D:",$AG21&lt;&gt;"",ORÇAMENTO.CustoUnitario&gt;$AG21),AND(TIPOORCAMENTO="LICITADO",ORÇAMENTO.PrecoUnitarioLicitado&gt;$AN21)),"ACIMA REF.",
IF(AND($C21="S",$P21&lt;&gt;"",$Q21&lt;&gt;"",$T21=0,$U21&gt;0),"QUANT.",
IF(AND(Import.TipoArredondamento="TransfereGOV",$L21="F",$C21="S",LEN($Q21)&gt;13),"Código &gt;13",
IF(AND(Import.TipoArredondamento="TransfereGOV",$L21="F",$C21&lt;&gt;"S",LEN($R21)&gt;100),"Descrição &gt;100",
IF(AND(Import.TipoArredondamento="TransfereGOV",$L21="F",$C21="S",LEN($R21)&gt;500),"Descrição &gt;500",
IF(AND(Import.TipoArredondamento="TransfereGOV",$L21="F",$C21="S",LEFT(TRIM(UPPER($P21)),6)&lt;&gt;"SINAPI",ISNA(VLOOKUP(TRIM(UPPER($S21)),ListaTgov.Unidades,1,FALSE()))),"Unid. Não Disp",
" "))))))))))))))))</f>
        <v>#NAME?</v>
      </c>
      <c r="AD21" s="1" t="str">
        <f aca="true">IF(C21&lt;=CRONO.NivelExibicao,MAX($AD$15:OFFSET(AD21,-1,0))+IF($C21&lt;&gt;1,1,MAX(1,COUNTIF(QCI!$A$13:$A$15,OFFSET($E21,-1,0)))),"")</f>
        <v/>
      </c>
      <c r="AE21" s="50" t="str">
        <f aca="false">IF(AND($C21="S",ORÇAMENTO.CodBarra&lt;&gt;""),IF(ORÇAMENTO.Fonte="",ORÇAMENTO.CodBarra,CONCATENATE(ORÇAMENTO.Fonte," ",ORÇAMENTO.CodBarra)))</f>
        <v>SICRO ED-50151</v>
      </c>
      <c r="AF21" s="65" t="str">
        <f aca="true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07-2025.xlsm)</v>
      </c>
      <c r="AG21" s="215" t="n">
        <f aca="true">ROUND(IF(DESONERACAO="sim",REFERENCIA.Desonerado,REFERENCIA.NaoDesonerado),2)</f>
        <v>0</v>
      </c>
      <c r="AH21" s="216" t="n">
        <f aca="false">ROUND(IF(ISNUMBER(ORÇAMENTO.OpcaoBDI),ORÇAMENTO.OpcaoBDI,IF(LEFT(ORÇAMENTO.OpcaoBDI,3)="BDI",HLOOKUP(ORÇAMENTO.OpcaoBDI,$F$4:$H$5,2,FALSE()),0)),15-11*$AF$9)</f>
        <v>0.2904</v>
      </c>
      <c r="AJ21" s="217"/>
      <c r="AL21" s="218"/>
      <c r="AM21" s="219" t="n">
        <f aca="false">$X21</f>
        <v>1206.92</v>
      </c>
      <c r="AN21" s="220" t="n">
        <f aca="false">ROUND(ORÇAMENTO.CustoUnitario*(1+$AH21),2)</f>
        <v>1206.92</v>
      </c>
    </row>
    <row r="22" customFormat="false" ht="35.05" hidden="false" customHeight="false" outlineLevel="0" collapsed="false">
      <c r="A22" s="1" t="str">
        <f aca="false">CHOOSE(1+LOG(1+2*(ORÇAMENTO.Nivel="Meta")+4*(ORÇAMENTO.Nivel="Nível 2")+8*(ORÇAMENTO.Nivel="Nível 3")+16*(ORÇAMENTO.Nivel="Nível 4")+32*(ORÇAMENTO.Nivel="Serviço"),2),0,1,2,3,4,"S")</f>
        <v>S</v>
      </c>
      <c r="B22" s="1" t="n">
        <f aca="true">IF(OR(C22="s",C22=0),OFFSET(B22,-1,0),C22)</f>
        <v>2</v>
      </c>
      <c r="C22" s="1" t="str">
        <f aca="true">IF(OFFSET(C22,-1,0)="L",1,IF(OFFSET(C22,-1,0)=1,2,IF(OR(A22="s",A22=0),"S",IF(AND(OFFSET(C22,-1,0)=2,A22=4),3,IF(AND(OR(OFFSET(C22,-1,0)="s",OFFSET(C22,-1,0)=0),A22&lt;&gt;"s",A22&gt;OFFSET(B22,-1,0)),OFFSET(B22,-1,0),A22)))))</f>
        <v>S</v>
      </c>
      <c r="D22" s="1" t="n">
        <f aca="false">IF(OR(C22="S",C22=0),0,IF(ISERROR(K22),J22,SMALL(J22:K22,1)))</f>
        <v>0</v>
      </c>
      <c r="E22" s="1" t="n">
        <f aca="true">IF($C22=1,OFFSET(E22,-1,0)+MAX(1,COUNTIF(QCI!$A$13:$A$15,OFFSET(ORÇAMENTO!E22,-1,0))),OFFSET(E22,-1,0))</f>
        <v>1</v>
      </c>
      <c r="F22" s="1" t="n">
        <f aca="true">IF($C22=1,0,IF($C22=2,OFFSET(F22,-1,0)+1,OFFSET(F22,-1,0)))</f>
        <v>1</v>
      </c>
      <c r="G22" s="1" t="n">
        <f aca="true">IF(AND($C22&lt;=2,$C22&lt;&gt;0),0,IF($C22=3,OFFSET(G22,-1,0)+1,OFFSET(G22,-1,0)))</f>
        <v>0</v>
      </c>
      <c r="H22" s="1" t="n">
        <f aca="true">IF(AND($C22&lt;=3,$C22&lt;&gt;0),0,IF($C22=4,OFFSET(H22,-1,0)+1,OFFSET(H22,-1,0)))</f>
        <v>0</v>
      </c>
      <c r="I22" s="1" t="n">
        <f aca="true">IF(AND($C22&lt;=4,$C22&lt;&gt;0),0,IF(AND($C22="S",$X22&gt;0),OFFSET(I22,-1,0)+1,OFFSET(I22,-1,0)))</f>
        <v>5</v>
      </c>
      <c r="J22" s="1" t="n">
        <f aca="true">IF(OR($C22="S",$C22=0),0,MATCH(0,OFFSET($D22,1,$C22,ROW($C$205)-ROW($C22)),0))</f>
        <v>0</v>
      </c>
      <c r="K22" s="1" t="n">
        <f aca="true">IF(OR($C22="S",$C22=0),0,MATCH(OFFSET($D22,0,$C22)+IF($C22&lt;&gt;1,1,COUNTIF(QCI!$A$13:$A$15,ORÇAMENTO!E22)),OFFSET($D22,1,$C22,ROW($C$205)-ROW($C22)),0))</f>
        <v>0</v>
      </c>
      <c r="L22" s="199" t="str">
        <f aca="false">IF(OR($X22&gt;0,$C22=1,$C22=2,$C22=3,$C22=4),"F","")</f>
        <v>F</v>
      </c>
      <c r="M22" s="200" t="s">
        <v>735</v>
      </c>
      <c r="N22" s="201" t="str">
        <f aca="false">CHOOSE(1+LOG(1+2*(C22=1)+4*(C22=2)+8*(C22=3)+16*(C22=4)+32*(C22="S"),2),"","Meta","Nível 2","Nível 3","Nível 4","Serviço")</f>
        <v>Serviço</v>
      </c>
      <c r="O22" s="202" t="str">
        <f aca="false">IF(OR($C22=0,$L22=""),"-",CONCATENATE(E22&amp;".",IF(AND($A$5&gt;=2,$C22&gt;=2),F22&amp;".",""),IF(AND($A$5&gt;=3,$C22&gt;=3),G22&amp;".",""),IF(AND($A$5&gt;=4,$C22&gt;=4),H22&amp;".",""),IF($C22="S",I22&amp;".","")))</f>
        <v>1.1.5.</v>
      </c>
      <c r="P22" s="203" t="s">
        <v>780</v>
      </c>
      <c r="Q22" s="204" t="s">
        <v>794</v>
      </c>
      <c r="R22" s="235" t="s">
        <v>795</v>
      </c>
      <c r="S22" s="206" t="s">
        <v>650</v>
      </c>
      <c r="T22" s="207" t="n">
        <f aca="true">OFFSET(CÁLCULO!H$15,ROW($T22)-ROW(T$15),0)</f>
        <v>5040</v>
      </c>
      <c r="U22" s="208" t="n">
        <v>0.68</v>
      </c>
      <c r="V22" s="209" t="s">
        <v>690</v>
      </c>
      <c r="W22" s="207" t="n">
        <f aca="false">IF($C22="S",ROUND(IF(TIPOORCAMENTO="Proposto",ORÇAMENTO.CustoUnitario*(1+$AH22),ORÇAMENTO.PrecoUnitarioLicitado),15-13*$AF$10),0)</f>
        <v>0.88</v>
      </c>
      <c r="X22" s="210" t="n">
        <f aca="true" t="array" ref="X22:X22">IF($C22="S",IF(OR(Import.TipoArredondamento&lt;&gt;"TransfereGOV",ACOMPANHAMENTO="BM"),VTOTAL1,SUM(OFFSET(CÁLCULO!$AQ$15,ROW($X22)-ROW($X$15),1):OFFSET(CÁLCULO!$BR$15,ROW($X22)-ROW($X$15),-1))),IF($C22=0,0,ROUND(SomaAgrup,15-13*$AF$11)))</f>
        <v>4435.2</v>
      </c>
      <c r="Y22" s="211" t="s">
        <v>781</v>
      </c>
      <c r="Z22" s="1" t="str">
        <f aca="false">IF(AND($C22="S",$X22&gt;0),IF(ISBLANK($Y22),"RA",LEFT($Y22,2)),"")</f>
        <v>RA</v>
      </c>
      <c r="AA22" s="212" t="n">
        <f aca="true">IF($C22="S",IF($Z22="CP",$X22,IF($Z22="RA",(($X22)*QCI!$AA$3),0)),SomaAgrup)</f>
        <v>492.225266610759</v>
      </c>
      <c r="AB22" s="213" t="n">
        <f aca="true">IF($C22="S",IF($Z22="OU",ROUND($X22,2),0),SomaAgrup)</f>
        <v>0</v>
      </c>
      <c r="AC22" s="214" t="e">
        <f aca="false" t="array" ref="AC22:AC22">IF($N22=""," ",
IF(AND($C22&lt;&gt;"S",OR($R22="",$R22="(digite a descrição aqui)")),"DESCRIÇÃO",
IF(AND($C22="S",OR($Q22&lt;&gt;"",$T22&gt;0,$U22&gt;0),$P22=""),"FONTE",
IF(AND($C22="S",$P22&lt;&gt;"",OR($T22&gt;0,$U22&gt;0),$Q22=""),"CÓDIGO",
IF(AND($C22="S",$P22&lt;&gt;"",$Q22&lt;&gt;"",$R22="(Código não identificado nas referências)"),"CÓDIGO N/ID",
IF(AND($C22="S",OR($R22="",$R22="(digite a descrição aqui)"),OR($Q22&lt;&gt;"",$T22&gt;0,$U22&gt;0)),"DESCRIÇÃO",
IF(AND($C22="S",$P22&lt;&gt;"",$Q22&lt;&gt;"",$S22=""),"UNIDADE",
IF(AND($C22="S",$P22&lt;&gt;"",$Q22&lt;&gt;"",$U22=0),"SEM CUSTO",
IF(AND(_xlfn.single(TIPOORCAMENTO)="Licitado",$AL22=0,$AN22&gt;0),"SEM PREÇO",
IF(AND($C22="S",$P22&lt;&gt;"",$Q22&lt;&gt;"",$U22&gt;0,$V22=0),"BDI",
IF(OR(AND(TIPOORCAMENTO="Proposto",LEFT($O$8,5)&lt;&gt;"(N/D:",$AG22&lt;&gt;"",ORÇAMENTO.CustoUnitario&gt;$AG22),AND(TIPOORCAMENTO="LICITADO",ORÇAMENTO.PrecoUnitarioLicitado&gt;$AN22)),"ACIMA REF.",
IF(AND($C22="S",$P22&lt;&gt;"",$Q22&lt;&gt;"",$T22=0,$U22&gt;0),"QUANT.",
IF(AND(Import.TipoArredondamento="TransfereGOV",$L22="F",$C22="S",LEN($Q22)&gt;13),"Código &gt;13",
IF(AND(Import.TipoArredondamento="TransfereGOV",$L22="F",$C22&lt;&gt;"S",LEN($R22)&gt;100),"Descrição &gt;100",
IF(AND(Import.TipoArredondamento="TransfereGOV",$L22="F",$C22="S",LEN($R22)&gt;500),"Descrição &gt;500",
IF(AND(Import.TipoArredondamento="TransfereGOV",$L22="F",$C22="S",LEFT(TRIM(UPPER($P22)),6)&lt;&gt;"SINAPI",ISNA(VLOOKUP(TRIM(UPPER($S22)),ListaTgov.Unidades,1,FALSE()))),"Unid. Não Disp",
" "))))))))))))))))</f>
        <v>#NAME?</v>
      </c>
      <c r="AD22" s="1" t="str">
        <f aca="true">IF(C22&lt;=CRONO.NivelExibicao,MAX($AD$15:OFFSET(AD22,-1,0))+IF($C22&lt;&gt;1,1,MAX(1,COUNTIF(QCI!$A$13:$A$15,OFFSET($E22,-1,0)))),"")</f>
        <v/>
      </c>
      <c r="AE22" s="50" t="str">
        <f aca="false">IF(AND($C22="S",ORÇAMENTO.CodBarra&lt;&gt;""),IF(ORÇAMENTO.Fonte="",ORÇAMENTO.CodBarra,CONCATENATE(ORÇAMENTO.Fonte," ",ORÇAMENTO.CodBarra)))</f>
        <v>SINAPI 98525</v>
      </c>
      <c r="AF22" s="65" t="str">
        <f aca="true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07-2025.xlsm)</v>
      </c>
      <c r="AG22" s="215" t="n">
        <f aca="true">ROUND(IF(DESONERACAO="sim",REFERENCIA.Desonerado,REFERENCIA.NaoDesonerado),2)</f>
        <v>0</v>
      </c>
      <c r="AH22" s="216" t="n">
        <f aca="false">ROUND(IF(ISNUMBER(ORÇAMENTO.OpcaoBDI),ORÇAMENTO.OpcaoBDI,IF(LEFT(ORÇAMENTO.OpcaoBDI,3)="BDI",HLOOKUP(ORÇAMENTO.OpcaoBDI,$F$4:$H$5,2,FALSE()),0)),15-11*$AF$9)</f>
        <v>0.2904</v>
      </c>
      <c r="AJ22" s="217"/>
      <c r="AL22" s="218"/>
      <c r="AM22" s="219" t="n">
        <f aca="false">$X22</f>
        <v>4435.2</v>
      </c>
      <c r="AN22" s="220" t="n">
        <f aca="false">ROUND(ORÇAMENTO.CustoUnitario*(1+$AH22),2)</f>
        <v>0.88</v>
      </c>
    </row>
    <row r="23" customFormat="false" ht="12.75" hidden="false" customHeight="false" outlineLevel="0" collapsed="false">
      <c r="A23" s="1" t="n">
        <f aca="false">CHOOSE(1+LOG(1+2*(ORÇAMENTO.Nivel="Meta")+4*(ORÇAMENTO.Nivel="Nível 2")+8*(ORÇAMENTO.Nivel="Nível 3")+16*(ORÇAMENTO.Nivel="Nível 4")+32*(ORÇAMENTO.Nivel="Serviço"),2),0,1,2,3,4,"S")</f>
        <v>2</v>
      </c>
      <c r="B23" s="1" t="n">
        <f aca="true">IF(OR(C23="s",C23=0),OFFSET(B23,-1,0),C23)</f>
        <v>2</v>
      </c>
      <c r="C23" s="1" t="n">
        <f aca="true">IF(OFFSET(C23,-1,0)="L",1,IF(OFFSET(C23,-1,0)=1,2,IF(OR(A23="s",A23=0),"S",IF(AND(OFFSET(C23,-1,0)=2,A23=4),3,IF(AND(OR(OFFSET(C23,-1,0)="s",OFFSET(C23,-1,0)=0),A23&lt;&gt;"s",A23&gt;OFFSET(B23,-1,0)),OFFSET(B23,-1,0),A23)))))</f>
        <v>2</v>
      </c>
      <c r="D23" s="1" t="n">
        <f aca="false">IF(OR(C23="S",C23=0),0,IF(ISERROR(K23),J23,SMALL(J23:K23,1)))</f>
        <v>4</v>
      </c>
      <c r="E23" s="1" t="n">
        <f aca="true">IF($C23=1,OFFSET(E23,-1,0)+MAX(1,COUNTIF(QCI!$A$13:$A$15,OFFSET(ORÇAMENTO!E23,-1,0))),OFFSET(E23,-1,0))</f>
        <v>1</v>
      </c>
      <c r="F23" s="1" t="n">
        <f aca="true">IF($C23=1,0,IF($C23=2,OFFSET(F23,-1,0)+1,OFFSET(F23,-1,0)))</f>
        <v>2</v>
      </c>
      <c r="G23" s="1" t="n">
        <f aca="true">IF(AND($C23&lt;=2,$C23&lt;&gt;0),0,IF($C23=3,OFFSET(G23,-1,0)+1,OFFSET(G23,-1,0)))</f>
        <v>0</v>
      </c>
      <c r="H23" s="1" t="n">
        <f aca="true">IF(AND($C23&lt;=3,$C23&lt;&gt;0),0,IF($C23=4,OFFSET(H23,-1,0)+1,OFFSET(H23,-1,0)))</f>
        <v>0</v>
      </c>
      <c r="I23" s="1" t="n">
        <f aca="true">IF(AND($C23&lt;=4,$C23&lt;&gt;0),0,IF(AND($C23="S",$X23&gt;0),OFFSET(I23,-1,0)+1,OFFSET(I23,-1,0)))</f>
        <v>0</v>
      </c>
      <c r="J23" s="1" t="n">
        <f aca="true">IF(OR($C23="S",$C23=0),0,MATCH(0,OFFSET($D23,1,$C23,ROW($C$205)-ROW($C23)),0))</f>
        <v>182</v>
      </c>
      <c r="K23" s="1" t="n">
        <f aca="true">IF(OR($C23="S",$C23=0),0,MATCH(OFFSET($D23,0,$C23)+IF($C23&lt;&gt;1,1,COUNTIF(QCI!$A$13:$A$15,ORÇAMENTO!E23)),OFFSET($D23,1,$C23,ROW($C$205)-ROW($C23)),0))</f>
        <v>4</v>
      </c>
      <c r="L23" s="199" t="str">
        <f aca="false">IF(OR($X23&gt;0,$C23=1,$C23=2,$C23=3,$C23=4),"F","")</f>
        <v>F</v>
      </c>
      <c r="M23" s="200" t="s">
        <v>732</v>
      </c>
      <c r="N23" s="201" t="str">
        <f aca="false">CHOOSE(1+LOG(1+2*(C23=1)+4*(C23=2)+8*(C23=3)+16*(C23=4)+32*(C23="S"),2),"","Meta","Nível 2","Nível 3","Nível 4","Serviço")</f>
        <v>Nível 2</v>
      </c>
      <c r="O23" s="202" t="str">
        <f aca="false">IF(OR($C23=0,$L23=""),"-",CONCATENATE(E23&amp;".",IF(AND($A$5&gt;=2,$C23&gt;=2),F23&amp;".",""),IF(AND($A$5&gt;=3,$C23&gt;=3),G23&amp;".",""),IF(AND($A$5&gt;=4,$C23&gt;=4),H23&amp;".",""),IF($C23="S",I23&amp;".","")))</f>
        <v>1.2.</v>
      </c>
      <c r="P23" s="203" t="s">
        <v>780</v>
      </c>
      <c r="Q23" s="204"/>
      <c r="R23" s="235" t="s">
        <v>796</v>
      </c>
      <c r="S23" s="206" t="str">
        <f aca="true">REFERENCIA.Unidade</f>
        <v>-</v>
      </c>
      <c r="T23" s="207" t="n">
        <f aca="true">OFFSET(CÁLCULO!H$15,ROW($T23)-ROW(T$15),0)</f>
        <v>0</v>
      </c>
      <c r="U23" s="208"/>
      <c r="V23" s="209" t="s">
        <v>690</v>
      </c>
      <c r="W23" s="207" t="n">
        <f aca="false">IF($C23="S",ROUND(IF(TIPOORCAMENTO="Proposto",ORÇAMENTO.CustoUnitario*(1+$AH23),ORÇAMENTO.PrecoUnitarioLicitado),15-13*$AF$10),0)</f>
        <v>0</v>
      </c>
      <c r="X23" s="210" t="n">
        <f aca="true" t="array" ref="X23:X23">IF($C23="S",IF(OR(Import.TipoArredondamento&lt;&gt;"TransfereGOV",ACOMPANHAMENTO="BM"),VTOTAL1,SUM(OFFSET(CÁLCULO!$AQ$15,ROW($X23)-ROW($X$15),1):OFFSET(CÁLCULO!$BR$15,ROW($X23)-ROW($X$15),-1))),IF($C23=0,0,ROUND(SomaAgrup,15-13*$AF$11)))</f>
        <v>31489</v>
      </c>
      <c r="Y23" s="211" t="s">
        <v>781</v>
      </c>
      <c r="Z23" s="1" t="str">
        <f aca="false">IF(AND($C23="S",$X23&gt;0),IF(ISBLANK($Y23),"RA",LEFT($Y23,2)),"")</f>
        <v/>
      </c>
      <c r="AA23" s="212" t="n">
        <f aca="true">IF($C23="S",IF($Z23="CP",$X23,IF($Z23="RA",(($X23)*QCI!$AA$3),0)),SomaAgrup)</f>
        <v>3494.69728993195</v>
      </c>
      <c r="AB23" s="213" t="n">
        <f aca="true">IF($C23="S",IF($Z23="OU",ROUND($X23,2),0),SomaAgrup)</f>
        <v>0</v>
      </c>
      <c r="AC23" s="214" t="e">
        <f aca="false" t="array" ref="AC23:AC23">IF($N23=""," ",
IF(AND($C23&lt;&gt;"S",OR($R23="",$R23="(digite a descrição aqui)")),"DESCRIÇÃO",
IF(AND($C23="S",OR($Q23&lt;&gt;"",$T23&gt;0,$U23&gt;0),$P23=""),"FONTE",
IF(AND($C23="S",$P23&lt;&gt;"",OR($T23&gt;0,$U23&gt;0),$Q23=""),"CÓDIGO",
IF(AND($C23="S",$P23&lt;&gt;"",$Q23&lt;&gt;"",$R23="(Código não identificado nas referências)"),"CÓDIGO N/ID",
IF(AND($C23="S",OR($R23="",$R23="(digite a descrição aqui)"),OR($Q23&lt;&gt;"",$T23&gt;0,$U23&gt;0)),"DESCRIÇÃO",
IF(AND($C23="S",$P23&lt;&gt;"",$Q23&lt;&gt;"",$S23=""),"UNIDADE",
IF(AND($C23="S",$P23&lt;&gt;"",$Q23&lt;&gt;"",$U23=0),"SEM CUSTO",
IF(AND(_xlfn.single(TIPOORCAMENTO)="Licitado",$AL23=0,$AN23&gt;0),"SEM PREÇO",
IF(AND($C23="S",$P23&lt;&gt;"",$Q23&lt;&gt;"",$U23&gt;0,$V23=0),"BDI",
IF(OR(AND(TIPOORCAMENTO="Proposto",LEFT($O$8,5)&lt;&gt;"(N/D:",$AG23&lt;&gt;"",ORÇAMENTO.CustoUnitario&gt;$AG23),AND(TIPOORCAMENTO="LICITADO",ORÇAMENTO.PrecoUnitarioLicitado&gt;$AN23)),"ACIMA REF.",
IF(AND($C23="S",$P23&lt;&gt;"",$Q23&lt;&gt;"",$T23=0,$U23&gt;0),"QUANT.",
IF(AND(Import.TipoArredondamento="TransfereGOV",$L23="F",$C23="S",LEN($Q23)&gt;13),"Código &gt;13",
IF(AND(Import.TipoArredondamento="TransfereGOV",$L23="F",$C23&lt;&gt;"S",LEN($R23)&gt;100),"Descrição &gt;100",
IF(AND(Import.TipoArredondamento="TransfereGOV",$L23="F",$C23="S",LEN($R23)&gt;500),"Descrição &gt;500",
IF(AND(Import.TipoArredondamento="TransfereGOV",$L23="F",$C23="S",LEFT(TRIM(UPPER($P23)),6)&lt;&gt;"SINAPI",ISNA(VLOOKUP(TRIM(UPPER($S23)),ListaTgov.Unidades,1,FALSE()))),"Unid. Não Disp",
" "))))))))))))))))</f>
        <v>#NAME?</v>
      </c>
      <c r="AD23" s="38" t="n">
        <f aca="true">IF(C23&lt;=CRONO.NivelExibicao,MAX($AD$15:OFFSET(AD23,-1,0))+IF($C23&lt;&gt;1,1,MAX(1,COUNTIF(QCI!$A$13:$A$15,OFFSET($E23,-1,0)))),"")</f>
        <v>3</v>
      </c>
      <c r="AE23" s="50" t="b">
        <f aca="false">IF(AND($C23="S",ORÇAMENTO.CodBarra&lt;&gt;""),IF(ORÇAMENTO.Fonte="",ORÇAMENTO.CodBarra,CONCATENATE(ORÇAMENTO.Fonte," ",ORÇAMENTO.CodBarra)))</f>
        <v>0</v>
      </c>
      <c r="AF23" s="65" t="str">
        <f aca="true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07-2025.xlsm)</v>
      </c>
      <c r="AG23" s="215" t="n">
        <f aca="true">ROUND(IF(DESONERACAO="sim",REFERENCIA.Desonerado,REFERENCIA.NaoDesonerado),2)</f>
        <v>0</v>
      </c>
      <c r="AH23" s="216" t="n">
        <f aca="false">ROUND(IF(ISNUMBER(ORÇAMENTO.OpcaoBDI),ORÇAMENTO.OpcaoBDI,IF(LEFT(ORÇAMENTO.OpcaoBDI,3)="BDI",HLOOKUP(ORÇAMENTO.OpcaoBDI,$F$4:$H$5,2,FALSE()),0)),15-11*$AF$9)</f>
        <v>0.2904</v>
      </c>
      <c r="AJ23" s="217"/>
      <c r="AL23" s="218"/>
      <c r="AM23" s="219" t="n">
        <f aca="false">$X23</f>
        <v>31489</v>
      </c>
      <c r="AN23" s="220" t="n">
        <f aca="false">ROUND(ORÇAMENTO.CustoUnitario*(1+$AH23),2)</f>
        <v>0</v>
      </c>
    </row>
    <row r="24" customFormat="false" ht="23.85" hidden="false" customHeight="false" outlineLevel="0" collapsed="false">
      <c r="A24" s="1" t="str">
        <f aca="false">CHOOSE(1+LOG(1+2*(ORÇAMENTO.Nivel="Meta")+4*(ORÇAMENTO.Nivel="Nível 2")+8*(ORÇAMENTO.Nivel="Nível 3")+16*(ORÇAMENTO.Nivel="Nível 4")+32*(ORÇAMENTO.Nivel="Serviço"),2),0,1,2,3,4,"S")</f>
        <v>S</v>
      </c>
      <c r="B24" s="1" t="n">
        <f aca="true">IF(OR(C24="s",C24=0),OFFSET(B24,-1,0),C24)</f>
        <v>2</v>
      </c>
      <c r="C24" s="1" t="str">
        <f aca="true">IF(OFFSET(C24,-1,0)="L",1,IF(OFFSET(C24,-1,0)=1,2,IF(OR(A24="s",A24=0),"S",IF(AND(OFFSET(C24,-1,0)=2,A24=4),3,IF(AND(OR(OFFSET(C24,-1,0)="s",OFFSET(C24,-1,0)=0),A24&lt;&gt;"s",A24&gt;OFFSET(B24,-1,0)),OFFSET(B24,-1,0),A24)))))</f>
        <v>S</v>
      </c>
      <c r="D24" s="1" t="n">
        <f aca="false">IF(OR(C24="S",C24=0),0,IF(ISERROR(K24),J24,SMALL(J24:K24,1)))</f>
        <v>0</v>
      </c>
      <c r="E24" s="1" t="n">
        <f aca="true">IF($C24=1,OFFSET(E24,-1,0)+MAX(1,COUNTIF(QCI!$A$13:$A$15,OFFSET(ORÇAMENTO!E24,-1,0))),OFFSET(E24,-1,0))</f>
        <v>1</v>
      </c>
      <c r="F24" s="1" t="n">
        <f aca="true">IF($C24=1,0,IF($C24=2,OFFSET(F24,-1,0)+1,OFFSET(F24,-1,0)))</f>
        <v>2</v>
      </c>
      <c r="G24" s="1" t="n">
        <f aca="true">IF(AND($C24&lt;=2,$C24&lt;&gt;0),0,IF($C24=3,OFFSET(G24,-1,0)+1,OFFSET(G24,-1,0)))</f>
        <v>0</v>
      </c>
      <c r="H24" s="1" t="n">
        <f aca="true">IF(AND($C24&lt;=3,$C24&lt;&gt;0),0,IF($C24=4,OFFSET(H24,-1,0)+1,OFFSET(H24,-1,0)))</f>
        <v>0</v>
      </c>
      <c r="I24" s="1" t="n">
        <f aca="true">IF(AND($C24&lt;=4,$C24&lt;&gt;0),0,IF(AND($C24="S",$X24&gt;0),OFFSET(I24,-1,0)+1,OFFSET(I24,-1,0)))</f>
        <v>1</v>
      </c>
      <c r="J24" s="1" t="n">
        <f aca="true">IF(OR($C24="S",$C24=0),0,MATCH(0,OFFSET($D24,1,$C24,ROW($C$205)-ROW($C24)),0))</f>
        <v>0</v>
      </c>
      <c r="K24" s="1" t="n">
        <f aca="true">IF(OR($C24="S",$C24=0),0,MATCH(OFFSET($D24,0,$C24)+IF($C24&lt;&gt;1,1,COUNTIF(QCI!$A$13:$A$15,ORÇAMENTO!E24)),OFFSET($D24,1,$C24,ROW($C$205)-ROW($C24)),0))</f>
        <v>0</v>
      </c>
      <c r="L24" s="199" t="str">
        <f aca="false">IF(OR($X24&gt;0,$C24=1,$C24=2,$C24=3,$C24=4),"F","")</f>
        <v>F</v>
      </c>
      <c r="M24" s="200" t="s">
        <v>735</v>
      </c>
      <c r="N24" s="201" t="str">
        <f aca="false">CHOOSE(1+LOG(1+2*(C24=1)+4*(C24=2)+8*(C24=3)+16*(C24=4)+32*(C24="S"),2),"","Meta","Nível 2","Nível 3","Nível 4","Serviço")</f>
        <v>Serviço</v>
      </c>
      <c r="O24" s="202" t="str">
        <f aca="false">IF(OR($C24=0,$L24=""),"-",CONCATENATE(E24&amp;".",IF(AND($A$5&gt;=2,$C24&gt;=2),F24&amp;".",""),IF(AND($A$5&gt;=3,$C24&gt;=3),G24&amp;".",""),IF(AND($A$5&gt;=4,$C24&gt;=4),H24&amp;".",""),IF($C24="S",I24&amp;".","")))</f>
        <v>1.2.1.</v>
      </c>
      <c r="P24" s="203" t="s">
        <v>780</v>
      </c>
      <c r="Q24" s="236" t="s">
        <v>797</v>
      </c>
      <c r="R24" s="235" t="s">
        <v>798</v>
      </c>
      <c r="S24" s="237" t="s">
        <v>642</v>
      </c>
      <c r="T24" s="207" t="n">
        <f aca="true">OFFSET(CÁLCULO!H$15,ROW($T24)-ROW(T$15),0)</f>
        <v>50</v>
      </c>
      <c r="U24" s="208" t="n">
        <v>121.61</v>
      </c>
      <c r="V24" s="209" t="s">
        <v>690</v>
      </c>
      <c r="W24" s="207" t="n">
        <f aca="false">IF($C24="S",ROUND(IF(TIPOORCAMENTO="Proposto",ORÇAMENTO.CustoUnitario*(1+$AH24),ORÇAMENTO.PrecoUnitarioLicitado),15-13*$AF$10),0)</f>
        <v>156.93</v>
      </c>
      <c r="X24" s="210" t="n">
        <f aca="true" t="array" ref="X24:X24">IF($C24="S",IF(OR(Import.TipoArredondamento&lt;&gt;"TransfereGOV",ACOMPANHAMENTO="BM"),VTOTAL1,SUM(OFFSET(CÁLCULO!$AQ$15,ROW($X24)-ROW($X$15),1):OFFSET(CÁLCULO!$BR$15,ROW($X24)-ROW($X$15),-1))),IF($C24=0,0,ROUND(SomaAgrup,15-13*$AF$11)))</f>
        <v>7846.5</v>
      </c>
      <c r="Y24" s="211" t="s">
        <v>781</v>
      </c>
      <c r="Z24" s="1" t="str">
        <f aca="false">IF(AND($C24="S",$X24&gt;0),IF(ISBLANK($Y24),"RA",LEFT($Y24,2)),"")</f>
        <v>RA</v>
      </c>
      <c r="AA24" s="212" t="n">
        <f aca="true">IF($C24="S",IF($Z24="CP",$X24,IF($Z24="RA",(($X24)*QCI!$AA$3),0)),SomaAgrup)</f>
        <v>870.816548173999</v>
      </c>
      <c r="AB24" s="213" t="n">
        <f aca="true">IF($C24="S",IF($Z24="OU",ROUND($X24,2),0),SomaAgrup)</f>
        <v>0</v>
      </c>
      <c r="AC24" s="214" t="e">
        <f aca="false" t="array" ref="AC24:AC24">IF($N24=""," ",
IF(AND($C24&lt;&gt;"S",OR($R24="",$R24="(digite a descrição aqui)")),"DESCRIÇÃO",
IF(AND($C24="S",OR($Q24&lt;&gt;"",$T24&gt;0,$U24&gt;0),$P24=""),"FONTE",
IF(AND($C24="S",$P24&lt;&gt;"",OR($T24&gt;0,$U24&gt;0),$Q24=""),"CÓDIGO",
IF(AND($C24="S",$P24&lt;&gt;"",$Q24&lt;&gt;"",$R24="(Código não identificado nas referências)"),"CÓDIGO N/ID",
IF(AND($C24="S",OR($R24="",$R24="(digite a descrição aqui)"),OR($Q24&lt;&gt;"",$T24&gt;0,$U24&gt;0)),"DESCRIÇÃO",
IF(AND($C24="S",$P24&lt;&gt;"",$Q24&lt;&gt;"",$S24=""),"UNIDADE",
IF(AND($C24="S",$P24&lt;&gt;"",$Q24&lt;&gt;"",$U24=0),"SEM CUSTO",
IF(AND(_xlfn.single(TIPOORCAMENTO)="Licitado",$AL24=0,$AN24&gt;0),"SEM PREÇO",
IF(AND($C24="S",$P24&lt;&gt;"",$Q24&lt;&gt;"",$U24&gt;0,$V24=0),"BDI",
IF(OR(AND(TIPOORCAMENTO="Proposto",LEFT($O$8,5)&lt;&gt;"(N/D:",$AG24&lt;&gt;"",ORÇAMENTO.CustoUnitario&gt;$AG24),AND(TIPOORCAMENTO="LICITADO",ORÇAMENTO.PrecoUnitarioLicitado&gt;$AN24)),"ACIMA REF.",
IF(AND($C24="S",$P24&lt;&gt;"",$Q24&lt;&gt;"",$T24=0,$U24&gt;0),"QUANT.",
IF(AND(Import.TipoArredondamento="TransfereGOV",$L24="F",$C24="S",LEN($Q24)&gt;13),"Código &gt;13",
IF(AND(Import.TipoArredondamento="TransfereGOV",$L24="F",$C24&lt;&gt;"S",LEN($R24)&gt;100),"Descrição &gt;100",
IF(AND(Import.TipoArredondamento="TransfereGOV",$L24="F",$C24="S",LEN($R24)&gt;500),"Descrição &gt;500",
IF(AND(Import.TipoArredondamento="TransfereGOV",$L24="F",$C24="S",LEFT(TRIM(UPPER($P24)),6)&lt;&gt;"SINAPI",ISNA(VLOOKUP(TRIM(UPPER($S24)),ListaTgov.Unidades,1,FALSE()))),"Unid. Não Disp",
" "))))))))))))))))</f>
        <v>#NAME?</v>
      </c>
      <c r="AD24" s="1" t="str">
        <f aca="true">IF(C24&lt;=CRONO.NivelExibicao,MAX($AD$15:OFFSET(AD24,-1,0))+IF($C24&lt;&gt;1,1,MAX(1,COUNTIF(QCI!$A$13:$A$15,OFFSET($E24,-1,0)))),"")</f>
        <v/>
      </c>
      <c r="AE24" s="50" t="str">
        <f aca="false">IF(AND($C24="S",ORÇAMENTO.CodBarra&lt;&gt;""),IF(ORÇAMENTO.Fonte="",ORÇAMENTO.CodBarra,CONCATENATE(ORÇAMENTO.Fonte," ",ORÇAMENTO.CodBarra)))</f>
        <v>SINAPI 90778</v>
      </c>
      <c r="AF24" s="65" t="str">
        <f aca="true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07-2025.xlsm)</v>
      </c>
      <c r="AG24" s="215" t="n">
        <f aca="true">ROUND(IF(DESONERACAO="sim",REFERENCIA.Desonerado,REFERENCIA.NaoDesonerado),2)</f>
        <v>0</v>
      </c>
      <c r="AH24" s="216" t="n">
        <f aca="false">ROUND(IF(ISNUMBER(ORÇAMENTO.OpcaoBDI),ORÇAMENTO.OpcaoBDI,IF(LEFT(ORÇAMENTO.OpcaoBDI,3)="BDI",HLOOKUP(ORÇAMENTO.OpcaoBDI,$F$4:$H$5,2,FALSE()),0)),15-11*$AF$9)</f>
        <v>0.2904</v>
      </c>
      <c r="AJ24" s="217"/>
      <c r="AL24" s="218"/>
      <c r="AM24" s="219" t="n">
        <f aca="false">$X24</f>
        <v>7846.5</v>
      </c>
      <c r="AN24" s="220" t="n">
        <f aca="false">ROUND(ORÇAMENTO.CustoUnitario*(1+$AH24),2)</f>
        <v>156.93</v>
      </c>
    </row>
    <row r="25" customFormat="false" ht="12.75" hidden="false" customHeight="false" outlineLevel="0" collapsed="false">
      <c r="A25" s="1" t="str">
        <f aca="false">CHOOSE(1+LOG(1+2*(ORÇAMENTO.Nivel="Meta")+4*(ORÇAMENTO.Nivel="Nível 2")+8*(ORÇAMENTO.Nivel="Nível 3")+16*(ORÇAMENTO.Nivel="Nível 4")+32*(ORÇAMENTO.Nivel="Serviço"),2),0,1,2,3,4,"S")</f>
        <v>S</v>
      </c>
      <c r="B25" s="1" t="n">
        <f aca="true">IF(OR(C25="s",C25=0),OFFSET(B25,-1,0),C25)</f>
        <v>2</v>
      </c>
      <c r="C25" s="1" t="str">
        <f aca="true">IF(OFFSET(C25,-1,0)="L",1,IF(OFFSET(C25,-1,0)=1,2,IF(OR(A25="s",A25=0),"S",IF(AND(OFFSET(C25,-1,0)=2,A25=4),3,IF(AND(OR(OFFSET(C25,-1,0)="s",OFFSET(C25,-1,0)=0),A25&lt;&gt;"s",A25&gt;OFFSET(B25,-1,0)),OFFSET(B25,-1,0),A25)))))</f>
        <v>S</v>
      </c>
      <c r="D25" s="1" t="n">
        <f aca="false">IF(OR(C25="S",C25=0),0,IF(ISERROR(K25),J25,SMALL(J25:K25,1)))</f>
        <v>0</v>
      </c>
      <c r="E25" s="1" t="n">
        <f aca="true">IF($C25=1,OFFSET(E25,-1,0)+MAX(1,COUNTIF(QCI!$A$13:$A$15,OFFSET(ORÇAMENTO!E25,-1,0))),OFFSET(E25,-1,0))</f>
        <v>1</v>
      </c>
      <c r="F25" s="1" t="n">
        <f aca="true">IF($C25=1,0,IF($C25=2,OFFSET(F25,-1,0)+1,OFFSET(F25,-1,0)))</f>
        <v>2</v>
      </c>
      <c r="G25" s="1" t="n">
        <f aca="true">IF(AND($C25&lt;=2,$C25&lt;&gt;0),0,IF($C25=3,OFFSET(G25,-1,0)+1,OFFSET(G25,-1,0)))</f>
        <v>0</v>
      </c>
      <c r="H25" s="1" t="n">
        <f aca="true">IF(AND($C25&lt;=3,$C25&lt;&gt;0),0,IF($C25=4,OFFSET(H25,-1,0)+1,OFFSET(H25,-1,0)))</f>
        <v>0</v>
      </c>
      <c r="I25" s="1" t="n">
        <f aca="true">IF(AND($C25&lt;=4,$C25&lt;&gt;0),0,IF(AND($C25="S",$X25&gt;0),OFFSET(I25,-1,0)+1,OFFSET(I25,-1,0)))</f>
        <v>2</v>
      </c>
      <c r="J25" s="1" t="n">
        <f aca="true">IF(OR($C25="S",$C25=0),0,MATCH(0,OFFSET($D25,1,$C25,ROW($C$205)-ROW($C25)),0))</f>
        <v>0</v>
      </c>
      <c r="K25" s="1" t="n">
        <f aca="true">IF(OR($C25="S",$C25=0),0,MATCH(OFFSET($D25,0,$C25)+IF($C25&lt;&gt;1,1,COUNTIF(QCI!$A$13:$A$15,ORÇAMENTO!E25)),OFFSET($D25,1,$C25,ROW($C$205)-ROW($C25)),0))</f>
        <v>0</v>
      </c>
      <c r="L25" s="199" t="str">
        <f aca="false">IF(OR($X25&gt;0,$C25=1,$C25=2,$C25=3,$C25=4),"F","")</f>
        <v>F</v>
      </c>
      <c r="M25" s="200" t="s">
        <v>735</v>
      </c>
      <c r="N25" s="201" t="str">
        <f aca="false">CHOOSE(1+LOG(1+2*(C25=1)+4*(C25=2)+8*(C25=3)+16*(C25=4)+32*(C25="S"),2),"","Meta","Nível 2","Nível 3","Nível 4","Serviço")</f>
        <v>Serviço</v>
      </c>
      <c r="O25" s="202" t="str">
        <f aca="false">IF(OR($C25=0,$L25=""),"-",CONCATENATE(E25&amp;".",IF(AND($A$5&gt;=2,$C25&gt;=2),F25&amp;".",""),IF(AND($A$5&gt;=3,$C25&gt;=3),G25&amp;".",""),IF(AND($A$5&gt;=4,$C25&gt;=4),H25&amp;".",""),IF($C25="S",I25&amp;".","")))</f>
        <v>1.2.2.</v>
      </c>
      <c r="P25" s="203" t="s">
        <v>780</v>
      </c>
      <c r="Q25" s="204" t="s">
        <v>799</v>
      </c>
      <c r="R25" s="205" t="s">
        <v>800</v>
      </c>
      <c r="S25" s="206" t="s">
        <v>642</v>
      </c>
      <c r="T25" s="207" t="n">
        <f aca="true">OFFSET(CÁLCULO!H$15,ROW($T25)-ROW(T$15),0)</f>
        <v>100</v>
      </c>
      <c r="U25" s="208" t="n">
        <v>61.03</v>
      </c>
      <c r="V25" s="209" t="s">
        <v>690</v>
      </c>
      <c r="W25" s="207" t="n">
        <f aca="false">IF($C25="S",ROUND(IF(TIPOORCAMENTO="Proposto",ORÇAMENTO.CustoUnitario*(1+$AH25),ORÇAMENTO.PrecoUnitarioLicitado),15-13*$AF$10),0)</f>
        <v>78.75</v>
      </c>
      <c r="X25" s="210" t="n">
        <f aca="true" t="array" ref="X25:X25">IF($C25="S",IF(OR(Import.TipoArredondamento&lt;&gt;"TransfereGOV",ACOMPANHAMENTO="BM"),VTOTAL1,SUM(OFFSET(CÁLCULO!$AQ$15,ROW($X25)-ROW($X$15),1):OFFSET(CÁLCULO!$BR$15,ROW($X25)-ROW($X$15),-1))),IF($C25=0,0,ROUND(SomaAgrup,15-13*$AF$11)))</f>
        <v>7875</v>
      </c>
      <c r="Y25" s="211" t="s">
        <v>781</v>
      </c>
      <c r="Z25" s="1" t="str">
        <f aca="false">IF(AND($C25="S",$X25&gt;0),IF(ISBLANK($Y25),"RA",LEFT($Y25,2)),"")</f>
        <v>RA</v>
      </c>
      <c r="AA25" s="212" t="n">
        <f aca="true">IF($C25="S",IF($Z25="CP",$X25,IF($Z25="RA",(($X25)*QCI!$AA$3),0)),SomaAgrup)</f>
        <v>873.979521681035</v>
      </c>
      <c r="AB25" s="213" t="n">
        <f aca="true">IF($C25="S",IF($Z25="OU",ROUND($X25,2),0),SomaAgrup)</f>
        <v>0</v>
      </c>
      <c r="AC25" s="214" t="e">
        <f aca="false" t="array" ref="AC25:AC25">IF($N25=""," ",
IF(AND($C25&lt;&gt;"S",OR($R25="",$R25="(digite a descrição aqui)")),"DESCRIÇÃO",
IF(AND($C25="S",OR($Q25&lt;&gt;"",$T25&gt;0,$U25&gt;0),$P25=""),"FONTE",
IF(AND($C25="S",$P25&lt;&gt;"",OR($T25&gt;0,$U25&gt;0),$Q25=""),"CÓDIGO",
IF(AND($C25="S",$P25&lt;&gt;"",$Q25&lt;&gt;"",$R25="(Código não identificado nas referências)"),"CÓDIGO N/ID",
IF(AND($C25="S",OR($R25="",$R25="(digite a descrição aqui)"),OR($Q25&lt;&gt;"",$T25&gt;0,$U25&gt;0)),"DESCRIÇÃO",
IF(AND($C25="S",$P25&lt;&gt;"",$Q25&lt;&gt;"",$S25=""),"UNIDADE",
IF(AND($C25="S",$P25&lt;&gt;"",$Q25&lt;&gt;"",$U25=0),"SEM CUSTO",
IF(AND(_xlfn.single(TIPOORCAMENTO)="Licitado",$AL25=0,$AN25&gt;0),"SEM PREÇO",
IF(AND($C25="S",$P25&lt;&gt;"",$Q25&lt;&gt;"",$U25&gt;0,$V25=0),"BDI",
IF(OR(AND(TIPOORCAMENTO="Proposto",LEFT($O$8,5)&lt;&gt;"(N/D:",$AG25&lt;&gt;"",ORÇAMENTO.CustoUnitario&gt;$AG25),AND(TIPOORCAMENTO="LICITADO",ORÇAMENTO.PrecoUnitarioLicitado&gt;$AN25)),"ACIMA REF.",
IF(AND($C25="S",$P25&lt;&gt;"",$Q25&lt;&gt;"",$T25=0,$U25&gt;0),"QUANT.",
IF(AND(Import.TipoArredondamento="TransfereGOV",$L25="F",$C25="S",LEN($Q25)&gt;13),"Código &gt;13",
IF(AND(Import.TipoArredondamento="TransfereGOV",$L25="F",$C25&lt;&gt;"S",LEN($R25)&gt;100),"Descrição &gt;100",
IF(AND(Import.TipoArredondamento="TransfereGOV",$L25="F",$C25="S",LEN($R25)&gt;500),"Descrição &gt;500",
IF(AND(Import.TipoArredondamento="TransfereGOV",$L25="F",$C25="S",LEFT(TRIM(UPPER($P25)),6)&lt;&gt;"SINAPI",ISNA(VLOOKUP(TRIM(UPPER($S25)),ListaTgov.Unidades,1,FALSE()))),"Unid. Não Disp",
" "))))))))))))))))</f>
        <v>#NAME?</v>
      </c>
      <c r="AD25" s="1" t="str">
        <f aca="true">IF(C25&lt;=CRONO.NivelExibicao,MAX($AD$15:OFFSET(AD25,-1,0))+IF($C25&lt;&gt;1,1,MAX(1,COUNTIF(QCI!$A$13:$A$15,OFFSET($E25,-1,0)))),"")</f>
        <v/>
      </c>
      <c r="AE25" s="50" t="str">
        <f aca="false">IF(AND($C25="S",ORÇAMENTO.CodBarra&lt;&gt;""),IF(ORÇAMENTO.Fonte="",ORÇAMENTO.CodBarra,CONCATENATE(ORÇAMENTO.Fonte," ",ORÇAMENTO.CodBarra)))</f>
        <v>SINAPI 90776</v>
      </c>
      <c r="AF25" s="65" t="str">
        <f aca="true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07-2025.xlsm)</v>
      </c>
      <c r="AG25" s="215" t="n">
        <f aca="true">ROUND(IF(DESONERACAO="sim",REFERENCIA.Desonerado,REFERENCIA.NaoDesonerado),2)</f>
        <v>0</v>
      </c>
      <c r="AH25" s="216" t="n">
        <f aca="false">ROUND(IF(ISNUMBER(ORÇAMENTO.OpcaoBDI),ORÇAMENTO.OpcaoBDI,IF(LEFT(ORÇAMENTO.OpcaoBDI,3)="BDI",HLOOKUP(ORÇAMENTO.OpcaoBDI,$F$4:$H$5,2,FALSE()),0)),15-11*$AF$9)</f>
        <v>0.2904</v>
      </c>
      <c r="AJ25" s="217"/>
      <c r="AL25" s="218"/>
      <c r="AM25" s="219" t="n">
        <f aca="false">$X25</f>
        <v>7875</v>
      </c>
      <c r="AN25" s="220" t="n">
        <f aca="false">ROUND(ORÇAMENTO.CustoUnitario*(1+$AH25),2)</f>
        <v>78.75</v>
      </c>
    </row>
    <row r="26" customFormat="false" ht="12.75" hidden="false" customHeight="false" outlineLevel="0" collapsed="false">
      <c r="A26" s="1" t="str">
        <f aca="false">CHOOSE(1+LOG(1+2*(ORÇAMENTO.Nivel="Meta")+4*(ORÇAMENTO.Nivel="Nível 2")+8*(ORÇAMENTO.Nivel="Nível 3")+16*(ORÇAMENTO.Nivel="Nível 4")+32*(ORÇAMENTO.Nivel="Serviço"),2),0,1,2,3,4,"S")</f>
        <v>S</v>
      </c>
      <c r="B26" s="1" t="n">
        <f aca="true">IF(OR(C26="s",C26=0),OFFSET(B26,-1,0),C26)</f>
        <v>2</v>
      </c>
      <c r="C26" s="1" t="str">
        <f aca="true">IF(OFFSET(C26,-1,0)="L",1,IF(OFFSET(C26,-1,0)=1,2,IF(OR(A26="s",A26=0),"S",IF(AND(OFFSET(C26,-1,0)=2,A26=4),3,IF(AND(OR(OFFSET(C26,-1,0)="s",OFFSET(C26,-1,0)=0),A26&lt;&gt;"s",A26&gt;OFFSET(B26,-1,0)),OFFSET(B26,-1,0),A26)))))</f>
        <v>S</v>
      </c>
      <c r="D26" s="1" t="n">
        <f aca="false">IF(OR(C26="S",C26=0),0,IF(ISERROR(K26),J26,SMALL(J26:K26,1)))</f>
        <v>0</v>
      </c>
      <c r="E26" s="1" t="n">
        <f aca="true">IF($C26=1,OFFSET(E26,-1,0)+MAX(1,COUNTIF(QCI!$A$13:$A$15,OFFSET(ORÇAMENTO!E26,-1,0))),OFFSET(E26,-1,0))</f>
        <v>1</v>
      </c>
      <c r="F26" s="1" t="n">
        <f aca="true">IF($C26=1,0,IF($C26=2,OFFSET(F26,-1,0)+1,OFFSET(F26,-1,0)))</f>
        <v>2</v>
      </c>
      <c r="G26" s="1" t="n">
        <f aca="true">IF(AND($C26&lt;=2,$C26&lt;&gt;0),0,IF($C26=3,OFFSET(G26,-1,0)+1,OFFSET(G26,-1,0)))</f>
        <v>0</v>
      </c>
      <c r="H26" s="1" t="n">
        <f aca="true">IF(AND($C26&lt;=3,$C26&lt;&gt;0),0,IF($C26=4,OFFSET(H26,-1,0)+1,OFFSET(H26,-1,0)))</f>
        <v>0</v>
      </c>
      <c r="I26" s="1" t="n">
        <f aca="true">IF(AND($C26&lt;=4,$C26&lt;&gt;0),0,IF(AND($C26="S",$X26&gt;0),OFFSET(I26,-1,0)+1,OFFSET(I26,-1,0)))</f>
        <v>3</v>
      </c>
      <c r="J26" s="1" t="n">
        <f aca="true">IF(OR($C26="S",$C26=0),0,MATCH(0,OFFSET($D26,1,$C26,ROW($C$205)-ROW($C26)),0))</f>
        <v>0</v>
      </c>
      <c r="K26" s="1" t="n">
        <f aca="true">IF(OR($C26="S",$C26=0),0,MATCH(OFFSET($D26,0,$C26)+IF($C26&lt;&gt;1,1,COUNTIF(QCI!$A$13:$A$15,ORÇAMENTO!E26)),OFFSET($D26,1,$C26,ROW($C$205)-ROW($C26)),0))</f>
        <v>0</v>
      </c>
      <c r="L26" s="199" t="str">
        <f aca="false">IF(OR($X26&gt;0,$C26=1,$C26=2,$C26=3,$C26=4),"F","")</f>
        <v>F</v>
      </c>
      <c r="M26" s="200" t="s">
        <v>735</v>
      </c>
      <c r="N26" s="201" t="str">
        <f aca="false">CHOOSE(1+LOG(1+2*(C26=1)+4*(C26=2)+8*(C26=3)+16*(C26=4)+32*(C26="S"),2),"","Meta","Nível 2","Nível 3","Nível 4","Serviço")</f>
        <v>Serviço</v>
      </c>
      <c r="O26" s="202" t="str">
        <f aca="false">IF(OR($C26=0,$L26=""),"-",CONCATENATE(E26&amp;".",IF(AND($A$5&gt;=2,$C26&gt;=2),F26&amp;".",""),IF(AND($A$5&gt;=3,$C26&gt;=3),G26&amp;".",""),IF(AND($A$5&gt;=4,$C26&gt;=4),H26&amp;".",""),IF($C26="S",I26&amp;".","")))</f>
        <v>1.2.3.</v>
      </c>
      <c r="P26" s="203" t="s">
        <v>780</v>
      </c>
      <c r="Q26" s="204" t="s">
        <v>801</v>
      </c>
      <c r="R26" s="205" t="s">
        <v>802</v>
      </c>
      <c r="S26" s="206" t="s">
        <v>642</v>
      </c>
      <c r="T26" s="207" t="n">
        <f aca="true">OFFSET(CÁLCULO!H$15,ROW($T26)-ROW(T$15),0)</f>
        <v>125</v>
      </c>
      <c r="U26" s="208" t="n">
        <v>97.75</v>
      </c>
      <c r="V26" s="209" t="s">
        <v>690</v>
      </c>
      <c r="W26" s="207" t="n">
        <f aca="false">IF($C26="S",ROUND(IF(TIPOORCAMENTO="Proposto",ORÇAMENTO.CustoUnitario*(1+$AH26),ORÇAMENTO.PrecoUnitarioLicitado),15-13*$AF$10),0)</f>
        <v>126.14</v>
      </c>
      <c r="X26" s="210" t="n">
        <f aca="true" t="array" ref="X26:X26">IF($C26="S",IF(OR(Import.TipoArredondamento&lt;&gt;"TransfereGOV",ACOMPANHAMENTO="BM"),VTOTAL1,SUM(OFFSET(CÁLCULO!$AQ$15,ROW($X26)-ROW($X$15),1):OFFSET(CÁLCULO!$BR$15,ROW($X26)-ROW($X$15),-1))),IF($C26=0,0,ROUND(SomaAgrup,15-13*$AF$11)))</f>
        <v>15767.5</v>
      </c>
      <c r="Y26" s="211" t="s">
        <v>781</v>
      </c>
      <c r="Z26" s="1" t="str">
        <f aca="false">IF(AND($C26="S",$X26&gt;0),IF(ISBLANK($Y26),"RA",LEFT($Y26,2)),"")</f>
        <v>RA</v>
      </c>
      <c r="AA26" s="212" t="n">
        <f aca="true">IF($C26="S",IF($Z26="CP",$X26,IF($Z26="RA",(($X26)*QCI!$AA$3),0)),SomaAgrup)</f>
        <v>1749.90122007692</v>
      </c>
      <c r="AB26" s="213" t="n">
        <f aca="true">IF($C26="S",IF($Z26="OU",ROUND($X26,2),0),SomaAgrup)</f>
        <v>0</v>
      </c>
      <c r="AC26" s="214" t="e">
        <f aca="false" t="array" ref="AC26:AC26">IF($N26=""," ",
IF(AND($C26&lt;&gt;"S",OR($R26="",$R26="(digite a descrição aqui)")),"DESCRIÇÃO",
IF(AND($C26="S",OR($Q26&lt;&gt;"",$T26&gt;0,$U26&gt;0),$P26=""),"FONTE",
IF(AND($C26="S",$P26&lt;&gt;"",OR($T26&gt;0,$U26&gt;0),$Q26=""),"CÓDIGO",
IF(AND($C26="S",$P26&lt;&gt;"",$Q26&lt;&gt;"",$R26="(Código não identificado nas referências)"),"CÓDIGO N/ID",
IF(AND($C26="S",OR($R26="",$R26="(digite a descrição aqui)"),OR($Q26&lt;&gt;"",$T26&gt;0,$U26&gt;0)),"DESCRIÇÃO",
IF(AND($C26="S",$P26&lt;&gt;"",$Q26&lt;&gt;"",$S26=""),"UNIDADE",
IF(AND($C26="S",$P26&lt;&gt;"",$Q26&lt;&gt;"",$U26=0),"SEM CUSTO",
IF(AND(_xlfn.single(TIPOORCAMENTO)="Licitado",$AL26=0,$AN26&gt;0),"SEM PREÇO",
IF(AND($C26="S",$P26&lt;&gt;"",$Q26&lt;&gt;"",$U26&gt;0,$V26=0),"BDI",
IF(OR(AND(TIPOORCAMENTO="Proposto",LEFT($O$8,5)&lt;&gt;"(N/D:",$AG26&lt;&gt;"",ORÇAMENTO.CustoUnitario&gt;$AG26),AND(TIPOORCAMENTO="LICITADO",ORÇAMENTO.PrecoUnitarioLicitado&gt;$AN26)),"ACIMA REF.",
IF(AND($C26="S",$P26&lt;&gt;"",$Q26&lt;&gt;"",$T26=0,$U26&gt;0),"QUANT.",
IF(AND(Import.TipoArredondamento="TransfereGOV",$L26="F",$C26="S",LEN($Q26)&gt;13),"Código &gt;13",
IF(AND(Import.TipoArredondamento="TransfereGOV",$L26="F",$C26&lt;&gt;"S",LEN($R26)&gt;100),"Descrição &gt;100",
IF(AND(Import.TipoArredondamento="TransfereGOV",$L26="F",$C26="S",LEN($R26)&gt;500),"Descrição &gt;500",
IF(AND(Import.TipoArredondamento="TransfereGOV",$L26="F",$C26="S",LEFT(TRIM(UPPER($P26)),6)&lt;&gt;"SINAPI",ISNA(VLOOKUP(TRIM(UPPER($S26)),ListaTgov.Unidades,1,FALSE()))),"Unid. Não Disp",
" "))))))))))))))))</f>
        <v>#NAME?</v>
      </c>
      <c r="AD26" s="1" t="str">
        <f aca="true">IF(C26&lt;=CRONO.NivelExibicao,MAX($AD$15:OFFSET(AD26,-1,0))+IF($C26&lt;&gt;1,1,MAX(1,COUNTIF(QCI!$A$13:$A$15,OFFSET($E26,-1,0)))),"")</f>
        <v/>
      </c>
      <c r="AE26" s="50" t="str">
        <f aca="false">IF(AND($C26="S",ORÇAMENTO.CodBarra&lt;&gt;""),IF(ORÇAMENTO.Fonte="",ORÇAMENTO.CodBarra,CONCATENATE(ORÇAMENTO.Fonte," ",ORÇAMENTO.CodBarra)))</f>
        <v>SINAPI 90780</v>
      </c>
      <c r="AF26" s="65" t="str">
        <f aca="true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07-2025.xlsm)</v>
      </c>
      <c r="AG26" s="215" t="n">
        <f aca="true">ROUND(IF(DESONERACAO="sim",REFERENCIA.Desonerado,REFERENCIA.NaoDesonerado),2)</f>
        <v>0</v>
      </c>
      <c r="AH26" s="216" t="n">
        <f aca="false">ROUND(IF(ISNUMBER(ORÇAMENTO.OpcaoBDI),ORÇAMENTO.OpcaoBDI,IF(LEFT(ORÇAMENTO.OpcaoBDI,3)="BDI",HLOOKUP(ORÇAMENTO.OpcaoBDI,$F$4:$H$5,2,FALSE()),0)),15-11*$AF$9)</f>
        <v>0.2904</v>
      </c>
      <c r="AJ26" s="217"/>
      <c r="AL26" s="218"/>
      <c r="AM26" s="219" t="n">
        <f aca="false">$X26</f>
        <v>15767.5</v>
      </c>
      <c r="AN26" s="220" t="n">
        <f aca="false">ROUND(ORÇAMENTO.CustoUnitario*(1+$AH26),2)</f>
        <v>126.14</v>
      </c>
    </row>
    <row r="27" customFormat="false" ht="12.75" hidden="false" customHeight="false" outlineLevel="0" collapsed="false">
      <c r="A27" s="1" t="n">
        <f aca="false">CHOOSE(1+LOG(1+2*(ORÇAMENTO.Nivel="Meta")+4*(ORÇAMENTO.Nivel="Nível 2")+8*(ORÇAMENTO.Nivel="Nível 3")+16*(ORÇAMENTO.Nivel="Nível 4")+32*(ORÇAMENTO.Nivel="Serviço"),2),0,1,2,3,4,"S")</f>
        <v>2</v>
      </c>
      <c r="B27" s="1" t="n">
        <f aca="true">IF(OR(C27="s",C27=0),OFFSET(B27,-1,0),C27)</f>
        <v>2</v>
      </c>
      <c r="C27" s="1" t="n">
        <f aca="true">IF(OFFSET(C27,-1,0)="L",1,IF(OFFSET(C27,-1,0)=1,2,IF(OR(A27="s",A27=0),"S",IF(AND(OFFSET(C27,-1,0)=2,A27=4),3,IF(AND(OR(OFFSET(C27,-1,0)="s",OFFSET(C27,-1,0)=0),A27&lt;&gt;"s",A27&gt;OFFSET(B27,-1,0)),OFFSET(B27,-1,0),A27)))))</f>
        <v>2</v>
      </c>
      <c r="D27" s="1" t="n">
        <f aca="false">IF(OR(C27="S",C27=0),0,IF(ISERROR(K27),J27,SMALL(J27:K27,1)))</f>
        <v>1</v>
      </c>
      <c r="E27" s="1" t="n">
        <f aca="true">IF($C27=1,OFFSET(E27,-1,0)+MAX(1,COUNTIF(QCI!$A$13:$A$15,OFFSET(ORÇAMENTO!E27,-1,0))),OFFSET(E27,-1,0))</f>
        <v>1</v>
      </c>
      <c r="F27" s="1" t="n">
        <f aca="true">IF($C27=1,0,IF($C27=2,OFFSET(F27,-1,0)+1,OFFSET(F27,-1,0)))</f>
        <v>3</v>
      </c>
      <c r="G27" s="1" t="n">
        <f aca="true">IF(AND($C27&lt;=2,$C27&lt;&gt;0),0,IF($C27=3,OFFSET(G27,-1,0)+1,OFFSET(G27,-1,0)))</f>
        <v>0</v>
      </c>
      <c r="H27" s="1" t="n">
        <f aca="true">IF(AND($C27&lt;=3,$C27&lt;&gt;0),0,IF($C27=4,OFFSET(H27,-1,0)+1,OFFSET(H27,-1,0)))</f>
        <v>0</v>
      </c>
      <c r="I27" s="1" t="n">
        <f aca="true">IF(AND($C27&lt;=4,$C27&lt;&gt;0),0,IF(AND($C27="S",$X27&gt;0),OFFSET(I27,-1,0)+1,OFFSET(I27,-1,0)))</f>
        <v>0</v>
      </c>
      <c r="J27" s="1" t="n">
        <f aca="true">IF(OR($C27="S",$C27=0),0,MATCH(0,OFFSET($D27,1,$C27,ROW($C$205)-ROW($C27)),0))</f>
        <v>178</v>
      </c>
      <c r="K27" s="1" t="n">
        <f aca="true">IF(OR($C27="S",$C27=0),0,MATCH(OFFSET($D27,0,$C27)+IF($C27&lt;&gt;1,1,COUNTIF(QCI!$A$13:$A$15,ORÇAMENTO!E27)),OFFSET($D27,1,$C27,ROW($C$205)-ROW($C27)),0))</f>
        <v>1</v>
      </c>
      <c r="L27" s="199" t="str">
        <f aca="false">IF(OR($X27&gt;0,$C27=1,$C27=2,$C27=3,$C27=4),"F","")</f>
        <v>F</v>
      </c>
      <c r="M27" s="200" t="s">
        <v>732</v>
      </c>
      <c r="N27" s="201" t="str">
        <f aca="false">CHOOSE(1+LOG(1+2*(C27=1)+4*(C27=2)+8*(C27=3)+16*(C27=4)+32*(C27="S"),2),"","Meta","Nível 2","Nível 3","Nível 4","Serviço")</f>
        <v>Nível 2</v>
      </c>
      <c r="O27" s="202" t="str">
        <f aca="false">IF(OR($C27=0,$L27=""),"-",CONCATENATE(E27&amp;".",IF(AND($A$5&gt;=2,$C27&gt;=2),F27&amp;".",""),IF(AND($A$5&gt;=3,$C27&gt;=3),G27&amp;".",""),IF(AND($A$5&gt;=4,$C27&gt;=4),H27&amp;".",""),IF($C27="S",I27&amp;".","")))</f>
        <v>1.3.</v>
      </c>
      <c r="P27" s="203" t="s">
        <v>780</v>
      </c>
      <c r="Q27" s="204"/>
      <c r="R27" s="205" t="str">
        <f aca="false">[1]PO!$B$12</f>
        <v>FUNDAÇÕES E CONTENÇÕES</v>
      </c>
      <c r="S27" s="206" t="str">
        <f aca="true">REFERENCIA.Unidade</f>
        <v>-</v>
      </c>
      <c r="T27" s="207" t="n">
        <f aca="true">OFFSET(CÁLCULO!H$15,ROW($T27)-ROW(T$15),0)</f>
        <v>0</v>
      </c>
      <c r="U27" s="208"/>
      <c r="V27" s="209" t="s">
        <v>690</v>
      </c>
      <c r="W27" s="207" t="n">
        <f aca="false">IF($C27="S",ROUND(IF(TIPOORCAMENTO="Proposto",ORÇAMENTO.CustoUnitario*(1+$AH27),ORÇAMENTO.PrecoUnitarioLicitado),15-13*$AF$10),0)</f>
        <v>0</v>
      </c>
      <c r="X27" s="210" t="n">
        <f aca="true" t="array" ref="X27:X27">IF($C27="S",IF(OR(Import.TipoArredondamento&lt;&gt;"TransfereGOV",ACOMPANHAMENTO="BM"),VTOTAL1,SUM(OFFSET(CÁLCULO!$AQ$15,ROW($X27)-ROW($X$15),1):OFFSET(CÁLCULO!$BR$15,ROW($X27)-ROW($X$15),-1))),IF($C27=0,0,ROUND(SomaAgrup,15-13*$AF$11)))</f>
        <v>0</v>
      </c>
      <c r="Y27" s="211" t="s">
        <v>781</v>
      </c>
      <c r="Z27" s="1" t="str">
        <f aca="false">IF(AND($C27="S",$X27&gt;0),IF(ISBLANK($Y27),"RA",LEFT($Y27,2)),"")</f>
        <v/>
      </c>
      <c r="AA27" s="212" t="n">
        <f aca="true">IF($C27="S",IF($Z27="CP",$X27,IF($Z27="RA",(($X27)*QCI!$AA$3),0)),SomaAgrup)</f>
        <v>0</v>
      </c>
      <c r="AB27" s="213" t="n">
        <f aca="true">IF($C27="S",IF($Z27="OU",ROUND($X27,2),0),SomaAgrup)</f>
        <v>0</v>
      </c>
      <c r="AC27" s="214" t="e">
        <f aca="false" t="array" ref="AC27:AC27">IF($N27=""," ",
IF(AND($C27&lt;&gt;"S",OR($R27="",$R27="(digite a descrição aqui)")),"DESCRIÇÃO",
IF(AND($C27="S",OR($Q27&lt;&gt;"",$T27&gt;0,$U27&gt;0),$P27=""),"FONTE",
IF(AND($C27="S",$P27&lt;&gt;"",OR($T27&gt;0,$U27&gt;0),$Q27=""),"CÓDIGO",
IF(AND($C27="S",$P27&lt;&gt;"",$Q27&lt;&gt;"",$R27="(Código não identificado nas referências)"),"CÓDIGO N/ID",
IF(AND($C27="S",OR($R27="",$R27="(digite a descrição aqui)"),OR($Q27&lt;&gt;"",$T27&gt;0,$U27&gt;0)),"DESCRIÇÃO",
IF(AND($C27="S",$P27&lt;&gt;"",$Q27&lt;&gt;"",$S27=""),"UNIDADE",
IF(AND($C27="S",$P27&lt;&gt;"",$Q27&lt;&gt;"",$U27=0),"SEM CUSTO",
IF(AND(_xlfn.single(TIPOORCAMENTO)="Licitado",$AL27=0,$AN27&gt;0),"SEM PREÇO",
IF(AND($C27="S",$P27&lt;&gt;"",$Q27&lt;&gt;"",$U27&gt;0,$V27=0),"BDI",
IF(OR(AND(TIPOORCAMENTO="Proposto",LEFT($O$8,5)&lt;&gt;"(N/D:",$AG27&lt;&gt;"",ORÇAMENTO.CustoUnitario&gt;$AG27),AND(TIPOORCAMENTO="LICITADO",ORÇAMENTO.PrecoUnitarioLicitado&gt;$AN27)),"ACIMA REF.",
IF(AND($C27="S",$P27&lt;&gt;"",$Q27&lt;&gt;"",$T27=0,$U27&gt;0),"QUANT.",
IF(AND(Import.TipoArredondamento="TransfereGOV",$L27="F",$C27="S",LEN($Q27)&gt;13),"Código &gt;13",
IF(AND(Import.TipoArredondamento="TransfereGOV",$L27="F",$C27&lt;&gt;"S",LEN($R27)&gt;100),"Descrição &gt;100",
IF(AND(Import.TipoArredondamento="TransfereGOV",$L27="F",$C27="S",LEN($R27)&gt;500),"Descrição &gt;500",
IF(AND(Import.TipoArredondamento="TransfereGOV",$L27="F",$C27="S",LEFT(TRIM(UPPER($P27)),6)&lt;&gt;"SINAPI",ISNA(VLOOKUP(TRIM(UPPER($S27)),ListaTgov.Unidades,1,FALSE()))),"Unid. Não Disp",
" "))))))))))))))))</f>
        <v>#NAME?</v>
      </c>
      <c r="AD27" s="38" t="n">
        <f aca="true">IF(C27&lt;=CRONO.NivelExibicao,MAX($AD$15:OFFSET(AD27,-1,0))+IF($C27&lt;&gt;1,1,MAX(1,COUNTIF(QCI!$A$13:$A$15,OFFSET($E27,-1,0)))),"")</f>
        <v>4</v>
      </c>
      <c r="AE27" s="50" t="b">
        <f aca="false">IF(AND($C27="S",ORÇAMENTO.CodBarra&lt;&gt;""),IF(ORÇAMENTO.Fonte="",ORÇAMENTO.CodBarra,CONCATENATE(ORÇAMENTO.Fonte," ",ORÇAMENTO.CodBarra)))</f>
        <v>0</v>
      </c>
      <c r="AF27" s="65" t="str">
        <f aca="true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07-2025.xlsm)</v>
      </c>
      <c r="AG27" s="215" t="n">
        <f aca="true">ROUND(IF(DESONERACAO="sim",REFERENCIA.Desonerado,REFERENCIA.NaoDesonerado),2)</f>
        <v>0</v>
      </c>
      <c r="AH27" s="216" t="n">
        <f aca="false">ROUND(IF(ISNUMBER(ORÇAMENTO.OpcaoBDI),ORÇAMENTO.OpcaoBDI,IF(LEFT(ORÇAMENTO.OpcaoBDI,3)="BDI",HLOOKUP(ORÇAMENTO.OpcaoBDI,$F$4:$H$5,2,FALSE()),0)),15-11*$AF$9)</f>
        <v>0.2904</v>
      </c>
      <c r="AJ27" s="217"/>
      <c r="AL27" s="218"/>
      <c r="AM27" s="219" t="n">
        <f aca="false">$X27</f>
        <v>0</v>
      </c>
      <c r="AN27" s="220" t="n">
        <f aca="false">ROUND(ORÇAMENTO.CustoUnitario*(1+$AH27),2)</f>
        <v>0</v>
      </c>
    </row>
    <row r="28" customFormat="false" ht="12.75" hidden="false" customHeight="false" outlineLevel="0" collapsed="false">
      <c r="A28" s="1" t="n">
        <f aca="false">CHOOSE(1+LOG(1+2*(ORÇAMENTO.Nivel="Meta")+4*(ORÇAMENTO.Nivel="Nível 2")+8*(ORÇAMENTO.Nivel="Nível 3")+16*(ORÇAMENTO.Nivel="Nível 4")+32*(ORÇAMENTO.Nivel="Serviço"),2),0,1,2,3,4,"S")</f>
        <v>2</v>
      </c>
      <c r="B28" s="1" t="n">
        <f aca="true">IF(OR(C28="s",C28=0),OFFSET(B28,-1,0),C28)</f>
        <v>2</v>
      </c>
      <c r="C28" s="1" t="n">
        <f aca="true">IF(OFFSET(C28,-1,0)="L",1,IF(OFFSET(C28,-1,0)=1,2,IF(OR(A28="s",A28=0),"S",IF(AND(OFFSET(C28,-1,0)=2,A28=4),3,IF(AND(OR(OFFSET(C28,-1,0)="s",OFFSET(C28,-1,0)=0),A28&lt;&gt;"s",A28&gt;OFFSET(B28,-1,0)),OFFSET(B28,-1,0),A28)))))</f>
        <v>2</v>
      </c>
      <c r="D28" s="1" t="n">
        <f aca="false">IF(OR(C28="S",C28=0),0,IF(ISERROR(K28),J28,SMALL(J28:K28,1)))</f>
        <v>1</v>
      </c>
      <c r="E28" s="1" t="n">
        <f aca="true">IF($C28=1,OFFSET(E28,-1,0)+MAX(1,COUNTIF(QCI!$A$13:$A$15,OFFSET(ORÇAMENTO!E28,-1,0))),OFFSET(E28,-1,0))</f>
        <v>1</v>
      </c>
      <c r="F28" s="1" t="n">
        <f aca="true">IF($C28=1,0,IF($C28=2,OFFSET(F28,-1,0)+1,OFFSET(F28,-1,0)))</f>
        <v>4</v>
      </c>
      <c r="G28" s="1" t="n">
        <f aca="true">IF(AND($C28&lt;=2,$C28&lt;&gt;0),0,IF($C28=3,OFFSET(G28,-1,0)+1,OFFSET(G28,-1,0)))</f>
        <v>0</v>
      </c>
      <c r="H28" s="1" t="n">
        <f aca="true">IF(AND($C28&lt;=3,$C28&lt;&gt;0),0,IF($C28=4,OFFSET(H28,-1,0)+1,OFFSET(H28,-1,0)))</f>
        <v>0</v>
      </c>
      <c r="I28" s="1" t="n">
        <f aca="true">IF(AND($C28&lt;=4,$C28&lt;&gt;0),0,IF(AND($C28="S",$X28&gt;0),OFFSET(I28,-1,0)+1,OFFSET(I28,-1,0)))</f>
        <v>0</v>
      </c>
      <c r="J28" s="1" t="n">
        <f aca="true">IF(OR($C28="S",$C28=0),0,MATCH(0,OFFSET($D28,1,$C28,ROW($C$205)-ROW($C28)),0))</f>
        <v>177</v>
      </c>
      <c r="K28" s="1" t="n">
        <f aca="true">IF(OR($C28="S",$C28=0),0,MATCH(OFFSET($D28,0,$C28)+IF($C28&lt;&gt;1,1,COUNTIF(QCI!$A$13:$A$15,ORÇAMENTO!E28)),OFFSET($D28,1,$C28,ROW($C$205)-ROW($C28)),0))</f>
        <v>1</v>
      </c>
      <c r="L28" s="199" t="str">
        <f aca="false">IF(OR($X28&gt;0,$C28=1,$C28=2,$C28=3,$C28=4),"F","")</f>
        <v>F</v>
      </c>
      <c r="M28" s="200" t="s">
        <v>732</v>
      </c>
      <c r="N28" s="201" t="str">
        <f aca="false">CHOOSE(1+LOG(1+2*(C28=1)+4*(C28=2)+8*(C28=3)+16*(C28=4)+32*(C28="S"),2),"","Meta","Nível 2","Nível 3","Nível 4","Serviço")</f>
        <v>Nível 2</v>
      </c>
      <c r="O28" s="202" t="str">
        <f aca="false">IF(OR($C28=0,$L28=""),"-",CONCATENATE(E28&amp;".",IF(AND($A$5&gt;=2,$C28&gt;=2),F28&amp;".",""),IF(AND($A$5&gt;=3,$C28&gt;=3),G28&amp;".",""),IF(AND($A$5&gt;=4,$C28&gt;=4),H28&amp;".",""),IF($C28="S",I28&amp;".","")))</f>
        <v>1.4.</v>
      </c>
      <c r="P28" s="203" t="s">
        <v>780</v>
      </c>
      <c r="Q28" s="204"/>
      <c r="R28" s="205" t="str">
        <f aca="false">[1]PO!$B$13</f>
        <v>FUNDAÇÕES</v>
      </c>
      <c r="S28" s="206" t="str">
        <f aca="true">REFERENCIA.Unidade</f>
        <v>-</v>
      </c>
      <c r="T28" s="207" t="n">
        <f aca="true">OFFSET(CÁLCULO!H$15,ROW($T28)-ROW(T$15),0)</f>
        <v>0</v>
      </c>
      <c r="U28" s="208"/>
      <c r="V28" s="209" t="s">
        <v>690</v>
      </c>
      <c r="W28" s="207" t="n">
        <f aca="false">IF($C28="S",ROUND(IF(TIPOORCAMENTO="Proposto",ORÇAMENTO.CustoUnitario*(1+$AH28),ORÇAMENTO.PrecoUnitarioLicitado),15-13*$AF$10),0)</f>
        <v>0</v>
      </c>
      <c r="X28" s="210" t="n">
        <f aca="true" t="array" ref="X28:X28">IF($C28="S",IF(OR(Import.TipoArredondamento&lt;&gt;"TransfereGOV",ACOMPANHAMENTO="BM"),VTOTAL1,SUM(OFFSET(CÁLCULO!$AQ$15,ROW($X28)-ROW($X$15),1):OFFSET(CÁLCULO!$BR$15,ROW($X28)-ROW($X$15),-1))),IF($C28=0,0,ROUND(SomaAgrup,15-13*$AF$11)))</f>
        <v>0</v>
      </c>
      <c r="Y28" s="211" t="s">
        <v>781</v>
      </c>
      <c r="Z28" s="1" t="str">
        <f aca="false">IF(AND($C28="S",$X28&gt;0),IF(ISBLANK($Y28),"RA",LEFT($Y28,2)),"")</f>
        <v/>
      </c>
      <c r="AA28" s="212" t="n">
        <f aca="true">IF($C28="S",IF($Z28="CP",$X28,IF($Z28="RA",(($X28)*QCI!$AA$3),0)),SomaAgrup)</f>
        <v>0</v>
      </c>
      <c r="AB28" s="213" t="n">
        <f aca="true">IF($C28="S",IF($Z28="OU",ROUND($X28,2),0),SomaAgrup)</f>
        <v>0</v>
      </c>
      <c r="AC28" s="214" t="e">
        <f aca="false" t="array" ref="AC28:AC28">IF($N28=""," ",
IF(AND($C28&lt;&gt;"S",OR($R28="",$R28="(digite a descrição aqui)")),"DESCRIÇÃO",
IF(AND($C28="S",OR($Q28&lt;&gt;"",$T28&gt;0,$U28&gt;0),$P28=""),"FONTE",
IF(AND($C28="S",$P28&lt;&gt;"",OR($T28&gt;0,$U28&gt;0),$Q28=""),"CÓDIGO",
IF(AND($C28="S",$P28&lt;&gt;"",$Q28&lt;&gt;"",$R28="(Código não identificado nas referências)"),"CÓDIGO N/ID",
IF(AND($C28="S",OR($R28="",$R28="(digite a descrição aqui)"),OR($Q28&lt;&gt;"",$T28&gt;0,$U28&gt;0)),"DESCRIÇÃO",
IF(AND($C28="S",$P28&lt;&gt;"",$Q28&lt;&gt;"",$S28=""),"UNIDADE",
IF(AND($C28="S",$P28&lt;&gt;"",$Q28&lt;&gt;"",$U28=0),"SEM CUSTO",
IF(AND(_xlfn.single(TIPOORCAMENTO)="Licitado",$AL28=0,$AN28&gt;0),"SEM PREÇO",
IF(AND($C28="S",$P28&lt;&gt;"",$Q28&lt;&gt;"",$U28&gt;0,$V28=0),"BDI",
IF(OR(AND(TIPOORCAMENTO="Proposto",LEFT($O$8,5)&lt;&gt;"(N/D:",$AG28&lt;&gt;"",ORÇAMENTO.CustoUnitario&gt;$AG28),AND(TIPOORCAMENTO="LICITADO",ORÇAMENTO.PrecoUnitarioLicitado&gt;$AN28)),"ACIMA REF.",
IF(AND($C28="S",$P28&lt;&gt;"",$Q28&lt;&gt;"",$T28=0,$U28&gt;0),"QUANT.",
IF(AND(Import.TipoArredondamento="TransfereGOV",$L28="F",$C28="S",LEN($Q28)&gt;13),"Código &gt;13",
IF(AND(Import.TipoArredondamento="TransfereGOV",$L28="F",$C28&lt;&gt;"S",LEN($R28)&gt;100),"Descrição &gt;100",
IF(AND(Import.TipoArredondamento="TransfereGOV",$L28="F",$C28="S",LEN($R28)&gt;500),"Descrição &gt;500",
IF(AND(Import.TipoArredondamento="TransfereGOV",$L28="F",$C28="S",LEFT(TRIM(UPPER($P28)),6)&lt;&gt;"SINAPI",ISNA(VLOOKUP(TRIM(UPPER($S28)),ListaTgov.Unidades,1,FALSE()))),"Unid. Não Disp",
" "))))))))))))))))</f>
        <v>#NAME?</v>
      </c>
      <c r="AD28" s="38" t="n">
        <f aca="true">IF(C28&lt;=CRONO.NivelExibicao,MAX($AD$15:OFFSET(AD28,-1,0))+IF($C28&lt;&gt;1,1,MAX(1,COUNTIF(QCI!$A$13:$A$15,OFFSET($E28,-1,0)))),"")</f>
        <v>5</v>
      </c>
      <c r="AE28" s="50" t="b">
        <f aca="false">IF(AND($C28="S",ORÇAMENTO.CodBarra&lt;&gt;""),IF(ORÇAMENTO.Fonte="",ORÇAMENTO.CodBarra,CONCATENATE(ORÇAMENTO.Fonte," ",ORÇAMENTO.CodBarra)))</f>
        <v>0</v>
      </c>
      <c r="AF28" s="65" t="str">
        <f aca="true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07-2025.xlsm)</v>
      </c>
      <c r="AG28" s="215" t="n">
        <f aca="true">ROUND(IF(DESONERACAO="sim",REFERENCIA.Desonerado,REFERENCIA.NaoDesonerado),2)</f>
        <v>0</v>
      </c>
      <c r="AH28" s="216" t="n">
        <f aca="false">ROUND(IF(ISNUMBER(ORÇAMENTO.OpcaoBDI),ORÇAMENTO.OpcaoBDI,IF(LEFT(ORÇAMENTO.OpcaoBDI,3)="BDI",HLOOKUP(ORÇAMENTO.OpcaoBDI,$F$4:$H$5,2,FALSE()),0)),15-11*$AF$9)</f>
        <v>0.2904</v>
      </c>
      <c r="AJ28" s="217"/>
      <c r="AL28" s="218"/>
      <c r="AM28" s="219" t="n">
        <f aca="false">$X28</f>
        <v>0</v>
      </c>
      <c r="AN28" s="220" t="n">
        <f aca="false">ROUND(ORÇAMENTO.CustoUnitario*(1+$AH28),2)</f>
        <v>0</v>
      </c>
    </row>
    <row r="29" customFormat="false" ht="12.75" hidden="false" customHeight="false" outlineLevel="0" collapsed="false">
      <c r="A29" s="1" t="n">
        <f aca="false">CHOOSE(1+LOG(1+2*(ORÇAMENTO.Nivel="Meta")+4*(ORÇAMENTO.Nivel="Nível 2")+8*(ORÇAMENTO.Nivel="Nível 3")+16*(ORÇAMENTO.Nivel="Nível 4")+32*(ORÇAMENTO.Nivel="Serviço"),2),0,1,2,3,4,"S")</f>
        <v>2</v>
      </c>
      <c r="B29" s="1" t="n">
        <f aca="true">IF(OR(C29="s",C29=0),OFFSET(B29,-1,0),C29)</f>
        <v>2</v>
      </c>
      <c r="C29" s="1" t="n">
        <f aca="true">IF(OFFSET(C29,-1,0)="L",1,IF(OFFSET(C29,-1,0)=1,2,IF(OR(A29="s",A29=0),"S",IF(AND(OFFSET(C29,-1,0)=2,A29=4),3,IF(AND(OR(OFFSET(C29,-1,0)="s",OFFSET(C29,-1,0)=0),A29&lt;&gt;"s",A29&gt;OFFSET(B29,-1,0)),OFFSET(B29,-1,0),A29)))))</f>
        <v>2</v>
      </c>
      <c r="D29" s="1" t="n">
        <f aca="false">IF(OR(C29="S",C29=0),0,IF(ISERROR(K29),J29,SMALL(J29:K29,1)))</f>
        <v>10</v>
      </c>
      <c r="E29" s="1" t="n">
        <f aca="true">IF($C29=1,OFFSET(E29,-1,0)+MAX(1,COUNTIF(QCI!$A$13:$A$15,OFFSET(ORÇAMENTO!E29,-1,0))),OFFSET(E29,-1,0))</f>
        <v>1</v>
      </c>
      <c r="F29" s="1" t="n">
        <f aca="true">IF($C29=1,0,IF($C29=2,OFFSET(F29,-1,0)+1,OFFSET(F29,-1,0)))</f>
        <v>5</v>
      </c>
      <c r="G29" s="1" t="n">
        <f aca="true">IF(AND($C29&lt;=2,$C29&lt;&gt;0),0,IF($C29=3,OFFSET(G29,-1,0)+1,OFFSET(G29,-1,0)))</f>
        <v>0</v>
      </c>
      <c r="H29" s="1" t="n">
        <f aca="true">IF(AND($C29&lt;=3,$C29&lt;&gt;0),0,IF($C29=4,OFFSET(H29,-1,0)+1,OFFSET(H29,-1,0)))</f>
        <v>0</v>
      </c>
      <c r="I29" s="1" t="n">
        <f aca="true">IF(AND($C29&lt;=4,$C29&lt;&gt;0),0,IF(AND($C29="S",$X29&gt;0),OFFSET(I29,-1,0)+1,OFFSET(I29,-1,0)))</f>
        <v>0</v>
      </c>
      <c r="J29" s="1" t="n">
        <f aca="true">IF(OR($C29="S",$C29=0),0,MATCH(0,OFFSET($D29,1,$C29,ROW($C$205)-ROW($C29)),0))</f>
        <v>176</v>
      </c>
      <c r="K29" s="1" t="n">
        <f aca="true">IF(OR($C29="S",$C29=0),0,MATCH(OFFSET($D29,0,$C29)+IF($C29&lt;&gt;1,1,COUNTIF(QCI!$A$13:$A$15,ORÇAMENTO!E29)),OFFSET($D29,1,$C29,ROW($C$205)-ROW($C29)),0))</f>
        <v>10</v>
      </c>
      <c r="L29" s="199" t="str">
        <f aca="false">IF(OR($X29&gt;0,$C29=1,$C29=2,$C29=3,$C29=4),"F","")</f>
        <v>F</v>
      </c>
      <c r="M29" s="200" t="s">
        <v>732</v>
      </c>
      <c r="N29" s="201" t="str">
        <f aca="false">CHOOSE(1+LOG(1+2*(C29=1)+4*(C29=2)+8*(C29=3)+16*(C29=4)+32*(C29="S"),2),"","Meta","Nível 2","Nível 3","Nível 4","Serviço")</f>
        <v>Nível 2</v>
      </c>
      <c r="O29" s="202" t="str">
        <f aca="false">IF(OR($C29=0,$L29=""),"-",CONCATENATE(E29&amp;".",IF(AND($A$5&gt;=2,$C29&gt;=2),F29&amp;".",""),IF(AND($A$5&gt;=3,$C29&gt;=3),G29&amp;".",""),IF(AND($A$5&gt;=4,$C29&gt;=4),H29&amp;".",""),IF($C29="S",I29&amp;".","")))</f>
        <v>1.5.</v>
      </c>
      <c r="P29" s="203" t="s">
        <v>780</v>
      </c>
      <c r="Q29" s="204"/>
      <c r="R29" s="205" t="str">
        <f aca="false">[1]PO!$B$14</f>
        <v>SAPATA</v>
      </c>
      <c r="S29" s="206" t="str">
        <f aca="true">REFERENCIA.Unidade</f>
        <v>-</v>
      </c>
      <c r="T29" s="207" t="n">
        <f aca="true">OFFSET(CÁLCULO!H$15,ROW($T29)-ROW(T$15),0)</f>
        <v>0</v>
      </c>
      <c r="U29" s="208"/>
      <c r="V29" s="209" t="s">
        <v>690</v>
      </c>
      <c r="W29" s="207" t="n">
        <f aca="false">IF($C29="S",ROUND(IF(TIPOORCAMENTO="Proposto",ORÇAMENTO.CustoUnitario*(1+$AH29),ORÇAMENTO.PrecoUnitarioLicitado),15-13*$AF$10),0)</f>
        <v>0</v>
      </c>
      <c r="X29" s="210" t="n">
        <f aca="true" t="array" ref="X29:X29">IF($C29="S",IF(OR(Import.TipoArredondamento&lt;&gt;"TransfereGOV",ACOMPANHAMENTO="BM"),VTOTAL1,SUM(OFFSET(CÁLCULO!$AQ$15,ROW($X29)-ROW($X$15),1):OFFSET(CÁLCULO!$BR$15,ROW($X29)-ROW($X$15),-1))),IF($C29=0,0,ROUND(SomaAgrup,15-13*$AF$11)))</f>
        <v>297963.25</v>
      </c>
      <c r="Y29" s="211" t="s">
        <v>781</v>
      </c>
      <c r="Z29" s="1" t="str">
        <f aca="false">IF(AND($C29="S",$X29&gt;0),IF(ISBLANK($Y29),"RA",LEFT($Y29,2)),"")</f>
        <v/>
      </c>
      <c r="AA29" s="212" t="n">
        <f aca="true">IF($C29="S",IF($Z29="CP",$X29,IF($Z29="RA",(($X29)*QCI!$AA$3),0)),SomaAgrup)</f>
        <v>33068.4163445748</v>
      </c>
      <c r="AB29" s="213" t="n">
        <f aca="true">IF($C29="S",IF($Z29="OU",ROUND($X29,2),0),SomaAgrup)</f>
        <v>0</v>
      </c>
      <c r="AC29" s="214" t="e">
        <f aca="false" t="array" ref="AC29:AC29">IF($N29=""," ",
IF(AND($C29&lt;&gt;"S",OR($R29="",$R29="(digite a descrição aqui)")),"DESCRIÇÃO",
IF(AND($C29="S",OR($Q29&lt;&gt;"",$T29&gt;0,$U29&gt;0),$P29=""),"FONTE",
IF(AND($C29="S",$P29&lt;&gt;"",OR($T29&gt;0,$U29&gt;0),$Q29=""),"CÓDIGO",
IF(AND($C29="S",$P29&lt;&gt;"",$Q29&lt;&gt;"",$R29="(Código não identificado nas referências)"),"CÓDIGO N/ID",
IF(AND($C29="S",OR($R29="",$R29="(digite a descrição aqui)"),OR($Q29&lt;&gt;"",$T29&gt;0,$U29&gt;0)),"DESCRIÇÃO",
IF(AND($C29="S",$P29&lt;&gt;"",$Q29&lt;&gt;"",$S29=""),"UNIDADE",
IF(AND($C29="S",$P29&lt;&gt;"",$Q29&lt;&gt;"",$U29=0),"SEM CUSTO",
IF(AND(_xlfn.single(TIPOORCAMENTO)="Licitado",$AL29=0,$AN29&gt;0),"SEM PREÇO",
IF(AND($C29="S",$P29&lt;&gt;"",$Q29&lt;&gt;"",$U29&gt;0,$V29=0),"BDI",
IF(OR(AND(TIPOORCAMENTO="Proposto",LEFT($O$8,5)&lt;&gt;"(N/D:",$AG29&lt;&gt;"",ORÇAMENTO.CustoUnitario&gt;$AG29),AND(TIPOORCAMENTO="LICITADO",ORÇAMENTO.PrecoUnitarioLicitado&gt;$AN29)),"ACIMA REF.",
IF(AND($C29="S",$P29&lt;&gt;"",$Q29&lt;&gt;"",$T29=0,$U29&gt;0),"QUANT.",
IF(AND(Import.TipoArredondamento="TransfereGOV",$L29="F",$C29="S",LEN($Q29)&gt;13),"Código &gt;13",
IF(AND(Import.TipoArredondamento="TransfereGOV",$L29="F",$C29&lt;&gt;"S",LEN($R29)&gt;100),"Descrição &gt;100",
IF(AND(Import.TipoArredondamento="TransfereGOV",$L29="F",$C29="S",LEN($R29)&gt;500),"Descrição &gt;500",
IF(AND(Import.TipoArredondamento="TransfereGOV",$L29="F",$C29="S",LEFT(TRIM(UPPER($P29)),6)&lt;&gt;"SINAPI",ISNA(VLOOKUP(TRIM(UPPER($S29)),ListaTgov.Unidades,1,FALSE()))),"Unid. Não Disp",
" "))))))))))))))))</f>
        <v>#NAME?</v>
      </c>
      <c r="AD29" s="38" t="n">
        <f aca="true">IF(C29&lt;=CRONO.NivelExibicao,MAX($AD$15:OFFSET(AD29,-1,0))+IF($C29&lt;&gt;1,1,MAX(1,COUNTIF(QCI!$A$13:$A$15,OFFSET($E29,-1,0)))),"")</f>
        <v>6</v>
      </c>
      <c r="AE29" s="50" t="b">
        <f aca="false">IF(AND($C29="S",ORÇAMENTO.CodBarra&lt;&gt;""),IF(ORÇAMENTO.Fonte="",ORÇAMENTO.CodBarra,CONCATENATE(ORÇAMENTO.Fonte," ",ORÇAMENTO.CodBarra)))</f>
        <v>0</v>
      </c>
      <c r="AF29" s="65" t="str">
        <f aca="true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07-2025.xlsm)</v>
      </c>
      <c r="AG29" s="215" t="n">
        <f aca="true">ROUND(IF(DESONERACAO="sim",REFERENCIA.Desonerado,REFERENCIA.NaoDesonerado),2)</f>
        <v>0</v>
      </c>
      <c r="AH29" s="216" t="n">
        <f aca="false">ROUND(IF(ISNUMBER(ORÇAMENTO.OpcaoBDI),ORÇAMENTO.OpcaoBDI,IF(LEFT(ORÇAMENTO.OpcaoBDI,3)="BDI",HLOOKUP(ORÇAMENTO.OpcaoBDI,$F$4:$H$5,2,FALSE()),0)),15-11*$AF$9)</f>
        <v>0.2904</v>
      </c>
      <c r="AJ29" s="217"/>
      <c r="AL29" s="218"/>
      <c r="AM29" s="219" t="n">
        <f aca="false">$X29</f>
        <v>297963.25</v>
      </c>
      <c r="AN29" s="220" t="n">
        <f aca="false">ROUND(ORÇAMENTO.CustoUnitario*(1+$AH29),2)</f>
        <v>0</v>
      </c>
    </row>
    <row r="30" customFormat="false" ht="35.05" hidden="false" customHeight="false" outlineLevel="0" collapsed="false">
      <c r="A30" s="1" t="str">
        <f aca="false">CHOOSE(1+LOG(1+2*(ORÇAMENTO.Nivel="Meta")+4*(ORÇAMENTO.Nivel="Nível 2")+8*(ORÇAMENTO.Nivel="Nível 3")+16*(ORÇAMENTO.Nivel="Nível 4")+32*(ORÇAMENTO.Nivel="Serviço"),2),0,1,2,3,4,"S")</f>
        <v>S</v>
      </c>
      <c r="B30" s="1" t="n">
        <f aca="true">IF(OR(C30="s",C30=0),OFFSET(B30,-1,0),C30)</f>
        <v>2</v>
      </c>
      <c r="C30" s="1" t="str">
        <f aca="true">IF(OFFSET(C30,-1,0)="L",1,IF(OFFSET(C30,-1,0)=1,2,IF(OR(A30="s",A30=0),"S",IF(AND(OFFSET(C30,-1,0)=2,A30=4),3,IF(AND(OR(OFFSET(C30,-1,0)="s",OFFSET(C30,-1,0)=0),A30&lt;&gt;"s",A30&gt;OFFSET(B30,-1,0)),OFFSET(B30,-1,0),A30)))))</f>
        <v>S</v>
      </c>
      <c r="D30" s="1" t="n">
        <f aca="false">IF(OR(C30="S",C30=0),0,IF(ISERROR(K30),J30,SMALL(J30:K30,1)))</f>
        <v>0</v>
      </c>
      <c r="E30" s="1" t="n">
        <f aca="true">IF($C30=1,OFFSET(E30,-1,0)+MAX(1,COUNTIF(QCI!$A$13:$A$15,OFFSET(ORÇAMENTO!E30,-1,0))),OFFSET(E30,-1,0))</f>
        <v>1</v>
      </c>
      <c r="F30" s="1" t="n">
        <f aca="true">IF($C30=1,0,IF($C30=2,OFFSET(F30,-1,0)+1,OFFSET(F30,-1,0)))</f>
        <v>5</v>
      </c>
      <c r="G30" s="1" t="n">
        <f aca="true">IF(AND($C30&lt;=2,$C30&lt;&gt;0),0,IF($C30=3,OFFSET(G30,-1,0)+1,OFFSET(G30,-1,0)))</f>
        <v>0</v>
      </c>
      <c r="H30" s="1" t="n">
        <f aca="true">IF(AND($C30&lt;=3,$C30&lt;&gt;0),0,IF($C30=4,OFFSET(H30,-1,0)+1,OFFSET(H30,-1,0)))</f>
        <v>0</v>
      </c>
      <c r="I30" s="1" t="n">
        <f aca="true">IF(AND($C30&lt;=4,$C30&lt;&gt;0),0,IF(AND($C30="S",$X30&gt;0),OFFSET(I30,-1,0)+1,OFFSET(I30,-1,0)))</f>
        <v>1</v>
      </c>
      <c r="J30" s="1" t="n">
        <f aca="true">IF(OR($C30="S",$C30=0),0,MATCH(0,OFFSET($D30,1,$C30,ROW($C$205)-ROW($C30)),0))</f>
        <v>0</v>
      </c>
      <c r="K30" s="1" t="n">
        <f aca="true">IF(OR($C30="S",$C30=0),0,MATCH(OFFSET($D30,0,$C30)+IF($C30&lt;&gt;1,1,COUNTIF(QCI!$A$13:$A$15,ORÇAMENTO!E30)),OFFSET($D30,1,$C30,ROW($C$205)-ROW($C30)),0))</f>
        <v>0</v>
      </c>
      <c r="L30" s="199" t="str">
        <f aca="false">IF(OR($X30&gt;0,$C30=1,$C30=2,$C30=3,$C30=4),"F","")</f>
        <v>F</v>
      </c>
      <c r="M30" s="200" t="s">
        <v>735</v>
      </c>
      <c r="N30" s="201" t="str">
        <f aca="false">CHOOSE(1+LOG(1+2*(C30=1)+4*(C30=2)+8*(C30=3)+16*(C30=4)+32*(C30="S"),2),"","Meta","Nível 2","Nível 3","Nível 4","Serviço")</f>
        <v>Serviço</v>
      </c>
      <c r="O30" s="202" t="str">
        <f aca="false">IF(OR($C30=0,$L30=""),"-",CONCATENATE(E30&amp;".",IF(AND($A$5&gt;=2,$C30&gt;=2),F30&amp;".",""),IF(AND($A$5&gt;=3,$C30&gt;=3),G30&amp;".",""),IF(AND($A$5&gt;=4,$C30&gt;=4),H30&amp;".",""),IF($C30="S",I30&amp;".","")))</f>
        <v>1.5.1.</v>
      </c>
      <c r="P30" s="203" t="s">
        <v>780</v>
      </c>
      <c r="Q30" s="204" t="n">
        <v>96521</v>
      </c>
      <c r="R30" s="205" t="str">
        <f aca="false">[1]PO!$D$15</f>
        <v>ESCAVAÇÃO MECANIZADA PARA BLOCO DE COROAMENTO OU SAPATA COM RETROESCAVADEIRA (INCLUINDO ESCAVAÇÃO PARA COLOCAÇÃO DE FÔRMAS). AF_01/2024</v>
      </c>
      <c r="S30" s="206" t="s">
        <v>652</v>
      </c>
      <c r="T30" s="207" t="n">
        <f aca="true">OFFSET(CÁLCULO!H$15,ROW($T30)-ROW(T$15),0)</f>
        <v>384</v>
      </c>
      <c r="U30" s="208" t="n">
        <f aca="false">[2]PO!$G$15</f>
        <v>42.43</v>
      </c>
      <c r="V30" s="209" t="s">
        <v>690</v>
      </c>
      <c r="W30" s="207" t="n">
        <f aca="false">IF($C30="S",ROUND(IF(TIPOORCAMENTO="Proposto",ORÇAMENTO.CustoUnitario*(1+$AH30),ORÇAMENTO.PrecoUnitarioLicitado),15-13*$AF$10),0)</f>
        <v>54.75</v>
      </c>
      <c r="X30" s="210" t="n">
        <f aca="true" t="array" ref="X30:X30">IF($C30="S",IF(OR(Import.TipoArredondamento&lt;&gt;"TransfereGOV",ACOMPANHAMENTO="BM"),VTOTAL1,SUM(OFFSET(CÁLCULO!$AQ$15,ROW($X30)-ROW($X$15),1):OFFSET(CÁLCULO!$BR$15,ROW($X30)-ROW($X$15),-1))),IF($C30=0,0,ROUND(SomaAgrup,15-13*$AF$11)))</f>
        <v>21024</v>
      </c>
      <c r="Y30" s="211" t="s">
        <v>781</v>
      </c>
      <c r="Z30" s="1" t="str">
        <f aca="false">IF(AND($C30="S",$X30&gt;0),IF(ISBLANK($Y30),"RA",LEFT($Y30,2)),"")</f>
        <v>RA</v>
      </c>
      <c r="AA30" s="212" t="n">
        <f aca="true">IF($C30="S",IF($Z30="CP",$X30,IF($Z30="RA",(($X30)*QCI!$AA$3),0)),SomaAgrup)</f>
        <v>2333.2756144536</v>
      </c>
      <c r="AB30" s="213" t="n">
        <f aca="true">IF($C30="S",IF($Z30="OU",ROUND($X30,2),0),SomaAgrup)</f>
        <v>0</v>
      </c>
      <c r="AC30" s="214" t="e">
        <f aca="false" t="array" ref="AC30:AC30">IF($N30=""," ",
IF(AND($C30&lt;&gt;"S",OR($R30="",$R30="(digite a descrição aqui)")),"DESCRIÇÃO",
IF(AND($C30="S",OR($Q30&lt;&gt;"",$T30&gt;0,$U30&gt;0),$P30=""),"FONTE",
IF(AND($C30="S",$P30&lt;&gt;"",OR($T30&gt;0,$U30&gt;0),$Q30=""),"CÓDIGO",
IF(AND($C30="S",$P30&lt;&gt;"",$Q30&lt;&gt;"",$R30="(Código não identificado nas referências)"),"CÓDIGO N/ID",
IF(AND($C30="S",OR($R30="",$R30="(digite a descrição aqui)"),OR($Q30&lt;&gt;"",$T30&gt;0,$U30&gt;0)),"DESCRIÇÃO",
IF(AND($C30="S",$P30&lt;&gt;"",$Q30&lt;&gt;"",$S30=""),"UNIDADE",
IF(AND($C30="S",$P30&lt;&gt;"",$Q30&lt;&gt;"",$U30=0),"SEM CUSTO",
IF(AND(_xlfn.single(TIPOORCAMENTO)="Licitado",$AL30=0,$AN30&gt;0),"SEM PREÇO",
IF(AND($C30="S",$P30&lt;&gt;"",$Q30&lt;&gt;"",$U30&gt;0,$V30=0),"BDI",
IF(OR(AND(TIPOORCAMENTO="Proposto",LEFT($O$8,5)&lt;&gt;"(N/D:",$AG30&lt;&gt;"",ORÇAMENTO.CustoUnitario&gt;$AG30),AND(TIPOORCAMENTO="LICITADO",ORÇAMENTO.PrecoUnitarioLicitado&gt;$AN30)),"ACIMA REF.",
IF(AND($C30="S",$P30&lt;&gt;"",$Q30&lt;&gt;"",$T30=0,$U30&gt;0),"QUANT.",
IF(AND(Import.TipoArredondamento="TransfereGOV",$L30="F",$C30="S",LEN($Q30)&gt;13),"Código &gt;13",
IF(AND(Import.TipoArredondamento="TransfereGOV",$L30="F",$C30&lt;&gt;"S",LEN($R30)&gt;100),"Descrição &gt;100",
IF(AND(Import.TipoArredondamento="TransfereGOV",$L30="F",$C30="S",LEN($R30)&gt;500),"Descrição &gt;500",
IF(AND(Import.TipoArredondamento="TransfereGOV",$L30="F",$C30="S",LEFT(TRIM(UPPER($P30)),6)&lt;&gt;"SINAPI",ISNA(VLOOKUP(TRIM(UPPER($S30)),ListaTgov.Unidades,1,FALSE()))),"Unid. Não Disp",
" "))))))))))))))))</f>
        <v>#NAME?</v>
      </c>
      <c r="AD30" s="1" t="str">
        <f aca="true">IF(C30&lt;=CRONO.NivelExibicao,MAX($AD$15:OFFSET(AD30,-1,0))+IF($C30&lt;&gt;1,1,MAX(1,COUNTIF(QCI!$A$13:$A$15,OFFSET($E30,-1,0)))),"")</f>
        <v/>
      </c>
      <c r="AE30" s="50" t="str">
        <f aca="false">IF(AND($C30="S",ORÇAMENTO.CodBarra&lt;&gt;""),IF(ORÇAMENTO.Fonte="",ORÇAMENTO.CodBarra,CONCATENATE(ORÇAMENTO.Fonte," ",ORÇAMENTO.CodBarra)))</f>
        <v>SINAPI 96521</v>
      </c>
      <c r="AF30" s="65" t="str">
        <f aca="true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07-2025.xlsm)</v>
      </c>
      <c r="AG30" s="215" t="n">
        <f aca="true">ROUND(IF(DESONERACAO="sim",REFERENCIA.Desonerado,REFERENCIA.NaoDesonerado),2)</f>
        <v>0</v>
      </c>
      <c r="AH30" s="216" t="n">
        <f aca="false">ROUND(IF(ISNUMBER(ORÇAMENTO.OpcaoBDI),ORÇAMENTO.OpcaoBDI,IF(LEFT(ORÇAMENTO.OpcaoBDI,3)="BDI",HLOOKUP(ORÇAMENTO.OpcaoBDI,$F$4:$H$5,2,FALSE()),0)),15-11*$AF$9)</f>
        <v>0.2904</v>
      </c>
      <c r="AJ30" s="217"/>
      <c r="AL30" s="218"/>
      <c r="AM30" s="219" t="n">
        <f aca="false">$X30</f>
        <v>21024</v>
      </c>
      <c r="AN30" s="220" t="n">
        <f aca="false">ROUND(ORÇAMENTO.CustoUnitario*(1+$AH30),2)</f>
        <v>54.75</v>
      </c>
    </row>
    <row r="31" customFormat="false" ht="23.85" hidden="false" customHeight="false" outlineLevel="0" collapsed="false">
      <c r="A31" s="1" t="str">
        <f aca="false">CHOOSE(1+LOG(1+2*(ORÇAMENTO.Nivel="Meta")+4*(ORÇAMENTO.Nivel="Nível 2")+8*(ORÇAMENTO.Nivel="Nível 3")+16*(ORÇAMENTO.Nivel="Nível 4")+32*(ORÇAMENTO.Nivel="Serviço"),2),0,1,2,3,4,"S")</f>
        <v>S</v>
      </c>
      <c r="B31" s="1" t="n">
        <f aca="true">IF(OR(C31="s",C31=0),OFFSET(B31,-1,0),C31)</f>
        <v>2</v>
      </c>
      <c r="C31" s="1" t="str">
        <f aca="true">IF(OFFSET(C31,-1,0)="L",1,IF(OFFSET(C31,-1,0)=1,2,IF(OR(A31="s",A31=0),"S",IF(AND(OFFSET(C31,-1,0)=2,A31=4),3,IF(AND(OR(OFFSET(C31,-1,0)="s",OFFSET(C31,-1,0)=0),A31&lt;&gt;"s",A31&gt;OFFSET(B31,-1,0)),OFFSET(B31,-1,0),A31)))))</f>
        <v>S</v>
      </c>
      <c r="D31" s="1" t="n">
        <f aca="false">IF(OR(C31="S",C31=0),0,IF(ISERROR(K31),J31,SMALL(J31:K31,1)))</f>
        <v>0</v>
      </c>
      <c r="E31" s="1" t="n">
        <f aca="true">IF($C31=1,OFFSET(E31,-1,0)+MAX(1,COUNTIF(QCI!$A$13:$A$15,OFFSET(ORÇAMENTO!E31,-1,0))),OFFSET(E31,-1,0))</f>
        <v>1</v>
      </c>
      <c r="F31" s="1" t="n">
        <f aca="true">IF($C31=1,0,IF($C31=2,OFFSET(F31,-1,0)+1,OFFSET(F31,-1,0)))</f>
        <v>5</v>
      </c>
      <c r="G31" s="1" t="n">
        <f aca="true">IF(AND($C31&lt;=2,$C31&lt;&gt;0),0,IF($C31=3,OFFSET(G31,-1,0)+1,OFFSET(G31,-1,0)))</f>
        <v>0</v>
      </c>
      <c r="H31" s="1" t="n">
        <f aca="true">IF(AND($C31&lt;=3,$C31&lt;&gt;0),0,IF($C31=4,OFFSET(H31,-1,0)+1,OFFSET(H31,-1,0)))</f>
        <v>0</v>
      </c>
      <c r="I31" s="1" t="n">
        <f aca="true">IF(AND($C31&lt;=4,$C31&lt;&gt;0),0,IF(AND($C31="S",$X31&gt;0),OFFSET(I31,-1,0)+1,OFFSET(I31,-1,0)))</f>
        <v>2</v>
      </c>
      <c r="J31" s="1" t="n">
        <f aca="true">IF(OR($C31="S",$C31=0),0,MATCH(0,OFFSET($D31,1,$C31,ROW($C$205)-ROW($C31)),0))</f>
        <v>0</v>
      </c>
      <c r="K31" s="1" t="n">
        <f aca="true">IF(OR($C31="S",$C31=0),0,MATCH(OFFSET($D31,0,$C31)+IF($C31&lt;&gt;1,1,COUNTIF(QCI!$A$13:$A$15,ORÇAMENTO!E31)),OFFSET($D31,1,$C31,ROW($C$205)-ROW($C31)),0))</f>
        <v>0</v>
      </c>
      <c r="L31" s="199" t="str">
        <f aca="false">IF(OR($X31&gt;0,$C31=1,$C31=2,$C31=3,$C31=4),"F","")</f>
        <v>F</v>
      </c>
      <c r="M31" s="200" t="s">
        <v>735</v>
      </c>
      <c r="N31" s="201" t="str">
        <f aca="false">CHOOSE(1+LOG(1+2*(C31=1)+4*(C31=2)+8*(C31=3)+16*(C31=4)+32*(C31="S"),2),"","Meta","Nível 2","Nível 3","Nível 4","Serviço")</f>
        <v>Serviço</v>
      </c>
      <c r="O31" s="202" t="str">
        <f aca="false">IF(OR($C31=0,$L31=""),"-",CONCATENATE(E31&amp;".",IF(AND($A$5&gt;=2,$C31&gt;=2),F31&amp;".",""),IF(AND($A$5&gt;=3,$C31&gt;=3),G31&amp;".",""),IF(AND($A$5&gt;=4,$C31&gt;=4),H31&amp;".",""),IF($C31="S",I31&amp;".","")))</f>
        <v>1.5.2.</v>
      </c>
      <c r="P31" s="203" t="s">
        <v>780</v>
      </c>
      <c r="Q31" s="204" t="n">
        <v>101616</v>
      </c>
      <c r="R31" s="205" t="str">
        <f aca="false">[1]PO!$D$16</f>
        <v>PREPARO DE FUNDO DE VALA COM LARGURA MENOR QUE 1,5 M (ACERTO DO SOLO NATURAL). AF_08/2020</v>
      </c>
      <c r="S31" s="206" t="s">
        <v>652</v>
      </c>
      <c r="T31" s="207" t="n">
        <f aca="true">OFFSET(CÁLCULO!H$15,ROW($T31)-ROW(T$15),0)</f>
        <v>192</v>
      </c>
      <c r="U31" s="208" t="n">
        <f aca="false">[2]PO!$G$16</f>
        <v>6.37</v>
      </c>
      <c r="V31" s="209" t="s">
        <v>690</v>
      </c>
      <c r="W31" s="207" t="n">
        <f aca="false">IF($C31="S",ROUND(IF(TIPOORCAMENTO="Proposto",ORÇAMENTO.CustoUnitario*(1+$AH31),ORÇAMENTO.PrecoUnitarioLicitado),15-13*$AF$10),0)</f>
        <v>8.22</v>
      </c>
      <c r="X31" s="210" t="n">
        <f aca="true" t="array" ref="X31:X31">IF($C31="S",IF(OR(Import.TipoArredondamento&lt;&gt;"TransfereGOV",ACOMPANHAMENTO="BM"),VTOTAL1,SUM(OFFSET(CÁLCULO!$AQ$15,ROW($X31)-ROW($X$15),1):OFFSET(CÁLCULO!$BR$15,ROW($X31)-ROW($X$15),-1))),IF($C31=0,0,ROUND(SomaAgrup,15-13*$AF$11)))</f>
        <v>1578.25</v>
      </c>
      <c r="Y31" s="211" t="s">
        <v>781</v>
      </c>
      <c r="Z31" s="1" t="str">
        <f aca="false">IF(AND($C31="S",$X31&gt;0),IF(ISBLANK($Y31),"RA",LEFT($Y31,2)),"")</f>
        <v>RA</v>
      </c>
      <c r="AA31" s="212" t="n">
        <f aca="true">IF($C31="S",IF($Z31="CP",$X31,IF($Z31="RA",(($X31)*QCI!$AA$3),0)),SomaAgrup)</f>
        <v>175.156594297536</v>
      </c>
      <c r="AB31" s="213" t="n">
        <f aca="true">IF($C31="S",IF($Z31="OU",ROUND($X31,2),0),SomaAgrup)</f>
        <v>0</v>
      </c>
      <c r="AC31" s="214" t="e">
        <f aca="false" t="array" ref="AC31:AC31">IF($N31=""," ",
IF(AND($C31&lt;&gt;"S",OR($R31="",$R31="(digite a descrição aqui)")),"DESCRIÇÃO",
IF(AND($C31="S",OR($Q31&lt;&gt;"",$T31&gt;0,$U31&gt;0),$P31=""),"FONTE",
IF(AND($C31="S",$P31&lt;&gt;"",OR($T31&gt;0,$U31&gt;0),$Q31=""),"CÓDIGO",
IF(AND($C31="S",$P31&lt;&gt;"",$Q31&lt;&gt;"",$R31="(Código não identificado nas referências)"),"CÓDIGO N/ID",
IF(AND($C31="S",OR($R31="",$R31="(digite a descrição aqui)"),OR($Q31&lt;&gt;"",$T31&gt;0,$U31&gt;0)),"DESCRIÇÃO",
IF(AND($C31="S",$P31&lt;&gt;"",$Q31&lt;&gt;"",$S31=""),"UNIDADE",
IF(AND($C31="S",$P31&lt;&gt;"",$Q31&lt;&gt;"",$U31=0),"SEM CUSTO",
IF(AND(_xlfn.single(TIPOORCAMENTO)="Licitado",$AL31=0,$AN31&gt;0),"SEM PREÇO",
IF(AND($C31="S",$P31&lt;&gt;"",$Q31&lt;&gt;"",$U31&gt;0,$V31=0),"BDI",
IF(OR(AND(TIPOORCAMENTO="Proposto",LEFT($O$8,5)&lt;&gt;"(N/D:",$AG31&lt;&gt;"",ORÇAMENTO.CustoUnitario&gt;$AG31),AND(TIPOORCAMENTO="LICITADO",ORÇAMENTO.PrecoUnitarioLicitado&gt;$AN31)),"ACIMA REF.",
IF(AND($C31="S",$P31&lt;&gt;"",$Q31&lt;&gt;"",$T31=0,$U31&gt;0),"QUANT.",
IF(AND(Import.TipoArredondamento="TransfereGOV",$L31="F",$C31="S",LEN($Q31)&gt;13),"Código &gt;13",
IF(AND(Import.TipoArredondamento="TransfereGOV",$L31="F",$C31&lt;&gt;"S",LEN($R31)&gt;100),"Descrição &gt;100",
IF(AND(Import.TipoArredondamento="TransfereGOV",$L31="F",$C31="S",LEN($R31)&gt;500),"Descrição &gt;500",
IF(AND(Import.TipoArredondamento="TransfereGOV",$L31="F",$C31="S",LEFT(TRIM(UPPER($P31)),6)&lt;&gt;"SINAPI",ISNA(VLOOKUP(TRIM(UPPER($S31)),ListaTgov.Unidades,1,FALSE()))),"Unid. Não Disp",
" "))))))))))))))))</f>
        <v>#NAME?</v>
      </c>
      <c r="AD31" s="1" t="str">
        <f aca="true">IF(C31&lt;=CRONO.NivelExibicao,MAX($AD$15:OFFSET(AD31,-1,0))+IF($C31&lt;&gt;1,1,MAX(1,COUNTIF(QCI!$A$13:$A$15,OFFSET($E31,-1,0)))),"")</f>
        <v/>
      </c>
      <c r="AE31" s="50" t="str">
        <f aca="false">IF(AND($C31="S",ORÇAMENTO.CodBarra&lt;&gt;""),IF(ORÇAMENTO.Fonte="",ORÇAMENTO.CodBarra,CONCATENATE(ORÇAMENTO.Fonte," ",ORÇAMENTO.CodBarra)))</f>
        <v>SINAPI 101616</v>
      </c>
      <c r="AF31" s="65" t="str">
        <f aca="true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07-2025.xlsm)</v>
      </c>
      <c r="AG31" s="215" t="n">
        <f aca="true">ROUND(IF(DESONERACAO="sim",REFERENCIA.Desonerado,REFERENCIA.NaoDesonerado),2)</f>
        <v>0</v>
      </c>
      <c r="AH31" s="216" t="n">
        <f aca="false">ROUND(IF(ISNUMBER(ORÇAMENTO.OpcaoBDI),ORÇAMENTO.OpcaoBDI,IF(LEFT(ORÇAMENTO.OpcaoBDI,3)="BDI",HLOOKUP(ORÇAMENTO.OpcaoBDI,$F$4:$H$5,2,FALSE()),0)),15-11*$AF$9)</f>
        <v>0.2904</v>
      </c>
      <c r="AJ31" s="217"/>
      <c r="AL31" s="218"/>
      <c r="AM31" s="219" t="n">
        <f aca="false">$X31</f>
        <v>1578.25</v>
      </c>
      <c r="AN31" s="220" t="n">
        <f aca="false">ROUND(ORÇAMENTO.CustoUnitario*(1+$AH31),2)</f>
        <v>8.22</v>
      </c>
    </row>
    <row r="32" customFormat="false" ht="23.85" hidden="false" customHeight="false" outlineLevel="0" collapsed="false">
      <c r="A32" s="1" t="str">
        <f aca="false">CHOOSE(1+LOG(1+2*(ORÇAMENTO.Nivel="Meta")+4*(ORÇAMENTO.Nivel="Nível 2")+8*(ORÇAMENTO.Nivel="Nível 3")+16*(ORÇAMENTO.Nivel="Nível 4")+32*(ORÇAMENTO.Nivel="Serviço"),2),0,1,2,3,4,"S")</f>
        <v>S</v>
      </c>
      <c r="B32" s="1" t="n">
        <f aca="true">IF(OR(C32="s",C32=0),OFFSET(B32,-1,0),C32)</f>
        <v>2</v>
      </c>
      <c r="C32" s="1" t="str">
        <f aca="true">IF(OFFSET(C32,-1,0)="L",1,IF(OFFSET(C32,-1,0)=1,2,IF(OR(A32="s",A32=0),"S",IF(AND(OFFSET(C32,-1,0)=2,A32=4),3,IF(AND(OR(OFFSET(C32,-1,0)="s",OFFSET(C32,-1,0)=0),A32&lt;&gt;"s",A32&gt;OFFSET(B32,-1,0)),OFFSET(B32,-1,0),A32)))))</f>
        <v>S</v>
      </c>
      <c r="D32" s="1" t="n">
        <f aca="false">IF(OR(C32="S",C32=0),0,IF(ISERROR(K32),J32,SMALL(J32:K32,1)))</f>
        <v>0</v>
      </c>
      <c r="E32" s="1" t="n">
        <f aca="true">IF($C32=1,OFFSET(E32,-1,0)+MAX(1,COUNTIF(QCI!$A$13:$A$15,OFFSET(ORÇAMENTO!E32,-1,0))),OFFSET(E32,-1,0))</f>
        <v>1</v>
      </c>
      <c r="F32" s="1" t="n">
        <f aca="true">IF($C32=1,0,IF($C32=2,OFFSET(F32,-1,0)+1,OFFSET(F32,-1,0)))</f>
        <v>5</v>
      </c>
      <c r="G32" s="1" t="n">
        <f aca="true">IF(AND($C32&lt;=2,$C32&lt;&gt;0),0,IF($C32=3,OFFSET(G32,-1,0)+1,OFFSET(G32,-1,0)))</f>
        <v>0</v>
      </c>
      <c r="H32" s="1" t="n">
        <f aca="true">IF(AND($C32&lt;=3,$C32&lt;&gt;0),0,IF($C32=4,OFFSET(H32,-1,0)+1,OFFSET(H32,-1,0)))</f>
        <v>0</v>
      </c>
      <c r="I32" s="1" t="n">
        <f aca="true">IF(AND($C32&lt;=4,$C32&lt;&gt;0),0,IF(AND($C32="S",$X32&gt;0),OFFSET(I32,-1,0)+1,OFFSET(I32,-1,0)))</f>
        <v>3</v>
      </c>
      <c r="J32" s="1" t="n">
        <f aca="true">IF(OR($C32="S",$C32=0),0,MATCH(0,OFFSET($D32,1,$C32,ROW($C$205)-ROW($C32)),0))</f>
        <v>0</v>
      </c>
      <c r="K32" s="1" t="n">
        <f aca="true">IF(OR($C32="S",$C32=0),0,MATCH(OFFSET($D32,0,$C32)+IF($C32&lt;&gt;1,1,COUNTIF(QCI!$A$13:$A$15,ORÇAMENTO!E32)),OFFSET($D32,1,$C32,ROW($C$205)-ROW($C32)),0))</f>
        <v>0</v>
      </c>
      <c r="L32" s="199" t="str">
        <f aca="false">IF(OR($X32&gt;0,$C32=1,$C32=2,$C32=3,$C32=4),"F","")</f>
        <v>F</v>
      </c>
      <c r="M32" s="200" t="s">
        <v>735</v>
      </c>
      <c r="N32" s="201" t="str">
        <f aca="false">CHOOSE(1+LOG(1+2*(C32=1)+4*(C32=2)+8*(C32=3)+16*(C32=4)+32*(C32="S"),2),"","Meta","Nível 2","Nível 3","Nível 4","Serviço")</f>
        <v>Serviço</v>
      </c>
      <c r="O32" s="202" t="str">
        <f aca="false">IF(OR($C32=0,$L32=""),"-",CONCATENATE(E32&amp;".",IF(AND($A$5&gt;=2,$C32&gt;=2),F32&amp;".",""),IF(AND($A$5&gt;=3,$C32&gt;=3),G32&amp;".",""),IF(AND($A$5&gt;=4,$C32&gt;=4),H32&amp;".",""),IF($C32="S",I32&amp;".","")))</f>
        <v>1.5.3.</v>
      </c>
      <c r="P32" s="203" t="s">
        <v>780</v>
      </c>
      <c r="Q32" s="204" t="n">
        <v>96619</v>
      </c>
      <c r="R32" s="205" t="str">
        <f aca="false">[1]PO!$D$17</f>
        <v>LASTRO DE CONCRETO MAGRO, APLICADO EM BLOCOS DE COROAMENTO OU SAPATAS, ESPESSURA DE 5 CM. AF_01/2024</v>
      </c>
      <c r="S32" s="206" t="s">
        <v>650</v>
      </c>
      <c r="T32" s="207" t="n">
        <f aca="true">OFFSET(CÁLCULO!H$15,ROW($T32)-ROW(T$15),0)</f>
        <v>9.5</v>
      </c>
      <c r="U32" s="208" t="n">
        <f aca="false">[2]PO!$G$17</f>
        <v>43.74</v>
      </c>
      <c r="V32" s="209" t="s">
        <v>690</v>
      </c>
      <c r="W32" s="207" t="n">
        <f aca="false">IF($C32="S",ROUND(IF(TIPOORCAMENTO="Proposto",ORÇAMENTO.CustoUnitario*(1+$AH32),ORÇAMENTO.PrecoUnitarioLicitado),15-13*$AF$10),0)</f>
        <v>56.44</v>
      </c>
      <c r="X32" s="210" t="n">
        <f aca="true" t="array" ref="X32:X32">IF($C32="S",IF(OR(Import.TipoArredondamento&lt;&gt;"TransfereGOV",ACOMPANHAMENTO="BM"),VTOTAL1,SUM(OFFSET(CÁLCULO!$AQ$15,ROW($X32)-ROW($X$15),1):OFFSET(CÁLCULO!$BR$15,ROW($X32)-ROW($X$15),-1))),IF($C32=0,0,ROUND(SomaAgrup,15-13*$AF$11)))</f>
        <v>536.25</v>
      </c>
      <c r="Y32" s="211" t="s">
        <v>781</v>
      </c>
      <c r="Z32" s="1" t="str">
        <f aca="false">IF(AND($C32="S",$X32&gt;0),IF(ISBLANK($Y32),"RA",LEFT($Y32,2)),"")</f>
        <v>RA</v>
      </c>
      <c r="AA32" s="212" t="n">
        <f aca="true">IF($C32="S",IF($Z32="CP",$X32,IF($Z32="RA",(($X32)*QCI!$AA$3),0)),SomaAgrup)</f>
        <v>59.5138436192324</v>
      </c>
      <c r="AB32" s="213" t="n">
        <f aca="true">IF($C32="S",IF($Z32="OU",ROUND($X32,2),0),SomaAgrup)</f>
        <v>0</v>
      </c>
      <c r="AC32" s="214" t="e">
        <f aca="false" t="array" ref="AC32:AC32">IF($N32=""," ",
IF(AND($C32&lt;&gt;"S",OR($R32="",$R32="(digite a descrição aqui)")),"DESCRIÇÃO",
IF(AND($C32="S",OR($Q32&lt;&gt;"",$T32&gt;0,$U32&gt;0),$P32=""),"FONTE",
IF(AND($C32="S",$P32&lt;&gt;"",OR($T32&gt;0,$U32&gt;0),$Q32=""),"CÓDIGO",
IF(AND($C32="S",$P32&lt;&gt;"",$Q32&lt;&gt;"",$R32="(Código não identificado nas referências)"),"CÓDIGO N/ID",
IF(AND($C32="S",OR($R32="",$R32="(digite a descrição aqui)"),OR($Q32&lt;&gt;"",$T32&gt;0,$U32&gt;0)),"DESCRIÇÃO",
IF(AND($C32="S",$P32&lt;&gt;"",$Q32&lt;&gt;"",$S32=""),"UNIDADE",
IF(AND($C32="S",$P32&lt;&gt;"",$Q32&lt;&gt;"",$U32=0),"SEM CUSTO",
IF(AND(_xlfn.single(TIPOORCAMENTO)="Licitado",$AL32=0,$AN32&gt;0),"SEM PREÇO",
IF(AND($C32="S",$P32&lt;&gt;"",$Q32&lt;&gt;"",$U32&gt;0,$V32=0),"BDI",
IF(OR(AND(TIPOORCAMENTO="Proposto",LEFT($O$8,5)&lt;&gt;"(N/D:",$AG32&lt;&gt;"",ORÇAMENTO.CustoUnitario&gt;$AG32),AND(TIPOORCAMENTO="LICITADO",ORÇAMENTO.PrecoUnitarioLicitado&gt;$AN32)),"ACIMA REF.",
IF(AND($C32="S",$P32&lt;&gt;"",$Q32&lt;&gt;"",$T32=0,$U32&gt;0),"QUANT.",
IF(AND(Import.TipoArredondamento="TransfereGOV",$L32="F",$C32="S",LEN($Q32)&gt;13),"Código &gt;13",
IF(AND(Import.TipoArredondamento="TransfereGOV",$L32="F",$C32&lt;&gt;"S",LEN($R32)&gt;100),"Descrição &gt;100",
IF(AND(Import.TipoArredondamento="TransfereGOV",$L32="F",$C32="S",LEN($R32)&gt;500),"Descrição &gt;500",
IF(AND(Import.TipoArredondamento="TransfereGOV",$L32="F",$C32="S",LEFT(TRIM(UPPER($P32)),6)&lt;&gt;"SINAPI",ISNA(VLOOKUP(TRIM(UPPER($S32)),ListaTgov.Unidades,1,FALSE()))),"Unid. Não Disp",
" "))))))))))))))))</f>
        <v>#NAME?</v>
      </c>
      <c r="AD32" s="1" t="str">
        <f aca="true">IF(C32&lt;=CRONO.NivelExibicao,MAX($AD$15:OFFSET(AD32,-1,0))+IF($C32&lt;&gt;1,1,MAX(1,COUNTIF(QCI!$A$13:$A$15,OFFSET($E32,-1,0)))),"")</f>
        <v/>
      </c>
      <c r="AE32" s="50" t="str">
        <f aca="false">IF(AND($C32="S",ORÇAMENTO.CodBarra&lt;&gt;""),IF(ORÇAMENTO.Fonte="",ORÇAMENTO.CodBarra,CONCATENATE(ORÇAMENTO.Fonte," ",ORÇAMENTO.CodBarra)))</f>
        <v>SINAPI 96619</v>
      </c>
      <c r="AF32" s="65" t="str">
        <f aca="true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07-2025.xlsm)</v>
      </c>
      <c r="AG32" s="215" t="n">
        <f aca="true">ROUND(IF(DESONERACAO="sim",REFERENCIA.Desonerado,REFERENCIA.NaoDesonerado),2)</f>
        <v>0</v>
      </c>
      <c r="AH32" s="216" t="n">
        <f aca="false">ROUND(IF(ISNUMBER(ORÇAMENTO.OpcaoBDI),ORÇAMENTO.OpcaoBDI,IF(LEFT(ORÇAMENTO.OpcaoBDI,3)="BDI",HLOOKUP(ORÇAMENTO.OpcaoBDI,$F$4:$H$5,2,FALSE()),0)),15-11*$AF$9)</f>
        <v>0.2904</v>
      </c>
      <c r="AJ32" s="217"/>
      <c r="AL32" s="218"/>
      <c r="AM32" s="219" t="n">
        <f aca="false">$X32</f>
        <v>536.25</v>
      </c>
      <c r="AN32" s="220" t="n">
        <f aca="false">ROUND(ORÇAMENTO.CustoUnitario*(1+$AH32),2)</f>
        <v>56.44</v>
      </c>
    </row>
    <row r="33" customFormat="false" ht="35.05" hidden="false" customHeight="false" outlineLevel="0" collapsed="false">
      <c r="A33" s="1" t="str">
        <f aca="false">CHOOSE(1+LOG(1+2*(ORÇAMENTO.Nivel="Meta")+4*(ORÇAMENTO.Nivel="Nível 2")+8*(ORÇAMENTO.Nivel="Nível 3")+16*(ORÇAMENTO.Nivel="Nível 4")+32*(ORÇAMENTO.Nivel="Serviço"),2),0,1,2,3,4,"S")</f>
        <v>S</v>
      </c>
      <c r="B33" s="1" t="n">
        <f aca="true">IF(OR(C33="s",C33=0),OFFSET(B33,-1,0),C33)</f>
        <v>2</v>
      </c>
      <c r="C33" s="1" t="str">
        <f aca="true">IF(OFFSET(C33,-1,0)="L",1,IF(OFFSET(C33,-1,0)=1,2,IF(OR(A33="s",A33=0),"S",IF(AND(OFFSET(C33,-1,0)=2,A33=4),3,IF(AND(OR(OFFSET(C33,-1,0)="s",OFFSET(C33,-1,0)=0),A33&lt;&gt;"s",A33&gt;OFFSET(B33,-1,0)),OFFSET(B33,-1,0),A33)))))</f>
        <v>S</v>
      </c>
      <c r="D33" s="1" t="n">
        <f aca="false">IF(OR(C33="S",C33=0),0,IF(ISERROR(K33),J33,SMALL(J33:K33,1)))</f>
        <v>0</v>
      </c>
      <c r="E33" s="1" t="n">
        <f aca="true">IF($C33=1,OFFSET(E33,-1,0)+MAX(1,COUNTIF(QCI!$A$13:$A$15,OFFSET(ORÇAMENTO!E33,-1,0))),OFFSET(E33,-1,0))</f>
        <v>1</v>
      </c>
      <c r="F33" s="1" t="n">
        <f aca="true">IF($C33=1,0,IF($C33=2,OFFSET(F33,-1,0)+1,OFFSET(F33,-1,0)))</f>
        <v>5</v>
      </c>
      <c r="G33" s="1" t="n">
        <f aca="true">IF(AND($C33&lt;=2,$C33&lt;&gt;0),0,IF($C33=3,OFFSET(G33,-1,0)+1,OFFSET(G33,-1,0)))</f>
        <v>0</v>
      </c>
      <c r="H33" s="1" t="n">
        <f aca="true">IF(AND($C33&lt;=3,$C33&lt;&gt;0),0,IF($C33=4,OFFSET(H33,-1,0)+1,OFFSET(H33,-1,0)))</f>
        <v>0</v>
      </c>
      <c r="I33" s="1" t="n">
        <f aca="true">IF(AND($C33&lt;=4,$C33&lt;&gt;0),0,IF(AND($C33="S",$X33&gt;0),OFFSET(I33,-1,0)+1,OFFSET(I33,-1,0)))</f>
        <v>4</v>
      </c>
      <c r="J33" s="1" t="n">
        <f aca="true">IF(OR($C33="S",$C33=0),0,MATCH(0,OFFSET($D33,1,$C33,ROW($C$205)-ROW($C33)),0))</f>
        <v>0</v>
      </c>
      <c r="K33" s="1" t="n">
        <f aca="true">IF(OR($C33="S",$C33=0),0,MATCH(OFFSET($D33,0,$C33)+IF($C33&lt;&gt;1,1,COUNTIF(QCI!$A$13:$A$15,ORÇAMENTO!E33)),OFFSET($D33,1,$C33,ROW($C$205)-ROW($C33)),0))</f>
        <v>0</v>
      </c>
      <c r="L33" s="199" t="str">
        <f aca="false">IF(OR($X33&gt;0,$C33=1,$C33=2,$C33=3,$C33=4),"F","")</f>
        <v>F</v>
      </c>
      <c r="M33" s="200" t="s">
        <v>735</v>
      </c>
      <c r="N33" s="201" t="str">
        <f aca="false">CHOOSE(1+LOG(1+2*(C33=1)+4*(C33=2)+8*(C33=3)+16*(C33=4)+32*(C33="S"),2),"","Meta","Nível 2","Nível 3","Nível 4","Serviço")</f>
        <v>Serviço</v>
      </c>
      <c r="O33" s="202" t="str">
        <f aca="false">IF(OR($C33=0,$L33=""),"-",CONCATENATE(E33&amp;".",IF(AND($A$5&gt;=2,$C33&gt;=2),F33&amp;".",""),IF(AND($A$5&gt;=3,$C33&gt;=3),G33&amp;".",""),IF(AND($A$5&gt;=4,$C33&gt;=4),H33&amp;".",""),IF($C33="S",I33&amp;".","")))</f>
        <v>1.5.4.</v>
      </c>
      <c r="P33" s="203" t="s">
        <v>780</v>
      </c>
      <c r="Q33" s="204" t="n">
        <v>96541</v>
      </c>
      <c r="R33" s="205" t="str">
        <f aca="false">[1]PO!$D$18</f>
        <v>FABRICAÇÃO, MONTAGEM E DESMONTAGEM DE FÔRMA PARA SAPATA, EM CHAPA DE MADEIRA COMPENSADA RESINADA, E=17 MM, 4 UTILIZAÇÕES. AF_01/2024</v>
      </c>
      <c r="S33" s="206" t="s">
        <v>650</v>
      </c>
      <c r="T33" s="207" t="n">
        <f aca="true">OFFSET(CÁLCULO!H$15,ROW($T33)-ROW(T$15),0)</f>
        <v>593.75</v>
      </c>
      <c r="U33" s="208" t="n">
        <f aca="false">[2]PO!$G$18</f>
        <v>180.99</v>
      </c>
      <c r="V33" s="209" t="s">
        <v>690</v>
      </c>
      <c r="W33" s="207" t="n">
        <f aca="false">IF($C33="S",ROUND(IF(TIPOORCAMENTO="Proposto",ORÇAMENTO.CustoUnitario*(1+$AH33),ORÇAMENTO.PrecoUnitarioLicitado),15-13*$AF$10),0)</f>
        <v>233.55</v>
      </c>
      <c r="X33" s="210" t="n">
        <f aca="true" t="array" ref="X33:X33">IF($C33="S",IF(OR(Import.TipoArredondamento&lt;&gt;"TransfereGOV",ACOMPANHAMENTO="BM"),VTOTAL1,SUM(OFFSET(CÁLCULO!$AQ$15,ROW($X33)-ROW($X$15),1):OFFSET(CÁLCULO!$BR$15,ROW($X33)-ROW($X$15),-1))),IF($C33=0,0,ROUND(SomaAgrup,15-13*$AF$11)))</f>
        <v>138670.25</v>
      </c>
      <c r="Y33" s="211" t="s">
        <v>781</v>
      </c>
      <c r="Z33" s="1" t="str">
        <f aca="false">IF(AND($C33="S",$X33&gt;0),IF(ISBLANK($Y33),"RA",LEFT($Y33,2)),"")</f>
        <v>RA</v>
      </c>
      <c r="AA33" s="212" t="n">
        <f aca="true">IF($C33="S",IF($Z33="CP",$X33,IF($Z33="RA",(($X33)*QCI!$AA$3),0)),SomaAgrup)</f>
        <v>15389.8360338272</v>
      </c>
      <c r="AB33" s="213" t="n">
        <f aca="true">IF($C33="S",IF($Z33="OU",ROUND($X33,2),0),SomaAgrup)</f>
        <v>0</v>
      </c>
      <c r="AC33" s="214" t="e">
        <f aca="false" t="array" ref="AC33:AC33">IF($N33=""," ",
IF(AND($C33&lt;&gt;"S",OR($R33="",$R33="(digite a descrição aqui)")),"DESCRIÇÃO",
IF(AND($C33="S",OR($Q33&lt;&gt;"",$T33&gt;0,$U33&gt;0),$P33=""),"FONTE",
IF(AND($C33="S",$P33&lt;&gt;"",OR($T33&gt;0,$U33&gt;0),$Q33=""),"CÓDIGO",
IF(AND($C33="S",$P33&lt;&gt;"",$Q33&lt;&gt;"",$R33="(Código não identificado nas referências)"),"CÓDIGO N/ID",
IF(AND($C33="S",OR($R33="",$R33="(digite a descrição aqui)"),OR($Q33&lt;&gt;"",$T33&gt;0,$U33&gt;0)),"DESCRIÇÃO",
IF(AND($C33="S",$P33&lt;&gt;"",$Q33&lt;&gt;"",$S33=""),"UNIDADE",
IF(AND($C33="S",$P33&lt;&gt;"",$Q33&lt;&gt;"",$U33=0),"SEM CUSTO",
IF(AND(_xlfn.single(TIPOORCAMENTO)="Licitado",$AL33=0,$AN33&gt;0),"SEM PREÇO",
IF(AND($C33="S",$P33&lt;&gt;"",$Q33&lt;&gt;"",$U33&gt;0,$V33=0),"BDI",
IF(OR(AND(TIPOORCAMENTO="Proposto",LEFT($O$8,5)&lt;&gt;"(N/D:",$AG33&lt;&gt;"",ORÇAMENTO.CustoUnitario&gt;$AG33),AND(TIPOORCAMENTO="LICITADO",ORÇAMENTO.PrecoUnitarioLicitado&gt;$AN33)),"ACIMA REF.",
IF(AND($C33="S",$P33&lt;&gt;"",$Q33&lt;&gt;"",$T33=0,$U33&gt;0),"QUANT.",
IF(AND(Import.TipoArredondamento="TransfereGOV",$L33="F",$C33="S",LEN($Q33)&gt;13),"Código &gt;13",
IF(AND(Import.TipoArredondamento="TransfereGOV",$L33="F",$C33&lt;&gt;"S",LEN($R33)&gt;100),"Descrição &gt;100",
IF(AND(Import.TipoArredondamento="TransfereGOV",$L33="F",$C33="S",LEN($R33)&gt;500),"Descrição &gt;500",
IF(AND(Import.TipoArredondamento="TransfereGOV",$L33="F",$C33="S",LEFT(TRIM(UPPER($P33)),6)&lt;&gt;"SINAPI",ISNA(VLOOKUP(TRIM(UPPER($S33)),ListaTgov.Unidades,1,FALSE()))),"Unid. Não Disp",
" "))))))))))))))))</f>
        <v>#NAME?</v>
      </c>
      <c r="AD33" s="1" t="str">
        <f aca="true">IF(C33&lt;=CRONO.NivelExibicao,MAX($AD$15:OFFSET(AD33,-1,0))+IF($C33&lt;&gt;1,1,MAX(1,COUNTIF(QCI!$A$13:$A$15,OFFSET($E33,-1,0)))),"")</f>
        <v/>
      </c>
      <c r="AE33" s="50" t="str">
        <f aca="false">IF(AND($C33="S",ORÇAMENTO.CodBarra&lt;&gt;""),IF(ORÇAMENTO.Fonte="",ORÇAMENTO.CodBarra,CONCATENATE(ORÇAMENTO.Fonte," ",ORÇAMENTO.CodBarra)))</f>
        <v>SINAPI 96541</v>
      </c>
      <c r="AF33" s="65" t="str">
        <f aca="true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07-2025.xlsm)</v>
      </c>
      <c r="AG33" s="215" t="n">
        <f aca="true">ROUND(IF(DESONERACAO="sim",REFERENCIA.Desonerado,REFERENCIA.NaoDesonerado),2)</f>
        <v>0</v>
      </c>
      <c r="AH33" s="216" t="n">
        <f aca="false">ROUND(IF(ISNUMBER(ORÇAMENTO.OpcaoBDI),ORÇAMENTO.OpcaoBDI,IF(LEFT(ORÇAMENTO.OpcaoBDI,3)="BDI",HLOOKUP(ORÇAMENTO.OpcaoBDI,$F$4:$H$5,2,FALSE()),0)),15-11*$AF$9)</f>
        <v>0.2904</v>
      </c>
      <c r="AJ33" s="217"/>
      <c r="AL33" s="218"/>
      <c r="AM33" s="219" t="n">
        <f aca="false">$X33</f>
        <v>138670.25</v>
      </c>
      <c r="AN33" s="220" t="n">
        <f aca="false">ROUND(ORÇAMENTO.CustoUnitario*(1+$AH33),2)</f>
        <v>233.55</v>
      </c>
    </row>
    <row r="34" customFormat="false" ht="23.85" hidden="false" customHeight="false" outlineLevel="0" collapsed="false">
      <c r="A34" s="1" t="str">
        <f aca="false">CHOOSE(1+LOG(1+2*(ORÇAMENTO.Nivel="Meta")+4*(ORÇAMENTO.Nivel="Nível 2")+8*(ORÇAMENTO.Nivel="Nível 3")+16*(ORÇAMENTO.Nivel="Nível 4")+32*(ORÇAMENTO.Nivel="Serviço"),2),0,1,2,3,4,"S")</f>
        <v>S</v>
      </c>
      <c r="B34" s="1" t="n">
        <f aca="true">IF(OR(C34="s",C34=0),OFFSET(B34,-1,0),C34)</f>
        <v>2</v>
      </c>
      <c r="C34" s="1" t="str">
        <f aca="true">IF(OFFSET(C34,-1,0)="L",1,IF(OFFSET(C34,-1,0)=1,2,IF(OR(A34="s",A34=0),"S",IF(AND(OFFSET(C34,-1,0)=2,A34=4),3,IF(AND(OR(OFFSET(C34,-1,0)="s",OFFSET(C34,-1,0)=0),A34&lt;&gt;"s",A34&gt;OFFSET(B34,-1,0)),OFFSET(B34,-1,0),A34)))))</f>
        <v>S</v>
      </c>
      <c r="D34" s="1" t="n">
        <f aca="false">IF(OR(C34="S",C34=0),0,IF(ISERROR(K34),J34,SMALL(J34:K34,1)))</f>
        <v>0</v>
      </c>
      <c r="E34" s="1" t="n">
        <f aca="true">IF($C34=1,OFFSET(E34,-1,0)+MAX(1,COUNTIF(QCI!$A$13:$A$15,OFFSET(ORÇAMENTO!E34,-1,0))),OFFSET(E34,-1,0))</f>
        <v>1</v>
      </c>
      <c r="F34" s="1" t="n">
        <f aca="true">IF($C34=1,0,IF($C34=2,OFFSET(F34,-1,0)+1,OFFSET(F34,-1,0)))</f>
        <v>5</v>
      </c>
      <c r="G34" s="1" t="n">
        <f aca="true">IF(AND($C34&lt;=2,$C34&lt;&gt;0),0,IF($C34=3,OFFSET(G34,-1,0)+1,OFFSET(G34,-1,0)))</f>
        <v>0</v>
      </c>
      <c r="H34" s="1" t="n">
        <f aca="true">IF(AND($C34&lt;=3,$C34&lt;&gt;0),0,IF($C34=4,OFFSET(H34,-1,0)+1,OFFSET(H34,-1,0)))</f>
        <v>0</v>
      </c>
      <c r="I34" s="1" t="n">
        <f aca="true">IF(AND($C34&lt;=4,$C34&lt;&gt;0),0,IF(AND($C34="S",$X34&gt;0),OFFSET(I34,-1,0)+1,OFFSET(I34,-1,0)))</f>
        <v>5</v>
      </c>
      <c r="J34" s="1" t="n">
        <f aca="true">IF(OR($C34="S",$C34=0),0,MATCH(0,OFFSET($D34,1,$C34,ROW($C$205)-ROW($C34)),0))</f>
        <v>0</v>
      </c>
      <c r="K34" s="1" t="n">
        <f aca="true">IF(OR($C34="S",$C34=0),0,MATCH(OFFSET($D34,0,$C34)+IF($C34&lt;&gt;1,1,COUNTIF(QCI!$A$13:$A$15,ORÇAMENTO!E34)),OFFSET($D34,1,$C34,ROW($C$205)-ROW($C34)),0))</f>
        <v>0</v>
      </c>
      <c r="L34" s="199" t="str">
        <f aca="false">IF(OR($X34&gt;0,$C34=1,$C34=2,$C34=3,$C34=4),"F","")</f>
        <v>F</v>
      </c>
      <c r="M34" s="200" t="s">
        <v>735</v>
      </c>
      <c r="N34" s="201" t="str">
        <f aca="false">CHOOSE(1+LOG(1+2*(C34=1)+4*(C34=2)+8*(C34=3)+16*(C34=4)+32*(C34="S"),2),"","Meta","Nível 2","Nível 3","Nível 4","Serviço")</f>
        <v>Serviço</v>
      </c>
      <c r="O34" s="202" t="str">
        <f aca="false">IF(OR($C34=0,$L34=""),"-",CONCATENATE(E34&amp;".",IF(AND($A$5&gt;=2,$C34&gt;=2),F34&amp;".",""),IF(AND($A$5&gt;=3,$C34&gt;=3),G34&amp;".",""),IF(AND($A$5&gt;=4,$C34&gt;=4),H34&amp;".",""),IF($C34="S",I34&amp;".","")))</f>
        <v>1.5.5.</v>
      </c>
      <c r="P34" s="203" t="s">
        <v>780</v>
      </c>
      <c r="Q34" s="204" t="s">
        <v>803</v>
      </c>
      <c r="R34" s="205" t="s">
        <v>804</v>
      </c>
      <c r="S34" s="206" t="s">
        <v>644</v>
      </c>
      <c r="T34" s="207" t="n">
        <f aca="true">OFFSET(CÁLCULO!H$15,ROW($T34)-ROW(T$15),0)</f>
        <v>510</v>
      </c>
      <c r="U34" s="208" t="n">
        <v>16.67</v>
      </c>
      <c r="V34" s="209" t="s">
        <v>690</v>
      </c>
      <c r="W34" s="207" t="n">
        <f aca="false">IF($C34="S",ROUND(IF(TIPOORCAMENTO="Proposto",ORÇAMENTO.CustoUnitario*(1+$AH34),ORÇAMENTO.PrecoUnitarioLicitado),15-13*$AF$10),0)</f>
        <v>21.51</v>
      </c>
      <c r="X34" s="210" t="n">
        <f aca="true" t="array" ref="X34:X34">IF($C34="S",IF(OR(Import.TipoArredondamento&lt;&gt;"TransfereGOV",ACOMPANHAMENTO="BM"),VTOTAL1,SUM(OFFSET(CÁLCULO!$AQ$15,ROW($X34)-ROW($X$15),1):OFFSET(CÁLCULO!$BR$15,ROW($X34)-ROW($X$15),-1))),IF($C34=0,0,ROUND(SomaAgrup,15-13*$AF$11)))</f>
        <v>10970</v>
      </c>
      <c r="Y34" s="211" t="s">
        <v>781</v>
      </c>
      <c r="Z34" s="1" t="str">
        <f aca="false">IF(AND($C34="S",$X34&gt;0),IF(ISBLANK($Y34),"RA",LEFT($Y34,2)),"")</f>
        <v>RA</v>
      </c>
      <c r="AA34" s="212" t="n">
        <f aca="true">IF($C34="S",IF($Z34="CP",$X34,IF($Z34="RA",(($X34)*QCI!$AA$3),0)),SomaAgrup)</f>
        <v>1217.4673463925</v>
      </c>
      <c r="AB34" s="213" t="n">
        <f aca="true">IF($C34="S",IF($Z34="OU",ROUND($X34,2),0),SomaAgrup)</f>
        <v>0</v>
      </c>
      <c r="AC34" s="214" t="e">
        <f aca="false" t="array" ref="AC34:AC34">IF($N34=""," ",
IF(AND($C34&lt;&gt;"S",OR($R34="",$R34="(digite a descrição aqui)")),"DESCRIÇÃO",
IF(AND($C34="S",OR($Q34&lt;&gt;"",$T34&gt;0,$U34&gt;0),$P34=""),"FONTE",
IF(AND($C34="S",$P34&lt;&gt;"",OR($T34&gt;0,$U34&gt;0),$Q34=""),"CÓDIGO",
IF(AND($C34="S",$P34&lt;&gt;"",$Q34&lt;&gt;"",$R34="(Código não identificado nas referências)"),"CÓDIGO N/ID",
IF(AND($C34="S",OR($R34="",$R34="(digite a descrição aqui)"),OR($Q34&lt;&gt;"",$T34&gt;0,$U34&gt;0)),"DESCRIÇÃO",
IF(AND($C34="S",$P34&lt;&gt;"",$Q34&lt;&gt;"",$S34=""),"UNIDADE",
IF(AND($C34="S",$P34&lt;&gt;"",$Q34&lt;&gt;"",$U34=0),"SEM CUSTO",
IF(AND(_xlfn.single(TIPOORCAMENTO)="Licitado",$AL34=0,$AN34&gt;0),"SEM PREÇO",
IF(AND($C34="S",$P34&lt;&gt;"",$Q34&lt;&gt;"",$U34&gt;0,$V34=0),"BDI",
IF(OR(AND(TIPOORCAMENTO="Proposto",LEFT($O$8,5)&lt;&gt;"(N/D:",$AG34&lt;&gt;"",ORÇAMENTO.CustoUnitario&gt;$AG34),AND(TIPOORCAMENTO="LICITADO",ORÇAMENTO.PrecoUnitarioLicitado&gt;$AN34)),"ACIMA REF.",
IF(AND($C34="S",$P34&lt;&gt;"",$Q34&lt;&gt;"",$T34=0,$U34&gt;0),"QUANT.",
IF(AND(Import.TipoArredondamento="TransfereGOV",$L34="F",$C34="S",LEN($Q34)&gt;13),"Código &gt;13",
IF(AND(Import.TipoArredondamento="TransfereGOV",$L34="F",$C34&lt;&gt;"S",LEN($R34)&gt;100),"Descrição &gt;100",
IF(AND(Import.TipoArredondamento="TransfereGOV",$L34="F",$C34="S",LEN($R34)&gt;500),"Descrição &gt;500",
IF(AND(Import.TipoArredondamento="TransfereGOV",$L34="F",$C34="S",LEFT(TRIM(UPPER($P34)),6)&lt;&gt;"SINAPI",ISNA(VLOOKUP(TRIM(UPPER($S34)),ListaTgov.Unidades,1,FALSE()))),"Unid. Não Disp",
" "))))))))))))))))</f>
        <v>#NAME?</v>
      </c>
      <c r="AD34" s="1" t="str">
        <f aca="true">IF(C34&lt;=CRONO.NivelExibicao,MAX($AD$15:OFFSET(AD34,-1,0))+IF($C34&lt;&gt;1,1,MAX(1,COUNTIF(QCI!$A$13:$A$15,OFFSET($E34,-1,0)))),"")</f>
        <v/>
      </c>
      <c r="AE34" s="50" t="str">
        <f aca="false">IF(AND($C34="S",ORÇAMENTO.CodBarra&lt;&gt;""),IF(ORÇAMENTO.Fonte="",ORÇAMENTO.CodBarra,CONCATENATE(ORÇAMENTO.Fonte," ",ORÇAMENTO.CodBarra)))</f>
        <v>SINAPI 104916</v>
      </c>
      <c r="AF34" s="65" t="str">
        <f aca="true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07-2025.xlsm)</v>
      </c>
      <c r="AG34" s="215" t="n">
        <f aca="true">ROUND(IF(DESONERACAO="sim",REFERENCIA.Desonerado,REFERENCIA.NaoDesonerado),2)</f>
        <v>0</v>
      </c>
      <c r="AH34" s="216" t="n">
        <f aca="false">ROUND(IF(ISNUMBER(ORÇAMENTO.OpcaoBDI),ORÇAMENTO.OpcaoBDI,IF(LEFT(ORÇAMENTO.OpcaoBDI,3)="BDI",HLOOKUP(ORÇAMENTO.OpcaoBDI,$F$4:$H$5,2,FALSE()),0)),15-11*$AF$9)</f>
        <v>0.2904</v>
      </c>
      <c r="AJ34" s="217"/>
      <c r="AL34" s="218"/>
      <c r="AM34" s="219" t="n">
        <f aca="false">$X34</f>
        <v>10970</v>
      </c>
      <c r="AN34" s="220" t="n">
        <f aca="false">ROUND(ORÇAMENTO.CustoUnitario*(1+$AH34),2)</f>
        <v>21.51</v>
      </c>
    </row>
    <row r="35" customFormat="false" ht="23.85" hidden="false" customHeight="false" outlineLevel="0" collapsed="false">
      <c r="A35" s="1" t="str">
        <f aca="false">CHOOSE(1+LOG(1+2*(ORÇAMENTO.Nivel="Meta")+4*(ORÇAMENTO.Nivel="Nível 2")+8*(ORÇAMENTO.Nivel="Nível 3")+16*(ORÇAMENTO.Nivel="Nível 4")+32*(ORÇAMENTO.Nivel="Serviço"),2),0,1,2,3,4,"S")</f>
        <v>S</v>
      </c>
      <c r="B35" s="1" t="n">
        <f aca="true">IF(OR(C35="s",C35=0),OFFSET(B35,-1,0),C35)</f>
        <v>2</v>
      </c>
      <c r="C35" s="1" t="str">
        <f aca="true">IF(OFFSET(C35,-1,0)="L",1,IF(OFFSET(C35,-1,0)=1,2,IF(OR(A35="s",A35=0),"S",IF(AND(OFFSET(C35,-1,0)=2,A35=4),3,IF(AND(OR(OFFSET(C35,-1,0)="s",OFFSET(C35,-1,0)=0),A35&lt;&gt;"s",A35&gt;OFFSET(B35,-1,0)),OFFSET(B35,-1,0),A35)))))</f>
        <v>S</v>
      </c>
      <c r="D35" s="1" t="n">
        <f aca="false">IF(OR(C35="S",C35=0),0,IF(ISERROR(K35),J35,SMALL(J35:K35,1)))</f>
        <v>0</v>
      </c>
      <c r="E35" s="1" t="n">
        <f aca="true">IF($C35=1,OFFSET(E35,-1,0)+MAX(1,COUNTIF(QCI!$A$13:$A$15,OFFSET(ORÇAMENTO!E35,-1,0))),OFFSET(E35,-1,0))</f>
        <v>1</v>
      </c>
      <c r="F35" s="1" t="n">
        <f aca="true">IF($C35=1,0,IF($C35=2,OFFSET(F35,-1,0)+1,OFFSET(F35,-1,0)))</f>
        <v>5</v>
      </c>
      <c r="G35" s="1" t="n">
        <f aca="true">IF(AND($C35&lt;=2,$C35&lt;&gt;0),0,IF($C35=3,OFFSET(G35,-1,0)+1,OFFSET(G35,-1,0)))</f>
        <v>0</v>
      </c>
      <c r="H35" s="1" t="n">
        <f aca="true">IF(AND($C35&lt;=3,$C35&lt;&gt;0),0,IF($C35=4,OFFSET(H35,-1,0)+1,OFFSET(H35,-1,0)))</f>
        <v>0</v>
      </c>
      <c r="I35" s="1" t="n">
        <f aca="true">IF(AND($C35&lt;=4,$C35&lt;&gt;0),0,IF(AND($C35="S",$X35&gt;0),OFFSET(I35,-1,0)+1,OFFSET(I35,-1,0)))</f>
        <v>6</v>
      </c>
      <c r="J35" s="1" t="n">
        <f aca="true">IF(OR($C35="S",$C35=0),0,MATCH(0,OFFSET($D35,1,$C35,ROW($C$205)-ROW($C35)),0))</f>
        <v>0</v>
      </c>
      <c r="K35" s="1" t="n">
        <f aca="true">IF(OR($C35="S",$C35=0),0,MATCH(OFFSET($D35,0,$C35)+IF($C35&lt;&gt;1,1,COUNTIF(QCI!$A$13:$A$15,ORÇAMENTO!E35)),OFFSET($D35,1,$C35,ROW($C$205)-ROW($C35)),0))</f>
        <v>0</v>
      </c>
      <c r="L35" s="199" t="str">
        <f aca="false">IF(OR($X35&gt;0,$C35=1,$C35=2,$C35=3,$C35=4),"F","")</f>
        <v>F</v>
      </c>
      <c r="M35" s="200" t="s">
        <v>735</v>
      </c>
      <c r="N35" s="201" t="str">
        <f aca="false">CHOOSE(1+LOG(1+2*(C35=1)+4*(C35=2)+8*(C35=3)+16*(C35=4)+32*(C35="S"),2),"","Meta","Nível 2","Nível 3","Nível 4","Serviço")</f>
        <v>Serviço</v>
      </c>
      <c r="O35" s="202" t="str">
        <f aca="false">IF(OR($C35=0,$L35=""),"-",CONCATENATE(E35&amp;".",IF(AND($A$5&gt;=2,$C35&gt;=2),F35&amp;".",""),IF(AND($A$5&gt;=3,$C35&gt;=3),G35&amp;".",""),IF(AND($A$5&gt;=4,$C35&gt;=4),H35&amp;".",""),IF($C35="S",I35&amp;".","")))</f>
        <v>1.5.6.</v>
      </c>
      <c r="P35" s="203" t="s">
        <v>780</v>
      </c>
      <c r="Q35" s="204" t="s">
        <v>805</v>
      </c>
      <c r="R35" s="205" t="s">
        <v>806</v>
      </c>
      <c r="S35" s="206" t="s">
        <v>644</v>
      </c>
      <c r="T35" s="207" t="n">
        <f aca="true">OFFSET(CÁLCULO!H$15,ROW($T35)-ROW(T$15),0)</f>
        <v>1405</v>
      </c>
      <c r="U35" s="208" t="n">
        <v>14.14</v>
      </c>
      <c r="V35" s="209" t="s">
        <v>690</v>
      </c>
      <c r="W35" s="207" t="n">
        <f aca="false">IF($C35="S",ROUND(IF(TIPOORCAMENTO="Proposto",ORÇAMENTO.CustoUnitario*(1+$AH35),ORÇAMENTO.PrecoUnitarioLicitado),15-13*$AF$10),0)</f>
        <v>18.25</v>
      </c>
      <c r="X35" s="210" t="n">
        <f aca="true" t="array" ref="X35:X35">IF($C35="S",IF(OR(Import.TipoArredondamento&lt;&gt;"TransfereGOV",ACOMPANHAMENTO="BM"),VTOTAL1,SUM(OFFSET(CÁLCULO!$AQ$15,ROW($X35)-ROW($X$15),1):OFFSET(CÁLCULO!$BR$15,ROW($X35)-ROW($X$15),-1))),IF($C35=0,0,ROUND(SomaAgrup,15-13*$AF$11)))</f>
        <v>25641.25</v>
      </c>
      <c r="Y35" s="211" t="s">
        <v>781</v>
      </c>
      <c r="Z35" s="1" t="str">
        <f aca="false">IF(AND($C35="S",$X35&gt;0),IF(ISBLANK($Y35),"RA",LEFT($Y35,2)),"")</f>
        <v>RA</v>
      </c>
      <c r="AA35" s="212" t="n">
        <f aca="true">IF($C35="S",IF($Z35="CP",$X35,IF($Z35="RA",(($X35)*QCI!$AA$3),0)),SomaAgrup)</f>
        <v>2845.70506797509</v>
      </c>
      <c r="AB35" s="213" t="n">
        <f aca="true">IF($C35="S",IF($Z35="OU",ROUND($X35,2),0),SomaAgrup)</f>
        <v>0</v>
      </c>
      <c r="AC35" s="214" t="e">
        <f aca="false" t="array" ref="AC35:AC35">IF($N35=""," ",
IF(AND($C35&lt;&gt;"S",OR($R35="",$R35="(digite a descrição aqui)")),"DESCRIÇÃO",
IF(AND($C35="S",OR($Q35&lt;&gt;"",$T35&gt;0,$U35&gt;0),$P35=""),"FONTE",
IF(AND($C35="S",$P35&lt;&gt;"",OR($T35&gt;0,$U35&gt;0),$Q35=""),"CÓDIGO",
IF(AND($C35="S",$P35&lt;&gt;"",$Q35&lt;&gt;"",$R35="(Código não identificado nas referências)"),"CÓDIGO N/ID",
IF(AND($C35="S",OR($R35="",$R35="(digite a descrição aqui)"),OR($Q35&lt;&gt;"",$T35&gt;0,$U35&gt;0)),"DESCRIÇÃO",
IF(AND($C35="S",$P35&lt;&gt;"",$Q35&lt;&gt;"",$S35=""),"UNIDADE",
IF(AND($C35="S",$P35&lt;&gt;"",$Q35&lt;&gt;"",$U35=0),"SEM CUSTO",
IF(AND(_xlfn.single(TIPOORCAMENTO)="Licitado",$AL35=0,$AN35&gt;0),"SEM PREÇO",
IF(AND($C35="S",$P35&lt;&gt;"",$Q35&lt;&gt;"",$U35&gt;0,$V35=0),"BDI",
IF(OR(AND(TIPOORCAMENTO="Proposto",LEFT($O$8,5)&lt;&gt;"(N/D:",$AG35&lt;&gt;"",ORÇAMENTO.CustoUnitario&gt;$AG35),AND(TIPOORCAMENTO="LICITADO",ORÇAMENTO.PrecoUnitarioLicitado&gt;$AN35)),"ACIMA REF.",
IF(AND($C35="S",$P35&lt;&gt;"",$Q35&lt;&gt;"",$T35=0,$U35&gt;0),"QUANT.",
IF(AND(Import.TipoArredondamento="TransfereGOV",$L35="F",$C35="S",LEN($Q35)&gt;13),"Código &gt;13",
IF(AND(Import.TipoArredondamento="TransfereGOV",$L35="F",$C35&lt;&gt;"S",LEN($R35)&gt;100),"Descrição &gt;100",
IF(AND(Import.TipoArredondamento="TransfereGOV",$L35="F",$C35="S",LEN($R35)&gt;500),"Descrição &gt;500",
IF(AND(Import.TipoArredondamento="TransfereGOV",$L35="F",$C35="S",LEFT(TRIM(UPPER($P35)),6)&lt;&gt;"SINAPI",ISNA(VLOOKUP(TRIM(UPPER($S35)),ListaTgov.Unidades,1,FALSE()))),"Unid. Não Disp",
" "))))))))))))))))</f>
        <v>#NAME?</v>
      </c>
      <c r="AD35" s="1" t="str">
        <f aca="true">IF(C35&lt;=CRONO.NivelExibicao,MAX($AD$15:OFFSET(AD35,-1,0))+IF($C35&lt;&gt;1,1,MAX(1,COUNTIF(QCI!$A$13:$A$15,OFFSET($E35,-1,0)))),"")</f>
        <v/>
      </c>
      <c r="AE35" s="50" t="str">
        <f aca="false">IF(AND($C35="S",ORÇAMENTO.CodBarra&lt;&gt;""),IF(ORÇAMENTO.Fonte="",ORÇAMENTO.CodBarra,CONCATENATE(ORÇAMENTO.Fonte," ",ORÇAMENTO.CodBarra)))</f>
        <v>SINAPI 104918</v>
      </c>
      <c r="AF35" s="65" t="str">
        <f aca="true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07-2025.xlsm)</v>
      </c>
      <c r="AG35" s="215" t="n">
        <f aca="true">ROUND(IF(DESONERACAO="sim",REFERENCIA.Desonerado,REFERENCIA.NaoDesonerado),2)</f>
        <v>0</v>
      </c>
      <c r="AH35" s="216" t="n">
        <f aca="false">ROUND(IF(ISNUMBER(ORÇAMENTO.OpcaoBDI),ORÇAMENTO.OpcaoBDI,IF(LEFT(ORÇAMENTO.OpcaoBDI,3)="BDI",HLOOKUP(ORÇAMENTO.OpcaoBDI,$F$4:$H$5,2,FALSE()),0)),15-11*$AF$9)</f>
        <v>0.2904</v>
      </c>
      <c r="AJ35" s="217"/>
      <c r="AL35" s="218"/>
      <c r="AM35" s="219" t="n">
        <f aca="false">$X35</f>
        <v>25641.25</v>
      </c>
      <c r="AN35" s="220" t="n">
        <f aca="false">ROUND(ORÇAMENTO.CustoUnitario*(1+$AH35),2)</f>
        <v>18.25</v>
      </c>
    </row>
    <row r="36" customFormat="false" ht="35.05" hidden="false" customHeight="false" outlineLevel="0" collapsed="false">
      <c r="A36" s="1" t="str">
        <f aca="false">CHOOSE(1+LOG(1+2*(ORÇAMENTO.Nivel="Meta")+4*(ORÇAMENTO.Nivel="Nível 2")+8*(ORÇAMENTO.Nivel="Nível 3")+16*(ORÇAMENTO.Nivel="Nível 4")+32*(ORÇAMENTO.Nivel="Serviço"),2),0,1,2,3,4,"S")</f>
        <v>S</v>
      </c>
      <c r="B36" s="1" t="n">
        <f aca="true">IF(OR(C36="s",C36=0),OFFSET(B36,-1,0),C36)</f>
        <v>2</v>
      </c>
      <c r="C36" s="1" t="str">
        <f aca="true">IF(OFFSET(C36,-1,0)="L",1,IF(OFFSET(C36,-1,0)=1,2,IF(OR(A36="s",A36=0),"S",IF(AND(OFFSET(C36,-1,0)=2,A36=4),3,IF(AND(OR(OFFSET(C36,-1,0)="s",OFFSET(C36,-1,0)=0),A36&lt;&gt;"s",A36&gt;OFFSET(B36,-1,0)),OFFSET(B36,-1,0),A36)))))</f>
        <v>S</v>
      </c>
      <c r="D36" s="1" t="n">
        <f aca="false">IF(OR(C36="S",C36=0),0,IF(ISERROR(K36),J36,SMALL(J36:K36,1)))</f>
        <v>0</v>
      </c>
      <c r="E36" s="1" t="n">
        <f aca="true">IF($C36=1,OFFSET(E36,-1,0)+MAX(1,COUNTIF(QCI!$A$13:$A$15,OFFSET(ORÇAMENTO!E36,-1,0))),OFFSET(E36,-1,0))</f>
        <v>1</v>
      </c>
      <c r="F36" s="1" t="n">
        <f aca="true">IF($C36=1,0,IF($C36=2,OFFSET(F36,-1,0)+1,OFFSET(F36,-1,0)))</f>
        <v>5</v>
      </c>
      <c r="G36" s="1" t="n">
        <f aca="true">IF(AND($C36&lt;=2,$C36&lt;&gt;0),0,IF($C36=3,OFFSET(G36,-1,0)+1,OFFSET(G36,-1,0)))</f>
        <v>0</v>
      </c>
      <c r="H36" s="1" t="n">
        <f aca="true">IF(AND($C36&lt;=3,$C36&lt;&gt;0),0,IF($C36=4,OFFSET(H36,-1,0)+1,OFFSET(H36,-1,0)))</f>
        <v>0</v>
      </c>
      <c r="I36" s="1" t="n">
        <f aca="true">IF(AND($C36&lt;=4,$C36&lt;&gt;0),0,IF(AND($C36="S",$X36&gt;0),OFFSET(I36,-1,0)+1,OFFSET(I36,-1,0)))</f>
        <v>7</v>
      </c>
      <c r="J36" s="1" t="n">
        <f aca="true">IF(OR($C36="S",$C36=0),0,MATCH(0,OFFSET($D36,1,$C36,ROW($C$205)-ROW($C36)),0))</f>
        <v>0</v>
      </c>
      <c r="K36" s="1" t="n">
        <f aca="true">IF(OR($C36="S",$C36=0),0,MATCH(OFFSET($D36,0,$C36)+IF($C36&lt;&gt;1,1,COUNTIF(QCI!$A$13:$A$15,ORÇAMENTO!E36)),OFFSET($D36,1,$C36,ROW($C$205)-ROW($C36)),0))</f>
        <v>0</v>
      </c>
      <c r="L36" s="199" t="str">
        <f aca="false">IF(OR($X36&gt;0,$C36=1,$C36=2,$C36=3,$C36=4),"F","")</f>
        <v>F</v>
      </c>
      <c r="M36" s="200" t="s">
        <v>735</v>
      </c>
      <c r="N36" s="201" t="str">
        <f aca="false">CHOOSE(1+LOG(1+2*(C36=1)+4*(C36=2)+8*(C36=3)+16*(C36=4)+32*(C36="S"),2),"","Meta","Nível 2","Nível 3","Nível 4","Serviço")</f>
        <v>Serviço</v>
      </c>
      <c r="O36" s="202" t="str">
        <f aca="false">IF(OR($C36=0,$L36=""),"-",CONCATENATE(E36&amp;".",IF(AND($A$5&gt;=2,$C36&gt;=2),F36&amp;".",""),IF(AND($A$5&gt;=3,$C36&gt;=3),G36&amp;".",""),IF(AND($A$5&gt;=4,$C36&gt;=4),H36&amp;".",""),IF($C36="S",I36&amp;".","")))</f>
        <v>1.5.7.</v>
      </c>
      <c r="P36" s="203" t="s">
        <v>780</v>
      </c>
      <c r="Q36" s="204" t="s">
        <v>807</v>
      </c>
      <c r="R36" s="205" t="s">
        <v>808</v>
      </c>
      <c r="S36" s="206" t="s">
        <v>644</v>
      </c>
      <c r="T36" s="207" t="n">
        <f aca="true">OFFSET(CÁLCULO!H$15,ROW($T36)-ROW(T$15),0)</f>
        <v>1880</v>
      </c>
      <c r="U36" s="208" t="n">
        <v>12.58</v>
      </c>
      <c r="V36" s="209" t="s">
        <v>690</v>
      </c>
      <c r="W36" s="207" t="n">
        <f aca="false">IF($C36="S",ROUND(IF(TIPOORCAMENTO="Proposto",ORÇAMENTO.CustoUnitario*(1+$AH36),ORÇAMENTO.PrecoUnitarioLicitado),15-13*$AF$10),0)</f>
        <v>16.23</v>
      </c>
      <c r="X36" s="210" t="n">
        <f aca="true" t="array" ref="X36:X36">IF($C36="S",IF(OR(Import.TipoArredondamento&lt;&gt;"TransfereGOV",ACOMPANHAMENTO="BM"),VTOTAL1,SUM(OFFSET(CÁLCULO!$AQ$15,ROW($X36)-ROW($X$15),1):OFFSET(CÁLCULO!$BR$15,ROW($X36)-ROW($X$15),-1))),IF($C36=0,0,ROUND(SomaAgrup,15-13*$AF$11)))</f>
        <v>30512.5</v>
      </c>
      <c r="Y36" s="211" t="s">
        <v>781</v>
      </c>
      <c r="Z36" s="1" t="str">
        <f aca="false">IF(AND($C36="S",$X36&gt;0),IF(ISBLANK($Y36),"RA",LEFT($Y36,2)),"")</f>
        <v>RA</v>
      </c>
      <c r="AA36" s="212" t="n">
        <f aca="true">IF($C36="S",IF($Z36="CP",$X36,IF($Z36="RA",(($X36)*QCI!$AA$3),0)),SomaAgrup)</f>
        <v>3386.3238292435</v>
      </c>
      <c r="AB36" s="213" t="n">
        <f aca="true">IF($C36="S",IF($Z36="OU",ROUND($X36,2),0),SomaAgrup)</f>
        <v>0</v>
      </c>
      <c r="AC36" s="214" t="e">
        <f aca="false" t="array" ref="AC36:AC36">IF($N36=""," ",
IF(AND($C36&lt;&gt;"S",OR($R36="",$R36="(digite a descrição aqui)")),"DESCRIÇÃO",
IF(AND($C36="S",OR($Q36&lt;&gt;"",$T36&gt;0,$U36&gt;0),$P36=""),"FONTE",
IF(AND($C36="S",$P36&lt;&gt;"",OR($T36&gt;0,$U36&gt;0),$Q36=""),"CÓDIGO",
IF(AND($C36="S",$P36&lt;&gt;"",$Q36&lt;&gt;"",$R36="(Código não identificado nas referências)"),"CÓDIGO N/ID",
IF(AND($C36="S",OR($R36="",$R36="(digite a descrição aqui)"),OR($Q36&lt;&gt;"",$T36&gt;0,$U36&gt;0)),"DESCRIÇÃO",
IF(AND($C36="S",$P36&lt;&gt;"",$Q36&lt;&gt;"",$S36=""),"UNIDADE",
IF(AND($C36="S",$P36&lt;&gt;"",$Q36&lt;&gt;"",$U36=0),"SEM CUSTO",
IF(AND(_xlfn.single(TIPOORCAMENTO)="Licitado",$AL36=0,$AN36&gt;0),"SEM PREÇO",
IF(AND($C36="S",$P36&lt;&gt;"",$Q36&lt;&gt;"",$U36&gt;0,$V36=0),"BDI",
IF(OR(AND(TIPOORCAMENTO="Proposto",LEFT($O$8,5)&lt;&gt;"(N/D:",$AG36&lt;&gt;"",ORÇAMENTO.CustoUnitario&gt;$AG36),AND(TIPOORCAMENTO="LICITADO",ORÇAMENTO.PrecoUnitarioLicitado&gt;$AN36)),"ACIMA REF.",
IF(AND($C36="S",$P36&lt;&gt;"",$Q36&lt;&gt;"",$T36=0,$U36&gt;0),"QUANT.",
IF(AND(Import.TipoArredondamento="TransfereGOV",$L36="F",$C36="S",LEN($Q36)&gt;13),"Código &gt;13",
IF(AND(Import.TipoArredondamento="TransfereGOV",$L36="F",$C36&lt;&gt;"S",LEN($R36)&gt;100),"Descrição &gt;100",
IF(AND(Import.TipoArredondamento="TransfereGOV",$L36="F",$C36="S",LEN($R36)&gt;500),"Descrição &gt;500",
IF(AND(Import.TipoArredondamento="TransfereGOV",$L36="F",$C36="S",LEFT(TRIM(UPPER($P36)),6)&lt;&gt;"SINAPI",ISNA(VLOOKUP(TRIM(UPPER($S36)),ListaTgov.Unidades,1,FALSE()))),"Unid. Não Disp",
" "))))))))))))))))</f>
        <v>#NAME?</v>
      </c>
      <c r="AD36" s="1" t="str">
        <f aca="true">IF(C36&lt;=CRONO.NivelExibicao,MAX($AD$15:OFFSET(AD36,-1,0))+IF($C36&lt;&gt;1,1,MAX(1,COUNTIF(QCI!$A$13:$A$15,OFFSET($E36,-1,0)))),"")</f>
        <v/>
      </c>
      <c r="AE36" s="50" t="str">
        <f aca="false">IF(AND($C36="S",ORÇAMENTO.CodBarra&lt;&gt;""),IF(ORÇAMENTO.Fonte="",ORÇAMENTO.CodBarra,CONCATENATE(ORÇAMENTO.Fonte," ",ORÇAMENTO.CodBarra)))</f>
        <v>SINAPI 104919</v>
      </c>
      <c r="AF36" s="65" t="str">
        <f aca="true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07-2025.xlsm)</v>
      </c>
      <c r="AG36" s="215" t="n">
        <f aca="true">ROUND(IF(DESONERACAO="sim",REFERENCIA.Desonerado,REFERENCIA.NaoDesonerado),2)</f>
        <v>0</v>
      </c>
      <c r="AH36" s="216" t="n">
        <f aca="false">ROUND(IF(ISNUMBER(ORÇAMENTO.OpcaoBDI),ORÇAMENTO.OpcaoBDI,IF(LEFT(ORÇAMENTO.OpcaoBDI,3)="BDI",HLOOKUP(ORÇAMENTO.OpcaoBDI,$F$4:$H$5,2,FALSE()),0)),15-11*$AF$9)</f>
        <v>0.2904</v>
      </c>
      <c r="AJ36" s="217"/>
      <c r="AL36" s="218"/>
      <c r="AM36" s="219" t="n">
        <f aca="false">$X36</f>
        <v>30512.5</v>
      </c>
      <c r="AN36" s="220" t="n">
        <f aca="false">ROUND(ORÇAMENTO.CustoUnitario*(1+$AH36),2)</f>
        <v>16.23</v>
      </c>
    </row>
    <row r="37" customFormat="false" ht="35.05" hidden="false" customHeight="false" outlineLevel="0" collapsed="false">
      <c r="A37" s="1" t="str">
        <f aca="false">CHOOSE(1+LOG(1+2*(ORÇAMENTO.Nivel="Meta")+4*(ORÇAMENTO.Nivel="Nível 2")+8*(ORÇAMENTO.Nivel="Nível 3")+16*(ORÇAMENTO.Nivel="Nível 4")+32*(ORÇAMENTO.Nivel="Serviço"),2),0,1,2,3,4,"S")</f>
        <v>S</v>
      </c>
      <c r="B37" s="1" t="n">
        <f aca="true">IF(OR(C37="s",C37=0),OFFSET(B37,-1,0),C37)</f>
        <v>2</v>
      </c>
      <c r="C37" s="1" t="str">
        <f aca="true">IF(OFFSET(C37,-1,0)="L",1,IF(OFFSET(C37,-1,0)=1,2,IF(OR(A37="s",A37=0),"S",IF(AND(OFFSET(C37,-1,0)=2,A37=4),3,IF(AND(OR(OFFSET(C37,-1,0)="s",OFFSET(C37,-1,0)=0),A37&lt;&gt;"s",A37&gt;OFFSET(B37,-1,0)),OFFSET(B37,-1,0),A37)))))</f>
        <v>S</v>
      </c>
      <c r="D37" s="1" t="n">
        <f aca="false">IF(OR(C37="S",C37=0),0,IF(ISERROR(K37),J37,SMALL(J37:K37,1)))</f>
        <v>0</v>
      </c>
      <c r="E37" s="1" t="n">
        <f aca="true">IF($C37=1,OFFSET(E37,-1,0)+MAX(1,COUNTIF(QCI!$A$13:$A$15,OFFSET(ORÇAMENTO!E37,-1,0))),OFFSET(E37,-1,0))</f>
        <v>1</v>
      </c>
      <c r="F37" s="1" t="n">
        <f aca="true">IF($C37=1,0,IF($C37=2,OFFSET(F37,-1,0)+1,OFFSET(F37,-1,0)))</f>
        <v>5</v>
      </c>
      <c r="G37" s="1" t="n">
        <f aca="true">IF(AND($C37&lt;=2,$C37&lt;&gt;0),0,IF($C37=3,OFFSET(G37,-1,0)+1,OFFSET(G37,-1,0)))</f>
        <v>0</v>
      </c>
      <c r="H37" s="1" t="n">
        <f aca="true">IF(AND($C37&lt;=3,$C37&lt;&gt;0),0,IF($C37=4,OFFSET(H37,-1,0)+1,OFFSET(H37,-1,0)))</f>
        <v>0</v>
      </c>
      <c r="I37" s="1" t="n">
        <f aca="true">IF(AND($C37&lt;=4,$C37&lt;&gt;0),0,IF(AND($C37="S",$X37&gt;0),OFFSET(I37,-1,0)+1,OFFSET(I37,-1,0)))</f>
        <v>8</v>
      </c>
      <c r="J37" s="1" t="n">
        <f aca="true">IF(OR($C37="S",$C37=0),0,MATCH(0,OFFSET($D37,1,$C37,ROW($C$205)-ROW($C37)),0))</f>
        <v>0</v>
      </c>
      <c r="K37" s="1" t="n">
        <f aca="true">IF(OR($C37="S",$C37=0),0,MATCH(OFFSET($D37,0,$C37)+IF($C37&lt;&gt;1,1,COUNTIF(QCI!$A$13:$A$15,ORÇAMENTO!E37)),OFFSET($D37,1,$C37,ROW($C$205)-ROW($C37)),0))</f>
        <v>0</v>
      </c>
      <c r="L37" s="199" t="str">
        <f aca="false">IF(OR($X37&gt;0,$C37=1,$C37=2,$C37=3,$C37=4),"F","")</f>
        <v>F</v>
      </c>
      <c r="M37" s="200" t="s">
        <v>735</v>
      </c>
      <c r="N37" s="201" t="str">
        <f aca="false">CHOOSE(1+LOG(1+2*(C37=1)+4*(C37=2)+8*(C37=3)+16*(C37=4)+32*(C37="S"),2),"","Meta","Nível 2","Nível 3","Nível 4","Serviço")</f>
        <v>Serviço</v>
      </c>
      <c r="O37" s="202" t="str">
        <f aca="false">IF(OR($C37=0,$L37=""),"-",CONCATENATE(E37&amp;".",IF(AND($A$5&gt;=2,$C37&gt;=2),F37&amp;".",""),IF(AND($A$5&gt;=3,$C37&gt;=3),G37&amp;".",""),IF(AND($A$5&gt;=4,$C37&gt;=4),H37&amp;".",""),IF($C37="S",I37&amp;".","")))</f>
        <v>1.5.8.</v>
      </c>
      <c r="P37" s="203" t="s">
        <v>780</v>
      </c>
      <c r="Q37" s="204" t="s">
        <v>809</v>
      </c>
      <c r="R37" s="205" t="s">
        <v>810</v>
      </c>
      <c r="S37" s="206" t="s">
        <v>652</v>
      </c>
      <c r="T37" s="207" t="n">
        <f aca="true">OFFSET(CÁLCULO!H$15,ROW($T37)-ROW(T$15),0)</f>
        <v>57</v>
      </c>
      <c r="U37" s="208" t="n">
        <v>787.76</v>
      </c>
      <c r="V37" s="209" t="s">
        <v>690</v>
      </c>
      <c r="W37" s="207" t="n">
        <f aca="false">IF($C37="S",ROUND(IF(TIPOORCAMENTO="Proposto",ORÇAMENTO.CustoUnitario*(1+$AH37),ORÇAMENTO.PrecoUnitarioLicitado),15-13*$AF$10),0)</f>
        <v>1016.53</v>
      </c>
      <c r="X37" s="210" t="n">
        <f aca="true" t="array" ref="X37:X37">IF($C37="S",IF(OR(Import.TipoArredondamento&lt;&gt;"TransfereGOV",ACOMPANHAMENTO="BM"),VTOTAL1,SUM(OFFSET(CÁLCULO!$AQ$15,ROW($X37)-ROW($X$15),1):OFFSET(CÁLCULO!$BR$15,ROW($X37)-ROW($X$15),-1))),IF($C37=0,0,ROUND(SomaAgrup,15-13*$AF$11)))</f>
        <v>57942.25</v>
      </c>
      <c r="Y37" s="211" t="s">
        <v>781</v>
      </c>
      <c r="Z37" s="1" t="str">
        <f aca="false">IF(AND($C37="S",$X37&gt;0),IF(ISBLANK($Y37),"RA",LEFT($Y37,2)),"")</f>
        <v>RA</v>
      </c>
      <c r="AA37" s="212" t="n">
        <f aca="true">IF($C37="S",IF($Z37="CP",$X37,IF($Z37="RA",(($X37)*QCI!$AA$3),0)),SomaAgrup)</f>
        <v>6430.51935747593</v>
      </c>
      <c r="AB37" s="213" t="n">
        <f aca="true">IF($C37="S",IF($Z37="OU",ROUND($X37,2),0),SomaAgrup)</f>
        <v>0</v>
      </c>
      <c r="AC37" s="214" t="e">
        <f aca="false" t="array" ref="AC37:AC37">IF($N37=""," ",
IF(AND($C37&lt;&gt;"S",OR($R37="",$R37="(digite a descrição aqui)")),"DESCRIÇÃO",
IF(AND($C37="S",OR($Q37&lt;&gt;"",$T37&gt;0,$U37&gt;0),$P37=""),"FONTE",
IF(AND($C37="S",$P37&lt;&gt;"",OR($T37&gt;0,$U37&gt;0),$Q37=""),"CÓDIGO",
IF(AND($C37="S",$P37&lt;&gt;"",$Q37&lt;&gt;"",$R37="(Código não identificado nas referências)"),"CÓDIGO N/ID",
IF(AND($C37="S",OR($R37="",$R37="(digite a descrição aqui)"),OR($Q37&lt;&gt;"",$T37&gt;0,$U37&gt;0)),"DESCRIÇÃO",
IF(AND($C37="S",$P37&lt;&gt;"",$Q37&lt;&gt;"",$S37=""),"UNIDADE",
IF(AND($C37="S",$P37&lt;&gt;"",$Q37&lt;&gt;"",$U37=0),"SEM CUSTO",
IF(AND(_xlfn.single(TIPOORCAMENTO)="Licitado",$AL37=0,$AN37&gt;0),"SEM PREÇO",
IF(AND($C37="S",$P37&lt;&gt;"",$Q37&lt;&gt;"",$U37&gt;0,$V37=0),"BDI",
IF(OR(AND(TIPOORCAMENTO="Proposto",LEFT($O$8,5)&lt;&gt;"(N/D:",$AG37&lt;&gt;"",ORÇAMENTO.CustoUnitario&gt;$AG37),AND(TIPOORCAMENTO="LICITADO",ORÇAMENTO.PrecoUnitarioLicitado&gt;$AN37)),"ACIMA REF.",
IF(AND($C37="S",$P37&lt;&gt;"",$Q37&lt;&gt;"",$T37=0,$U37&gt;0),"QUANT.",
IF(AND(Import.TipoArredondamento="TransfereGOV",$L37="F",$C37="S",LEN($Q37)&gt;13),"Código &gt;13",
IF(AND(Import.TipoArredondamento="TransfereGOV",$L37="F",$C37&lt;&gt;"S",LEN($R37)&gt;100),"Descrição &gt;100",
IF(AND(Import.TipoArredondamento="TransfereGOV",$L37="F",$C37="S",LEN($R37)&gt;500),"Descrição &gt;500",
IF(AND(Import.TipoArredondamento="TransfereGOV",$L37="F",$C37="S",LEFT(TRIM(UPPER($P37)),6)&lt;&gt;"SINAPI",ISNA(VLOOKUP(TRIM(UPPER($S37)),ListaTgov.Unidades,1,FALSE()))),"Unid. Não Disp",
" "))))))))))))))))</f>
        <v>#NAME?</v>
      </c>
      <c r="AD37" s="1" t="str">
        <f aca="true">IF(C37&lt;=CRONO.NivelExibicao,MAX($AD$15:OFFSET(AD37,-1,0))+IF($C37&lt;&gt;1,1,MAX(1,COUNTIF(QCI!$A$13:$A$15,OFFSET($E37,-1,0)))),"")</f>
        <v/>
      </c>
      <c r="AE37" s="50" t="str">
        <f aca="false">IF(AND($C37="S",ORÇAMENTO.CodBarra&lt;&gt;""),IF(ORÇAMENTO.Fonte="",ORÇAMENTO.CodBarra,CONCATENATE(ORÇAMENTO.Fonte," ",ORÇAMENTO.CodBarra)))</f>
        <v>SINAPI 96558</v>
      </c>
      <c r="AF37" s="65" t="str">
        <f aca="true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07-2025.xlsm)</v>
      </c>
      <c r="AG37" s="215" t="n">
        <f aca="true">ROUND(IF(DESONERACAO="sim",REFERENCIA.Desonerado,REFERENCIA.NaoDesonerado),2)</f>
        <v>0</v>
      </c>
      <c r="AH37" s="216" t="n">
        <f aca="false">ROUND(IF(ISNUMBER(ORÇAMENTO.OpcaoBDI),ORÇAMENTO.OpcaoBDI,IF(LEFT(ORÇAMENTO.OpcaoBDI,3)="BDI",HLOOKUP(ORÇAMENTO.OpcaoBDI,$F$4:$H$5,2,FALSE()),0)),15-11*$AF$9)</f>
        <v>0.2904</v>
      </c>
      <c r="AJ37" s="217"/>
      <c r="AL37" s="218"/>
      <c r="AM37" s="219" t="n">
        <f aca="false">$X37</f>
        <v>57942.25</v>
      </c>
      <c r="AN37" s="220" t="n">
        <f aca="false">ROUND(ORÇAMENTO.CustoUnitario*(1+$AH37),2)</f>
        <v>1016.53</v>
      </c>
    </row>
    <row r="38" customFormat="false" ht="23.85" hidden="false" customHeight="false" outlineLevel="0" collapsed="false">
      <c r="A38" s="1" t="str">
        <f aca="false">CHOOSE(1+LOG(1+2*(ORÇAMENTO.Nivel="Meta")+4*(ORÇAMENTO.Nivel="Nível 2")+8*(ORÇAMENTO.Nivel="Nível 3")+16*(ORÇAMENTO.Nivel="Nível 4")+32*(ORÇAMENTO.Nivel="Serviço"),2),0,1,2,3,4,"S")</f>
        <v>S</v>
      </c>
      <c r="B38" s="1" t="n">
        <f aca="true">IF(OR(C38="s",C38=0),OFFSET(B38,-1,0),C38)</f>
        <v>2</v>
      </c>
      <c r="C38" s="1" t="str">
        <f aca="true">IF(OFFSET(C38,-1,0)="L",1,IF(OFFSET(C38,-1,0)=1,2,IF(OR(A38="s",A38=0),"S",IF(AND(OFFSET(C38,-1,0)=2,A38=4),3,IF(AND(OR(OFFSET(C38,-1,0)="s",OFFSET(C38,-1,0)=0),A38&lt;&gt;"s",A38&gt;OFFSET(B38,-1,0)),OFFSET(B38,-1,0),A38)))))</f>
        <v>S</v>
      </c>
      <c r="D38" s="1" t="n">
        <f aca="false">IF(OR(C38="S",C38=0),0,IF(ISERROR(K38),J38,SMALL(J38:K38,1)))</f>
        <v>0</v>
      </c>
      <c r="E38" s="1" t="n">
        <f aca="true">IF($C38=1,OFFSET(E38,-1,0)+MAX(1,COUNTIF(QCI!$A$13:$A$15,OFFSET(ORÇAMENTO!E38,-1,0))),OFFSET(E38,-1,0))</f>
        <v>1</v>
      </c>
      <c r="F38" s="1" t="n">
        <f aca="true">IF($C38=1,0,IF($C38=2,OFFSET(F38,-1,0)+1,OFFSET(F38,-1,0)))</f>
        <v>5</v>
      </c>
      <c r="G38" s="1" t="n">
        <f aca="true">IF(AND($C38&lt;=2,$C38&lt;&gt;0),0,IF($C38=3,OFFSET(G38,-1,0)+1,OFFSET(G38,-1,0)))</f>
        <v>0</v>
      </c>
      <c r="H38" s="1" t="n">
        <f aca="true">IF(AND($C38&lt;=3,$C38&lt;&gt;0),0,IF($C38=4,OFFSET(H38,-1,0)+1,OFFSET(H38,-1,0)))</f>
        <v>0</v>
      </c>
      <c r="I38" s="1" t="n">
        <f aca="true">IF(AND($C38&lt;=4,$C38&lt;&gt;0),0,IF(AND($C38="S",$X38&gt;0),OFFSET(I38,-1,0)+1,OFFSET(I38,-1,0)))</f>
        <v>9</v>
      </c>
      <c r="J38" s="1" t="n">
        <f aca="true">IF(OR($C38="S",$C38=0),0,MATCH(0,OFFSET($D38,1,$C38,ROW($C$205)-ROW($C38)),0))</f>
        <v>0</v>
      </c>
      <c r="K38" s="1" t="n">
        <f aca="true">IF(OR($C38="S",$C38=0),0,MATCH(OFFSET($D38,0,$C38)+IF($C38&lt;&gt;1,1,COUNTIF(QCI!$A$13:$A$15,ORÇAMENTO!E38)),OFFSET($D38,1,$C38,ROW($C$205)-ROW($C38)),0))</f>
        <v>0</v>
      </c>
      <c r="L38" s="199" t="str">
        <f aca="false">IF(OR($X38&gt;0,$C38=1,$C38=2,$C38=3,$C38=4),"F","")</f>
        <v>F</v>
      </c>
      <c r="M38" s="200" t="s">
        <v>735</v>
      </c>
      <c r="N38" s="201" t="str">
        <f aca="false">CHOOSE(1+LOG(1+2*(C38=1)+4*(C38=2)+8*(C38=3)+16*(C38=4)+32*(C38="S"),2),"","Meta","Nível 2","Nível 3","Nível 4","Serviço")</f>
        <v>Serviço</v>
      </c>
      <c r="O38" s="202" t="str">
        <f aca="false">IF(OR($C38=0,$L38=""),"-",CONCATENATE(E38&amp;".",IF(AND($A$5&gt;=2,$C38&gt;=2),F38&amp;".",""),IF(AND($A$5&gt;=3,$C38&gt;=3),G38&amp;".",""),IF(AND($A$5&gt;=4,$C38&gt;=4),H38&amp;".",""),IF($C38="S",I38&amp;".","")))</f>
        <v>1.5.9.</v>
      </c>
      <c r="P38" s="203" t="s">
        <v>780</v>
      </c>
      <c r="Q38" s="204" t="n">
        <v>93382</v>
      </c>
      <c r="R38" s="205" t="str">
        <f aca="false">[1]PO!$D$23</f>
        <v>REATERRO MANUAL DE VALAS, COM COMPACTADOR DE SOLOS DE PERCUSSÃO. AF_08/2023</v>
      </c>
      <c r="S38" s="206" t="s">
        <v>652</v>
      </c>
      <c r="T38" s="207" t="n">
        <f aca="true">OFFSET(CÁLCULO!H$15,ROW($T38)-ROW(T$15),0)</f>
        <v>327</v>
      </c>
      <c r="U38" s="208" t="n">
        <f aca="false">[2]PO!$G$23</f>
        <v>26.28</v>
      </c>
      <c r="V38" s="209" t="s">
        <v>690</v>
      </c>
      <c r="W38" s="207" t="n">
        <f aca="false">IF($C38="S",ROUND(IF(TIPOORCAMENTO="Proposto",ORÇAMENTO.CustoUnitario*(1+$AH38),ORÇAMENTO.PrecoUnitarioLicitado),15-13*$AF$10),0)</f>
        <v>33.91</v>
      </c>
      <c r="X38" s="210" t="n">
        <f aca="true" t="array" ref="X38:X38">IF($C38="S",IF(OR(Import.TipoArredondamento&lt;&gt;"TransfereGOV",ACOMPANHAMENTO="BM"),VTOTAL1,SUM(OFFSET(CÁLCULO!$AQ$15,ROW($X38)-ROW($X$15),1):OFFSET(CÁLCULO!$BR$15,ROW($X38)-ROW($X$15),-1))),IF($C38=0,0,ROUND(SomaAgrup,15-13*$AF$11)))</f>
        <v>11088.5</v>
      </c>
      <c r="Y38" s="211" t="s">
        <v>781</v>
      </c>
      <c r="Z38" s="1" t="str">
        <f aca="false">IF(AND($C38="S",$X38&gt;0),IF(ISBLANK($Y38),"RA",LEFT($Y38,2)),"")</f>
        <v>RA</v>
      </c>
      <c r="AA38" s="212" t="n">
        <f aca="true">IF($C38="S",IF($Z38="CP",$X38,IF($Z38="RA",(($X38)*QCI!$AA$3),0)),SomaAgrup)</f>
        <v>1230.61865729018</v>
      </c>
      <c r="AB38" s="213" t="n">
        <f aca="true">IF($C38="S",IF($Z38="OU",ROUND($X38,2),0),SomaAgrup)</f>
        <v>0</v>
      </c>
      <c r="AC38" s="214" t="e">
        <f aca="false" t="array" ref="AC38:AC38">IF($N38=""," ",
IF(AND($C38&lt;&gt;"S",OR($R38="",$R38="(digite a descrição aqui)")),"DESCRIÇÃO",
IF(AND($C38="S",OR($Q38&lt;&gt;"",$T38&gt;0,$U38&gt;0),$P38=""),"FONTE",
IF(AND($C38="S",$P38&lt;&gt;"",OR($T38&gt;0,$U38&gt;0),$Q38=""),"CÓDIGO",
IF(AND($C38="S",$P38&lt;&gt;"",$Q38&lt;&gt;"",$R38="(Código não identificado nas referências)"),"CÓDIGO N/ID",
IF(AND($C38="S",OR($R38="",$R38="(digite a descrição aqui)"),OR($Q38&lt;&gt;"",$T38&gt;0,$U38&gt;0)),"DESCRIÇÃO",
IF(AND($C38="S",$P38&lt;&gt;"",$Q38&lt;&gt;"",$S38=""),"UNIDADE",
IF(AND($C38="S",$P38&lt;&gt;"",$Q38&lt;&gt;"",$U38=0),"SEM CUSTO",
IF(AND(_xlfn.single(TIPOORCAMENTO)="Licitado",$AL38=0,$AN38&gt;0),"SEM PREÇO",
IF(AND($C38="S",$P38&lt;&gt;"",$Q38&lt;&gt;"",$U38&gt;0,$V38=0),"BDI",
IF(OR(AND(TIPOORCAMENTO="Proposto",LEFT($O$8,5)&lt;&gt;"(N/D:",$AG38&lt;&gt;"",ORÇAMENTO.CustoUnitario&gt;$AG38),AND(TIPOORCAMENTO="LICITADO",ORÇAMENTO.PrecoUnitarioLicitado&gt;$AN38)),"ACIMA REF.",
IF(AND($C38="S",$P38&lt;&gt;"",$Q38&lt;&gt;"",$T38=0,$U38&gt;0),"QUANT.",
IF(AND(Import.TipoArredondamento="TransfereGOV",$L38="F",$C38="S",LEN($Q38)&gt;13),"Código &gt;13",
IF(AND(Import.TipoArredondamento="TransfereGOV",$L38="F",$C38&lt;&gt;"S",LEN($R38)&gt;100),"Descrição &gt;100",
IF(AND(Import.TipoArredondamento="TransfereGOV",$L38="F",$C38="S",LEN($R38)&gt;500),"Descrição &gt;500",
IF(AND(Import.TipoArredondamento="TransfereGOV",$L38="F",$C38="S",LEFT(TRIM(UPPER($P38)),6)&lt;&gt;"SINAPI",ISNA(VLOOKUP(TRIM(UPPER($S38)),ListaTgov.Unidades,1,FALSE()))),"Unid. Não Disp",
" "))))))))))))))))</f>
        <v>#NAME?</v>
      </c>
      <c r="AD38" s="1" t="str">
        <f aca="true">IF(C38&lt;=CRONO.NivelExibicao,MAX($AD$15:OFFSET(AD38,-1,0))+IF($C38&lt;&gt;1,1,MAX(1,COUNTIF(QCI!$A$13:$A$15,OFFSET($E38,-1,0)))),"")</f>
        <v/>
      </c>
      <c r="AE38" s="50" t="str">
        <f aca="false">IF(AND($C38="S",ORÇAMENTO.CodBarra&lt;&gt;""),IF(ORÇAMENTO.Fonte="",ORÇAMENTO.CodBarra,CONCATENATE(ORÇAMENTO.Fonte," ",ORÇAMENTO.CodBarra)))</f>
        <v>SINAPI 93382</v>
      </c>
      <c r="AF38" s="65" t="str">
        <f aca="true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07-2025.xlsm)</v>
      </c>
      <c r="AG38" s="215" t="n">
        <f aca="true">ROUND(IF(DESONERACAO="sim",REFERENCIA.Desonerado,REFERENCIA.NaoDesonerado),2)</f>
        <v>0</v>
      </c>
      <c r="AH38" s="216" t="n">
        <f aca="false">ROUND(IF(ISNUMBER(ORÇAMENTO.OpcaoBDI),ORÇAMENTO.OpcaoBDI,IF(LEFT(ORÇAMENTO.OpcaoBDI,3)="BDI",HLOOKUP(ORÇAMENTO.OpcaoBDI,$F$4:$H$5,2,FALSE()),0)),15-11*$AF$9)</f>
        <v>0.2904</v>
      </c>
      <c r="AJ38" s="217"/>
      <c r="AL38" s="218"/>
      <c r="AM38" s="219" t="n">
        <f aca="false">$X38</f>
        <v>11088.5</v>
      </c>
      <c r="AN38" s="220" t="n">
        <f aca="false">ROUND(ORÇAMENTO.CustoUnitario*(1+$AH38),2)</f>
        <v>33.91</v>
      </c>
    </row>
    <row r="39" customFormat="false" ht="12.75" hidden="false" customHeight="false" outlineLevel="0" collapsed="false">
      <c r="A39" s="1" t="n">
        <f aca="false">CHOOSE(1+LOG(1+2*(ORÇAMENTO.Nivel="Meta")+4*(ORÇAMENTO.Nivel="Nível 2")+8*(ORÇAMENTO.Nivel="Nível 3")+16*(ORÇAMENTO.Nivel="Nível 4")+32*(ORÇAMENTO.Nivel="Serviço"),2),0,1,2,3,4,"S")</f>
        <v>2</v>
      </c>
      <c r="B39" s="1" t="n">
        <f aca="true">IF(OR(C39="s",C39=0),OFFSET(B39,-1,0),C39)</f>
        <v>2</v>
      </c>
      <c r="C39" s="1" t="n">
        <f aca="true">IF(OFFSET(C39,-1,0)="L",1,IF(OFFSET(C39,-1,0)=1,2,IF(OR(A39="s",A39=0),"S",IF(AND(OFFSET(C39,-1,0)=2,A39=4),3,IF(AND(OR(OFFSET(C39,-1,0)="s",OFFSET(C39,-1,0)=0),A39&lt;&gt;"s",A39&gt;OFFSET(B39,-1,0)),OFFSET(B39,-1,0),A39)))))</f>
        <v>2</v>
      </c>
      <c r="D39" s="1" t="n">
        <f aca="false">IF(OR(C39="S",C39=0),0,IF(ISERROR(K39),J39,SMALL(J39:K39,1)))</f>
        <v>7</v>
      </c>
      <c r="E39" s="1" t="n">
        <f aca="true">IF($C39=1,OFFSET(E39,-1,0)+MAX(1,COUNTIF(QCI!$A$13:$A$15,OFFSET(ORÇAMENTO!E39,-1,0))),OFFSET(E39,-1,0))</f>
        <v>1</v>
      </c>
      <c r="F39" s="1" t="n">
        <f aca="true">IF($C39=1,0,IF($C39=2,OFFSET(F39,-1,0)+1,OFFSET(F39,-1,0)))</f>
        <v>6</v>
      </c>
      <c r="G39" s="1" t="n">
        <f aca="true">IF(AND($C39&lt;=2,$C39&lt;&gt;0),0,IF($C39=3,OFFSET(G39,-1,0)+1,OFFSET(G39,-1,0)))</f>
        <v>0</v>
      </c>
      <c r="H39" s="1" t="n">
        <f aca="true">IF(AND($C39&lt;=3,$C39&lt;&gt;0),0,IF($C39=4,OFFSET(H39,-1,0)+1,OFFSET(H39,-1,0)))</f>
        <v>0</v>
      </c>
      <c r="I39" s="1" t="n">
        <f aca="true">IF(AND($C39&lt;=4,$C39&lt;&gt;0),0,IF(AND($C39="S",$X39&gt;0),OFFSET(I39,-1,0)+1,OFFSET(I39,-1,0)))</f>
        <v>0</v>
      </c>
      <c r="J39" s="1" t="n">
        <f aca="true">IF(OR($C39="S",$C39=0),0,MATCH(0,OFFSET($D39,1,$C39,ROW($C$205)-ROW($C39)),0))</f>
        <v>166</v>
      </c>
      <c r="K39" s="1" t="n">
        <f aca="true">IF(OR($C39="S",$C39=0),0,MATCH(OFFSET($D39,0,$C39)+IF($C39&lt;&gt;1,1,COUNTIF(QCI!$A$13:$A$15,ORÇAMENTO!E39)),OFFSET($D39,1,$C39,ROW($C$205)-ROW($C39)),0))</f>
        <v>7</v>
      </c>
      <c r="L39" s="199" t="str">
        <f aca="false">IF(OR($X39&gt;0,$C39=1,$C39=2,$C39=3,$C39=4),"F","")</f>
        <v>F</v>
      </c>
      <c r="M39" s="200" t="s">
        <v>732</v>
      </c>
      <c r="N39" s="201" t="str">
        <f aca="false">CHOOSE(1+LOG(1+2*(C39=1)+4*(C39=2)+8*(C39=3)+16*(C39=4)+32*(C39="S"),2),"","Meta","Nível 2","Nível 3","Nível 4","Serviço")</f>
        <v>Nível 2</v>
      </c>
      <c r="O39" s="202" t="str">
        <f aca="false">IF(OR($C39=0,$L39=""),"-",CONCATENATE(E39&amp;".",IF(AND($A$5&gt;=2,$C39&gt;=2),F39&amp;".",""),IF(AND($A$5&gt;=3,$C39&gt;=3),G39&amp;".",""),IF(AND($A$5&gt;=4,$C39&gt;=4),H39&amp;".",""),IF($C39="S",I39&amp;".","")))</f>
        <v>1.6.</v>
      </c>
      <c r="P39" s="203" t="s">
        <v>780</v>
      </c>
      <c r="Q39" s="204"/>
      <c r="R39" s="205" t="str">
        <f aca="false">[1]PO!$B$24</f>
        <v>BALDRAMES</v>
      </c>
      <c r="S39" s="206" t="str">
        <f aca="true">REFERENCIA.Unidade</f>
        <v>-</v>
      </c>
      <c r="T39" s="207" t="n">
        <f aca="true">OFFSET(CÁLCULO!H$15,ROW($T39)-ROW(T$15),0)</f>
        <v>0</v>
      </c>
      <c r="U39" s="208"/>
      <c r="V39" s="209" t="s">
        <v>690</v>
      </c>
      <c r="W39" s="207" t="n">
        <f aca="false">IF($C39="S",ROUND(IF(TIPOORCAMENTO="Proposto",ORÇAMENTO.CustoUnitario*(1+$AH39),ORÇAMENTO.PrecoUnitarioLicitado),15-13*$AF$10),0)</f>
        <v>0</v>
      </c>
      <c r="X39" s="210" t="n">
        <f aca="true" t="array" ref="X39:X39">IF($C39="S",IF(OR(Import.TipoArredondamento&lt;&gt;"TransfereGOV",ACOMPANHAMENTO="BM"),VTOTAL1,SUM(OFFSET(CÁLCULO!$AQ$15,ROW($X39)-ROW($X$15),1):OFFSET(CÁLCULO!$BR$15,ROW($X39)-ROW($X$15),-1))),IF($C39=0,0,ROUND(SomaAgrup,15-13*$AF$11)))</f>
        <v>191847.5</v>
      </c>
      <c r="Y39" s="211" t="s">
        <v>781</v>
      </c>
      <c r="Z39" s="1" t="str">
        <f aca="false">IF(AND($C39="S",$X39&gt;0),IF(ISBLANK($Y39),"RA",LEFT($Y39,2)),"")</f>
        <v/>
      </c>
      <c r="AA39" s="212" t="n">
        <f aca="true">IF($C39="S",IF($Z39="CP",$X39,IF($Z39="RA",(($X39)*QCI!$AA$3),0)),SomaAgrup)</f>
        <v>21291.5284172321</v>
      </c>
      <c r="AB39" s="213" t="n">
        <f aca="true">IF($C39="S",IF($Z39="OU",ROUND($X39,2),0),SomaAgrup)</f>
        <v>0</v>
      </c>
      <c r="AC39" s="214" t="e">
        <f aca="false" t="array" ref="AC39:AC39">IF($N39=""," ",
IF(AND($C39&lt;&gt;"S",OR($R39="",$R39="(digite a descrição aqui)")),"DESCRIÇÃO",
IF(AND($C39="S",OR($Q39&lt;&gt;"",$T39&gt;0,$U39&gt;0),$P39=""),"FONTE",
IF(AND($C39="S",$P39&lt;&gt;"",OR($T39&gt;0,$U39&gt;0),$Q39=""),"CÓDIGO",
IF(AND($C39="S",$P39&lt;&gt;"",$Q39&lt;&gt;"",$R39="(Código não identificado nas referências)"),"CÓDIGO N/ID",
IF(AND($C39="S",OR($R39="",$R39="(digite a descrição aqui)"),OR($Q39&lt;&gt;"",$T39&gt;0,$U39&gt;0)),"DESCRIÇÃO",
IF(AND($C39="S",$P39&lt;&gt;"",$Q39&lt;&gt;"",$S39=""),"UNIDADE",
IF(AND($C39="S",$P39&lt;&gt;"",$Q39&lt;&gt;"",$U39=0),"SEM CUSTO",
IF(AND(_xlfn.single(TIPOORCAMENTO)="Licitado",$AL39=0,$AN39&gt;0),"SEM PREÇO",
IF(AND($C39="S",$P39&lt;&gt;"",$Q39&lt;&gt;"",$U39&gt;0,$V39=0),"BDI",
IF(OR(AND(TIPOORCAMENTO="Proposto",LEFT($O$8,5)&lt;&gt;"(N/D:",$AG39&lt;&gt;"",ORÇAMENTO.CustoUnitario&gt;$AG39),AND(TIPOORCAMENTO="LICITADO",ORÇAMENTO.PrecoUnitarioLicitado&gt;$AN39)),"ACIMA REF.",
IF(AND($C39="S",$P39&lt;&gt;"",$Q39&lt;&gt;"",$T39=0,$U39&gt;0),"QUANT.",
IF(AND(Import.TipoArredondamento="TransfereGOV",$L39="F",$C39="S",LEN($Q39)&gt;13),"Código &gt;13",
IF(AND(Import.TipoArredondamento="TransfereGOV",$L39="F",$C39&lt;&gt;"S",LEN($R39)&gt;100),"Descrição &gt;100",
IF(AND(Import.TipoArredondamento="TransfereGOV",$L39="F",$C39="S",LEN($R39)&gt;500),"Descrição &gt;500",
IF(AND(Import.TipoArredondamento="TransfereGOV",$L39="F",$C39="S",LEFT(TRIM(UPPER($P39)),6)&lt;&gt;"SINAPI",ISNA(VLOOKUP(TRIM(UPPER($S39)),ListaTgov.Unidades,1,FALSE()))),"Unid. Não Disp",
" "))))))))))))))))</f>
        <v>#NAME?</v>
      </c>
      <c r="AD39" s="38" t="n">
        <f aca="true">IF(C39&lt;=CRONO.NivelExibicao,MAX($AD$15:OFFSET(AD39,-1,0))+IF($C39&lt;&gt;1,1,MAX(1,COUNTIF(QCI!$A$13:$A$15,OFFSET($E39,-1,0)))),"")</f>
        <v>7</v>
      </c>
      <c r="AE39" s="50" t="b">
        <f aca="false">IF(AND($C39="S",ORÇAMENTO.CodBarra&lt;&gt;""),IF(ORÇAMENTO.Fonte="",ORÇAMENTO.CodBarra,CONCATENATE(ORÇAMENTO.Fonte," ",ORÇAMENTO.CodBarra)))</f>
        <v>0</v>
      </c>
      <c r="AF39" s="65" t="str">
        <f aca="true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07-2025.xlsm)</v>
      </c>
      <c r="AG39" s="215" t="n">
        <f aca="true">ROUND(IF(DESONERACAO="sim",REFERENCIA.Desonerado,REFERENCIA.NaoDesonerado),2)</f>
        <v>0</v>
      </c>
      <c r="AH39" s="216" t="n">
        <f aca="false">ROUND(IF(ISNUMBER(ORÇAMENTO.OpcaoBDI),ORÇAMENTO.OpcaoBDI,IF(LEFT(ORÇAMENTO.OpcaoBDI,3)="BDI",HLOOKUP(ORÇAMENTO.OpcaoBDI,$F$4:$H$5,2,FALSE()),0)),15-11*$AF$9)</f>
        <v>0.2904</v>
      </c>
      <c r="AJ39" s="217"/>
      <c r="AL39" s="218"/>
      <c r="AM39" s="219" t="n">
        <f aca="false">$X39</f>
        <v>191847.5</v>
      </c>
      <c r="AN39" s="220" t="n">
        <f aca="false">ROUND(ORÇAMENTO.CustoUnitario*(1+$AH39),2)</f>
        <v>0</v>
      </c>
    </row>
    <row r="40" customFormat="false" ht="23.85" hidden="false" customHeight="false" outlineLevel="0" collapsed="false">
      <c r="A40" s="1" t="str">
        <f aca="false">CHOOSE(1+LOG(1+2*(ORÇAMENTO.Nivel="Meta")+4*(ORÇAMENTO.Nivel="Nível 2")+8*(ORÇAMENTO.Nivel="Nível 3")+16*(ORÇAMENTO.Nivel="Nível 4")+32*(ORÇAMENTO.Nivel="Serviço"),2),0,1,2,3,4,"S")</f>
        <v>S</v>
      </c>
      <c r="B40" s="1" t="n">
        <f aca="true">IF(OR(C40="s",C40=0),OFFSET(B40,-1,0),C40)</f>
        <v>2</v>
      </c>
      <c r="C40" s="1" t="str">
        <f aca="true">IF(OFFSET(C40,-1,0)="L",1,IF(OFFSET(C40,-1,0)=1,2,IF(OR(A40="s",A40=0),"S",IF(AND(OFFSET(C40,-1,0)=2,A40=4),3,IF(AND(OR(OFFSET(C40,-1,0)="s",OFFSET(C40,-1,0)=0),A40&lt;&gt;"s",A40&gt;OFFSET(B40,-1,0)),OFFSET(B40,-1,0),A40)))))</f>
        <v>S</v>
      </c>
      <c r="D40" s="1" t="n">
        <f aca="false">IF(OR(C40="S",C40=0),0,IF(ISERROR(K40),J40,SMALL(J40:K40,1)))</f>
        <v>0</v>
      </c>
      <c r="E40" s="1" t="n">
        <f aca="true">IF($C40=1,OFFSET(E40,-1,0)+MAX(1,COUNTIF(QCI!$A$13:$A$15,OFFSET(ORÇAMENTO!E40,-1,0))),OFFSET(E40,-1,0))</f>
        <v>1</v>
      </c>
      <c r="F40" s="1" t="n">
        <f aca="true">IF($C40=1,0,IF($C40=2,OFFSET(F40,-1,0)+1,OFFSET(F40,-1,0)))</f>
        <v>6</v>
      </c>
      <c r="G40" s="1" t="n">
        <f aca="true">IF(AND($C40&lt;=2,$C40&lt;&gt;0),0,IF($C40=3,OFFSET(G40,-1,0)+1,OFFSET(G40,-1,0)))</f>
        <v>0</v>
      </c>
      <c r="H40" s="1" t="n">
        <f aca="true">IF(AND($C40&lt;=3,$C40&lt;&gt;0),0,IF($C40=4,OFFSET(H40,-1,0)+1,OFFSET(H40,-1,0)))</f>
        <v>0</v>
      </c>
      <c r="I40" s="1" t="n">
        <f aca="true">IF(AND($C40&lt;=4,$C40&lt;&gt;0),0,IF(AND($C40="S",$X40&gt;0),OFFSET(I40,-1,0)+1,OFFSET(I40,-1,0)))</f>
        <v>1</v>
      </c>
      <c r="J40" s="1" t="n">
        <f aca="true">IF(OR($C40="S",$C40=0),0,MATCH(0,OFFSET($D40,1,$C40,ROW($C$205)-ROW($C40)),0))</f>
        <v>0</v>
      </c>
      <c r="K40" s="1" t="n">
        <f aca="true">IF(OR($C40="S",$C40=0),0,MATCH(OFFSET($D40,0,$C40)+IF($C40&lt;&gt;1,1,COUNTIF(QCI!$A$13:$A$15,ORÇAMENTO!E40)),OFFSET($D40,1,$C40,ROW($C$205)-ROW($C40)),0))</f>
        <v>0</v>
      </c>
      <c r="L40" s="199" t="str">
        <f aca="false">IF(OR($X40&gt;0,$C40=1,$C40=2,$C40=3,$C40=4),"F","")</f>
        <v>F</v>
      </c>
      <c r="M40" s="200" t="s">
        <v>735</v>
      </c>
      <c r="N40" s="201" t="str">
        <f aca="false">CHOOSE(1+LOG(1+2*(C40=1)+4*(C40=2)+8*(C40=3)+16*(C40=4)+32*(C40="S"),2),"","Meta","Nível 2","Nível 3","Nível 4","Serviço")</f>
        <v>Serviço</v>
      </c>
      <c r="O40" s="202" t="str">
        <f aca="false">IF(OR($C40=0,$L40=""),"-",CONCATENATE(E40&amp;".",IF(AND($A$5&gt;=2,$C40&gt;=2),F40&amp;".",""),IF(AND($A$5&gt;=3,$C40&gt;=3),G40&amp;".",""),IF(AND($A$5&gt;=4,$C40&gt;=4),H40&amp;".",""),IF($C40="S",I40&amp;".","")))</f>
        <v>1.6.1.</v>
      </c>
      <c r="P40" s="203" t="s">
        <v>780</v>
      </c>
      <c r="Q40" s="204" t="s">
        <v>811</v>
      </c>
      <c r="R40" s="205" t="str">
        <f aca="false">[3]ORÇAMENTO!$R$28</f>
        <v>ESCAVAÇÃO MANUAL PARA VIGA BALDRAME OU SAPATA CORRIDA (INCLUINDO ESCAVAÇÃO PARA COLOCAÇÃO DE FÔRMAS)</v>
      </c>
      <c r="S40" s="206" t="s">
        <v>652</v>
      </c>
      <c r="T40" s="207" t="n">
        <f aca="true">OFFSET(CÁLCULO!H$15,ROW($T40)-ROW(T$15),0)</f>
        <v>45.75</v>
      </c>
      <c r="U40" s="208" t="n">
        <v>102.24</v>
      </c>
      <c r="V40" s="209" t="s">
        <v>690</v>
      </c>
      <c r="W40" s="207" t="n">
        <f aca="false">IF($C40="S",ROUND(IF(TIPOORCAMENTO="Proposto",ORÇAMENTO.CustoUnitario*(1+$AH40),ORÇAMENTO.PrecoUnitarioLicitado),15-13*$AF$10),0)</f>
        <v>131.93</v>
      </c>
      <c r="X40" s="210" t="n">
        <f aca="true" t="array" ref="X40:X40">IF($C40="S",IF(OR(Import.TipoArredondamento&lt;&gt;"TransfereGOV",ACOMPANHAMENTO="BM"),VTOTAL1,SUM(OFFSET(CÁLCULO!$AQ$15,ROW($X40)-ROW($X$15),1):OFFSET(CÁLCULO!$BR$15,ROW($X40)-ROW($X$15),-1))),IF($C40=0,0,ROUND(SomaAgrup,15-13*$AF$11)))</f>
        <v>6035.75</v>
      </c>
      <c r="Y40" s="211" t="s">
        <v>781</v>
      </c>
      <c r="Z40" s="1" t="str">
        <f aca="false">IF(AND($C40="S",$X40&gt;0),IF(ISBLANK($Y40),"RA",LEFT($Y40,2)),"")</f>
        <v>RA</v>
      </c>
      <c r="AA40" s="212" t="n">
        <f aca="true">IF($C40="S",IF($Z40="CP",$X40,IF($Z40="RA",(($X40)*QCI!$AA$3),0)),SomaAgrup)</f>
        <v>669.856748950642</v>
      </c>
      <c r="AB40" s="213" t="n">
        <f aca="true">IF($C40="S",IF($Z40="OU",ROUND($X40,2),0),SomaAgrup)</f>
        <v>0</v>
      </c>
      <c r="AC40" s="214" t="e">
        <f aca="false" t="array" ref="AC40:AC40">IF($N40=""," ",
IF(AND($C40&lt;&gt;"S",OR($R40="",$R40="(digite a descrição aqui)")),"DESCRIÇÃO",
IF(AND($C40="S",OR($Q40&lt;&gt;"",$T40&gt;0,$U40&gt;0),$P40=""),"FONTE",
IF(AND($C40="S",$P40&lt;&gt;"",OR($T40&gt;0,$U40&gt;0),$Q40=""),"CÓDIGO",
IF(AND($C40="S",$P40&lt;&gt;"",$Q40&lt;&gt;"",$R40="(Código não identificado nas referências)"),"CÓDIGO N/ID",
IF(AND($C40="S",OR($R40="",$R40="(digite a descrição aqui)"),OR($Q40&lt;&gt;"",$T40&gt;0,$U40&gt;0)),"DESCRIÇÃO",
IF(AND($C40="S",$P40&lt;&gt;"",$Q40&lt;&gt;"",$S40=""),"UNIDADE",
IF(AND($C40="S",$P40&lt;&gt;"",$Q40&lt;&gt;"",$U40=0),"SEM CUSTO",
IF(AND(_xlfn.single(TIPOORCAMENTO)="Licitado",$AL40=0,$AN40&gt;0),"SEM PREÇO",
IF(AND($C40="S",$P40&lt;&gt;"",$Q40&lt;&gt;"",$U40&gt;0,$V40=0),"BDI",
IF(OR(AND(TIPOORCAMENTO="Proposto",LEFT($O$8,5)&lt;&gt;"(N/D:",$AG40&lt;&gt;"",ORÇAMENTO.CustoUnitario&gt;$AG40),AND(TIPOORCAMENTO="LICITADO",ORÇAMENTO.PrecoUnitarioLicitado&gt;$AN40)),"ACIMA REF.",
IF(AND($C40="S",$P40&lt;&gt;"",$Q40&lt;&gt;"",$T40=0,$U40&gt;0),"QUANT.",
IF(AND(Import.TipoArredondamento="TransfereGOV",$L40="F",$C40="S",LEN($Q40)&gt;13),"Código &gt;13",
IF(AND(Import.TipoArredondamento="TransfereGOV",$L40="F",$C40&lt;&gt;"S",LEN($R40)&gt;100),"Descrição &gt;100",
IF(AND(Import.TipoArredondamento="TransfereGOV",$L40="F",$C40="S",LEN($R40)&gt;500),"Descrição &gt;500",
IF(AND(Import.TipoArredondamento="TransfereGOV",$L40="F",$C40="S",LEFT(TRIM(UPPER($P40)),6)&lt;&gt;"SINAPI",ISNA(VLOOKUP(TRIM(UPPER($S40)),ListaTgov.Unidades,1,FALSE()))),"Unid. Não Disp",
" "))))))))))))))))</f>
        <v>#NAME?</v>
      </c>
      <c r="AD40" s="1" t="str">
        <f aca="true">IF(C40&lt;=CRONO.NivelExibicao,MAX($AD$15:OFFSET(AD40,-1,0))+IF($C40&lt;&gt;1,1,MAX(1,COUNTIF(QCI!$A$13:$A$15,OFFSET($E40,-1,0)))),"")</f>
        <v/>
      </c>
      <c r="AE40" s="50" t="str">
        <f aca="false">IF(AND($C40="S",ORÇAMENTO.CodBarra&lt;&gt;""),IF(ORÇAMENTO.Fonte="",ORÇAMENTO.CodBarra,CONCATENATE(ORÇAMENTO.Fonte," ",ORÇAMENTO.CodBarra)))</f>
        <v>SINAPI 96527</v>
      </c>
      <c r="AF40" s="65" t="str">
        <f aca="true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07-2025.xlsm)</v>
      </c>
      <c r="AG40" s="215" t="n">
        <f aca="true">ROUND(IF(DESONERACAO="sim",REFERENCIA.Desonerado,REFERENCIA.NaoDesonerado),2)</f>
        <v>0</v>
      </c>
      <c r="AH40" s="216" t="n">
        <f aca="false">ROUND(IF(ISNUMBER(ORÇAMENTO.OpcaoBDI),ORÇAMENTO.OpcaoBDI,IF(LEFT(ORÇAMENTO.OpcaoBDI,3)="BDI",HLOOKUP(ORÇAMENTO.OpcaoBDI,$F$4:$H$5,2,FALSE()),0)),15-11*$AF$9)</f>
        <v>0.2904</v>
      </c>
      <c r="AJ40" s="217"/>
      <c r="AL40" s="218"/>
      <c r="AM40" s="219" t="n">
        <f aca="false">$X40</f>
        <v>6035.75</v>
      </c>
      <c r="AN40" s="220" t="n">
        <f aca="false">ROUND(ORÇAMENTO.CustoUnitario*(1+$AH40),2)</f>
        <v>131.93</v>
      </c>
    </row>
    <row r="41" customFormat="false" ht="23.85" hidden="false" customHeight="false" outlineLevel="0" collapsed="false">
      <c r="A41" s="1" t="str">
        <f aca="false">CHOOSE(1+LOG(1+2*(ORÇAMENTO.Nivel="Meta")+4*(ORÇAMENTO.Nivel="Nível 2")+8*(ORÇAMENTO.Nivel="Nível 3")+16*(ORÇAMENTO.Nivel="Nível 4")+32*(ORÇAMENTO.Nivel="Serviço"),2),0,1,2,3,4,"S")</f>
        <v>S</v>
      </c>
      <c r="B41" s="1" t="n">
        <f aca="true">IF(OR(C41="s",C41=0),OFFSET(B41,-1,0),C41)</f>
        <v>2</v>
      </c>
      <c r="C41" s="1" t="str">
        <f aca="true">IF(OFFSET(C41,-1,0)="L",1,IF(OFFSET(C41,-1,0)=1,2,IF(OR(A41="s",A41=0),"S",IF(AND(OFFSET(C41,-1,0)=2,A41=4),3,IF(AND(OR(OFFSET(C41,-1,0)="s",OFFSET(C41,-1,0)=0),A41&lt;&gt;"s",A41&gt;OFFSET(B41,-1,0)),OFFSET(B41,-1,0),A41)))))</f>
        <v>S</v>
      </c>
      <c r="D41" s="1" t="n">
        <f aca="false">IF(OR(C41="S",C41=0),0,IF(ISERROR(K41),J41,SMALL(J41:K41,1)))</f>
        <v>0</v>
      </c>
      <c r="E41" s="1" t="n">
        <f aca="true">IF($C41=1,OFFSET(E41,-1,0)+MAX(1,COUNTIF(QCI!$A$13:$A$15,OFFSET(ORÇAMENTO!E41,-1,0))),OFFSET(E41,-1,0))</f>
        <v>1</v>
      </c>
      <c r="F41" s="1" t="n">
        <f aca="true">IF($C41=1,0,IF($C41=2,OFFSET(F41,-1,0)+1,OFFSET(F41,-1,0)))</f>
        <v>6</v>
      </c>
      <c r="G41" s="1" t="n">
        <f aca="true">IF(AND($C41&lt;=2,$C41&lt;&gt;0),0,IF($C41=3,OFFSET(G41,-1,0)+1,OFFSET(G41,-1,0)))</f>
        <v>0</v>
      </c>
      <c r="H41" s="1" t="n">
        <f aca="true">IF(AND($C41&lt;=3,$C41&lt;&gt;0),0,IF($C41=4,OFFSET(H41,-1,0)+1,OFFSET(H41,-1,0)))</f>
        <v>0</v>
      </c>
      <c r="I41" s="1" t="n">
        <f aca="true">IF(AND($C41&lt;=4,$C41&lt;&gt;0),0,IF(AND($C41="S",$X41&gt;0),OFFSET(I41,-1,0)+1,OFFSET(I41,-1,0)))</f>
        <v>2</v>
      </c>
      <c r="J41" s="1" t="n">
        <f aca="true">IF(OR($C41="S",$C41=0),0,MATCH(0,OFFSET($D41,1,$C41,ROW($C$205)-ROW($C41)),0))</f>
        <v>0</v>
      </c>
      <c r="K41" s="1" t="n">
        <f aca="true">IF(OR($C41="S",$C41=0),0,MATCH(OFFSET($D41,0,$C41)+IF($C41&lt;&gt;1,1,COUNTIF(QCI!$A$13:$A$15,ORÇAMENTO!E41)),OFFSET($D41,1,$C41,ROW($C$205)-ROW($C41)),0))</f>
        <v>0</v>
      </c>
      <c r="L41" s="199" t="str">
        <f aca="false">IF(OR($X41&gt;0,$C41=1,$C41=2,$C41=3,$C41=4),"F","")</f>
        <v>F</v>
      </c>
      <c r="M41" s="200" t="s">
        <v>735</v>
      </c>
      <c r="N41" s="201" t="str">
        <f aca="false">CHOOSE(1+LOG(1+2*(C41=1)+4*(C41=2)+8*(C41=3)+16*(C41=4)+32*(C41="S"),2),"","Meta","Nível 2","Nível 3","Nível 4","Serviço")</f>
        <v>Serviço</v>
      </c>
      <c r="O41" s="202" t="str">
        <f aca="false">IF(OR($C41=0,$L41=""),"-",CONCATENATE(E41&amp;".",IF(AND($A$5&gt;=2,$C41&gt;=2),F41&amp;".",""),IF(AND($A$5&gt;=3,$C41&gt;=3),G41&amp;".",""),IF(AND($A$5&gt;=4,$C41&gt;=4),H41&amp;".",""),IF($C41="S",I41&amp;".","")))</f>
        <v>1.6.2.</v>
      </c>
      <c r="P41" s="203" t="s">
        <v>780</v>
      </c>
      <c r="Q41" s="204" t="s">
        <v>812</v>
      </c>
      <c r="R41" s="205" t="s">
        <v>813</v>
      </c>
      <c r="S41" s="206" t="s">
        <v>650</v>
      </c>
      <c r="T41" s="207" t="n">
        <f aca="true">OFFSET(CÁLCULO!H$15,ROW($T41)-ROW(T$15),0)</f>
        <v>206.5</v>
      </c>
      <c r="U41" s="208" t="n">
        <v>43.74</v>
      </c>
      <c r="V41" s="209" t="s">
        <v>690</v>
      </c>
      <c r="W41" s="207" t="n">
        <f aca="false">IF($C41="S",ROUND(IF(TIPOORCAMENTO="Proposto",ORÇAMENTO.CustoUnitario*(1+$AH41),ORÇAMENTO.PrecoUnitarioLicitado),15-13*$AF$10),0)</f>
        <v>56.44</v>
      </c>
      <c r="X41" s="210" t="n">
        <f aca="true" t="array" ref="X41:X41">IF($C41="S",IF(OR(Import.TipoArredondamento&lt;&gt;"TransfereGOV",ACOMPANHAMENTO="BM"),VTOTAL1,SUM(OFFSET(CÁLCULO!$AQ$15,ROW($X41)-ROW($X$15),1):OFFSET(CÁLCULO!$BR$15,ROW($X41)-ROW($X$15),-1))),IF($C41=0,0,ROUND(SomaAgrup,15-13*$AF$11)))</f>
        <v>11654.75</v>
      </c>
      <c r="Y41" s="211" t="s">
        <v>781</v>
      </c>
      <c r="Z41" s="1" t="str">
        <f aca="false">IF(AND($C41="S",$X41&gt;0),IF(ISBLANK($Y41),"RA",LEFT($Y41,2)),"")</f>
        <v>RA</v>
      </c>
      <c r="AA41" s="212" t="n">
        <f aca="true">IF($C41="S",IF($Z41="CP",$X41,IF($Z41="RA",(($X41)*QCI!$AA$3),0)),SomaAgrup)</f>
        <v>1293.46194670629</v>
      </c>
      <c r="AB41" s="213" t="n">
        <f aca="true">IF($C41="S",IF($Z41="OU",ROUND($X41,2),0),SomaAgrup)</f>
        <v>0</v>
      </c>
      <c r="AC41" s="214" t="e">
        <f aca="false" t="array" ref="AC41:AC41">IF($N41=""," ",
IF(AND($C41&lt;&gt;"S",OR($R41="",$R41="(digite a descrição aqui)")),"DESCRIÇÃO",
IF(AND($C41="S",OR($Q41&lt;&gt;"",$T41&gt;0,$U41&gt;0),$P41=""),"FONTE",
IF(AND($C41="S",$P41&lt;&gt;"",OR($T41&gt;0,$U41&gt;0),$Q41=""),"CÓDIGO",
IF(AND($C41="S",$P41&lt;&gt;"",$Q41&lt;&gt;"",$R41="(Código não identificado nas referências)"),"CÓDIGO N/ID",
IF(AND($C41="S",OR($R41="",$R41="(digite a descrição aqui)"),OR($Q41&lt;&gt;"",$T41&gt;0,$U41&gt;0)),"DESCRIÇÃO",
IF(AND($C41="S",$P41&lt;&gt;"",$Q41&lt;&gt;"",$S41=""),"UNIDADE",
IF(AND($C41="S",$P41&lt;&gt;"",$Q41&lt;&gt;"",$U41=0),"SEM CUSTO",
IF(AND(_xlfn.single(TIPOORCAMENTO)="Licitado",$AL41=0,$AN41&gt;0),"SEM PREÇO",
IF(AND($C41="S",$P41&lt;&gt;"",$Q41&lt;&gt;"",$U41&gt;0,$V41=0),"BDI",
IF(OR(AND(TIPOORCAMENTO="Proposto",LEFT($O$8,5)&lt;&gt;"(N/D:",$AG41&lt;&gt;"",ORÇAMENTO.CustoUnitario&gt;$AG41),AND(TIPOORCAMENTO="LICITADO",ORÇAMENTO.PrecoUnitarioLicitado&gt;$AN41)),"ACIMA REF.",
IF(AND($C41="S",$P41&lt;&gt;"",$Q41&lt;&gt;"",$T41=0,$U41&gt;0),"QUANT.",
IF(AND(Import.TipoArredondamento="TransfereGOV",$L41="F",$C41="S",LEN($Q41)&gt;13),"Código &gt;13",
IF(AND(Import.TipoArredondamento="TransfereGOV",$L41="F",$C41&lt;&gt;"S",LEN($R41)&gt;100),"Descrição &gt;100",
IF(AND(Import.TipoArredondamento="TransfereGOV",$L41="F",$C41="S",LEN($R41)&gt;500),"Descrição &gt;500",
IF(AND(Import.TipoArredondamento="TransfereGOV",$L41="F",$C41="S",LEFT(TRIM(UPPER($P41)),6)&lt;&gt;"SINAPI",ISNA(VLOOKUP(TRIM(UPPER($S41)),ListaTgov.Unidades,1,FALSE()))),"Unid. Não Disp",
" "))))))))))))))))</f>
        <v>#NAME?</v>
      </c>
      <c r="AD41" s="1" t="str">
        <f aca="true">IF(C41&lt;=CRONO.NivelExibicao,MAX($AD$15:OFFSET(AD41,-1,0))+IF($C41&lt;&gt;1,1,MAX(1,COUNTIF(QCI!$A$13:$A$15,OFFSET($E41,-1,0)))),"")</f>
        <v/>
      </c>
      <c r="AE41" s="50" t="str">
        <f aca="false">IF(AND($C41="S",ORÇAMENTO.CodBarra&lt;&gt;""),IF(ORÇAMENTO.Fonte="",ORÇAMENTO.CodBarra,CONCATENATE(ORÇAMENTO.Fonte," ",ORÇAMENTO.CodBarra)))</f>
        <v>SINAPI 96619</v>
      </c>
      <c r="AF41" s="65" t="str">
        <f aca="true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07-2025.xlsm)</v>
      </c>
      <c r="AG41" s="215" t="n">
        <f aca="true">ROUND(IF(DESONERACAO="sim",REFERENCIA.Desonerado,REFERENCIA.NaoDesonerado),2)</f>
        <v>0</v>
      </c>
      <c r="AH41" s="216" t="n">
        <f aca="false">ROUND(IF(ISNUMBER(ORÇAMENTO.OpcaoBDI),ORÇAMENTO.OpcaoBDI,IF(LEFT(ORÇAMENTO.OpcaoBDI,3)="BDI",HLOOKUP(ORÇAMENTO.OpcaoBDI,$F$4:$H$5,2,FALSE()),0)),15-11*$AF$9)</f>
        <v>0.2904</v>
      </c>
      <c r="AJ41" s="217"/>
      <c r="AL41" s="218"/>
      <c r="AM41" s="219" t="n">
        <f aca="false">$X41</f>
        <v>11654.75</v>
      </c>
      <c r="AN41" s="220" t="n">
        <f aca="false">ROUND(ORÇAMENTO.CustoUnitario*(1+$AH41),2)</f>
        <v>56.44</v>
      </c>
    </row>
    <row r="42" customFormat="false" ht="23.85" hidden="false" customHeight="false" outlineLevel="0" collapsed="false">
      <c r="A42" s="1" t="str">
        <f aca="false">CHOOSE(1+LOG(1+2*(ORÇAMENTO.Nivel="Meta")+4*(ORÇAMENTO.Nivel="Nível 2")+8*(ORÇAMENTO.Nivel="Nível 3")+16*(ORÇAMENTO.Nivel="Nível 4")+32*(ORÇAMENTO.Nivel="Serviço"),2),0,1,2,3,4,"S")</f>
        <v>S</v>
      </c>
      <c r="B42" s="1" t="n">
        <f aca="true">IF(OR(C42="s",C42=0),OFFSET(B42,-1,0),C42)</f>
        <v>2</v>
      </c>
      <c r="C42" s="1" t="str">
        <f aca="true">IF(OFFSET(C42,-1,0)="L",1,IF(OFFSET(C42,-1,0)=1,2,IF(OR(A42="s",A42=0),"S",IF(AND(OFFSET(C42,-1,0)=2,A42=4),3,IF(AND(OR(OFFSET(C42,-1,0)="s",OFFSET(C42,-1,0)=0),A42&lt;&gt;"s",A42&gt;OFFSET(B42,-1,0)),OFFSET(B42,-1,0),A42)))))</f>
        <v>S</v>
      </c>
      <c r="D42" s="1" t="n">
        <f aca="false">IF(OR(C42="S",C42=0),0,IF(ISERROR(K42),J42,SMALL(J42:K42,1)))</f>
        <v>0</v>
      </c>
      <c r="E42" s="1" t="n">
        <f aca="true">IF($C42=1,OFFSET(E42,-1,0)+MAX(1,COUNTIF(QCI!$A$13:$A$15,OFFSET(ORÇAMENTO!E42,-1,0))),OFFSET(E42,-1,0))</f>
        <v>1</v>
      </c>
      <c r="F42" s="1" t="n">
        <f aca="true">IF($C42=1,0,IF($C42=2,OFFSET(F42,-1,0)+1,OFFSET(F42,-1,0)))</f>
        <v>6</v>
      </c>
      <c r="G42" s="1" t="n">
        <f aca="true">IF(AND($C42&lt;=2,$C42&lt;&gt;0),0,IF($C42=3,OFFSET(G42,-1,0)+1,OFFSET(G42,-1,0)))</f>
        <v>0</v>
      </c>
      <c r="H42" s="1" t="n">
        <f aca="true">IF(AND($C42&lt;=3,$C42&lt;&gt;0),0,IF($C42=4,OFFSET(H42,-1,0)+1,OFFSET(H42,-1,0)))</f>
        <v>0</v>
      </c>
      <c r="I42" s="1" t="n">
        <f aca="true">IF(AND($C42&lt;=4,$C42&lt;&gt;0),0,IF(AND($C42="S",$X42&gt;0),OFFSET(I42,-1,0)+1,OFFSET(I42,-1,0)))</f>
        <v>3</v>
      </c>
      <c r="J42" s="1" t="n">
        <f aca="true">IF(OR($C42="S",$C42=0),0,MATCH(0,OFFSET($D42,1,$C42,ROW($C$205)-ROW($C42)),0))</f>
        <v>0</v>
      </c>
      <c r="K42" s="1" t="n">
        <f aca="true">IF(OR($C42="S",$C42=0),0,MATCH(OFFSET($D42,0,$C42)+IF($C42&lt;&gt;1,1,COUNTIF(QCI!$A$13:$A$15,ORÇAMENTO!E42)),OFFSET($D42,1,$C42,ROW($C$205)-ROW($C42)),0))</f>
        <v>0</v>
      </c>
      <c r="L42" s="199" t="str">
        <f aca="false">IF(OR($X42&gt;0,$C42=1,$C42=2,$C42=3,$C42=4),"F","")</f>
        <v>F</v>
      </c>
      <c r="M42" s="200" t="s">
        <v>735</v>
      </c>
      <c r="N42" s="201" t="str">
        <f aca="false">CHOOSE(1+LOG(1+2*(C42=1)+4*(C42=2)+8*(C42=3)+16*(C42=4)+32*(C42="S"),2),"","Meta","Nível 2","Nível 3","Nível 4","Serviço")</f>
        <v>Serviço</v>
      </c>
      <c r="O42" s="202" t="str">
        <f aca="false">IF(OR($C42=0,$L42=""),"-",CONCATENATE(E42&amp;".",IF(AND($A$5&gt;=2,$C42&gt;=2),F42&amp;".",""),IF(AND($A$5&gt;=3,$C42&gt;=3),G42&amp;".",""),IF(AND($A$5&gt;=4,$C42&gt;=4),H42&amp;".",""),IF($C42="S",I42&amp;".","")))</f>
        <v>1.6.3.</v>
      </c>
      <c r="P42" s="203" t="s">
        <v>780</v>
      </c>
      <c r="Q42" s="204" t="s">
        <v>803</v>
      </c>
      <c r="R42" s="205" t="s">
        <v>804</v>
      </c>
      <c r="S42" s="206" t="s">
        <v>644</v>
      </c>
      <c r="T42" s="207" t="n">
        <f aca="true">OFFSET(CÁLCULO!H$15,ROW($T42)-ROW(T$15),0)</f>
        <v>1172.5</v>
      </c>
      <c r="U42" s="208" t="n">
        <v>16.67</v>
      </c>
      <c r="V42" s="209" t="s">
        <v>690</v>
      </c>
      <c r="W42" s="207" t="n">
        <f aca="false">IF($C42="S",ROUND(IF(TIPOORCAMENTO="Proposto",ORÇAMENTO.CustoUnitario*(1+$AH42),ORÇAMENTO.PrecoUnitarioLicitado),15-13*$AF$10),0)</f>
        <v>21.51</v>
      </c>
      <c r="X42" s="210" t="n">
        <f aca="true" t="array" ref="X42:X42">IF($C42="S",IF(OR(Import.TipoArredondamento&lt;&gt;"TransfereGOV",ACOMPANHAMENTO="BM"),VTOTAL1,SUM(OFFSET(CÁLCULO!$AQ$15,ROW($X42)-ROW($X$15),1):OFFSET(CÁLCULO!$BR$15,ROW($X42)-ROW($X$15),-1))),IF($C42=0,0,ROUND(SomaAgrup,15-13*$AF$11)))</f>
        <v>25220.5</v>
      </c>
      <c r="Y42" s="211" t="s">
        <v>781</v>
      </c>
      <c r="Z42" s="1" t="str">
        <f aca="false">IF(AND($C42="S",$X42&gt;0),IF(ISBLANK($Y42),"RA",LEFT($Y42,2)),"")</f>
        <v>RA</v>
      </c>
      <c r="AA42" s="212" t="n">
        <f aca="true">IF($C42="S",IF($Z42="CP",$X42,IF($Z42="RA",(($X42)*QCI!$AA$3),0)),SomaAgrup)</f>
        <v>2799.00959067385</v>
      </c>
      <c r="AB42" s="213" t="n">
        <f aca="true">IF($C42="S",IF($Z42="OU",ROUND($X42,2),0),SomaAgrup)</f>
        <v>0</v>
      </c>
      <c r="AC42" s="214" t="e">
        <f aca="false" t="array" ref="AC42:AC42">IF($N42=""," ",
IF(AND($C42&lt;&gt;"S",OR($R42="",$R42="(digite a descrição aqui)")),"DESCRIÇÃO",
IF(AND($C42="S",OR($Q42&lt;&gt;"",$T42&gt;0,$U42&gt;0),$P42=""),"FONTE",
IF(AND($C42="S",$P42&lt;&gt;"",OR($T42&gt;0,$U42&gt;0),$Q42=""),"CÓDIGO",
IF(AND($C42="S",$P42&lt;&gt;"",$Q42&lt;&gt;"",$R42="(Código não identificado nas referências)"),"CÓDIGO N/ID",
IF(AND($C42="S",OR($R42="",$R42="(digite a descrição aqui)"),OR($Q42&lt;&gt;"",$T42&gt;0,$U42&gt;0)),"DESCRIÇÃO",
IF(AND($C42="S",$P42&lt;&gt;"",$Q42&lt;&gt;"",$S42=""),"UNIDADE",
IF(AND($C42="S",$P42&lt;&gt;"",$Q42&lt;&gt;"",$U42=0),"SEM CUSTO",
IF(AND(_xlfn.single(TIPOORCAMENTO)="Licitado",$AL42=0,$AN42&gt;0),"SEM PREÇO",
IF(AND($C42="S",$P42&lt;&gt;"",$Q42&lt;&gt;"",$U42&gt;0,$V42=0),"BDI",
IF(OR(AND(TIPOORCAMENTO="Proposto",LEFT($O$8,5)&lt;&gt;"(N/D:",$AG42&lt;&gt;"",ORÇAMENTO.CustoUnitario&gt;$AG42),AND(TIPOORCAMENTO="LICITADO",ORÇAMENTO.PrecoUnitarioLicitado&gt;$AN42)),"ACIMA REF.",
IF(AND($C42="S",$P42&lt;&gt;"",$Q42&lt;&gt;"",$T42=0,$U42&gt;0),"QUANT.",
IF(AND(Import.TipoArredondamento="TransfereGOV",$L42="F",$C42="S",LEN($Q42)&gt;13),"Código &gt;13",
IF(AND(Import.TipoArredondamento="TransfereGOV",$L42="F",$C42&lt;&gt;"S",LEN($R42)&gt;100),"Descrição &gt;100",
IF(AND(Import.TipoArredondamento="TransfereGOV",$L42="F",$C42="S",LEN($R42)&gt;500),"Descrição &gt;500",
IF(AND(Import.TipoArredondamento="TransfereGOV",$L42="F",$C42="S",LEFT(TRIM(UPPER($P42)),6)&lt;&gt;"SINAPI",ISNA(VLOOKUP(TRIM(UPPER($S42)),ListaTgov.Unidades,1,FALSE()))),"Unid. Não Disp",
" "))))))))))))))))</f>
        <v>#NAME?</v>
      </c>
      <c r="AD42" s="1" t="str">
        <f aca="true">IF(C42&lt;=CRONO.NivelExibicao,MAX($AD$15:OFFSET(AD42,-1,0))+IF($C42&lt;&gt;1,1,MAX(1,COUNTIF(QCI!$A$13:$A$15,OFFSET($E42,-1,0)))),"")</f>
        <v/>
      </c>
      <c r="AE42" s="50" t="str">
        <f aca="false">IF(AND($C42="S",ORÇAMENTO.CodBarra&lt;&gt;""),IF(ORÇAMENTO.Fonte="",ORÇAMENTO.CodBarra,CONCATENATE(ORÇAMENTO.Fonte," ",ORÇAMENTO.CodBarra)))</f>
        <v>SINAPI 104916</v>
      </c>
      <c r="AF42" s="65" t="str">
        <f aca="true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07-2025.xlsm)</v>
      </c>
      <c r="AG42" s="215" t="n">
        <f aca="true">ROUND(IF(DESONERACAO="sim",REFERENCIA.Desonerado,REFERENCIA.NaoDesonerado),2)</f>
        <v>0</v>
      </c>
      <c r="AH42" s="216" t="n">
        <f aca="false">ROUND(IF(ISNUMBER(ORÇAMENTO.OpcaoBDI),ORÇAMENTO.OpcaoBDI,IF(LEFT(ORÇAMENTO.OpcaoBDI,3)="BDI",HLOOKUP(ORÇAMENTO.OpcaoBDI,$F$4:$H$5,2,FALSE()),0)),15-11*$AF$9)</f>
        <v>0.2904</v>
      </c>
      <c r="AJ42" s="217"/>
      <c r="AL42" s="218"/>
      <c r="AM42" s="219" t="n">
        <f aca="false">$X42</f>
        <v>25220.5</v>
      </c>
      <c r="AN42" s="220" t="n">
        <f aca="false">ROUND(ORÇAMENTO.CustoUnitario*(1+$AH42),2)</f>
        <v>21.51</v>
      </c>
    </row>
    <row r="43" customFormat="false" ht="23.85" hidden="false" customHeight="false" outlineLevel="0" collapsed="false">
      <c r="A43" s="1" t="str">
        <f aca="false">CHOOSE(1+LOG(1+2*(ORÇAMENTO.Nivel="Meta")+4*(ORÇAMENTO.Nivel="Nível 2")+8*(ORÇAMENTO.Nivel="Nível 3")+16*(ORÇAMENTO.Nivel="Nível 4")+32*(ORÇAMENTO.Nivel="Serviço"),2),0,1,2,3,4,"S")</f>
        <v>S</v>
      </c>
      <c r="B43" s="1" t="n">
        <f aca="true">IF(OR(C43="s",C43=0),OFFSET(B43,-1,0),C43)</f>
        <v>2</v>
      </c>
      <c r="C43" s="1" t="str">
        <f aca="true">IF(OFFSET(C43,-1,0)="L",1,IF(OFFSET(C43,-1,0)=1,2,IF(OR(A43="s",A43=0),"S",IF(AND(OFFSET(C43,-1,0)=2,A43=4),3,IF(AND(OR(OFFSET(C43,-1,0)="s",OFFSET(C43,-1,0)=0),A43&lt;&gt;"s",A43&gt;OFFSET(B43,-1,0)),OFFSET(B43,-1,0),A43)))))</f>
        <v>S</v>
      </c>
      <c r="D43" s="1" t="n">
        <f aca="false">IF(OR(C43="S",C43=0),0,IF(ISERROR(K43),J43,SMALL(J43:K43,1)))</f>
        <v>0</v>
      </c>
      <c r="E43" s="1" t="n">
        <f aca="true">IF($C43=1,OFFSET(E43,-1,0)+MAX(1,COUNTIF(QCI!$A$13:$A$15,OFFSET(ORÇAMENTO!E43,-1,0))),OFFSET(E43,-1,0))</f>
        <v>1</v>
      </c>
      <c r="F43" s="1" t="n">
        <f aca="true">IF($C43=1,0,IF($C43=2,OFFSET(F43,-1,0)+1,OFFSET(F43,-1,0)))</f>
        <v>6</v>
      </c>
      <c r="G43" s="1" t="n">
        <f aca="true">IF(AND($C43&lt;=2,$C43&lt;&gt;0),0,IF($C43=3,OFFSET(G43,-1,0)+1,OFFSET(G43,-1,0)))</f>
        <v>0</v>
      </c>
      <c r="H43" s="1" t="n">
        <f aca="true">IF(AND($C43&lt;=3,$C43&lt;&gt;0),0,IF($C43=4,OFFSET(H43,-1,0)+1,OFFSET(H43,-1,0)))</f>
        <v>0</v>
      </c>
      <c r="I43" s="1" t="n">
        <f aca="true">IF(AND($C43&lt;=4,$C43&lt;&gt;0),0,IF(AND($C43="S",$X43&gt;0),OFFSET(I43,-1,0)+1,OFFSET(I43,-1,0)))</f>
        <v>4</v>
      </c>
      <c r="J43" s="1" t="n">
        <f aca="true">IF(OR($C43="S",$C43=0),0,MATCH(0,OFFSET($D43,1,$C43,ROW($C$205)-ROW($C43)),0))</f>
        <v>0</v>
      </c>
      <c r="K43" s="1" t="n">
        <f aca="true">IF(OR($C43="S",$C43=0),0,MATCH(OFFSET($D43,0,$C43)+IF($C43&lt;&gt;1,1,COUNTIF(QCI!$A$13:$A$15,ORÇAMENTO!E43)),OFFSET($D43,1,$C43,ROW($C$205)-ROW($C43)),0))</f>
        <v>0</v>
      </c>
      <c r="L43" s="199" t="str">
        <f aca="false">IF(OR($X43&gt;0,$C43=1,$C43=2,$C43=3,$C43=4),"F","")</f>
        <v>F</v>
      </c>
      <c r="M43" s="200" t="s">
        <v>735</v>
      </c>
      <c r="N43" s="201" t="str">
        <f aca="false">CHOOSE(1+LOG(1+2*(C43=1)+4*(C43=2)+8*(C43=3)+16*(C43=4)+32*(C43="S"),2),"","Meta","Nível 2","Nível 3","Nível 4","Serviço")</f>
        <v>Serviço</v>
      </c>
      <c r="O43" s="202" t="str">
        <f aca="false">IF(OR($C43=0,$L43=""),"-",CONCATENATE(E43&amp;".",IF(AND($A$5&gt;=2,$C43&gt;=2),F43&amp;".",""),IF(AND($A$5&gt;=3,$C43&gt;=3),G43&amp;".",""),IF(AND($A$5&gt;=4,$C43&gt;=4),H43&amp;".",""),IF($C43="S",I43&amp;".","")))</f>
        <v>1.6.4.</v>
      </c>
      <c r="P43" s="203" t="s">
        <v>780</v>
      </c>
      <c r="Q43" s="204" t="s">
        <v>807</v>
      </c>
      <c r="R43" s="205" t="s">
        <v>814</v>
      </c>
      <c r="S43" s="206" t="s">
        <v>644</v>
      </c>
      <c r="T43" s="207" t="n">
        <f aca="true">OFFSET(CÁLCULO!H$15,ROW($T43)-ROW(T$15),0)</f>
        <v>3615</v>
      </c>
      <c r="U43" s="208" t="n">
        <v>12.58</v>
      </c>
      <c r="V43" s="209" t="s">
        <v>690</v>
      </c>
      <c r="W43" s="207" t="n">
        <f aca="false">IF($C43="S",ROUND(IF(TIPOORCAMENTO="Proposto",ORÇAMENTO.CustoUnitario*(1+$AH43),ORÇAMENTO.PrecoUnitarioLicitado),15-13*$AF$10),0)</f>
        <v>16.23</v>
      </c>
      <c r="X43" s="210" t="n">
        <f aca="true" t="array" ref="X43:X43">IF($C43="S",IF(OR(Import.TipoArredondamento&lt;&gt;"TransfereGOV",ACOMPANHAMENTO="BM"),VTOTAL1,SUM(OFFSET(CÁLCULO!$AQ$15,ROW($X43)-ROW($X$15),1):OFFSET(CÁLCULO!$BR$15,ROW($X43)-ROW($X$15),-1))),IF($C43=0,0,ROUND(SomaAgrup,15-13*$AF$11)))</f>
        <v>58671.5</v>
      </c>
      <c r="Y43" s="211" t="s">
        <v>781</v>
      </c>
      <c r="Z43" s="1" t="str">
        <f aca="false">IF(AND($C43="S",$X43&gt;0),IF(ISBLANK($Y43),"RA",LEFT($Y43,2)),"")</f>
        <v>RA</v>
      </c>
      <c r="AA43" s="212" t="n">
        <f aca="true">IF($C43="S",IF($Z43="CP",$X43,IF($Z43="RA",(($X43)*QCI!$AA$3),0)),SomaAgrup)</f>
        <v>6511.45263572176</v>
      </c>
      <c r="AB43" s="213" t="n">
        <f aca="true">IF($C43="S",IF($Z43="OU",ROUND($X43,2),0),SomaAgrup)</f>
        <v>0</v>
      </c>
      <c r="AC43" s="214" t="e">
        <f aca="false" t="array" ref="AC43:AC43">IF($N43=""," ",
IF(AND($C43&lt;&gt;"S",OR($R43="",$R43="(digite a descrição aqui)")),"DESCRIÇÃO",
IF(AND($C43="S",OR($Q43&lt;&gt;"",$T43&gt;0,$U43&gt;0),$P43=""),"FONTE",
IF(AND($C43="S",$P43&lt;&gt;"",OR($T43&gt;0,$U43&gt;0),$Q43=""),"CÓDIGO",
IF(AND($C43="S",$P43&lt;&gt;"",$Q43&lt;&gt;"",$R43="(Código não identificado nas referências)"),"CÓDIGO N/ID",
IF(AND($C43="S",OR($R43="",$R43="(digite a descrição aqui)"),OR($Q43&lt;&gt;"",$T43&gt;0,$U43&gt;0)),"DESCRIÇÃO",
IF(AND($C43="S",$P43&lt;&gt;"",$Q43&lt;&gt;"",$S43=""),"UNIDADE",
IF(AND($C43="S",$P43&lt;&gt;"",$Q43&lt;&gt;"",$U43=0),"SEM CUSTO",
IF(AND(_xlfn.single(TIPOORCAMENTO)="Licitado",$AL43=0,$AN43&gt;0),"SEM PREÇO",
IF(AND($C43="S",$P43&lt;&gt;"",$Q43&lt;&gt;"",$U43&gt;0,$V43=0),"BDI",
IF(OR(AND(TIPOORCAMENTO="Proposto",LEFT($O$8,5)&lt;&gt;"(N/D:",$AG43&lt;&gt;"",ORÇAMENTO.CustoUnitario&gt;$AG43),AND(TIPOORCAMENTO="LICITADO",ORÇAMENTO.PrecoUnitarioLicitado&gt;$AN43)),"ACIMA REF.",
IF(AND($C43="S",$P43&lt;&gt;"",$Q43&lt;&gt;"",$T43=0,$U43&gt;0),"QUANT.",
IF(AND(Import.TipoArredondamento="TransfereGOV",$L43="F",$C43="S",LEN($Q43)&gt;13),"Código &gt;13",
IF(AND(Import.TipoArredondamento="TransfereGOV",$L43="F",$C43&lt;&gt;"S",LEN($R43)&gt;100),"Descrição &gt;100",
IF(AND(Import.TipoArredondamento="TransfereGOV",$L43="F",$C43="S",LEN($R43)&gt;500),"Descrição &gt;500",
IF(AND(Import.TipoArredondamento="TransfereGOV",$L43="F",$C43="S",LEFT(TRIM(UPPER($P43)),6)&lt;&gt;"SINAPI",ISNA(VLOOKUP(TRIM(UPPER($S43)),ListaTgov.Unidades,1,FALSE()))),"Unid. Não Disp",
" "))))))))))))))))</f>
        <v>#NAME?</v>
      </c>
      <c r="AD43" s="1" t="str">
        <f aca="true">IF(C43&lt;=CRONO.NivelExibicao,MAX($AD$15:OFFSET(AD43,-1,0))+IF($C43&lt;&gt;1,1,MAX(1,COUNTIF(QCI!$A$13:$A$15,OFFSET($E43,-1,0)))),"")</f>
        <v/>
      </c>
      <c r="AE43" s="50" t="str">
        <f aca="false">IF(AND($C43="S",ORÇAMENTO.CodBarra&lt;&gt;""),IF(ORÇAMENTO.Fonte="",ORÇAMENTO.CodBarra,CONCATENATE(ORÇAMENTO.Fonte," ",ORÇAMENTO.CodBarra)))</f>
        <v>SINAPI 104919</v>
      </c>
      <c r="AF43" s="65" t="str">
        <f aca="true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07-2025.xlsm)</v>
      </c>
      <c r="AG43" s="215" t="n">
        <f aca="true">ROUND(IF(DESONERACAO="sim",REFERENCIA.Desonerado,REFERENCIA.NaoDesonerado),2)</f>
        <v>0</v>
      </c>
      <c r="AH43" s="216" t="n">
        <f aca="false">ROUND(IF(ISNUMBER(ORÇAMENTO.OpcaoBDI),ORÇAMENTO.OpcaoBDI,IF(LEFT(ORÇAMENTO.OpcaoBDI,3)="BDI",HLOOKUP(ORÇAMENTO.OpcaoBDI,$F$4:$H$5,2,FALSE()),0)),15-11*$AF$9)</f>
        <v>0.2904</v>
      </c>
      <c r="AJ43" s="217"/>
      <c r="AL43" s="218"/>
      <c r="AM43" s="219" t="n">
        <f aca="false">$X43</f>
        <v>58671.5</v>
      </c>
      <c r="AN43" s="220" t="n">
        <f aca="false">ROUND(ORÇAMENTO.CustoUnitario*(1+$AH43),2)</f>
        <v>16.23</v>
      </c>
    </row>
    <row r="44" customFormat="false" ht="35.05" hidden="false" customHeight="false" outlineLevel="0" collapsed="false">
      <c r="A44" s="1" t="str">
        <f aca="false">CHOOSE(1+LOG(1+2*(ORÇAMENTO.Nivel="Meta")+4*(ORÇAMENTO.Nivel="Nível 2")+8*(ORÇAMENTO.Nivel="Nível 3")+16*(ORÇAMENTO.Nivel="Nível 4")+32*(ORÇAMENTO.Nivel="Serviço"),2),0,1,2,3,4,"S")</f>
        <v>S</v>
      </c>
      <c r="B44" s="1" t="n">
        <f aca="true">IF(OR(C44="s",C44=0),OFFSET(B44,-1,0),C44)</f>
        <v>2</v>
      </c>
      <c r="C44" s="1" t="str">
        <f aca="true">IF(OFFSET(C44,-1,0)="L",1,IF(OFFSET(C44,-1,0)=1,2,IF(OR(A44="s",A44=0),"S",IF(AND(OFFSET(C44,-1,0)=2,A44=4),3,IF(AND(OR(OFFSET(C44,-1,0)="s",OFFSET(C44,-1,0)=0),A44&lt;&gt;"s",A44&gt;OFFSET(B44,-1,0)),OFFSET(B44,-1,0),A44)))))</f>
        <v>S</v>
      </c>
      <c r="D44" s="1" t="n">
        <f aca="false">IF(OR(C44="S",C44=0),0,IF(ISERROR(K44),J44,SMALL(J44:K44,1)))</f>
        <v>0</v>
      </c>
      <c r="E44" s="1" t="n">
        <f aca="true">IF($C44=1,OFFSET(E44,-1,0)+MAX(1,COUNTIF(QCI!$A$13:$A$15,OFFSET(ORÇAMENTO!E44,-1,0))),OFFSET(E44,-1,0))</f>
        <v>1</v>
      </c>
      <c r="F44" s="1" t="n">
        <f aca="true">IF($C44=1,0,IF($C44=2,OFFSET(F44,-1,0)+1,OFFSET(F44,-1,0)))</f>
        <v>6</v>
      </c>
      <c r="G44" s="1" t="n">
        <f aca="true">IF(AND($C44&lt;=2,$C44&lt;&gt;0),0,IF($C44=3,OFFSET(G44,-1,0)+1,OFFSET(G44,-1,0)))</f>
        <v>0</v>
      </c>
      <c r="H44" s="1" t="n">
        <f aca="true">IF(AND($C44&lt;=3,$C44&lt;&gt;0),0,IF($C44=4,OFFSET(H44,-1,0)+1,OFFSET(H44,-1,0)))</f>
        <v>0</v>
      </c>
      <c r="I44" s="1" t="n">
        <f aca="true">IF(AND($C44&lt;=4,$C44&lt;&gt;0),0,IF(AND($C44="S",$X44&gt;0),OFFSET(I44,-1,0)+1,OFFSET(I44,-1,0)))</f>
        <v>5</v>
      </c>
      <c r="J44" s="1" t="n">
        <f aca="true">IF(OR($C44="S",$C44=0),0,MATCH(0,OFFSET($D44,1,$C44,ROW($C$205)-ROW($C44)),0))</f>
        <v>0</v>
      </c>
      <c r="K44" s="1" t="n">
        <f aca="true">IF(OR($C44="S",$C44=0),0,MATCH(OFFSET($D44,0,$C44)+IF($C44&lt;&gt;1,1,COUNTIF(QCI!$A$13:$A$15,ORÇAMENTO!E44)),OFFSET($D44,1,$C44,ROW($C$205)-ROW($C44)),0))</f>
        <v>0</v>
      </c>
      <c r="L44" s="199" t="str">
        <f aca="false">IF(OR($X44&gt;0,$C44=1,$C44=2,$C44=3,$C44=4),"F","")</f>
        <v>F</v>
      </c>
      <c r="M44" s="200" t="s">
        <v>735</v>
      </c>
      <c r="N44" s="201" t="str">
        <f aca="false">CHOOSE(1+LOG(1+2*(C44=1)+4*(C44=2)+8*(C44=3)+16*(C44=4)+32*(C44="S"),2),"","Meta","Nível 2","Nível 3","Nível 4","Serviço")</f>
        <v>Serviço</v>
      </c>
      <c r="O44" s="202" t="str">
        <f aca="false">IF(OR($C44=0,$L44=""),"-",CONCATENATE(E44&amp;".",IF(AND($A$5&gt;=2,$C44&gt;=2),F44&amp;".",""),IF(AND($A$5&gt;=3,$C44&gt;=3),G44&amp;".",""),IF(AND($A$5&gt;=4,$C44&gt;=4),H44&amp;".",""),IF($C44="S",I44&amp;".","")))</f>
        <v>1.6.5.</v>
      </c>
      <c r="P44" s="203" t="s">
        <v>780</v>
      </c>
      <c r="Q44" s="204" t="n">
        <v>94965</v>
      </c>
      <c r="R44" s="205" t="str">
        <f aca="false">[3]ORÇAMENTO!$R$31</f>
        <v>CONCRETO FCK = 25MPA, TRAÇO 1:2,3:2,7 (EM MASSA SECA DE CIMENTO/ AREIAMÉDIA/ BRITA 1) - PREPARO MECÂNICO COM BETONEIRA 400 L</v>
      </c>
      <c r="S44" s="237" t="s">
        <v>652</v>
      </c>
      <c r="T44" s="207" t="n">
        <f aca="true">OFFSET(CÁLCULO!H$15,ROW($T44)-ROW(T$15),0)</f>
        <v>45.75</v>
      </c>
      <c r="U44" s="208" t="n">
        <v>557.2</v>
      </c>
      <c r="V44" s="209" t="s">
        <v>690</v>
      </c>
      <c r="W44" s="207" t="n">
        <f aca="false">IF($C44="S",ROUND(IF(TIPOORCAMENTO="Proposto",ORÇAMENTO.CustoUnitario*(1+$AH44),ORÇAMENTO.PrecoUnitarioLicitado),15-13*$AF$10),0)</f>
        <v>719.01</v>
      </c>
      <c r="X44" s="210" t="n">
        <f aca="true" t="array" ref="X44:X44">IF($C44="S",IF(OR(Import.TipoArredondamento&lt;&gt;"TransfereGOV",ACOMPANHAMENTO="BM"),VTOTAL1,SUM(OFFSET(CÁLCULO!$AQ$15,ROW($X44)-ROW($X$15),1):OFFSET(CÁLCULO!$BR$15,ROW($X44)-ROW($X$15),-1))),IF($C44=0,0,ROUND(SomaAgrup,15-13*$AF$11)))</f>
        <v>32894.75</v>
      </c>
      <c r="Y44" s="211" t="s">
        <v>781</v>
      </c>
      <c r="Z44" s="1" t="str">
        <f aca="false">IF(AND($C44="S",$X44&gt;0),IF(ISBLANK($Y44),"RA",LEFT($Y44,2)),"")</f>
        <v>RA</v>
      </c>
      <c r="AA44" s="212" t="n">
        <f aca="true">IF($C44="S",IF($Z44="CP",$X44,IF($Z44="RA",(($X44)*QCI!$AA$3),0)),SomaAgrup)</f>
        <v>3650.70957089743</v>
      </c>
      <c r="AB44" s="213" t="n">
        <f aca="true">IF($C44="S",IF($Z44="OU",ROUND($X44,2),0),SomaAgrup)</f>
        <v>0</v>
      </c>
      <c r="AC44" s="214" t="e">
        <f aca="false" t="array" ref="AC44:AC44">IF($N44=""," ",
IF(AND($C44&lt;&gt;"S",OR($R44="",$R44="(digite a descrição aqui)")),"DESCRIÇÃO",
IF(AND($C44="S",OR($Q44&lt;&gt;"",$T44&gt;0,$U44&gt;0),$P44=""),"FONTE",
IF(AND($C44="S",$P44&lt;&gt;"",OR($T44&gt;0,$U44&gt;0),$Q44=""),"CÓDIGO",
IF(AND($C44="S",$P44&lt;&gt;"",$Q44&lt;&gt;"",$R44="(Código não identificado nas referências)"),"CÓDIGO N/ID",
IF(AND($C44="S",OR($R44="",$R44="(digite a descrição aqui)"),OR($Q44&lt;&gt;"",$T44&gt;0,$U44&gt;0)),"DESCRIÇÃO",
IF(AND($C44="S",$P44&lt;&gt;"",$Q44&lt;&gt;"",$S44=""),"UNIDADE",
IF(AND($C44="S",$P44&lt;&gt;"",$Q44&lt;&gt;"",$U44=0),"SEM CUSTO",
IF(AND(_xlfn.single(TIPOORCAMENTO)="Licitado",$AL44=0,$AN44&gt;0),"SEM PREÇO",
IF(AND($C44="S",$P44&lt;&gt;"",$Q44&lt;&gt;"",$U44&gt;0,$V44=0),"BDI",
IF(OR(AND(TIPOORCAMENTO="Proposto",LEFT($O$8,5)&lt;&gt;"(N/D:",$AG44&lt;&gt;"",ORÇAMENTO.CustoUnitario&gt;$AG44),AND(TIPOORCAMENTO="LICITADO",ORÇAMENTO.PrecoUnitarioLicitado&gt;$AN44)),"ACIMA REF.",
IF(AND($C44="S",$P44&lt;&gt;"",$Q44&lt;&gt;"",$T44=0,$U44&gt;0),"QUANT.",
IF(AND(Import.TipoArredondamento="TransfereGOV",$L44="F",$C44="S",LEN($Q44)&gt;13),"Código &gt;13",
IF(AND(Import.TipoArredondamento="TransfereGOV",$L44="F",$C44&lt;&gt;"S",LEN($R44)&gt;100),"Descrição &gt;100",
IF(AND(Import.TipoArredondamento="TransfereGOV",$L44="F",$C44="S",LEN($R44)&gt;500),"Descrição &gt;500",
IF(AND(Import.TipoArredondamento="TransfereGOV",$L44="F",$C44="S",LEFT(TRIM(UPPER($P44)),6)&lt;&gt;"SINAPI",ISNA(VLOOKUP(TRIM(UPPER($S44)),ListaTgov.Unidades,1,FALSE()))),"Unid. Não Disp",
" "))))))))))))))))</f>
        <v>#NAME?</v>
      </c>
      <c r="AD44" s="1" t="str">
        <f aca="true">IF(C44&lt;=CRONO.NivelExibicao,MAX($AD$15:OFFSET(AD44,-1,0))+IF($C44&lt;&gt;1,1,MAX(1,COUNTIF(QCI!$A$13:$A$15,OFFSET($E44,-1,0)))),"")</f>
        <v/>
      </c>
      <c r="AE44" s="50" t="str">
        <f aca="false">IF(AND($C44="S",ORÇAMENTO.CodBarra&lt;&gt;""),IF(ORÇAMENTO.Fonte="",ORÇAMENTO.CodBarra,CONCATENATE(ORÇAMENTO.Fonte," ",ORÇAMENTO.CodBarra)))</f>
        <v>SINAPI 94965</v>
      </c>
      <c r="AF44" s="65" t="str">
        <f aca="true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07-2025.xlsm)</v>
      </c>
      <c r="AG44" s="215" t="n">
        <f aca="true">ROUND(IF(DESONERACAO="sim",REFERENCIA.Desonerado,REFERENCIA.NaoDesonerado),2)</f>
        <v>0</v>
      </c>
      <c r="AH44" s="216" t="n">
        <f aca="false">ROUND(IF(ISNUMBER(ORÇAMENTO.OpcaoBDI),ORÇAMENTO.OpcaoBDI,IF(LEFT(ORÇAMENTO.OpcaoBDI,3)="BDI",HLOOKUP(ORÇAMENTO.OpcaoBDI,$F$4:$H$5,2,FALSE()),0)),15-11*$AF$9)</f>
        <v>0.2904</v>
      </c>
      <c r="AJ44" s="217"/>
      <c r="AL44" s="218"/>
      <c r="AM44" s="219" t="n">
        <f aca="false">$X44</f>
        <v>32894.75</v>
      </c>
      <c r="AN44" s="220" t="n">
        <f aca="false">ROUND(ORÇAMENTO.CustoUnitario*(1+$AH44),2)</f>
        <v>719.01</v>
      </c>
    </row>
    <row r="45" customFormat="false" ht="23.85" hidden="false" customHeight="false" outlineLevel="0" collapsed="false">
      <c r="A45" s="1" t="str">
        <f aca="false">CHOOSE(1+LOG(1+2*(ORÇAMENTO.Nivel="Meta")+4*(ORÇAMENTO.Nivel="Nível 2")+8*(ORÇAMENTO.Nivel="Nível 3")+16*(ORÇAMENTO.Nivel="Nível 4")+32*(ORÇAMENTO.Nivel="Serviço"),2),0,1,2,3,4,"S")</f>
        <v>S</v>
      </c>
      <c r="B45" s="1" t="n">
        <f aca="true">IF(OR(C45="s",C45=0),OFFSET(B45,-1,0),C45)</f>
        <v>2</v>
      </c>
      <c r="C45" s="1" t="str">
        <f aca="true">IF(OFFSET(C45,-1,0)="L",1,IF(OFFSET(C45,-1,0)=1,2,IF(OR(A45="s",A45=0),"S",IF(AND(OFFSET(C45,-1,0)=2,A45=4),3,IF(AND(OR(OFFSET(C45,-1,0)="s",OFFSET(C45,-1,0)=0),A45&lt;&gt;"s",A45&gt;OFFSET(B45,-1,0)),OFFSET(B45,-1,0),A45)))))</f>
        <v>S</v>
      </c>
      <c r="D45" s="1" t="n">
        <f aca="false">IF(OR(C45="S",C45=0),0,IF(ISERROR(K45),J45,SMALL(J45:K45,1)))</f>
        <v>0</v>
      </c>
      <c r="E45" s="1" t="n">
        <f aca="true">IF($C45=1,OFFSET(E45,-1,0)+MAX(1,COUNTIF(QCI!$A$13:$A$15,OFFSET(ORÇAMENTO!E45,-1,0))),OFFSET(E45,-1,0))</f>
        <v>1</v>
      </c>
      <c r="F45" s="1" t="n">
        <f aca="true">IF($C45=1,0,IF($C45=2,OFFSET(F45,-1,0)+1,OFFSET(F45,-1,0)))</f>
        <v>6</v>
      </c>
      <c r="G45" s="1" t="n">
        <f aca="true">IF(AND($C45&lt;=2,$C45&lt;&gt;0),0,IF($C45=3,OFFSET(G45,-1,0)+1,OFFSET(G45,-1,0)))</f>
        <v>0</v>
      </c>
      <c r="H45" s="1" t="n">
        <f aca="true">IF(AND($C45&lt;=3,$C45&lt;&gt;0),0,IF($C45=4,OFFSET(H45,-1,0)+1,OFFSET(H45,-1,0)))</f>
        <v>0</v>
      </c>
      <c r="I45" s="1" t="n">
        <f aca="true">IF(AND($C45&lt;=4,$C45&lt;&gt;0),0,IF(AND($C45="S",$X45&gt;0),OFFSET(I45,-1,0)+1,OFFSET(I45,-1,0)))</f>
        <v>6</v>
      </c>
      <c r="J45" s="1" t="n">
        <f aca="true">IF(OR($C45="S",$C45=0),0,MATCH(0,OFFSET($D45,1,$C45,ROW($C$205)-ROW($C45)),0))</f>
        <v>0</v>
      </c>
      <c r="K45" s="1" t="n">
        <f aca="true">IF(OR($C45="S",$C45=0),0,MATCH(OFFSET($D45,0,$C45)+IF($C45&lt;&gt;1,1,COUNTIF(QCI!$A$13:$A$15,ORÇAMENTO!E45)),OFFSET($D45,1,$C45,ROW($C$205)-ROW($C45)),0))</f>
        <v>0</v>
      </c>
      <c r="L45" s="199" t="str">
        <f aca="false">IF(OR($X45&gt;0,$C45=1,$C45=2,$C45=3,$C45=4),"F","")</f>
        <v>F</v>
      </c>
      <c r="M45" s="200" t="s">
        <v>735</v>
      </c>
      <c r="N45" s="201" t="str">
        <f aca="false">CHOOSE(1+LOG(1+2*(C45=1)+4*(C45=2)+8*(C45=3)+16*(C45=4)+32*(C45="S"),2),"","Meta","Nível 2","Nível 3","Nível 4","Serviço")</f>
        <v>Serviço</v>
      </c>
      <c r="O45" s="202" t="str">
        <f aca="false">IF(OR($C45=0,$L45=""),"-",CONCATENATE(E45&amp;".",IF(AND($A$5&gt;=2,$C45&gt;=2),F45&amp;".",""),IF(AND($A$5&gt;=3,$C45&gt;=3),G45&amp;".",""),IF(AND($A$5&gt;=4,$C45&gt;=4),H45&amp;".",""),IF($C45="S",I45&amp;".","")))</f>
        <v>1.6.6.</v>
      </c>
      <c r="P45" s="203" t="s">
        <v>780</v>
      </c>
      <c r="Q45" s="236" t="s">
        <v>815</v>
      </c>
      <c r="R45" s="205" t="str">
        <f aca="false">[3]ORÇAMENTO!$R$32</f>
        <v>FÔRMA E DESFORMA DE TÁBUA E SARRAFO,
REAPROVEITAMENTO (5X), EXCLUSIVE ESCORAMENTO</v>
      </c>
      <c r="S45" s="237" t="s">
        <v>650</v>
      </c>
      <c r="T45" s="207" t="n">
        <f aca="true">OFFSET(CÁLCULO!H$15,ROW($T45)-ROW(T$15),0)</f>
        <v>838.5</v>
      </c>
      <c r="U45" s="208" t="n">
        <f aca="false">[3]ORÇAMENTO!$U$32</f>
        <v>53.02</v>
      </c>
      <c r="V45" s="209" t="s">
        <v>690</v>
      </c>
      <c r="W45" s="207" t="n">
        <f aca="false">IF($C45="S",ROUND(IF(TIPOORCAMENTO="Proposto",ORÇAMENTO.CustoUnitario*(1+$AH45),ORÇAMENTO.PrecoUnitarioLicitado),15-13*$AF$10),0)</f>
        <v>68.42</v>
      </c>
      <c r="X45" s="210" t="n">
        <f aca="true" t="array" ref="X45:X45">IF($C45="S",IF(OR(Import.TipoArredondamento&lt;&gt;"TransfereGOV",ACOMPANHAMENTO="BM"),VTOTAL1,SUM(OFFSET(CÁLCULO!$AQ$15,ROW($X45)-ROW($X$15),1):OFFSET(CÁLCULO!$BR$15,ROW($X45)-ROW($X$15),-1))),IF($C45=0,0,ROUND(SomaAgrup,15-13*$AF$11)))</f>
        <v>57370.25</v>
      </c>
      <c r="Y45" s="211" t="s">
        <v>781</v>
      </c>
      <c r="Z45" s="1" t="str">
        <f aca="false">IF(AND($C45="S",$X45&gt;0),IF(ISBLANK($Y45),"RA",LEFT($Y45,2)),"")</f>
        <v>RA</v>
      </c>
      <c r="AA45" s="212" t="n">
        <f aca="true">IF($C45="S",IF($Z45="CP",$X45,IF($Z45="RA",(($X45)*QCI!$AA$3),0)),SomaAgrup)</f>
        <v>6367.03792428208</v>
      </c>
      <c r="AB45" s="213" t="n">
        <f aca="true">IF($C45="S",IF($Z45="OU",ROUND($X45,2),0),SomaAgrup)</f>
        <v>0</v>
      </c>
      <c r="AC45" s="214" t="e">
        <f aca="false" t="array" ref="AC45:AC45">IF($N45=""," ",
IF(AND($C45&lt;&gt;"S",OR($R45="",$R45="(digite a descrição aqui)")),"DESCRIÇÃO",
IF(AND($C45="S",OR($Q45&lt;&gt;"",$T45&gt;0,$U45&gt;0),$P45=""),"FONTE",
IF(AND($C45="S",$P45&lt;&gt;"",OR($T45&gt;0,$U45&gt;0),$Q45=""),"CÓDIGO",
IF(AND($C45="S",$P45&lt;&gt;"",$Q45&lt;&gt;"",$R45="(Código não identificado nas referências)"),"CÓDIGO N/ID",
IF(AND($C45="S",OR($R45="",$R45="(digite a descrição aqui)"),OR($Q45&lt;&gt;"",$T45&gt;0,$U45&gt;0)),"DESCRIÇÃO",
IF(AND($C45="S",$P45&lt;&gt;"",$Q45&lt;&gt;"",$S45=""),"UNIDADE",
IF(AND($C45="S",$P45&lt;&gt;"",$Q45&lt;&gt;"",$U45=0),"SEM CUSTO",
IF(AND(_xlfn.single(TIPOORCAMENTO)="Licitado",$AL45=0,$AN45&gt;0),"SEM PREÇO",
IF(AND($C45="S",$P45&lt;&gt;"",$Q45&lt;&gt;"",$U45&gt;0,$V45=0),"BDI",
IF(OR(AND(TIPOORCAMENTO="Proposto",LEFT($O$8,5)&lt;&gt;"(N/D:",$AG45&lt;&gt;"",ORÇAMENTO.CustoUnitario&gt;$AG45),AND(TIPOORCAMENTO="LICITADO",ORÇAMENTO.PrecoUnitarioLicitado&gt;$AN45)),"ACIMA REF.",
IF(AND($C45="S",$P45&lt;&gt;"",$Q45&lt;&gt;"",$T45=0,$U45&gt;0),"QUANT.",
IF(AND(Import.TipoArredondamento="TransfereGOV",$L45="F",$C45="S",LEN($Q45)&gt;13),"Código &gt;13",
IF(AND(Import.TipoArredondamento="TransfereGOV",$L45="F",$C45&lt;&gt;"S",LEN($R45)&gt;100),"Descrição &gt;100",
IF(AND(Import.TipoArredondamento="TransfereGOV",$L45="F",$C45="S",LEN($R45)&gt;500),"Descrição &gt;500",
IF(AND(Import.TipoArredondamento="TransfereGOV",$L45="F",$C45="S",LEFT(TRIM(UPPER($P45)),6)&lt;&gt;"SINAPI",ISNA(VLOOKUP(TRIM(UPPER($S45)),ListaTgov.Unidades,1,FALSE()))),"Unid. Não Disp",
" "))))))))))))))))</f>
        <v>#NAME?</v>
      </c>
      <c r="AD45" s="1" t="str">
        <f aca="true">IF(C45&lt;=CRONO.NivelExibicao,MAX($AD$15:OFFSET(AD45,-1,0))+IF($C45&lt;&gt;1,1,MAX(1,COUNTIF(QCI!$A$13:$A$15,OFFSET($E45,-1,0)))),"")</f>
        <v/>
      </c>
      <c r="AE45" s="50" t="str">
        <f aca="false">IF(AND($C45="S",ORÇAMENTO.CodBarra&lt;&gt;""),IF(ORÇAMENTO.Fonte="",ORÇAMENTO.CodBarra,CONCATENATE(ORÇAMENTO.Fonte," ",ORÇAMENTO.CodBarra)))</f>
        <v>SINAPI ED-8471</v>
      </c>
      <c r="AF45" s="65" t="str">
        <f aca="true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07-2025.xlsm)</v>
      </c>
      <c r="AG45" s="215" t="n">
        <f aca="true">ROUND(IF(DESONERACAO="sim",REFERENCIA.Desonerado,REFERENCIA.NaoDesonerado),2)</f>
        <v>0</v>
      </c>
      <c r="AH45" s="216" t="n">
        <f aca="false">ROUND(IF(ISNUMBER(ORÇAMENTO.OpcaoBDI),ORÇAMENTO.OpcaoBDI,IF(LEFT(ORÇAMENTO.OpcaoBDI,3)="BDI",HLOOKUP(ORÇAMENTO.OpcaoBDI,$F$4:$H$5,2,FALSE()),0)),15-11*$AF$9)</f>
        <v>0.2904</v>
      </c>
      <c r="AJ45" s="217"/>
      <c r="AL45" s="218"/>
      <c r="AM45" s="219" t="n">
        <f aca="false">$X45</f>
        <v>57370.25</v>
      </c>
      <c r="AN45" s="220" t="n">
        <f aca="false">ROUND(ORÇAMENTO.CustoUnitario*(1+$AH45),2)</f>
        <v>68.42</v>
      </c>
    </row>
    <row r="46" customFormat="false" ht="12.75" hidden="false" customHeight="false" outlineLevel="0" collapsed="false">
      <c r="A46" s="1" t="n">
        <f aca="false">CHOOSE(1+LOG(1+2*(ORÇAMENTO.Nivel="Meta")+4*(ORÇAMENTO.Nivel="Nível 2")+8*(ORÇAMENTO.Nivel="Nível 3")+16*(ORÇAMENTO.Nivel="Nível 4")+32*(ORÇAMENTO.Nivel="Serviço"),2),0,1,2,3,4,"S")</f>
        <v>2</v>
      </c>
      <c r="B46" s="1" t="n">
        <f aca="true">IF(OR(C46="s",C46=0),OFFSET(B46,-1,0),C46)</f>
        <v>2</v>
      </c>
      <c r="C46" s="1" t="n">
        <f aca="true">IF(OFFSET(C46,-1,0)="L",1,IF(OFFSET(C46,-1,0)=1,2,IF(OR(A46="s",A46=0),"S",IF(AND(OFFSET(C46,-1,0)=2,A46=4),3,IF(AND(OR(OFFSET(C46,-1,0)="s",OFFSET(C46,-1,0)=0),A46&lt;&gt;"s",A46&gt;OFFSET(B46,-1,0)),OFFSET(B46,-1,0),A46)))))</f>
        <v>2</v>
      </c>
      <c r="D46" s="1" t="n">
        <f aca="false">IF(OR(C46="S",C46=0),0,IF(ISERROR(K46),J46,SMALL(J46:K46,1)))</f>
        <v>2</v>
      </c>
      <c r="E46" s="1" t="n">
        <f aca="true">IF($C46=1,OFFSET(E46,-1,0)+MAX(1,COUNTIF(QCI!$A$13:$A$15,OFFSET(ORÇAMENTO!E46,-1,0))),OFFSET(E46,-1,0))</f>
        <v>1</v>
      </c>
      <c r="F46" s="1" t="n">
        <f aca="true">IF($C46=1,0,IF($C46=2,OFFSET(F46,-1,0)+1,OFFSET(F46,-1,0)))</f>
        <v>7</v>
      </c>
      <c r="G46" s="1" t="n">
        <f aca="true">IF(AND($C46&lt;=2,$C46&lt;&gt;0),0,IF($C46=3,OFFSET(G46,-1,0)+1,OFFSET(G46,-1,0)))</f>
        <v>0</v>
      </c>
      <c r="H46" s="1" t="n">
        <f aca="true">IF(AND($C46&lt;=3,$C46&lt;&gt;0),0,IF($C46=4,OFFSET(H46,-1,0)+1,OFFSET(H46,-1,0)))</f>
        <v>0</v>
      </c>
      <c r="I46" s="1" t="n">
        <f aca="true">IF(AND($C46&lt;=4,$C46&lt;&gt;0),0,IF(AND($C46="S",$X46&gt;0),OFFSET(I46,-1,0)+1,OFFSET(I46,-1,0)))</f>
        <v>0</v>
      </c>
      <c r="J46" s="1" t="n">
        <f aca="true">IF(OR($C46="S",$C46=0),0,MATCH(0,OFFSET($D46,1,$C46,ROW($C$205)-ROW($C46)),0))</f>
        <v>159</v>
      </c>
      <c r="K46" s="1" t="n">
        <f aca="true">IF(OR($C46="S",$C46=0),0,MATCH(OFFSET($D46,0,$C46)+IF($C46&lt;&gt;1,1,COUNTIF(QCI!$A$13:$A$15,ORÇAMENTO!E46)),OFFSET($D46,1,$C46,ROW($C$205)-ROW($C46)),0))</f>
        <v>2</v>
      </c>
      <c r="L46" s="199" t="str">
        <f aca="false">IF(OR($X46&gt;0,$C46=1,$C46=2,$C46=3,$C46=4),"F","")</f>
        <v>F</v>
      </c>
      <c r="M46" s="200" t="s">
        <v>732</v>
      </c>
      <c r="N46" s="201" t="str">
        <f aca="false">CHOOSE(1+LOG(1+2*(C46=1)+4*(C46=2)+8*(C46=3)+16*(C46=4)+32*(C46="S"),2),"","Meta","Nível 2","Nível 3","Nível 4","Serviço")</f>
        <v>Nível 2</v>
      </c>
      <c r="O46" s="202" t="str">
        <f aca="false">IF(OR($C46=0,$L46=""),"-",CONCATENATE(E46&amp;".",IF(AND($A$5&gt;=2,$C46&gt;=2),F46&amp;".",""),IF(AND($A$5&gt;=3,$C46&gt;=3),G46&amp;".",""),IF(AND($A$5&gt;=4,$C46&gt;=4),H46&amp;".",""),IF($C46="S",I46&amp;".","")))</f>
        <v>1.7.</v>
      </c>
      <c r="P46" s="203" t="s">
        <v>780</v>
      </c>
      <c r="Q46" s="204"/>
      <c r="R46" s="205" t="str">
        <f aca="false">[1]PO!$B$33</f>
        <v>IMPERMEABILIZAÇÃO</v>
      </c>
      <c r="S46" s="206" t="str">
        <f aca="true">REFERENCIA.Unidade</f>
        <v>-</v>
      </c>
      <c r="T46" s="207" t="n">
        <f aca="true">OFFSET(CÁLCULO!H$15,ROW($T46)-ROW(T$15),0)</f>
        <v>0</v>
      </c>
      <c r="U46" s="208"/>
      <c r="V46" s="209" t="s">
        <v>690</v>
      </c>
      <c r="W46" s="207" t="n">
        <f aca="false">IF($C46="S",ROUND(IF(TIPOORCAMENTO="Proposto",ORÇAMENTO.CustoUnitario*(1+$AH46),ORÇAMENTO.PrecoUnitarioLicitado),15-13*$AF$10),0)</f>
        <v>0</v>
      </c>
      <c r="X46" s="210" t="n">
        <f aca="true" t="array" ref="X46:X46">IF($C46="S",IF(OR(Import.TipoArredondamento&lt;&gt;"TransfereGOV",ACOMPANHAMENTO="BM"),VTOTAL1,SUM(OFFSET(CÁLCULO!$AQ$15,ROW($X46)-ROW($X$15),1):OFFSET(CÁLCULO!$BR$15,ROW($X46)-ROW($X$15),-1))),IF($C46=0,0,ROUND(SomaAgrup,15-13*$AF$11)))</f>
        <v>43443.5</v>
      </c>
      <c r="Y46" s="211" t="s">
        <v>781</v>
      </c>
      <c r="Z46" s="1" t="str">
        <f aca="false">IF(AND($C46="S",$X46&gt;0),IF(ISBLANK($Y46),"RA",LEFT($Y46,2)),"")</f>
        <v/>
      </c>
      <c r="AA46" s="212" t="n">
        <f aca="true">IF($C46="S",IF($Z46="CP",$X46,IF($Z46="RA",(($X46)*QCI!$AA$3),0)),SomaAgrup)</f>
        <v>4821.4259492254</v>
      </c>
      <c r="AB46" s="213" t="n">
        <f aca="true">IF($C46="S",IF($Z46="OU",ROUND($X46,2),0),SomaAgrup)</f>
        <v>0</v>
      </c>
      <c r="AC46" s="214" t="e">
        <f aca="false" t="array" ref="AC46:AC46">IF($N46=""," ",
IF(AND($C46&lt;&gt;"S",OR($R46="",$R46="(digite a descrição aqui)")),"DESCRIÇÃO",
IF(AND($C46="S",OR($Q46&lt;&gt;"",$T46&gt;0,$U46&gt;0),$P46=""),"FONTE",
IF(AND($C46="S",$P46&lt;&gt;"",OR($T46&gt;0,$U46&gt;0),$Q46=""),"CÓDIGO",
IF(AND($C46="S",$P46&lt;&gt;"",$Q46&lt;&gt;"",$R46="(Código não identificado nas referências)"),"CÓDIGO N/ID",
IF(AND($C46="S",OR($R46="",$R46="(digite a descrição aqui)"),OR($Q46&lt;&gt;"",$T46&gt;0,$U46&gt;0)),"DESCRIÇÃO",
IF(AND($C46="S",$P46&lt;&gt;"",$Q46&lt;&gt;"",$S46=""),"UNIDADE",
IF(AND($C46="S",$P46&lt;&gt;"",$Q46&lt;&gt;"",$U46=0),"SEM CUSTO",
IF(AND(_xlfn.single(TIPOORCAMENTO)="Licitado",$AL46=0,$AN46&gt;0),"SEM PREÇO",
IF(AND($C46="S",$P46&lt;&gt;"",$Q46&lt;&gt;"",$U46&gt;0,$V46=0),"BDI",
IF(OR(AND(TIPOORCAMENTO="Proposto",LEFT($O$8,5)&lt;&gt;"(N/D:",$AG46&lt;&gt;"",ORÇAMENTO.CustoUnitario&gt;$AG46),AND(TIPOORCAMENTO="LICITADO",ORÇAMENTO.PrecoUnitarioLicitado&gt;$AN46)),"ACIMA REF.",
IF(AND($C46="S",$P46&lt;&gt;"",$Q46&lt;&gt;"",$T46=0,$U46&gt;0),"QUANT.",
IF(AND(Import.TipoArredondamento="TransfereGOV",$L46="F",$C46="S",LEN($Q46)&gt;13),"Código &gt;13",
IF(AND(Import.TipoArredondamento="TransfereGOV",$L46="F",$C46&lt;&gt;"S",LEN($R46)&gt;100),"Descrição &gt;100",
IF(AND(Import.TipoArredondamento="TransfereGOV",$L46="F",$C46="S",LEN($R46)&gt;500),"Descrição &gt;500",
IF(AND(Import.TipoArredondamento="TransfereGOV",$L46="F",$C46="S",LEFT(TRIM(UPPER($P46)),6)&lt;&gt;"SINAPI",ISNA(VLOOKUP(TRIM(UPPER($S46)),ListaTgov.Unidades,1,FALSE()))),"Unid. Não Disp",
" "))))))))))))))))</f>
        <v>#NAME?</v>
      </c>
      <c r="AD46" s="38" t="n">
        <f aca="true">IF(C46&lt;=CRONO.NivelExibicao,MAX($AD$15:OFFSET(AD46,-1,0))+IF($C46&lt;&gt;1,1,MAX(1,COUNTIF(QCI!$A$13:$A$15,OFFSET($E46,-1,0)))),"")</f>
        <v>8</v>
      </c>
      <c r="AE46" s="50" t="b">
        <f aca="false">IF(AND($C46="S",ORÇAMENTO.CodBarra&lt;&gt;""),IF(ORÇAMENTO.Fonte="",ORÇAMENTO.CodBarra,CONCATENATE(ORÇAMENTO.Fonte," ",ORÇAMENTO.CodBarra)))</f>
        <v>0</v>
      </c>
      <c r="AF46" s="65" t="str">
        <f aca="true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07-2025.xlsm)</v>
      </c>
      <c r="AG46" s="215" t="n">
        <f aca="true">ROUND(IF(DESONERACAO="sim",REFERENCIA.Desonerado,REFERENCIA.NaoDesonerado),2)</f>
        <v>0</v>
      </c>
      <c r="AH46" s="216" t="n">
        <f aca="false">ROUND(IF(ISNUMBER(ORÇAMENTO.OpcaoBDI),ORÇAMENTO.OpcaoBDI,IF(LEFT(ORÇAMENTO.OpcaoBDI,3)="BDI",HLOOKUP(ORÇAMENTO.OpcaoBDI,$F$4:$H$5,2,FALSE()),0)),15-11*$AF$9)</f>
        <v>0.2904</v>
      </c>
      <c r="AJ46" s="217"/>
      <c r="AL46" s="218"/>
      <c r="AM46" s="219" t="n">
        <f aca="false">$X46</f>
        <v>43443.5</v>
      </c>
      <c r="AN46" s="220" t="n">
        <f aca="false">ROUND(ORÇAMENTO.CustoUnitario*(1+$AH46),2)</f>
        <v>0</v>
      </c>
    </row>
    <row r="47" customFormat="false" ht="23.85" hidden="false" customHeight="false" outlineLevel="0" collapsed="false">
      <c r="A47" s="1" t="str">
        <f aca="false">CHOOSE(1+LOG(1+2*(ORÇAMENTO.Nivel="Meta")+4*(ORÇAMENTO.Nivel="Nível 2")+8*(ORÇAMENTO.Nivel="Nível 3")+16*(ORÇAMENTO.Nivel="Nível 4")+32*(ORÇAMENTO.Nivel="Serviço"),2),0,1,2,3,4,"S")</f>
        <v>S</v>
      </c>
      <c r="B47" s="1" t="n">
        <f aca="true">IF(OR(C47="s",C47=0),OFFSET(B47,-1,0),C47)</f>
        <v>2</v>
      </c>
      <c r="C47" s="1" t="str">
        <f aca="true">IF(OFFSET(C47,-1,0)="L",1,IF(OFFSET(C47,-1,0)=1,2,IF(OR(A47="s",A47=0),"S",IF(AND(OFFSET(C47,-1,0)=2,A47=4),3,IF(AND(OR(OFFSET(C47,-1,0)="s",OFFSET(C47,-1,0)=0),A47&lt;&gt;"s",A47&gt;OFFSET(B47,-1,0)),OFFSET(B47,-1,0),A47)))))</f>
        <v>S</v>
      </c>
      <c r="D47" s="1" t="n">
        <f aca="false">IF(OR(C47="S",C47=0),0,IF(ISERROR(K47),J47,SMALL(J47:K47,1)))</f>
        <v>0</v>
      </c>
      <c r="E47" s="1" t="n">
        <f aca="true">IF($C47=1,OFFSET(E47,-1,0)+MAX(1,COUNTIF(QCI!$A$13:$A$15,OFFSET(ORÇAMENTO!E47,-1,0))),OFFSET(E47,-1,0))</f>
        <v>1</v>
      </c>
      <c r="F47" s="1" t="n">
        <f aca="true">IF($C47=1,0,IF($C47=2,OFFSET(F47,-1,0)+1,OFFSET(F47,-1,0)))</f>
        <v>7</v>
      </c>
      <c r="G47" s="1" t="n">
        <f aca="true">IF(AND($C47&lt;=2,$C47&lt;&gt;0),0,IF($C47=3,OFFSET(G47,-1,0)+1,OFFSET(G47,-1,0)))</f>
        <v>0</v>
      </c>
      <c r="H47" s="1" t="n">
        <f aca="true">IF(AND($C47&lt;=3,$C47&lt;&gt;0),0,IF($C47=4,OFFSET(H47,-1,0)+1,OFFSET(H47,-1,0)))</f>
        <v>0</v>
      </c>
      <c r="I47" s="1" t="n">
        <f aca="true">IF(AND($C47&lt;=4,$C47&lt;&gt;0),0,IF(AND($C47="S",$X47&gt;0),OFFSET(I47,-1,0)+1,OFFSET(I47,-1,0)))</f>
        <v>1</v>
      </c>
      <c r="J47" s="1" t="n">
        <f aca="true">IF(OR($C47="S",$C47=0),0,MATCH(0,OFFSET($D47,1,$C47,ROW($C$205)-ROW($C47)),0))</f>
        <v>0</v>
      </c>
      <c r="K47" s="1" t="n">
        <f aca="true">IF(OR($C47="S",$C47=0),0,MATCH(OFFSET($D47,0,$C47)+IF($C47&lt;&gt;1,1,COUNTIF(QCI!$A$13:$A$15,ORÇAMENTO!E47)),OFFSET($D47,1,$C47,ROW($C$205)-ROW($C47)),0))</f>
        <v>0</v>
      </c>
      <c r="L47" s="199" t="str">
        <f aca="false">IF(OR($X47&gt;0,$C47=1,$C47=2,$C47=3,$C47=4),"F","")</f>
        <v>F</v>
      </c>
      <c r="M47" s="200" t="s">
        <v>735</v>
      </c>
      <c r="N47" s="201" t="str">
        <f aca="false">CHOOSE(1+LOG(1+2*(C47=1)+4*(C47=2)+8*(C47=3)+16*(C47=4)+32*(C47="S"),2),"","Meta","Nível 2","Nível 3","Nível 4","Serviço")</f>
        <v>Serviço</v>
      </c>
      <c r="O47" s="202" t="str">
        <f aca="false">IF(OR($C47=0,$L47=""),"-",CONCATENATE(E47&amp;".",IF(AND($A$5&gt;=2,$C47&gt;=2),F47&amp;".",""),IF(AND($A$5&gt;=3,$C47&gt;=3),G47&amp;".",""),IF(AND($A$5&gt;=4,$C47&gt;=4),H47&amp;".",""),IF($C47="S",I47&amp;".","")))</f>
        <v>1.7.1.</v>
      </c>
      <c r="P47" s="203" t="s">
        <v>780</v>
      </c>
      <c r="Q47" s="204" t="n">
        <v>98557</v>
      </c>
      <c r="R47" s="205" t="s">
        <v>816</v>
      </c>
      <c r="S47" s="206" t="s">
        <v>650</v>
      </c>
      <c r="T47" s="207" t="n">
        <f aca="true">OFFSET(CÁLCULO!H$15,ROW($T47)-ROW(T$15),0)</f>
        <v>849.5</v>
      </c>
      <c r="U47" s="208" t="n">
        <f aca="false">[4]PO!$G$36</f>
        <v>39.63</v>
      </c>
      <c r="V47" s="209" t="s">
        <v>690</v>
      </c>
      <c r="W47" s="207" t="n">
        <f aca="false">IF($C47="S",ROUND(IF(TIPOORCAMENTO="Proposto",ORÇAMENTO.CustoUnitario*(1+$AH47),ORÇAMENTO.PrecoUnitarioLicitado),15-13*$AF$10),0)</f>
        <v>51.14</v>
      </c>
      <c r="X47" s="210" t="n">
        <f aca="true" t="array" ref="X47:X47">IF($C47="S",IF(OR(Import.TipoArredondamento&lt;&gt;"TransfereGOV",ACOMPANHAMENTO="BM"),VTOTAL1,SUM(OFFSET(CÁLCULO!$AQ$15,ROW($X47)-ROW($X$15),1):OFFSET(CÁLCULO!$BR$15,ROW($X47)-ROW($X$15),-1))),IF($C47=0,0,ROUND(SomaAgrup,15-13*$AF$11)))</f>
        <v>43443.5</v>
      </c>
      <c r="Y47" s="211" t="s">
        <v>781</v>
      </c>
      <c r="Z47" s="1" t="str">
        <f aca="false">IF(AND($C47="S",$X47&gt;0),IF(ISBLANK($Y47),"RA",LEFT($Y47,2)),"")</f>
        <v>RA</v>
      </c>
      <c r="AA47" s="212" t="n">
        <f aca="true">IF($C47="S",IF($Z47="CP",$X47,IF($Z47="RA",(($X47)*QCI!$AA$3),0)),SomaAgrup)</f>
        <v>4821.4259492254</v>
      </c>
      <c r="AB47" s="213" t="n">
        <f aca="true">IF($C47="S",IF($Z47="OU",ROUND($X47,2),0),SomaAgrup)</f>
        <v>0</v>
      </c>
      <c r="AC47" s="214" t="e">
        <f aca="false" t="array" ref="AC47:AC47">IF($N47=""," ",
IF(AND($C47&lt;&gt;"S",OR($R47="",$R47="(digite a descrição aqui)")),"DESCRIÇÃO",
IF(AND($C47="S",OR($Q47&lt;&gt;"",$T47&gt;0,$U47&gt;0),$P47=""),"FONTE",
IF(AND($C47="S",$P47&lt;&gt;"",OR($T47&gt;0,$U47&gt;0),$Q47=""),"CÓDIGO",
IF(AND($C47="S",$P47&lt;&gt;"",$Q47&lt;&gt;"",$R47="(Código não identificado nas referências)"),"CÓDIGO N/ID",
IF(AND($C47="S",OR($R47="",$R47="(digite a descrição aqui)"),OR($Q47&lt;&gt;"",$T47&gt;0,$U47&gt;0)),"DESCRIÇÃO",
IF(AND($C47="S",$P47&lt;&gt;"",$Q47&lt;&gt;"",$S47=""),"UNIDADE",
IF(AND($C47="S",$P47&lt;&gt;"",$Q47&lt;&gt;"",$U47=0),"SEM CUSTO",
IF(AND(_xlfn.single(TIPOORCAMENTO)="Licitado",$AL47=0,$AN47&gt;0),"SEM PREÇO",
IF(AND($C47="S",$P47&lt;&gt;"",$Q47&lt;&gt;"",$U47&gt;0,$V47=0),"BDI",
IF(OR(AND(TIPOORCAMENTO="Proposto",LEFT($O$8,5)&lt;&gt;"(N/D:",$AG47&lt;&gt;"",ORÇAMENTO.CustoUnitario&gt;$AG47),AND(TIPOORCAMENTO="LICITADO",ORÇAMENTO.PrecoUnitarioLicitado&gt;$AN47)),"ACIMA REF.",
IF(AND($C47="S",$P47&lt;&gt;"",$Q47&lt;&gt;"",$T47=0,$U47&gt;0),"QUANT.",
IF(AND(Import.TipoArredondamento="TransfereGOV",$L47="F",$C47="S",LEN($Q47)&gt;13),"Código &gt;13",
IF(AND(Import.TipoArredondamento="TransfereGOV",$L47="F",$C47&lt;&gt;"S",LEN($R47)&gt;100),"Descrição &gt;100",
IF(AND(Import.TipoArredondamento="TransfereGOV",$L47="F",$C47="S",LEN($R47)&gt;500),"Descrição &gt;500",
IF(AND(Import.TipoArredondamento="TransfereGOV",$L47="F",$C47="S",LEFT(TRIM(UPPER($P47)),6)&lt;&gt;"SINAPI",ISNA(VLOOKUP(TRIM(UPPER($S47)),ListaTgov.Unidades,1,FALSE()))),"Unid. Não Disp",
" "))))))))))))))))</f>
        <v>#NAME?</v>
      </c>
      <c r="AD47" s="1" t="str">
        <f aca="true">IF(C47&lt;=CRONO.NivelExibicao,MAX($AD$15:OFFSET(AD47,-1,0))+IF($C47&lt;&gt;1,1,MAX(1,COUNTIF(QCI!$A$13:$A$15,OFFSET($E47,-1,0)))),"")</f>
        <v/>
      </c>
      <c r="AE47" s="50" t="str">
        <f aca="false">IF(AND($C47="S",ORÇAMENTO.CodBarra&lt;&gt;""),IF(ORÇAMENTO.Fonte="",ORÇAMENTO.CodBarra,CONCATENATE(ORÇAMENTO.Fonte," ",ORÇAMENTO.CodBarra)))</f>
        <v>SINAPI 98557</v>
      </c>
      <c r="AF47" s="65" t="str">
        <f aca="true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07-2025.xlsm)</v>
      </c>
      <c r="AG47" s="215" t="n">
        <f aca="true">ROUND(IF(DESONERACAO="sim",REFERENCIA.Desonerado,REFERENCIA.NaoDesonerado),2)</f>
        <v>0</v>
      </c>
      <c r="AH47" s="216" t="n">
        <f aca="false">ROUND(IF(ISNUMBER(ORÇAMENTO.OpcaoBDI),ORÇAMENTO.OpcaoBDI,IF(LEFT(ORÇAMENTO.OpcaoBDI,3)="BDI",HLOOKUP(ORÇAMENTO.OpcaoBDI,$F$4:$H$5,2,FALSE()),0)),15-11*$AF$9)</f>
        <v>0.2904</v>
      </c>
      <c r="AJ47" s="217"/>
      <c r="AL47" s="218"/>
      <c r="AM47" s="219" t="n">
        <f aca="false">$X47</f>
        <v>43443.5</v>
      </c>
      <c r="AN47" s="220" t="n">
        <f aca="false">ROUND(ORÇAMENTO.CustoUnitario*(1+$AH47),2)</f>
        <v>51.14</v>
      </c>
    </row>
    <row r="48" customFormat="false" ht="12.75" hidden="false" customHeight="false" outlineLevel="0" collapsed="false">
      <c r="A48" s="1" t="n">
        <f aca="false">CHOOSE(1+LOG(1+2*(ORÇAMENTO.Nivel="Meta")+4*(ORÇAMENTO.Nivel="Nível 2")+8*(ORÇAMENTO.Nivel="Nível 3")+16*(ORÇAMENTO.Nivel="Nível 4")+32*(ORÇAMENTO.Nivel="Serviço"),2),0,1,2,3,4,"S")</f>
        <v>2</v>
      </c>
      <c r="B48" s="1" t="n">
        <f aca="true">IF(OR(C48="s",C48=0),OFFSET(B48,-1,0),C48)</f>
        <v>2</v>
      </c>
      <c r="C48" s="1" t="n">
        <f aca="true">IF(OFFSET(C48,-1,0)="L",1,IF(OFFSET(C48,-1,0)=1,2,IF(OR(A48="s",A48=0),"S",IF(AND(OFFSET(C48,-1,0)=2,A48=4),3,IF(AND(OR(OFFSET(C48,-1,0)="s",OFFSET(C48,-1,0)=0),A48&lt;&gt;"s",A48&gt;OFFSET(B48,-1,0)),OFFSET(B48,-1,0),A48)))))</f>
        <v>2</v>
      </c>
      <c r="D48" s="1" t="n">
        <f aca="false">IF(OR(C48="S",C48=0),0,IF(ISERROR(K48),J48,SMALL(J48:K48,1)))</f>
        <v>1</v>
      </c>
      <c r="E48" s="1" t="n">
        <f aca="true">IF($C48=1,OFFSET(E48,-1,0)+MAX(1,COUNTIF(QCI!$A$13:$A$15,OFFSET(ORÇAMENTO!E48,-1,0))),OFFSET(E48,-1,0))</f>
        <v>1</v>
      </c>
      <c r="F48" s="1" t="n">
        <f aca="true">IF($C48=1,0,IF($C48=2,OFFSET(F48,-1,0)+1,OFFSET(F48,-1,0)))</f>
        <v>8</v>
      </c>
      <c r="G48" s="1" t="n">
        <f aca="true">IF(AND($C48&lt;=2,$C48&lt;&gt;0),0,IF($C48=3,OFFSET(G48,-1,0)+1,OFFSET(G48,-1,0)))</f>
        <v>0</v>
      </c>
      <c r="H48" s="1" t="n">
        <f aca="true">IF(AND($C48&lt;=3,$C48&lt;&gt;0),0,IF($C48=4,OFFSET(H48,-1,0)+1,OFFSET(H48,-1,0)))</f>
        <v>0</v>
      </c>
      <c r="I48" s="1" t="n">
        <f aca="true">IF(AND($C48&lt;=4,$C48&lt;&gt;0),0,IF(AND($C48="S",$X48&gt;0),OFFSET(I48,-1,0)+1,OFFSET(I48,-1,0)))</f>
        <v>0</v>
      </c>
      <c r="J48" s="1" t="n">
        <f aca="true">IF(OR($C48="S",$C48=0),0,MATCH(0,OFFSET($D48,1,$C48,ROW($C$205)-ROW($C48)),0))</f>
        <v>157</v>
      </c>
      <c r="K48" s="1" t="n">
        <f aca="true">IF(OR($C48="S",$C48=0),0,MATCH(OFFSET($D48,0,$C48)+IF($C48&lt;&gt;1,1,COUNTIF(QCI!$A$13:$A$15,ORÇAMENTO!E48)),OFFSET($D48,1,$C48,ROW($C$205)-ROW($C48)),0))</f>
        <v>1</v>
      </c>
      <c r="L48" s="199" t="str">
        <f aca="false">IF(OR($X48&gt;0,$C48=1,$C48=2,$C48=3,$C48=4),"F","")</f>
        <v>F</v>
      </c>
      <c r="M48" s="200" t="s">
        <v>732</v>
      </c>
      <c r="N48" s="201" t="str">
        <f aca="false">CHOOSE(1+LOG(1+2*(C48=1)+4*(C48=2)+8*(C48=3)+16*(C48=4)+32*(C48="S"),2),"","Meta","Nível 2","Nível 3","Nível 4","Serviço")</f>
        <v>Nível 2</v>
      </c>
      <c r="O48" s="202" t="str">
        <f aca="false">IF(OR($C48=0,$L48=""),"-",CONCATENATE(E48&amp;".",IF(AND($A$5&gt;=2,$C48&gt;=2),F48&amp;".",""),IF(AND($A$5&gt;=3,$C48&gt;=3),G48&amp;".",""),IF(AND($A$5&gt;=4,$C48&gt;=4),H48&amp;".",""),IF($C48="S",I48&amp;".","")))</f>
        <v>1.8.</v>
      </c>
      <c r="P48" s="203" t="s">
        <v>780</v>
      </c>
      <c r="Q48" s="204"/>
      <c r="R48" s="205" t="str">
        <f aca="false">[1]PO!$B$38</f>
        <v>SUPRAESTRUTURA</v>
      </c>
      <c r="S48" s="206" t="str">
        <f aca="true">REFERENCIA.Unidade</f>
        <v>-</v>
      </c>
      <c r="T48" s="207" t="n">
        <f aca="true">OFFSET(CÁLCULO!H$15,ROW($T48)-ROW(T$15),0)</f>
        <v>0</v>
      </c>
      <c r="U48" s="208"/>
      <c r="V48" s="209" t="s">
        <v>690</v>
      </c>
      <c r="W48" s="207" t="n">
        <f aca="false">IF($C48="S",ROUND(IF(TIPOORCAMENTO="Proposto",ORÇAMENTO.CustoUnitario*(1+$AH48),ORÇAMENTO.PrecoUnitarioLicitado),15-13*$AF$10),0)</f>
        <v>0</v>
      </c>
      <c r="X48" s="210" t="n">
        <f aca="true" t="array" ref="X48:X48">IF($C48="S",IF(OR(Import.TipoArredondamento&lt;&gt;"TransfereGOV",ACOMPANHAMENTO="BM"),VTOTAL1,SUM(OFFSET(CÁLCULO!$AQ$15,ROW($X48)-ROW($X$15),1):OFFSET(CÁLCULO!$BR$15,ROW($X48)-ROW($X$15),-1))),IF($C48=0,0,ROUND(SomaAgrup,15-13*$AF$11)))</f>
        <v>0</v>
      </c>
      <c r="Y48" s="211" t="s">
        <v>781</v>
      </c>
      <c r="Z48" s="1" t="str">
        <f aca="false">IF(AND($C48="S",$X48&gt;0),IF(ISBLANK($Y48),"RA",LEFT($Y48,2)),"")</f>
        <v/>
      </c>
      <c r="AA48" s="212" t="n">
        <f aca="true">IF($C48="S",IF($Z48="CP",$X48,IF($Z48="RA",(($X48)*QCI!$AA$3),0)),SomaAgrup)</f>
        <v>0</v>
      </c>
      <c r="AB48" s="213" t="n">
        <f aca="true">IF($C48="S",IF($Z48="OU",ROUND($X48,2),0),SomaAgrup)</f>
        <v>0</v>
      </c>
      <c r="AC48" s="214" t="e">
        <f aca="false" t="array" ref="AC48:AC48">IF($N48=""," ",
IF(AND($C48&lt;&gt;"S",OR($R48="",$R48="(digite a descrição aqui)")),"DESCRIÇÃO",
IF(AND($C48="S",OR($Q48&lt;&gt;"",$T48&gt;0,$U48&gt;0),$P48=""),"FONTE",
IF(AND($C48="S",$P48&lt;&gt;"",OR($T48&gt;0,$U48&gt;0),$Q48=""),"CÓDIGO",
IF(AND($C48="S",$P48&lt;&gt;"",$Q48&lt;&gt;"",$R48="(Código não identificado nas referências)"),"CÓDIGO N/ID",
IF(AND($C48="S",OR($R48="",$R48="(digite a descrição aqui)"),OR($Q48&lt;&gt;"",$T48&gt;0,$U48&gt;0)),"DESCRIÇÃO",
IF(AND($C48="S",$P48&lt;&gt;"",$Q48&lt;&gt;"",$S48=""),"UNIDADE",
IF(AND($C48="S",$P48&lt;&gt;"",$Q48&lt;&gt;"",$U48=0),"SEM CUSTO",
IF(AND(_xlfn.single(TIPOORCAMENTO)="Licitado",$AL48=0,$AN48&gt;0),"SEM PREÇO",
IF(AND($C48="S",$P48&lt;&gt;"",$Q48&lt;&gt;"",$U48&gt;0,$V48=0),"BDI",
IF(OR(AND(TIPOORCAMENTO="Proposto",LEFT($O$8,5)&lt;&gt;"(N/D:",$AG48&lt;&gt;"",ORÇAMENTO.CustoUnitario&gt;$AG48),AND(TIPOORCAMENTO="LICITADO",ORÇAMENTO.PrecoUnitarioLicitado&gt;$AN48)),"ACIMA REF.",
IF(AND($C48="S",$P48&lt;&gt;"",$Q48&lt;&gt;"",$T48=0,$U48&gt;0),"QUANT.",
IF(AND(Import.TipoArredondamento="TransfereGOV",$L48="F",$C48="S",LEN($Q48)&gt;13),"Código &gt;13",
IF(AND(Import.TipoArredondamento="TransfereGOV",$L48="F",$C48&lt;&gt;"S",LEN($R48)&gt;100),"Descrição &gt;100",
IF(AND(Import.TipoArredondamento="TransfereGOV",$L48="F",$C48="S",LEN($R48)&gt;500),"Descrição &gt;500",
IF(AND(Import.TipoArredondamento="TransfereGOV",$L48="F",$C48="S",LEFT(TRIM(UPPER($P48)),6)&lt;&gt;"SINAPI",ISNA(VLOOKUP(TRIM(UPPER($S48)),ListaTgov.Unidades,1,FALSE()))),"Unid. Não Disp",
" "))))))))))))))))</f>
        <v>#NAME?</v>
      </c>
      <c r="AD48" s="38" t="n">
        <f aca="true">IF(C48&lt;=CRONO.NivelExibicao,MAX($AD$15:OFFSET(AD48,-1,0))+IF($C48&lt;&gt;1,1,MAX(1,COUNTIF(QCI!$A$13:$A$15,OFFSET($E48,-1,0)))),"")</f>
        <v>9</v>
      </c>
      <c r="AE48" s="50" t="b">
        <f aca="false">IF(AND($C48="S",ORÇAMENTO.CodBarra&lt;&gt;""),IF(ORÇAMENTO.Fonte="",ORÇAMENTO.CodBarra,CONCATENATE(ORÇAMENTO.Fonte," ",ORÇAMENTO.CodBarra)))</f>
        <v>0</v>
      </c>
      <c r="AF48" s="65" t="str">
        <f aca="true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07-2025.xlsm)</v>
      </c>
      <c r="AG48" s="215" t="n">
        <f aca="true">ROUND(IF(DESONERACAO="sim",REFERENCIA.Desonerado,REFERENCIA.NaoDesonerado),2)</f>
        <v>0</v>
      </c>
      <c r="AH48" s="216" t="n">
        <f aca="false">ROUND(IF(ISNUMBER(ORÇAMENTO.OpcaoBDI),ORÇAMENTO.OpcaoBDI,IF(LEFT(ORÇAMENTO.OpcaoBDI,3)="BDI",HLOOKUP(ORÇAMENTO.OpcaoBDI,$F$4:$H$5,2,FALSE()),0)),15-11*$AF$9)</f>
        <v>0.2904</v>
      </c>
      <c r="AJ48" s="217"/>
      <c r="AL48" s="218"/>
      <c r="AM48" s="219" t="n">
        <f aca="false">$X48</f>
        <v>0</v>
      </c>
      <c r="AN48" s="220" t="n">
        <f aca="false">ROUND(ORÇAMENTO.CustoUnitario*(1+$AH48),2)</f>
        <v>0</v>
      </c>
    </row>
    <row r="49" customFormat="false" ht="12.75" hidden="false" customHeight="false" outlineLevel="0" collapsed="false">
      <c r="A49" s="1" t="n">
        <f aca="false">CHOOSE(1+LOG(1+2*(ORÇAMENTO.Nivel="Meta")+4*(ORÇAMENTO.Nivel="Nível 2")+8*(ORÇAMENTO.Nivel="Nível 3")+16*(ORÇAMENTO.Nivel="Nível 4")+32*(ORÇAMENTO.Nivel="Serviço"),2),0,1,2,3,4,"S")</f>
        <v>2</v>
      </c>
      <c r="B49" s="1" t="n">
        <f aca="true">IF(OR(C49="s",C49=0),OFFSET(B49,-1,0),C49)</f>
        <v>2</v>
      </c>
      <c r="C49" s="1" t="n">
        <f aca="true">IF(OFFSET(C49,-1,0)="L",1,IF(OFFSET(C49,-1,0)=1,2,IF(OR(A49="s",A49=0),"S",IF(AND(OFFSET(C49,-1,0)=2,A49=4),3,IF(AND(OR(OFFSET(C49,-1,0)="s",OFFSET(C49,-1,0)=0),A49&lt;&gt;"s",A49&gt;OFFSET(B49,-1,0)),OFFSET(B49,-1,0),A49)))))</f>
        <v>2</v>
      </c>
      <c r="D49" s="1" t="n">
        <f aca="false">IF(OR(C49="S",C49=0),0,IF(ISERROR(K49),J49,SMALL(J49:K49,1)))</f>
        <v>7</v>
      </c>
      <c r="E49" s="1" t="n">
        <f aca="true">IF($C49=1,OFFSET(E49,-1,0)+MAX(1,COUNTIF(QCI!$A$13:$A$15,OFFSET(ORÇAMENTO!E49,-1,0))),OFFSET(E49,-1,0))</f>
        <v>1</v>
      </c>
      <c r="F49" s="1" t="n">
        <f aca="true">IF($C49=1,0,IF($C49=2,OFFSET(F49,-1,0)+1,OFFSET(F49,-1,0)))</f>
        <v>9</v>
      </c>
      <c r="G49" s="1" t="n">
        <f aca="true">IF(AND($C49&lt;=2,$C49&lt;&gt;0),0,IF($C49=3,OFFSET(G49,-1,0)+1,OFFSET(G49,-1,0)))</f>
        <v>0</v>
      </c>
      <c r="H49" s="1" t="n">
        <f aca="true">IF(AND($C49&lt;=3,$C49&lt;&gt;0),0,IF($C49=4,OFFSET(H49,-1,0)+1,OFFSET(H49,-1,0)))</f>
        <v>0</v>
      </c>
      <c r="I49" s="1" t="n">
        <f aca="true">IF(AND($C49&lt;=4,$C49&lt;&gt;0),0,IF(AND($C49="S",$X49&gt;0),OFFSET(I49,-1,0)+1,OFFSET(I49,-1,0)))</f>
        <v>0</v>
      </c>
      <c r="J49" s="1" t="n">
        <f aca="true">IF(OR($C49="S",$C49=0),0,MATCH(0,OFFSET($D49,1,$C49,ROW($C$205)-ROW($C49)),0))</f>
        <v>156</v>
      </c>
      <c r="K49" s="1" t="n">
        <f aca="true">IF(OR($C49="S",$C49=0),0,MATCH(OFFSET($D49,0,$C49)+IF($C49&lt;&gt;1,1,COUNTIF(QCI!$A$13:$A$15,ORÇAMENTO!E49)),OFFSET($D49,1,$C49,ROW($C$205)-ROW($C49)),0))</f>
        <v>7</v>
      </c>
      <c r="L49" s="199" t="str">
        <f aca="false">IF(OR($X49&gt;0,$C49=1,$C49=2,$C49=3,$C49=4),"F","")</f>
        <v>F</v>
      </c>
      <c r="M49" s="200" t="s">
        <v>732</v>
      </c>
      <c r="N49" s="201" t="str">
        <f aca="false">CHOOSE(1+LOG(1+2*(C49=1)+4*(C49=2)+8*(C49=3)+16*(C49=4)+32*(C49="S"),2),"","Meta","Nível 2","Nível 3","Nível 4","Serviço")</f>
        <v>Nível 2</v>
      </c>
      <c r="O49" s="202" t="str">
        <f aca="false">IF(OR($C49=0,$L49=""),"-",CONCATENATE(E49&amp;".",IF(AND($A$5&gt;=2,$C49&gt;=2),F49&amp;".",""),IF(AND($A$5&gt;=3,$C49&gt;=3),G49&amp;".",""),IF(AND($A$5&gt;=4,$C49&gt;=4),H49&amp;".",""),IF($C49="S",I49&amp;".","")))</f>
        <v>1.9.</v>
      </c>
      <c r="P49" s="203" t="s">
        <v>780</v>
      </c>
      <c r="Q49" s="204"/>
      <c r="R49" s="205" t="str">
        <f aca="false">[1]PO!$B$39</f>
        <v>PILARES, VIGAS E LAJES</v>
      </c>
      <c r="S49" s="206" t="str">
        <f aca="true">REFERENCIA.Unidade</f>
        <v>-</v>
      </c>
      <c r="T49" s="207" t="n">
        <f aca="true">OFFSET(CÁLCULO!H$15,ROW($T49)-ROW(T$15),0)</f>
        <v>0</v>
      </c>
      <c r="U49" s="208"/>
      <c r="V49" s="209" t="s">
        <v>690</v>
      </c>
      <c r="W49" s="207" t="n">
        <f aca="false">IF($C49="S",ROUND(IF(TIPOORCAMENTO="Proposto",ORÇAMENTO.CustoUnitario*(1+$AH49),ORÇAMENTO.PrecoUnitarioLicitado),15-13*$AF$10),0)</f>
        <v>0</v>
      </c>
      <c r="X49" s="210" t="n">
        <f aca="true" t="array" ref="X49:X49">IF($C49="S",IF(OR(Import.TipoArredondamento&lt;&gt;"TransfereGOV",ACOMPANHAMENTO="BM"),VTOTAL1,SUM(OFFSET(CÁLCULO!$AQ$15,ROW($X49)-ROW($X$15),1):OFFSET(CÁLCULO!$BR$15,ROW($X49)-ROW($X$15),-1))),IF($C49=0,0,ROUND(SomaAgrup,15-13*$AF$11)))</f>
        <v>560771.75</v>
      </c>
      <c r="Y49" s="211" t="s">
        <v>781</v>
      </c>
      <c r="Z49" s="1" t="str">
        <f aca="false">IF(AND($C49="S",$X49&gt;0),IF(ISBLANK($Y49),"RA",LEFT($Y49,2)),"")</f>
        <v/>
      </c>
      <c r="AA49" s="212" t="n">
        <f aca="true">IF($C49="S",IF($Z49="CP",$X49,IF($Z49="RA",(($X49)*QCI!$AA$3),0)),SomaAgrup)</f>
        <v>62235.3048682206</v>
      </c>
      <c r="AB49" s="213" t="n">
        <f aca="true">IF($C49="S",IF($Z49="OU",ROUND($X49,2),0),SomaAgrup)</f>
        <v>0</v>
      </c>
      <c r="AC49" s="214" t="e">
        <f aca="false" t="array" ref="AC49:AC49">IF($N49=""," ",
IF(AND($C49&lt;&gt;"S",OR($R49="",$R49="(digite a descrição aqui)")),"DESCRIÇÃO",
IF(AND($C49="S",OR($Q49&lt;&gt;"",$T49&gt;0,$U49&gt;0),$P49=""),"FONTE",
IF(AND($C49="S",$P49&lt;&gt;"",OR($T49&gt;0,$U49&gt;0),$Q49=""),"CÓDIGO",
IF(AND($C49="S",$P49&lt;&gt;"",$Q49&lt;&gt;"",$R49="(Código não identificado nas referências)"),"CÓDIGO N/ID",
IF(AND($C49="S",OR($R49="",$R49="(digite a descrição aqui)"),OR($Q49&lt;&gt;"",$T49&gt;0,$U49&gt;0)),"DESCRIÇÃO",
IF(AND($C49="S",$P49&lt;&gt;"",$Q49&lt;&gt;"",$S49=""),"UNIDADE",
IF(AND($C49="S",$P49&lt;&gt;"",$Q49&lt;&gt;"",$U49=0),"SEM CUSTO",
IF(AND(_xlfn.single(TIPOORCAMENTO)="Licitado",$AL49=0,$AN49&gt;0),"SEM PREÇO",
IF(AND($C49="S",$P49&lt;&gt;"",$Q49&lt;&gt;"",$U49&gt;0,$V49=0),"BDI",
IF(OR(AND(TIPOORCAMENTO="Proposto",LEFT($O$8,5)&lt;&gt;"(N/D:",$AG49&lt;&gt;"",ORÇAMENTO.CustoUnitario&gt;$AG49),AND(TIPOORCAMENTO="LICITADO",ORÇAMENTO.PrecoUnitarioLicitado&gt;$AN49)),"ACIMA REF.",
IF(AND($C49="S",$P49&lt;&gt;"",$Q49&lt;&gt;"",$T49=0,$U49&gt;0),"QUANT.",
IF(AND(Import.TipoArredondamento="TransfereGOV",$L49="F",$C49="S",LEN($Q49)&gt;13),"Código &gt;13",
IF(AND(Import.TipoArredondamento="TransfereGOV",$L49="F",$C49&lt;&gt;"S",LEN($R49)&gt;100),"Descrição &gt;100",
IF(AND(Import.TipoArredondamento="TransfereGOV",$L49="F",$C49="S",LEN($R49)&gt;500),"Descrição &gt;500",
IF(AND(Import.TipoArredondamento="TransfereGOV",$L49="F",$C49="S",LEFT(TRIM(UPPER($P49)),6)&lt;&gt;"SINAPI",ISNA(VLOOKUP(TRIM(UPPER($S49)),ListaTgov.Unidades,1,FALSE()))),"Unid. Não Disp",
" "))))))))))))))))</f>
        <v>#NAME?</v>
      </c>
      <c r="AD49" s="38" t="n">
        <f aca="true">IF(C49&lt;=CRONO.NivelExibicao,MAX($AD$15:OFFSET(AD49,-1,0))+IF($C49&lt;&gt;1,1,MAX(1,COUNTIF(QCI!$A$13:$A$15,OFFSET($E49,-1,0)))),"")</f>
        <v>10</v>
      </c>
      <c r="AE49" s="50" t="b">
        <f aca="false">IF(AND($C49="S",ORÇAMENTO.CodBarra&lt;&gt;""),IF(ORÇAMENTO.Fonte="",ORÇAMENTO.CodBarra,CONCATENATE(ORÇAMENTO.Fonte," ",ORÇAMENTO.CodBarra)))</f>
        <v>0</v>
      </c>
      <c r="AF49" s="65" t="str">
        <f aca="true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07-2025.xlsm)</v>
      </c>
      <c r="AG49" s="215" t="n">
        <f aca="true">ROUND(IF(DESONERACAO="sim",REFERENCIA.Desonerado,REFERENCIA.NaoDesonerado),2)</f>
        <v>0</v>
      </c>
      <c r="AH49" s="216" t="n">
        <f aca="false">ROUND(IF(ISNUMBER(ORÇAMENTO.OpcaoBDI),ORÇAMENTO.OpcaoBDI,IF(LEFT(ORÇAMENTO.OpcaoBDI,3)="BDI",HLOOKUP(ORÇAMENTO.OpcaoBDI,$F$4:$H$5,2,FALSE()),0)),15-11*$AF$9)</f>
        <v>0.2904</v>
      </c>
      <c r="AJ49" s="217"/>
      <c r="AL49" s="218"/>
      <c r="AM49" s="219" t="n">
        <f aca="false">$X49</f>
        <v>560771.75</v>
      </c>
      <c r="AN49" s="220" t="n">
        <f aca="false">ROUND(ORÇAMENTO.CustoUnitario*(1+$AH49),2)</f>
        <v>0</v>
      </c>
    </row>
    <row r="50" customFormat="false" ht="35.05" hidden="false" customHeight="false" outlineLevel="0" collapsed="false">
      <c r="A50" s="1" t="str">
        <f aca="false">CHOOSE(1+LOG(1+2*(ORÇAMENTO.Nivel="Meta")+4*(ORÇAMENTO.Nivel="Nível 2")+8*(ORÇAMENTO.Nivel="Nível 3")+16*(ORÇAMENTO.Nivel="Nível 4")+32*(ORÇAMENTO.Nivel="Serviço"),2),0,1,2,3,4,"S")</f>
        <v>S</v>
      </c>
      <c r="B50" s="1" t="n">
        <f aca="true">IF(OR(C50="s",C50=0),OFFSET(B50,-1,0),C50)</f>
        <v>2</v>
      </c>
      <c r="C50" s="1" t="str">
        <f aca="true">IF(OFFSET(C50,-1,0)="L",1,IF(OFFSET(C50,-1,0)=1,2,IF(OR(A50="s",A50=0),"S",IF(AND(OFFSET(C50,-1,0)=2,A50=4),3,IF(AND(OR(OFFSET(C50,-1,0)="s",OFFSET(C50,-1,0)=0),A50&lt;&gt;"s",A50&gt;OFFSET(B50,-1,0)),OFFSET(B50,-1,0),A50)))))</f>
        <v>S</v>
      </c>
      <c r="D50" s="1" t="n">
        <f aca="false">IF(OR(C50="S",C50=0),0,IF(ISERROR(K50),J50,SMALL(J50:K50,1)))</f>
        <v>0</v>
      </c>
      <c r="E50" s="1" t="n">
        <f aca="true">IF($C50=1,OFFSET(E50,-1,0)+MAX(1,COUNTIF(QCI!$A$13:$A$15,OFFSET(ORÇAMENTO!E50,-1,0))),OFFSET(E50,-1,0))</f>
        <v>1</v>
      </c>
      <c r="F50" s="1" t="n">
        <f aca="true">IF($C50=1,0,IF($C50=2,OFFSET(F50,-1,0)+1,OFFSET(F50,-1,0)))</f>
        <v>9</v>
      </c>
      <c r="G50" s="1" t="n">
        <f aca="true">IF(AND($C50&lt;=2,$C50&lt;&gt;0),0,IF($C50=3,OFFSET(G50,-1,0)+1,OFFSET(G50,-1,0)))</f>
        <v>0</v>
      </c>
      <c r="H50" s="1" t="n">
        <f aca="true">IF(AND($C50&lt;=3,$C50&lt;&gt;0),0,IF($C50=4,OFFSET(H50,-1,0)+1,OFFSET(H50,-1,0)))</f>
        <v>0</v>
      </c>
      <c r="I50" s="1" t="n">
        <f aca="true">IF(AND($C50&lt;=4,$C50&lt;&gt;0),0,IF(AND($C50="S",$X50&gt;0),OFFSET(I50,-1,0)+1,OFFSET(I50,-1,0)))</f>
        <v>1</v>
      </c>
      <c r="J50" s="1" t="n">
        <f aca="true">IF(OR($C50="S",$C50=0),0,MATCH(0,OFFSET($D50,1,$C50,ROW($C$205)-ROW($C50)),0))</f>
        <v>0</v>
      </c>
      <c r="K50" s="1" t="n">
        <f aca="true">IF(OR($C50="S",$C50=0),0,MATCH(OFFSET($D50,0,$C50)+IF($C50&lt;&gt;1,1,COUNTIF(QCI!$A$13:$A$15,ORÇAMENTO!E50)),OFFSET($D50,1,$C50,ROW($C$205)-ROW($C50)),0))</f>
        <v>0</v>
      </c>
      <c r="L50" s="199" t="str">
        <f aca="false">IF(OR($X50&gt;0,$C50=1,$C50=2,$C50=3,$C50=4),"F","")</f>
        <v>F</v>
      </c>
      <c r="M50" s="200" t="s">
        <v>735</v>
      </c>
      <c r="N50" s="201" t="str">
        <f aca="false">CHOOSE(1+LOG(1+2*(C50=1)+4*(C50=2)+8*(C50=3)+16*(C50=4)+32*(C50="S"),2),"","Meta","Nível 2","Nível 3","Nível 4","Serviço")</f>
        <v>Serviço</v>
      </c>
      <c r="O50" s="202" t="str">
        <f aca="false">IF(OR($C50=0,$L50=""),"-",CONCATENATE(E50&amp;".",IF(AND($A$5&gt;=2,$C50&gt;=2),F50&amp;".",""),IF(AND($A$5&gt;=3,$C50&gt;=3),G50&amp;".",""),IF(AND($A$5&gt;=4,$C50&gt;=4),H50&amp;".",""),IF($C50="S",I50&amp;".","")))</f>
        <v>1.9.1.</v>
      </c>
      <c r="P50" s="203" t="s">
        <v>780</v>
      </c>
      <c r="Q50" s="204" t="s">
        <v>817</v>
      </c>
      <c r="R50" s="205" t="s">
        <v>818</v>
      </c>
      <c r="S50" s="206" t="s">
        <v>644</v>
      </c>
      <c r="T50" s="207" t="n">
        <f aca="true">OFFSET(CÁLCULO!H$15,ROW($T50)-ROW(T$15),0)</f>
        <v>2182.5</v>
      </c>
      <c r="U50" s="208" t="n">
        <v>13.99</v>
      </c>
      <c r="V50" s="209" t="s">
        <v>690</v>
      </c>
      <c r="W50" s="207" t="n">
        <f aca="false">IF($C50="S",ROUND(IF(TIPOORCAMENTO="Proposto",ORÇAMENTO.CustoUnitario*(1+$AH50),ORÇAMENTO.PrecoUnitarioLicitado),15-13*$AF$10),0)</f>
        <v>18.05</v>
      </c>
      <c r="X50" s="210" t="n">
        <f aca="true" t="array" ref="X50:X50">IF($C50="S",IF(OR(Import.TipoArredondamento&lt;&gt;"TransfereGOV",ACOMPANHAMENTO="BM"),VTOTAL1,SUM(OFFSET(CÁLCULO!$AQ$15,ROW($X50)-ROW($X$15),1):OFFSET(CÁLCULO!$BR$15,ROW($X50)-ROW($X$15),-1))),IF($C50=0,0,ROUND(SomaAgrup,15-13*$AF$11)))</f>
        <v>39394.25</v>
      </c>
      <c r="Y50" s="211" t="s">
        <v>781</v>
      </c>
      <c r="Z50" s="1" t="str">
        <f aca="false">IF(AND($C50="S",$X50&gt;0),IF(ISBLANK($Y50),"RA",LEFT($Y50,2)),"")</f>
        <v>RA</v>
      </c>
      <c r="AA50" s="212" t="n">
        <f aca="true">IF($C50="S",IF($Z50="CP",$X50,IF($Z50="RA",(($X50)*QCI!$AA$3),0)),SomaAgrup)</f>
        <v>4372.03400279151</v>
      </c>
      <c r="AB50" s="213" t="n">
        <f aca="true">IF($C50="S",IF($Z50="OU",ROUND($X50,2),0),SomaAgrup)</f>
        <v>0</v>
      </c>
      <c r="AC50" s="214" t="e">
        <f aca="false" t="array" ref="AC50:AC50">IF($N50=""," ",
IF(AND($C50&lt;&gt;"S",OR($R50="",$R50="(digite a descrição aqui)")),"DESCRIÇÃO",
IF(AND($C50="S",OR($Q50&lt;&gt;"",$T50&gt;0,$U50&gt;0),$P50=""),"FONTE",
IF(AND($C50="S",$P50&lt;&gt;"",OR($T50&gt;0,$U50&gt;0),$Q50=""),"CÓDIGO",
IF(AND($C50="S",$P50&lt;&gt;"",$Q50&lt;&gt;"",$R50="(Código não identificado nas referências)"),"CÓDIGO N/ID",
IF(AND($C50="S",OR($R50="",$R50="(digite a descrição aqui)"),OR($Q50&lt;&gt;"",$T50&gt;0,$U50&gt;0)),"DESCRIÇÃO",
IF(AND($C50="S",$P50&lt;&gt;"",$Q50&lt;&gt;"",$S50=""),"UNIDADE",
IF(AND($C50="S",$P50&lt;&gt;"",$Q50&lt;&gt;"",$U50=0),"SEM CUSTO",
IF(AND(_xlfn.single(TIPOORCAMENTO)="Licitado",$AL50=0,$AN50&gt;0),"SEM PREÇO",
IF(AND($C50="S",$P50&lt;&gt;"",$Q50&lt;&gt;"",$U50&gt;0,$V50=0),"BDI",
IF(OR(AND(TIPOORCAMENTO="Proposto",LEFT($O$8,5)&lt;&gt;"(N/D:",$AG50&lt;&gt;"",ORÇAMENTO.CustoUnitario&gt;$AG50),AND(TIPOORCAMENTO="LICITADO",ORÇAMENTO.PrecoUnitarioLicitado&gt;$AN50)),"ACIMA REF.",
IF(AND($C50="S",$P50&lt;&gt;"",$Q50&lt;&gt;"",$T50=0,$U50&gt;0),"QUANT.",
IF(AND(Import.TipoArredondamento="TransfereGOV",$L50="F",$C50="S",LEN($Q50)&gt;13),"Código &gt;13",
IF(AND(Import.TipoArredondamento="TransfereGOV",$L50="F",$C50&lt;&gt;"S",LEN($R50)&gt;100),"Descrição &gt;100",
IF(AND(Import.TipoArredondamento="TransfereGOV",$L50="F",$C50="S",LEN($R50)&gt;500),"Descrição &gt;500",
IF(AND(Import.TipoArredondamento="TransfereGOV",$L50="F",$C50="S",LEFT(TRIM(UPPER($P50)),6)&lt;&gt;"SINAPI",ISNA(VLOOKUP(TRIM(UPPER($S50)),ListaTgov.Unidades,1,FALSE()))),"Unid. Não Disp",
" "))))))))))))))))</f>
        <v>#NAME?</v>
      </c>
      <c r="AD50" s="1" t="str">
        <f aca="true">IF(C50&lt;=CRONO.NivelExibicao,MAX($AD$15:OFFSET(AD50,-1,0))+IF($C50&lt;&gt;1,1,MAX(1,COUNTIF(QCI!$A$13:$A$15,OFFSET($E50,-1,0)))),"")</f>
        <v/>
      </c>
      <c r="AE50" s="50" t="str">
        <f aca="false">IF(AND($C50="S",ORÇAMENTO.CodBarra&lt;&gt;""),IF(ORÇAMENTO.Fonte="",ORÇAMENTO.CodBarra,CONCATENATE(ORÇAMENTO.Fonte," ",ORÇAMENTO.CodBarra)))</f>
        <v>SINAPI 92759</v>
      </c>
      <c r="AF50" s="65" t="str">
        <f aca="true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07-2025.xlsm)</v>
      </c>
      <c r="AG50" s="215" t="n">
        <f aca="true">ROUND(IF(DESONERACAO="sim",REFERENCIA.Desonerado,REFERENCIA.NaoDesonerado),2)</f>
        <v>0</v>
      </c>
      <c r="AH50" s="216" t="n">
        <f aca="false">ROUND(IF(ISNUMBER(ORÇAMENTO.OpcaoBDI),ORÇAMENTO.OpcaoBDI,IF(LEFT(ORÇAMENTO.OpcaoBDI,3)="BDI",HLOOKUP(ORÇAMENTO.OpcaoBDI,$F$4:$H$5,2,FALSE()),0)),15-11*$AF$9)</f>
        <v>0.2904</v>
      </c>
      <c r="AJ50" s="217"/>
      <c r="AL50" s="218"/>
      <c r="AM50" s="219" t="n">
        <f aca="false">$X50</f>
        <v>39394.25</v>
      </c>
      <c r="AN50" s="220" t="n">
        <f aca="false">ROUND(ORÇAMENTO.CustoUnitario*(1+$AH50),2)</f>
        <v>18.05</v>
      </c>
    </row>
    <row r="51" customFormat="false" ht="35.05" hidden="false" customHeight="false" outlineLevel="0" collapsed="false">
      <c r="A51" s="1" t="str">
        <f aca="false">CHOOSE(1+LOG(1+2*(ORÇAMENTO.Nivel="Meta")+4*(ORÇAMENTO.Nivel="Nível 2")+8*(ORÇAMENTO.Nivel="Nível 3")+16*(ORÇAMENTO.Nivel="Nível 4")+32*(ORÇAMENTO.Nivel="Serviço"),2),0,1,2,3,4,"S")</f>
        <v>S</v>
      </c>
      <c r="B51" s="1" t="n">
        <f aca="true">IF(OR(C51="s",C51=0),OFFSET(B51,-1,0),C51)</f>
        <v>2</v>
      </c>
      <c r="C51" s="1" t="str">
        <f aca="true">IF(OFFSET(C51,-1,0)="L",1,IF(OFFSET(C51,-1,0)=1,2,IF(OR(A51="s",A51=0),"S",IF(AND(OFFSET(C51,-1,0)=2,A51=4),3,IF(AND(OR(OFFSET(C51,-1,0)="s",OFFSET(C51,-1,0)=0),A51&lt;&gt;"s",A51&gt;OFFSET(B51,-1,0)),OFFSET(B51,-1,0),A51)))))</f>
        <v>S</v>
      </c>
      <c r="D51" s="1" t="n">
        <f aca="false">IF(OR(C51="S",C51=0),0,IF(ISERROR(K51),J51,SMALL(J51:K51,1)))</f>
        <v>0</v>
      </c>
      <c r="E51" s="1" t="n">
        <f aca="true">IF($C51=1,OFFSET(E51,-1,0)+MAX(1,COUNTIF(QCI!$A$13:$A$15,OFFSET(ORÇAMENTO!E51,-1,0))),OFFSET(E51,-1,0))</f>
        <v>1</v>
      </c>
      <c r="F51" s="1" t="n">
        <f aca="true">IF($C51=1,0,IF($C51=2,OFFSET(F51,-1,0)+1,OFFSET(F51,-1,0)))</f>
        <v>9</v>
      </c>
      <c r="G51" s="1" t="n">
        <f aca="true">IF(AND($C51&lt;=2,$C51&lt;&gt;0),0,IF($C51=3,OFFSET(G51,-1,0)+1,OFFSET(G51,-1,0)))</f>
        <v>0</v>
      </c>
      <c r="H51" s="1" t="n">
        <f aca="true">IF(AND($C51&lt;=3,$C51&lt;&gt;0),0,IF($C51=4,OFFSET(H51,-1,0)+1,OFFSET(H51,-1,0)))</f>
        <v>0</v>
      </c>
      <c r="I51" s="1" t="n">
        <f aca="true">IF(AND($C51&lt;=4,$C51&lt;&gt;0),0,IF(AND($C51="S",$X51&gt;0),OFFSET(I51,-1,0)+1,OFFSET(I51,-1,0)))</f>
        <v>2</v>
      </c>
      <c r="J51" s="1" t="n">
        <f aca="true">IF(OR($C51="S",$C51=0),0,MATCH(0,OFFSET($D51,1,$C51,ROW($C$205)-ROW($C51)),0))</f>
        <v>0</v>
      </c>
      <c r="K51" s="1" t="n">
        <f aca="true">IF(OR($C51="S",$C51=0),0,MATCH(OFFSET($D51,0,$C51)+IF($C51&lt;&gt;1,1,COUNTIF(QCI!$A$13:$A$15,ORÇAMENTO!E51)),OFFSET($D51,1,$C51,ROW($C$205)-ROW($C51)),0))</f>
        <v>0</v>
      </c>
      <c r="L51" s="199" t="str">
        <f aca="false">IF(OR($X51&gt;0,$C51=1,$C51=2,$C51=3,$C51=4),"F","")</f>
        <v>F</v>
      </c>
      <c r="M51" s="200" t="s">
        <v>735</v>
      </c>
      <c r="N51" s="201" t="str">
        <f aca="false">CHOOSE(1+LOG(1+2*(C51=1)+4*(C51=2)+8*(C51=3)+16*(C51=4)+32*(C51="S"),2),"","Meta","Nível 2","Nível 3","Nível 4","Serviço")</f>
        <v>Serviço</v>
      </c>
      <c r="O51" s="202" t="str">
        <f aca="false">IF(OR($C51=0,$L51=""),"-",CONCATENATE(E51&amp;".",IF(AND($A$5&gt;=2,$C51&gt;=2),F51&amp;".",""),IF(AND($A$5&gt;=3,$C51&gt;=3),G51&amp;".",""),IF(AND($A$5&gt;=4,$C51&gt;=4),H51&amp;".",""),IF($C51="S",I51&amp;".","")))</f>
        <v>1.9.2.</v>
      </c>
      <c r="P51" s="203" t="s">
        <v>780</v>
      </c>
      <c r="Q51" s="236" t="s">
        <v>819</v>
      </c>
      <c r="R51" s="235" t="s">
        <v>820</v>
      </c>
      <c r="S51" s="237" t="s">
        <v>644</v>
      </c>
      <c r="T51" s="207" t="n">
        <f aca="true">OFFSET(CÁLCULO!H$15,ROW($T51)-ROW(T$15),0)</f>
        <v>6300</v>
      </c>
      <c r="U51" s="208" t="n">
        <v>10.86</v>
      </c>
      <c r="V51" s="209" t="s">
        <v>690</v>
      </c>
      <c r="W51" s="207" t="n">
        <f aca="false">IF($C51="S",ROUND(IF(TIPOORCAMENTO="Proposto",ORÇAMENTO.CustoUnitario*(1+$AH51),ORÇAMENTO.PrecoUnitarioLicitado),15-13*$AF$10),0)</f>
        <v>14.01</v>
      </c>
      <c r="X51" s="210" t="n">
        <f aca="true" t="array" ref="X51:X51">IF($C51="S",IF(OR(Import.TipoArredondamento&lt;&gt;"TransfereGOV",ACOMPANHAMENTO="BM"),VTOTAL1,SUM(OFFSET(CÁLCULO!$AQ$15,ROW($X51)-ROW($X$15),1):OFFSET(CÁLCULO!$BR$15,ROW($X51)-ROW($X$15),-1))),IF($C51=0,0,ROUND(SomaAgrup,15-13*$AF$11)))</f>
        <v>88263</v>
      </c>
      <c r="Y51" s="211" t="s">
        <v>781</v>
      </c>
      <c r="Z51" s="1" t="str">
        <f aca="false">IF(AND($C51="S",$X51&gt;0),IF(ISBLANK($Y51),"RA",LEFT($Y51,2)),"")</f>
        <v>RA</v>
      </c>
      <c r="AA51" s="212" t="n">
        <f aca="true">IF($C51="S",IF($Z51="CP",$X51,IF($Z51="RA",(($X51)*QCI!$AA$3),0)),SomaAgrup)</f>
        <v>9795.56247900104</v>
      </c>
      <c r="AB51" s="213" t="n">
        <f aca="true">IF($C51="S",IF($Z51="OU",ROUND($X51,2),0),SomaAgrup)</f>
        <v>0</v>
      </c>
      <c r="AC51" s="214" t="e">
        <f aca="false" t="array" ref="AC51:AC51">IF($N51=""," ",
IF(AND($C51&lt;&gt;"S",OR($R51="",$R51="(digite a descrição aqui)")),"DESCRIÇÃO",
IF(AND($C51="S",OR($Q51&lt;&gt;"",$T51&gt;0,$U51&gt;0),$P51=""),"FONTE",
IF(AND($C51="S",$P51&lt;&gt;"",OR($T51&gt;0,$U51&gt;0),$Q51=""),"CÓDIGO",
IF(AND($C51="S",$P51&lt;&gt;"",$Q51&lt;&gt;"",$R51="(Código não identificado nas referências)"),"CÓDIGO N/ID",
IF(AND($C51="S",OR($R51="",$R51="(digite a descrição aqui)"),OR($Q51&lt;&gt;"",$T51&gt;0,$U51&gt;0)),"DESCRIÇÃO",
IF(AND($C51="S",$P51&lt;&gt;"",$Q51&lt;&gt;"",$S51=""),"UNIDADE",
IF(AND($C51="S",$P51&lt;&gt;"",$Q51&lt;&gt;"",$U51=0),"SEM CUSTO",
IF(AND(_xlfn.single(TIPOORCAMENTO)="Licitado",$AL51=0,$AN51&gt;0),"SEM PREÇO",
IF(AND($C51="S",$P51&lt;&gt;"",$Q51&lt;&gt;"",$U51&gt;0,$V51=0),"BDI",
IF(OR(AND(TIPOORCAMENTO="Proposto",LEFT($O$8,5)&lt;&gt;"(N/D:",$AG51&lt;&gt;"",ORÇAMENTO.CustoUnitario&gt;$AG51),AND(TIPOORCAMENTO="LICITADO",ORÇAMENTO.PrecoUnitarioLicitado&gt;$AN51)),"ACIMA REF.",
IF(AND($C51="S",$P51&lt;&gt;"",$Q51&lt;&gt;"",$T51=0,$U51&gt;0),"QUANT.",
IF(AND(Import.TipoArredondamento="TransfereGOV",$L51="F",$C51="S",LEN($Q51)&gt;13),"Código &gt;13",
IF(AND(Import.TipoArredondamento="TransfereGOV",$L51="F",$C51&lt;&gt;"S",LEN($R51)&gt;100),"Descrição &gt;100",
IF(AND(Import.TipoArredondamento="TransfereGOV",$L51="F",$C51="S",LEN($R51)&gt;500),"Descrição &gt;500",
IF(AND(Import.TipoArredondamento="TransfereGOV",$L51="F",$C51="S",LEFT(TRIM(UPPER($P51)),6)&lt;&gt;"SINAPI",ISNA(VLOOKUP(TRIM(UPPER($S51)),ListaTgov.Unidades,1,FALSE()))),"Unid. Não Disp",
" "))))))))))))))))</f>
        <v>#NAME?</v>
      </c>
      <c r="AD51" s="1" t="str">
        <f aca="true">IF(C51&lt;=CRONO.NivelExibicao,MAX($AD$15:OFFSET(AD51,-1,0))+IF($C51&lt;&gt;1,1,MAX(1,COUNTIF(QCI!$A$13:$A$15,OFFSET($E51,-1,0)))),"")</f>
        <v/>
      </c>
      <c r="AE51" s="50" t="str">
        <f aca="false">IF(AND($C51="S",ORÇAMENTO.CodBarra&lt;&gt;""),IF(ORÇAMENTO.Fonte="",ORÇAMENTO.CodBarra,CONCATENATE(ORÇAMENTO.Fonte," ",ORÇAMENTO.CodBarra)))</f>
        <v>SINAPI 92762</v>
      </c>
      <c r="AF51" s="65" t="str">
        <f aca="true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07-2025.xlsm)</v>
      </c>
      <c r="AG51" s="215" t="n">
        <f aca="true">ROUND(IF(DESONERACAO="sim",REFERENCIA.Desonerado,REFERENCIA.NaoDesonerado),2)</f>
        <v>0</v>
      </c>
      <c r="AH51" s="216" t="n">
        <f aca="false">ROUND(IF(ISNUMBER(ORÇAMENTO.OpcaoBDI),ORÇAMENTO.OpcaoBDI,IF(LEFT(ORÇAMENTO.OpcaoBDI,3)="BDI",HLOOKUP(ORÇAMENTO.OpcaoBDI,$F$4:$H$5,2,FALSE()),0)),15-11*$AF$9)</f>
        <v>0.2904</v>
      </c>
      <c r="AJ51" s="217"/>
      <c r="AL51" s="218"/>
      <c r="AM51" s="219" t="n">
        <f aca="false">$X51</f>
        <v>88263</v>
      </c>
      <c r="AN51" s="220" t="n">
        <f aca="false">ROUND(ORÇAMENTO.CustoUnitario*(1+$AH51),2)</f>
        <v>14.01</v>
      </c>
    </row>
    <row r="52" customFormat="false" ht="35.05" hidden="false" customHeight="false" outlineLevel="0" collapsed="false">
      <c r="A52" s="1" t="str">
        <f aca="false">CHOOSE(1+LOG(1+2*(ORÇAMENTO.Nivel="Meta")+4*(ORÇAMENTO.Nivel="Nível 2")+8*(ORÇAMENTO.Nivel="Nível 3")+16*(ORÇAMENTO.Nivel="Nível 4")+32*(ORÇAMENTO.Nivel="Serviço"),2),0,1,2,3,4,"S")</f>
        <v>S</v>
      </c>
      <c r="B52" s="1" t="n">
        <f aca="true">IF(OR(C52="s",C52=0),OFFSET(B52,-1,0),C52)</f>
        <v>2</v>
      </c>
      <c r="C52" s="1" t="str">
        <f aca="true">IF(OFFSET(C52,-1,0)="L",1,IF(OFFSET(C52,-1,0)=1,2,IF(OR(A52="s",A52=0),"S",IF(AND(OFFSET(C52,-1,0)=2,A52=4),3,IF(AND(OR(OFFSET(C52,-1,0)="s",OFFSET(C52,-1,0)=0),A52&lt;&gt;"s",A52&gt;OFFSET(B52,-1,0)),OFFSET(B52,-1,0),A52)))))</f>
        <v>S</v>
      </c>
      <c r="D52" s="1" t="n">
        <f aca="false">IF(OR(C52="S",C52=0),0,IF(ISERROR(K52),J52,SMALL(J52:K52,1)))</f>
        <v>0</v>
      </c>
      <c r="E52" s="1" t="n">
        <f aca="true">IF($C52=1,OFFSET(E52,-1,0)+MAX(1,COUNTIF(QCI!$A$13:$A$15,OFFSET(ORÇAMENTO!E52,-1,0))),OFFSET(E52,-1,0))</f>
        <v>1</v>
      </c>
      <c r="F52" s="1" t="n">
        <f aca="true">IF($C52=1,0,IF($C52=2,OFFSET(F52,-1,0)+1,OFFSET(F52,-1,0)))</f>
        <v>9</v>
      </c>
      <c r="G52" s="1" t="n">
        <f aca="true">IF(AND($C52&lt;=2,$C52&lt;&gt;0),0,IF($C52=3,OFFSET(G52,-1,0)+1,OFFSET(G52,-1,0)))</f>
        <v>0</v>
      </c>
      <c r="H52" s="1" t="n">
        <f aca="true">IF(AND($C52&lt;=3,$C52&lt;&gt;0),0,IF($C52=4,OFFSET(H52,-1,0)+1,OFFSET(H52,-1,0)))</f>
        <v>0</v>
      </c>
      <c r="I52" s="1" t="n">
        <f aca="true">IF(AND($C52&lt;=4,$C52&lt;&gt;0),0,IF(AND($C52="S",$X52&gt;0),OFFSET(I52,-1,0)+1,OFFSET(I52,-1,0)))</f>
        <v>3</v>
      </c>
      <c r="J52" s="1" t="n">
        <f aca="true">IF(OR($C52="S",$C52=0),0,MATCH(0,OFFSET($D52,1,$C52,ROW($C$205)-ROW($C52)),0))</f>
        <v>0</v>
      </c>
      <c r="K52" s="1" t="n">
        <f aca="true">IF(OR($C52="S",$C52=0),0,MATCH(OFFSET($D52,0,$C52)+IF($C52&lt;&gt;1,1,COUNTIF(QCI!$A$13:$A$15,ORÇAMENTO!E52)),OFFSET($D52,1,$C52,ROW($C$205)-ROW($C52)),0))</f>
        <v>0</v>
      </c>
      <c r="L52" s="199" t="str">
        <f aca="false">IF(OR($X52&gt;0,$C52=1,$C52=2,$C52=3,$C52=4),"F","")</f>
        <v>F</v>
      </c>
      <c r="M52" s="200" t="s">
        <v>735</v>
      </c>
      <c r="N52" s="201" t="str">
        <f aca="false">CHOOSE(1+LOG(1+2*(C52=1)+4*(C52=2)+8*(C52=3)+16*(C52=4)+32*(C52="S"),2),"","Meta","Nível 2","Nível 3","Nível 4","Serviço")</f>
        <v>Serviço</v>
      </c>
      <c r="O52" s="202" t="str">
        <f aca="false">IF(OR($C52=0,$L52=""),"-",CONCATENATE(E52&amp;".",IF(AND($A$5&gt;=2,$C52&gt;=2),F52&amp;".",""),IF(AND($A$5&gt;=3,$C52&gt;=3),G52&amp;".",""),IF(AND($A$5&gt;=4,$C52&gt;=4),H52&amp;".",""),IF($C52="S",I52&amp;".","")))</f>
        <v>1.9.3.</v>
      </c>
      <c r="P52" s="203" t="s">
        <v>780</v>
      </c>
      <c r="Q52" s="204" t="n">
        <v>94965</v>
      </c>
      <c r="R52" s="205" t="str">
        <f aca="false">[3]ORÇAMENTO!$R$37</f>
        <v>CONCRETO FCK = 25MPA, TRAÇO 1:2,3:2,7 (EM MASSA SECA DE CIMENTO/ AREIAMÉDIA/ BRITA 1) - PREPARO MECÂNICO COM BETONEIRA 400 L</v>
      </c>
      <c r="S52" s="206" t="s">
        <v>652</v>
      </c>
      <c r="T52" s="207" t="n">
        <f aca="true">OFFSET(CÁLCULO!H$15,ROW($T52)-ROW(T$15),0)</f>
        <v>103.25</v>
      </c>
      <c r="U52" s="208" t="n">
        <f aca="false">U44</f>
        <v>557.2</v>
      </c>
      <c r="V52" s="209" t="s">
        <v>690</v>
      </c>
      <c r="W52" s="207" t="n">
        <f aca="false">IF($C52="S",ROUND(IF(TIPOORCAMENTO="Proposto",ORÇAMENTO.CustoUnitario*(1+$AH52),ORÇAMENTO.PrecoUnitarioLicitado),15-13*$AF$10),0)</f>
        <v>719.01</v>
      </c>
      <c r="X52" s="210" t="n">
        <f aca="true" t="array" ref="X52:X52">IF($C52="S",IF(OR(Import.TipoArredondamento&lt;&gt;"TransfereGOV",ACOMPANHAMENTO="BM"),VTOTAL1,SUM(OFFSET(CÁLCULO!$AQ$15,ROW($X52)-ROW($X$15),1):OFFSET(CÁLCULO!$BR$15,ROW($X52)-ROW($X$15),-1))),IF($C52=0,0,ROUND(SomaAgrup,15-13*$AF$11)))</f>
        <v>74237.75</v>
      </c>
      <c r="Y52" s="211" t="s">
        <v>781</v>
      </c>
      <c r="Z52" s="1" t="str">
        <f aca="false">IF(AND($C52="S",$X52&gt;0),IF(ISBLANK($Y52),"RA",LEFT($Y52,2)),"")</f>
        <v>RA</v>
      </c>
      <c r="AA52" s="212" t="n">
        <f aca="true">IF($C52="S",IF($Z52="CP",$X52,IF($Z52="RA",(($X52)*QCI!$AA$3),0)),SomaAgrup)</f>
        <v>8239.01882357794</v>
      </c>
      <c r="AB52" s="213" t="n">
        <f aca="true">IF($C52="S",IF($Z52="OU",ROUND($X52,2),0),SomaAgrup)</f>
        <v>0</v>
      </c>
      <c r="AC52" s="214" t="e">
        <f aca="false" t="array" ref="AC52:AC52">IF($N52=""," ",
IF(AND($C52&lt;&gt;"S",OR($R52="",$R52="(digite a descrição aqui)")),"DESCRIÇÃO",
IF(AND($C52="S",OR($Q52&lt;&gt;"",$T52&gt;0,$U52&gt;0),$P52=""),"FONTE",
IF(AND($C52="S",$P52&lt;&gt;"",OR($T52&gt;0,$U52&gt;0),$Q52=""),"CÓDIGO",
IF(AND($C52="S",$P52&lt;&gt;"",$Q52&lt;&gt;"",$R52="(Código não identificado nas referências)"),"CÓDIGO N/ID",
IF(AND($C52="S",OR($R52="",$R52="(digite a descrição aqui)"),OR($Q52&lt;&gt;"",$T52&gt;0,$U52&gt;0)),"DESCRIÇÃO",
IF(AND($C52="S",$P52&lt;&gt;"",$Q52&lt;&gt;"",$S52=""),"UNIDADE",
IF(AND($C52="S",$P52&lt;&gt;"",$Q52&lt;&gt;"",$U52=0),"SEM CUSTO",
IF(AND(_xlfn.single(TIPOORCAMENTO)="Licitado",$AL52=0,$AN52&gt;0),"SEM PREÇO",
IF(AND($C52="S",$P52&lt;&gt;"",$Q52&lt;&gt;"",$U52&gt;0,$V52=0),"BDI",
IF(OR(AND(TIPOORCAMENTO="Proposto",LEFT($O$8,5)&lt;&gt;"(N/D:",$AG52&lt;&gt;"",ORÇAMENTO.CustoUnitario&gt;$AG52),AND(TIPOORCAMENTO="LICITADO",ORÇAMENTO.PrecoUnitarioLicitado&gt;$AN52)),"ACIMA REF.",
IF(AND($C52="S",$P52&lt;&gt;"",$Q52&lt;&gt;"",$T52=0,$U52&gt;0),"QUANT.",
IF(AND(Import.TipoArredondamento="TransfereGOV",$L52="F",$C52="S",LEN($Q52)&gt;13),"Código &gt;13",
IF(AND(Import.TipoArredondamento="TransfereGOV",$L52="F",$C52&lt;&gt;"S",LEN($R52)&gt;100),"Descrição &gt;100",
IF(AND(Import.TipoArredondamento="TransfereGOV",$L52="F",$C52="S",LEN($R52)&gt;500),"Descrição &gt;500",
IF(AND(Import.TipoArredondamento="TransfereGOV",$L52="F",$C52="S",LEFT(TRIM(UPPER($P52)),6)&lt;&gt;"SINAPI",ISNA(VLOOKUP(TRIM(UPPER($S52)),ListaTgov.Unidades,1,FALSE()))),"Unid. Não Disp",
" "))))))))))))))))</f>
        <v>#NAME?</v>
      </c>
      <c r="AD52" s="1" t="str">
        <f aca="true">IF(C52&lt;=CRONO.NivelExibicao,MAX($AD$15:OFFSET(AD52,-1,0))+IF($C52&lt;&gt;1,1,MAX(1,COUNTIF(QCI!$A$13:$A$15,OFFSET($E52,-1,0)))),"")</f>
        <v/>
      </c>
      <c r="AE52" s="50" t="str">
        <f aca="false">IF(AND($C52="S",ORÇAMENTO.CodBarra&lt;&gt;""),IF(ORÇAMENTO.Fonte="",ORÇAMENTO.CodBarra,CONCATENATE(ORÇAMENTO.Fonte," ",ORÇAMENTO.CodBarra)))</f>
        <v>SINAPI 94965</v>
      </c>
      <c r="AF52" s="65" t="str">
        <f aca="true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07-2025.xlsm)</v>
      </c>
      <c r="AG52" s="215" t="n">
        <f aca="true">ROUND(IF(DESONERACAO="sim",REFERENCIA.Desonerado,REFERENCIA.NaoDesonerado),2)</f>
        <v>0</v>
      </c>
      <c r="AH52" s="216" t="n">
        <f aca="false">ROUND(IF(ISNUMBER(ORÇAMENTO.OpcaoBDI),ORÇAMENTO.OpcaoBDI,IF(LEFT(ORÇAMENTO.OpcaoBDI,3)="BDI",HLOOKUP(ORÇAMENTO.OpcaoBDI,$F$4:$H$5,2,FALSE()),0)),15-11*$AF$9)</f>
        <v>0.2904</v>
      </c>
      <c r="AJ52" s="217"/>
      <c r="AL52" s="218"/>
      <c r="AM52" s="219" t="n">
        <f aca="false">$X52</f>
        <v>74237.75</v>
      </c>
      <c r="AN52" s="220" t="n">
        <f aca="false">ROUND(ORÇAMENTO.CustoUnitario*(1+$AH52),2)</f>
        <v>719.01</v>
      </c>
    </row>
    <row r="53" customFormat="false" ht="23.85" hidden="false" customHeight="false" outlineLevel="0" collapsed="false">
      <c r="A53" s="1" t="str">
        <f aca="false">CHOOSE(1+LOG(1+2*(ORÇAMENTO.Nivel="Meta")+4*(ORÇAMENTO.Nivel="Nível 2")+8*(ORÇAMENTO.Nivel="Nível 3")+16*(ORÇAMENTO.Nivel="Nível 4")+32*(ORÇAMENTO.Nivel="Serviço"),2),0,1,2,3,4,"S")</f>
        <v>S</v>
      </c>
      <c r="B53" s="1" t="n">
        <f aca="true">IF(OR(C53="s",C53=0),OFFSET(B53,-1,0),C53)</f>
        <v>2</v>
      </c>
      <c r="C53" s="1" t="str">
        <f aca="true">IF(OFFSET(C53,-1,0)="L",1,IF(OFFSET(C53,-1,0)=1,2,IF(OR(A53="s",A53=0),"S",IF(AND(OFFSET(C53,-1,0)=2,A53=4),3,IF(AND(OR(OFFSET(C53,-1,0)="s",OFFSET(C53,-1,0)=0),A53&lt;&gt;"s",A53&gt;OFFSET(B53,-1,0)),OFFSET(B53,-1,0),A53)))))</f>
        <v>S</v>
      </c>
      <c r="D53" s="1" t="n">
        <f aca="false">IF(OR(C53="S",C53=0),0,IF(ISERROR(K53),J53,SMALL(J53:K53,1)))</f>
        <v>0</v>
      </c>
      <c r="E53" s="1" t="n">
        <f aca="true">IF($C53=1,OFFSET(E53,-1,0)+MAX(1,COUNTIF(QCI!$A$13:$A$15,OFFSET(ORÇAMENTO!E53,-1,0))),OFFSET(E53,-1,0))</f>
        <v>1</v>
      </c>
      <c r="F53" s="1" t="n">
        <f aca="true">IF($C53=1,0,IF($C53=2,OFFSET(F53,-1,0)+1,OFFSET(F53,-1,0)))</f>
        <v>9</v>
      </c>
      <c r="G53" s="1" t="n">
        <f aca="true">IF(AND($C53&lt;=2,$C53&lt;&gt;0),0,IF($C53=3,OFFSET(G53,-1,0)+1,OFFSET(G53,-1,0)))</f>
        <v>0</v>
      </c>
      <c r="H53" s="1" t="n">
        <f aca="true">IF(AND($C53&lt;=3,$C53&lt;&gt;0),0,IF($C53=4,OFFSET(H53,-1,0)+1,OFFSET(H53,-1,0)))</f>
        <v>0</v>
      </c>
      <c r="I53" s="1" t="n">
        <f aca="true">IF(AND($C53&lt;=4,$C53&lt;&gt;0),0,IF(AND($C53="S",$X53&gt;0),OFFSET(I53,-1,0)+1,OFFSET(I53,-1,0)))</f>
        <v>4</v>
      </c>
      <c r="J53" s="1" t="n">
        <f aca="true">IF(OR($C53="S",$C53=0),0,MATCH(0,OFFSET($D53,1,$C53,ROW($C$205)-ROW($C53)),0))</f>
        <v>0</v>
      </c>
      <c r="K53" s="1" t="n">
        <f aca="true">IF(OR($C53="S",$C53=0),0,MATCH(OFFSET($D53,0,$C53)+IF($C53&lt;&gt;1,1,COUNTIF(QCI!$A$13:$A$15,ORÇAMENTO!E53)),OFFSET($D53,1,$C53,ROW($C$205)-ROW($C53)),0))</f>
        <v>0</v>
      </c>
      <c r="L53" s="199" t="str">
        <f aca="false">IF(OR($X53&gt;0,$C53=1,$C53=2,$C53=3,$C53=4),"F","")</f>
        <v>F</v>
      </c>
      <c r="M53" s="200" t="s">
        <v>735</v>
      </c>
      <c r="N53" s="201" t="str">
        <f aca="false">CHOOSE(1+LOG(1+2*(C53=1)+4*(C53=2)+8*(C53=3)+16*(C53=4)+32*(C53="S"),2),"","Meta","Nível 2","Nível 3","Nível 4","Serviço")</f>
        <v>Serviço</v>
      </c>
      <c r="O53" s="202" t="str">
        <f aca="false">IF(OR($C53=0,$L53=""),"-",CONCATENATE(E53&amp;".",IF(AND($A$5&gt;=2,$C53&gt;=2),F53&amp;".",""),IF(AND($A$5&gt;=3,$C53&gt;=3),G53&amp;".",""),IF(AND($A$5&gt;=4,$C53&gt;=4),H53&amp;".",""),IF($C53="S",I53&amp;".","")))</f>
        <v>1.9.4.</v>
      </c>
      <c r="P53" s="203" t="s">
        <v>789</v>
      </c>
      <c r="Q53" s="204" t="s">
        <v>815</v>
      </c>
      <c r="R53" s="205" t="str">
        <f aca="false">[3]ORÇAMENTO!$R$38</f>
        <v>FÔRMA E DESFORMA DE TÁBUA E SARRAFO,
REAPROVEITAMENTO (5X), EXCLUSIVE ESCORAMENTO</v>
      </c>
      <c r="S53" s="206" t="s">
        <v>650</v>
      </c>
      <c r="T53" s="207" t="n">
        <f aca="true">OFFSET(CÁLCULO!H$15,ROW($T53)-ROW(T$15),0)</f>
        <v>1620.75</v>
      </c>
      <c r="U53" s="208" t="n">
        <f aca="false">[3]ORÇAMENTO!$U$38</f>
        <v>53.02</v>
      </c>
      <c r="V53" s="209" t="s">
        <v>690</v>
      </c>
      <c r="W53" s="207" t="n">
        <f aca="false">IF($C53="S",ROUND(IF(TIPOORCAMENTO="Proposto",ORÇAMENTO.CustoUnitario*(1+$AH53),ORÇAMENTO.PrecoUnitarioLicitado),15-13*$AF$10),0)</f>
        <v>68.42</v>
      </c>
      <c r="X53" s="210" t="n">
        <f aca="true" t="array" ref="X53:X53">IF($C53="S",IF(OR(Import.TipoArredondamento&lt;&gt;"TransfereGOV",ACOMPANHAMENTO="BM"),VTOTAL1,SUM(OFFSET(CÁLCULO!$AQ$15,ROW($X53)-ROW($X$15),1):OFFSET(CÁLCULO!$BR$15,ROW($X53)-ROW($X$15),-1))),IF($C53=0,0,ROUND(SomaAgrup,15-13*$AF$11)))</f>
        <v>110891.75</v>
      </c>
      <c r="Y53" s="211" t="s">
        <v>781</v>
      </c>
      <c r="Z53" s="1" t="str">
        <f aca="false">IF(AND($C53="S",$X53&gt;0),IF(ISBLANK($Y53),"RA",LEFT($Y53,2)),"")</f>
        <v>RA</v>
      </c>
      <c r="AA53" s="212" t="n">
        <f aca="true">IF($C53="S",IF($Z53="CP",$X53,IF($Z53="RA",(($X53)*QCI!$AA$3),0)),SomaAgrup)</f>
        <v>12306.9356982061</v>
      </c>
      <c r="AB53" s="213" t="n">
        <f aca="true">IF($C53="S",IF($Z53="OU",ROUND($X53,2),0),SomaAgrup)</f>
        <v>0</v>
      </c>
      <c r="AC53" s="214" t="e">
        <f aca="false" t="array" ref="AC53:AC53">IF($N53=""," ",
IF(AND($C53&lt;&gt;"S",OR($R53="",$R53="(digite a descrição aqui)")),"DESCRIÇÃO",
IF(AND($C53="S",OR($Q53&lt;&gt;"",$T53&gt;0,$U53&gt;0),$P53=""),"FONTE",
IF(AND($C53="S",$P53&lt;&gt;"",OR($T53&gt;0,$U53&gt;0),$Q53=""),"CÓDIGO",
IF(AND($C53="S",$P53&lt;&gt;"",$Q53&lt;&gt;"",$R53="(Código não identificado nas referências)"),"CÓDIGO N/ID",
IF(AND($C53="S",OR($R53="",$R53="(digite a descrição aqui)"),OR($Q53&lt;&gt;"",$T53&gt;0,$U53&gt;0)),"DESCRIÇÃO",
IF(AND($C53="S",$P53&lt;&gt;"",$Q53&lt;&gt;"",$S53=""),"UNIDADE",
IF(AND($C53="S",$P53&lt;&gt;"",$Q53&lt;&gt;"",$U53=0),"SEM CUSTO",
IF(AND(_xlfn.single(TIPOORCAMENTO)="Licitado",$AL53=0,$AN53&gt;0),"SEM PREÇO",
IF(AND($C53="S",$P53&lt;&gt;"",$Q53&lt;&gt;"",$U53&gt;0,$V53=0),"BDI",
IF(OR(AND(TIPOORCAMENTO="Proposto",LEFT($O$8,5)&lt;&gt;"(N/D:",$AG53&lt;&gt;"",ORÇAMENTO.CustoUnitario&gt;$AG53),AND(TIPOORCAMENTO="LICITADO",ORÇAMENTO.PrecoUnitarioLicitado&gt;$AN53)),"ACIMA REF.",
IF(AND($C53="S",$P53&lt;&gt;"",$Q53&lt;&gt;"",$T53=0,$U53&gt;0),"QUANT.",
IF(AND(Import.TipoArredondamento="TransfereGOV",$L53="F",$C53="S",LEN($Q53)&gt;13),"Código &gt;13",
IF(AND(Import.TipoArredondamento="TransfereGOV",$L53="F",$C53&lt;&gt;"S",LEN($R53)&gt;100),"Descrição &gt;100",
IF(AND(Import.TipoArredondamento="TransfereGOV",$L53="F",$C53="S",LEN($R53)&gt;500),"Descrição &gt;500",
IF(AND(Import.TipoArredondamento="TransfereGOV",$L53="F",$C53="S",LEFT(TRIM(UPPER($P53)),6)&lt;&gt;"SINAPI",ISNA(VLOOKUP(TRIM(UPPER($S53)),ListaTgov.Unidades,1,FALSE()))),"Unid. Não Disp",
" "))))))))))))))))</f>
        <v>#NAME?</v>
      </c>
      <c r="AD53" s="1" t="str">
        <f aca="true">IF(C53&lt;=CRONO.NivelExibicao,MAX($AD$15:OFFSET(AD53,-1,0))+IF($C53&lt;&gt;1,1,MAX(1,COUNTIF(QCI!$A$13:$A$15,OFFSET($E53,-1,0)))),"")</f>
        <v/>
      </c>
      <c r="AE53" s="50" t="str">
        <f aca="false">IF(AND($C53="S",ORÇAMENTO.CodBarra&lt;&gt;""),IF(ORÇAMENTO.Fonte="",ORÇAMENTO.CodBarra,CONCATENATE(ORÇAMENTO.Fonte," ",ORÇAMENTO.CodBarra)))</f>
        <v>SICRO ED-8471</v>
      </c>
      <c r="AF53" s="65" t="str">
        <f aca="true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07-2025.xlsm)</v>
      </c>
      <c r="AG53" s="215" t="n">
        <f aca="true">ROUND(IF(DESONERACAO="sim",REFERENCIA.Desonerado,REFERENCIA.NaoDesonerado),2)</f>
        <v>0</v>
      </c>
      <c r="AH53" s="216" t="n">
        <f aca="false">ROUND(IF(ISNUMBER(ORÇAMENTO.OpcaoBDI),ORÇAMENTO.OpcaoBDI,IF(LEFT(ORÇAMENTO.OpcaoBDI,3)="BDI",HLOOKUP(ORÇAMENTO.OpcaoBDI,$F$4:$H$5,2,FALSE()),0)),15-11*$AF$9)</f>
        <v>0.2904</v>
      </c>
      <c r="AJ53" s="217"/>
      <c r="AL53" s="218"/>
      <c r="AM53" s="219" t="n">
        <f aca="false">$X53</f>
        <v>110891.75</v>
      </c>
      <c r="AN53" s="220" t="n">
        <f aca="false">ROUND(ORÇAMENTO.CustoUnitario*(1+$AH53),2)</f>
        <v>68.42</v>
      </c>
    </row>
    <row r="54" customFormat="false" ht="68.65" hidden="false" customHeight="false" outlineLevel="0" collapsed="false">
      <c r="A54" s="1" t="str">
        <f aca="false">CHOOSE(1+LOG(1+2*(ORÇAMENTO.Nivel="Meta")+4*(ORÇAMENTO.Nivel="Nível 2")+8*(ORÇAMENTO.Nivel="Nível 3")+16*(ORÇAMENTO.Nivel="Nível 4")+32*(ORÇAMENTO.Nivel="Serviço"),2),0,1,2,3,4,"S")</f>
        <v>S</v>
      </c>
      <c r="B54" s="1" t="n">
        <f aca="true">IF(OR(C54="s",C54=0),OFFSET(B54,-1,0),C54)</f>
        <v>2</v>
      </c>
      <c r="C54" s="1" t="str">
        <f aca="true">IF(OFFSET(C54,-1,0)="L",1,IF(OFFSET(C54,-1,0)=1,2,IF(OR(A54="s",A54=0),"S",IF(AND(OFFSET(C54,-1,0)=2,A54=4),3,IF(AND(OR(OFFSET(C54,-1,0)="s",OFFSET(C54,-1,0)=0),A54&lt;&gt;"s",A54&gt;OFFSET(B54,-1,0)),OFFSET(B54,-1,0),A54)))))</f>
        <v>S</v>
      </c>
      <c r="D54" s="1" t="n">
        <f aca="false">IF(OR(C54="S",C54=0),0,IF(ISERROR(K54),J54,SMALL(J54:K54,1)))</f>
        <v>0</v>
      </c>
      <c r="E54" s="1" t="n">
        <f aca="true">IF($C54=1,OFFSET(E54,-1,0)+MAX(1,COUNTIF(QCI!$A$13:$A$15,OFFSET(ORÇAMENTO!E54,-1,0))),OFFSET(E54,-1,0))</f>
        <v>1</v>
      </c>
      <c r="F54" s="1" t="n">
        <f aca="true">IF($C54=1,0,IF($C54=2,OFFSET(F54,-1,0)+1,OFFSET(F54,-1,0)))</f>
        <v>9</v>
      </c>
      <c r="G54" s="1" t="n">
        <f aca="true">IF(AND($C54&lt;=2,$C54&lt;&gt;0),0,IF($C54=3,OFFSET(G54,-1,0)+1,OFFSET(G54,-1,0)))</f>
        <v>0</v>
      </c>
      <c r="H54" s="1" t="n">
        <f aca="true">IF(AND($C54&lt;=3,$C54&lt;&gt;0),0,IF($C54=4,OFFSET(H54,-1,0)+1,OFFSET(H54,-1,0)))</f>
        <v>0</v>
      </c>
      <c r="I54" s="1" t="n">
        <f aca="true">IF(AND($C54&lt;=4,$C54&lt;&gt;0),0,IF(AND($C54="S",$X54&gt;0),OFFSET(I54,-1,0)+1,OFFSET(I54,-1,0)))</f>
        <v>5</v>
      </c>
      <c r="J54" s="1" t="n">
        <f aca="true">IF(OR($C54="S",$C54=0),0,MATCH(0,OFFSET($D54,1,$C54,ROW($C$205)-ROW($C54)),0))</f>
        <v>0</v>
      </c>
      <c r="K54" s="1" t="n">
        <f aca="true">IF(OR($C54="S",$C54=0),0,MATCH(OFFSET($D54,0,$C54)+IF($C54&lt;&gt;1,1,COUNTIF(QCI!$A$13:$A$15,ORÇAMENTO!E54)),OFFSET($D54,1,$C54,ROW($C$205)-ROW($C54)),0))</f>
        <v>0</v>
      </c>
      <c r="L54" s="199" t="str">
        <f aca="false">IF(OR($X54&gt;0,$C54=1,$C54=2,$C54=3,$C54=4),"F","")</f>
        <v>F</v>
      </c>
      <c r="M54" s="200" t="s">
        <v>735</v>
      </c>
      <c r="N54" s="201" t="str">
        <f aca="false">CHOOSE(1+LOG(1+2*(C54=1)+4*(C54=2)+8*(C54=3)+16*(C54=4)+32*(C54="S"),2),"","Meta","Nível 2","Nível 3","Nível 4","Serviço")</f>
        <v>Serviço</v>
      </c>
      <c r="O54" s="202" t="str">
        <f aca="false">IF(OR($C54=0,$L54=""),"-",CONCATENATE(E54&amp;".",IF(AND($A$5&gt;=2,$C54&gt;=2),F54&amp;".",""),IF(AND($A$5&gt;=3,$C54&gt;=3),G54&amp;".",""),IF(AND($A$5&gt;=4,$C54&gt;=4),H54&amp;".",""),IF($C54="S",I54&amp;".","")))</f>
        <v>1.9.5.</v>
      </c>
      <c r="P54" s="203" t="s">
        <v>789</v>
      </c>
      <c r="Q54" s="204" t="s">
        <v>821</v>
      </c>
      <c r="R54" s="205" t="str">
        <f aca="false">[3]ORÇAMENTO!$R$39</f>
        <v>LAJE PRÉ-MOLDADA UNIDIRECIONAL COM ENCHIMENTO EM
POLIESTIRENO EXPANDIDO (EPS), CAPEAMENTO DE 4CM,
SOBRECARGA DE 100KG/M2, ALTURA TOTAL DE 11CM E VÃO
LIVRE MÁXIMO DE 3M, INCLUSIVE CONCRETO ESTRUTURAL,
USINADO BOMBEADO COM FCK DE 20MPA, EXCLUSIVE TELA
ARMADA E CIMBRAMENTO</v>
      </c>
      <c r="S54" s="206" t="s">
        <v>650</v>
      </c>
      <c r="T54" s="207" t="n">
        <f aca="true">OFFSET(CÁLCULO!H$15,ROW($T54)-ROW(T$15),0)</f>
        <v>1346.5</v>
      </c>
      <c r="U54" s="208" t="n">
        <v>120.56</v>
      </c>
      <c r="V54" s="209" t="s">
        <v>690</v>
      </c>
      <c r="W54" s="207" t="n">
        <f aca="false">IF($C54="S",ROUND(IF(TIPOORCAMENTO="Proposto",ORÇAMENTO.CustoUnitario*(1+$AH54),ORÇAMENTO.PrecoUnitarioLicitado),15-13*$AF$10),0)</f>
        <v>155.57</v>
      </c>
      <c r="X54" s="210" t="n">
        <f aca="true" t="array" ref="X54:X54">IF($C54="S",IF(OR(Import.TipoArredondamento&lt;&gt;"TransfereGOV",ACOMPANHAMENTO="BM"),VTOTAL1,SUM(OFFSET(CÁLCULO!$AQ$15,ROW($X54)-ROW($X$15),1):OFFSET(CÁLCULO!$BR$15,ROW($X54)-ROW($X$15),-1))),IF($C54=0,0,ROUND(SomaAgrup,15-13*$AF$11)))</f>
        <v>209475</v>
      </c>
      <c r="Y54" s="211" t="s">
        <v>781</v>
      </c>
      <c r="Z54" s="1" t="str">
        <f aca="false">IF(AND($C54="S",$X54&gt;0),IF(ISBLANK($Y54),"RA",LEFT($Y54,2)),"")</f>
        <v>RA</v>
      </c>
      <c r="AA54" s="212" t="n">
        <f aca="true">IF($C54="S",IF($Z54="CP",$X54,IF($Z54="RA",(($X54)*QCI!$AA$3),0)),SomaAgrup)</f>
        <v>23247.8552767155</v>
      </c>
      <c r="AB54" s="213" t="n">
        <f aca="true">IF($C54="S",IF($Z54="OU",ROUND($X54,2),0),SomaAgrup)</f>
        <v>0</v>
      </c>
      <c r="AC54" s="214" t="e">
        <f aca="false" t="array" ref="AC54:AC54">IF($N54=""," ",
IF(AND($C54&lt;&gt;"S",OR($R54="",$R54="(digite a descrição aqui)")),"DESCRIÇÃO",
IF(AND($C54="S",OR($Q54&lt;&gt;"",$T54&gt;0,$U54&gt;0),$P54=""),"FONTE",
IF(AND($C54="S",$P54&lt;&gt;"",OR($T54&gt;0,$U54&gt;0),$Q54=""),"CÓDIGO",
IF(AND($C54="S",$P54&lt;&gt;"",$Q54&lt;&gt;"",$R54="(Código não identificado nas referências)"),"CÓDIGO N/ID",
IF(AND($C54="S",OR($R54="",$R54="(digite a descrição aqui)"),OR($Q54&lt;&gt;"",$T54&gt;0,$U54&gt;0)),"DESCRIÇÃO",
IF(AND($C54="S",$P54&lt;&gt;"",$Q54&lt;&gt;"",$S54=""),"UNIDADE",
IF(AND($C54="S",$P54&lt;&gt;"",$Q54&lt;&gt;"",$U54=0),"SEM CUSTO",
IF(AND(_xlfn.single(TIPOORCAMENTO)="Licitado",$AL54=0,$AN54&gt;0),"SEM PREÇO",
IF(AND($C54="S",$P54&lt;&gt;"",$Q54&lt;&gt;"",$U54&gt;0,$V54=0),"BDI",
IF(OR(AND(TIPOORCAMENTO="Proposto",LEFT($O$8,5)&lt;&gt;"(N/D:",$AG54&lt;&gt;"",ORÇAMENTO.CustoUnitario&gt;$AG54),AND(TIPOORCAMENTO="LICITADO",ORÇAMENTO.PrecoUnitarioLicitado&gt;$AN54)),"ACIMA REF.",
IF(AND($C54="S",$P54&lt;&gt;"",$Q54&lt;&gt;"",$T54=0,$U54&gt;0),"QUANT.",
IF(AND(Import.TipoArredondamento="TransfereGOV",$L54="F",$C54="S",LEN($Q54)&gt;13),"Código &gt;13",
IF(AND(Import.TipoArredondamento="TransfereGOV",$L54="F",$C54&lt;&gt;"S",LEN($R54)&gt;100),"Descrição &gt;100",
IF(AND(Import.TipoArredondamento="TransfereGOV",$L54="F",$C54="S",LEN($R54)&gt;500),"Descrição &gt;500",
IF(AND(Import.TipoArredondamento="TransfereGOV",$L54="F",$C54="S",LEFT(TRIM(UPPER($P54)),6)&lt;&gt;"SINAPI",ISNA(VLOOKUP(TRIM(UPPER($S54)),ListaTgov.Unidades,1,FALSE()))),"Unid. Não Disp",
" "))))))))))))))))</f>
        <v>#NAME?</v>
      </c>
      <c r="AD54" s="1" t="str">
        <f aca="true">IF(C54&lt;=CRONO.NivelExibicao,MAX($AD$15:OFFSET(AD54,-1,0))+IF($C54&lt;&gt;1,1,MAX(1,COUNTIF(QCI!$A$13:$A$15,OFFSET($E54,-1,0)))),"")</f>
        <v/>
      </c>
      <c r="AE54" s="50" t="str">
        <f aca="false">IF(AND($C54="S",ORÇAMENTO.CodBarra&lt;&gt;""),IF(ORÇAMENTO.Fonte="",ORÇAMENTO.CodBarra,CONCATENATE(ORÇAMENTO.Fonte," ",ORÇAMENTO.CodBarra)))</f>
        <v>SICRO ED-50252</v>
      </c>
      <c r="AF54" s="65" t="str">
        <f aca="true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07-2025.xlsm)</v>
      </c>
      <c r="AG54" s="215" t="n">
        <f aca="true">ROUND(IF(DESONERACAO="sim",REFERENCIA.Desonerado,REFERENCIA.NaoDesonerado),2)</f>
        <v>0</v>
      </c>
      <c r="AH54" s="216" t="n">
        <f aca="false">ROUND(IF(ISNUMBER(ORÇAMENTO.OpcaoBDI),ORÇAMENTO.OpcaoBDI,IF(LEFT(ORÇAMENTO.OpcaoBDI,3)="BDI",HLOOKUP(ORÇAMENTO.OpcaoBDI,$F$4:$H$5,2,FALSE()),0)),15-11*$AF$9)</f>
        <v>0.2904</v>
      </c>
      <c r="AJ54" s="217"/>
      <c r="AL54" s="218"/>
      <c r="AM54" s="219" t="n">
        <f aca="false">$X54</f>
        <v>209475</v>
      </c>
      <c r="AN54" s="220" t="n">
        <f aca="false">ROUND(ORÇAMENTO.CustoUnitario*(1+$AH54),2)</f>
        <v>155.57</v>
      </c>
    </row>
    <row r="55" customFormat="false" ht="35.05" hidden="false" customHeight="false" outlineLevel="0" collapsed="false">
      <c r="A55" s="1" t="str">
        <f aca="false">CHOOSE(1+LOG(1+2*(ORÇAMENTO.Nivel="Meta")+4*(ORÇAMENTO.Nivel="Nível 2")+8*(ORÇAMENTO.Nivel="Nível 3")+16*(ORÇAMENTO.Nivel="Nível 4")+32*(ORÇAMENTO.Nivel="Serviço"),2),0,1,2,3,4,"S")</f>
        <v>S</v>
      </c>
      <c r="B55" s="1" t="n">
        <f aca="true">IF(OR(C55="s",C55=0),OFFSET(B55,-1,0),C55)</f>
        <v>2</v>
      </c>
      <c r="C55" s="1" t="str">
        <f aca="true">IF(OFFSET(C55,-1,0)="L",1,IF(OFFSET(C55,-1,0)=1,2,IF(OR(A55="s",A55=0),"S",IF(AND(OFFSET(C55,-1,0)=2,A55=4),3,IF(AND(OR(OFFSET(C55,-1,0)="s",OFFSET(C55,-1,0)=0),A55&lt;&gt;"s",A55&gt;OFFSET(B55,-1,0)),OFFSET(B55,-1,0),A55)))))</f>
        <v>S</v>
      </c>
      <c r="D55" s="1" t="n">
        <f aca="false">IF(OR(C55="S",C55=0),0,IF(ISERROR(K55),J55,SMALL(J55:K55,1)))</f>
        <v>0</v>
      </c>
      <c r="E55" s="1" t="n">
        <f aca="true">IF($C55=1,OFFSET(E55,-1,0)+MAX(1,COUNTIF(QCI!$A$13:$A$15,OFFSET(ORÇAMENTO!E55,-1,0))),OFFSET(E55,-1,0))</f>
        <v>1</v>
      </c>
      <c r="F55" s="1" t="n">
        <f aca="true">IF($C55=1,0,IF($C55=2,OFFSET(F55,-1,0)+1,OFFSET(F55,-1,0)))</f>
        <v>9</v>
      </c>
      <c r="G55" s="1" t="n">
        <f aca="true">IF(AND($C55&lt;=2,$C55&lt;&gt;0),0,IF($C55=3,OFFSET(G55,-1,0)+1,OFFSET(G55,-1,0)))</f>
        <v>0</v>
      </c>
      <c r="H55" s="1" t="n">
        <f aca="true">IF(AND($C55&lt;=3,$C55&lt;&gt;0),0,IF($C55=4,OFFSET(H55,-1,0)+1,OFFSET(H55,-1,0)))</f>
        <v>0</v>
      </c>
      <c r="I55" s="1" t="n">
        <f aca="true">IF(AND($C55&lt;=4,$C55&lt;&gt;0),0,IF(AND($C55="S",$X55&gt;0),OFFSET(I55,-1,0)+1,OFFSET(I55,-1,0)))</f>
        <v>6</v>
      </c>
      <c r="J55" s="1" t="n">
        <f aca="true">IF(OR($C55="S",$C55=0),0,MATCH(0,OFFSET($D55,1,$C55,ROW($C$205)-ROW($C55)),0))</f>
        <v>0</v>
      </c>
      <c r="K55" s="1" t="n">
        <f aca="true">IF(OR($C55="S",$C55=0),0,MATCH(OFFSET($D55,0,$C55)+IF($C55&lt;&gt;1,1,COUNTIF(QCI!$A$13:$A$15,ORÇAMENTO!E55)),OFFSET($D55,1,$C55,ROW($C$205)-ROW($C55)),0))</f>
        <v>0</v>
      </c>
      <c r="L55" s="199" t="str">
        <f aca="false">IF(OR($X55&gt;0,$C55=1,$C55=2,$C55=3,$C55=4),"F","")</f>
        <v>F</v>
      </c>
      <c r="M55" s="200" t="s">
        <v>735</v>
      </c>
      <c r="N55" s="201" t="str">
        <f aca="false">CHOOSE(1+LOG(1+2*(C55=1)+4*(C55=2)+8*(C55=3)+16*(C55=4)+32*(C55="S"),2),"","Meta","Nível 2","Nível 3","Nível 4","Serviço")</f>
        <v>Serviço</v>
      </c>
      <c r="O55" s="202" t="str">
        <f aca="false">IF(OR($C55=0,$L55=""),"-",CONCATENATE(E55&amp;".",IF(AND($A$5&gt;=2,$C55&gt;=2),F55&amp;".",""),IF(AND($A$5&gt;=3,$C55&gt;=3),G55&amp;".",""),IF(AND($A$5&gt;=4,$C55&gt;=4),H55&amp;".",""),IF($C55="S",I55&amp;".","")))</f>
        <v>1.9.6.</v>
      </c>
      <c r="P55" s="203" t="s">
        <v>789</v>
      </c>
      <c r="Q55" s="204" t="s">
        <v>822</v>
      </c>
      <c r="R55" s="205" t="str">
        <f aca="false">[3]ORÇAMENTO!$R$40</f>
        <v>CIMBRAMENTO PARA LAJE PRÉ-MOLDADA COM ESCORAMENTO
METÁLICO, TIPO "A", ALTURA DE (200 ATÉ 310)CM, INCLUSIVE
DESCARGA, MONTAGEM, DESMONTAGEM E CARGA</v>
      </c>
      <c r="S55" s="206" t="s">
        <v>659</v>
      </c>
      <c r="T55" s="207" t="n">
        <f aca="true">OFFSET(CÁLCULO!H$15,ROW($T55)-ROW(T$15),0)</f>
        <v>1346.5</v>
      </c>
      <c r="U55" s="208" t="n">
        <f aca="false">[3]ORÇAMENTO!$U$40</f>
        <v>22.16</v>
      </c>
      <c r="V55" s="209" t="s">
        <v>690</v>
      </c>
      <c r="W55" s="207" t="n">
        <f aca="false">IF($C55="S",ROUND(IF(TIPOORCAMENTO="Proposto",ORÇAMENTO.CustoUnitario*(1+$AH55),ORÇAMENTO.PrecoUnitarioLicitado),15-13*$AF$10),0)</f>
        <v>28.6</v>
      </c>
      <c r="X55" s="210" t="n">
        <f aca="true" t="array" ref="X55:X55">IF($C55="S",IF(OR(Import.TipoArredondamento&lt;&gt;"TransfereGOV",ACOMPANHAMENTO="BM"),VTOTAL1,SUM(OFFSET(CÁLCULO!$AQ$15,ROW($X55)-ROW($X$15),1):OFFSET(CÁLCULO!$BR$15,ROW($X55)-ROW($X$15),-1))),IF($C55=0,0,ROUND(SomaAgrup,15-13*$AF$11)))</f>
        <v>38510</v>
      </c>
      <c r="Y55" s="211" t="s">
        <v>781</v>
      </c>
      <c r="Z55" s="1" t="str">
        <f aca="false">IF(AND($C55="S",$X55&gt;0),IF(ISBLANK($Y55),"RA",LEFT($Y55,2)),"")</f>
        <v>RA</v>
      </c>
      <c r="AA55" s="212" t="n">
        <f aca="true">IF($C55="S",IF($Z55="CP",$X55,IF($Z55="RA",(($X55)*QCI!$AA$3),0)),SomaAgrup)</f>
        <v>4273.89858792847</v>
      </c>
      <c r="AB55" s="213" t="n">
        <f aca="true">IF($C55="S",IF($Z55="OU",ROUND($X55,2),0),SomaAgrup)</f>
        <v>0</v>
      </c>
      <c r="AC55" s="214" t="e">
        <f aca="false" t="array" ref="AC55:AC55">IF($N55=""," ",
IF(AND($C55&lt;&gt;"S",OR($R55="",$R55="(digite a descrição aqui)")),"DESCRIÇÃO",
IF(AND($C55="S",OR($Q55&lt;&gt;"",$T55&gt;0,$U55&gt;0),$P55=""),"FONTE",
IF(AND($C55="S",$P55&lt;&gt;"",OR($T55&gt;0,$U55&gt;0),$Q55=""),"CÓDIGO",
IF(AND($C55="S",$P55&lt;&gt;"",$Q55&lt;&gt;"",$R55="(Código não identificado nas referências)"),"CÓDIGO N/ID",
IF(AND($C55="S",OR($R55="",$R55="(digite a descrição aqui)"),OR($Q55&lt;&gt;"",$T55&gt;0,$U55&gt;0)),"DESCRIÇÃO",
IF(AND($C55="S",$P55&lt;&gt;"",$Q55&lt;&gt;"",$S55=""),"UNIDADE",
IF(AND($C55="S",$P55&lt;&gt;"",$Q55&lt;&gt;"",$U55=0),"SEM CUSTO",
IF(AND(_xlfn.single(TIPOORCAMENTO)="Licitado",$AL55=0,$AN55&gt;0),"SEM PREÇO",
IF(AND($C55="S",$P55&lt;&gt;"",$Q55&lt;&gt;"",$U55&gt;0,$V55=0),"BDI",
IF(OR(AND(TIPOORCAMENTO="Proposto",LEFT($O$8,5)&lt;&gt;"(N/D:",$AG55&lt;&gt;"",ORÇAMENTO.CustoUnitario&gt;$AG55),AND(TIPOORCAMENTO="LICITADO",ORÇAMENTO.PrecoUnitarioLicitado&gt;$AN55)),"ACIMA REF.",
IF(AND($C55="S",$P55&lt;&gt;"",$Q55&lt;&gt;"",$T55=0,$U55&gt;0),"QUANT.",
IF(AND(Import.TipoArredondamento="TransfereGOV",$L55="F",$C55="S",LEN($Q55)&gt;13),"Código &gt;13",
IF(AND(Import.TipoArredondamento="TransfereGOV",$L55="F",$C55&lt;&gt;"S",LEN($R55)&gt;100),"Descrição &gt;100",
IF(AND(Import.TipoArredondamento="TransfereGOV",$L55="F",$C55="S",LEN($R55)&gt;500),"Descrição &gt;500",
IF(AND(Import.TipoArredondamento="TransfereGOV",$L55="F",$C55="S",LEFT(TRIM(UPPER($P55)),6)&lt;&gt;"SINAPI",ISNA(VLOOKUP(TRIM(UPPER($S55)),ListaTgov.Unidades,1,FALSE()))),"Unid. Não Disp",
" "))))))))))))))))</f>
        <v>#NAME?</v>
      </c>
      <c r="AD55" s="1" t="str">
        <f aca="true">IF(C55&lt;=CRONO.NivelExibicao,MAX($AD$15:OFFSET(AD55,-1,0))+IF($C55&lt;&gt;1,1,MAX(1,COUNTIF(QCI!$A$13:$A$15,OFFSET($E55,-1,0)))),"")</f>
        <v/>
      </c>
      <c r="AE55" s="50" t="str">
        <f aca="false">IF(AND($C55="S",ORÇAMENTO.CodBarra&lt;&gt;""),IF(ORÇAMENTO.Fonte="",ORÇAMENTO.CodBarra,CONCATENATE(ORÇAMENTO.Fonte," ",ORÇAMENTO.CodBarra)))</f>
        <v>SICRO ED-19637</v>
      </c>
      <c r="AF55" s="65" t="str">
        <f aca="true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07-2025.xlsm)</v>
      </c>
      <c r="AG55" s="215" t="n">
        <f aca="true">ROUND(IF(DESONERACAO="sim",REFERENCIA.Desonerado,REFERENCIA.NaoDesonerado),2)</f>
        <v>0</v>
      </c>
      <c r="AH55" s="216" t="n">
        <f aca="false">ROUND(IF(ISNUMBER(ORÇAMENTO.OpcaoBDI),ORÇAMENTO.OpcaoBDI,IF(LEFT(ORÇAMENTO.OpcaoBDI,3)="BDI",HLOOKUP(ORÇAMENTO.OpcaoBDI,$F$4:$H$5,2,FALSE()),0)),15-11*$AF$9)</f>
        <v>0.2904</v>
      </c>
      <c r="AJ55" s="217"/>
      <c r="AL55" s="218"/>
      <c r="AM55" s="219" t="n">
        <f aca="false">$X55</f>
        <v>38510</v>
      </c>
      <c r="AN55" s="220" t="n">
        <f aca="false">ROUND(ORÇAMENTO.CustoUnitario*(1+$AH55),2)</f>
        <v>28.6</v>
      </c>
    </row>
    <row r="56" customFormat="false" ht="12.75" hidden="false" customHeight="false" outlineLevel="0" collapsed="false">
      <c r="A56" s="1" t="n">
        <f aca="false">CHOOSE(1+LOG(1+2*(ORÇAMENTO.Nivel="Meta")+4*(ORÇAMENTO.Nivel="Nível 2")+8*(ORÇAMENTO.Nivel="Nível 3")+16*(ORÇAMENTO.Nivel="Nível 4")+32*(ORÇAMENTO.Nivel="Serviço"),2),0,1,2,3,4,"S")</f>
        <v>2</v>
      </c>
      <c r="B56" s="1" t="n">
        <f aca="true">IF(OR(C56="s",C56=0),OFFSET(B56,-1,0),C56)</f>
        <v>2</v>
      </c>
      <c r="C56" s="1" t="n">
        <f aca="true">IF(OFFSET(C56,-1,0)="L",1,IF(OFFSET(C56,-1,0)=1,2,IF(OR(A56="s",A56=0),"S",IF(AND(OFFSET(C56,-1,0)=2,A56=4),3,IF(AND(OR(OFFSET(C56,-1,0)="s",OFFSET(C56,-1,0)=0),A56&lt;&gt;"s",A56&gt;OFFSET(B56,-1,0)),OFFSET(B56,-1,0),A56)))))</f>
        <v>2</v>
      </c>
      <c r="D56" s="1" t="n">
        <f aca="false">IF(OR(C56="S",C56=0),0,IF(ISERROR(K56),J56,SMALL(J56:K56,1)))</f>
        <v>1</v>
      </c>
      <c r="E56" s="1" t="n">
        <f aca="true">IF($C56=1,OFFSET(E56,-1,0)+MAX(1,COUNTIF(QCI!$A$13:$A$15,OFFSET(ORÇAMENTO!E56,-1,0))),OFFSET(E56,-1,0))</f>
        <v>1</v>
      </c>
      <c r="F56" s="1" t="n">
        <f aca="true">IF($C56=1,0,IF($C56=2,OFFSET(F56,-1,0)+1,OFFSET(F56,-1,0)))</f>
        <v>10</v>
      </c>
      <c r="G56" s="1" t="n">
        <f aca="true">IF(AND($C56&lt;=2,$C56&lt;&gt;0),0,IF($C56=3,OFFSET(G56,-1,0)+1,OFFSET(G56,-1,0)))</f>
        <v>0</v>
      </c>
      <c r="H56" s="1" t="n">
        <f aca="true">IF(AND($C56&lt;=3,$C56&lt;&gt;0),0,IF($C56=4,OFFSET(H56,-1,0)+1,OFFSET(H56,-1,0)))</f>
        <v>0</v>
      </c>
      <c r="I56" s="1" t="n">
        <f aca="true">IF(AND($C56&lt;=4,$C56&lt;&gt;0),0,IF(AND($C56="S",$X56&gt;0),OFFSET(I56,-1,0)+1,OFFSET(I56,-1,0)))</f>
        <v>0</v>
      </c>
      <c r="J56" s="1" t="n">
        <f aca="true">IF(OR($C56="S",$C56=0),0,MATCH(0,OFFSET($D56,1,$C56,ROW($C$205)-ROW($C56)),0))</f>
        <v>149</v>
      </c>
      <c r="K56" s="1" t="n">
        <f aca="true">IF(OR($C56="S",$C56=0),0,MATCH(OFFSET($D56,0,$C56)+IF($C56&lt;&gt;1,1,COUNTIF(QCI!$A$13:$A$15,ORÇAMENTO!E56)),OFFSET($D56,1,$C56,ROW($C$205)-ROW($C56)),0))</f>
        <v>1</v>
      </c>
      <c r="L56" s="199" t="str">
        <f aca="false">IF(OR($X56&gt;0,$C56=1,$C56=2,$C56=3,$C56=4),"F","")</f>
        <v>F</v>
      </c>
      <c r="M56" s="200" t="s">
        <v>732</v>
      </c>
      <c r="N56" s="201" t="str">
        <f aca="false">CHOOSE(1+LOG(1+2*(C56=1)+4*(C56=2)+8*(C56=3)+16*(C56=4)+32*(C56="S"),2),"","Meta","Nível 2","Nível 3","Nível 4","Serviço")</f>
        <v>Nível 2</v>
      </c>
      <c r="O56" s="202" t="str">
        <f aca="false">IF(OR($C56=0,$L56=""),"-",CONCATENATE(E56&amp;".",IF(AND($A$5&gt;=2,$C56&gt;=2),F56&amp;".",""),IF(AND($A$5&gt;=3,$C56&gt;=3),G56&amp;".",""),IF(AND($A$5&gt;=4,$C56&gt;=4),H56&amp;".",""),IF($C56="S",I56&amp;".","")))</f>
        <v>1.10.</v>
      </c>
      <c r="P56" s="203" t="s">
        <v>780</v>
      </c>
      <c r="Q56" s="204"/>
      <c r="R56" s="235" t="s">
        <v>823</v>
      </c>
      <c r="S56" s="206" t="str">
        <f aca="true">REFERENCIA.Unidade</f>
        <v>-</v>
      </c>
      <c r="T56" s="207" t="n">
        <f aca="true">OFFSET(CÁLCULO!H$15,ROW($T56)-ROW(T$15),0)</f>
        <v>0</v>
      </c>
      <c r="U56" s="208"/>
      <c r="V56" s="209" t="s">
        <v>690</v>
      </c>
      <c r="W56" s="207" t="n">
        <f aca="false">IF($C56="S",ROUND(IF(TIPOORCAMENTO="Proposto",ORÇAMENTO.CustoUnitario*(1+$AH56),ORÇAMENTO.PrecoUnitarioLicitado),15-13*$AF$10),0)</f>
        <v>0</v>
      </c>
      <c r="X56" s="210" t="n">
        <f aca="true" t="array" ref="X56:X56">IF($C56="S",IF(OR(Import.TipoArredondamento&lt;&gt;"TransfereGOV",ACOMPANHAMENTO="BM"),VTOTAL1,SUM(OFFSET(CÁLCULO!$AQ$15,ROW($X56)-ROW($X$15),1):OFFSET(CÁLCULO!$BR$15,ROW($X56)-ROW($X$15),-1))),IF($C56=0,0,ROUND(SomaAgrup,15-13*$AF$11)))</f>
        <v>0</v>
      </c>
      <c r="Y56" s="211" t="s">
        <v>781</v>
      </c>
      <c r="Z56" s="1" t="str">
        <f aca="false">IF(AND($C56="S",$X56&gt;0),IF(ISBLANK($Y56),"RA",LEFT($Y56,2)),"")</f>
        <v/>
      </c>
      <c r="AA56" s="212" t="n">
        <f aca="true">IF($C56="S",IF($Z56="CP",$X56,IF($Z56="RA",(($X56)*QCI!$AA$3),0)),SomaAgrup)</f>
        <v>0</v>
      </c>
      <c r="AB56" s="213" t="n">
        <f aca="true">IF($C56="S",IF($Z56="OU",ROUND($X56,2),0),SomaAgrup)</f>
        <v>0</v>
      </c>
      <c r="AC56" s="214" t="e">
        <f aca="false" t="array" ref="AC56:AC56">IF($N56=""," ",
IF(AND($C56&lt;&gt;"S",OR($R56="",$R56="(digite a descrição aqui)")),"DESCRIÇÃO",
IF(AND($C56="S",OR($Q56&lt;&gt;"",$T56&gt;0,$U56&gt;0),$P56=""),"FONTE",
IF(AND($C56="S",$P56&lt;&gt;"",OR($T56&gt;0,$U56&gt;0),$Q56=""),"CÓDIGO",
IF(AND($C56="S",$P56&lt;&gt;"",$Q56&lt;&gt;"",$R56="(Código não identificado nas referências)"),"CÓDIGO N/ID",
IF(AND($C56="S",OR($R56="",$R56="(digite a descrição aqui)"),OR($Q56&lt;&gt;"",$T56&gt;0,$U56&gt;0)),"DESCRIÇÃO",
IF(AND($C56="S",$P56&lt;&gt;"",$Q56&lt;&gt;"",$S56=""),"UNIDADE",
IF(AND($C56="S",$P56&lt;&gt;"",$Q56&lt;&gt;"",$U56=0),"SEM CUSTO",
IF(AND(_xlfn.single(TIPOORCAMENTO)="Licitado",$AL56=0,$AN56&gt;0),"SEM PREÇO",
IF(AND($C56="S",$P56&lt;&gt;"",$Q56&lt;&gt;"",$U56&gt;0,$V56=0),"BDI",
IF(OR(AND(TIPOORCAMENTO="Proposto",LEFT($O$8,5)&lt;&gt;"(N/D:",$AG56&lt;&gt;"",ORÇAMENTO.CustoUnitario&gt;$AG56),AND(TIPOORCAMENTO="LICITADO",ORÇAMENTO.PrecoUnitarioLicitado&gt;$AN56)),"ACIMA REF.",
IF(AND($C56="S",$P56&lt;&gt;"",$Q56&lt;&gt;"",$T56=0,$U56&gt;0),"QUANT.",
IF(AND(Import.TipoArredondamento="TransfereGOV",$L56="F",$C56="S",LEN($Q56)&gt;13),"Código &gt;13",
IF(AND(Import.TipoArredondamento="TransfereGOV",$L56="F",$C56&lt;&gt;"S",LEN($R56)&gt;100),"Descrição &gt;100",
IF(AND(Import.TipoArredondamento="TransfereGOV",$L56="F",$C56="S",LEN($R56)&gt;500),"Descrição &gt;500",
IF(AND(Import.TipoArredondamento="TransfereGOV",$L56="F",$C56="S",LEFT(TRIM(UPPER($P56)),6)&lt;&gt;"SINAPI",ISNA(VLOOKUP(TRIM(UPPER($S56)),ListaTgov.Unidades,1,FALSE()))),"Unid. Não Disp",
" "))))))))))))))))</f>
        <v>#NAME?</v>
      </c>
      <c r="AD56" s="38" t="n">
        <f aca="true">IF(C56&lt;=CRONO.NivelExibicao,MAX($AD$15:OFFSET(AD56,-1,0))+IF($C56&lt;&gt;1,1,MAX(1,COUNTIF(QCI!$A$13:$A$15,OFFSET($E56,-1,0)))),"")</f>
        <v>11</v>
      </c>
      <c r="AE56" s="50" t="b">
        <f aca="false">IF(AND($C56="S",ORÇAMENTO.CodBarra&lt;&gt;""),IF(ORÇAMENTO.Fonte="",ORÇAMENTO.CodBarra,CONCATENATE(ORÇAMENTO.Fonte," ",ORÇAMENTO.CodBarra)))</f>
        <v>0</v>
      </c>
      <c r="AF56" s="65" t="str">
        <f aca="true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07-2025.xlsm)</v>
      </c>
      <c r="AG56" s="215" t="n">
        <f aca="true">ROUND(IF(DESONERACAO="sim",REFERENCIA.Desonerado,REFERENCIA.NaoDesonerado),2)</f>
        <v>0</v>
      </c>
      <c r="AH56" s="216" t="n">
        <f aca="false">ROUND(IF(ISNUMBER(ORÇAMENTO.OpcaoBDI),ORÇAMENTO.OpcaoBDI,IF(LEFT(ORÇAMENTO.OpcaoBDI,3)="BDI",HLOOKUP(ORÇAMENTO.OpcaoBDI,$F$4:$H$5,2,FALSE()),0)),15-11*$AF$9)</f>
        <v>0.2904</v>
      </c>
      <c r="AJ56" s="217"/>
      <c r="AL56" s="218"/>
      <c r="AM56" s="219" t="n">
        <f aca="false">$X56</f>
        <v>0</v>
      </c>
      <c r="AN56" s="220" t="n">
        <f aca="false">ROUND(ORÇAMENTO.CustoUnitario*(1+$AH56),2)</f>
        <v>0</v>
      </c>
    </row>
    <row r="57" customFormat="false" ht="12.75" hidden="false" customHeight="false" outlineLevel="0" collapsed="false">
      <c r="A57" s="1" t="n">
        <f aca="false">CHOOSE(1+LOG(1+2*(ORÇAMENTO.Nivel="Meta")+4*(ORÇAMENTO.Nivel="Nível 2")+8*(ORÇAMENTO.Nivel="Nível 3")+16*(ORÇAMENTO.Nivel="Nível 4")+32*(ORÇAMENTO.Nivel="Serviço"),2),0,1,2,3,4,"S")</f>
        <v>2</v>
      </c>
      <c r="B57" s="1" t="n">
        <f aca="true">IF(OR(C57="s",C57=0),OFFSET(B57,-1,0),C57)</f>
        <v>2</v>
      </c>
      <c r="C57" s="1" t="n">
        <f aca="true">IF(OFFSET(C57,-1,0)="L",1,IF(OFFSET(C57,-1,0)=1,2,IF(OR(A57="s",A57=0),"S",IF(AND(OFFSET(C57,-1,0)=2,A57=4),3,IF(AND(OR(OFFSET(C57,-1,0)="s",OFFSET(C57,-1,0)=0),A57&lt;&gt;"s",A57&gt;OFFSET(B57,-1,0)),OFFSET(B57,-1,0),A57)))))</f>
        <v>2</v>
      </c>
      <c r="D57" s="1" t="n">
        <f aca="false">IF(OR(C57="S",C57=0),0,IF(ISERROR(K57),J57,SMALL(J57:K57,1)))</f>
        <v>3</v>
      </c>
      <c r="E57" s="1" t="n">
        <f aca="true">IF($C57=1,OFFSET(E57,-1,0)+MAX(1,COUNTIF(QCI!$A$13:$A$15,OFFSET(ORÇAMENTO!E57,-1,0))),OFFSET(E57,-1,0))</f>
        <v>1</v>
      </c>
      <c r="F57" s="1" t="n">
        <f aca="true">IF($C57=1,0,IF($C57=2,OFFSET(F57,-1,0)+1,OFFSET(F57,-1,0)))</f>
        <v>11</v>
      </c>
      <c r="G57" s="1" t="n">
        <f aca="true">IF(AND($C57&lt;=2,$C57&lt;&gt;0),0,IF($C57=3,OFFSET(G57,-1,0)+1,OFFSET(G57,-1,0)))</f>
        <v>0</v>
      </c>
      <c r="H57" s="1" t="n">
        <f aca="true">IF(AND($C57&lt;=3,$C57&lt;&gt;0),0,IF($C57=4,OFFSET(H57,-1,0)+1,OFFSET(H57,-1,0)))</f>
        <v>0</v>
      </c>
      <c r="I57" s="1" t="n">
        <f aca="true">IF(AND($C57&lt;=4,$C57&lt;&gt;0),0,IF(AND($C57="S",$X57&gt;0),OFFSET(I57,-1,0)+1,OFFSET(I57,-1,0)))</f>
        <v>0</v>
      </c>
      <c r="J57" s="1" t="n">
        <f aca="true">IF(OR($C57="S",$C57=0),0,MATCH(0,OFFSET($D57,1,$C57,ROW($C$205)-ROW($C57)),0))</f>
        <v>148</v>
      </c>
      <c r="K57" s="1" t="n">
        <f aca="true">IF(OR($C57="S",$C57=0),0,MATCH(OFFSET($D57,0,$C57)+IF($C57&lt;&gt;1,1,COUNTIF(QCI!$A$13:$A$15,ORÇAMENTO!E57)),OFFSET($D57,1,$C57,ROW($C$205)-ROW($C57)),0))</f>
        <v>3</v>
      </c>
      <c r="L57" s="199" t="str">
        <f aca="false">IF(OR($X57&gt;0,$C57=1,$C57=2,$C57=3,$C57=4),"F","")</f>
        <v>F</v>
      </c>
      <c r="M57" s="200" t="s">
        <v>732</v>
      </c>
      <c r="N57" s="201" t="str">
        <f aca="false">CHOOSE(1+LOG(1+2*(C57=1)+4*(C57=2)+8*(C57=3)+16*(C57=4)+32*(C57="S"),2),"","Meta","Nível 2","Nível 3","Nível 4","Serviço")</f>
        <v>Nível 2</v>
      </c>
      <c r="O57" s="202" t="str">
        <f aca="false">IF(OR($C57=0,$L57=""),"-",CONCATENATE(E57&amp;".",IF(AND($A$5&gt;=2,$C57&gt;=2),F57&amp;".",""),IF(AND($A$5&gt;=3,$C57&gt;=3),G57&amp;".",""),IF(AND($A$5&gt;=4,$C57&gt;=4),H57&amp;".",""),IF($C57="S",I57&amp;".","")))</f>
        <v>1.11.</v>
      </c>
      <c r="P57" s="203" t="s">
        <v>780</v>
      </c>
      <c r="Q57" s="204"/>
      <c r="R57" s="205" t="str">
        <f aca="false">[4]PO!$B$51</f>
        <v>ALVENARIA/FECHAMENTOS</v>
      </c>
      <c r="S57" s="206" t="str">
        <f aca="true">REFERENCIA.Unidade</f>
        <v>-</v>
      </c>
      <c r="T57" s="207" t="n">
        <f aca="true">OFFSET(CÁLCULO!H$15,ROW($T57)-ROW(T$15),0)</f>
        <v>0</v>
      </c>
      <c r="U57" s="208"/>
      <c r="V57" s="209" t="s">
        <v>690</v>
      </c>
      <c r="W57" s="207" t="n">
        <f aca="false">IF($C57="S",ROUND(IF(TIPOORCAMENTO="Proposto",ORÇAMENTO.CustoUnitario*(1+$AH57),ORÇAMENTO.PrecoUnitarioLicitado),15-13*$AF$10),0)</f>
        <v>0</v>
      </c>
      <c r="X57" s="210" t="n">
        <f aca="true" t="array" ref="X57:X57">IF($C57="S",IF(OR(Import.TipoArredondamento&lt;&gt;"TransfereGOV",ACOMPANHAMENTO="BM"),VTOTAL1,SUM(OFFSET(CÁLCULO!$AQ$15,ROW($X57)-ROW($X$15),1):OFFSET(CÁLCULO!$BR$15,ROW($X57)-ROW($X$15),-1))),IF($C57=0,0,ROUND(SomaAgrup,15-13*$AF$11)))</f>
        <v>426720.5</v>
      </c>
      <c r="Y57" s="211" t="s">
        <v>781</v>
      </c>
      <c r="Z57" s="1" t="str">
        <f aca="false">IF(AND($C57="S",$X57&gt;0),IF(ISBLANK($Y57),"RA",LEFT($Y57,2)),"")</f>
        <v/>
      </c>
      <c r="AA57" s="212" t="n">
        <f aca="true">IF($C57="S",IF($Z57="CP",$X57,IF($Z57="RA",(($X57)*QCI!$AA$3),0)),SomaAgrup)</f>
        <v>47358.0925055863</v>
      </c>
      <c r="AB57" s="213" t="n">
        <f aca="true">IF($C57="S",IF($Z57="OU",ROUND($X57,2),0),SomaAgrup)</f>
        <v>0</v>
      </c>
      <c r="AC57" s="214" t="e">
        <f aca="false" t="array" ref="AC57:AC57">IF($N57=""," ",
IF(AND($C57&lt;&gt;"S",OR($R57="",$R57="(digite a descrição aqui)")),"DESCRIÇÃO",
IF(AND($C57="S",OR($Q57&lt;&gt;"",$T57&gt;0,$U57&gt;0),$P57=""),"FONTE",
IF(AND($C57="S",$P57&lt;&gt;"",OR($T57&gt;0,$U57&gt;0),$Q57=""),"CÓDIGO",
IF(AND($C57="S",$P57&lt;&gt;"",$Q57&lt;&gt;"",$R57="(Código não identificado nas referências)"),"CÓDIGO N/ID",
IF(AND($C57="S",OR($R57="",$R57="(digite a descrição aqui)"),OR($Q57&lt;&gt;"",$T57&gt;0,$U57&gt;0)),"DESCRIÇÃO",
IF(AND($C57="S",$P57&lt;&gt;"",$Q57&lt;&gt;"",$S57=""),"UNIDADE",
IF(AND($C57="S",$P57&lt;&gt;"",$Q57&lt;&gt;"",$U57=0),"SEM CUSTO",
IF(AND(_xlfn.single(TIPOORCAMENTO)="Licitado",$AL57=0,$AN57&gt;0),"SEM PREÇO",
IF(AND($C57="S",$P57&lt;&gt;"",$Q57&lt;&gt;"",$U57&gt;0,$V57=0),"BDI",
IF(OR(AND(TIPOORCAMENTO="Proposto",LEFT($O$8,5)&lt;&gt;"(N/D:",$AG57&lt;&gt;"",ORÇAMENTO.CustoUnitario&gt;$AG57),AND(TIPOORCAMENTO="LICITADO",ORÇAMENTO.PrecoUnitarioLicitado&gt;$AN57)),"ACIMA REF.",
IF(AND($C57="S",$P57&lt;&gt;"",$Q57&lt;&gt;"",$T57=0,$U57&gt;0),"QUANT.",
IF(AND(Import.TipoArredondamento="TransfereGOV",$L57="F",$C57="S",LEN($Q57)&gt;13),"Código &gt;13",
IF(AND(Import.TipoArredondamento="TransfereGOV",$L57="F",$C57&lt;&gt;"S",LEN($R57)&gt;100),"Descrição &gt;100",
IF(AND(Import.TipoArredondamento="TransfereGOV",$L57="F",$C57="S",LEN($R57)&gt;500),"Descrição &gt;500",
IF(AND(Import.TipoArredondamento="TransfereGOV",$L57="F",$C57="S",LEFT(TRIM(UPPER($P57)),6)&lt;&gt;"SINAPI",ISNA(VLOOKUP(TRIM(UPPER($S57)),ListaTgov.Unidades,1,FALSE()))),"Unid. Não Disp",
" "))))))))))))))))</f>
        <v>#NAME?</v>
      </c>
      <c r="AD57" s="38" t="n">
        <f aca="true">IF(C57&lt;=CRONO.NivelExibicao,MAX($AD$15:OFFSET(AD57,-1,0))+IF($C57&lt;&gt;1,1,MAX(1,COUNTIF(QCI!$A$13:$A$15,OFFSET($E57,-1,0)))),"")</f>
        <v>12</v>
      </c>
      <c r="AE57" s="50" t="b">
        <f aca="false">IF(AND($C57="S",ORÇAMENTO.CodBarra&lt;&gt;""),IF(ORÇAMENTO.Fonte="",ORÇAMENTO.CodBarra,CONCATENATE(ORÇAMENTO.Fonte," ",ORÇAMENTO.CodBarra)))</f>
        <v>0</v>
      </c>
      <c r="AF57" s="65" t="str">
        <f aca="true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(abra o arquivo 'Referência 07-2025.xlsm)</v>
      </c>
      <c r="AG57" s="215" t="n">
        <f aca="true">ROUND(IF(DESONERACAO="sim",REFERENCIA.Desonerado,REFERENCIA.NaoDesonerado),2)</f>
        <v>0</v>
      </c>
      <c r="AH57" s="216" t="n">
        <f aca="false">ROUND(IF(ISNUMBER(ORÇAMENTO.OpcaoBDI),ORÇAMENTO.OpcaoBDI,IF(LEFT(ORÇAMENTO.OpcaoBDI,3)="BDI",HLOOKUP(ORÇAMENTO.OpcaoBDI,$F$4:$H$5,2,FALSE()),0)),15-11*$AF$9)</f>
        <v>0.2904</v>
      </c>
      <c r="AJ57" s="217"/>
      <c r="AL57" s="218"/>
      <c r="AM57" s="219" t="n">
        <f aca="false">$X57</f>
        <v>426720.5</v>
      </c>
      <c r="AN57" s="220" t="n">
        <f aca="false">ROUND(ORÇAMENTO.CustoUnitario*(1+$AH57),2)</f>
        <v>0</v>
      </c>
    </row>
    <row r="58" customFormat="false" ht="46.25" hidden="false" customHeight="false" outlineLevel="0" collapsed="false">
      <c r="A58" s="1" t="str">
        <f aca="false">CHOOSE(1+LOG(1+2*(ORÇAMENTO.Nivel="Meta")+4*(ORÇAMENTO.Nivel="Nível 2")+8*(ORÇAMENTO.Nivel="Nível 3")+16*(ORÇAMENTO.Nivel="Nível 4")+32*(ORÇAMENTO.Nivel="Serviço"),2),0,1,2,3,4,"S")</f>
        <v>S</v>
      </c>
      <c r="B58" s="1" t="n">
        <f aca="true">IF(OR(C58="s",C58=0),OFFSET(B58,-1,0),C58)</f>
        <v>2</v>
      </c>
      <c r="C58" s="1" t="str">
        <f aca="true">IF(OFFSET(C58,-1,0)="L",1,IF(OFFSET(C58,-1,0)=1,2,IF(OR(A58="s",A58=0),"S",IF(AND(OFFSET(C58,-1,0)=2,A58=4),3,IF(AND(OR(OFFSET(C58,-1,0)="s",OFFSET(C58,-1,0)=0),A58&lt;&gt;"s",A58&gt;OFFSET(B58,-1,0)),OFFSET(B58,-1,0),A58)))))</f>
        <v>S</v>
      </c>
      <c r="D58" s="1" t="n">
        <f aca="false">IF(OR(C58="S",C58=0),0,IF(ISERROR(K58),J58,SMALL(J58:K58,1)))</f>
        <v>0</v>
      </c>
      <c r="E58" s="1" t="n">
        <f aca="true">IF($C58=1,OFFSET(E58,-1,0)+MAX(1,COUNTIF(QCI!$A$13:$A$15,OFFSET(ORÇAMENTO!E58,-1,0))),OFFSET(E58,-1,0))</f>
        <v>1</v>
      </c>
      <c r="F58" s="1" t="n">
        <f aca="true">IF($C58=1,0,IF($C58=2,OFFSET(F58,-1,0)+1,OFFSET(F58,-1,0)))</f>
        <v>11</v>
      </c>
      <c r="G58" s="1" t="n">
        <f aca="true">IF(AND($C58&lt;=2,$C58&lt;&gt;0),0,IF($C58=3,OFFSET(G58,-1,0)+1,OFFSET(G58,-1,0)))</f>
        <v>0</v>
      </c>
      <c r="H58" s="1" t="n">
        <f aca="true">IF(AND($C58&lt;=3,$C58&lt;&gt;0),0,IF($C58=4,OFFSET(H58,-1,0)+1,OFFSET(H58,-1,0)))</f>
        <v>0</v>
      </c>
      <c r="I58" s="1" t="n">
        <f aca="true">IF(AND($C58&lt;=4,$C58&lt;&gt;0),0,IF(AND($C58="S",$X58&gt;0),OFFSET(I58,-1,0)+1,OFFSET(I58,-1,0)))</f>
        <v>1</v>
      </c>
      <c r="J58" s="1" t="n">
        <f aca="true">IF(OR($C58="S",$C58=0),0,MATCH(0,OFFSET($D58,1,$C58,ROW($C$205)-ROW($C58)),0))</f>
        <v>0</v>
      </c>
      <c r="K58" s="1" t="n">
        <f aca="true">IF(OR($C58="S",$C58=0),0,MATCH(OFFSET($D58,0,$C58)+IF($C58&lt;&gt;1,1,COUNTIF(QCI!$A$13:$A$15,ORÇAMENTO!E58)),OFFSET($D58,1,$C58,ROW($C$205)-ROW($C58)),0))</f>
        <v>0</v>
      </c>
      <c r="L58" s="199" t="str">
        <f aca="false">IF(OR($X58&gt;0,$C58=1,$C58=2,$C58=3,$C58=4),"F","")</f>
        <v>F</v>
      </c>
      <c r="M58" s="200" t="s">
        <v>735</v>
      </c>
      <c r="N58" s="201" t="str">
        <f aca="false">CHOOSE(1+LOG(1+2*(C58=1)+4*(C58=2)+8*(C58=3)+16*(C58=4)+32*(C58="S"),2),"","Meta","Nível 2","Nível 3","Nível 4","Serviço")</f>
        <v>Serviço</v>
      </c>
      <c r="O58" s="202" t="str">
        <f aca="false">IF(OR($C58=0,$L58=""),"-",CONCATENATE(E58&amp;".",IF(AND($A$5&gt;=2,$C58&gt;=2),F58&amp;".",""),IF(AND($A$5&gt;=3,$C58&gt;=3),G58&amp;".",""),IF(AND($A$5&gt;=4,$C58&gt;=4),H58&amp;".",""),IF($C58="S",I58&amp;".","")))</f>
        <v>1.11.1.</v>
      </c>
      <c r="P58" s="203" t="s">
        <v>780</v>
      </c>
      <c r="Q58" s="204" t="n">
        <v>103328</v>
      </c>
      <c r="R58" s="235" t="s">
        <v>824</v>
      </c>
      <c r="S58" s="206" t="s">
        <v>650</v>
      </c>
      <c r="T58" s="207" t="n">
        <f aca="true">OFFSET(CÁLCULO!H$15,ROW($T58)-ROW(T$15),0)</f>
        <v>3307.25</v>
      </c>
      <c r="U58" s="208" t="n">
        <v>92.39</v>
      </c>
      <c r="V58" s="209" t="s">
        <v>690</v>
      </c>
      <c r="W58" s="207" t="n">
        <f aca="false">IF($C58="S",ROUND(IF(TIPOORCAMENTO="Proposto",ORÇAMENTO.CustoUnitario*(1+$AH58),ORÇAMENTO.PrecoUnitarioLicitado),15-13*$AF$10),0)</f>
        <v>119.22</v>
      </c>
      <c r="X58" s="210" t="n">
        <f aca="true" t="array" ref="X58:X58">IF($C58="S",IF(OR(Import.TipoArredondamento&lt;&gt;"TransfereGOV",ACOMPANHAMENTO="BM"),VTOTAL1,SUM(OFFSET(CÁLCULO!$AQ$15,ROW($X58)-ROW($X$15),1):OFFSET(CÁLCULO!$BR$15,ROW($X58)-ROW($X$15),-1))),IF($C58=0,0,ROUND(SomaAgrup,15-13*$AF$11)))</f>
        <v>394290.25</v>
      </c>
      <c r="Y58" s="211" t="s">
        <v>781</v>
      </c>
      <c r="Z58" s="1" t="str">
        <f aca="false">IF(AND($C58="S",$X58&gt;0),IF(ISBLANK($Y58),"RA",LEFT($Y58,2)),"")</f>
        <v>RA</v>
      </c>
      <c r="AA58" s="212" t="n">
        <f aca="true">IF($C58="S",IF($Z58="CP",$X58,IF($Z58="RA",(($X58)*QCI!$AA$3),0)),SomaAgrup)</f>
        <v>43758.9338537773</v>
      </c>
      <c r="AB58" s="213" t="n">
        <f aca="true">IF($C58="S",IF($Z58="OU",ROUND($X58,2),0),SomaAgrup)</f>
        <v>0</v>
      </c>
      <c r="AC58" s="214" t="e">
        <f aca="false" t="array" ref="AC58:AC58">IF($N58=""," ",
IF(AND($C58&lt;&gt;"S",OR($R58="",$R58="(digite a descrição aqui)")),"DESCRIÇÃO",
IF(AND($C58="S",OR($Q58&lt;&gt;"",$T58&gt;0,$U58&gt;0),$P58=""),"FONTE",
IF(AND($C58="S",$P58&lt;&gt;"",OR($T58&gt;0,$U58&gt;0),$Q58=""),"CÓDIGO",
IF(AND($C58="S",$P58&lt;&gt;"",$Q58&lt;&gt;"",$R58="(Código não identificado nas referências)"),"CÓDIGO N/ID",
IF(AND($C58="S",OR($R58="",$R58="(digite a descrição aqui)"),OR($Q58&lt;&gt;"",$T58&gt;0,$U58&gt;0)),"DESCRIÇÃO",
IF(AND($C58="S",$P58&lt;&gt;"",$Q58&lt;&gt;"",$S58=""),"UNIDADE",
IF(AND($C58="S",$P58&lt;&gt;"",$Q58&lt;&gt;"",$U58=0),"SEM CUSTO",
IF(AND(_xlfn.single(TIPOORCAMENTO)="Licitado",$AL58=0,$AN58&gt;0),"SEM PREÇO",
IF(AND($C58="S",$P58&lt;&gt;"",$Q58&lt;&gt;"",$U58&gt;0,$V58=0),"BDI",
IF(OR(AND(TIPOORCAMENTO="Proposto",LEFT($O$8,5)&lt;&gt;"(N/D:",$AG58&lt;&gt;"",ORÇAMENTO.CustoUnitario&gt;$AG58),AND(TIPOORCAMENTO="LICITADO",ORÇAMENTO.PrecoUnitarioLicitado&gt;$AN58)),"ACIMA REF.",
IF(AND($C58="S",$P58&lt;&gt;"",$Q58&lt;&gt;"",$T58=0,$U58&gt;0),"QUANT.",
IF(AND(Import.TipoArredondamento="TransfereGOV",$L58="F",$C58="S",LEN($Q58)&gt;13),"Código &gt;13",
IF(AND(Import.TipoArredondamento="TransfereGOV",$L58="F",$C58&lt;&gt;"S",LEN($R58)&gt;100),"Descrição &gt;100",
IF(AND(Import.TipoArredondamento="TransfereGOV",$L58="F",$C58="S",LEN($R58)&gt;500),"Descrição &gt;500",
IF(AND(Import.TipoArredondamento="TransfereGOV",$L58="F",$C58="S",LEFT(TRIM(UPPER($P58)),6)&lt;&gt;"SINAPI",ISNA(VLOOKUP(TRIM(UPPER($S58)),ListaTgov.Unidades,1,FALSE()))),"Unid. Não Disp",
" "))))))))))))))))</f>
        <v>#NAME?</v>
      </c>
      <c r="AD58" s="1" t="str">
        <f aca="true">IF(C58&lt;=CRONO.NivelExibicao,MAX($AD$15:OFFSET(AD58,-1,0))+IF($C58&lt;&gt;1,1,MAX(1,COUNTIF(QCI!$A$13:$A$15,OFFSET($E58,-1,0)))),"")</f>
        <v/>
      </c>
      <c r="AE58" s="50" t="str">
        <f aca="false">IF(AND($C58="S",ORÇAMENTO.CodBarra&lt;&gt;""),IF(ORÇAMENTO.Fonte="",ORÇAMENTO.CodBarra,CONCATENATE(ORÇAMENTO.Fonte," ",ORÇAMENTO.CodBarra)))</f>
        <v>SINAPI 103328</v>
      </c>
      <c r="AF58" s="65" t="str">
        <f aca="true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(abra o arquivo 'Referência 07-2025.xlsm)</v>
      </c>
      <c r="AG58" s="215" t="n">
        <f aca="true">ROUND(IF(DESONERACAO="sim",REFERENCIA.Desonerado,REFERENCIA.NaoDesonerado),2)</f>
        <v>0</v>
      </c>
      <c r="AH58" s="216" t="n">
        <f aca="false">ROUND(IF(ISNUMBER(ORÇAMENTO.OpcaoBDI),ORÇAMENTO.OpcaoBDI,IF(LEFT(ORÇAMENTO.OpcaoBDI,3)="BDI",HLOOKUP(ORÇAMENTO.OpcaoBDI,$F$4:$H$5,2,FALSE()),0)),15-11*$AF$9)</f>
        <v>0.2904</v>
      </c>
      <c r="AJ58" s="217"/>
      <c r="AL58" s="218"/>
      <c r="AM58" s="219" t="n">
        <f aca="false">$X58</f>
        <v>394290.25</v>
      </c>
      <c r="AN58" s="220" t="n">
        <f aca="false">ROUND(ORÇAMENTO.CustoUnitario*(1+$AH58),2)</f>
        <v>119.22</v>
      </c>
    </row>
    <row r="59" customFormat="false" ht="46.25" hidden="false" customHeight="false" outlineLevel="0" collapsed="false">
      <c r="A59" s="1" t="str">
        <f aca="false">CHOOSE(1+LOG(1+2*(ORÇAMENTO.Nivel="Meta")+4*(ORÇAMENTO.Nivel="Nível 2")+8*(ORÇAMENTO.Nivel="Nível 3")+16*(ORÇAMENTO.Nivel="Nível 4")+32*(ORÇAMENTO.Nivel="Serviço"),2),0,1,2,3,4,"S")</f>
        <v>S</v>
      </c>
      <c r="B59" s="1" t="n">
        <f aca="true">IF(OR(C59="s",C59=0),OFFSET(B59,-1,0),C59)</f>
        <v>2</v>
      </c>
      <c r="C59" s="1" t="str">
        <f aca="true">IF(OFFSET(C59,-1,0)="L",1,IF(OFFSET(C59,-1,0)=1,2,IF(OR(A59="s",A59=0),"S",IF(AND(OFFSET(C59,-1,0)=2,A59=4),3,IF(AND(OR(OFFSET(C59,-1,0)="s",OFFSET(C59,-1,0)=0),A59&lt;&gt;"s",A59&gt;OFFSET(B59,-1,0)),OFFSET(B59,-1,0),A59)))))</f>
        <v>S</v>
      </c>
      <c r="D59" s="1" t="n">
        <f aca="false">IF(OR(C59="S",C59=0),0,IF(ISERROR(K59),J59,SMALL(J59:K59,1)))</f>
        <v>0</v>
      </c>
      <c r="E59" s="1" t="n">
        <f aca="true">IF($C59=1,OFFSET(E59,-1,0)+MAX(1,COUNTIF(QCI!$A$13:$A$15,OFFSET(ORÇAMENTO!E59,-1,0))),OFFSET(E59,-1,0))</f>
        <v>1</v>
      </c>
      <c r="F59" s="1" t="n">
        <f aca="true">IF($C59=1,0,IF($C59=2,OFFSET(F59,-1,0)+1,OFFSET(F59,-1,0)))</f>
        <v>11</v>
      </c>
      <c r="G59" s="1" t="n">
        <f aca="true">IF(AND($C59&lt;=2,$C59&lt;&gt;0),0,IF($C59=3,OFFSET(G59,-1,0)+1,OFFSET(G59,-1,0)))</f>
        <v>0</v>
      </c>
      <c r="H59" s="1" t="n">
        <f aca="true">IF(AND($C59&lt;=3,$C59&lt;&gt;0),0,IF($C59=4,OFFSET(H59,-1,0)+1,OFFSET(H59,-1,0)))</f>
        <v>0</v>
      </c>
      <c r="I59" s="1" t="n">
        <f aca="true">IF(AND($C59&lt;=4,$C59&lt;&gt;0),0,IF(AND($C59="S",$X59&gt;0),OFFSET(I59,-1,0)+1,OFFSET(I59,-1,0)))</f>
        <v>2</v>
      </c>
      <c r="J59" s="1" t="n">
        <f aca="true">IF(OR($C59="S",$C59=0),0,MATCH(0,OFFSET($D59,1,$C59,ROW($C$205)-ROW($C59)),0))</f>
        <v>0</v>
      </c>
      <c r="K59" s="1" t="n">
        <f aca="true">IF(OR($C59="S",$C59=0),0,MATCH(OFFSET($D59,0,$C59)+IF($C59&lt;&gt;1,1,COUNTIF(QCI!$A$13:$A$15,ORÇAMENTO!E59)),OFFSET($D59,1,$C59,ROW($C$205)-ROW($C59)),0))</f>
        <v>0</v>
      </c>
      <c r="L59" s="199" t="str">
        <f aca="false">IF(OR($X59&gt;0,$C59=1,$C59=2,$C59=3,$C59=4),"F","")</f>
        <v>F</v>
      </c>
      <c r="M59" s="200" t="s">
        <v>735</v>
      </c>
      <c r="N59" s="201" t="str">
        <f aca="false">CHOOSE(1+LOG(1+2*(C59=1)+4*(C59=2)+8*(C59=3)+16*(C59=4)+32*(C59="S"),2),"","Meta","Nível 2","Nível 3","Nível 4","Serviço")</f>
        <v>Serviço</v>
      </c>
      <c r="O59" s="202" t="str">
        <f aca="false">IF(OR($C59=0,$L59=""),"-",CONCATENATE(E59&amp;".",IF(AND($A$5&gt;=2,$C59&gt;=2),F59&amp;".",""),IF(AND($A$5&gt;=3,$C59&gt;=3),G59&amp;".",""),IF(AND($A$5&gt;=4,$C59&gt;=4),H59&amp;".",""),IF($C59="S",I59&amp;".","")))</f>
        <v>1.11.2.</v>
      </c>
      <c r="P59" s="203" t="s">
        <v>789</v>
      </c>
      <c r="Q59" s="204" t="s">
        <v>825</v>
      </c>
      <c r="R59" s="235" t="str">
        <f aca="false">[3]ORÇAMENTO!$R$43</f>
        <v>VERGA OU CONTRAVERGA EM CONCRETO ESTRUTURAL PARA
VÃOS DE ATÉ 150CM, PREPARADO EM OBRA COM BETONEIRA,
CONTROLE "A", COM FCK 20 MPA, MOLDADA IN LOCO, INCLUSIVE
ARMAÇÃO </v>
      </c>
      <c r="S59" s="206" t="s">
        <v>652</v>
      </c>
      <c r="T59" s="207" t="n">
        <f aca="true">OFFSET(CÁLCULO!H$15,ROW($T59)-ROW(T$15),0)</f>
        <v>8</v>
      </c>
      <c r="U59" s="208" t="n">
        <f aca="false">[3]ORÇAMENTO!$U$43</f>
        <v>3141.48</v>
      </c>
      <c r="V59" s="209" t="s">
        <v>690</v>
      </c>
      <c r="W59" s="207" t="n">
        <f aca="false">IF($C59="S",ROUND(IF(TIPOORCAMENTO="Proposto",ORÇAMENTO.CustoUnitario*(1+$AH59),ORÇAMENTO.PrecoUnitarioLicitado),15-13*$AF$10),0)</f>
        <v>4053.77</v>
      </c>
      <c r="X59" s="210" t="n">
        <f aca="true" t="array" ref="X59:X59">IF($C59="S",IF(OR(Import.TipoArredondamento&lt;&gt;"TransfereGOV",ACOMPANHAMENTO="BM"),VTOTAL1,SUM(OFFSET(CÁLCULO!$AQ$15,ROW($X59)-ROW($X$15),1):OFFSET(CÁLCULO!$BR$15,ROW($X59)-ROW($X$15),-1))),IF($C59=0,0,ROUND(SomaAgrup,15-13*$AF$11)))</f>
        <v>32430.25</v>
      </c>
      <c r="Y59" s="211" t="s">
        <v>781</v>
      </c>
      <c r="Z59" s="1" t="str">
        <f aca="false">IF(AND($C59="S",$X59&gt;0),IF(ISBLANK($Y59),"RA",LEFT($Y59,2)),"")</f>
        <v>RA</v>
      </c>
      <c r="AA59" s="212" t="n">
        <f aca="true">IF($C59="S",IF($Z59="CP",$X59,IF($Z59="RA",(($X59)*QCI!$AA$3),0)),SomaAgrup)</f>
        <v>3599.15865180907</v>
      </c>
      <c r="AB59" s="213" t="n">
        <f aca="true">IF($C59="S",IF($Z59="OU",ROUND($X59,2),0),SomaAgrup)</f>
        <v>0</v>
      </c>
      <c r="AC59" s="214" t="e">
        <f aca="false" t="array" ref="AC59:AC59">IF($N59=""," ",
IF(AND($C59&lt;&gt;"S",OR($R59="",$R59="(digite a descrição aqui)")),"DESCRIÇÃO",
IF(AND($C59="S",OR($Q59&lt;&gt;"",$T59&gt;0,$U59&gt;0),$P59=""),"FONTE",
IF(AND($C59="S",$P59&lt;&gt;"",OR($T59&gt;0,$U59&gt;0),$Q59=""),"CÓDIGO",
IF(AND($C59="S",$P59&lt;&gt;"",$Q59&lt;&gt;"",$R59="(Código não identificado nas referências)"),"CÓDIGO N/ID",
IF(AND($C59="S",OR($R59="",$R59="(digite a descrição aqui)"),OR($Q59&lt;&gt;"",$T59&gt;0,$U59&gt;0)),"DESCRIÇÃO",
IF(AND($C59="S",$P59&lt;&gt;"",$Q59&lt;&gt;"",$S59=""),"UNIDADE",
IF(AND($C59="S",$P59&lt;&gt;"",$Q59&lt;&gt;"",$U59=0),"SEM CUSTO",
IF(AND(_xlfn.single(TIPOORCAMENTO)="Licitado",$AL59=0,$AN59&gt;0),"SEM PREÇO",
IF(AND($C59="S",$P59&lt;&gt;"",$Q59&lt;&gt;"",$U59&gt;0,$V59=0),"BDI",
IF(OR(AND(TIPOORCAMENTO="Proposto",LEFT($O$8,5)&lt;&gt;"(N/D:",$AG59&lt;&gt;"",ORÇAMENTO.CustoUnitario&gt;$AG59),AND(TIPOORCAMENTO="LICITADO",ORÇAMENTO.PrecoUnitarioLicitado&gt;$AN59)),"ACIMA REF.",
IF(AND($C59="S",$P59&lt;&gt;"",$Q59&lt;&gt;"",$T59=0,$U59&gt;0),"QUANT.",
IF(AND(Import.TipoArredondamento="TransfereGOV",$L59="F",$C59="S",LEN($Q59)&gt;13),"Código &gt;13",
IF(AND(Import.TipoArredondamento="TransfereGOV",$L59="F",$C59&lt;&gt;"S",LEN($R59)&gt;100),"Descrição &gt;100",
IF(AND(Import.TipoArredondamento="TransfereGOV",$L59="F",$C59="S",LEN($R59)&gt;500),"Descrição &gt;500",
IF(AND(Import.TipoArredondamento="TransfereGOV",$L59="F",$C59="S",LEFT(TRIM(UPPER($P59)),6)&lt;&gt;"SINAPI",ISNA(VLOOKUP(TRIM(UPPER($S59)),ListaTgov.Unidades,1,FALSE()))),"Unid. Não Disp",
" "))))))))))))))))</f>
        <v>#NAME?</v>
      </c>
      <c r="AD59" s="1" t="str">
        <f aca="true">IF(C59&lt;=CRONO.NivelExibicao,MAX($AD$15:OFFSET(AD59,-1,0))+IF($C59&lt;&gt;1,1,MAX(1,COUNTIF(QCI!$A$13:$A$15,OFFSET($E59,-1,0)))),"")</f>
        <v/>
      </c>
      <c r="AE59" s="50" t="str">
        <f aca="false">IF(AND($C59="S",ORÇAMENTO.CodBarra&lt;&gt;""),IF(ORÇAMENTO.Fonte="",ORÇAMENTO.CodBarra,CONCATENATE(ORÇAMENTO.Fonte," ",ORÇAMENTO.CodBarra)))</f>
        <v>SICRO ED-9903</v>
      </c>
      <c r="AF59" s="65" t="str">
        <f aca="true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(abra o arquivo 'Referência 07-2025.xlsm)</v>
      </c>
      <c r="AG59" s="215" t="n">
        <f aca="true">ROUND(IF(DESONERACAO="sim",REFERENCIA.Desonerado,REFERENCIA.NaoDesonerado),2)</f>
        <v>0</v>
      </c>
      <c r="AH59" s="216" t="n">
        <f aca="false">ROUND(IF(ISNUMBER(ORÇAMENTO.OpcaoBDI),ORÇAMENTO.OpcaoBDI,IF(LEFT(ORÇAMENTO.OpcaoBDI,3)="BDI",HLOOKUP(ORÇAMENTO.OpcaoBDI,$F$4:$H$5,2,FALSE()),0)),15-11*$AF$9)</f>
        <v>0.2904</v>
      </c>
      <c r="AJ59" s="217"/>
      <c r="AL59" s="218"/>
      <c r="AM59" s="219" t="n">
        <f aca="false">$X59</f>
        <v>32430.25</v>
      </c>
      <c r="AN59" s="220" t="n">
        <f aca="false">ROUND(ORÇAMENTO.CustoUnitario*(1+$AH59),2)</f>
        <v>4053.77</v>
      </c>
    </row>
    <row r="60" customFormat="false" ht="12.75" hidden="false" customHeight="false" outlineLevel="0" collapsed="false">
      <c r="A60" s="1" t="n">
        <f aca="false">CHOOSE(1+LOG(1+2*(ORÇAMENTO.Nivel="Meta")+4*(ORÇAMENTO.Nivel="Nível 2")+8*(ORÇAMENTO.Nivel="Nível 3")+16*(ORÇAMENTO.Nivel="Nível 4")+32*(ORÇAMENTO.Nivel="Serviço"),2),0,1,2,3,4,"S")</f>
        <v>2</v>
      </c>
      <c r="B60" s="1" t="n">
        <f aca="true">IF(OR(C60="s",C60=0),OFFSET(B60,-1,0),C60)</f>
        <v>2</v>
      </c>
      <c r="C60" s="1" t="n">
        <f aca="true">IF(OFFSET(C60,-1,0)="L",1,IF(OFFSET(C60,-1,0)=1,2,IF(OR(A60="s",A60=0),"S",IF(AND(OFFSET(C60,-1,0)=2,A60=4),3,IF(AND(OR(OFFSET(C60,-1,0)="s",OFFSET(C60,-1,0)=0),A60&lt;&gt;"s",A60&gt;OFFSET(B60,-1,0)),OFFSET(B60,-1,0),A60)))))</f>
        <v>2</v>
      </c>
      <c r="D60" s="1" t="n">
        <f aca="false">IF(OR(C60="S",C60=0),0,IF(ISERROR(K60),J60,SMALL(J60:K60,1)))</f>
        <v>3</v>
      </c>
      <c r="E60" s="1" t="n">
        <f aca="true">IF($C60=1,OFFSET(E60,-1,0)+MAX(1,COUNTIF(QCI!$A$13:$A$15,OFFSET(ORÇAMENTO!E60,-1,0))),OFFSET(E60,-1,0))</f>
        <v>1</v>
      </c>
      <c r="F60" s="1" t="n">
        <f aca="true">IF($C60=1,0,IF($C60=2,OFFSET(F60,-1,0)+1,OFFSET(F60,-1,0)))</f>
        <v>12</v>
      </c>
      <c r="G60" s="1" t="n">
        <f aca="true">IF(AND($C60&lt;=2,$C60&lt;&gt;0),0,IF($C60=3,OFFSET(G60,-1,0)+1,OFFSET(G60,-1,0)))</f>
        <v>0</v>
      </c>
      <c r="H60" s="1" t="n">
        <f aca="true">IF(AND($C60&lt;=3,$C60&lt;&gt;0),0,IF($C60=4,OFFSET(H60,-1,0)+1,OFFSET(H60,-1,0)))</f>
        <v>0</v>
      </c>
      <c r="I60" s="1" t="n">
        <f aca="true">IF(AND($C60&lt;=4,$C60&lt;&gt;0),0,IF(AND($C60="S",$X60&gt;0),OFFSET(I60,-1,0)+1,OFFSET(I60,-1,0)))</f>
        <v>0</v>
      </c>
      <c r="J60" s="1" t="n">
        <f aca="true">IF(OR($C60="S",$C60=0),0,MATCH(0,OFFSET($D60,1,$C60,ROW($C$205)-ROW($C60)),0))</f>
        <v>145</v>
      </c>
      <c r="K60" s="1" t="n">
        <f aca="true">IF(OR($C60="S",$C60=0),0,MATCH(OFFSET($D60,0,$C60)+IF($C60&lt;&gt;1,1,COUNTIF(QCI!$A$13:$A$15,ORÇAMENTO!E60)),OFFSET($D60,1,$C60,ROW($C$205)-ROW($C60)),0))</f>
        <v>3</v>
      </c>
      <c r="L60" s="199" t="str">
        <f aca="false">IF(OR($X60&gt;0,$C60=1,$C60=2,$C60=3,$C60=4),"F","")</f>
        <v>F</v>
      </c>
      <c r="M60" s="200" t="s">
        <v>732</v>
      </c>
      <c r="N60" s="201" t="str">
        <f aca="false">CHOOSE(1+LOG(1+2*(C60=1)+4*(C60=2)+8*(C60=3)+16*(C60=4)+32*(C60="S"),2),"","Meta","Nível 2","Nível 3","Nível 4","Serviço")</f>
        <v>Nível 2</v>
      </c>
      <c r="O60" s="202" t="str">
        <f aca="false">IF(OR($C60=0,$L60=""),"-",CONCATENATE(E60&amp;".",IF(AND($A$5&gt;=2,$C60&gt;=2),F60&amp;".",""),IF(AND($A$5&gt;=3,$C60&gt;=3),G60&amp;".",""),IF(AND($A$5&gt;=4,$C60&gt;=4),H60&amp;".",""),IF($C60="S",I60&amp;".","")))</f>
        <v>1.12.</v>
      </c>
      <c r="P60" s="203" t="s">
        <v>780</v>
      </c>
      <c r="Q60" s="204"/>
      <c r="R60" s="205" t="str">
        <f aca="false">[4]PO!$B$55</f>
        <v>ESQUADRIAS METÁLICAS</v>
      </c>
      <c r="S60" s="206" t="str">
        <f aca="true">REFERENCIA.Unidade</f>
        <v>-</v>
      </c>
      <c r="T60" s="207" t="n">
        <f aca="true">OFFSET(CÁLCULO!H$15,ROW($T60)-ROW(T$15),0)</f>
        <v>0</v>
      </c>
      <c r="U60" s="208"/>
      <c r="V60" s="209" t="s">
        <v>690</v>
      </c>
      <c r="W60" s="207" t="n">
        <f aca="false">IF($C60="S",ROUND(IF(TIPOORCAMENTO="Proposto",ORÇAMENTO.CustoUnitario*(1+$AH60),ORÇAMENTO.PrecoUnitarioLicitado),15-13*$AF$10),0)</f>
        <v>0</v>
      </c>
      <c r="X60" s="210" t="n">
        <f aca="true" t="array" ref="X60:X60">IF($C60="S",IF(OR(Import.TipoArredondamento&lt;&gt;"TransfereGOV",ACOMPANHAMENTO="BM"),VTOTAL1,SUM(OFFSET(CÁLCULO!$AQ$15,ROW($X60)-ROW($X$15),1):OFFSET(CÁLCULO!$BR$15,ROW($X60)-ROW($X$15),-1))),IF($C60=0,0,ROUND(SomaAgrup,15-13*$AF$11)))</f>
        <v>65420.5</v>
      </c>
      <c r="Y60" s="211" t="s">
        <v>781</v>
      </c>
      <c r="Z60" s="1" t="str">
        <f aca="false">IF(AND($C60="S",$X60&gt;0),IF(ISBLANK($Y60),"RA",LEFT($Y60,2)),"")</f>
        <v/>
      </c>
      <c r="AA60" s="212" t="n">
        <f aca="true">IF($C60="S",IF($Z60="CP",$X60,IF($Z60="RA",(($X60)*QCI!$AA$3),0)),SomaAgrup)</f>
        <v>7260.46695849323</v>
      </c>
      <c r="AB60" s="213" t="n">
        <f aca="true">IF($C60="S",IF($Z60="OU",ROUND($X60,2),0),SomaAgrup)</f>
        <v>0</v>
      </c>
      <c r="AC60" s="214" t="e">
        <f aca="false" t="array" ref="AC60:AC60">IF($N60=""," ",
IF(AND($C60&lt;&gt;"S",OR($R60="",$R60="(digite a descrição aqui)")),"DESCRIÇÃO",
IF(AND($C60="S",OR($Q60&lt;&gt;"",$T60&gt;0,$U60&gt;0),$P60=""),"FONTE",
IF(AND($C60="S",$P60&lt;&gt;"",OR($T60&gt;0,$U60&gt;0),$Q60=""),"CÓDIGO",
IF(AND($C60="S",$P60&lt;&gt;"",$Q60&lt;&gt;"",$R60="(Código não identificado nas referências)"),"CÓDIGO N/ID",
IF(AND($C60="S",OR($R60="",$R60="(digite a descrição aqui)"),OR($Q60&lt;&gt;"",$T60&gt;0,$U60&gt;0)),"DESCRIÇÃO",
IF(AND($C60="S",$P60&lt;&gt;"",$Q60&lt;&gt;"",$S60=""),"UNIDADE",
IF(AND($C60="S",$P60&lt;&gt;"",$Q60&lt;&gt;"",$U60=0),"SEM CUSTO",
IF(AND(_xlfn.single(TIPOORCAMENTO)="Licitado",$AL60=0,$AN60&gt;0),"SEM PREÇO",
IF(AND($C60="S",$P60&lt;&gt;"",$Q60&lt;&gt;"",$U60&gt;0,$V60=0),"BDI",
IF(OR(AND(TIPOORCAMENTO="Proposto",LEFT($O$8,5)&lt;&gt;"(N/D:",$AG60&lt;&gt;"",ORÇAMENTO.CustoUnitario&gt;$AG60),AND(TIPOORCAMENTO="LICITADO",ORÇAMENTO.PrecoUnitarioLicitado&gt;$AN60)),"ACIMA REF.",
IF(AND($C60="S",$P60&lt;&gt;"",$Q60&lt;&gt;"",$T60=0,$U60&gt;0),"QUANT.",
IF(AND(Import.TipoArredondamento="TransfereGOV",$L60="F",$C60="S",LEN($Q60)&gt;13),"Código &gt;13",
IF(AND(Import.TipoArredondamento="TransfereGOV",$L60="F",$C60&lt;&gt;"S",LEN($R60)&gt;100),"Descrição &gt;100",
IF(AND(Import.TipoArredondamento="TransfereGOV",$L60="F",$C60="S",LEN($R60)&gt;500),"Descrição &gt;500",
IF(AND(Import.TipoArredondamento="TransfereGOV",$L60="F",$C60="S",LEFT(TRIM(UPPER($P60)),6)&lt;&gt;"SINAPI",ISNA(VLOOKUP(TRIM(UPPER($S60)),ListaTgov.Unidades,1,FALSE()))),"Unid. Não Disp",
" "))))))))))))))))</f>
        <v>#NAME?</v>
      </c>
      <c r="AD60" s="38" t="n">
        <f aca="true">IF(C60&lt;=CRONO.NivelExibicao,MAX($AD$15:OFFSET(AD60,-1,0))+IF($C60&lt;&gt;1,1,MAX(1,COUNTIF(QCI!$A$13:$A$15,OFFSET($E60,-1,0)))),"")</f>
        <v>13</v>
      </c>
      <c r="AE60" s="50" t="b">
        <f aca="false">IF(AND($C60="S",ORÇAMENTO.CodBarra&lt;&gt;""),IF(ORÇAMENTO.Fonte="",ORÇAMENTO.CodBarra,CONCATENATE(ORÇAMENTO.Fonte," ",ORÇAMENTO.CodBarra)))</f>
        <v>0</v>
      </c>
      <c r="AF60" s="65" t="str">
        <f aca="true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(abra o arquivo 'Referência 07-2025.xlsm)</v>
      </c>
      <c r="AG60" s="215" t="n">
        <f aca="true">ROUND(IF(DESONERACAO="sim",REFERENCIA.Desonerado,REFERENCIA.NaoDesonerado),2)</f>
        <v>0</v>
      </c>
      <c r="AH60" s="216" t="n">
        <f aca="false">ROUND(IF(ISNUMBER(ORÇAMENTO.OpcaoBDI),ORÇAMENTO.OpcaoBDI,IF(LEFT(ORÇAMENTO.OpcaoBDI,3)="BDI",HLOOKUP(ORÇAMENTO.OpcaoBDI,$F$4:$H$5,2,FALSE()),0)),15-11*$AF$9)</f>
        <v>0.2904</v>
      </c>
      <c r="AJ60" s="217"/>
      <c r="AL60" s="218"/>
      <c r="AM60" s="219" t="n">
        <f aca="false">$X60</f>
        <v>65420.5</v>
      </c>
      <c r="AN60" s="220" t="n">
        <f aca="false">ROUND(ORÇAMENTO.CustoUnitario*(1+$AH60),2)</f>
        <v>0</v>
      </c>
    </row>
    <row r="61" customFormat="false" ht="79.85" hidden="false" customHeight="false" outlineLevel="0" collapsed="false">
      <c r="A61" s="1" t="str">
        <f aca="false">CHOOSE(1+LOG(1+2*(ORÇAMENTO.Nivel="Meta")+4*(ORÇAMENTO.Nivel="Nível 2")+8*(ORÇAMENTO.Nivel="Nível 3")+16*(ORÇAMENTO.Nivel="Nível 4")+32*(ORÇAMENTO.Nivel="Serviço"),2),0,1,2,3,4,"S")</f>
        <v>S</v>
      </c>
      <c r="B61" s="1" t="n">
        <f aca="true">IF(OR(C61="s",C61=0),OFFSET(B61,-1,0),C61)</f>
        <v>2</v>
      </c>
      <c r="C61" s="1" t="str">
        <f aca="true">IF(OFFSET(C61,-1,0)="L",1,IF(OFFSET(C61,-1,0)=1,2,IF(OR(A61="s",A61=0),"S",IF(AND(OFFSET(C61,-1,0)=2,A61=4),3,IF(AND(OR(OFFSET(C61,-1,0)="s",OFFSET(C61,-1,0)=0),A61&lt;&gt;"s",A61&gt;OFFSET(B61,-1,0)),OFFSET(B61,-1,0),A61)))))</f>
        <v>S</v>
      </c>
      <c r="D61" s="1" t="n">
        <f aca="false">IF(OR(C61="S",C61=0),0,IF(ISERROR(K61),J61,SMALL(J61:K61,1)))</f>
        <v>0</v>
      </c>
      <c r="E61" s="1" t="n">
        <f aca="true">IF($C61=1,OFFSET(E61,-1,0)+MAX(1,COUNTIF(QCI!$A$13:$A$15,OFFSET(ORÇAMENTO!E61,-1,0))),OFFSET(E61,-1,0))</f>
        <v>1</v>
      </c>
      <c r="F61" s="1" t="n">
        <f aca="true">IF($C61=1,0,IF($C61=2,OFFSET(F61,-1,0)+1,OFFSET(F61,-1,0)))</f>
        <v>12</v>
      </c>
      <c r="G61" s="1" t="n">
        <f aca="true">IF(AND($C61&lt;=2,$C61&lt;&gt;0),0,IF($C61=3,OFFSET(G61,-1,0)+1,OFFSET(G61,-1,0)))</f>
        <v>0</v>
      </c>
      <c r="H61" s="1" t="n">
        <f aca="true">IF(AND($C61&lt;=3,$C61&lt;&gt;0),0,IF($C61=4,OFFSET(H61,-1,0)+1,OFFSET(H61,-1,0)))</f>
        <v>0</v>
      </c>
      <c r="I61" s="1" t="n">
        <f aca="true">IF(AND($C61&lt;=4,$C61&lt;&gt;0),0,IF(AND($C61="S",$X61&gt;0),OFFSET(I61,-1,0)+1,OFFSET(I61,-1,0)))</f>
        <v>1</v>
      </c>
      <c r="J61" s="1" t="n">
        <f aca="true">IF(OR($C61="S",$C61=0),0,MATCH(0,OFFSET($D61,1,$C61,ROW($C$205)-ROW($C61)),0))</f>
        <v>0</v>
      </c>
      <c r="K61" s="1" t="n">
        <f aca="true">IF(OR($C61="S",$C61=0),0,MATCH(OFFSET($D61,0,$C61)+IF($C61&lt;&gt;1,1,COUNTIF(QCI!$A$13:$A$15,ORÇAMENTO!E61)),OFFSET($D61,1,$C61,ROW($C$205)-ROW($C61)),0))</f>
        <v>0</v>
      </c>
      <c r="L61" s="199" t="str">
        <f aca="false">IF(OR($X61&gt;0,$C61=1,$C61=2,$C61=3,$C61=4),"F","")</f>
        <v>F</v>
      </c>
      <c r="M61" s="200" t="s">
        <v>735</v>
      </c>
      <c r="N61" s="201" t="str">
        <f aca="false">CHOOSE(1+LOG(1+2*(C61=1)+4*(C61=2)+8*(C61=3)+16*(C61=4)+32*(C61="S"),2),"","Meta","Nível 2","Nível 3","Nível 4","Serviço")</f>
        <v>Serviço</v>
      </c>
      <c r="O61" s="202" t="str">
        <f aca="false">IF(OR($C61=0,$L61=""),"-",CONCATENATE(E61&amp;".",IF(AND($A$5&gt;=2,$C61&gt;=2),F61&amp;".",""),IF(AND($A$5&gt;=3,$C61&gt;=3),G61&amp;".",""),IF(AND($A$5&gt;=4,$C61&gt;=4),H61&amp;".",""),IF($C61="S",I61&amp;".","")))</f>
        <v>1.12.1.</v>
      </c>
      <c r="P61" s="203" t="s">
        <v>780</v>
      </c>
      <c r="Q61" s="204" t="s">
        <v>826</v>
      </c>
      <c r="R61" s="205" t="s">
        <v>827</v>
      </c>
      <c r="S61" s="206" t="s">
        <v>650</v>
      </c>
      <c r="T61" s="207" t="n">
        <f aca="true">OFFSET(CÁLCULO!H$15,ROW($T61)-ROW(T$15),0)</f>
        <v>165</v>
      </c>
      <c r="U61" s="208" t="n">
        <v>276.24</v>
      </c>
      <c r="V61" s="209" t="s">
        <v>690</v>
      </c>
      <c r="W61" s="207" t="n">
        <f aca="false">IF($C61="S",ROUND(IF(TIPOORCAMENTO="Proposto",ORÇAMENTO.CustoUnitario*(1+$AH61),ORÇAMENTO.PrecoUnitarioLicitado),15-13*$AF$10),0)</f>
        <v>356.46</v>
      </c>
      <c r="X61" s="210" t="n">
        <f aca="true" t="array" ref="X61:X61">IF($C61="S",IF(OR(Import.TipoArredondamento&lt;&gt;"TransfereGOV",ACOMPANHAMENTO="BM"),VTOTAL1,SUM(OFFSET(CÁLCULO!$AQ$15,ROW($X61)-ROW($X$15),1):OFFSET(CÁLCULO!$BR$15,ROW($X61)-ROW($X$15),-1))),IF($C61=0,0,ROUND(SomaAgrup,15-13*$AF$11)))</f>
        <v>58816</v>
      </c>
      <c r="Y61" s="211" t="s">
        <v>781</v>
      </c>
      <c r="Z61" s="1" t="str">
        <f aca="false">IF(AND($C61="S",$X61&gt;0),IF(ISBLANK($Y61),"RA",LEFT($Y61,2)),"")</f>
        <v>RA</v>
      </c>
      <c r="AA61" s="212" t="n">
        <f aca="true">IF($C61="S",IF($Z61="CP",$X61,IF($Z61="RA",(($X61)*QCI!$AA$3),0)),SomaAgrup)</f>
        <v>6527.48946631007</v>
      </c>
      <c r="AB61" s="213" t="n">
        <f aca="true">IF($C61="S",IF($Z61="OU",ROUND($X61,2),0),SomaAgrup)</f>
        <v>0</v>
      </c>
      <c r="AC61" s="214" t="e">
        <f aca="false" t="array" ref="AC61:AC61">IF($N61=""," ",
IF(AND($C61&lt;&gt;"S",OR($R61="",$R61="(digite a descrição aqui)")),"DESCRIÇÃO",
IF(AND($C61="S",OR($Q61&lt;&gt;"",$T61&gt;0,$U61&gt;0),$P61=""),"FONTE",
IF(AND($C61="S",$P61&lt;&gt;"",OR($T61&gt;0,$U61&gt;0),$Q61=""),"CÓDIGO",
IF(AND($C61="S",$P61&lt;&gt;"",$Q61&lt;&gt;"",$R61="(Código não identificado nas referências)"),"CÓDIGO N/ID",
IF(AND($C61="S",OR($R61="",$R61="(digite a descrição aqui)"),OR($Q61&lt;&gt;"",$T61&gt;0,$U61&gt;0)),"DESCRIÇÃO",
IF(AND($C61="S",$P61&lt;&gt;"",$Q61&lt;&gt;"",$S61=""),"UNIDADE",
IF(AND($C61="S",$P61&lt;&gt;"",$Q61&lt;&gt;"",$U61=0),"SEM CUSTO",
IF(AND(_xlfn.single(TIPOORCAMENTO)="Licitado",$AL61=0,$AN61&gt;0),"SEM PREÇO",
IF(AND($C61="S",$P61&lt;&gt;"",$Q61&lt;&gt;"",$U61&gt;0,$V61=0),"BDI",
IF(OR(AND(TIPOORCAMENTO="Proposto",LEFT($O$8,5)&lt;&gt;"(N/D:",$AG61&lt;&gt;"",ORÇAMENTO.CustoUnitario&gt;$AG61),AND(TIPOORCAMENTO="LICITADO",ORÇAMENTO.PrecoUnitarioLicitado&gt;$AN61)),"ACIMA REF.",
IF(AND($C61="S",$P61&lt;&gt;"",$Q61&lt;&gt;"",$T61=0,$U61&gt;0),"QUANT.",
IF(AND(Import.TipoArredondamento="TransfereGOV",$L61="F",$C61="S",LEN($Q61)&gt;13),"Código &gt;13",
IF(AND(Import.TipoArredondamento="TransfereGOV",$L61="F",$C61&lt;&gt;"S",LEN($R61)&gt;100),"Descrição &gt;100",
IF(AND(Import.TipoArredondamento="TransfereGOV",$L61="F",$C61="S",LEN($R61)&gt;500),"Descrição &gt;500",
IF(AND(Import.TipoArredondamento="TransfereGOV",$L61="F",$C61="S",LEFT(TRIM(UPPER($P61)),6)&lt;&gt;"SINAPI",ISNA(VLOOKUP(TRIM(UPPER($S61)),ListaTgov.Unidades,1,FALSE()))),"Unid. Não Disp",
" "))))))))))))))))</f>
        <v>#NAME?</v>
      </c>
      <c r="AD61" s="1" t="str">
        <f aca="true">IF(C61&lt;=CRONO.NivelExibicao,MAX($AD$15:OFFSET(AD61,-1,0))+IF($C61&lt;&gt;1,1,MAX(1,COUNTIF(QCI!$A$13:$A$15,OFFSET($E61,-1,0)))),"")</f>
        <v/>
      </c>
      <c r="AE61" s="50" t="str">
        <f aca="false">IF(AND($C61="S",ORÇAMENTO.CodBarra&lt;&gt;""),IF(ORÇAMENTO.Fonte="",ORÇAMENTO.CodBarra,CONCATENATE(ORÇAMENTO.Fonte," ",ORÇAMENTO.CodBarra)))</f>
        <v>SINAPI 94570</v>
      </c>
      <c r="AF61" s="65" t="str">
        <f aca="true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(abra o arquivo 'Referência 07-2025.xlsm)</v>
      </c>
      <c r="AG61" s="215" t="n">
        <f aca="true">ROUND(IF(DESONERACAO="sim",REFERENCIA.Desonerado,REFERENCIA.NaoDesonerado),2)</f>
        <v>0</v>
      </c>
      <c r="AH61" s="216" t="n">
        <f aca="false">ROUND(IF(ISNUMBER(ORÇAMENTO.OpcaoBDI),ORÇAMENTO.OpcaoBDI,IF(LEFT(ORÇAMENTO.OpcaoBDI,3)="BDI",HLOOKUP(ORÇAMENTO.OpcaoBDI,$F$4:$H$5,2,FALSE()),0)),15-11*$AF$9)</f>
        <v>0.2904</v>
      </c>
      <c r="AJ61" s="217"/>
      <c r="AL61" s="218"/>
      <c r="AM61" s="219" t="n">
        <f aca="false">$X61</f>
        <v>58816</v>
      </c>
      <c r="AN61" s="220" t="n">
        <f aca="false">ROUND(ORÇAMENTO.CustoUnitario*(1+$AH61),2)</f>
        <v>356.46</v>
      </c>
    </row>
    <row r="62" customFormat="false" ht="46.25" hidden="false" customHeight="false" outlineLevel="0" collapsed="false">
      <c r="A62" s="1" t="str">
        <f aca="false">CHOOSE(1+LOG(1+2*(ORÇAMENTO.Nivel="Meta")+4*(ORÇAMENTO.Nivel="Nível 2")+8*(ORÇAMENTO.Nivel="Nível 3")+16*(ORÇAMENTO.Nivel="Nível 4")+32*(ORÇAMENTO.Nivel="Serviço"),2),0,1,2,3,4,"S")</f>
        <v>S</v>
      </c>
      <c r="B62" s="1" t="n">
        <f aca="true">IF(OR(C62="s",C62=0),OFFSET(B62,-1,0),C62)</f>
        <v>2</v>
      </c>
      <c r="C62" s="1" t="str">
        <f aca="true">IF(OFFSET(C62,-1,0)="L",1,IF(OFFSET(C62,-1,0)=1,2,IF(OR(A62="s",A62=0),"S",IF(AND(OFFSET(C62,-1,0)=2,A62=4),3,IF(AND(OR(OFFSET(C62,-1,0)="s",OFFSET(C62,-1,0)=0),A62&lt;&gt;"s",A62&gt;OFFSET(B62,-1,0)),OFFSET(B62,-1,0),A62)))))</f>
        <v>S</v>
      </c>
      <c r="D62" s="1" t="n">
        <f aca="false">IF(OR(C62="S",C62=0),0,IF(ISERROR(K62),J62,SMALL(J62:K62,1)))</f>
        <v>0</v>
      </c>
      <c r="E62" s="1" t="n">
        <f aca="true">IF($C62=1,OFFSET(E62,-1,0)+MAX(1,COUNTIF(QCI!$A$13:$A$15,OFFSET(ORÇAMENTO!E62,-1,0))),OFFSET(E62,-1,0))</f>
        <v>1</v>
      </c>
      <c r="F62" s="1" t="n">
        <f aca="true">IF($C62=1,0,IF($C62=2,OFFSET(F62,-1,0)+1,OFFSET(F62,-1,0)))</f>
        <v>12</v>
      </c>
      <c r="G62" s="1" t="n">
        <f aca="true">IF(AND($C62&lt;=2,$C62&lt;&gt;0),0,IF($C62=3,OFFSET(G62,-1,0)+1,OFFSET(G62,-1,0)))</f>
        <v>0</v>
      </c>
      <c r="H62" s="1" t="n">
        <f aca="true">IF(AND($C62&lt;=3,$C62&lt;&gt;0),0,IF($C62=4,OFFSET(H62,-1,0)+1,OFFSET(H62,-1,0)))</f>
        <v>0</v>
      </c>
      <c r="I62" s="1" t="n">
        <f aca="true">IF(AND($C62&lt;=4,$C62&lt;&gt;0),0,IF(AND($C62="S",$X62&gt;0),OFFSET(I62,-1,0)+1,OFFSET(I62,-1,0)))</f>
        <v>2</v>
      </c>
      <c r="J62" s="1" t="n">
        <f aca="true">IF(OR($C62="S",$C62=0),0,MATCH(0,OFFSET($D62,1,$C62,ROW($C$205)-ROW($C62)),0))</f>
        <v>0</v>
      </c>
      <c r="K62" s="1" t="n">
        <f aca="true">IF(OR($C62="S",$C62=0),0,MATCH(OFFSET($D62,0,$C62)+IF($C62&lt;&gt;1,1,COUNTIF(QCI!$A$13:$A$15,ORÇAMENTO!E62)),OFFSET($D62,1,$C62,ROW($C$205)-ROW($C62)),0))</f>
        <v>0</v>
      </c>
      <c r="L62" s="199" t="str">
        <f aca="false">IF(OR($X62&gt;0,$C62=1,$C62=2,$C62=3,$C62=4),"F","")</f>
        <v>F</v>
      </c>
      <c r="M62" s="200" t="s">
        <v>735</v>
      </c>
      <c r="N62" s="201" t="str">
        <f aca="false">CHOOSE(1+LOG(1+2*(C62=1)+4*(C62=2)+8*(C62=3)+16*(C62=4)+32*(C62="S"),2),"","Meta","Nível 2","Nível 3","Nível 4","Serviço")</f>
        <v>Serviço</v>
      </c>
      <c r="O62" s="202" t="str">
        <f aca="false">IF(OR($C62=0,$L62=""),"-",CONCATENATE(E62&amp;".",IF(AND($A$5&gt;=2,$C62&gt;=2),F62&amp;".",""),IF(AND($A$5&gt;=3,$C62&gt;=3),G62&amp;".",""),IF(AND($A$5&gt;=4,$C62&gt;=4),H62&amp;".",""),IF($C62="S",I62&amp;".","")))</f>
        <v>1.12.2.</v>
      </c>
      <c r="P62" s="203" t="s">
        <v>789</v>
      </c>
      <c r="Q62" s="204" t="s">
        <v>828</v>
      </c>
      <c r="R62" s="205" t="str">
        <f aca="false">[3]ORÇAMENTO!$R$97</f>
        <v>JANELA EM ALUMÍNIO MÁXIM-AR COM ALTURA DE 60CM, LINHA 25/
SUPREMA, ACABAMENTO ANODIZADO NATURAL, INCLUSIVE
PERFIS, VIDRO LISO 4MM E INSTALAÇÃO, EXCLUSIVE FERRAGENS
PARA MÓDULO DE JANELA DE ALUMÍNIO MÁXIM-AR</v>
      </c>
      <c r="S62" s="206" t="s">
        <v>650</v>
      </c>
      <c r="T62" s="207" t="n">
        <f aca="true">OFFSET(CÁLCULO!H$15,ROW($T62)-ROW(T$15),0)</f>
        <v>5</v>
      </c>
      <c r="U62" s="208" t="n">
        <f aca="false">[3]ORÇAMENTO!$U$97</f>
        <v>1023.63</v>
      </c>
      <c r="V62" s="209" t="s">
        <v>690</v>
      </c>
      <c r="W62" s="207" t="n">
        <f aca="false">IF($C62="S",ROUND(IF(TIPOORCAMENTO="Proposto",ORÇAMENTO.CustoUnitario*(1+$AH62),ORÇAMENTO.PrecoUnitarioLicitado),15-13*$AF$10),0)</f>
        <v>1320.89</v>
      </c>
      <c r="X62" s="210" t="n">
        <f aca="true" t="array" ref="X62:X62">IF($C62="S",IF(OR(Import.TipoArredondamento&lt;&gt;"TransfereGOV",ACOMPANHAMENTO="BM"),VTOTAL1,SUM(OFFSET(CÁLCULO!$AQ$15,ROW($X62)-ROW($X$15),1):OFFSET(CÁLCULO!$BR$15,ROW($X62)-ROW($X$15),-1))),IF($C62=0,0,ROUND(SomaAgrup,15-13*$AF$11)))</f>
        <v>6604.5</v>
      </c>
      <c r="Y62" s="211" t="s">
        <v>781</v>
      </c>
      <c r="Z62" s="1" t="str">
        <f aca="false">IF(AND($C62="S",$X62&gt;0),IF(ISBLANK($Y62),"RA",LEFT($Y62,2)),"")</f>
        <v>RA</v>
      </c>
      <c r="AA62" s="212" t="n">
        <f aca="true">IF($C62="S",IF($Z62="CP",$X62,IF($Z62="RA",(($X62)*QCI!$AA$3),0)),SomaAgrup)</f>
        <v>732.977492183162</v>
      </c>
      <c r="AB62" s="213" t="n">
        <f aca="true">IF($C62="S",IF($Z62="OU",ROUND($X62,2),0),SomaAgrup)</f>
        <v>0</v>
      </c>
      <c r="AC62" s="214" t="e">
        <f aca="false" t="array" ref="AC62:AC62">IF($N62=""," ",
IF(AND($C62&lt;&gt;"S",OR($R62="",$R62="(digite a descrição aqui)")),"DESCRIÇÃO",
IF(AND($C62="S",OR($Q62&lt;&gt;"",$T62&gt;0,$U62&gt;0),$P62=""),"FONTE",
IF(AND($C62="S",$P62&lt;&gt;"",OR($T62&gt;0,$U62&gt;0),$Q62=""),"CÓDIGO",
IF(AND($C62="S",$P62&lt;&gt;"",$Q62&lt;&gt;"",$R62="(Código não identificado nas referências)"),"CÓDIGO N/ID",
IF(AND($C62="S",OR($R62="",$R62="(digite a descrição aqui)"),OR($Q62&lt;&gt;"",$T62&gt;0,$U62&gt;0)),"DESCRIÇÃO",
IF(AND($C62="S",$P62&lt;&gt;"",$Q62&lt;&gt;"",$S62=""),"UNIDADE",
IF(AND($C62="S",$P62&lt;&gt;"",$Q62&lt;&gt;"",$U62=0),"SEM CUSTO",
IF(AND(_xlfn.single(TIPOORCAMENTO)="Licitado",$AL62=0,$AN62&gt;0),"SEM PREÇO",
IF(AND($C62="S",$P62&lt;&gt;"",$Q62&lt;&gt;"",$U62&gt;0,$V62=0),"BDI",
IF(OR(AND(TIPOORCAMENTO="Proposto",LEFT($O$8,5)&lt;&gt;"(N/D:",$AG62&lt;&gt;"",ORÇAMENTO.CustoUnitario&gt;$AG62),AND(TIPOORCAMENTO="LICITADO",ORÇAMENTO.PrecoUnitarioLicitado&gt;$AN62)),"ACIMA REF.",
IF(AND($C62="S",$P62&lt;&gt;"",$Q62&lt;&gt;"",$T62=0,$U62&gt;0),"QUANT.",
IF(AND(Import.TipoArredondamento="TransfereGOV",$L62="F",$C62="S",LEN($Q62)&gt;13),"Código &gt;13",
IF(AND(Import.TipoArredondamento="TransfereGOV",$L62="F",$C62&lt;&gt;"S",LEN($R62)&gt;100),"Descrição &gt;100",
IF(AND(Import.TipoArredondamento="TransfereGOV",$L62="F",$C62="S",LEN($R62)&gt;500),"Descrição &gt;500",
IF(AND(Import.TipoArredondamento="TransfereGOV",$L62="F",$C62="S",LEFT(TRIM(UPPER($P62)),6)&lt;&gt;"SINAPI",ISNA(VLOOKUP(TRIM(UPPER($S62)),ListaTgov.Unidades,1,FALSE()))),"Unid. Não Disp",
" "))))))))))))))))</f>
        <v>#NAME?</v>
      </c>
      <c r="AD62" s="1" t="str">
        <f aca="true">IF(C62&lt;=CRONO.NivelExibicao,MAX($AD$15:OFFSET(AD62,-1,0))+IF($C62&lt;&gt;1,1,MAX(1,COUNTIF(QCI!$A$13:$A$15,OFFSET($E62,-1,0)))),"")</f>
        <v/>
      </c>
      <c r="AE62" s="50" t="str">
        <f aca="false">IF(AND($C62="S",ORÇAMENTO.CodBarra&lt;&gt;""),IF(ORÇAMENTO.Fonte="",ORÇAMENTO.CodBarra,CONCATENATE(ORÇAMENTO.Fonte," ",ORÇAMENTO.CodBarra)))</f>
        <v>SICRO ED-29481</v>
      </c>
      <c r="AF62" s="65" t="str">
        <f aca="true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(abra o arquivo 'Referência 07-2025.xlsm)</v>
      </c>
      <c r="AG62" s="215" t="n">
        <f aca="true">ROUND(IF(DESONERACAO="sim",REFERENCIA.Desonerado,REFERENCIA.NaoDesonerado),2)</f>
        <v>0</v>
      </c>
      <c r="AH62" s="216" t="n">
        <f aca="false">ROUND(IF(ISNUMBER(ORÇAMENTO.OpcaoBDI),ORÇAMENTO.OpcaoBDI,IF(LEFT(ORÇAMENTO.OpcaoBDI,3)="BDI",HLOOKUP(ORÇAMENTO.OpcaoBDI,$F$4:$H$5,2,FALSE()),0)),15-11*$AF$9)</f>
        <v>0.2904</v>
      </c>
      <c r="AJ62" s="217"/>
      <c r="AL62" s="218"/>
      <c r="AM62" s="219" t="n">
        <f aca="false">$X62</f>
        <v>6604.5</v>
      </c>
      <c r="AN62" s="220" t="n">
        <f aca="false">ROUND(ORÇAMENTO.CustoUnitario*(1+$AH62),2)</f>
        <v>1320.89</v>
      </c>
    </row>
    <row r="63" customFormat="false" ht="12.75" hidden="false" customHeight="false" outlineLevel="0" collapsed="false">
      <c r="A63" s="1" t="n">
        <f aca="false">CHOOSE(1+LOG(1+2*(ORÇAMENTO.Nivel="Meta")+4*(ORÇAMENTO.Nivel="Nível 2")+8*(ORÇAMENTO.Nivel="Nível 3")+16*(ORÇAMENTO.Nivel="Nível 4")+32*(ORÇAMENTO.Nivel="Serviço"),2),0,1,2,3,4,"S")</f>
        <v>2</v>
      </c>
      <c r="B63" s="1" t="n">
        <f aca="true">IF(OR(C63="s",C63=0),OFFSET(B63,-1,0),C63)</f>
        <v>2</v>
      </c>
      <c r="C63" s="1" t="n">
        <f aca="true">IF(OFFSET(C63,-1,0)="L",1,IF(OFFSET(C63,-1,0)=1,2,IF(OR(A63="s",A63=0),"S",IF(AND(OFFSET(C63,-1,0)=2,A63=4),3,IF(AND(OR(OFFSET(C63,-1,0)="s",OFFSET(C63,-1,0)=0),A63&lt;&gt;"s",A63&gt;OFFSET(B63,-1,0)),OFFSET(B63,-1,0),A63)))))</f>
        <v>2</v>
      </c>
      <c r="D63" s="1" t="n">
        <f aca="false">IF(OR(C63="S",C63=0),0,IF(ISERROR(K63),J63,SMALL(J63:K63,1)))</f>
        <v>2</v>
      </c>
      <c r="E63" s="1" t="n">
        <f aca="true">IF($C63=1,OFFSET(E63,-1,0)+MAX(1,COUNTIF(QCI!$A$13:$A$15,OFFSET(ORÇAMENTO!E63,-1,0))),OFFSET(E63,-1,0))</f>
        <v>1</v>
      </c>
      <c r="F63" s="1" t="n">
        <f aca="true">IF($C63=1,0,IF($C63=2,OFFSET(F63,-1,0)+1,OFFSET(F63,-1,0)))</f>
        <v>13</v>
      </c>
      <c r="G63" s="1" t="n">
        <f aca="true">IF(AND($C63&lt;=2,$C63&lt;&gt;0),0,IF($C63=3,OFFSET(G63,-1,0)+1,OFFSET(G63,-1,0)))</f>
        <v>0</v>
      </c>
      <c r="H63" s="1" t="n">
        <f aca="true">IF(AND($C63&lt;=3,$C63&lt;&gt;0),0,IF($C63=4,OFFSET(H63,-1,0)+1,OFFSET(H63,-1,0)))</f>
        <v>0</v>
      </c>
      <c r="I63" s="1" t="n">
        <f aca="true">IF(AND($C63&lt;=4,$C63&lt;&gt;0),0,IF(AND($C63="S",$X63&gt;0),OFFSET(I63,-1,0)+1,OFFSET(I63,-1,0)))</f>
        <v>0</v>
      </c>
      <c r="J63" s="1" t="n">
        <f aca="true">IF(OR($C63="S",$C63=0),0,MATCH(0,OFFSET($D63,1,$C63,ROW($C$205)-ROW($C63)),0))</f>
        <v>142</v>
      </c>
      <c r="K63" s="1" t="n">
        <f aca="true">IF(OR($C63="S",$C63=0),0,MATCH(OFFSET($D63,0,$C63)+IF($C63&lt;&gt;1,1,COUNTIF(QCI!$A$13:$A$15,ORÇAMENTO!E63)),OFFSET($D63,1,$C63,ROW($C$205)-ROW($C63)),0))</f>
        <v>2</v>
      </c>
      <c r="L63" s="199" t="str">
        <f aca="false">IF(OR($X63&gt;0,$C63=1,$C63=2,$C63=3,$C63=4),"F","")</f>
        <v>F</v>
      </c>
      <c r="M63" s="200" t="s">
        <v>732</v>
      </c>
      <c r="N63" s="201" t="str">
        <f aca="false">CHOOSE(1+LOG(1+2*(C63=1)+4*(C63=2)+8*(C63=3)+16*(C63=4)+32*(C63="S"),2),"","Meta","Nível 2","Nível 3","Nível 4","Serviço")</f>
        <v>Nível 2</v>
      </c>
      <c r="O63" s="202" t="str">
        <f aca="false">IF(OR($C63=0,$L63=""),"-",CONCATENATE(E63&amp;".",IF(AND($A$5&gt;=2,$C63&gt;=2),F63&amp;".",""),IF(AND($A$5&gt;=3,$C63&gt;=3),G63&amp;".",""),IF(AND($A$5&gt;=4,$C63&gt;=4),H63&amp;".",""),IF($C63="S",I63&amp;".","")))</f>
        <v>1.13.</v>
      </c>
      <c r="P63" s="203" t="s">
        <v>780</v>
      </c>
      <c r="Q63" s="204"/>
      <c r="R63" s="205" t="str">
        <f aca="false">[4]PO!$B$62</f>
        <v>ESQUADRIAS DE MADEIRAS</v>
      </c>
      <c r="S63" s="206" t="str">
        <f aca="true">REFERENCIA.Unidade</f>
        <v>-</v>
      </c>
      <c r="T63" s="207" t="n">
        <f aca="true">OFFSET(CÁLCULO!H$15,ROW($T63)-ROW(T$15),0)</f>
        <v>0</v>
      </c>
      <c r="U63" s="208"/>
      <c r="V63" s="209" t="s">
        <v>690</v>
      </c>
      <c r="W63" s="207" t="n">
        <f aca="false">IF($C63="S",ROUND(IF(TIPOORCAMENTO="Proposto",ORÇAMENTO.CustoUnitario*(1+$AH63),ORÇAMENTO.PrecoUnitarioLicitado),15-13*$AF$10),0)</f>
        <v>0</v>
      </c>
      <c r="X63" s="210" t="n">
        <f aca="true" t="array" ref="X63:X63">IF($C63="S",IF(OR(Import.TipoArredondamento&lt;&gt;"TransfereGOV",ACOMPANHAMENTO="BM"),VTOTAL1,SUM(OFFSET(CÁLCULO!$AQ$15,ROW($X63)-ROW($X$15),1):OFFSET(CÁLCULO!$BR$15,ROW($X63)-ROW($X$15),-1))),IF($C63=0,0,ROUND(SomaAgrup,15-13*$AF$11)))</f>
        <v>85711.5</v>
      </c>
      <c r="Y63" s="211" t="s">
        <v>781</v>
      </c>
      <c r="Z63" s="1" t="str">
        <f aca="false">IF(AND($C63="S",$X63&gt;0),IF(ISBLANK($Y63),"RA",LEFT($Y63,2)),"")</f>
        <v/>
      </c>
      <c r="AA63" s="212" t="n">
        <f aca="true">IF($C63="S",IF($Z63="CP",$X63,IF($Z63="RA",(($X63)*QCI!$AA$3),0)),SomaAgrup)</f>
        <v>9512.39311397639</v>
      </c>
      <c r="AB63" s="213" t="n">
        <f aca="true">IF($C63="S",IF($Z63="OU",ROUND($X63,2),0),SomaAgrup)</f>
        <v>0</v>
      </c>
      <c r="AC63" s="214" t="e">
        <f aca="false" t="array" ref="AC63:AC63">IF($N63=""," ",
IF(AND($C63&lt;&gt;"S",OR($R63="",$R63="(digite a descrição aqui)")),"DESCRIÇÃO",
IF(AND($C63="S",OR($Q63&lt;&gt;"",$T63&gt;0,$U63&gt;0),$P63=""),"FONTE",
IF(AND($C63="S",$P63&lt;&gt;"",OR($T63&gt;0,$U63&gt;0),$Q63=""),"CÓDIGO",
IF(AND($C63="S",$P63&lt;&gt;"",$Q63&lt;&gt;"",$R63="(Código não identificado nas referências)"),"CÓDIGO N/ID",
IF(AND($C63="S",OR($R63="",$R63="(digite a descrição aqui)"),OR($Q63&lt;&gt;"",$T63&gt;0,$U63&gt;0)),"DESCRIÇÃO",
IF(AND($C63="S",$P63&lt;&gt;"",$Q63&lt;&gt;"",$S63=""),"UNIDADE",
IF(AND($C63="S",$P63&lt;&gt;"",$Q63&lt;&gt;"",$U63=0),"SEM CUSTO",
IF(AND(_xlfn.single(TIPOORCAMENTO)="Licitado",$AL63=0,$AN63&gt;0),"SEM PREÇO",
IF(AND($C63="S",$P63&lt;&gt;"",$Q63&lt;&gt;"",$U63&gt;0,$V63=0),"BDI",
IF(OR(AND(TIPOORCAMENTO="Proposto",LEFT($O$8,5)&lt;&gt;"(N/D:",$AG63&lt;&gt;"",ORÇAMENTO.CustoUnitario&gt;$AG63),AND(TIPOORCAMENTO="LICITADO",ORÇAMENTO.PrecoUnitarioLicitado&gt;$AN63)),"ACIMA REF.",
IF(AND($C63="S",$P63&lt;&gt;"",$Q63&lt;&gt;"",$T63=0,$U63&gt;0),"QUANT.",
IF(AND(Import.TipoArredondamento="TransfereGOV",$L63="F",$C63="S",LEN($Q63)&gt;13),"Código &gt;13",
IF(AND(Import.TipoArredondamento="TransfereGOV",$L63="F",$C63&lt;&gt;"S",LEN($R63)&gt;100),"Descrição &gt;100",
IF(AND(Import.TipoArredondamento="TransfereGOV",$L63="F",$C63="S",LEN($R63)&gt;500),"Descrição &gt;500",
IF(AND(Import.TipoArredondamento="TransfereGOV",$L63="F",$C63="S",LEFT(TRIM(UPPER($P63)),6)&lt;&gt;"SINAPI",ISNA(VLOOKUP(TRIM(UPPER($S63)),ListaTgov.Unidades,1,FALSE()))),"Unid. Não Disp",
" "))))))))))))))))</f>
        <v>#NAME?</v>
      </c>
      <c r="AD63" s="38" t="n">
        <f aca="true">IF(C63&lt;=CRONO.NivelExibicao,MAX($AD$15:OFFSET(AD63,-1,0))+IF($C63&lt;&gt;1,1,MAX(1,COUNTIF(QCI!$A$13:$A$15,OFFSET($E63,-1,0)))),"")</f>
        <v>14</v>
      </c>
      <c r="AE63" s="50" t="b">
        <f aca="false">IF(AND($C63="S",ORÇAMENTO.CodBarra&lt;&gt;""),IF(ORÇAMENTO.Fonte="",ORÇAMENTO.CodBarra,CONCATENATE(ORÇAMENTO.Fonte," ",ORÇAMENTO.CodBarra)))</f>
        <v>0</v>
      </c>
      <c r="AF63" s="65" t="str">
        <f aca="true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(abra o arquivo 'Referência 07-2025.xlsm)</v>
      </c>
      <c r="AG63" s="215" t="n">
        <f aca="true">ROUND(IF(DESONERACAO="sim",REFERENCIA.Desonerado,REFERENCIA.NaoDesonerado),2)</f>
        <v>0</v>
      </c>
      <c r="AH63" s="216" t="n">
        <f aca="false">ROUND(IF(ISNUMBER(ORÇAMENTO.OpcaoBDI),ORÇAMENTO.OpcaoBDI,IF(LEFT(ORÇAMENTO.OpcaoBDI,3)="BDI",HLOOKUP(ORÇAMENTO.OpcaoBDI,$F$4:$H$5,2,FALSE()),0)),15-11*$AF$9)</f>
        <v>0.2904</v>
      </c>
      <c r="AJ63" s="217"/>
      <c r="AL63" s="218"/>
      <c r="AM63" s="219" t="n">
        <f aca="false">$X63</f>
        <v>85711.5</v>
      </c>
      <c r="AN63" s="220" t="n">
        <f aca="false">ROUND(ORÇAMENTO.CustoUnitario*(1+$AH63),2)</f>
        <v>0</v>
      </c>
    </row>
    <row r="64" customFormat="false" ht="57.45" hidden="false" customHeight="false" outlineLevel="0" collapsed="false">
      <c r="A64" s="1" t="str">
        <f aca="false">CHOOSE(1+LOG(1+2*(ORÇAMENTO.Nivel="Meta")+4*(ORÇAMENTO.Nivel="Nível 2")+8*(ORÇAMENTO.Nivel="Nível 3")+16*(ORÇAMENTO.Nivel="Nível 4")+32*(ORÇAMENTO.Nivel="Serviço"),2),0,1,2,3,4,"S")</f>
        <v>S</v>
      </c>
      <c r="B64" s="1" t="n">
        <f aca="true">IF(OR(C64="s",C64=0),OFFSET(B64,-1,0),C64)</f>
        <v>2</v>
      </c>
      <c r="C64" s="1" t="str">
        <f aca="true">IF(OFFSET(C64,-1,0)="L",1,IF(OFFSET(C64,-1,0)=1,2,IF(OR(A64="s",A64=0),"S",IF(AND(OFFSET(C64,-1,0)=2,A64=4),3,IF(AND(OR(OFFSET(C64,-1,0)="s",OFFSET(C64,-1,0)=0),A64&lt;&gt;"s",A64&gt;OFFSET(B64,-1,0)),OFFSET(B64,-1,0),A64)))))</f>
        <v>S</v>
      </c>
      <c r="D64" s="1" t="n">
        <f aca="false">IF(OR(C64="S",C64=0),0,IF(ISERROR(K64),J64,SMALL(J64:K64,1)))</f>
        <v>0</v>
      </c>
      <c r="E64" s="1" t="n">
        <f aca="true">IF($C64=1,OFFSET(E64,-1,0)+MAX(1,COUNTIF(QCI!$A$13:$A$15,OFFSET(ORÇAMENTO!E64,-1,0))),OFFSET(E64,-1,0))</f>
        <v>1</v>
      </c>
      <c r="F64" s="1" t="n">
        <f aca="true">IF($C64=1,0,IF($C64=2,OFFSET(F64,-1,0)+1,OFFSET(F64,-1,0)))</f>
        <v>13</v>
      </c>
      <c r="G64" s="1" t="n">
        <f aca="true">IF(AND($C64&lt;=2,$C64&lt;&gt;0),0,IF($C64=3,OFFSET(G64,-1,0)+1,OFFSET(G64,-1,0)))</f>
        <v>0</v>
      </c>
      <c r="H64" s="1" t="n">
        <f aca="true">IF(AND($C64&lt;=3,$C64&lt;&gt;0),0,IF($C64=4,OFFSET(H64,-1,0)+1,OFFSET(H64,-1,0)))</f>
        <v>0</v>
      </c>
      <c r="I64" s="1" t="n">
        <f aca="true">IF(AND($C64&lt;=4,$C64&lt;&gt;0),0,IF(AND($C64="S",$X64&gt;0),OFFSET(I64,-1,0)+1,OFFSET(I64,-1,0)))</f>
        <v>1</v>
      </c>
      <c r="J64" s="1" t="n">
        <f aca="true">IF(OR($C64="S",$C64=0),0,MATCH(0,OFFSET($D64,1,$C64,ROW($C$205)-ROW($C64)),0))</f>
        <v>0</v>
      </c>
      <c r="K64" s="1" t="n">
        <f aca="true">IF(OR($C64="S",$C64=0),0,MATCH(OFFSET($D64,0,$C64)+IF($C64&lt;&gt;1,1,COUNTIF(QCI!$A$13:$A$15,ORÇAMENTO!E64)),OFFSET($D64,1,$C64,ROW($C$205)-ROW($C64)),0))</f>
        <v>0</v>
      </c>
      <c r="L64" s="199" t="str">
        <f aca="false">IF(OR($X64&gt;0,$C64=1,$C64=2,$C64=3,$C64=4),"F","")</f>
        <v>F</v>
      </c>
      <c r="M64" s="200" t="s">
        <v>735</v>
      </c>
      <c r="N64" s="201" t="str">
        <f aca="false">CHOOSE(1+LOG(1+2*(C64=1)+4*(C64=2)+8*(C64=3)+16*(C64=4)+32*(C64="S"),2),"","Meta","Nível 2","Nível 3","Nível 4","Serviço")</f>
        <v>Serviço</v>
      </c>
      <c r="O64" s="202" t="str">
        <f aca="false">IF(OR($C64=0,$L64=""),"-",CONCATENATE(E64&amp;".",IF(AND($A$5&gt;=2,$C64&gt;=2),F64&amp;".",""),IF(AND($A$5&gt;=3,$C64&gt;=3),G64&amp;".",""),IF(AND($A$5&gt;=4,$C64&gt;=4),H64&amp;".",""),IF($C64="S",I64&amp;".","")))</f>
        <v>1.13.1.</v>
      </c>
      <c r="P64" s="203" t="s">
        <v>780</v>
      </c>
      <c r="Q64" s="204" t="n">
        <v>91314</v>
      </c>
      <c r="R64" s="205" t="s">
        <v>829</v>
      </c>
      <c r="S64" s="206" t="s">
        <v>830</v>
      </c>
      <c r="T64" s="207" t="n">
        <f aca="true">OFFSET(CÁLCULO!H$15,ROW($T64)-ROW(T$15),0)</f>
        <v>75</v>
      </c>
      <c r="U64" s="208" t="n">
        <v>885.63</v>
      </c>
      <c r="V64" s="209" t="s">
        <v>690</v>
      </c>
      <c r="W64" s="207" t="n">
        <f aca="false">IF($C64="S",ROUND(IF(TIPOORCAMENTO="Proposto",ORÇAMENTO.CustoUnitario*(1+$AH64),ORÇAMENTO.PrecoUnitarioLicitado),15-13*$AF$10),0)</f>
        <v>1142.82</v>
      </c>
      <c r="X64" s="210" t="n">
        <f aca="true" t="array" ref="X64:X64">IF($C64="S",IF(OR(Import.TipoArredondamento&lt;&gt;"TransfereGOV",ACOMPANHAMENTO="BM"),VTOTAL1,SUM(OFFSET(CÁLCULO!$AQ$15,ROW($X64)-ROW($X$15),1):OFFSET(CÁLCULO!$BR$15,ROW($X64)-ROW($X$15),-1))),IF($C64=0,0,ROUND(SomaAgrup,15-13*$AF$11)))</f>
        <v>85711.5</v>
      </c>
      <c r="Y64" s="211" t="s">
        <v>781</v>
      </c>
      <c r="Z64" s="1" t="str">
        <f aca="false">IF(AND($C64="S",$X64&gt;0),IF(ISBLANK($Y64),"RA",LEFT($Y64,2)),"")</f>
        <v>RA</v>
      </c>
      <c r="AA64" s="212" t="n">
        <f aca="true">IF($C64="S",IF($Z64="CP",$X64,IF($Z64="RA",(($X64)*QCI!$AA$3),0)),SomaAgrup)</f>
        <v>9512.39311397639</v>
      </c>
      <c r="AB64" s="213" t="n">
        <f aca="true">IF($C64="S",IF($Z64="OU",ROUND($X64,2),0),SomaAgrup)</f>
        <v>0</v>
      </c>
      <c r="AC64" s="214" t="e">
        <f aca="false" t="array" ref="AC64:AC64">IF($N64=""," ",
IF(AND($C64&lt;&gt;"S",OR($R64="",$R64="(digite a descrição aqui)")),"DESCRIÇÃO",
IF(AND($C64="S",OR($Q64&lt;&gt;"",$T64&gt;0,$U64&gt;0),$P64=""),"FONTE",
IF(AND($C64="S",$P64&lt;&gt;"",OR($T64&gt;0,$U64&gt;0),$Q64=""),"CÓDIGO",
IF(AND($C64="S",$P64&lt;&gt;"",$Q64&lt;&gt;"",$R64="(Código não identificado nas referências)"),"CÓDIGO N/ID",
IF(AND($C64="S",OR($R64="",$R64="(digite a descrição aqui)"),OR($Q64&lt;&gt;"",$T64&gt;0,$U64&gt;0)),"DESCRIÇÃO",
IF(AND($C64="S",$P64&lt;&gt;"",$Q64&lt;&gt;"",$S64=""),"UNIDADE",
IF(AND($C64="S",$P64&lt;&gt;"",$Q64&lt;&gt;"",$U64=0),"SEM CUSTO",
IF(AND(_xlfn.single(TIPOORCAMENTO)="Licitado",$AL64=0,$AN64&gt;0),"SEM PREÇO",
IF(AND($C64="S",$P64&lt;&gt;"",$Q64&lt;&gt;"",$U64&gt;0,$V64=0),"BDI",
IF(OR(AND(TIPOORCAMENTO="Proposto",LEFT($O$8,5)&lt;&gt;"(N/D:",$AG64&lt;&gt;"",ORÇAMENTO.CustoUnitario&gt;$AG64),AND(TIPOORCAMENTO="LICITADO",ORÇAMENTO.PrecoUnitarioLicitado&gt;$AN64)),"ACIMA REF.",
IF(AND($C64="S",$P64&lt;&gt;"",$Q64&lt;&gt;"",$T64=0,$U64&gt;0),"QUANT.",
IF(AND(Import.TipoArredondamento="TransfereGOV",$L64="F",$C64="S",LEN($Q64)&gt;13),"Código &gt;13",
IF(AND(Import.TipoArredondamento="TransfereGOV",$L64="F",$C64&lt;&gt;"S",LEN($R64)&gt;100),"Descrição &gt;100",
IF(AND(Import.TipoArredondamento="TransfereGOV",$L64="F",$C64="S",LEN($R64)&gt;500),"Descrição &gt;500",
IF(AND(Import.TipoArredondamento="TransfereGOV",$L64="F",$C64="S",LEFT(TRIM(UPPER($P64)),6)&lt;&gt;"SINAPI",ISNA(VLOOKUP(TRIM(UPPER($S64)),ListaTgov.Unidades,1,FALSE()))),"Unid. Não Disp",
" "))))))))))))))))</f>
        <v>#NAME?</v>
      </c>
      <c r="AD64" s="1" t="str">
        <f aca="true">IF(C64&lt;=CRONO.NivelExibicao,MAX($AD$15:OFFSET(AD64,-1,0))+IF($C64&lt;&gt;1,1,MAX(1,COUNTIF(QCI!$A$13:$A$15,OFFSET($E64,-1,0)))),"")</f>
        <v/>
      </c>
      <c r="AE64" s="50" t="str">
        <f aca="false">IF(AND($C64="S",ORÇAMENTO.CodBarra&lt;&gt;""),IF(ORÇAMENTO.Fonte="",ORÇAMENTO.CodBarra,CONCATENATE(ORÇAMENTO.Fonte," ",ORÇAMENTO.CodBarra)))</f>
        <v>SINAPI 91314</v>
      </c>
      <c r="AF64" s="65" t="str">
        <f aca="true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(abra o arquivo 'Referência 07-2025.xlsm)</v>
      </c>
      <c r="AG64" s="215" t="n">
        <f aca="true">ROUND(IF(DESONERACAO="sim",REFERENCIA.Desonerado,REFERENCIA.NaoDesonerado),2)</f>
        <v>0</v>
      </c>
      <c r="AH64" s="216" t="n">
        <f aca="false">ROUND(IF(ISNUMBER(ORÇAMENTO.OpcaoBDI),ORÇAMENTO.OpcaoBDI,IF(LEFT(ORÇAMENTO.OpcaoBDI,3)="BDI",HLOOKUP(ORÇAMENTO.OpcaoBDI,$F$4:$H$5,2,FALSE()),0)),15-11*$AF$9)</f>
        <v>0.2904</v>
      </c>
      <c r="AJ64" s="217"/>
      <c r="AL64" s="218"/>
      <c r="AM64" s="219" t="n">
        <f aca="false">$X64</f>
        <v>85711.5</v>
      </c>
      <c r="AN64" s="220" t="n">
        <f aca="false">ROUND(ORÇAMENTO.CustoUnitario*(1+$AH64),2)</f>
        <v>1142.82</v>
      </c>
    </row>
    <row r="65" customFormat="false" ht="12.75" hidden="false" customHeight="false" outlineLevel="0" collapsed="false">
      <c r="A65" s="1" t="n">
        <f aca="false">CHOOSE(1+LOG(1+2*(ORÇAMENTO.Nivel="Meta")+4*(ORÇAMENTO.Nivel="Nível 2")+8*(ORÇAMENTO.Nivel="Nível 3")+16*(ORÇAMENTO.Nivel="Nível 4")+32*(ORÇAMENTO.Nivel="Serviço"),2),0,1,2,3,4,"S")</f>
        <v>2</v>
      </c>
      <c r="B65" s="1" t="n">
        <f aca="true">IF(OR(C65="s",C65=0),OFFSET(B65,-1,0),C65)</f>
        <v>2</v>
      </c>
      <c r="C65" s="1" t="n">
        <f aca="true">IF(OFFSET(C65,-1,0)="L",1,IF(OFFSET(C65,-1,0)=1,2,IF(OR(A65="s",A65=0),"S",IF(AND(OFFSET(C65,-1,0)=2,A65=4),3,IF(AND(OR(OFFSET(C65,-1,0)="s",OFFSET(C65,-1,0)=0),A65&lt;&gt;"s",A65&gt;OFFSET(B65,-1,0)),OFFSET(B65,-1,0),A65)))))</f>
        <v>2</v>
      </c>
      <c r="D65" s="1" t="n">
        <f aca="false">IF(OR(C65="S",C65=0),0,IF(ISERROR(K65),J65,SMALL(J65:K65,1)))</f>
        <v>3</v>
      </c>
      <c r="E65" s="1" t="n">
        <f aca="true">IF($C65=1,OFFSET(E65,-1,0)+MAX(1,COUNTIF(QCI!$A$13:$A$15,OFFSET(ORÇAMENTO!E65,-1,0))),OFFSET(E65,-1,0))</f>
        <v>1</v>
      </c>
      <c r="F65" s="1" t="n">
        <f aca="true">IF($C65=1,0,IF($C65=2,OFFSET(F65,-1,0)+1,OFFSET(F65,-1,0)))</f>
        <v>14</v>
      </c>
      <c r="G65" s="1" t="n">
        <f aca="true">IF(AND($C65&lt;=2,$C65&lt;&gt;0),0,IF($C65=3,OFFSET(G65,-1,0)+1,OFFSET(G65,-1,0)))</f>
        <v>0</v>
      </c>
      <c r="H65" s="1" t="n">
        <f aca="true">IF(AND($C65&lt;=3,$C65&lt;&gt;0),0,IF($C65=4,OFFSET(H65,-1,0)+1,OFFSET(H65,-1,0)))</f>
        <v>0</v>
      </c>
      <c r="I65" s="1" t="n">
        <f aca="true">IF(AND($C65&lt;=4,$C65&lt;&gt;0),0,IF(AND($C65="S",$X65&gt;0),OFFSET(I65,-1,0)+1,OFFSET(I65,-1,0)))</f>
        <v>0</v>
      </c>
      <c r="J65" s="1" t="n">
        <f aca="true">IF(OR($C65="S",$C65=0),0,MATCH(0,OFFSET($D65,1,$C65,ROW($C$205)-ROW($C65)),0))</f>
        <v>140</v>
      </c>
      <c r="K65" s="1" t="n">
        <f aca="true">IF(OR($C65="S",$C65=0),0,MATCH(OFFSET($D65,0,$C65)+IF($C65&lt;&gt;1,1,COUNTIF(QCI!$A$13:$A$15,ORÇAMENTO!E65)),OFFSET($D65,1,$C65,ROW($C$205)-ROW($C65)),0))</f>
        <v>3</v>
      </c>
      <c r="L65" s="199" t="str">
        <f aca="false">IF(OR($X65&gt;0,$C65=1,$C65=2,$C65=3,$C65=4),"F","")</f>
        <v>F</v>
      </c>
      <c r="M65" s="200" t="s">
        <v>732</v>
      </c>
      <c r="N65" s="201" t="str">
        <f aca="false">CHOOSE(1+LOG(1+2*(C65=1)+4*(C65=2)+8*(C65=3)+16*(C65=4)+32*(C65="S"),2),"","Meta","Nível 2","Nível 3","Nível 4","Serviço")</f>
        <v>Nível 2</v>
      </c>
      <c r="O65" s="202" t="str">
        <f aca="false">IF(OR($C65=0,$L65=""),"-",CONCATENATE(E65&amp;".",IF(AND($A$5&gt;=2,$C65&gt;=2),F65&amp;".",""),IF(AND($A$5&gt;=3,$C65&gt;=3),G65&amp;".",""),IF(AND($A$5&gt;=4,$C65&gt;=4),H65&amp;".",""),IF($C65="S",I65&amp;".","")))</f>
        <v>1.14.</v>
      </c>
      <c r="P65" s="203" t="s">
        <v>780</v>
      </c>
      <c r="Q65" s="204" t="s">
        <v>831</v>
      </c>
      <c r="R65" s="235" t="str">
        <f aca="false">[4]PO!$B$64</f>
        <v>VIDROS E ESQUADRIAS ESPECIAIS</v>
      </c>
      <c r="S65" s="206" t="s">
        <v>650</v>
      </c>
      <c r="T65" s="207" t="n">
        <f aca="true">OFFSET(CÁLCULO!H$15,ROW($T65)-ROW(T$15),0)</f>
        <v>0</v>
      </c>
      <c r="U65" s="208" t="n">
        <v>34.8</v>
      </c>
      <c r="V65" s="209" t="s">
        <v>690</v>
      </c>
      <c r="W65" s="207" t="n">
        <f aca="false">IF($C65="S",ROUND(IF(TIPOORCAMENTO="Proposto",ORÇAMENTO.CustoUnitario*(1+$AH65),ORÇAMENTO.PrecoUnitarioLicitado),15-13*$AF$10),0)</f>
        <v>0</v>
      </c>
      <c r="X65" s="210" t="n">
        <f aca="true" t="array" ref="X65:X65">IF($C65="S",IF(OR(Import.TipoArredondamento&lt;&gt;"TransfereGOV",ACOMPANHAMENTO="BM"),VTOTAL1,SUM(OFFSET(CÁLCULO!$AQ$15,ROW($X65)-ROW($X$15),1):OFFSET(CÁLCULO!$BR$15,ROW($X65)-ROW($X$15),-1))),IF($C65=0,0,ROUND(SomaAgrup,15-13*$AF$11)))</f>
        <v>126828.5</v>
      </c>
      <c r="Y65" s="211" t="s">
        <v>781</v>
      </c>
      <c r="Z65" s="1" t="str">
        <f aca="false">IF(AND($C65="S",$X65&gt;0),IF(ISBLANK($Y65),"RA",LEFT($Y65,2)),"")</f>
        <v/>
      </c>
      <c r="AA65" s="212" t="n">
        <f aca="true">IF($C65="S",IF($Z65="CP",$X65,IF($Z65="RA",(($X65)*QCI!$AA$3),0)),SomaAgrup)</f>
        <v>14075.6205416537</v>
      </c>
      <c r="AB65" s="213" t="n">
        <f aca="true">IF($C65="S",IF($Z65="OU",ROUND($X65,2),0),SomaAgrup)</f>
        <v>0</v>
      </c>
      <c r="AC65" s="214" t="e">
        <f aca="false" t="array" ref="AC65:AC65">IF($N65=""," ",
IF(AND($C65&lt;&gt;"S",OR($R65="",$R65="(digite a descrição aqui)")),"DESCRIÇÃO",
IF(AND($C65="S",OR($Q65&lt;&gt;"",$T65&gt;0,$U65&gt;0),$P65=""),"FONTE",
IF(AND($C65="S",$P65&lt;&gt;"",OR($T65&gt;0,$U65&gt;0),$Q65=""),"CÓDIGO",
IF(AND($C65="S",$P65&lt;&gt;"",$Q65&lt;&gt;"",$R65="(Código não identificado nas referências)"),"CÓDIGO N/ID",
IF(AND($C65="S",OR($R65="",$R65="(digite a descrição aqui)"),OR($Q65&lt;&gt;"",$T65&gt;0,$U65&gt;0)),"DESCRIÇÃO",
IF(AND($C65="S",$P65&lt;&gt;"",$Q65&lt;&gt;"",$S65=""),"UNIDADE",
IF(AND($C65="S",$P65&lt;&gt;"",$Q65&lt;&gt;"",$U65=0),"SEM CUSTO",
IF(AND(_xlfn.single(TIPOORCAMENTO)="Licitado",$AL65=0,$AN65&gt;0),"SEM PREÇO",
IF(AND($C65="S",$P65&lt;&gt;"",$Q65&lt;&gt;"",$U65&gt;0,$V65=0),"BDI",
IF(OR(AND(TIPOORCAMENTO="Proposto",LEFT($O$8,5)&lt;&gt;"(N/D:",$AG65&lt;&gt;"",ORÇAMENTO.CustoUnitario&gt;$AG65),AND(TIPOORCAMENTO="LICITADO",ORÇAMENTO.PrecoUnitarioLicitado&gt;$AN65)),"ACIMA REF.",
IF(AND($C65="S",$P65&lt;&gt;"",$Q65&lt;&gt;"",$T65=0,$U65&gt;0),"QUANT.",
IF(AND(Import.TipoArredondamento="TransfereGOV",$L65="F",$C65="S",LEN($Q65)&gt;13),"Código &gt;13",
IF(AND(Import.TipoArredondamento="TransfereGOV",$L65="F",$C65&lt;&gt;"S",LEN($R65)&gt;100),"Descrição &gt;100",
IF(AND(Import.TipoArredondamento="TransfereGOV",$L65="F",$C65="S",LEN($R65)&gt;500),"Descrição &gt;500",
IF(AND(Import.TipoArredondamento="TransfereGOV",$L65="F",$C65="S",LEFT(TRIM(UPPER($P65)),6)&lt;&gt;"SINAPI",ISNA(VLOOKUP(TRIM(UPPER($S65)),ListaTgov.Unidades,1,FALSE()))),"Unid. Não Disp",
" "))))))))))))))))</f>
        <v>#NAME?</v>
      </c>
      <c r="AD65" s="38" t="n">
        <f aca="true">IF(C65&lt;=CRONO.NivelExibicao,MAX($AD$15:OFFSET(AD65,-1,0))+IF($C65&lt;&gt;1,1,MAX(1,COUNTIF(QCI!$A$13:$A$15,OFFSET($E65,-1,0)))),"")</f>
        <v>15</v>
      </c>
      <c r="AE65" s="50" t="b">
        <f aca="false">IF(AND($C65="S",ORÇAMENTO.CodBarra&lt;&gt;""),IF(ORÇAMENTO.Fonte="",ORÇAMENTO.CodBarra,CONCATENATE(ORÇAMENTO.Fonte," ",ORÇAMENTO.CodBarra)))</f>
        <v>0</v>
      </c>
      <c r="AF65" s="65" t="str">
        <f aca="true">IF(ISERROR(INDIRECT(ORÇAMENTO.BancoRef)),"(abra o arquivo 'Referência "&amp;Excel_BuiltIn_Database&amp;".xlsm)",IF(OR($C65&lt;&gt;"S",ORÇAMENTO.CodBarra=""),"(Sem Código)",IF(ISERROR(MATCH($AE65,INDIRECT(ORÇAMENTO.BancoRef),0)),"(Código não identificado nas referências)",MATCH($AE65,INDIRECT(ORÇAMENTO.BancoRef),0))))</f>
        <v>(abra o arquivo 'Referência 07-2025.xlsm)</v>
      </c>
      <c r="AG65" s="215" t="n">
        <f aca="true">ROUND(IF(DESONERACAO="sim",REFERENCIA.Desonerado,REFERENCIA.NaoDesonerado),2)</f>
        <v>0</v>
      </c>
      <c r="AH65" s="216" t="n">
        <f aca="false">ROUND(IF(ISNUMBER(ORÇAMENTO.OpcaoBDI),ORÇAMENTO.OpcaoBDI,IF(LEFT(ORÇAMENTO.OpcaoBDI,3)="BDI",HLOOKUP(ORÇAMENTO.OpcaoBDI,$F$4:$H$5,2,FALSE()),0)),15-11*$AF$9)</f>
        <v>0.2904</v>
      </c>
      <c r="AJ65" s="217"/>
      <c r="AL65" s="218"/>
      <c r="AM65" s="219" t="n">
        <f aca="false">$X65</f>
        <v>126828.5</v>
      </c>
      <c r="AN65" s="220" t="n">
        <f aca="false">ROUND(ORÇAMENTO.CustoUnitario*(1+$AH65),2)</f>
        <v>44.91</v>
      </c>
    </row>
    <row r="66" customFormat="false" ht="23.85" hidden="false" customHeight="false" outlineLevel="0" collapsed="false">
      <c r="A66" s="1" t="str">
        <f aca="false">CHOOSE(1+LOG(1+2*(ORÇAMENTO.Nivel="Meta")+4*(ORÇAMENTO.Nivel="Nível 2")+8*(ORÇAMENTO.Nivel="Nível 3")+16*(ORÇAMENTO.Nivel="Nível 4")+32*(ORÇAMENTO.Nivel="Serviço"),2),0,1,2,3,4,"S")</f>
        <v>S</v>
      </c>
      <c r="B66" s="1" t="n">
        <f aca="true">IF(OR(C66="s",C66=0),OFFSET(B66,-1,0),C66)</f>
        <v>2</v>
      </c>
      <c r="C66" s="1" t="str">
        <f aca="true">IF(OFFSET(C66,-1,0)="L",1,IF(OFFSET(C66,-1,0)=1,2,IF(OR(A66="s",A66=0),"S",IF(AND(OFFSET(C66,-1,0)=2,A66=4),3,IF(AND(OR(OFFSET(C66,-1,0)="s",OFFSET(C66,-1,0)=0),A66&lt;&gt;"s",A66&gt;OFFSET(B66,-1,0)),OFFSET(B66,-1,0),A66)))))</f>
        <v>S</v>
      </c>
      <c r="D66" s="1" t="n">
        <f aca="false">IF(OR(C66="S",C66=0),0,IF(ISERROR(K66),J66,SMALL(J66:K66,1)))</f>
        <v>0</v>
      </c>
      <c r="E66" s="1" t="n">
        <f aca="true">IF($C66=1,OFFSET(E66,-1,0)+MAX(1,COUNTIF(QCI!$A$13:$A$15,OFFSET(ORÇAMENTO!E66,-1,0))),OFFSET(E66,-1,0))</f>
        <v>1</v>
      </c>
      <c r="F66" s="1" t="n">
        <f aca="true">IF($C66=1,0,IF($C66=2,OFFSET(F66,-1,0)+1,OFFSET(F66,-1,0)))</f>
        <v>14</v>
      </c>
      <c r="G66" s="1" t="n">
        <f aca="true">IF(AND($C66&lt;=2,$C66&lt;&gt;0),0,IF($C66=3,OFFSET(G66,-1,0)+1,OFFSET(G66,-1,0)))</f>
        <v>0</v>
      </c>
      <c r="H66" s="1" t="n">
        <f aca="true">IF(AND($C66&lt;=3,$C66&lt;&gt;0),0,IF($C66=4,OFFSET(H66,-1,0)+1,OFFSET(H66,-1,0)))</f>
        <v>0</v>
      </c>
      <c r="I66" s="1" t="n">
        <f aca="true">IF(AND($C66&lt;=4,$C66&lt;&gt;0),0,IF(AND($C66="S",$X66&gt;0),OFFSET(I66,-1,0)+1,OFFSET(I66,-1,0)))</f>
        <v>1</v>
      </c>
      <c r="J66" s="1" t="n">
        <f aca="true">IF(OR($C66="S",$C66=0),0,MATCH(0,OFFSET($D66,1,$C66,ROW($C$205)-ROW($C66)),0))</f>
        <v>0</v>
      </c>
      <c r="K66" s="1" t="n">
        <f aca="true">IF(OR($C66="S",$C66=0),0,MATCH(OFFSET($D66,0,$C66)+IF($C66&lt;&gt;1,1,COUNTIF(QCI!$A$13:$A$15,ORÇAMENTO!E66)),OFFSET($D66,1,$C66,ROW($C$205)-ROW($C66)),0))</f>
        <v>0</v>
      </c>
      <c r="L66" s="199" t="str">
        <f aca="false">IF(OR($X66&gt;0,$C66=1,$C66=2,$C66=3,$C66=4),"F","")</f>
        <v>F</v>
      </c>
      <c r="M66" s="200" t="s">
        <v>735</v>
      </c>
      <c r="N66" s="201" t="str">
        <f aca="false">CHOOSE(1+LOG(1+2*(C66=1)+4*(C66=2)+8*(C66=3)+16*(C66=4)+32*(C66="S"),2),"","Meta","Nível 2","Nível 3","Nível 4","Serviço")</f>
        <v>Serviço</v>
      </c>
      <c r="O66" s="202" t="str">
        <f aca="false">IF(OR($C66=0,$L66=""),"-",CONCATENATE(E66&amp;".",IF(AND($A$5&gt;=2,$C66&gt;=2),F66&amp;".",""),IF(AND($A$5&gt;=3,$C66&gt;=3),G66&amp;".",""),IF(AND($A$5&gt;=4,$C66&gt;=4),H66&amp;".",""),IF($C66="S",I66&amp;".","")))</f>
        <v>1.14.1.</v>
      </c>
      <c r="P66" s="203" t="s">
        <v>780</v>
      </c>
      <c r="Q66" s="204" t="n">
        <v>102184</v>
      </c>
      <c r="R66" s="205" t="str">
        <f aca="false">[3]ORÇAMENTO!$R$98</f>
        <v>PORTA DE ABRIR COM MOLA HIDRÁULICA, EM VIDRO TEMPERADO, 90X210 CM, ESPESSURA 10 MM, INCLUSIVE ACESSÓRIOS. AF_01/2021</v>
      </c>
      <c r="S66" s="206" t="s">
        <v>830</v>
      </c>
      <c r="T66" s="207" t="n">
        <f aca="true">OFFSET(CÁLCULO!H$15,ROW($T66)-ROW(T$15),0)</f>
        <v>50</v>
      </c>
      <c r="U66" s="208" t="n">
        <v>1616.99</v>
      </c>
      <c r="V66" s="209" t="s">
        <v>690</v>
      </c>
      <c r="W66" s="207" t="n">
        <f aca="false">IF($C66="S",ROUND(IF(TIPOORCAMENTO="Proposto",ORÇAMENTO.CustoUnitario*(1+$AH66),ORÇAMENTO.PrecoUnitarioLicitado),15-13*$AF$10),0)</f>
        <v>2086.56</v>
      </c>
      <c r="X66" s="210" t="n">
        <f aca="true" t="array" ref="X66:X66">IF($C66="S",IF(OR(Import.TipoArredondamento&lt;&gt;"TransfereGOV",ACOMPANHAMENTO="BM"),VTOTAL1,SUM(OFFSET(CÁLCULO!$AQ$15,ROW($X66)-ROW($X$15),1):OFFSET(CÁLCULO!$BR$15,ROW($X66)-ROW($X$15),-1))),IF($C66=0,0,ROUND(SomaAgrup,15-13*$AF$11)))</f>
        <v>104328</v>
      </c>
      <c r="Y66" s="211" t="s">
        <v>781</v>
      </c>
      <c r="Z66" s="1" t="str">
        <f aca="false">IF(AND($C66="S",$X66&gt;0),IF(ISBLANK($Y66),"RA",LEFT($Y66,2)),"")</f>
        <v>RA</v>
      </c>
      <c r="AA66" s="212" t="n">
        <f aca="true">IF($C66="S",IF($Z66="CP",$X66,IF($Z66="RA",(($X66)*QCI!$AA$3),0)),SomaAgrup)</f>
        <v>11578.4807032304</v>
      </c>
      <c r="AB66" s="213" t="n">
        <f aca="true">IF($C66="S",IF($Z66="OU",ROUND($X66,2),0),SomaAgrup)</f>
        <v>0</v>
      </c>
      <c r="AC66" s="214" t="e">
        <f aca="false" t="array" ref="AC66:AC66">IF($N66=""," ",
IF(AND($C66&lt;&gt;"S",OR($R66="",$R66="(digite a descrição aqui)")),"DESCRIÇÃO",
IF(AND($C66="S",OR($Q66&lt;&gt;"",$T66&gt;0,$U66&gt;0),$P66=""),"FONTE",
IF(AND($C66="S",$P66&lt;&gt;"",OR($T66&gt;0,$U66&gt;0),$Q66=""),"CÓDIGO",
IF(AND($C66="S",$P66&lt;&gt;"",$Q66&lt;&gt;"",$R66="(Código não identificado nas referências)"),"CÓDIGO N/ID",
IF(AND($C66="S",OR($R66="",$R66="(digite a descrição aqui)"),OR($Q66&lt;&gt;"",$T66&gt;0,$U66&gt;0)),"DESCRIÇÃO",
IF(AND($C66="S",$P66&lt;&gt;"",$Q66&lt;&gt;"",$S66=""),"UNIDADE",
IF(AND($C66="S",$P66&lt;&gt;"",$Q66&lt;&gt;"",$U66=0),"SEM CUSTO",
IF(AND(_xlfn.single(TIPOORCAMENTO)="Licitado",$AL66=0,$AN66&gt;0),"SEM PREÇO",
IF(AND($C66="S",$P66&lt;&gt;"",$Q66&lt;&gt;"",$U66&gt;0,$V66=0),"BDI",
IF(OR(AND(TIPOORCAMENTO="Proposto",LEFT($O$8,5)&lt;&gt;"(N/D:",$AG66&lt;&gt;"",ORÇAMENTO.CustoUnitario&gt;$AG66),AND(TIPOORCAMENTO="LICITADO",ORÇAMENTO.PrecoUnitarioLicitado&gt;$AN66)),"ACIMA REF.",
IF(AND($C66="S",$P66&lt;&gt;"",$Q66&lt;&gt;"",$T66=0,$U66&gt;0),"QUANT.",
IF(AND(Import.TipoArredondamento="TransfereGOV",$L66="F",$C66="S",LEN($Q66)&gt;13),"Código &gt;13",
IF(AND(Import.TipoArredondamento="TransfereGOV",$L66="F",$C66&lt;&gt;"S",LEN($R66)&gt;100),"Descrição &gt;100",
IF(AND(Import.TipoArredondamento="TransfereGOV",$L66="F",$C66="S",LEN($R66)&gt;500),"Descrição &gt;500",
IF(AND(Import.TipoArredondamento="TransfereGOV",$L66="F",$C66="S",LEFT(TRIM(UPPER($P66)),6)&lt;&gt;"SINAPI",ISNA(VLOOKUP(TRIM(UPPER($S66)),ListaTgov.Unidades,1,FALSE()))),"Unid. Não Disp",
" "))))))))))))))))</f>
        <v>#NAME?</v>
      </c>
      <c r="AD66" s="1" t="str">
        <f aca="true">IF(C66&lt;=CRONO.NivelExibicao,MAX($AD$15:OFFSET(AD66,-1,0))+IF($C66&lt;&gt;1,1,MAX(1,COUNTIF(QCI!$A$13:$A$15,OFFSET($E66,-1,0)))),"")</f>
        <v/>
      </c>
      <c r="AE66" s="50" t="str">
        <f aca="false">IF(AND($C66="S",ORÇAMENTO.CodBarra&lt;&gt;""),IF(ORÇAMENTO.Fonte="",ORÇAMENTO.CodBarra,CONCATENATE(ORÇAMENTO.Fonte," ",ORÇAMENTO.CodBarra)))</f>
        <v>SINAPI 102184</v>
      </c>
      <c r="AF66" s="65" t="str">
        <f aca="true">IF(ISERROR(INDIRECT(ORÇAMENTO.BancoRef)),"(abra o arquivo 'Referência "&amp;Excel_BuiltIn_Database&amp;".xlsm)",IF(OR($C66&lt;&gt;"S",ORÇAMENTO.CodBarra=""),"(Sem Código)",IF(ISERROR(MATCH($AE66,INDIRECT(ORÇAMENTO.BancoRef),0)),"(Código não identificado nas referências)",MATCH($AE66,INDIRECT(ORÇAMENTO.BancoRef),0))))</f>
        <v>(abra o arquivo 'Referência 07-2025.xlsm)</v>
      </c>
      <c r="AG66" s="215" t="n">
        <f aca="true">ROUND(IF(DESONERACAO="sim",REFERENCIA.Desonerado,REFERENCIA.NaoDesonerado),2)</f>
        <v>0</v>
      </c>
      <c r="AH66" s="216" t="n">
        <f aca="false">ROUND(IF(ISNUMBER(ORÇAMENTO.OpcaoBDI),ORÇAMENTO.OpcaoBDI,IF(LEFT(ORÇAMENTO.OpcaoBDI,3)="BDI",HLOOKUP(ORÇAMENTO.OpcaoBDI,$F$4:$H$5,2,FALSE()),0)),15-11*$AF$9)</f>
        <v>0.2904</v>
      </c>
      <c r="AJ66" s="217"/>
      <c r="AL66" s="218"/>
      <c r="AM66" s="219" t="n">
        <f aca="false">$X66</f>
        <v>104328</v>
      </c>
      <c r="AN66" s="220" t="n">
        <f aca="false">ROUND(ORÇAMENTO.CustoUnitario*(1+$AH66),2)</f>
        <v>2086.56</v>
      </c>
    </row>
    <row r="67" customFormat="false" ht="23.85" hidden="false" customHeight="false" outlineLevel="0" collapsed="false">
      <c r="A67" s="1" t="str">
        <f aca="false">CHOOSE(1+LOG(1+2*(ORÇAMENTO.Nivel="Meta")+4*(ORÇAMENTO.Nivel="Nível 2")+8*(ORÇAMENTO.Nivel="Nível 3")+16*(ORÇAMENTO.Nivel="Nível 4")+32*(ORÇAMENTO.Nivel="Serviço"),2),0,1,2,3,4,"S")</f>
        <v>S</v>
      </c>
      <c r="B67" s="1" t="n">
        <f aca="true">IF(OR(C67="s",C67=0),OFFSET(B67,-1,0),C67)</f>
        <v>2</v>
      </c>
      <c r="C67" s="1" t="str">
        <f aca="true">IF(OFFSET(C67,-1,0)="L",1,IF(OFFSET(C67,-1,0)=1,2,IF(OR(A67="s",A67=0),"S",IF(AND(OFFSET(C67,-1,0)=2,A67=4),3,IF(AND(OR(OFFSET(C67,-1,0)="s",OFFSET(C67,-1,0)=0),A67&lt;&gt;"s",A67&gt;OFFSET(B67,-1,0)),OFFSET(B67,-1,0),A67)))))</f>
        <v>S</v>
      </c>
      <c r="D67" s="1" t="n">
        <f aca="false">IF(OR(C67="S",C67=0),0,IF(ISERROR(K67),J67,SMALL(J67:K67,1)))</f>
        <v>0</v>
      </c>
      <c r="E67" s="1" t="n">
        <f aca="true">IF($C67=1,OFFSET(E67,-1,0)+MAX(1,COUNTIF(QCI!$A$13:$A$15,OFFSET(ORÇAMENTO!E67,-1,0))),OFFSET(E67,-1,0))</f>
        <v>1</v>
      </c>
      <c r="F67" s="1" t="n">
        <f aca="true">IF($C67=1,0,IF($C67=2,OFFSET(F67,-1,0)+1,OFFSET(F67,-1,0)))</f>
        <v>14</v>
      </c>
      <c r="G67" s="1" t="n">
        <f aca="true">IF(AND($C67&lt;=2,$C67&lt;&gt;0),0,IF($C67=3,OFFSET(G67,-1,0)+1,OFFSET(G67,-1,0)))</f>
        <v>0</v>
      </c>
      <c r="H67" s="1" t="n">
        <f aca="true">IF(AND($C67&lt;=3,$C67&lt;&gt;0),0,IF($C67=4,OFFSET(H67,-1,0)+1,OFFSET(H67,-1,0)))</f>
        <v>0</v>
      </c>
      <c r="I67" s="1" t="n">
        <f aca="true">IF(AND($C67&lt;=4,$C67&lt;&gt;0),0,IF(AND($C67="S",$X67&gt;0),OFFSET(I67,-1,0)+1,OFFSET(I67,-1,0)))</f>
        <v>2</v>
      </c>
      <c r="J67" s="1" t="n">
        <f aca="true">IF(OR($C67="S",$C67=0),0,MATCH(0,OFFSET($D67,1,$C67,ROW($C$205)-ROW($C67)),0))</f>
        <v>0</v>
      </c>
      <c r="K67" s="1" t="n">
        <f aca="true">IF(OR($C67="S",$C67=0),0,MATCH(OFFSET($D67,0,$C67)+IF($C67&lt;&gt;1,1,COUNTIF(QCI!$A$13:$A$15,ORÇAMENTO!E67)),OFFSET($D67,1,$C67,ROW($C$205)-ROW($C67)),0))</f>
        <v>0</v>
      </c>
      <c r="L67" s="199" t="str">
        <f aca="false">IF(OR($X67&gt;0,$C67=1,$C67=2,$C67=3,$C67=4),"F","")</f>
        <v>F</v>
      </c>
      <c r="M67" s="200" t="s">
        <v>735</v>
      </c>
      <c r="N67" s="201" t="str">
        <f aca="false">CHOOSE(1+LOG(1+2*(C67=1)+4*(C67=2)+8*(C67=3)+16*(C67=4)+32*(C67="S"),2),"","Meta","Nível 2","Nível 3","Nível 4","Serviço")</f>
        <v>Serviço</v>
      </c>
      <c r="O67" s="202" t="str">
        <f aca="false">IF(OR($C67=0,$L67=""),"-",CONCATENATE(E67&amp;".",IF(AND($A$5&gt;=2,$C67&gt;=2),F67&amp;".",""),IF(AND($A$5&gt;=3,$C67&gt;=3),G67&amp;".",""),IF(AND($A$5&gt;=4,$C67&gt;=4),H67&amp;".",""),IF($C67="S",I67&amp;".","")))</f>
        <v>1.14.2.</v>
      </c>
      <c r="P67" s="203" t="s">
        <v>780</v>
      </c>
      <c r="Q67" s="204" t="n">
        <v>102235</v>
      </c>
      <c r="R67" s="205" t="str">
        <f aca="false">[3]ORÇAMENTO!$R$99</f>
        <v>DIVISÓRIA FIXA EM VIDRO TEMPERADO 10 MM, SEM ABERTURA. AF_01/2021_PS</v>
      </c>
      <c r="S67" s="206" t="s">
        <v>650</v>
      </c>
      <c r="T67" s="207" t="n">
        <f aca="true">OFFSET(CÁLCULO!H$15,ROW($T67)-ROW(T$15),0)</f>
        <v>55</v>
      </c>
      <c r="U67" s="208" t="n">
        <v>317.03</v>
      </c>
      <c r="V67" s="209" t="s">
        <v>690</v>
      </c>
      <c r="W67" s="207" t="n">
        <f aca="false">IF($C67="S",ROUND(IF(TIPOORCAMENTO="Proposto",ORÇAMENTO.CustoUnitario*(1+$AH67),ORÇAMENTO.PrecoUnitarioLicitado),15-13*$AF$10),0)</f>
        <v>409.1</v>
      </c>
      <c r="X67" s="210" t="n">
        <f aca="true" t="array" ref="X67:X67">IF($C67="S",IF(OR(Import.TipoArredondamento&lt;&gt;"TransfereGOV",ACOMPANHAMENTO="BM"),VTOTAL1,SUM(OFFSET(CÁLCULO!$AQ$15,ROW($X67)-ROW($X$15),1):OFFSET(CÁLCULO!$BR$15,ROW($X67)-ROW($X$15),-1))),IF($C67=0,0,ROUND(SomaAgrup,15-13*$AF$11)))</f>
        <v>22500.5</v>
      </c>
      <c r="Y67" s="211" t="s">
        <v>781</v>
      </c>
      <c r="Z67" s="1" t="str">
        <f aca="false">IF(AND($C67="S",$X67&gt;0),IF(ISBLANK($Y67),"RA",LEFT($Y67,2)),"")</f>
        <v>RA</v>
      </c>
      <c r="AA67" s="212" t="n">
        <f aca="true">IF($C67="S",IF($Z67="CP",$X67,IF($Z67="RA",(($X67)*QCI!$AA$3),0)),SomaAgrup)</f>
        <v>2497.13983842338</v>
      </c>
      <c r="AB67" s="213" t="n">
        <f aca="true">IF($C67="S",IF($Z67="OU",ROUND($X67,2),0),SomaAgrup)</f>
        <v>0</v>
      </c>
      <c r="AC67" s="214" t="e">
        <f aca="false" t="array" ref="AC67:AC67">IF($N67=""," ",
IF(AND($C67&lt;&gt;"S",OR($R67="",$R67="(digite a descrição aqui)")),"DESCRIÇÃO",
IF(AND($C67="S",OR($Q67&lt;&gt;"",$T67&gt;0,$U67&gt;0),$P67=""),"FONTE",
IF(AND($C67="S",$P67&lt;&gt;"",OR($T67&gt;0,$U67&gt;0),$Q67=""),"CÓDIGO",
IF(AND($C67="S",$P67&lt;&gt;"",$Q67&lt;&gt;"",$R67="(Código não identificado nas referências)"),"CÓDIGO N/ID",
IF(AND($C67="S",OR($R67="",$R67="(digite a descrição aqui)"),OR($Q67&lt;&gt;"",$T67&gt;0,$U67&gt;0)),"DESCRIÇÃO",
IF(AND($C67="S",$P67&lt;&gt;"",$Q67&lt;&gt;"",$S67=""),"UNIDADE",
IF(AND($C67="S",$P67&lt;&gt;"",$Q67&lt;&gt;"",$U67=0),"SEM CUSTO",
IF(AND(_xlfn.single(TIPOORCAMENTO)="Licitado",$AL67=0,$AN67&gt;0),"SEM PREÇO",
IF(AND($C67="S",$P67&lt;&gt;"",$Q67&lt;&gt;"",$U67&gt;0,$V67=0),"BDI",
IF(OR(AND(TIPOORCAMENTO="Proposto",LEFT($O$8,5)&lt;&gt;"(N/D:",$AG67&lt;&gt;"",ORÇAMENTO.CustoUnitario&gt;$AG67),AND(TIPOORCAMENTO="LICITADO",ORÇAMENTO.PrecoUnitarioLicitado&gt;$AN67)),"ACIMA REF.",
IF(AND($C67="S",$P67&lt;&gt;"",$Q67&lt;&gt;"",$T67=0,$U67&gt;0),"QUANT.",
IF(AND(Import.TipoArredondamento="TransfereGOV",$L67="F",$C67="S",LEN($Q67)&gt;13),"Código &gt;13",
IF(AND(Import.TipoArredondamento="TransfereGOV",$L67="F",$C67&lt;&gt;"S",LEN($R67)&gt;100),"Descrição &gt;100",
IF(AND(Import.TipoArredondamento="TransfereGOV",$L67="F",$C67="S",LEN($R67)&gt;500),"Descrição &gt;500",
IF(AND(Import.TipoArredondamento="TransfereGOV",$L67="F",$C67="S",LEFT(TRIM(UPPER($P67)),6)&lt;&gt;"SINAPI",ISNA(VLOOKUP(TRIM(UPPER($S67)),ListaTgov.Unidades,1,FALSE()))),"Unid. Não Disp",
" "))))))))))))))))</f>
        <v>#NAME?</v>
      </c>
      <c r="AD67" s="1" t="str">
        <f aca="true">IF(C67&lt;=CRONO.NivelExibicao,MAX($AD$15:OFFSET(AD67,-1,0))+IF($C67&lt;&gt;1,1,MAX(1,COUNTIF(QCI!$A$13:$A$15,OFFSET($E67,-1,0)))),"")</f>
        <v/>
      </c>
      <c r="AE67" s="50" t="str">
        <f aca="false">IF(AND($C67="S",ORÇAMENTO.CodBarra&lt;&gt;""),IF(ORÇAMENTO.Fonte="",ORÇAMENTO.CodBarra,CONCATENATE(ORÇAMENTO.Fonte," ",ORÇAMENTO.CodBarra)))</f>
        <v>SINAPI 102235</v>
      </c>
      <c r="AF67" s="65" t="str">
        <f aca="true">IF(ISERROR(INDIRECT(ORÇAMENTO.BancoRef)),"(abra o arquivo 'Referência "&amp;Excel_BuiltIn_Database&amp;".xlsm)",IF(OR($C67&lt;&gt;"S",ORÇAMENTO.CodBarra=""),"(Sem Código)",IF(ISERROR(MATCH($AE67,INDIRECT(ORÇAMENTO.BancoRef),0)),"(Código não identificado nas referências)",MATCH($AE67,INDIRECT(ORÇAMENTO.BancoRef),0))))</f>
        <v>(abra o arquivo 'Referência 07-2025.xlsm)</v>
      </c>
      <c r="AG67" s="215" t="n">
        <f aca="true">ROUND(IF(DESONERACAO="sim",REFERENCIA.Desonerado,REFERENCIA.NaoDesonerado),2)</f>
        <v>0</v>
      </c>
      <c r="AH67" s="216" t="n">
        <f aca="false">ROUND(IF(ISNUMBER(ORÇAMENTO.OpcaoBDI),ORÇAMENTO.OpcaoBDI,IF(LEFT(ORÇAMENTO.OpcaoBDI,3)="BDI",HLOOKUP(ORÇAMENTO.OpcaoBDI,$F$4:$H$5,2,FALSE()),0)),15-11*$AF$9)</f>
        <v>0.2904</v>
      </c>
      <c r="AJ67" s="217"/>
      <c r="AL67" s="218"/>
      <c r="AM67" s="219" t="n">
        <f aca="false">$X67</f>
        <v>22500.5</v>
      </c>
      <c r="AN67" s="220" t="n">
        <f aca="false">ROUND(ORÇAMENTO.CustoUnitario*(1+$AH67),2)</f>
        <v>409.1</v>
      </c>
    </row>
    <row r="68" customFormat="false" ht="12.75" hidden="false" customHeight="false" outlineLevel="0" collapsed="false">
      <c r="A68" s="1" t="n">
        <f aca="false">CHOOSE(1+LOG(1+2*(ORÇAMENTO.Nivel="Meta")+4*(ORÇAMENTO.Nivel="Nível 2")+8*(ORÇAMENTO.Nivel="Nível 3")+16*(ORÇAMENTO.Nivel="Nível 4")+32*(ORÇAMENTO.Nivel="Serviço"),2),0,1,2,3,4,"S")</f>
        <v>2</v>
      </c>
      <c r="B68" s="1" t="n">
        <f aca="true">IF(OR(C68="s",C68=0),OFFSET(B68,-1,0),C68)</f>
        <v>2</v>
      </c>
      <c r="C68" s="1" t="n">
        <f aca="true">IF(OFFSET(C68,-1,0)="L",1,IF(OFFSET(C68,-1,0)=1,2,IF(OR(A68="s",A68=0),"S",IF(AND(OFFSET(C68,-1,0)=2,A68=4),3,IF(AND(OR(OFFSET(C68,-1,0)="s",OFFSET(C68,-1,0)=0),A68&lt;&gt;"s",A68&gt;OFFSET(B68,-1,0)),OFFSET(B68,-1,0),A68)))))</f>
        <v>2</v>
      </c>
      <c r="D68" s="1" t="n">
        <f aca="false">IF(OR(C68="S",C68=0),0,IF(ISERROR(K68),J68,SMALL(J68:K68,1)))</f>
        <v>7</v>
      </c>
      <c r="E68" s="1" t="n">
        <f aca="true">IF($C68=1,OFFSET(E68,-1,0)+MAX(1,COUNTIF(QCI!$A$13:$A$15,OFFSET(ORÇAMENTO!E68,-1,0))),OFFSET(E68,-1,0))</f>
        <v>1</v>
      </c>
      <c r="F68" s="1" t="n">
        <f aca="true">IF($C68=1,0,IF($C68=2,OFFSET(F68,-1,0)+1,OFFSET(F68,-1,0)))</f>
        <v>15</v>
      </c>
      <c r="G68" s="1" t="n">
        <f aca="true">IF(AND($C68&lt;=2,$C68&lt;&gt;0),0,IF($C68=3,OFFSET(G68,-1,0)+1,OFFSET(G68,-1,0)))</f>
        <v>0</v>
      </c>
      <c r="H68" s="1" t="n">
        <f aca="true">IF(AND($C68&lt;=3,$C68&lt;&gt;0),0,IF($C68=4,OFFSET(H68,-1,0)+1,OFFSET(H68,-1,0)))</f>
        <v>0</v>
      </c>
      <c r="I68" s="1" t="n">
        <f aca="true">IF(AND($C68&lt;=4,$C68&lt;&gt;0),0,IF(AND($C68="S",$X68&gt;0),OFFSET(I68,-1,0)+1,OFFSET(I68,-1,0)))</f>
        <v>0</v>
      </c>
      <c r="J68" s="1" t="n">
        <f aca="true">IF(OR($C68="S",$C68=0),0,MATCH(0,OFFSET($D68,1,$C68,ROW($C$205)-ROW($C68)),0))</f>
        <v>137</v>
      </c>
      <c r="K68" s="1" t="n">
        <f aca="true">IF(OR($C68="S",$C68=0),0,MATCH(OFFSET($D68,0,$C68)+IF($C68&lt;&gt;1,1,COUNTIF(QCI!$A$13:$A$15,ORÇAMENTO!E68)),OFFSET($D68,1,$C68,ROW($C$205)-ROW($C68)),0))</f>
        <v>7</v>
      </c>
      <c r="L68" s="199" t="str">
        <f aca="false">IF(OR($X68&gt;0,$C68=1,$C68=2,$C68=3,$C68=4),"F","")</f>
        <v>F</v>
      </c>
      <c r="M68" s="200" t="s">
        <v>732</v>
      </c>
      <c r="N68" s="201" t="str">
        <f aca="false">CHOOSE(1+LOG(1+2*(C68=1)+4*(C68=2)+8*(C68=3)+16*(C68=4)+32*(C68="S"),2),"","Meta","Nível 2","Nível 3","Nível 4","Serviço")</f>
        <v>Nível 2</v>
      </c>
      <c r="O68" s="202" t="str">
        <f aca="false">IF(OR($C68=0,$L68=""),"-",CONCATENATE(E68&amp;".",IF(AND($A$5&gt;=2,$C68&gt;=2),F68&amp;".",""),IF(AND($A$5&gt;=3,$C68&gt;=3),G68&amp;".",""),IF(AND($A$5&gt;=4,$C68&gt;=4),H68&amp;".",""),IF($C68="S",I68&amp;".","")))</f>
        <v>1.15.</v>
      </c>
      <c r="P68" s="203" t="s">
        <v>780</v>
      </c>
      <c r="Q68" s="204" t="n">
        <v>87257</v>
      </c>
      <c r="R68" s="205" t="str">
        <f aca="false">[4]PO!$B$65</f>
        <v>COBERTURA E PROTEÇÕES</v>
      </c>
      <c r="S68" s="206" t="s">
        <v>650</v>
      </c>
      <c r="T68" s="207" t="n">
        <f aca="true">OFFSET(CÁLCULO!H$15,ROW($T68)-ROW(T$15),0)</f>
        <v>0</v>
      </c>
      <c r="U68" s="208" t="n">
        <v>57.84</v>
      </c>
      <c r="V68" s="209" t="s">
        <v>690</v>
      </c>
      <c r="W68" s="207" t="n">
        <f aca="false">IF($C68="S",ROUND(IF(TIPOORCAMENTO="Proposto",ORÇAMENTO.CustoUnitario*(1+$AH68),ORÇAMENTO.PrecoUnitarioLicitado),15-13*$AF$10),0)</f>
        <v>0</v>
      </c>
      <c r="X68" s="210" t="n">
        <f aca="true" t="array" ref="X68:X68">IF($C68="S",IF(OR(Import.TipoArredondamento&lt;&gt;"TransfereGOV",ACOMPANHAMENTO="BM"),VTOTAL1,SUM(OFFSET(CÁLCULO!$AQ$15,ROW($X68)-ROW($X$15),1):OFFSET(CÁLCULO!$BR$15,ROW($X68)-ROW($X$15),-1))),IF($C68=0,0,ROUND(SomaAgrup,15-13*$AF$11)))</f>
        <v>327746.5</v>
      </c>
      <c r="Y68" s="211" t="s">
        <v>781</v>
      </c>
      <c r="Z68" s="1" t="str">
        <f aca="false">IF(AND($C68="S",$X68&gt;0),IF(ISBLANK($Y68),"RA",LEFT($Y68,2)),"")</f>
        <v/>
      </c>
      <c r="AA68" s="212" t="n">
        <f aca="true">IF($C68="S",IF($Z68="CP",$X68,IF($Z68="RA",(($X68)*QCI!$AA$3),0)),SomaAgrup)</f>
        <v>36373.8068955725</v>
      </c>
      <c r="AB68" s="213" t="n">
        <f aca="true">IF($C68="S",IF($Z68="OU",ROUND($X68,2),0),SomaAgrup)</f>
        <v>0</v>
      </c>
      <c r="AC68" s="214" t="e">
        <f aca="false" t="array" ref="AC68:AC68">IF($N68=""," ",
IF(AND($C68&lt;&gt;"S",OR($R68="",$R68="(digite a descrição aqui)")),"DESCRIÇÃO",
IF(AND($C68="S",OR($Q68&lt;&gt;"",$T68&gt;0,$U68&gt;0),$P68=""),"FONTE",
IF(AND($C68="S",$P68&lt;&gt;"",OR($T68&gt;0,$U68&gt;0),$Q68=""),"CÓDIGO",
IF(AND($C68="S",$P68&lt;&gt;"",$Q68&lt;&gt;"",$R68="(Código não identificado nas referências)"),"CÓDIGO N/ID",
IF(AND($C68="S",OR($R68="",$R68="(digite a descrição aqui)"),OR($Q68&lt;&gt;"",$T68&gt;0,$U68&gt;0)),"DESCRIÇÃO",
IF(AND($C68="S",$P68&lt;&gt;"",$Q68&lt;&gt;"",$S68=""),"UNIDADE",
IF(AND($C68="S",$P68&lt;&gt;"",$Q68&lt;&gt;"",$U68=0),"SEM CUSTO",
IF(AND(_xlfn.single(TIPOORCAMENTO)="Licitado",$AL68=0,$AN68&gt;0),"SEM PREÇO",
IF(AND($C68="S",$P68&lt;&gt;"",$Q68&lt;&gt;"",$U68&gt;0,$V68=0),"BDI",
IF(OR(AND(TIPOORCAMENTO="Proposto",LEFT($O$8,5)&lt;&gt;"(N/D:",$AG68&lt;&gt;"",ORÇAMENTO.CustoUnitario&gt;$AG68),AND(TIPOORCAMENTO="LICITADO",ORÇAMENTO.PrecoUnitarioLicitado&gt;$AN68)),"ACIMA REF.",
IF(AND($C68="S",$P68&lt;&gt;"",$Q68&lt;&gt;"",$T68=0,$U68&gt;0),"QUANT.",
IF(AND(Import.TipoArredondamento="TransfereGOV",$L68="F",$C68="S",LEN($Q68)&gt;13),"Código &gt;13",
IF(AND(Import.TipoArredondamento="TransfereGOV",$L68="F",$C68&lt;&gt;"S",LEN($R68)&gt;100),"Descrição &gt;100",
IF(AND(Import.TipoArredondamento="TransfereGOV",$L68="F",$C68="S",LEN($R68)&gt;500),"Descrição &gt;500",
IF(AND(Import.TipoArredondamento="TransfereGOV",$L68="F",$C68="S",LEFT(TRIM(UPPER($P68)),6)&lt;&gt;"SINAPI",ISNA(VLOOKUP(TRIM(UPPER($S68)),ListaTgov.Unidades,1,FALSE()))),"Unid. Não Disp",
" "))))))))))))))))</f>
        <v>#NAME?</v>
      </c>
      <c r="AD68" s="38" t="n">
        <f aca="true">IF(C68&lt;=CRONO.NivelExibicao,MAX($AD$15:OFFSET(AD68,-1,0))+IF($C68&lt;&gt;1,1,MAX(1,COUNTIF(QCI!$A$13:$A$15,OFFSET($E68,-1,0)))),"")</f>
        <v>16</v>
      </c>
      <c r="AE68" s="50" t="b">
        <f aca="false">IF(AND($C68="S",ORÇAMENTO.CodBarra&lt;&gt;""),IF(ORÇAMENTO.Fonte="",ORÇAMENTO.CodBarra,CONCATENATE(ORÇAMENTO.Fonte," ",ORÇAMENTO.CodBarra)))</f>
        <v>0</v>
      </c>
      <c r="AF68" s="65" t="str">
        <f aca="true">IF(ISERROR(INDIRECT(ORÇAMENTO.BancoRef)),"(abra o arquivo 'Referência "&amp;Excel_BuiltIn_Database&amp;".xlsm)",IF(OR($C68&lt;&gt;"S",ORÇAMENTO.CodBarra=""),"(Sem Código)",IF(ISERROR(MATCH($AE68,INDIRECT(ORÇAMENTO.BancoRef),0)),"(Código não identificado nas referências)",MATCH($AE68,INDIRECT(ORÇAMENTO.BancoRef),0))))</f>
        <v>(abra o arquivo 'Referência 07-2025.xlsm)</v>
      </c>
      <c r="AG68" s="215" t="n">
        <f aca="true">ROUND(IF(DESONERACAO="sim",REFERENCIA.Desonerado,REFERENCIA.NaoDesonerado),2)</f>
        <v>0</v>
      </c>
      <c r="AH68" s="216" t="n">
        <f aca="false">ROUND(IF(ISNUMBER(ORÇAMENTO.OpcaoBDI),ORÇAMENTO.OpcaoBDI,IF(LEFT(ORÇAMENTO.OpcaoBDI,3)="BDI",HLOOKUP(ORÇAMENTO.OpcaoBDI,$F$4:$H$5,2,FALSE()),0)),15-11*$AF$9)</f>
        <v>0.2904</v>
      </c>
      <c r="AJ68" s="217"/>
      <c r="AL68" s="218"/>
      <c r="AM68" s="219" t="n">
        <f aca="false">$X68</f>
        <v>327746.5</v>
      </c>
      <c r="AN68" s="220" t="n">
        <f aca="false">ROUND(ORÇAMENTO.CustoUnitario*(1+$AH68),2)</f>
        <v>74.64</v>
      </c>
    </row>
    <row r="69" customFormat="false" ht="35.05" hidden="false" customHeight="false" outlineLevel="0" collapsed="false">
      <c r="A69" s="1" t="str">
        <f aca="false">CHOOSE(1+LOG(1+2*(ORÇAMENTO.Nivel="Meta")+4*(ORÇAMENTO.Nivel="Nível 2")+8*(ORÇAMENTO.Nivel="Nível 3")+16*(ORÇAMENTO.Nivel="Nível 4")+32*(ORÇAMENTO.Nivel="Serviço"),2),0,1,2,3,4,"S")</f>
        <v>S</v>
      </c>
      <c r="B69" s="1" t="n">
        <f aca="true">IF(OR(C69="s",C69=0),OFFSET(B69,-1,0),C69)</f>
        <v>2</v>
      </c>
      <c r="C69" s="1" t="str">
        <f aca="true">IF(OFFSET(C69,-1,0)="L",1,IF(OFFSET(C69,-1,0)=1,2,IF(OR(A69="s",A69=0),"S",IF(AND(OFFSET(C69,-1,0)=2,A69=4),3,IF(AND(OR(OFFSET(C69,-1,0)="s",OFFSET(C69,-1,0)=0),A69&lt;&gt;"s",A69&gt;OFFSET(B69,-1,0)),OFFSET(B69,-1,0),A69)))))</f>
        <v>S</v>
      </c>
      <c r="D69" s="1" t="n">
        <f aca="false">IF(OR(C69="S",C69=0),0,IF(ISERROR(K69),J69,SMALL(J69:K69,1)))</f>
        <v>0</v>
      </c>
      <c r="E69" s="1" t="n">
        <f aca="true">IF($C69=1,OFFSET(E69,-1,0)+MAX(1,COUNTIF(QCI!$A$13:$A$15,OFFSET(ORÇAMENTO!E69,-1,0))),OFFSET(E69,-1,0))</f>
        <v>1</v>
      </c>
      <c r="F69" s="1" t="n">
        <f aca="true">IF($C69=1,0,IF($C69=2,OFFSET(F69,-1,0)+1,OFFSET(F69,-1,0)))</f>
        <v>15</v>
      </c>
      <c r="G69" s="1" t="n">
        <f aca="true">IF(AND($C69&lt;=2,$C69&lt;&gt;0),0,IF($C69=3,OFFSET(G69,-1,0)+1,OFFSET(G69,-1,0)))</f>
        <v>0</v>
      </c>
      <c r="H69" s="1" t="n">
        <f aca="true">IF(AND($C69&lt;=3,$C69&lt;&gt;0),0,IF($C69=4,OFFSET(H69,-1,0)+1,OFFSET(H69,-1,0)))</f>
        <v>0</v>
      </c>
      <c r="I69" s="1" t="n">
        <f aca="true">IF(AND($C69&lt;=4,$C69&lt;&gt;0),0,IF(AND($C69="S",$X69&gt;0),OFFSET(I69,-1,0)+1,OFFSET(I69,-1,0)))</f>
        <v>1</v>
      </c>
      <c r="J69" s="1" t="n">
        <f aca="true">IF(OR($C69="S",$C69=0),0,MATCH(0,OFFSET($D69,1,$C69,ROW($C$205)-ROW($C69)),0))</f>
        <v>0</v>
      </c>
      <c r="K69" s="1" t="n">
        <f aca="true">IF(OR($C69="S",$C69=0),0,MATCH(OFFSET($D69,0,$C69)+IF($C69&lt;&gt;1,1,COUNTIF(QCI!$A$13:$A$15,ORÇAMENTO!E69)),OFFSET($D69,1,$C69,ROW($C$205)-ROW($C69)),0))</f>
        <v>0</v>
      </c>
      <c r="L69" s="199" t="str">
        <f aca="false">IF(OR($X69&gt;0,$C69=1,$C69=2,$C69=3,$C69=4),"F","")</f>
        <v>F</v>
      </c>
      <c r="M69" s="200" t="s">
        <v>735</v>
      </c>
      <c r="N69" s="201" t="str">
        <f aca="false">CHOOSE(1+LOG(1+2*(C69=1)+4*(C69=2)+8*(C69=3)+16*(C69=4)+32*(C69="S"),2),"","Meta","Nível 2","Nível 3","Nível 4","Serviço")</f>
        <v>Serviço</v>
      </c>
      <c r="O69" s="202" t="str">
        <f aca="false">IF(OR($C69=0,$L69=""),"-",CONCATENATE(E69&amp;".",IF(AND($A$5&gt;=2,$C69&gt;=2),F69&amp;".",""),IF(AND($A$5&gt;=3,$C69&gt;=3),G69&amp;".",""),IF(AND($A$5&gt;=4,$C69&gt;=4),H69&amp;".",""),IF($C69="S",I69&amp;".","")))</f>
        <v>1.15.1.</v>
      </c>
      <c r="P69" s="203" t="s">
        <v>780</v>
      </c>
      <c r="Q69" s="204" t="n">
        <v>92543</v>
      </c>
      <c r="R69" s="205" t="s">
        <v>832</v>
      </c>
      <c r="S69" s="206" t="s">
        <v>650</v>
      </c>
      <c r="T69" s="207" t="n">
        <f aca="true">OFFSET(CÁLCULO!H$15,ROW($T69)-ROW(T$15),0)</f>
        <v>1481.25</v>
      </c>
      <c r="U69" s="208" t="n">
        <v>29.74</v>
      </c>
      <c r="V69" s="209" t="s">
        <v>690</v>
      </c>
      <c r="W69" s="207" t="n">
        <f aca="false">IF($C69="S",ROUND(IF(TIPOORCAMENTO="Proposto",ORÇAMENTO.CustoUnitario*(1+$AH69),ORÇAMENTO.PrecoUnitarioLicitado),15-13*$AF$10),0)</f>
        <v>38.38</v>
      </c>
      <c r="X69" s="210" t="n">
        <f aca="true" t="array" ref="X69:X69">IF($C69="S",IF(OR(Import.TipoArredondamento&lt;&gt;"TransfereGOV",ACOMPANHAMENTO="BM"),VTOTAL1,SUM(OFFSET(CÁLCULO!$AQ$15,ROW($X69)-ROW($X$15),1):OFFSET(CÁLCULO!$BR$15,ROW($X69)-ROW($X$15),-1))),IF($C69=0,0,ROUND(SomaAgrup,15-13*$AF$11)))</f>
        <v>56850.5</v>
      </c>
      <c r="Y69" s="211" t="s">
        <v>781</v>
      </c>
      <c r="Z69" s="1" t="str">
        <f aca="false">IF(AND($C69="S",$X69&gt;0),IF(ISBLANK($Y69),"RA",LEFT($Y69,2)),"")</f>
        <v>RA</v>
      </c>
      <c r="AA69" s="212" t="n">
        <f aca="true">IF($C69="S",IF($Z69="CP",$X69,IF($Z69="RA",(($X69)*QCI!$AA$3),0)),SomaAgrup)</f>
        <v>6309.35527585114</v>
      </c>
      <c r="AB69" s="213" t="n">
        <f aca="true">IF($C69="S",IF($Z69="OU",ROUND($X69,2),0),SomaAgrup)</f>
        <v>0</v>
      </c>
      <c r="AC69" s="214" t="e">
        <f aca="false" t="array" ref="AC69:AC69">IF($N69=""," ",
IF(AND($C69&lt;&gt;"S",OR($R69="",$R69="(digite a descrição aqui)")),"DESCRIÇÃO",
IF(AND($C69="S",OR($Q69&lt;&gt;"",$T69&gt;0,$U69&gt;0),$P69=""),"FONTE",
IF(AND($C69="S",$P69&lt;&gt;"",OR($T69&gt;0,$U69&gt;0),$Q69=""),"CÓDIGO",
IF(AND($C69="S",$P69&lt;&gt;"",$Q69&lt;&gt;"",$R69="(Código não identificado nas referências)"),"CÓDIGO N/ID",
IF(AND($C69="S",OR($R69="",$R69="(digite a descrição aqui)"),OR($Q69&lt;&gt;"",$T69&gt;0,$U69&gt;0)),"DESCRIÇÃO",
IF(AND($C69="S",$P69&lt;&gt;"",$Q69&lt;&gt;"",$S69=""),"UNIDADE",
IF(AND($C69="S",$P69&lt;&gt;"",$Q69&lt;&gt;"",$U69=0),"SEM CUSTO",
IF(AND(_xlfn.single(TIPOORCAMENTO)="Licitado",$AL69=0,$AN69&gt;0),"SEM PREÇO",
IF(AND($C69="S",$P69&lt;&gt;"",$Q69&lt;&gt;"",$U69&gt;0,$V69=0),"BDI",
IF(OR(AND(TIPOORCAMENTO="Proposto",LEFT($O$8,5)&lt;&gt;"(N/D:",$AG69&lt;&gt;"",ORÇAMENTO.CustoUnitario&gt;$AG69),AND(TIPOORCAMENTO="LICITADO",ORÇAMENTO.PrecoUnitarioLicitado&gt;$AN69)),"ACIMA REF.",
IF(AND($C69="S",$P69&lt;&gt;"",$Q69&lt;&gt;"",$T69=0,$U69&gt;0),"QUANT.",
IF(AND(Import.TipoArredondamento="TransfereGOV",$L69="F",$C69="S",LEN($Q69)&gt;13),"Código &gt;13",
IF(AND(Import.TipoArredondamento="TransfereGOV",$L69="F",$C69&lt;&gt;"S",LEN($R69)&gt;100),"Descrição &gt;100",
IF(AND(Import.TipoArredondamento="TransfereGOV",$L69="F",$C69="S",LEN($R69)&gt;500),"Descrição &gt;500",
IF(AND(Import.TipoArredondamento="TransfereGOV",$L69="F",$C69="S",LEFT(TRIM(UPPER($P69)),6)&lt;&gt;"SINAPI",ISNA(VLOOKUP(TRIM(UPPER($S69)),ListaTgov.Unidades,1,FALSE()))),"Unid. Não Disp",
" "))))))))))))))))</f>
        <v>#NAME?</v>
      </c>
      <c r="AD69" s="1" t="str">
        <f aca="true">IF(C69&lt;=CRONO.NivelExibicao,MAX($AD$15:OFFSET(AD69,-1,0))+IF($C69&lt;&gt;1,1,MAX(1,COUNTIF(QCI!$A$13:$A$15,OFFSET($E69,-1,0)))),"")</f>
        <v/>
      </c>
      <c r="AE69" s="50" t="str">
        <f aca="false">IF(AND($C69="S",ORÇAMENTO.CodBarra&lt;&gt;""),IF(ORÇAMENTO.Fonte="",ORÇAMENTO.CodBarra,CONCATENATE(ORÇAMENTO.Fonte," ",ORÇAMENTO.CodBarra)))</f>
        <v>SINAPI 92543</v>
      </c>
      <c r="AF69" s="65" t="str">
        <f aca="true">IF(ISERROR(INDIRECT(ORÇAMENTO.BancoRef)),"(abra o arquivo 'Referência "&amp;Excel_BuiltIn_Database&amp;".xlsm)",IF(OR($C69&lt;&gt;"S",ORÇAMENTO.CodBarra=""),"(Sem Código)",IF(ISERROR(MATCH($AE69,INDIRECT(ORÇAMENTO.BancoRef),0)),"(Código não identificado nas referências)",MATCH($AE69,INDIRECT(ORÇAMENTO.BancoRef),0))))</f>
        <v>(abra o arquivo 'Referência 07-2025.xlsm)</v>
      </c>
      <c r="AG69" s="215" t="n">
        <f aca="true">ROUND(IF(DESONERACAO="sim",REFERENCIA.Desonerado,REFERENCIA.NaoDesonerado),2)</f>
        <v>0</v>
      </c>
      <c r="AH69" s="216" t="n">
        <f aca="false">ROUND(IF(ISNUMBER(ORÇAMENTO.OpcaoBDI),ORÇAMENTO.OpcaoBDI,IF(LEFT(ORÇAMENTO.OpcaoBDI,3)="BDI",HLOOKUP(ORÇAMENTO.OpcaoBDI,$F$4:$H$5,2,FALSE()),0)),15-11*$AF$9)</f>
        <v>0.2904</v>
      </c>
      <c r="AJ69" s="217"/>
      <c r="AL69" s="218"/>
      <c r="AM69" s="219" t="n">
        <f aca="false">$X69</f>
        <v>56850.5</v>
      </c>
      <c r="AN69" s="220" t="n">
        <f aca="false">ROUND(ORÇAMENTO.CustoUnitario*(1+$AH69),2)</f>
        <v>38.38</v>
      </c>
    </row>
    <row r="70" customFormat="false" ht="23.85" hidden="false" customHeight="false" outlineLevel="0" collapsed="false">
      <c r="A70" s="1" t="str">
        <f aca="false">CHOOSE(1+LOG(1+2*(ORÇAMENTO.Nivel="Meta")+4*(ORÇAMENTO.Nivel="Nível 2")+8*(ORÇAMENTO.Nivel="Nível 3")+16*(ORÇAMENTO.Nivel="Nível 4")+32*(ORÇAMENTO.Nivel="Serviço"),2),0,1,2,3,4,"S")</f>
        <v>S</v>
      </c>
      <c r="B70" s="1" t="n">
        <f aca="true">IF(OR(C70="s",C70=0),OFFSET(B70,-1,0),C70)</f>
        <v>2</v>
      </c>
      <c r="C70" s="1" t="str">
        <f aca="true">IF(OFFSET(C70,-1,0)="L",1,IF(OFFSET(C70,-1,0)=1,2,IF(OR(A70="s",A70=0),"S",IF(AND(OFFSET(C70,-1,0)=2,A70=4),3,IF(AND(OR(OFFSET(C70,-1,0)="s",OFFSET(C70,-1,0)=0),A70&lt;&gt;"s",A70&gt;OFFSET(B70,-1,0)),OFFSET(B70,-1,0),A70)))))</f>
        <v>S</v>
      </c>
      <c r="D70" s="1" t="n">
        <f aca="false">IF(OR(C70="S",C70=0),0,IF(ISERROR(K70),J70,SMALL(J70:K70,1)))</f>
        <v>0</v>
      </c>
      <c r="E70" s="1" t="n">
        <f aca="true">IF($C70=1,OFFSET(E70,-1,0)+MAX(1,COUNTIF(QCI!$A$13:$A$15,OFFSET(ORÇAMENTO!E70,-1,0))),OFFSET(E70,-1,0))</f>
        <v>1</v>
      </c>
      <c r="F70" s="1" t="n">
        <f aca="true">IF($C70=1,0,IF($C70=2,OFFSET(F70,-1,0)+1,OFFSET(F70,-1,0)))</f>
        <v>15</v>
      </c>
      <c r="G70" s="1" t="n">
        <f aca="true">IF(AND($C70&lt;=2,$C70&lt;&gt;0),0,IF($C70=3,OFFSET(G70,-1,0)+1,OFFSET(G70,-1,0)))</f>
        <v>0</v>
      </c>
      <c r="H70" s="1" t="n">
        <f aca="true">IF(AND($C70&lt;=3,$C70&lt;&gt;0),0,IF($C70=4,OFFSET(H70,-1,0)+1,OFFSET(H70,-1,0)))</f>
        <v>0</v>
      </c>
      <c r="I70" s="1" t="n">
        <f aca="true">IF(AND($C70&lt;=4,$C70&lt;&gt;0),0,IF(AND($C70="S",$X70&gt;0),OFFSET(I70,-1,0)+1,OFFSET(I70,-1,0)))</f>
        <v>2</v>
      </c>
      <c r="J70" s="1" t="n">
        <f aca="true">IF(OR($C70="S",$C70=0),0,MATCH(0,OFFSET($D70,1,$C70,ROW($C$205)-ROW($C70)),0))</f>
        <v>0</v>
      </c>
      <c r="K70" s="1" t="n">
        <f aca="true">IF(OR($C70="S",$C70=0),0,MATCH(OFFSET($D70,0,$C70)+IF($C70&lt;&gt;1,1,COUNTIF(QCI!$A$13:$A$15,ORÇAMENTO!E70)),OFFSET($D70,1,$C70,ROW($C$205)-ROW($C70)),0))</f>
        <v>0</v>
      </c>
      <c r="L70" s="199" t="str">
        <f aca="false">IF(OR($X70&gt;0,$C70=1,$C70=2,$C70=3,$C70=4),"F","")</f>
        <v>F</v>
      </c>
      <c r="M70" s="200" t="s">
        <v>735</v>
      </c>
      <c r="N70" s="201" t="str">
        <f aca="false">CHOOSE(1+LOG(1+2*(C70=1)+4*(C70=2)+8*(C70=3)+16*(C70=4)+32*(C70="S"),2),"","Meta","Nível 2","Nível 3","Nível 4","Serviço")</f>
        <v>Serviço</v>
      </c>
      <c r="O70" s="202" t="str">
        <f aca="false">IF(OR($C70=0,$L70=""),"-",CONCATENATE(E70&amp;".",IF(AND($A$5&gt;=2,$C70&gt;=2),F70&amp;".",""),IF(AND($A$5&gt;=3,$C70&gt;=3),G70&amp;".",""),IF(AND($A$5&gt;=4,$C70&gt;=4),H70&amp;".",""),IF($C70="S",I70&amp;".","")))</f>
        <v>1.15.2.</v>
      </c>
      <c r="P70" s="203" t="s">
        <v>780</v>
      </c>
      <c r="Q70" s="204" t="n">
        <v>94213</v>
      </c>
      <c r="R70" s="205" t="s">
        <v>833</v>
      </c>
      <c r="S70" s="206" t="s">
        <v>650</v>
      </c>
      <c r="T70" s="207" t="n">
        <f aca="true">OFFSET(CÁLCULO!H$15,ROW($T70)-ROW(T$15),0)</f>
        <v>1481.25</v>
      </c>
      <c r="U70" s="208" t="n">
        <v>62.33</v>
      </c>
      <c r="V70" s="209" t="s">
        <v>690</v>
      </c>
      <c r="W70" s="207" t="n">
        <f aca="false">IF($C70="S",ROUND(IF(TIPOORCAMENTO="Proposto",ORÇAMENTO.CustoUnitario*(1+$AH70),ORÇAMENTO.PrecoUnitarioLicitado),15-13*$AF$10),0)</f>
        <v>80.43</v>
      </c>
      <c r="X70" s="210" t="n">
        <f aca="true" t="array" ref="X70:X70">IF($C70="S",IF(OR(Import.TipoArredondamento&lt;&gt;"TransfereGOV",ACOMPANHAMENTO="BM"),VTOTAL1,SUM(OFFSET(CÁLCULO!$AQ$15,ROW($X70)-ROW($X$15),1):OFFSET(CÁLCULO!$BR$15,ROW($X70)-ROW($X$15),-1))),IF($C70=0,0,ROUND(SomaAgrup,15-13*$AF$11)))</f>
        <v>119137</v>
      </c>
      <c r="Y70" s="211" t="s">
        <v>781</v>
      </c>
      <c r="Z70" s="1" t="str">
        <f aca="false">IF(AND($C70="S",$X70&gt;0),IF(ISBLANK($Y70),"RA",LEFT($Y70,2)),"")</f>
        <v>RA</v>
      </c>
      <c r="AA70" s="212" t="n">
        <f aca="true">IF($C70="S",IF($Z70="CP",$X70,IF($Z70="RA",(($X70)*QCI!$AA$3),0)),SomaAgrup)</f>
        <v>13222.006130097</v>
      </c>
      <c r="AB70" s="213" t="n">
        <f aca="true">IF($C70="S",IF($Z70="OU",ROUND($X70,2),0),SomaAgrup)</f>
        <v>0</v>
      </c>
      <c r="AC70" s="214" t="e">
        <f aca="false" t="array" ref="AC70:AC70">IF($N70=""," ",
IF(AND($C70&lt;&gt;"S",OR($R70="",$R70="(digite a descrição aqui)")),"DESCRIÇÃO",
IF(AND($C70="S",OR($Q70&lt;&gt;"",$T70&gt;0,$U70&gt;0),$P70=""),"FONTE",
IF(AND($C70="S",$P70&lt;&gt;"",OR($T70&gt;0,$U70&gt;0),$Q70=""),"CÓDIGO",
IF(AND($C70="S",$P70&lt;&gt;"",$Q70&lt;&gt;"",$R70="(Código não identificado nas referências)"),"CÓDIGO N/ID",
IF(AND($C70="S",OR($R70="",$R70="(digite a descrição aqui)"),OR($Q70&lt;&gt;"",$T70&gt;0,$U70&gt;0)),"DESCRIÇÃO",
IF(AND($C70="S",$P70&lt;&gt;"",$Q70&lt;&gt;"",$S70=""),"UNIDADE",
IF(AND($C70="S",$P70&lt;&gt;"",$Q70&lt;&gt;"",$U70=0),"SEM CUSTO",
IF(AND(_xlfn.single(TIPOORCAMENTO)="Licitado",$AL70=0,$AN70&gt;0),"SEM PREÇO",
IF(AND($C70="S",$P70&lt;&gt;"",$Q70&lt;&gt;"",$U70&gt;0,$V70=0),"BDI",
IF(OR(AND(TIPOORCAMENTO="Proposto",LEFT($O$8,5)&lt;&gt;"(N/D:",$AG70&lt;&gt;"",ORÇAMENTO.CustoUnitario&gt;$AG70),AND(TIPOORCAMENTO="LICITADO",ORÇAMENTO.PrecoUnitarioLicitado&gt;$AN70)),"ACIMA REF.",
IF(AND($C70="S",$P70&lt;&gt;"",$Q70&lt;&gt;"",$T70=0,$U70&gt;0),"QUANT.",
IF(AND(Import.TipoArredondamento="TransfereGOV",$L70="F",$C70="S",LEN($Q70)&gt;13),"Código &gt;13",
IF(AND(Import.TipoArredondamento="TransfereGOV",$L70="F",$C70&lt;&gt;"S",LEN($R70)&gt;100),"Descrição &gt;100",
IF(AND(Import.TipoArredondamento="TransfereGOV",$L70="F",$C70="S",LEN($R70)&gt;500),"Descrição &gt;500",
IF(AND(Import.TipoArredondamento="TransfereGOV",$L70="F",$C70="S",LEFT(TRIM(UPPER($P70)),6)&lt;&gt;"SINAPI",ISNA(VLOOKUP(TRIM(UPPER($S70)),ListaTgov.Unidades,1,FALSE()))),"Unid. Não Disp",
" "))))))))))))))))</f>
        <v>#NAME?</v>
      </c>
      <c r="AD70" s="1" t="str">
        <f aca="true">IF(C70&lt;=CRONO.NivelExibicao,MAX($AD$15:OFFSET(AD70,-1,0))+IF($C70&lt;&gt;1,1,MAX(1,COUNTIF(QCI!$A$13:$A$15,OFFSET($E70,-1,0)))),"")</f>
        <v/>
      </c>
      <c r="AE70" s="50" t="str">
        <f aca="false">IF(AND($C70="S",ORÇAMENTO.CodBarra&lt;&gt;""),IF(ORÇAMENTO.Fonte="",ORÇAMENTO.CodBarra,CONCATENATE(ORÇAMENTO.Fonte," ",ORÇAMENTO.CodBarra)))</f>
        <v>SINAPI 94213</v>
      </c>
      <c r="AF70" s="65" t="str">
        <f aca="true">IF(ISERROR(INDIRECT(ORÇAMENTO.BancoRef)),"(abra o arquivo 'Referência "&amp;Excel_BuiltIn_Database&amp;".xlsm)",IF(OR($C70&lt;&gt;"S",ORÇAMENTO.CodBarra=""),"(Sem Código)",IF(ISERROR(MATCH($AE70,INDIRECT(ORÇAMENTO.BancoRef),0)),"(Código não identificado nas referências)",MATCH($AE70,INDIRECT(ORÇAMENTO.BancoRef),0))))</f>
        <v>(abra o arquivo 'Referência 07-2025.xlsm)</v>
      </c>
      <c r="AG70" s="215" t="n">
        <f aca="true">ROUND(IF(DESONERACAO="sim",REFERENCIA.Desonerado,REFERENCIA.NaoDesonerado),2)</f>
        <v>0</v>
      </c>
      <c r="AH70" s="216" t="n">
        <f aca="false">ROUND(IF(ISNUMBER(ORÇAMENTO.OpcaoBDI),ORÇAMENTO.OpcaoBDI,IF(LEFT(ORÇAMENTO.OpcaoBDI,3)="BDI",HLOOKUP(ORÇAMENTO.OpcaoBDI,$F$4:$H$5,2,FALSE()),0)),15-11*$AF$9)</f>
        <v>0.2904</v>
      </c>
      <c r="AJ70" s="217"/>
      <c r="AL70" s="218"/>
      <c r="AM70" s="219" t="n">
        <f aca="false">$X70</f>
        <v>119137</v>
      </c>
      <c r="AN70" s="220" t="n">
        <f aca="false">ROUND(ORÇAMENTO.CustoUnitario*(1+$AH70),2)</f>
        <v>80.43</v>
      </c>
    </row>
    <row r="71" customFormat="false" ht="23.85" hidden="false" customHeight="false" outlineLevel="0" collapsed="false">
      <c r="A71" s="1" t="str">
        <f aca="false">CHOOSE(1+LOG(1+2*(ORÇAMENTO.Nivel="Meta")+4*(ORÇAMENTO.Nivel="Nível 2")+8*(ORÇAMENTO.Nivel="Nível 3")+16*(ORÇAMENTO.Nivel="Nível 4")+32*(ORÇAMENTO.Nivel="Serviço"),2),0,1,2,3,4,"S")</f>
        <v>S</v>
      </c>
      <c r="B71" s="1" t="n">
        <f aca="true">IF(OR(C71="s",C71=0),OFFSET(B71,-1,0),C71)</f>
        <v>2</v>
      </c>
      <c r="C71" s="1" t="str">
        <f aca="true">IF(OFFSET(C71,-1,0)="L",1,IF(OFFSET(C71,-1,0)=1,2,IF(OR(A71="s",A71=0),"S",IF(AND(OFFSET(C71,-1,0)=2,A71=4),3,IF(AND(OR(OFFSET(C71,-1,0)="s",OFFSET(C71,-1,0)=0),A71&lt;&gt;"s",A71&gt;OFFSET(B71,-1,0)),OFFSET(B71,-1,0),A71)))))</f>
        <v>S</v>
      </c>
      <c r="D71" s="1" t="n">
        <f aca="false">IF(OR(C71="S",C71=0),0,IF(ISERROR(K71),J71,SMALL(J71:K71,1)))</f>
        <v>0</v>
      </c>
      <c r="E71" s="1" t="n">
        <f aca="true">IF($C71=1,OFFSET(E71,-1,0)+MAX(1,COUNTIF(QCI!$A$13:$A$15,OFFSET(ORÇAMENTO!E71,-1,0))),OFFSET(E71,-1,0))</f>
        <v>1</v>
      </c>
      <c r="F71" s="1" t="n">
        <f aca="true">IF($C71=1,0,IF($C71=2,OFFSET(F71,-1,0)+1,OFFSET(F71,-1,0)))</f>
        <v>15</v>
      </c>
      <c r="G71" s="1" t="n">
        <f aca="true">IF(AND($C71&lt;=2,$C71&lt;&gt;0),0,IF($C71=3,OFFSET(G71,-1,0)+1,OFFSET(G71,-1,0)))</f>
        <v>0</v>
      </c>
      <c r="H71" s="1" t="n">
        <f aca="true">IF(AND($C71&lt;=3,$C71&lt;&gt;0),0,IF($C71=4,OFFSET(H71,-1,0)+1,OFFSET(H71,-1,0)))</f>
        <v>0</v>
      </c>
      <c r="I71" s="1" t="n">
        <f aca="true">IF(AND($C71&lt;=4,$C71&lt;&gt;0),0,IF(AND($C71="S",$X71&gt;0),OFFSET(I71,-1,0)+1,OFFSET(I71,-1,0)))</f>
        <v>3</v>
      </c>
      <c r="J71" s="1" t="n">
        <f aca="true">IF(OR($C71="S",$C71=0),0,MATCH(0,OFFSET($D71,1,$C71,ROW($C$205)-ROW($C71)),0))</f>
        <v>0</v>
      </c>
      <c r="K71" s="1" t="n">
        <f aca="true">IF(OR($C71="S",$C71=0),0,MATCH(OFFSET($D71,0,$C71)+IF($C71&lt;&gt;1,1,COUNTIF(QCI!$A$13:$A$15,ORÇAMENTO!E71)),OFFSET($D71,1,$C71,ROW($C$205)-ROW($C71)),0))</f>
        <v>0</v>
      </c>
      <c r="L71" s="199" t="str">
        <f aca="false">IF(OR($X71&gt;0,$C71=1,$C71=2,$C71=3,$C71=4),"F","")</f>
        <v>F</v>
      </c>
      <c r="M71" s="200" t="s">
        <v>735</v>
      </c>
      <c r="N71" s="201" t="str">
        <f aca="false">CHOOSE(1+LOG(1+2*(C71=1)+4*(C71=2)+8*(C71=3)+16*(C71=4)+32*(C71="S"),2),"","Meta","Nível 2","Nível 3","Nível 4","Serviço")</f>
        <v>Serviço</v>
      </c>
      <c r="O71" s="202" t="str">
        <f aca="false">IF(OR($C71=0,$L71=""),"-",CONCATENATE(E71&amp;".",IF(AND($A$5&gt;=2,$C71&gt;=2),F71&amp;".",""),IF(AND($A$5&gt;=3,$C71&gt;=3),G71&amp;".",""),IF(AND($A$5&gt;=4,$C71&gt;=4),H71&amp;".",""),IF($C71="S",I71&amp;".","")))</f>
        <v>1.15.3.</v>
      </c>
      <c r="P71" s="203" t="s">
        <v>780</v>
      </c>
      <c r="Q71" s="204" t="n">
        <v>94227</v>
      </c>
      <c r="R71" s="205" t="s">
        <v>834</v>
      </c>
      <c r="S71" s="206" t="s">
        <v>648</v>
      </c>
      <c r="T71" s="207" t="n">
        <f aca="true">OFFSET(CÁLCULO!H$15,ROW($T71)-ROW(T$15),0)</f>
        <v>227.5</v>
      </c>
      <c r="U71" s="208" t="n">
        <v>72.4</v>
      </c>
      <c r="V71" s="209" t="s">
        <v>690</v>
      </c>
      <c r="W71" s="207" t="n">
        <f aca="false">IF($C71="S",ROUND(IF(TIPOORCAMENTO="Proposto",ORÇAMENTO.CustoUnitario*(1+$AH71),ORÇAMENTO.PrecoUnitarioLicitado),15-13*$AF$10),0)</f>
        <v>93.42</v>
      </c>
      <c r="X71" s="210" t="n">
        <f aca="true" t="array" ref="X71:X71">IF($C71="S",IF(OR(Import.TipoArredondamento&lt;&gt;"TransfereGOV",ACOMPANHAMENTO="BM"),VTOTAL1,SUM(OFFSET(CÁLCULO!$AQ$15,ROW($X71)-ROW($X$15),1):OFFSET(CÁLCULO!$BR$15,ROW($X71)-ROW($X$15),-1))),IF($C71=0,0,ROUND(SomaAgrup,15-13*$AF$11)))</f>
        <v>21253</v>
      </c>
      <c r="Y71" s="211" t="s">
        <v>781</v>
      </c>
      <c r="Z71" s="1" t="str">
        <f aca="false">IF(AND($C71="S",$X71&gt;0),IF(ISBLANK($Y71),"RA",LEFT($Y71,2)),"")</f>
        <v>RA</v>
      </c>
      <c r="AA71" s="212" t="n">
        <f aca="true">IF($C71="S",IF($Z71="CP",$X71,IF($Z71="RA",(($X71)*QCI!$AA$3),0)),SomaAgrup)</f>
        <v>2358.69038403645</v>
      </c>
      <c r="AB71" s="213" t="n">
        <f aca="true">IF($C71="S",IF($Z71="OU",ROUND($X71,2),0),SomaAgrup)</f>
        <v>0</v>
      </c>
      <c r="AC71" s="214" t="e">
        <f aca="false" t="array" ref="AC71:AC71">IF($N71=""," ",
IF(AND($C71&lt;&gt;"S",OR($R71="",$R71="(digite a descrição aqui)")),"DESCRIÇÃO",
IF(AND($C71="S",OR($Q71&lt;&gt;"",$T71&gt;0,$U71&gt;0),$P71=""),"FONTE",
IF(AND($C71="S",$P71&lt;&gt;"",OR($T71&gt;0,$U71&gt;0),$Q71=""),"CÓDIGO",
IF(AND($C71="S",$P71&lt;&gt;"",$Q71&lt;&gt;"",$R71="(Código não identificado nas referências)"),"CÓDIGO N/ID",
IF(AND($C71="S",OR($R71="",$R71="(digite a descrição aqui)"),OR($Q71&lt;&gt;"",$T71&gt;0,$U71&gt;0)),"DESCRIÇÃO",
IF(AND($C71="S",$P71&lt;&gt;"",$Q71&lt;&gt;"",$S71=""),"UNIDADE",
IF(AND($C71="S",$P71&lt;&gt;"",$Q71&lt;&gt;"",$U71=0),"SEM CUSTO",
IF(AND(_xlfn.single(TIPOORCAMENTO)="Licitado",$AL71=0,$AN71&gt;0),"SEM PREÇO",
IF(AND($C71="S",$P71&lt;&gt;"",$Q71&lt;&gt;"",$U71&gt;0,$V71=0),"BDI",
IF(OR(AND(TIPOORCAMENTO="Proposto",LEFT($O$8,5)&lt;&gt;"(N/D:",$AG71&lt;&gt;"",ORÇAMENTO.CustoUnitario&gt;$AG71),AND(TIPOORCAMENTO="LICITADO",ORÇAMENTO.PrecoUnitarioLicitado&gt;$AN71)),"ACIMA REF.",
IF(AND($C71="S",$P71&lt;&gt;"",$Q71&lt;&gt;"",$T71=0,$U71&gt;0),"QUANT.",
IF(AND(Import.TipoArredondamento="TransfereGOV",$L71="F",$C71="S",LEN($Q71)&gt;13),"Código &gt;13",
IF(AND(Import.TipoArredondamento="TransfereGOV",$L71="F",$C71&lt;&gt;"S",LEN($R71)&gt;100),"Descrição &gt;100",
IF(AND(Import.TipoArredondamento="TransfereGOV",$L71="F",$C71="S",LEN($R71)&gt;500),"Descrição &gt;500",
IF(AND(Import.TipoArredondamento="TransfereGOV",$L71="F",$C71="S",LEFT(TRIM(UPPER($P71)),6)&lt;&gt;"SINAPI",ISNA(VLOOKUP(TRIM(UPPER($S71)),ListaTgov.Unidades,1,FALSE()))),"Unid. Não Disp",
" "))))))))))))))))</f>
        <v>#NAME?</v>
      </c>
      <c r="AD71" s="1" t="str">
        <f aca="true">IF(C71&lt;=CRONO.NivelExibicao,MAX($AD$15:OFFSET(AD71,-1,0))+IF($C71&lt;&gt;1,1,MAX(1,COUNTIF(QCI!$A$13:$A$15,OFFSET($E71,-1,0)))),"")</f>
        <v/>
      </c>
      <c r="AE71" s="50" t="str">
        <f aca="false">IF(AND($C71="S",ORÇAMENTO.CodBarra&lt;&gt;""),IF(ORÇAMENTO.Fonte="",ORÇAMENTO.CodBarra,CONCATENATE(ORÇAMENTO.Fonte," ",ORÇAMENTO.CodBarra)))</f>
        <v>SINAPI 94227</v>
      </c>
      <c r="AF71" s="65" t="str">
        <f aca="true">IF(ISERROR(INDIRECT(ORÇAMENTO.BancoRef)),"(abra o arquivo 'Referência "&amp;Excel_BuiltIn_Database&amp;".xlsm)",IF(OR($C71&lt;&gt;"S",ORÇAMENTO.CodBarra=""),"(Sem Código)",IF(ISERROR(MATCH($AE71,INDIRECT(ORÇAMENTO.BancoRef),0)),"(Código não identificado nas referências)",MATCH($AE71,INDIRECT(ORÇAMENTO.BancoRef),0))))</f>
        <v>(abra o arquivo 'Referência 07-2025.xlsm)</v>
      </c>
      <c r="AG71" s="215" t="n">
        <f aca="true">ROUND(IF(DESONERACAO="sim",REFERENCIA.Desonerado,REFERENCIA.NaoDesonerado),2)</f>
        <v>0</v>
      </c>
      <c r="AH71" s="216" t="n">
        <f aca="false">ROUND(IF(ISNUMBER(ORÇAMENTO.OpcaoBDI),ORÇAMENTO.OpcaoBDI,IF(LEFT(ORÇAMENTO.OpcaoBDI,3)="BDI",HLOOKUP(ORÇAMENTO.OpcaoBDI,$F$4:$H$5,2,FALSE()),0)),15-11*$AF$9)</f>
        <v>0.2904</v>
      </c>
      <c r="AJ71" s="217"/>
      <c r="AL71" s="218"/>
      <c r="AM71" s="219" t="n">
        <f aca="false">$X71</f>
        <v>21253</v>
      </c>
      <c r="AN71" s="220" t="n">
        <f aca="false">ROUND(ORÇAMENTO.CustoUnitario*(1+$AH71),2)</f>
        <v>93.42</v>
      </c>
    </row>
    <row r="72" customFormat="false" ht="23.85" hidden="false" customHeight="false" outlineLevel="0" collapsed="false">
      <c r="A72" s="1" t="str">
        <f aca="false">CHOOSE(1+LOG(1+2*(ORÇAMENTO.Nivel="Meta")+4*(ORÇAMENTO.Nivel="Nível 2")+8*(ORÇAMENTO.Nivel="Nível 3")+16*(ORÇAMENTO.Nivel="Nível 4")+32*(ORÇAMENTO.Nivel="Serviço"),2),0,1,2,3,4,"S")</f>
        <v>S</v>
      </c>
      <c r="B72" s="1" t="n">
        <f aca="true">IF(OR(C72="s",C72=0),OFFSET(B72,-1,0),C72)</f>
        <v>2</v>
      </c>
      <c r="C72" s="1" t="str">
        <f aca="true">IF(OFFSET(C72,-1,0)="L",1,IF(OFFSET(C72,-1,0)=1,2,IF(OR(A72="s",A72=0),"S",IF(AND(OFFSET(C72,-1,0)=2,A72=4),3,IF(AND(OR(OFFSET(C72,-1,0)="s",OFFSET(C72,-1,0)=0),A72&lt;&gt;"s",A72&gt;OFFSET(B72,-1,0)),OFFSET(B72,-1,0),A72)))))</f>
        <v>S</v>
      </c>
      <c r="D72" s="1" t="n">
        <f aca="false">IF(OR(C72="S",C72=0),0,IF(ISERROR(K72),J72,SMALL(J72:K72,1)))</f>
        <v>0</v>
      </c>
      <c r="E72" s="1" t="n">
        <f aca="true">IF($C72=1,OFFSET(E72,-1,0)+MAX(1,COUNTIF(QCI!$A$13:$A$15,OFFSET(ORÇAMENTO!E72,-1,0))),OFFSET(E72,-1,0))</f>
        <v>1</v>
      </c>
      <c r="F72" s="1" t="n">
        <f aca="true">IF($C72=1,0,IF($C72=2,OFFSET(F72,-1,0)+1,OFFSET(F72,-1,0)))</f>
        <v>15</v>
      </c>
      <c r="G72" s="1" t="n">
        <f aca="true">IF(AND($C72&lt;=2,$C72&lt;&gt;0),0,IF($C72=3,OFFSET(G72,-1,0)+1,OFFSET(G72,-1,0)))</f>
        <v>0</v>
      </c>
      <c r="H72" s="1" t="n">
        <f aca="true">IF(AND($C72&lt;=3,$C72&lt;&gt;0),0,IF($C72=4,OFFSET(H72,-1,0)+1,OFFSET(H72,-1,0)))</f>
        <v>0</v>
      </c>
      <c r="I72" s="1" t="n">
        <f aca="true">IF(AND($C72&lt;=4,$C72&lt;&gt;0),0,IF(AND($C72="S",$X72&gt;0),OFFSET(I72,-1,0)+1,OFFSET(I72,-1,0)))</f>
        <v>4</v>
      </c>
      <c r="J72" s="1" t="n">
        <f aca="true">IF(OR($C72="S",$C72=0),0,MATCH(0,OFFSET($D72,1,$C72,ROW($C$205)-ROW($C72)),0))</f>
        <v>0</v>
      </c>
      <c r="K72" s="1" t="n">
        <f aca="true">IF(OR($C72="S",$C72=0),0,MATCH(OFFSET($D72,0,$C72)+IF($C72&lt;&gt;1,1,COUNTIF(QCI!$A$13:$A$15,ORÇAMENTO!E72)),OFFSET($D72,1,$C72,ROW($C$205)-ROW($C72)),0))</f>
        <v>0</v>
      </c>
      <c r="L72" s="199" t="str">
        <f aca="false">IF(OR($X72&gt;0,$C72=1,$C72=2,$C72=3,$C72=4),"F","")</f>
        <v>F</v>
      </c>
      <c r="M72" s="200" t="s">
        <v>735</v>
      </c>
      <c r="N72" s="201" t="str">
        <f aca="false">CHOOSE(1+LOG(1+2*(C72=1)+4*(C72=2)+8*(C72=3)+16*(C72=4)+32*(C72="S"),2),"","Meta","Nível 2","Nível 3","Nível 4","Serviço")</f>
        <v>Serviço</v>
      </c>
      <c r="O72" s="202" t="str">
        <f aca="false">IF(OR($C72=0,$L72=""),"-",CONCATENATE(E72&amp;".",IF(AND($A$5&gt;=2,$C72&gt;=2),F72&amp;".",""),IF(AND($A$5&gt;=3,$C72&gt;=3),G72&amp;".",""),IF(AND($A$5&gt;=4,$C72&gt;=4),H72&amp;".",""),IF($C72="S",I72&amp;".","")))</f>
        <v>1.15.4.</v>
      </c>
      <c r="P72" s="203" t="s">
        <v>780</v>
      </c>
      <c r="Q72" s="204" t="n">
        <v>100327</v>
      </c>
      <c r="R72" s="205" t="s">
        <v>835</v>
      </c>
      <c r="S72" s="206" t="s">
        <v>648</v>
      </c>
      <c r="T72" s="207" t="n">
        <f aca="true">OFFSET(CÁLCULO!H$15,ROW($T72)-ROW(T$15),0)</f>
        <v>727.5</v>
      </c>
      <c r="U72" s="208" t="n">
        <v>66.07</v>
      </c>
      <c r="V72" s="209" t="s">
        <v>690</v>
      </c>
      <c r="W72" s="207" t="n">
        <f aca="false">IF($C72="S",ROUND(IF(TIPOORCAMENTO="Proposto",ORÇAMENTO.CustoUnitario*(1+$AH72),ORÇAMENTO.PrecoUnitarioLicitado),15-13*$AF$10),0)</f>
        <v>85.26</v>
      </c>
      <c r="X72" s="210" t="n">
        <f aca="true" t="array" ref="X72:X72">IF($C72="S",IF(OR(Import.TipoArredondamento&lt;&gt;"TransfereGOV",ACOMPANHAMENTO="BM"),VTOTAL1,SUM(OFFSET(CÁLCULO!$AQ$15,ROW($X72)-ROW($X$15),1):OFFSET(CÁLCULO!$BR$15,ROW($X72)-ROW($X$15),-1))),IF($C72=0,0,ROUND(SomaAgrup,15-13*$AF$11)))</f>
        <v>62026.75</v>
      </c>
      <c r="Y72" s="211" t="s">
        <v>781</v>
      </c>
      <c r="Z72" s="1" t="str">
        <f aca="false">IF(AND($C72="S",$X72&gt;0),IF(ISBLANK($Y72),"RA",LEFT($Y72,2)),"")</f>
        <v>RA</v>
      </c>
      <c r="AA72" s="212" t="n">
        <f aca="true">IF($C72="S",IF($Z72="CP",$X72,IF($Z72="RA",(($X72)*QCI!$AA$3),0)),SomaAgrup)</f>
        <v>6883.82340272116</v>
      </c>
      <c r="AB72" s="213" t="n">
        <f aca="true">IF($C72="S",IF($Z72="OU",ROUND($X72,2),0),SomaAgrup)</f>
        <v>0</v>
      </c>
      <c r="AC72" s="214" t="e">
        <f aca="false" t="array" ref="AC72:AC72">IF($N72=""," ",
IF(AND($C72&lt;&gt;"S",OR($R72="",$R72="(digite a descrição aqui)")),"DESCRIÇÃO",
IF(AND($C72="S",OR($Q72&lt;&gt;"",$T72&gt;0,$U72&gt;0),$P72=""),"FONTE",
IF(AND($C72="S",$P72&lt;&gt;"",OR($T72&gt;0,$U72&gt;0),$Q72=""),"CÓDIGO",
IF(AND($C72="S",$P72&lt;&gt;"",$Q72&lt;&gt;"",$R72="(Código não identificado nas referências)"),"CÓDIGO N/ID",
IF(AND($C72="S",OR($R72="",$R72="(digite a descrição aqui)"),OR($Q72&lt;&gt;"",$T72&gt;0,$U72&gt;0)),"DESCRIÇÃO",
IF(AND($C72="S",$P72&lt;&gt;"",$Q72&lt;&gt;"",$S72=""),"UNIDADE",
IF(AND($C72="S",$P72&lt;&gt;"",$Q72&lt;&gt;"",$U72=0),"SEM CUSTO",
IF(AND(_xlfn.single(TIPOORCAMENTO)="Licitado",$AL72=0,$AN72&gt;0),"SEM PREÇO",
IF(AND($C72="S",$P72&lt;&gt;"",$Q72&lt;&gt;"",$U72&gt;0,$V72=0),"BDI",
IF(OR(AND(TIPOORCAMENTO="Proposto",LEFT($O$8,5)&lt;&gt;"(N/D:",$AG72&lt;&gt;"",ORÇAMENTO.CustoUnitario&gt;$AG72),AND(TIPOORCAMENTO="LICITADO",ORÇAMENTO.PrecoUnitarioLicitado&gt;$AN72)),"ACIMA REF.",
IF(AND($C72="S",$P72&lt;&gt;"",$Q72&lt;&gt;"",$T72=0,$U72&gt;0),"QUANT.",
IF(AND(Import.TipoArredondamento="TransfereGOV",$L72="F",$C72="S",LEN($Q72)&gt;13),"Código &gt;13",
IF(AND(Import.TipoArredondamento="TransfereGOV",$L72="F",$C72&lt;&gt;"S",LEN($R72)&gt;100),"Descrição &gt;100",
IF(AND(Import.TipoArredondamento="TransfereGOV",$L72="F",$C72="S",LEN($R72)&gt;500),"Descrição &gt;500",
IF(AND(Import.TipoArredondamento="TransfereGOV",$L72="F",$C72="S",LEFT(TRIM(UPPER($P72)),6)&lt;&gt;"SINAPI",ISNA(VLOOKUP(TRIM(UPPER($S72)),ListaTgov.Unidades,1,FALSE()))),"Unid. Não Disp",
" "))))))))))))))))</f>
        <v>#NAME?</v>
      </c>
      <c r="AD72" s="1" t="str">
        <f aca="true">IF(C72&lt;=CRONO.NivelExibicao,MAX($AD$15:OFFSET(AD72,-1,0))+IF($C72&lt;&gt;1,1,MAX(1,COUNTIF(QCI!$A$13:$A$15,OFFSET($E72,-1,0)))),"")</f>
        <v/>
      </c>
      <c r="AE72" s="50" t="str">
        <f aca="false">IF(AND($C72="S",ORÇAMENTO.CodBarra&lt;&gt;""),IF(ORÇAMENTO.Fonte="",ORÇAMENTO.CodBarra,CONCATENATE(ORÇAMENTO.Fonte," ",ORÇAMENTO.CodBarra)))</f>
        <v>SINAPI 100327</v>
      </c>
      <c r="AF72" s="65" t="str">
        <f aca="true">IF(ISERROR(INDIRECT(ORÇAMENTO.BancoRef)),"(abra o arquivo 'Referência "&amp;Excel_BuiltIn_Database&amp;".xlsm)",IF(OR($C72&lt;&gt;"S",ORÇAMENTO.CodBarra=""),"(Sem Código)",IF(ISERROR(MATCH($AE72,INDIRECT(ORÇAMENTO.BancoRef),0)),"(Código não identificado nas referências)",MATCH($AE72,INDIRECT(ORÇAMENTO.BancoRef),0))))</f>
        <v>(abra o arquivo 'Referência 07-2025.xlsm)</v>
      </c>
      <c r="AG72" s="215" t="n">
        <f aca="true">ROUND(IF(DESONERACAO="sim",REFERENCIA.Desonerado,REFERENCIA.NaoDesonerado),2)</f>
        <v>0</v>
      </c>
      <c r="AH72" s="216" t="n">
        <f aca="false">ROUND(IF(ISNUMBER(ORÇAMENTO.OpcaoBDI),ORÇAMENTO.OpcaoBDI,IF(LEFT(ORÇAMENTO.OpcaoBDI,3)="BDI",HLOOKUP(ORÇAMENTO.OpcaoBDI,$F$4:$H$5,2,FALSE()),0)),15-11*$AF$9)</f>
        <v>0.2904</v>
      </c>
      <c r="AJ72" s="217"/>
      <c r="AL72" s="218"/>
      <c r="AM72" s="219" t="n">
        <f aca="false">$X72</f>
        <v>62026.75</v>
      </c>
      <c r="AN72" s="220" t="n">
        <f aca="false">ROUND(ORÇAMENTO.CustoUnitario*(1+$AH72),2)</f>
        <v>85.26</v>
      </c>
    </row>
    <row r="73" customFormat="false" ht="12.75" hidden="false" customHeight="false" outlineLevel="0" collapsed="false">
      <c r="A73" s="1" t="str">
        <f aca="false">CHOOSE(1+LOG(1+2*(ORÇAMENTO.Nivel="Meta")+4*(ORÇAMENTO.Nivel="Nível 2")+8*(ORÇAMENTO.Nivel="Nível 3")+16*(ORÇAMENTO.Nivel="Nível 4")+32*(ORÇAMENTO.Nivel="Serviço"),2),0,1,2,3,4,"S")</f>
        <v>S</v>
      </c>
      <c r="B73" s="1" t="n">
        <f aca="true">IF(OR(C73="s",C73=0),OFFSET(B73,-1,0),C73)</f>
        <v>2</v>
      </c>
      <c r="C73" s="1" t="str">
        <f aca="true">IF(OFFSET(C73,-1,0)="L",1,IF(OFFSET(C73,-1,0)=1,2,IF(OR(A73="s",A73=0),"S",IF(AND(OFFSET(C73,-1,0)=2,A73=4),3,IF(AND(OR(OFFSET(C73,-1,0)="s",OFFSET(C73,-1,0)=0),A73&lt;&gt;"s",A73&gt;OFFSET(B73,-1,0)),OFFSET(B73,-1,0),A73)))))</f>
        <v>S</v>
      </c>
      <c r="D73" s="1" t="n">
        <f aca="false">IF(OR(C73="S",C73=0),0,IF(ISERROR(K73),J73,SMALL(J73:K73,1)))</f>
        <v>0</v>
      </c>
      <c r="E73" s="1" t="n">
        <f aca="true">IF($C73=1,OFFSET(E73,-1,0)+MAX(1,COUNTIF(QCI!$A$13:$A$15,OFFSET(ORÇAMENTO!E73,-1,0))),OFFSET(E73,-1,0))</f>
        <v>1</v>
      </c>
      <c r="F73" s="1" t="n">
        <f aca="true">IF($C73=1,0,IF($C73=2,OFFSET(F73,-1,0)+1,OFFSET(F73,-1,0)))</f>
        <v>15</v>
      </c>
      <c r="G73" s="1" t="n">
        <f aca="true">IF(AND($C73&lt;=2,$C73&lt;&gt;0),0,IF($C73=3,OFFSET(G73,-1,0)+1,OFFSET(G73,-1,0)))</f>
        <v>0</v>
      </c>
      <c r="H73" s="1" t="n">
        <f aca="true">IF(AND($C73&lt;=3,$C73&lt;&gt;0),0,IF($C73=4,OFFSET(H73,-1,0)+1,OFFSET(H73,-1,0)))</f>
        <v>0</v>
      </c>
      <c r="I73" s="1" t="n">
        <f aca="true">IF(AND($C73&lt;=4,$C73&lt;&gt;0),0,IF(AND($C73="S",$X73&gt;0),OFFSET(I73,-1,0)+1,OFFSET(I73,-1,0)))</f>
        <v>5</v>
      </c>
      <c r="J73" s="1" t="n">
        <f aca="true">IF(OR($C73="S",$C73=0),0,MATCH(0,OFFSET($D73,1,$C73,ROW($C$205)-ROW($C73)),0))</f>
        <v>0</v>
      </c>
      <c r="K73" s="1" t="n">
        <f aca="true">IF(OR($C73="S",$C73=0),0,MATCH(OFFSET($D73,0,$C73)+IF($C73&lt;&gt;1,1,COUNTIF(QCI!$A$13:$A$15,ORÇAMENTO!E73)),OFFSET($D73,1,$C73,ROW($C$205)-ROW($C73)),0))</f>
        <v>0</v>
      </c>
      <c r="L73" s="199" t="str">
        <f aca="false">IF(OR($X73&gt;0,$C73=1,$C73=2,$C73=3,$C73=4),"F","")</f>
        <v>F</v>
      </c>
      <c r="M73" s="200" t="s">
        <v>735</v>
      </c>
      <c r="N73" s="201" t="str">
        <f aca="false">CHOOSE(1+LOG(1+2*(C73=1)+4*(C73=2)+8*(C73=3)+16*(C73=4)+32*(C73="S"),2),"","Meta","Nível 2","Nível 3","Nível 4","Serviço")</f>
        <v>Serviço</v>
      </c>
      <c r="O73" s="202" t="str">
        <f aca="false">IF(OR($C73=0,$L73=""),"-",CONCATENATE(E73&amp;".",IF(AND($A$5&gt;=2,$C73&gt;=2),F73&amp;".",""),IF(AND($A$5&gt;=3,$C73&gt;=3),G73&amp;".",""),IF(AND($A$5&gt;=4,$C73&gt;=4),H73&amp;".",""),IF($C73="S",I73&amp;".","")))</f>
        <v>1.15.5.</v>
      </c>
      <c r="P73" s="203" t="s">
        <v>780</v>
      </c>
      <c r="Q73" s="204" t="n">
        <v>101979</v>
      </c>
      <c r="R73" s="205" t="s">
        <v>836</v>
      </c>
      <c r="S73" s="206" t="s">
        <v>648</v>
      </c>
      <c r="T73" s="207" t="n">
        <f aca="true">OFFSET(CÁLCULO!H$15,ROW($T73)-ROW(T$15),0)</f>
        <v>757.5</v>
      </c>
      <c r="U73" s="208" t="n">
        <v>44.6</v>
      </c>
      <c r="V73" s="209" t="s">
        <v>690</v>
      </c>
      <c r="W73" s="207" t="n">
        <f aca="false">IF($C73="S",ROUND(IF(TIPOORCAMENTO="Proposto",ORÇAMENTO.CustoUnitario*(1+$AH73),ORÇAMENTO.PrecoUnitarioLicitado),15-13*$AF$10),0)</f>
        <v>57.55</v>
      </c>
      <c r="X73" s="210" t="n">
        <f aca="true" t="array" ref="X73:X73">IF($C73="S",IF(OR(Import.TipoArredondamento&lt;&gt;"TransfereGOV",ACOMPANHAMENTO="BM"),VTOTAL1,SUM(OFFSET(CÁLCULO!$AQ$15,ROW($X73)-ROW($X$15),1):OFFSET(CÁLCULO!$BR$15,ROW($X73)-ROW($X$15),-1))),IF($C73=0,0,ROUND(SomaAgrup,15-13*$AF$11)))</f>
        <v>43594.25</v>
      </c>
      <c r="Y73" s="211" t="s">
        <v>781</v>
      </c>
      <c r="Z73" s="1" t="str">
        <f aca="false">IF(AND($C73="S",$X73&gt;0),IF(ISBLANK($Y73),"RA",LEFT($Y73,2)),"")</f>
        <v>RA</v>
      </c>
      <c r="AA73" s="212" t="n">
        <f aca="true">IF($C73="S",IF($Z73="CP",$X73,IF($Z73="RA",(($X73)*QCI!$AA$3),0)),SomaAgrup)</f>
        <v>4838.15641435473</v>
      </c>
      <c r="AB73" s="213" t="n">
        <f aca="true">IF($C73="S",IF($Z73="OU",ROUND($X73,2),0),SomaAgrup)</f>
        <v>0</v>
      </c>
      <c r="AC73" s="214" t="e">
        <f aca="false" t="array" ref="AC73:AC73">IF($N73=""," ",
IF(AND($C73&lt;&gt;"S",OR($R73="",$R73="(digite a descrição aqui)")),"DESCRIÇÃO",
IF(AND($C73="S",OR($Q73&lt;&gt;"",$T73&gt;0,$U73&gt;0),$P73=""),"FONTE",
IF(AND($C73="S",$P73&lt;&gt;"",OR($T73&gt;0,$U73&gt;0),$Q73=""),"CÓDIGO",
IF(AND($C73="S",$P73&lt;&gt;"",$Q73&lt;&gt;"",$R73="(Código não identificado nas referências)"),"CÓDIGO N/ID",
IF(AND($C73="S",OR($R73="",$R73="(digite a descrição aqui)"),OR($Q73&lt;&gt;"",$T73&gt;0,$U73&gt;0)),"DESCRIÇÃO",
IF(AND($C73="S",$P73&lt;&gt;"",$Q73&lt;&gt;"",$S73=""),"UNIDADE",
IF(AND($C73="S",$P73&lt;&gt;"",$Q73&lt;&gt;"",$U73=0),"SEM CUSTO",
IF(AND(_xlfn.single(TIPOORCAMENTO)="Licitado",$AL73=0,$AN73&gt;0),"SEM PREÇO",
IF(AND($C73="S",$P73&lt;&gt;"",$Q73&lt;&gt;"",$U73&gt;0,$V73=0),"BDI",
IF(OR(AND(TIPOORCAMENTO="Proposto",LEFT($O$8,5)&lt;&gt;"(N/D:",$AG73&lt;&gt;"",ORÇAMENTO.CustoUnitario&gt;$AG73),AND(TIPOORCAMENTO="LICITADO",ORÇAMENTO.PrecoUnitarioLicitado&gt;$AN73)),"ACIMA REF.",
IF(AND($C73="S",$P73&lt;&gt;"",$Q73&lt;&gt;"",$T73=0,$U73&gt;0),"QUANT.",
IF(AND(Import.TipoArredondamento="TransfereGOV",$L73="F",$C73="S",LEN($Q73)&gt;13),"Código &gt;13",
IF(AND(Import.TipoArredondamento="TransfereGOV",$L73="F",$C73&lt;&gt;"S",LEN($R73)&gt;100),"Descrição &gt;100",
IF(AND(Import.TipoArredondamento="TransfereGOV",$L73="F",$C73="S",LEN($R73)&gt;500),"Descrição &gt;500",
IF(AND(Import.TipoArredondamento="TransfereGOV",$L73="F",$C73="S",LEFT(TRIM(UPPER($P73)),6)&lt;&gt;"SINAPI",ISNA(VLOOKUP(TRIM(UPPER($S73)),ListaTgov.Unidades,1,FALSE()))),"Unid. Não Disp",
" "))))))))))))))))</f>
        <v>#NAME?</v>
      </c>
      <c r="AD73" s="1" t="str">
        <f aca="true">IF(C73&lt;=CRONO.NivelExibicao,MAX($AD$15:OFFSET(AD73,-1,0))+IF($C73&lt;&gt;1,1,MAX(1,COUNTIF(QCI!$A$13:$A$15,OFFSET($E73,-1,0)))),"")</f>
        <v/>
      </c>
      <c r="AE73" s="50" t="str">
        <f aca="false">IF(AND($C73="S",ORÇAMENTO.CodBarra&lt;&gt;""),IF(ORÇAMENTO.Fonte="",ORÇAMENTO.CodBarra,CONCATENATE(ORÇAMENTO.Fonte," ",ORÇAMENTO.CodBarra)))</f>
        <v>SINAPI 101979</v>
      </c>
      <c r="AF73" s="65" t="str">
        <f aca="true">IF(ISERROR(INDIRECT(ORÇAMENTO.BancoRef)),"(abra o arquivo 'Referência "&amp;Excel_BuiltIn_Database&amp;".xlsm)",IF(OR($C73&lt;&gt;"S",ORÇAMENTO.CodBarra=""),"(Sem Código)",IF(ISERROR(MATCH($AE73,INDIRECT(ORÇAMENTO.BancoRef),0)),"(Código não identificado nas referências)",MATCH($AE73,INDIRECT(ORÇAMENTO.BancoRef),0))))</f>
        <v>(abra o arquivo 'Referência 07-2025.xlsm)</v>
      </c>
      <c r="AG73" s="215" t="n">
        <f aca="true">ROUND(IF(DESONERACAO="sim",REFERENCIA.Desonerado,REFERENCIA.NaoDesonerado),2)</f>
        <v>0</v>
      </c>
      <c r="AH73" s="216" t="n">
        <f aca="false">ROUND(IF(ISNUMBER(ORÇAMENTO.OpcaoBDI),ORÇAMENTO.OpcaoBDI,IF(LEFT(ORÇAMENTO.OpcaoBDI,3)="BDI",HLOOKUP(ORÇAMENTO.OpcaoBDI,$F$4:$H$5,2,FALSE()),0)),15-11*$AF$9)</f>
        <v>0.2904</v>
      </c>
      <c r="AJ73" s="217"/>
      <c r="AL73" s="218"/>
      <c r="AM73" s="219" t="n">
        <f aca="false">$X73</f>
        <v>43594.25</v>
      </c>
      <c r="AN73" s="220" t="n">
        <f aca="false">ROUND(ORÇAMENTO.CustoUnitario*(1+$AH73),2)</f>
        <v>57.55</v>
      </c>
    </row>
    <row r="74" customFormat="false" ht="35.05" hidden="false" customHeight="false" outlineLevel="0" collapsed="false">
      <c r="A74" s="1" t="str">
        <f aca="false">CHOOSE(1+LOG(1+2*(ORÇAMENTO.Nivel="Meta")+4*(ORÇAMENTO.Nivel="Nível 2")+8*(ORÇAMENTO.Nivel="Nível 3")+16*(ORÇAMENTO.Nivel="Nível 4")+32*(ORÇAMENTO.Nivel="Serviço"),2),0,1,2,3,4,"S")</f>
        <v>S</v>
      </c>
      <c r="B74" s="1" t="n">
        <f aca="true">IF(OR(C74="s",C74=0),OFFSET(B74,-1,0),C74)</f>
        <v>2</v>
      </c>
      <c r="C74" s="1" t="str">
        <f aca="true">IF(OFFSET(C74,-1,0)="L",1,IF(OFFSET(C74,-1,0)=1,2,IF(OR(A74="s",A74=0),"S",IF(AND(OFFSET(C74,-1,0)=2,A74=4),3,IF(AND(OR(OFFSET(C74,-1,0)="s",OFFSET(C74,-1,0)=0),A74&lt;&gt;"s",A74&gt;OFFSET(B74,-1,0)),OFFSET(B74,-1,0),A74)))))</f>
        <v>S</v>
      </c>
      <c r="D74" s="1" t="n">
        <f aca="false">IF(OR(C74="S",C74=0),0,IF(ISERROR(K74),J74,SMALL(J74:K74,1)))</f>
        <v>0</v>
      </c>
      <c r="E74" s="1" t="n">
        <f aca="true">IF($C74=1,OFFSET(E74,-1,0)+MAX(1,COUNTIF(QCI!$A$13:$A$15,OFFSET(ORÇAMENTO!E74,-1,0))),OFFSET(E74,-1,0))</f>
        <v>1</v>
      </c>
      <c r="F74" s="1" t="n">
        <f aca="true">IF($C74=1,0,IF($C74=2,OFFSET(F74,-1,0)+1,OFFSET(F74,-1,0)))</f>
        <v>15</v>
      </c>
      <c r="G74" s="1" t="n">
        <f aca="true">IF(AND($C74&lt;=2,$C74&lt;&gt;0),0,IF($C74=3,OFFSET(G74,-1,0)+1,OFFSET(G74,-1,0)))</f>
        <v>0</v>
      </c>
      <c r="H74" s="1" t="n">
        <f aca="true">IF(AND($C74&lt;=3,$C74&lt;&gt;0),0,IF($C74=4,OFFSET(H74,-1,0)+1,OFFSET(H74,-1,0)))</f>
        <v>0</v>
      </c>
      <c r="I74" s="1" t="n">
        <f aca="true">IF(AND($C74&lt;=4,$C74&lt;&gt;0),0,IF(AND($C74="S",$X74&gt;0),OFFSET(I74,-1,0)+1,OFFSET(I74,-1,0)))</f>
        <v>6</v>
      </c>
      <c r="J74" s="1" t="n">
        <f aca="true">IF(OR($C74="S",$C74=0),0,MATCH(0,OFFSET($D74,1,$C74,ROW($C$205)-ROW($C74)),0))</f>
        <v>0</v>
      </c>
      <c r="K74" s="1" t="n">
        <f aca="true">IF(OR($C74="S",$C74=0),0,MATCH(OFFSET($D74,0,$C74)+IF($C74&lt;&gt;1,1,COUNTIF(QCI!$A$13:$A$15,ORÇAMENTO!E74)),OFFSET($D74,1,$C74,ROW($C$205)-ROW($C74)),0))</f>
        <v>0</v>
      </c>
      <c r="L74" s="199" t="str">
        <f aca="false">IF(OR($X74&gt;0,$C74=1,$C74=2,$C74=3,$C74=4),"F","")</f>
        <v>F</v>
      </c>
      <c r="M74" s="200" t="s">
        <v>735</v>
      </c>
      <c r="N74" s="201" t="str">
        <f aca="false">CHOOSE(1+LOG(1+2*(C74=1)+4*(C74=2)+8*(C74=3)+16*(C74=4)+32*(C74="S"),2),"","Meta","Nível 2","Nível 3","Nível 4","Serviço")</f>
        <v>Serviço</v>
      </c>
      <c r="O74" s="202" t="str">
        <f aca="false">IF(OR($C74=0,$L74=""),"-",CONCATENATE(E74&amp;".",IF(AND($A$5&gt;=2,$C74&gt;=2),F74&amp;".",""),IF(AND($A$5&gt;=3,$C74&gt;=3),G74&amp;".",""),IF(AND($A$5&gt;=4,$C74&gt;=4),H74&amp;".",""),IF($C74="S",I74&amp;".","")))</f>
        <v>1.15.6.</v>
      </c>
      <c r="P74" s="203" t="s">
        <v>789</v>
      </c>
      <c r="Q74" s="236" t="s">
        <v>837</v>
      </c>
      <c r="R74" s="235" t="s">
        <v>838</v>
      </c>
      <c r="S74" s="237" t="s">
        <v>648</v>
      </c>
      <c r="T74" s="207" t="n">
        <f aca="true">OFFSET(CÁLCULO!H$15,ROW($T74)-ROW(T$15),0)</f>
        <v>225</v>
      </c>
      <c r="U74" s="208" t="n">
        <v>85.71</v>
      </c>
      <c r="V74" s="209" t="s">
        <v>690</v>
      </c>
      <c r="W74" s="207" t="n">
        <f aca="false">IF($C74="S",ROUND(IF(TIPOORCAMENTO="Proposto",ORÇAMENTO.CustoUnitario*(1+$AH74),ORÇAMENTO.PrecoUnitarioLicitado),15-13*$AF$10),0)</f>
        <v>110.6</v>
      </c>
      <c r="X74" s="210" t="n">
        <f aca="true" t="array" ref="X74:X74">IF($C74="S",IF(OR(Import.TipoArredondamento&lt;&gt;"TransfereGOV",ACOMPANHAMENTO="BM"),VTOTAL1,SUM(OFFSET(CÁLCULO!$AQ$15,ROW($X74)-ROW($X$15),1):OFFSET(CÁLCULO!$BR$15,ROW($X74)-ROW($X$15),-1))),IF($C74=0,0,ROUND(SomaAgrup,15-13*$AF$11)))</f>
        <v>24885</v>
      </c>
      <c r="Y74" s="211" t="s">
        <v>781</v>
      </c>
      <c r="Z74" s="1" t="str">
        <f aca="false">IF(AND($C74="S",$X74&gt;0),IF(ISBLANK($Y74),"RA",LEFT($Y74,2)),"")</f>
        <v>RA</v>
      </c>
      <c r="AA74" s="212" t="n">
        <f aca="true">IF($C74="S",IF($Z74="CP",$X74,IF($Z74="RA",(($X74)*QCI!$AA$3),0)),SomaAgrup)</f>
        <v>2761.77528851207</v>
      </c>
      <c r="AB74" s="213" t="n">
        <f aca="true">IF($C74="S",IF($Z74="OU",ROUND($X74,2),0),SomaAgrup)</f>
        <v>0</v>
      </c>
      <c r="AC74" s="214" t="e">
        <f aca="false" t="array" ref="AC74:AC74">IF($N74=""," ",
IF(AND($C74&lt;&gt;"S",OR($R74="",$R74="(digite a descrição aqui)")),"DESCRIÇÃO",
IF(AND($C74="S",OR($Q74&lt;&gt;"",$T74&gt;0,$U74&gt;0),$P74=""),"FONTE",
IF(AND($C74="S",$P74&lt;&gt;"",OR($T74&gt;0,$U74&gt;0),$Q74=""),"CÓDIGO",
IF(AND($C74="S",$P74&lt;&gt;"",$Q74&lt;&gt;"",$R74="(Código não identificado nas referências)"),"CÓDIGO N/ID",
IF(AND($C74="S",OR($R74="",$R74="(digite a descrição aqui)"),OR($Q74&lt;&gt;"",$T74&gt;0,$U74&gt;0)),"DESCRIÇÃO",
IF(AND($C74="S",$P74&lt;&gt;"",$Q74&lt;&gt;"",$S74=""),"UNIDADE",
IF(AND($C74="S",$P74&lt;&gt;"",$Q74&lt;&gt;"",$U74=0),"SEM CUSTO",
IF(AND(_xlfn.single(TIPOORCAMENTO)="Licitado",$AL74=0,$AN74&gt;0),"SEM PREÇO",
IF(AND($C74="S",$P74&lt;&gt;"",$Q74&lt;&gt;"",$U74&gt;0,$V74=0),"BDI",
IF(OR(AND(TIPOORCAMENTO="Proposto",LEFT($O$8,5)&lt;&gt;"(N/D:",$AG74&lt;&gt;"",ORÇAMENTO.CustoUnitario&gt;$AG74),AND(TIPOORCAMENTO="LICITADO",ORÇAMENTO.PrecoUnitarioLicitado&gt;$AN74)),"ACIMA REF.",
IF(AND($C74="S",$P74&lt;&gt;"",$Q74&lt;&gt;"",$T74=0,$U74&gt;0),"QUANT.",
IF(AND(Import.TipoArredondamento="TransfereGOV",$L74="F",$C74="S",LEN($Q74)&gt;13),"Código &gt;13",
IF(AND(Import.TipoArredondamento="TransfereGOV",$L74="F",$C74&lt;&gt;"S",LEN($R74)&gt;100),"Descrição &gt;100",
IF(AND(Import.TipoArredondamento="TransfereGOV",$L74="F",$C74="S",LEN($R74)&gt;500),"Descrição &gt;500",
IF(AND(Import.TipoArredondamento="TransfereGOV",$L74="F",$C74="S",LEFT(TRIM(UPPER($P74)),6)&lt;&gt;"SINAPI",ISNA(VLOOKUP(TRIM(UPPER($S74)),ListaTgov.Unidades,1,FALSE()))),"Unid. Não Disp",
" "))))))))))))))))</f>
        <v>#NAME?</v>
      </c>
      <c r="AD74" s="1" t="str">
        <f aca="true">IF(C74&lt;=CRONO.NivelExibicao,MAX($AD$15:OFFSET(AD74,-1,0))+IF($C74&lt;&gt;1,1,MAX(1,COUNTIF(QCI!$A$13:$A$15,OFFSET($E74,-1,0)))),"")</f>
        <v/>
      </c>
      <c r="AE74" s="50" t="str">
        <f aca="false">IF(AND($C74="S",ORÇAMENTO.CodBarra&lt;&gt;""),IF(ORÇAMENTO.Fonte="",ORÇAMENTO.CodBarra,CONCATENATE(ORÇAMENTO.Fonte," ",ORÇAMENTO.CodBarra)))</f>
        <v>SICRO ED-50668</v>
      </c>
      <c r="AF74" s="65" t="str">
        <f aca="true">IF(ISERROR(INDIRECT(ORÇAMENTO.BancoRef)),"(abra o arquivo 'Referência "&amp;Excel_BuiltIn_Database&amp;".xlsm)",IF(OR($C74&lt;&gt;"S",ORÇAMENTO.CodBarra=""),"(Sem Código)",IF(ISERROR(MATCH($AE74,INDIRECT(ORÇAMENTO.BancoRef),0)),"(Código não identificado nas referências)",MATCH($AE74,INDIRECT(ORÇAMENTO.BancoRef),0))))</f>
        <v>(abra o arquivo 'Referência 07-2025.xlsm)</v>
      </c>
      <c r="AG74" s="215" t="n">
        <f aca="true">ROUND(IF(DESONERACAO="sim",REFERENCIA.Desonerado,REFERENCIA.NaoDesonerado),2)</f>
        <v>0</v>
      </c>
      <c r="AH74" s="216" t="n">
        <f aca="false">ROUND(IF(ISNUMBER(ORÇAMENTO.OpcaoBDI),ORÇAMENTO.OpcaoBDI,IF(LEFT(ORÇAMENTO.OpcaoBDI,3)="BDI",HLOOKUP(ORÇAMENTO.OpcaoBDI,$F$4:$H$5,2,FALSE()),0)),15-11*$AF$9)</f>
        <v>0.2904</v>
      </c>
      <c r="AJ74" s="217"/>
      <c r="AL74" s="218"/>
      <c r="AM74" s="219" t="n">
        <f aca="false">$X74</f>
        <v>24885</v>
      </c>
      <c r="AN74" s="220" t="n">
        <f aca="false">ROUND(ORÇAMENTO.CustoUnitario*(1+$AH74),2)</f>
        <v>110.6</v>
      </c>
    </row>
    <row r="75" customFormat="false" ht="12.75" hidden="false" customHeight="false" outlineLevel="0" collapsed="false">
      <c r="A75" s="1" t="n">
        <f aca="false">CHOOSE(1+LOG(1+2*(ORÇAMENTO.Nivel="Meta")+4*(ORÇAMENTO.Nivel="Nível 2")+8*(ORÇAMENTO.Nivel="Nível 3")+16*(ORÇAMENTO.Nivel="Nível 4")+32*(ORÇAMENTO.Nivel="Serviço"),2),0,1,2,3,4,"S")</f>
        <v>2</v>
      </c>
      <c r="B75" s="1" t="n">
        <f aca="true">IF(OR(C75="s",C75=0),OFFSET(B75,-1,0),C75)</f>
        <v>2</v>
      </c>
      <c r="C75" s="1" t="n">
        <f aca="true">IF(OFFSET(C75,-1,0)="L",1,IF(OFFSET(C75,-1,0)=1,2,IF(OR(A75="s",A75=0),"S",IF(AND(OFFSET(C75,-1,0)=2,A75=4),3,IF(AND(OR(OFFSET(C75,-1,0)="s",OFFSET(C75,-1,0)=0),A75&lt;&gt;"s",A75&gt;OFFSET(B75,-1,0)),OFFSET(B75,-1,0),A75)))))</f>
        <v>2</v>
      </c>
      <c r="D75" s="1" t="n">
        <f aca="false">IF(OR(C75="S",C75=0),0,IF(ISERROR(K75),J75,SMALL(J75:K75,1)))</f>
        <v>1</v>
      </c>
      <c r="E75" s="1" t="n">
        <f aca="true">IF($C75=1,OFFSET(E75,-1,0)+MAX(1,COUNTIF(QCI!$A$13:$A$15,OFFSET(ORÇAMENTO!E75,-1,0))),OFFSET(E75,-1,0))</f>
        <v>1</v>
      </c>
      <c r="F75" s="1" t="n">
        <f aca="true">IF($C75=1,0,IF($C75=2,OFFSET(F75,-1,0)+1,OFFSET(F75,-1,0)))</f>
        <v>16</v>
      </c>
      <c r="G75" s="1" t="n">
        <f aca="true">IF(AND($C75&lt;=2,$C75&lt;&gt;0),0,IF($C75=3,OFFSET(G75,-1,0)+1,OFFSET(G75,-1,0)))</f>
        <v>0</v>
      </c>
      <c r="H75" s="1" t="n">
        <f aca="true">IF(AND($C75&lt;=3,$C75&lt;&gt;0),0,IF($C75=4,OFFSET(H75,-1,0)+1,OFFSET(H75,-1,0)))</f>
        <v>0</v>
      </c>
      <c r="I75" s="1" t="n">
        <f aca="true">IF(AND($C75&lt;=4,$C75&lt;&gt;0),0,IF(AND($C75="S",$X75&gt;0),OFFSET(I75,-1,0)+1,OFFSET(I75,-1,0)))</f>
        <v>0</v>
      </c>
      <c r="J75" s="1" t="n">
        <f aca="true">IF(OR($C75="S",$C75=0),0,MATCH(0,OFFSET($D75,1,$C75,ROW($C$205)-ROW($C75)),0))</f>
        <v>130</v>
      </c>
      <c r="K75" s="1" t="n">
        <f aca="true">IF(OR($C75="S",$C75=0),0,MATCH(OFFSET($D75,0,$C75)+IF($C75&lt;&gt;1,1,COUNTIF(QCI!$A$13:$A$15,ORÇAMENTO!E75)),OFFSET($D75,1,$C75,ROW($C$205)-ROW($C75)),0))</f>
        <v>1</v>
      </c>
      <c r="L75" s="199" t="str">
        <f aca="false">IF(OR($X75&gt;0,$C75=1,$C75=2,$C75=3,$C75=4),"F","")</f>
        <v>F</v>
      </c>
      <c r="M75" s="200" t="s">
        <v>732</v>
      </c>
      <c r="N75" s="201" t="str">
        <f aca="false">CHOOSE(1+LOG(1+2*(C75=1)+4*(C75=2)+8*(C75=3)+16*(C75=4)+32*(C75="S"),2),"","Meta","Nível 2","Nível 3","Nível 4","Serviço")</f>
        <v>Nível 2</v>
      </c>
      <c r="O75" s="202" t="str">
        <f aca="false">IF(OR($C75=0,$L75=""),"-",CONCATENATE(E75&amp;".",IF(AND($A$5&gt;=2,$C75&gt;=2),F75&amp;".",""),IF(AND($A$5&gt;=3,$C75&gt;=3),G75&amp;".",""),IF(AND($A$5&gt;=4,$C75&gt;=4),H75&amp;".",""),IF($C75="S",I75&amp;".","")))</f>
        <v>1.16.</v>
      </c>
      <c r="P75" s="203" t="s">
        <v>780</v>
      </c>
      <c r="Q75" s="236"/>
      <c r="R75" s="235" t="str">
        <f aca="false">[4]PO!$B$73</f>
        <v>IMPERMEBILIZAÇÕES</v>
      </c>
      <c r="S75" s="237" t="str">
        <f aca="true">REFERENCIA.Unidade</f>
        <v>-</v>
      </c>
      <c r="T75" s="207" t="n">
        <f aca="true">OFFSET(CÁLCULO!H$15,ROW($T75)-ROW(T$15),0)</f>
        <v>0</v>
      </c>
      <c r="U75" s="208"/>
      <c r="V75" s="209" t="s">
        <v>690</v>
      </c>
      <c r="W75" s="207" t="n">
        <f aca="false">IF($C75="S",ROUND(IF(TIPOORCAMENTO="Proposto",ORÇAMENTO.CustoUnitario*(1+$AH75),ORÇAMENTO.PrecoUnitarioLicitado),15-13*$AF$10),0)</f>
        <v>0</v>
      </c>
      <c r="X75" s="210" t="n">
        <f aca="true" t="array" ref="X75:X75">IF($C75="S",IF(OR(Import.TipoArredondamento&lt;&gt;"TransfereGOV",ACOMPANHAMENTO="BM"),VTOTAL1,SUM(OFFSET(CÁLCULO!$AQ$15,ROW($X75)-ROW($X$15),1):OFFSET(CÁLCULO!$BR$15,ROW($X75)-ROW($X$15),-1))),IF($C75=0,0,ROUND(SomaAgrup,15-13*$AF$11)))</f>
        <v>0</v>
      </c>
      <c r="Y75" s="211" t="s">
        <v>781</v>
      </c>
      <c r="Z75" s="1" t="str">
        <f aca="false">IF(AND($C75="S",$X75&gt;0),IF(ISBLANK($Y75),"RA",LEFT($Y75,2)),"")</f>
        <v/>
      </c>
      <c r="AA75" s="212" t="n">
        <f aca="true">IF($C75="S",IF($Z75="CP",$X75,IF($Z75="RA",(($X75)*QCI!$AA$3),0)),SomaAgrup)</f>
        <v>0</v>
      </c>
      <c r="AB75" s="213" t="n">
        <f aca="true">IF($C75="S",IF($Z75="OU",ROUND($X75,2),0),SomaAgrup)</f>
        <v>0</v>
      </c>
      <c r="AC75" s="214" t="e">
        <f aca="false" t="array" ref="AC75:AC75">IF($N75=""," ",
IF(AND($C75&lt;&gt;"S",OR($R75="",$R75="(digite a descrição aqui)")),"DESCRIÇÃO",
IF(AND($C75="S",OR($Q75&lt;&gt;"",$T75&gt;0,$U75&gt;0),$P75=""),"FONTE",
IF(AND($C75="S",$P75&lt;&gt;"",OR($T75&gt;0,$U75&gt;0),$Q75=""),"CÓDIGO",
IF(AND($C75="S",$P75&lt;&gt;"",$Q75&lt;&gt;"",$R75="(Código não identificado nas referências)"),"CÓDIGO N/ID",
IF(AND($C75="S",OR($R75="",$R75="(digite a descrição aqui)"),OR($Q75&lt;&gt;"",$T75&gt;0,$U75&gt;0)),"DESCRIÇÃO",
IF(AND($C75="S",$P75&lt;&gt;"",$Q75&lt;&gt;"",$S75=""),"UNIDADE",
IF(AND($C75="S",$P75&lt;&gt;"",$Q75&lt;&gt;"",$U75=0),"SEM CUSTO",
IF(AND(_xlfn.single(TIPOORCAMENTO)="Licitado",$AL75=0,$AN75&gt;0),"SEM PREÇO",
IF(AND($C75="S",$P75&lt;&gt;"",$Q75&lt;&gt;"",$U75&gt;0,$V75=0),"BDI",
IF(OR(AND(TIPOORCAMENTO="Proposto",LEFT($O$8,5)&lt;&gt;"(N/D:",$AG75&lt;&gt;"",ORÇAMENTO.CustoUnitario&gt;$AG75),AND(TIPOORCAMENTO="LICITADO",ORÇAMENTO.PrecoUnitarioLicitado&gt;$AN75)),"ACIMA REF.",
IF(AND($C75="S",$P75&lt;&gt;"",$Q75&lt;&gt;"",$T75=0,$U75&gt;0),"QUANT.",
IF(AND(Import.TipoArredondamento="TransfereGOV",$L75="F",$C75="S",LEN($Q75)&gt;13),"Código &gt;13",
IF(AND(Import.TipoArredondamento="TransfereGOV",$L75="F",$C75&lt;&gt;"S",LEN($R75)&gt;100),"Descrição &gt;100",
IF(AND(Import.TipoArredondamento="TransfereGOV",$L75="F",$C75="S",LEN($R75)&gt;500),"Descrição &gt;500",
IF(AND(Import.TipoArredondamento="TransfereGOV",$L75="F",$C75="S",LEFT(TRIM(UPPER($P75)),6)&lt;&gt;"SINAPI",ISNA(VLOOKUP(TRIM(UPPER($S75)),ListaTgov.Unidades,1,FALSE()))),"Unid. Não Disp",
" "))))))))))))))))</f>
        <v>#NAME?</v>
      </c>
      <c r="AD75" s="38" t="n">
        <f aca="true">IF(C75&lt;=CRONO.NivelExibicao,MAX($AD$15:OFFSET(AD75,-1,0))+IF($C75&lt;&gt;1,1,MAX(1,COUNTIF(QCI!$A$13:$A$15,OFFSET($E75,-1,0)))),"")</f>
        <v>17</v>
      </c>
      <c r="AE75" s="50" t="b">
        <f aca="false">IF(AND($C75="S",ORÇAMENTO.CodBarra&lt;&gt;""),IF(ORÇAMENTO.Fonte="",ORÇAMENTO.CodBarra,CONCATENATE(ORÇAMENTO.Fonte," ",ORÇAMENTO.CodBarra)))</f>
        <v>0</v>
      </c>
      <c r="AF75" s="65" t="str">
        <f aca="true">IF(ISERROR(INDIRECT(ORÇAMENTO.BancoRef)),"(abra o arquivo 'Referência "&amp;Excel_BuiltIn_Database&amp;".xlsm)",IF(OR($C75&lt;&gt;"S",ORÇAMENTO.CodBarra=""),"(Sem Código)",IF(ISERROR(MATCH($AE75,INDIRECT(ORÇAMENTO.BancoRef),0)),"(Código não identificado nas referências)",MATCH($AE75,INDIRECT(ORÇAMENTO.BancoRef),0))))</f>
        <v>(abra o arquivo 'Referência 07-2025.xlsm)</v>
      </c>
      <c r="AG75" s="215" t="n">
        <f aca="true">ROUND(IF(DESONERACAO="sim",REFERENCIA.Desonerado,REFERENCIA.NaoDesonerado),2)</f>
        <v>0</v>
      </c>
      <c r="AH75" s="216" t="n">
        <f aca="false">ROUND(IF(ISNUMBER(ORÇAMENTO.OpcaoBDI),ORÇAMENTO.OpcaoBDI,IF(LEFT(ORÇAMENTO.OpcaoBDI,3)="BDI",HLOOKUP(ORÇAMENTO.OpcaoBDI,$F$4:$H$5,2,FALSE()),0)),15-11*$AF$9)</f>
        <v>0.2904</v>
      </c>
      <c r="AJ75" s="217"/>
      <c r="AL75" s="218"/>
      <c r="AM75" s="219" t="n">
        <f aca="false">$X75</f>
        <v>0</v>
      </c>
      <c r="AN75" s="220" t="n">
        <f aca="false">ROUND(ORÇAMENTO.CustoUnitario*(1+$AH75),2)</f>
        <v>0</v>
      </c>
    </row>
    <row r="76" customFormat="false" ht="12.75" hidden="false" customHeight="false" outlineLevel="0" collapsed="false">
      <c r="A76" s="1" t="n">
        <f aca="false">CHOOSE(1+LOG(1+2*(ORÇAMENTO.Nivel="Meta")+4*(ORÇAMENTO.Nivel="Nível 2")+8*(ORÇAMENTO.Nivel="Nível 3")+16*(ORÇAMENTO.Nivel="Nível 4")+32*(ORÇAMENTO.Nivel="Serviço"),2),0,1,2,3,4,"S")</f>
        <v>2</v>
      </c>
      <c r="B76" s="1" t="n">
        <f aca="true">IF(OR(C76="s",C76=0),OFFSET(B76,-1,0),C76)</f>
        <v>2</v>
      </c>
      <c r="C76" s="1" t="n">
        <f aca="true">IF(OFFSET(C76,-1,0)="L",1,IF(OFFSET(C76,-1,0)=1,2,IF(OR(A76="s",A76=0),"S",IF(AND(OFFSET(C76,-1,0)=2,A76=4),3,IF(AND(OR(OFFSET(C76,-1,0)="s",OFFSET(C76,-1,0)=0),A76&lt;&gt;"s",A76&gt;OFFSET(B76,-1,0)),OFFSET(B76,-1,0),A76)))))</f>
        <v>2</v>
      </c>
      <c r="D76" s="1" t="n">
        <f aca="false">IF(OR(C76="S",C76=0),0,IF(ISERROR(K76),J76,SMALL(J76:K76,1)))</f>
        <v>1</v>
      </c>
      <c r="E76" s="1" t="n">
        <f aca="true">IF($C76=1,OFFSET(E76,-1,0)+MAX(1,COUNTIF(QCI!$A$13:$A$15,OFFSET(ORÇAMENTO!E76,-1,0))),OFFSET(E76,-1,0))</f>
        <v>1</v>
      </c>
      <c r="F76" s="1" t="n">
        <f aca="true">IF($C76=1,0,IF($C76=2,OFFSET(F76,-1,0)+1,OFFSET(F76,-1,0)))</f>
        <v>17</v>
      </c>
      <c r="G76" s="1" t="n">
        <f aca="true">IF(AND($C76&lt;=2,$C76&lt;&gt;0),0,IF($C76=3,OFFSET(G76,-1,0)+1,OFFSET(G76,-1,0)))</f>
        <v>0</v>
      </c>
      <c r="H76" s="1" t="n">
        <f aca="true">IF(AND($C76&lt;=3,$C76&lt;&gt;0),0,IF($C76=4,OFFSET(H76,-1,0)+1,OFFSET(H76,-1,0)))</f>
        <v>0</v>
      </c>
      <c r="I76" s="1" t="n">
        <f aca="true">IF(AND($C76&lt;=4,$C76&lt;&gt;0),0,IF(AND($C76="S",$X76&gt;0),OFFSET(I76,-1,0)+1,OFFSET(I76,-1,0)))</f>
        <v>0</v>
      </c>
      <c r="J76" s="1" t="n">
        <f aca="true">IF(OR($C76="S",$C76=0),0,MATCH(0,OFFSET($D76,1,$C76,ROW($C$205)-ROW($C76)),0))</f>
        <v>129</v>
      </c>
      <c r="K76" s="1" t="n">
        <f aca="true">IF(OR($C76="S",$C76=0),0,MATCH(OFFSET($D76,0,$C76)+IF($C76&lt;&gt;1,1,COUNTIF(QCI!$A$13:$A$15,ORÇAMENTO!E76)),OFFSET($D76,1,$C76,ROW($C$205)-ROW($C76)),0))</f>
        <v>1</v>
      </c>
      <c r="L76" s="199" t="str">
        <f aca="false">IF(OR($X76&gt;0,$C76=1,$C76=2,$C76=3,$C76=4),"F","")</f>
        <v>F</v>
      </c>
      <c r="M76" s="200" t="s">
        <v>732</v>
      </c>
      <c r="N76" s="201" t="str">
        <f aca="false">CHOOSE(1+LOG(1+2*(C76=1)+4*(C76=2)+8*(C76=3)+16*(C76=4)+32*(C76="S"),2),"","Meta","Nível 2","Nível 3","Nível 4","Serviço")</f>
        <v>Nível 2</v>
      </c>
      <c r="O76" s="202" t="str">
        <f aca="false">IF(OR($C76=0,$L76=""),"-",CONCATENATE(E76&amp;".",IF(AND($A$5&gt;=2,$C76&gt;=2),F76&amp;".",""),IF(AND($A$5&gt;=3,$C76&gt;=3),G76&amp;".",""),IF(AND($A$5&gt;=4,$C76&gt;=4),H76&amp;".",""),IF($C76="S",I76&amp;".","")))</f>
        <v>1.17.</v>
      </c>
      <c r="P76" s="203" t="s">
        <v>780</v>
      </c>
      <c r="Q76" s="236" t="s">
        <v>839</v>
      </c>
      <c r="R76" s="235" t="str">
        <f aca="false">[4]PO!$B$74</f>
        <v>REVESTIMENTOS</v>
      </c>
      <c r="S76" s="237" t="s">
        <v>666</v>
      </c>
      <c r="T76" s="207" t="n">
        <f aca="true">OFFSET(CÁLCULO!H$15,ROW($T76)-ROW(T$15),0)</f>
        <v>0</v>
      </c>
      <c r="U76" s="208" t="n">
        <v>166.6</v>
      </c>
      <c r="V76" s="209" t="s">
        <v>690</v>
      </c>
      <c r="W76" s="207" t="n">
        <f aca="false">IF($C76="S",ROUND(IF(TIPOORCAMENTO="Proposto",ORÇAMENTO.CustoUnitario*(1+$AH76),ORÇAMENTO.PrecoUnitarioLicitado),15-13*$AF$10),0)</f>
        <v>0</v>
      </c>
      <c r="X76" s="210" t="n">
        <f aca="true" t="array" ref="X76:X76">IF($C76="S",IF(OR(Import.TipoArredondamento&lt;&gt;"TransfereGOV",ACOMPANHAMENTO="BM"),VTOTAL1,SUM(OFFSET(CÁLCULO!$AQ$15,ROW($X76)-ROW($X$15),1):OFFSET(CÁLCULO!$BR$15,ROW($X76)-ROW($X$15),-1))),IF($C76=0,0,ROUND(SomaAgrup,15-13*$AF$11)))</f>
        <v>0</v>
      </c>
      <c r="Y76" s="211" t="s">
        <v>781</v>
      </c>
      <c r="Z76" s="1" t="str">
        <f aca="false">IF(AND($C76="S",$X76&gt;0),IF(ISBLANK($Y76),"RA",LEFT($Y76,2)),"")</f>
        <v/>
      </c>
      <c r="AA76" s="212" t="n">
        <f aca="true">IF($C76="S",IF($Z76="CP",$X76,IF($Z76="RA",(($X76)*QCI!$AA$3),0)),SomaAgrup)</f>
        <v>0</v>
      </c>
      <c r="AB76" s="213" t="n">
        <f aca="true">IF($C76="S",IF($Z76="OU",ROUND($X76,2),0),SomaAgrup)</f>
        <v>0</v>
      </c>
      <c r="AC76" s="214" t="e">
        <f aca="false" t="array" ref="AC76:AC76">IF($N76=""," ",
IF(AND($C76&lt;&gt;"S",OR($R76="",$R76="(digite a descrição aqui)")),"DESCRIÇÃO",
IF(AND($C76="S",OR($Q76&lt;&gt;"",$T76&gt;0,$U76&gt;0),$P76=""),"FONTE",
IF(AND($C76="S",$P76&lt;&gt;"",OR($T76&gt;0,$U76&gt;0),$Q76=""),"CÓDIGO",
IF(AND($C76="S",$P76&lt;&gt;"",$Q76&lt;&gt;"",$R76="(Código não identificado nas referências)"),"CÓDIGO N/ID",
IF(AND($C76="S",OR($R76="",$R76="(digite a descrição aqui)"),OR($Q76&lt;&gt;"",$T76&gt;0,$U76&gt;0)),"DESCRIÇÃO",
IF(AND($C76="S",$P76&lt;&gt;"",$Q76&lt;&gt;"",$S76=""),"UNIDADE",
IF(AND($C76="S",$P76&lt;&gt;"",$Q76&lt;&gt;"",$U76=0),"SEM CUSTO",
IF(AND(_xlfn.single(TIPOORCAMENTO)="Licitado",$AL76=0,$AN76&gt;0),"SEM PREÇO",
IF(AND($C76="S",$P76&lt;&gt;"",$Q76&lt;&gt;"",$U76&gt;0,$V76=0),"BDI",
IF(OR(AND(TIPOORCAMENTO="Proposto",LEFT($O$8,5)&lt;&gt;"(N/D:",$AG76&lt;&gt;"",ORÇAMENTO.CustoUnitario&gt;$AG76),AND(TIPOORCAMENTO="LICITADO",ORÇAMENTO.PrecoUnitarioLicitado&gt;$AN76)),"ACIMA REF.",
IF(AND($C76="S",$P76&lt;&gt;"",$Q76&lt;&gt;"",$T76=0,$U76&gt;0),"QUANT.",
IF(AND(Import.TipoArredondamento="TransfereGOV",$L76="F",$C76="S",LEN($Q76)&gt;13),"Código &gt;13",
IF(AND(Import.TipoArredondamento="TransfereGOV",$L76="F",$C76&lt;&gt;"S",LEN($R76)&gt;100),"Descrição &gt;100",
IF(AND(Import.TipoArredondamento="TransfereGOV",$L76="F",$C76="S",LEN($R76)&gt;500),"Descrição &gt;500",
IF(AND(Import.TipoArredondamento="TransfereGOV",$L76="F",$C76="S",LEFT(TRIM(UPPER($P76)),6)&lt;&gt;"SINAPI",ISNA(VLOOKUP(TRIM(UPPER($S76)),ListaTgov.Unidades,1,FALSE()))),"Unid. Não Disp",
" "))))))))))))))))</f>
        <v>#NAME?</v>
      </c>
      <c r="AD76" s="38" t="n">
        <f aca="true">IF(C76&lt;=CRONO.NivelExibicao,MAX($AD$15:OFFSET(AD76,-1,0))+IF($C76&lt;&gt;1,1,MAX(1,COUNTIF(QCI!$A$13:$A$15,OFFSET($E76,-1,0)))),"")</f>
        <v>18</v>
      </c>
      <c r="AE76" s="50" t="b">
        <f aca="false">IF(AND($C76="S",ORÇAMENTO.CodBarra&lt;&gt;""),IF(ORÇAMENTO.Fonte="",ORÇAMENTO.CodBarra,CONCATENATE(ORÇAMENTO.Fonte," ",ORÇAMENTO.CodBarra)))</f>
        <v>0</v>
      </c>
      <c r="AF76" s="65" t="str">
        <f aca="true">IF(ISERROR(INDIRECT(ORÇAMENTO.BancoRef)),"(abra o arquivo 'Referência "&amp;Excel_BuiltIn_Database&amp;".xlsm)",IF(OR($C76&lt;&gt;"S",ORÇAMENTO.CodBarra=""),"(Sem Código)",IF(ISERROR(MATCH($AE76,INDIRECT(ORÇAMENTO.BancoRef),0)),"(Código não identificado nas referências)",MATCH($AE76,INDIRECT(ORÇAMENTO.BancoRef),0))))</f>
        <v>(abra o arquivo 'Referência 07-2025.xlsm)</v>
      </c>
      <c r="AG76" s="215" t="n">
        <f aca="true">ROUND(IF(DESONERACAO="sim",REFERENCIA.Desonerado,REFERENCIA.NaoDesonerado),2)</f>
        <v>0</v>
      </c>
      <c r="AH76" s="216" t="n">
        <f aca="false">ROUND(IF(ISNUMBER(ORÇAMENTO.OpcaoBDI),ORÇAMENTO.OpcaoBDI,IF(LEFT(ORÇAMENTO.OpcaoBDI,3)="BDI",HLOOKUP(ORÇAMENTO.OpcaoBDI,$F$4:$H$5,2,FALSE()),0)),15-11*$AF$9)</f>
        <v>0.2904</v>
      </c>
      <c r="AJ76" s="217"/>
      <c r="AL76" s="218"/>
      <c r="AM76" s="219" t="n">
        <f aca="false">$X76</f>
        <v>0</v>
      </c>
      <c r="AN76" s="220" t="n">
        <f aca="false">ROUND(ORÇAMENTO.CustoUnitario*(1+$AH76),2)</f>
        <v>214.98</v>
      </c>
    </row>
    <row r="77" customFormat="false" ht="12.75" hidden="false" customHeight="false" outlineLevel="0" collapsed="false">
      <c r="A77" s="1" t="n">
        <f aca="false">CHOOSE(1+LOG(1+2*(ORÇAMENTO.Nivel="Meta")+4*(ORÇAMENTO.Nivel="Nível 2")+8*(ORÇAMENTO.Nivel="Nível 3")+16*(ORÇAMENTO.Nivel="Nível 4")+32*(ORÇAMENTO.Nivel="Serviço"),2),0,1,2,3,4,"S")</f>
        <v>2</v>
      </c>
      <c r="B77" s="1" t="n">
        <f aca="true">IF(OR(C77="s",C77=0),OFFSET(B77,-1,0),C77)</f>
        <v>2</v>
      </c>
      <c r="C77" s="1" t="n">
        <f aca="true">IF(OFFSET(C77,-1,0)="L",1,IF(OFFSET(C77,-1,0)=1,2,IF(OR(A77="s",A77=0),"S",IF(AND(OFFSET(C77,-1,0)=2,A77=4),3,IF(AND(OR(OFFSET(C77,-1,0)="s",OFFSET(C77,-1,0)=0),A77&lt;&gt;"s",A77&gt;OFFSET(B77,-1,0)),OFFSET(B77,-1,0),A77)))))</f>
        <v>2</v>
      </c>
      <c r="D77" s="1" t="n">
        <f aca="false">IF(OR(C77="S",C77=0),0,IF(ISERROR(K77),J77,SMALL(J77:K77,1)))</f>
        <v>5</v>
      </c>
      <c r="E77" s="1" t="n">
        <f aca="true">IF($C77=1,OFFSET(E77,-1,0)+MAX(1,COUNTIF(QCI!$A$13:$A$15,OFFSET(ORÇAMENTO!E77,-1,0))),OFFSET(E77,-1,0))</f>
        <v>1</v>
      </c>
      <c r="F77" s="1" t="n">
        <f aca="true">IF($C77=1,0,IF($C77=2,OFFSET(F77,-1,0)+1,OFFSET(F77,-1,0)))</f>
        <v>18</v>
      </c>
      <c r="G77" s="1" t="n">
        <f aca="true">IF(AND($C77&lt;=2,$C77&lt;&gt;0),0,IF($C77=3,OFFSET(G77,-1,0)+1,OFFSET(G77,-1,0)))</f>
        <v>0</v>
      </c>
      <c r="H77" s="1" t="n">
        <f aca="true">IF(AND($C77&lt;=3,$C77&lt;&gt;0),0,IF($C77=4,OFFSET(H77,-1,0)+1,OFFSET(H77,-1,0)))</f>
        <v>0</v>
      </c>
      <c r="I77" s="1" t="n">
        <f aca="true">IF(AND($C77&lt;=4,$C77&lt;&gt;0),0,IF(AND($C77="S",$X77&gt;0),OFFSET(I77,-1,0)+1,OFFSET(I77,-1,0)))</f>
        <v>0</v>
      </c>
      <c r="J77" s="1" t="n">
        <f aca="true">IF(OR($C77="S",$C77=0),0,MATCH(0,OFFSET($D77,1,$C77,ROW($C$205)-ROW($C77)),0))</f>
        <v>128</v>
      </c>
      <c r="K77" s="1" t="n">
        <f aca="true">IF(OR($C77="S",$C77=0),0,MATCH(OFFSET($D77,0,$C77)+IF($C77&lt;&gt;1,1,COUNTIF(QCI!$A$13:$A$15,ORÇAMENTO!E77)),OFFSET($D77,1,$C77,ROW($C$205)-ROW($C77)),0))</f>
        <v>5</v>
      </c>
      <c r="L77" s="199" t="str">
        <f aca="false">IF(OR($X77&gt;0,$C77=1,$C77=2,$C77=3,$C77=4),"F","")</f>
        <v>F</v>
      </c>
      <c r="M77" s="200" t="s">
        <v>732</v>
      </c>
      <c r="N77" s="201" t="str">
        <f aca="false">CHOOSE(1+LOG(1+2*(C77=1)+4*(C77=2)+8*(C77=3)+16*(C77=4)+32*(C77="S"),2),"","Meta","Nível 2","Nível 3","Nível 4","Serviço")</f>
        <v>Nível 2</v>
      </c>
      <c r="O77" s="202" t="str">
        <f aca="false">IF(OR($C77=0,$L77=""),"-",CONCATENATE(E77&amp;".",IF(AND($A$5&gt;=2,$C77&gt;=2),F77&amp;".",""),IF(AND($A$5&gt;=3,$C77&gt;=3),G77&amp;".",""),IF(AND($A$5&gt;=4,$C77&gt;=4),H77&amp;".",""),IF($C77="S",I77&amp;".","")))</f>
        <v>1.18.</v>
      </c>
      <c r="P77" s="203" t="s">
        <v>780</v>
      </c>
      <c r="Q77" s="236" t="s">
        <v>840</v>
      </c>
      <c r="R77" s="235" t="str">
        <f aca="false">[4]PO!$B$75</f>
        <v>REVESTIMENTOS INTERNOS</v>
      </c>
      <c r="S77" s="237" t="s">
        <v>666</v>
      </c>
      <c r="T77" s="207" t="n">
        <f aca="true">OFFSET(CÁLCULO!H$15,ROW($T77)-ROW(T$15),0)</f>
        <v>0</v>
      </c>
      <c r="U77" s="208" t="n">
        <v>219.3</v>
      </c>
      <c r="V77" s="209" t="s">
        <v>690</v>
      </c>
      <c r="W77" s="207" t="n">
        <f aca="false">IF($C77="S",ROUND(IF(TIPOORCAMENTO="Proposto",ORÇAMENTO.CustoUnitario*(1+$AH77),ORÇAMENTO.PrecoUnitarioLicitado),15-13*$AF$10),0)</f>
        <v>0</v>
      </c>
      <c r="X77" s="210" t="n">
        <f aca="true" t="array" ref="X77:X77">IF($C77="S",IF(OR(Import.TipoArredondamento&lt;&gt;"TransfereGOV",ACOMPANHAMENTO="BM"),VTOTAL1,SUM(OFFSET(CÁLCULO!$AQ$15,ROW($X77)-ROW($X$15),1):OFFSET(CÁLCULO!$BR$15,ROW($X77)-ROW($X$15),-1))),IF($C77=0,0,ROUND(SomaAgrup,15-13*$AF$11)))</f>
        <v>135548.25</v>
      </c>
      <c r="Y77" s="211" t="s">
        <v>781</v>
      </c>
      <c r="Z77" s="1" t="str">
        <f aca="false">IF(AND($C77="S",$X77&gt;0),IF(ISBLANK($Y77),"RA",LEFT($Y77,2)),"")</f>
        <v/>
      </c>
      <c r="AA77" s="212" t="n">
        <f aca="true">IF($C77="S",IF($Z77="CP",$X77,IF($Z77="RA",(($X77)*QCI!$AA$3),0)),SomaAgrup)</f>
        <v>15043.3517078986</v>
      </c>
      <c r="AB77" s="213" t="n">
        <f aca="true">IF($C77="S",IF($Z77="OU",ROUND($X77,2),0),SomaAgrup)</f>
        <v>0</v>
      </c>
      <c r="AC77" s="214" t="e">
        <f aca="false" t="array" ref="AC77:AC77">IF($N77=""," ",
IF(AND($C77&lt;&gt;"S",OR($R77="",$R77="(digite a descrição aqui)")),"DESCRIÇÃO",
IF(AND($C77="S",OR($Q77&lt;&gt;"",$T77&gt;0,$U77&gt;0),$P77=""),"FONTE",
IF(AND($C77="S",$P77&lt;&gt;"",OR($T77&gt;0,$U77&gt;0),$Q77=""),"CÓDIGO",
IF(AND($C77="S",$P77&lt;&gt;"",$Q77&lt;&gt;"",$R77="(Código não identificado nas referências)"),"CÓDIGO N/ID",
IF(AND($C77="S",OR($R77="",$R77="(digite a descrição aqui)"),OR($Q77&lt;&gt;"",$T77&gt;0,$U77&gt;0)),"DESCRIÇÃO",
IF(AND($C77="S",$P77&lt;&gt;"",$Q77&lt;&gt;"",$S77=""),"UNIDADE",
IF(AND($C77="S",$P77&lt;&gt;"",$Q77&lt;&gt;"",$U77=0),"SEM CUSTO",
IF(AND(_xlfn.single(TIPOORCAMENTO)="Licitado",$AL77=0,$AN77&gt;0),"SEM PREÇO",
IF(AND($C77="S",$P77&lt;&gt;"",$Q77&lt;&gt;"",$U77&gt;0,$V77=0),"BDI",
IF(OR(AND(TIPOORCAMENTO="Proposto",LEFT($O$8,5)&lt;&gt;"(N/D:",$AG77&lt;&gt;"",ORÇAMENTO.CustoUnitario&gt;$AG77),AND(TIPOORCAMENTO="LICITADO",ORÇAMENTO.PrecoUnitarioLicitado&gt;$AN77)),"ACIMA REF.",
IF(AND($C77="S",$P77&lt;&gt;"",$Q77&lt;&gt;"",$T77=0,$U77&gt;0),"QUANT.",
IF(AND(Import.TipoArredondamento="TransfereGOV",$L77="F",$C77="S",LEN($Q77)&gt;13),"Código &gt;13",
IF(AND(Import.TipoArredondamento="TransfereGOV",$L77="F",$C77&lt;&gt;"S",LEN($R77)&gt;100),"Descrição &gt;100",
IF(AND(Import.TipoArredondamento="TransfereGOV",$L77="F",$C77="S",LEN($R77)&gt;500),"Descrição &gt;500",
IF(AND(Import.TipoArredondamento="TransfereGOV",$L77="F",$C77="S",LEFT(TRIM(UPPER($P77)),6)&lt;&gt;"SINAPI",ISNA(VLOOKUP(TRIM(UPPER($S77)),ListaTgov.Unidades,1,FALSE()))),"Unid. Não Disp",
" "))))))))))))))))</f>
        <v>#NAME?</v>
      </c>
      <c r="AD77" s="38" t="n">
        <f aca="true">IF(C77&lt;=CRONO.NivelExibicao,MAX($AD$15:OFFSET(AD77,-1,0))+IF($C77&lt;&gt;1,1,MAX(1,COUNTIF(QCI!$A$13:$A$15,OFFSET($E77,-1,0)))),"")</f>
        <v>19</v>
      </c>
      <c r="AE77" s="50" t="b">
        <f aca="false">IF(AND($C77="S",ORÇAMENTO.CodBarra&lt;&gt;""),IF(ORÇAMENTO.Fonte="",ORÇAMENTO.CodBarra,CONCATENATE(ORÇAMENTO.Fonte," ",ORÇAMENTO.CodBarra)))</f>
        <v>0</v>
      </c>
      <c r="AF77" s="65" t="str">
        <f aca="true">IF(ISERROR(INDIRECT(ORÇAMENTO.BancoRef)),"(abra o arquivo 'Referência "&amp;Excel_BuiltIn_Database&amp;".xlsm)",IF(OR($C77&lt;&gt;"S",ORÇAMENTO.CodBarra=""),"(Sem Código)",IF(ISERROR(MATCH($AE77,INDIRECT(ORÇAMENTO.BancoRef),0)),"(Código não identificado nas referências)",MATCH($AE77,INDIRECT(ORÇAMENTO.BancoRef),0))))</f>
        <v>(abra o arquivo 'Referência 07-2025.xlsm)</v>
      </c>
      <c r="AG77" s="215" t="n">
        <f aca="true">ROUND(IF(DESONERACAO="sim",REFERENCIA.Desonerado,REFERENCIA.NaoDesonerado),2)</f>
        <v>0</v>
      </c>
      <c r="AH77" s="216" t="n">
        <f aca="false">ROUND(IF(ISNUMBER(ORÇAMENTO.OpcaoBDI),ORÇAMENTO.OpcaoBDI,IF(LEFT(ORÇAMENTO.OpcaoBDI,3)="BDI",HLOOKUP(ORÇAMENTO.OpcaoBDI,$F$4:$H$5,2,FALSE()),0)),15-11*$AF$9)</f>
        <v>0.2904</v>
      </c>
      <c r="AJ77" s="217"/>
      <c r="AL77" s="218"/>
      <c r="AM77" s="219" t="n">
        <f aca="false">$X77</f>
        <v>135548.25</v>
      </c>
      <c r="AN77" s="220" t="n">
        <f aca="false">ROUND(ORÇAMENTO.CustoUnitario*(1+$AH77),2)</f>
        <v>282.98</v>
      </c>
    </row>
    <row r="78" customFormat="false" ht="23.85" hidden="false" customHeight="false" outlineLevel="0" collapsed="false">
      <c r="A78" s="1" t="str">
        <f aca="false">CHOOSE(1+LOG(1+2*(ORÇAMENTO.Nivel="Meta")+4*(ORÇAMENTO.Nivel="Nível 2")+8*(ORÇAMENTO.Nivel="Nível 3")+16*(ORÇAMENTO.Nivel="Nível 4")+32*(ORÇAMENTO.Nivel="Serviço"),2),0,1,2,3,4,"S")</f>
        <v>S</v>
      </c>
      <c r="B78" s="1" t="n">
        <f aca="true">IF(OR(C78="s",C78=0),OFFSET(B78,-1,0),C78)</f>
        <v>2</v>
      </c>
      <c r="C78" s="1" t="str">
        <f aca="true">IF(OFFSET(C78,-1,0)="L",1,IF(OFFSET(C78,-1,0)=1,2,IF(OR(A78="s",A78=0),"S",IF(AND(OFFSET(C78,-1,0)=2,A78=4),3,IF(AND(OR(OFFSET(C78,-1,0)="s",OFFSET(C78,-1,0)=0),A78&lt;&gt;"s",A78&gt;OFFSET(B78,-1,0)),OFFSET(B78,-1,0),A78)))))</f>
        <v>S</v>
      </c>
      <c r="D78" s="1" t="n">
        <f aca="false">IF(OR(C78="S",C78=0),0,IF(ISERROR(K78),J78,SMALL(J78:K78,1)))</f>
        <v>0</v>
      </c>
      <c r="E78" s="1" t="n">
        <f aca="true">IF($C78=1,OFFSET(E78,-1,0)+MAX(1,COUNTIF(QCI!$A$13:$A$15,OFFSET(ORÇAMENTO!E78,-1,0))),OFFSET(E78,-1,0))</f>
        <v>1</v>
      </c>
      <c r="F78" s="1" t="n">
        <f aca="true">IF($C78=1,0,IF($C78=2,OFFSET(F78,-1,0)+1,OFFSET(F78,-1,0)))</f>
        <v>18</v>
      </c>
      <c r="G78" s="1" t="n">
        <f aca="true">IF(AND($C78&lt;=2,$C78&lt;&gt;0),0,IF($C78=3,OFFSET(G78,-1,0)+1,OFFSET(G78,-1,0)))</f>
        <v>0</v>
      </c>
      <c r="H78" s="1" t="n">
        <f aca="true">IF(AND($C78&lt;=3,$C78&lt;&gt;0),0,IF($C78=4,OFFSET(H78,-1,0)+1,OFFSET(H78,-1,0)))</f>
        <v>0</v>
      </c>
      <c r="I78" s="1" t="n">
        <f aca="true">IF(AND($C78&lt;=4,$C78&lt;&gt;0),0,IF(AND($C78="S",$X78&gt;0),OFFSET(I78,-1,0)+1,OFFSET(I78,-1,0)))</f>
        <v>1</v>
      </c>
      <c r="J78" s="1" t="n">
        <f aca="true">IF(OR($C78="S",$C78=0),0,MATCH(0,OFFSET($D78,1,$C78,ROW($C$205)-ROW($C78)),0))</f>
        <v>0</v>
      </c>
      <c r="K78" s="1" t="n">
        <f aca="true">IF(OR($C78="S",$C78=0),0,MATCH(OFFSET($D78,0,$C78)+IF($C78&lt;&gt;1,1,COUNTIF(QCI!$A$13:$A$15,ORÇAMENTO!E78)),OFFSET($D78,1,$C78,ROW($C$205)-ROW($C78)),0))</f>
        <v>0</v>
      </c>
      <c r="L78" s="199" t="str">
        <f aca="false">IF(OR($X78&gt;0,$C78=1,$C78=2,$C78=3,$C78=4),"F","")</f>
        <v>F</v>
      </c>
      <c r="M78" s="200" t="s">
        <v>735</v>
      </c>
      <c r="N78" s="201" t="str">
        <f aca="false">CHOOSE(1+LOG(1+2*(C78=1)+4*(C78=2)+8*(C78=3)+16*(C78=4)+32*(C78="S"),2),"","Meta","Nível 2","Nível 3","Nível 4","Serviço")</f>
        <v>Serviço</v>
      </c>
      <c r="O78" s="202" t="str">
        <f aca="false">IF(OR($C78=0,$L78=""),"-",CONCATENATE(E78&amp;".",IF(AND($A$5&gt;=2,$C78&gt;=2),F78&amp;".",""),IF(AND($A$5&gt;=3,$C78&gt;=3),G78&amp;".",""),IF(AND($A$5&gt;=4,$C78&gt;=4),H78&amp;".",""),IF($C78="S",I78&amp;".","")))</f>
        <v>1.18.1.</v>
      </c>
      <c r="P78" s="203" t="s">
        <v>780</v>
      </c>
      <c r="Q78" s="236" t="n">
        <v>87418</v>
      </c>
      <c r="R78" s="235" t="str">
        <f aca="false">[3]ORÇAMENTO!$R$48</f>
        <v>APLICAÇÃO MANUAL DE GESSO DESEMPENADO (SEM TALISCAS) EM PAREDES, ESPESSURA DE 0,5CM. AF_03/2023</v>
      </c>
      <c r="S78" s="237" t="s">
        <v>650</v>
      </c>
      <c r="T78" s="207" t="n">
        <f aca="true">OFFSET(CÁLCULO!H$15,ROW($T78)-ROW(T$15),0)</f>
        <v>2413.75</v>
      </c>
      <c r="U78" s="208" t="n">
        <v>19.77</v>
      </c>
      <c r="V78" s="209" t="s">
        <v>690</v>
      </c>
      <c r="W78" s="207" t="n">
        <f aca="false">IF($C78="S",ROUND(IF(TIPOORCAMENTO="Proposto",ORÇAMENTO.CustoUnitario*(1+$AH78),ORÇAMENTO.PrecoUnitarioLicitado),15-13*$AF$10),0)</f>
        <v>25.51</v>
      </c>
      <c r="X78" s="210" t="n">
        <f aca="true" t="array" ref="X78:X78">IF($C78="S",IF(OR(Import.TipoArredondamento&lt;&gt;"TransfereGOV",ACOMPANHAMENTO="BM"),VTOTAL1,SUM(OFFSET(CÁLCULO!$AQ$15,ROW($X78)-ROW($X$15),1):OFFSET(CÁLCULO!$BR$15,ROW($X78)-ROW($X$15),-1))),IF($C78=0,0,ROUND(SomaAgrup,15-13*$AF$11)))</f>
        <v>61574.75</v>
      </c>
      <c r="Y78" s="211" t="s">
        <v>781</v>
      </c>
      <c r="Z78" s="1" t="str">
        <f aca="false">IF(AND($C78="S",$X78&gt;0),IF(ISBLANK($Y78),"RA",LEFT($Y78,2)),"")</f>
        <v>RA</v>
      </c>
      <c r="AA78" s="212" t="n">
        <f aca="true">IF($C78="S",IF($Z78="CP",$X78,IF($Z78="RA",(($X78)*QCI!$AA$3),0)),SomaAgrup)</f>
        <v>6833.65975271483</v>
      </c>
      <c r="AB78" s="213" t="n">
        <f aca="true">IF($C78="S",IF($Z78="OU",ROUND($X78,2),0),SomaAgrup)</f>
        <v>0</v>
      </c>
      <c r="AC78" s="214" t="e">
        <f aca="false" t="array" ref="AC78:AC78">IF($N78=""," ",
IF(AND($C78&lt;&gt;"S",OR($R78="",$R78="(digite a descrição aqui)")),"DESCRIÇÃO",
IF(AND($C78="S",OR($Q78&lt;&gt;"",$T78&gt;0,$U78&gt;0),$P78=""),"FONTE",
IF(AND($C78="S",$P78&lt;&gt;"",OR($T78&gt;0,$U78&gt;0),$Q78=""),"CÓDIGO",
IF(AND($C78="S",$P78&lt;&gt;"",$Q78&lt;&gt;"",$R78="(Código não identificado nas referências)"),"CÓDIGO N/ID",
IF(AND($C78="S",OR($R78="",$R78="(digite a descrição aqui)"),OR($Q78&lt;&gt;"",$T78&gt;0,$U78&gt;0)),"DESCRIÇÃO",
IF(AND($C78="S",$P78&lt;&gt;"",$Q78&lt;&gt;"",$S78=""),"UNIDADE",
IF(AND($C78="S",$P78&lt;&gt;"",$Q78&lt;&gt;"",$U78=0),"SEM CUSTO",
IF(AND(_xlfn.single(TIPOORCAMENTO)="Licitado",$AL78=0,$AN78&gt;0),"SEM PREÇO",
IF(AND($C78="S",$P78&lt;&gt;"",$Q78&lt;&gt;"",$U78&gt;0,$V78=0),"BDI",
IF(OR(AND(TIPOORCAMENTO="Proposto",LEFT($O$8,5)&lt;&gt;"(N/D:",$AG78&lt;&gt;"",ORÇAMENTO.CustoUnitario&gt;$AG78),AND(TIPOORCAMENTO="LICITADO",ORÇAMENTO.PrecoUnitarioLicitado&gt;$AN78)),"ACIMA REF.",
IF(AND($C78="S",$P78&lt;&gt;"",$Q78&lt;&gt;"",$T78=0,$U78&gt;0),"QUANT.",
IF(AND(Import.TipoArredondamento="TransfereGOV",$L78="F",$C78="S",LEN($Q78)&gt;13),"Código &gt;13",
IF(AND(Import.TipoArredondamento="TransfereGOV",$L78="F",$C78&lt;&gt;"S",LEN($R78)&gt;100),"Descrição &gt;100",
IF(AND(Import.TipoArredondamento="TransfereGOV",$L78="F",$C78="S",LEN($R78)&gt;500),"Descrição &gt;500",
IF(AND(Import.TipoArredondamento="TransfereGOV",$L78="F",$C78="S",LEFT(TRIM(UPPER($P78)),6)&lt;&gt;"SINAPI",ISNA(VLOOKUP(TRIM(UPPER($S78)),ListaTgov.Unidades,1,FALSE()))),"Unid. Não Disp",
" "))))))))))))))))</f>
        <v>#NAME?</v>
      </c>
      <c r="AD78" s="1" t="str">
        <f aca="true">IF(C78&lt;=CRONO.NivelExibicao,MAX($AD$15:OFFSET(AD78,-1,0))+IF($C78&lt;&gt;1,1,MAX(1,COUNTIF(QCI!$A$13:$A$15,OFFSET($E78,-1,0)))),"")</f>
        <v/>
      </c>
      <c r="AE78" s="50" t="str">
        <f aca="false">IF(AND($C78="S",ORÇAMENTO.CodBarra&lt;&gt;""),IF(ORÇAMENTO.Fonte="",ORÇAMENTO.CodBarra,CONCATENATE(ORÇAMENTO.Fonte," ",ORÇAMENTO.CodBarra)))</f>
        <v>SINAPI 87418</v>
      </c>
      <c r="AF78" s="65" t="str">
        <f aca="true">IF(ISERROR(INDIRECT(ORÇAMENTO.BancoRef)),"(abra o arquivo 'Referência "&amp;Excel_BuiltIn_Database&amp;".xlsm)",IF(OR($C78&lt;&gt;"S",ORÇAMENTO.CodBarra=""),"(Sem Código)",IF(ISERROR(MATCH($AE78,INDIRECT(ORÇAMENTO.BancoRef),0)),"(Código não identificado nas referências)",MATCH($AE78,INDIRECT(ORÇAMENTO.BancoRef),0))))</f>
        <v>(abra o arquivo 'Referência 07-2025.xlsm)</v>
      </c>
      <c r="AG78" s="215" t="n">
        <f aca="true">ROUND(IF(DESONERACAO="sim",REFERENCIA.Desonerado,REFERENCIA.NaoDesonerado),2)</f>
        <v>0</v>
      </c>
      <c r="AH78" s="216" t="n">
        <f aca="false">ROUND(IF(ISNUMBER(ORÇAMENTO.OpcaoBDI),ORÇAMENTO.OpcaoBDI,IF(LEFT(ORÇAMENTO.OpcaoBDI,3)="BDI",HLOOKUP(ORÇAMENTO.OpcaoBDI,$F$4:$H$5,2,FALSE()),0)),15-11*$AF$9)</f>
        <v>0.2904</v>
      </c>
      <c r="AJ78" s="217"/>
      <c r="AL78" s="218"/>
      <c r="AM78" s="219" t="n">
        <f aca="false">$X78</f>
        <v>61574.75</v>
      </c>
      <c r="AN78" s="220" t="n">
        <f aca="false">ROUND(ORÇAMENTO.CustoUnitario*(1+$AH78),2)</f>
        <v>25.51</v>
      </c>
    </row>
    <row r="79" customFormat="false" ht="35.05" hidden="false" customHeight="false" outlineLevel="0" collapsed="false">
      <c r="A79" s="1" t="str">
        <f aca="false">CHOOSE(1+LOG(1+2*(ORÇAMENTO.Nivel="Meta")+4*(ORÇAMENTO.Nivel="Nível 2")+8*(ORÇAMENTO.Nivel="Nível 3")+16*(ORÇAMENTO.Nivel="Nível 4")+32*(ORÇAMENTO.Nivel="Serviço"),2),0,1,2,3,4,"S")</f>
        <v>S</v>
      </c>
      <c r="B79" s="1" t="n">
        <f aca="true">IF(OR(C79="s",C79=0),OFFSET(B79,-1,0),C79)</f>
        <v>2</v>
      </c>
      <c r="C79" s="1" t="str">
        <f aca="true">IF(OFFSET(C79,-1,0)="L",1,IF(OFFSET(C79,-1,0)=1,2,IF(OR(A79="s",A79=0),"S",IF(AND(OFFSET(C79,-1,0)=2,A79=4),3,IF(AND(OR(OFFSET(C79,-1,0)="s",OFFSET(C79,-1,0)=0),A79&lt;&gt;"s",A79&gt;OFFSET(B79,-1,0)),OFFSET(B79,-1,0),A79)))))</f>
        <v>S</v>
      </c>
      <c r="D79" s="1" t="n">
        <f aca="false">IF(OR(C79="S",C79=0),0,IF(ISERROR(K79),J79,SMALL(J79:K79,1)))</f>
        <v>0</v>
      </c>
      <c r="E79" s="1" t="n">
        <f aca="true">IF($C79=1,OFFSET(E79,-1,0)+MAX(1,COUNTIF(QCI!$A$13:$A$15,OFFSET(ORÇAMENTO!E79,-1,0))),OFFSET(E79,-1,0))</f>
        <v>1</v>
      </c>
      <c r="F79" s="1" t="n">
        <f aca="true">IF($C79=1,0,IF($C79=2,OFFSET(F79,-1,0)+1,OFFSET(F79,-1,0)))</f>
        <v>18</v>
      </c>
      <c r="G79" s="1" t="n">
        <f aca="true">IF(AND($C79&lt;=2,$C79&lt;&gt;0),0,IF($C79=3,OFFSET(G79,-1,0)+1,OFFSET(G79,-1,0)))</f>
        <v>0</v>
      </c>
      <c r="H79" s="1" t="n">
        <f aca="true">IF(AND($C79&lt;=3,$C79&lt;&gt;0),0,IF($C79=4,OFFSET(H79,-1,0)+1,OFFSET(H79,-1,0)))</f>
        <v>0</v>
      </c>
      <c r="I79" s="1" t="n">
        <f aca="true">IF(AND($C79&lt;=4,$C79&lt;&gt;0),0,IF(AND($C79="S",$X79&gt;0),OFFSET(I79,-1,0)+1,OFFSET(I79,-1,0)))</f>
        <v>2</v>
      </c>
      <c r="J79" s="1" t="n">
        <f aca="true">IF(OR($C79="S",$C79=0),0,MATCH(0,OFFSET($D79,1,$C79,ROW($C$205)-ROW($C79)),0))</f>
        <v>0</v>
      </c>
      <c r="K79" s="1" t="n">
        <f aca="true">IF(OR($C79="S",$C79=0),0,MATCH(OFFSET($D79,0,$C79)+IF($C79&lt;&gt;1,1,COUNTIF(QCI!$A$13:$A$15,ORÇAMENTO!E79)),OFFSET($D79,1,$C79,ROW($C$205)-ROW($C79)),0))</f>
        <v>0</v>
      </c>
      <c r="L79" s="199" t="str">
        <f aca="false">IF(OR($X79&gt;0,$C79=1,$C79=2,$C79=3,$C79=4),"F","")</f>
        <v>F</v>
      </c>
      <c r="M79" s="200" t="s">
        <v>735</v>
      </c>
      <c r="N79" s="201" t="str">
        <f aca="false">CHOOSE(1+LOG(1+2*(C79=1)+4*(C79=2)+8*(C79=3)+16*(C79=4)+32*(C79="S"),2),"","Meta","Nível 2","Nível 3","Nível 4","Serviço")</f>
        <v>Serviço</v>
      </c>
      <c r="O79" s="202" t="str">
        <f aca="false">IF(OR($C79=0,$L79=""),"-",CONCATENATE(E79&amp;".",IF(AND($A$5&gt;=2,$C79&gt;=2),F79&amp;".",""),IF(AND($A$5&gt;=3,$C79&gt;=3),G79&amp;".",""),IF(AND($A$5&gt;=4,$C79&gt;=4),H79&amp;".",""),IF($C79="S",I79&amp;".","")))</f>
        <v>1.18.2.</v>
      </c>
      <c r="P79" s="203" t="s">
        <v>780</v>
      </c>
      <c r="Q79" s="236" t="n">
        <v>87411</v>
      </c>
      <c r="R79" s="235" t="str">
        <f aca="false">[3]ORÇAMENTO!$R$49</f>
        <v>APLICAÇÃO MANUAL DE GESSO DESEMPENADO (SEM TALISCAS) EM TETO DE AMBIENTES DE ÁREA MAIOR QUE 10M², ESPESSURA DE 0,5CM. AF_03/20</v>
      </c>
      <c r="S79" s="237" t="s">
        <v>650</v>
      </c>
      <c r="T79" s="207" t="n">
        <f aca="true">OFFSET(CÁLCULO!H$15,ROW($T79)-ROW(T$15),0)</f>
        <v>1164</v>
      </c>
      <c r="U79" s="208" t="n">
        <v>17.07</v>
      </c>
      <c r="V79" s="209" t="s">
        <v>690</v>
      </c>
      <c r="W79" s="207" t="n">
        <f aca="false">IF($C79="S",ROUND(IF(TIPOORCAMENTO="Proposto",ORÇAMENTO.CustoUnitario*(1+$AH79),ORÇAMENTO.PrecoUnitarioLicitado),15-13*$AF$10),0)</f>
        <v>22.03</v>
      </c>
      <c r="X79" s="210" t="n">
        <f aca="true" t="array" ref="X79:X79">IF($C79="S",IF(OR(Import.TipoArredondamento&lt;&gt;"TransfereGOV",ACOMPANHAMENTO="BM"),VTOTAL1,SUM(OFFSET(CÁLCULO!$AQ$15,ROW($X79)-ROW($X$15),1):OFFSET(CÁLCULO!$BR$15,ROW($X79)-ROW($X$15),-1))),IF($C79=0,0,ROUND(SomaAgrup,15-13*$AF$11)))</f>
        <v>25643</v>
      </c>
      <c r="Y79" s="211" t="s">
        <v>781</v>
      </c>
      <c r="Z79" s="1" t="str">
        <f aca="false">IF(AND($C79="S",$X79&gt;0),IF(ISBLANK($Y79),"RA",LEFT($Y79,2)),"")</f>
        <v>RA</v>
      </c>
      <c r="AA79" s="212" t="n">
        <f aca="true">IF($C79="S",IF($Z79="CP",$X79,IF($Z79="RA",(($X79)*QCI!$AA$3),0)),SomaAgrup)</f>
        <v>2845.89928564658</v>
      </c>
      <c r="AB79" s="213" t="n">
        <f aca="true">IF($C79="S",IF($Z79="OU",ROUND($X79,2),0),SomaAgrup)</f>
        <v>0</v>
      </c>
      <c r="AC79" s="214" t="e">
        <f aca="false" t="array" ref="AC79:AC79">IF($N79=""," ",
IF(AND($C79&lt;&gt;"S",OR($R79="",$R79="(digite a descrição aqui)")),"DESCRIÇÃO",
IF(AND($C79="S",OR($Q79&lt;&gt;"",$T79&gt;0,$U79&gt;0),$P79=""),"FONTE",
IF(AND($C79="S",$P79&lt;&gt;"",OR($T79&gt;0,$U79&gt;0),$Q79=""),"CÓDIGO",
IF(AND($C79="S",$P79&lt;&gt;"",$Q79&lt;&gt;"",$R79="(Código não identificado nas referências)"),"CÓDIGO N/ID",
IF(AND($C79="S",OR($R79="",$R79="(digite a descrição aqui)"),OR($Q79&lt;&gt;"",$T79&gt;0,$U79&gt;0)),"DESCRIÇÃO",
IF(AND($C79="S",$P79&lt;&gt;"",$Q79&lt;&gt;"",$S79=""),"UNIDADE",
IF(AND($C79="S",$P79&lt;&gt;"",$Q79&lt;&gt;"",$U79=0),"SEM CUSTO",
IF(AND(_xlfn.single(TIPOORCAMENTO)="Licitado",$AL79=0,$AN79&gt;0),"SEM PREÇO",
IF(AND($C79="S",$P79&lt;&gt;"",$Q79&lt;&gt;"",$U79&gt;0,$V79=0),"BDI",
IF(OR(AND(TIPOORCAMENTO="Proposto",LEFT($O$8,5)&lt;&gt;"(N/D:",$AG79&lt;&gt;"",ORÇAMENTO.CustoUnitario&gt;$AG79),AND(TIPOORCAMENTO="LICITADO",ORÇAMENTO.PrecoUnitarioLicitado&gt;$AN79)),"ACIMA REF.",
IF(AND($C79="S",$P79&lt;&gt;"",$Q79&lt;&gt;"",$T79=0,$U79&gt;0),"QUANT.",
IF(AND(Import.TipoArredondamento="TransfereGOV",$L79="F",$C79="S",LEN($Q79)&gt;13),"Código &gt;13",
IF(AND(Import.TipoArredondamento="TransfereGOV",$L79="F",$C79&lt;&gt;"S",LEN($R79)&gt;100),"Descrição &gt;100",
IF(AND(Import.TipoArredondamento="TransfereGOV",$L79="F",$C79="S",LEN($R79)&gt;500),"Descrição &gt;500",
IF(AND(Import.TipoArredondamento="TransfereGOV",$L79="F",$C79="S",LEFT(TRIM(UPPER($P79)),6)&lt;&gt;"SINAPI",ISNA(VLOOKUP(TRIM(UPPER($S79)),ListaTgov.Unidades,1,FALSE()))),"Unid. Não Disp",
" "))))))))))))))))</f>
        <v>#NAME?</v>
      </c>
      <c r="AD79" s="1" t="str">
        <f aca="true">IF(C79&lt;=CRONO.NivelExibicao,MAX($AD$15:OFFSET(AD79,-1,0))+IF($C79&lt;&gt;1,1,MAX(1,COUNTIF(QCI!$A$13:$A$15,OFFSET($E79,-1,0)))),"")</f>
        <v/>
      </c>
      <c r="AE79" s="50" t="str">
        <f aca="false">IF(AND($C79="S",ORÇAMENTO.CodBarra&lt;&gt;""),IF(ORÇAMENTO.Fonte="",ORÇAMENTO.CodBarra,CONCATENATE(ORÇAMENTO.Fonte," ",ORÇAMENTO.CodBarra)))</f>
        <v>SINAPI 87411</v>
      </c>
      <c r="AF79" s="65" t="str">
        <f aca="true">IF(ISERROR(INDIRECT(ORÇAMENTO.BancoRef)),"(abra o arquivo 'Referência "&amp;Excel_BuiltIn_Database&amp;".xlsm)",IF(OR($C79&lt;&gt;"S",ORÇAMENTO.CodBarra=""),"(Sem Código)",IF(ISERROR(MATCH($AE79,INDIRECT(ORÇAMENTO.BancoRef),0)),"(Código não identificado nas referências)",MATCH($AE79,INDIRECT(ORÇAMENTO.BancoRef),0))))</f>
        <v>(abra o arquivo 'Referência 07-2025.xlsm)</v>
      </c>
      <c r="AG79" s="215" t="n">
        <f aca="true">ROUND(IF(DESONERACAO="sim",REFERENCIA.Desonerado,REFERENCIA.NaoDesonerado),2)</f>
        <v>0</v>
      </c>
      <c r="AH79" s="216" t="n">
        <f aca="false">ROUND(IF(ISNUMBER(ORÇAMENTO.OpcaoBDI),ORÇAMENTO.OpcaoBDI,IF(LEFT(ORÇAMENTO.OpcaoBDI,3)="BDI",HLOOKUP(ORÇAMENTO.OpcaoBDI,$F$4:$H$5,2,FALSE()),0)),15-11*$AF$9)</f>
        <v>0.2904</v>
      </c>
      <c r="AJ79" s="217"/>
      <c r="AL79" s="218"/>
      <c r="AM79" s="219" t="n">
        <f aca="false">$X79</f>
        <v>25643</v>
      </c>
      <c r="AN79" s="220" t="n">
        <f aca="false">ROUND(ORÇAMENTO.CustoUnitario*(1+$AH79),2)</f>
        <v>22.03</v>
      </c>
    </row>
    <row r="80" customFormat="false" ht="35.05" hidden="false" customHeight="false" outlineLevel="0" collapsed="false">
      <c r="A80" s="1" t="str">
        <f aca="false">CHOOSE(1+LOG(1+2*(ORÇAMENTO.Nivel="Meta")+4*(ORÇAMENTO.Nivel="Nível 2")+8*(ORÇAMENTO.Nivel="Nível 3")+16*(ORÇAMENTO.Nivel="Nível 4")+32*(ORÇAMENTO.Nivel="Serviço"),2),0,1,2,3,4,"S")</f>
        <v>S</v>
      </c>
      <c r="B80" s="1" t="n">
        <f aca="true">IF(OR(C80="s",C80=0),OFFSET(B80,-1,0),C80)</f>
        <v>2</v>
      </c>
      <c r="C80" s="1" t="str">
        <f aca="true">IF(OFFSET(C80,-1,0)="L",1,IF(OFFSET(C80,-1,0)=1,2,IF(OR(A80="s",A80=0),"S",IF(AND(OFFSET(C80,-1,0)=2,A80=4),3,IF(AND(OR(OFFSET(C80,-1,0)="s",OFFSET(C80,-1,0)=0),A80&lt;&gt;"s",A80&gt;OFFSET(B80,-1,0)),OFFSET(B80,-1,0),A80)))))</f>
        <v>S</v>
      </c>
      <c r="D80" s="1" t="n">
        <f aca="false">IF(OR(C80="S",C80=0),0,IF(ISERROR(K80),J80,SMALL(J80:K80,1)))</f>
        <v>0</v>
      </c>
      <c r="E80" s="1" t="n">
        <f aca="true">IF($C80=1,OFFSET(E80,-1,0)+MAX(1,COUNTIF(QCI!$A$13:$A$15,OFFSET(ORÇAMENTO!E80,-1,0))),OFFSET(E80,-1,0))</f>
        <v>1</v>
      </c>
      <c r="F80" s="1" t="n">
        <f aca="true">IF($C80=1,0,IF($C80=2,OFFSET(F80,-1,0)+1,OFFSET(F80,-1,0)))</f>
        <v>18</v>
      </c>
      <c r="G80" s="1" t="n">
        <f aca="true">IF(AND($C80&lt;=2,$C80&lt;&gt;0),0,IF($C80=3,OFFSET(G80,-1,0)+1,OFFSET(G80,-1,0)))</f>
        <v>0</v>
      </c>
      <c r="H80" s="1" t="n">
        <f aca="true">IF(AND($C80&lt;=3,$C80&lt;&gt;0),0,IF($C80=4,OFFSET(H80,-1,0)+1,OFFSET(H80,-1,0)))</f>
        <v>0</v>
      </c>
      <c r="I80" s="1" t="n">
        <f aca="true">IF(AND($C80&lt;=4,$C80&lt;&gt;0),0,IF(AND($C80="S",$X80&gt;0),OFFSET(I80,-1,0)+1,OFFSET(I80,-1,0)))</f>
        <v>3</v>
      </c>
      <c r="J80" s="1" t="n">
        <f aca="true">IF(OR($C80="S",$C80=0),0,MATCH(0,OFFSET($D80,1,$C80,ROW($C$205)-ROW($C80)),0))</f>
        <v>0</v>
      </c>
      <c r="K80" s="1" t="n">
        <f aca="true">IF(OR($C80="S",$C80=0),0,MATCH(OFFSET($D80,0,$C80)+IF($C80&lt;&gt;1,1,COUNTIF(QCI!$A$13:$A$15,ORÇAMENTO!E80)),OFFSET($D80,1,$C80,ROW($C$205)-ROW($C80)),0))</f>
        <v>0</v>
      </c>
      <c r="L80" s="199" t="str">
        <f aca="false">IF(OR($X80&gt;0,$C80=1,$C80=2,$C80=3,$C80=4),"F","")</f>
        <v>F</v>
      </c>
      <c r="M80" s="200" t="s">
        <v>735</v>
      </c>
      <c r="N80" s="201" t="str">
        <f aca="false">CHOOSE(1+LOG(1+2*(C80=1)+4*(C80=2)+8*(C80=3)+16*(C80=4)+32*(C80="S"),2),"","Meta","Nível 2","Nível 3","Nível 4","Serviço")</f>
        <v>Serviço</v>
      </c>
      <c r="O80" s="202" t="str">
        <f aca="false">IF(OR($C80=0,$L80=""),"-",CONCATENATE(E80&amp;".",IF(AND($A$5&gt;=2,$C80&gt;=2),F80&amp;".",""),IF(AND($A$5&gt;=3,$C80&gt;=3),G80&amp;".",""),IF(AND($A$5&gt;=4,$C80&gt;=4),H80&amp;".",""),IF($C80="S",I80&amp;".","")))</f>
        <v>1.18.3.</v>
      </c>
      <c r="P80" s="203" t="s">
        <v>780</v>
      </c>
      <c r="Q80" s="236" t="n">
        <v>87878</v>
      </c>
      <c r="R80" s="235" t="str">
        <f aca="false">[3]ORÇAMENTO!$R$51</f>
        <v>CHAPISCO APLICADO EM ALVENARIAS E ESTRUTURAS DE CONCRETO INTERNAS, COM COLHER DE PEDREIRO. ARGAMASSA TRAÇO 1:3 COM PREPARO MANUAL. AF_10/20</v>
      </c>
      <c r="S80" s="237" t="s">
        <v>650</v>
      </c>
      <c r="T80" s="207" t="n">
        <f aca="true">OFFSET(CÁLCULO!H$15,ROW($T80)-ROW(T$15),0)</f>
        <v>945.25</v>
      </c>
      <c r="U80" s="208" t="n">
        <v>5.09</v>
      </c>
      <c r="V80" s="209" t="s">
        <v>690</v>
      </c>
      <c r="W80" s="207" t="n">
        <f aca="false">IF($C80="S",ROUND(IF(TIPOORCAMENTO="Proposto",ORÇAMENTO.CustoUnitario*(1+$AH80),ORÇAMENTO.PrecoUnitarioLicitado),15-13*$AF$10),0)</f>
        <v>6.57</v>
      </c>
      <c r="X80" s="210" t="n">
        <f aca="true" t="array" ref="X80:X80">IF($C80="S",IF(OR(Import.TipoArredondamento&lt;&gt;"TransfereGOV",ACOMPANHAMENTO="BM"),VTOTAL1,SUM(OFFSET(CÁLCULO!$AQ$15,ROW($X80)-ROW($X$15),1):OFFSET(CÁLCULO!$BR$15,ROW($X80)-ROW($X$15),-1))),IF($C80=0,0,ROUND(SomaAgrup,15-13*$AF$11)))</f>
        <v>6210.25</v>
      </c>
      <c r="Y80" s="211" t="s">
        <v>781</v>
      </c>
      <c r="Z80" s="1" t="str">
        <f aca="false">IF(AND($C80="S",$X80&gt;0),IF(ISBLANK($Y80),"RA",LEFT($Y80,2)),"")</f>
        <v>RA</v>
      </c>
      <c r="AA80" s="212" t="n">
        <f aca="true">IF($C80="S",IF($Z80="CP",$X80,IF($Z80="RA",(($X80)*QCI!$AA$3),0)),SomaAgrup)</f>
        <v>689.223025335828</v>
      </c>
      <c r="AB80" s="213" t="n">
        <f aca="true">IF($C80="S",IF($Z80="OU",ROUND($X80,2),0),SomaAgrup)</f>
        <v>0</v>
      </c>
      <c r="AC80" s="214" t="e">
        <f aca="false" t="array" ref="AC80:AC80">IF($N80=""," ",
IF(AND($C80&lt;&gt;"S",OR($R80="",$R80="(digite a descrição aqui)")),"DESCRIÇÃO",
IF(AND($C80="S",OR($Q80&lt;&gt;"",$T80&gt;0,$U80&gt;0),$P80=""),"FONTE",
IF(AND($C80="S",$P80&lt;&gt;"",OR($T80&gt;0,$U80&gt;0),$Q80=""),"CÓDIGO",
IF(AND($C80="S",$P80&lt;&gt;"",$Q80&lt;&gt;"",$R80="(Código não identificado nas referências)"),"CÓDIGO N/ID",
IF(AND($C80="S",OR($R80="",$R80="(digite a descrição aqui)"),OR($Q80&lt;&gt;"",$T80&gt;0,$U80&gt;0)),"DESCRIÇÃO",
IF(AND($C80="S",$P80&lt;&gt;"",$Q80&lt;&gt;"",$S80=""),"UNIDADE",
IF(AND($C80="S",$P80&lt;&gt;"",$Q80&lt;&gt;"",$U80=0),"SEM CUSTO",
IF(AND(_xlfn.single(TIPOORCAMENTO)="Licitado",$AL80=0,$AN80&gt;0),"SEM PREÇO",
IF(AND($C80="S",$P80&lt;&gt;"",$Q80&lt;&gt;"",$U80&gt;0,$V80=0),"BDI",
IF(OR(AND(TIPOORCAMENTO="Proposto",LEFT($O$8,5)&lt;&gt;"(N/D:",$AG80&lt;&gt;"",ORÇAMENTO.CustoUnitario&gt;$AG80),AND(TIPOORCAMENTO="LICITADO",ORÇAMENTO.PrecoUnitarioLicitado&gt;$AN80)),"ACIMA REF.",
IF(AND($C80="S",$P80&lt;&gt;"",$Q80&lt;&gt;"",$T80=0,$U80&gt;0),"QUANT.",
IF(AND(Import.TipoArredondamento="TransfereGOV",$L80="F",$C80="S",LEN($Q80)&gt;13),"Código &gt;13",
IF(AND(Import.TipoArredondamento="TransfereGOV",$L80="F",$C80&lt;&gt;"S",LEN($R80)&gt;100),"Descrição &gt;100",
IF(AND(Import.TipoArredondamento="TransfereGOV",$L80="F",$C80="S",LEN($R80)&gt;500),"Descrição &gt;500",
IF(AND(Import.TipoArredondamento="TransfereGOV",$L80="F",$C80="S",LEFT(TRIM(UPPER($P80)),6)&lt;&gt;"SINAPI",ISNA(VLOOKUP(TRIM(UPPER($S80)),ListaTgov.Unidades,1,FALSE()))),"Unid. Não Disp",
" "))))))))))))))))</f>
        <v>#NAME?</v>
      </c>
      <c r="AD80" s="1" t="str">
        <f aca="true">IF(C80&lt;=CRONO.NivelExibicao,MAX($AD$15:OFFSET(AD80,-1,0))+IF($C80&lt;&gt;1,1,MAX(1,COUNTIF(QCI!$A$13:$A$15,OFFSET($E80,-1,0)))),"")</f>
        <v/>
      </c>
      <c r="AE80" s="50" t="str">
        <f aca="false">IF(AND($C80="S",ORÇAMENTO.CodBarra&lt;&gt;""),IF(ORÇAMENTO.Fonte="",ORÇAMENTO.CodBarra,CONCATENATE(ORÇAMENTO.Fonte," ",ORÇAMENTO.CodBarra)))</f>
        <v>SINAPI 87878</v>
      </c>
      <c r="AF80" s="65" t="str">
        <f aca="true">IF(ISERROR(INDIRECT(ORÇAMENTO.BancoRef)),"(abra o arquivo 'Referência "&amp;Excel_BuiltIn_Database&amp;".xlsm)",IF(OR($C80&lt;&gt;"S",ORÇAMENTO.CodBarra=""),"(Sem Código)",IF(ISERROR(MATCH($AE80,INDIRECT(ORÇAMENTO.BancoRef),0)),"(Código não identificado nas referências)",MATCH($AE80,INDIRECT(ORÇAMENTO.BancoRef),0))))</f>
        <v>(abra o arquivo 'Referência 07-2025.xlsm)</v>
      </c>
      <c r="AG80" s="215" t="n">
        <f aca="true">ROUND(IF(DESONERACAO="sim",REFERENCIA.Desonerado,REFERENCIA.NaoDesonerado),2)</f>
        <v>0</v>
      </c>
      <c r="AH80" s="216" t="n">
        <f aca="false">ROUND(IF(ISNUMBER(ORÇAMENTO.OpcaoBDI),ORÇAMENTO.OpcaoBDI,IF(LEFT(ORÇAMENTO.OpcaoBDI,3)="BDI",HLOOKUP(ORÇAMENTO.OpcaoBDI,$F$4:$H$5,2,FALSE()),0)),15-11*$AF$9)</f>
        <v>0.2904</v>
      </c>
      <c r="AJ80" s="217"/>
      <c r="AL80" s="218"/>
      <c r="AM80" s="219" t="n">
        <f aca="false">$X80</f>
        <v>6210.25</v>
      </c>
      <c r="AN80" s="220" t="n">
        <f aca="false">ROUND(ORÇAMENTO.CustoUnitario*(1+$AH80),2)</f>
        <v>6.57</v>
      </c>
    </row>
    <row r="81" customFormat="false" ht="35.05" hidden="false" customHeight="false" outlineLevel="0" collapsed="false">
      <c r="A81" s="1" t="str">
        <f aca="false">CHOOSE(1+LOG(1+2*(ORÇAMENTO.Nivel="Meta")+4*(ORÇAMENTO.Nivel="Nível 2")+8*(ORÇAMENTO.Nivel="Nível 3")+16*(ORÇAMENTO.Nivel="Nível 4")+32*(ORÇAMENTO.Nivel="Serviço"),2),0,1,2,3,4,"S")</f>
        <v>S</v>
      </c>
      <c r="B81" s="1" t="n">
        <f aca="true">IF(OR(C81="s",C81=0),OFFSET(B81,-1,0),C81)</f>
        <v>2</v>
      </c>
      <c r="C81" s="1" t="str">
        <f aca="true">IF(OFFSET(C81,-1,0)="L",1,IF(OFFSET(C81,-1,0)=1,2,IF(OR(A81="s",A81=0),"S",IF(AND(OFFSET(C81,-1,0)=2,A81=4),3,IF(AND(OR(OFFSET(C81,-1,0)="s",OFFSET(C81,-1,0)=0),A81&lt;&gt;"s",A81&gt;OFFSET(B81,-1,0)),OFFSET(B81,-1,0),A81)))))</f>
        <v>S</v>
      </c>
      <c r="D81" s="1" t="n">
        <f aca="false">IF(OR(C81="S",C81=0),0,IF(ISERROR(K81),J81,SMALL(J81:K81,1)))</f>
        <v>0</v>
      </c>
      <c r="E81" s="1" t="n">
        <f aca="true">IF($C81=1,OFFSET(E81,-1,0)+MAX(1,COUNTIF(QCI!$A$13:$A$15,OFFSET(ORÇAMENTO!E81,-1,0))),OFFSET(E81,-1,0))</f>
        <v>1</v>
      </c>
      <c r="F81" s="1" t="n">
        <f aca="true">IF($C81=1,0,IF($C81=2,OFFSET(F81,-1,0)+1,OFFSET(F81,-1,0)))</f>
        <v>18</v>
      </c>
      <c r="G81" s="1" t="n">
        <f aca="true">IF(AND($C81&lt;=2,$C81&lt;&gt;0),0,IF($C81=3,OFFSET(G81,-1,0)+1,OFFSET(G81,-1,0)))</f>
        <v>0</v>
      </c>
      <c r="H81" s="1" t="n">
        <f aca="true">IF(AND($C81&lt;=3,$C81&lt;&gt;0),0,IF($C81=4,OFFSET(H81,-1,0)+1,OFFSET(H81,-1,0)))</f>
        <v>0</v>
      </c>
      <c r="I81" s="1" t="n">
        <f aca="true">IF(AND($C81&lt;=4,$C81&lt;&gt;0),0,IF(AND($C81="S",$X81&gt;0),OFFSET(I81,-1,0)+1,OFFSET(I81,-1,0)))</f>
        <v>4</v>
      </c>
      <c r="J81" s="1" t="n">
        <f aca="true">IF(OR($C81="S",$C81=0),0,MATCH(0,OFFSET($D81,1,$C81,ROW($C$205)-ROW($C81)),0))</f>
        <v>0</v>
      </c>
      <c r="K81" s="1" t="n">
        <f aca="true">IF(OR($C81="S",$C81=0),0,MATCH(OFFSET($D81,0,$C81)+IF($C81&lt;&gt;1,1,COUNTIF(QCI!$A$13:$A$15,ORÇAMENTO!E81)),OFFSET($D81,1,$C81,ROW($C$205)-ROW($C81)),0))</f>
        <v>0</v>
      </c>
      <c r="L81" s="199" t="str">
        <f aca="false">IF(OR($X81&gt;0,$C81=1,$C81=2,$C81=3,$C81=4),"F","")</f>
        <v>F</v>
      </c>
      <c r="M81" s="200" t="s">
        <v>735</v>
      </c>
      <c r="N81" s="201" t="str">
        <f aca="false">CHOOSE(1+LOG(1+2*(C81=1)+4*(C81=2)+8*(C81=3)+16*(C81=4)+32*(C81="S"),2),"","Meta","Nível 2","Nível 3","Nível 4","Serviço")</f>
        <v>Serviço</v>
      </c>
      <c r="O81" s="202" t="str">
        <f aca="false">IF(OR($C81=0,$L81=""),"-",CONCATENATE(E81&amp;".",IF(AND($A$5&gt;=2,$C81&gt;=2),F81&amp;".",""),IF(AND($A$5&gt;=3,$C81&gt;=3),G81&amp;".",""),IF(AND($A$5&gt;=4,$C81&gt;=4),H81&amp;".",""),IF($C81="S",I81&amp;".","")))</f>
        <v>1.18.4.</v>
      </c>
      <c r="P81" s="203" t="s">
        <v>789</v>
      </c>
      <c r="Q81" s="236" t="s">
        <v>831</v>
      </c>
      <c r="R81" s="235" t="str">
        <f aca="false">[3]ORÇAMENTO!$R$52</f>
        <v>EMBOÇO COM ARGAMASSA, TRAÇO 1:6 (CIMENTO E AREIA), ESP.
20MM, APLICAÇÃO MANUAL, INCLUSIVE ARGAMASSA COM
PREPARO MECANIZADO, EXCLUSIVE CHAPISCO</v>
      </c>
      <c r="S81" s="237" t="s">
        <v>650</v>
      </c>
      <c r="T81" s="207" t="n">
        <f aca="true">OFFSET(CÁLCULO!H$15,ROW($T81)-ROW(T$15),0)</f>
        <v>945.25</v>
      </c>
      <c r="U81" s="208" t="n">
        <v>34.53</v>
      </c>
      <c r="V81" s="209" t="s">
        <v>690</v>
      </c>
      <c r="W81" s="207" t="n">
        <f aca="false">IF($C81="S",ROUND(IF(TIPOORCAMENTO="Proposto",ORÇAMENTO.CustoUnitario*(1+$AH81),ORÇAMENTO.PrecoUnitarioLicitado),15-13*$AF$10),0)</f>
        <v>44.56</v>
      </c>
      <c r="X81" s="210" t="n">
        <f aca="true" t="array" ref="X81:X81">IF($C81="S",IF(OR(Import.TipoArredondamento&lt;&gt;"TransfereGOV",ACOMPANHAMENTO="BM"),VTOTAL1,SUM(OFFSET(CÁLCULO!$AQ$15,ROW($X81)-ROW($X$15),1):OFFSET(CÁLCULO!$BR$15,ROW($X81)-ROW($X$15),-1))),IF($C81=0,0,ROUND(SomaAgrup,15-13*$AF$11)))</f>
        <v>42120.25</v>
      </c>
      <c r="Y81" s="211" t="s">
        <v>781</v>
      </c>
      <c r="Z81" s="1" t="str">
        <f aca="false">IF(AND($C81="S",$X81&gt;0),IF(ISBLANK($Y81),"RA",LEFT($Y81,2)),"")</f>
        <v>RA</v>
      </c>
      <c r="AA81" s="212" t="n">
        <f aca="true">IF($C81="S",IF($Z81="CP",$X81,IF($Z81="RA",(($X81)*QCI!$AA$3),0)),SomaAgrup)</f>
        <v>4674.56964420135</v>
      </c>
      <c r="AB81" s="213" t="n">
        <f aca="true">IF($C81="S",IF($Z81="OU",ROUND($X81,2),0),SomaAgrup)</f>
        <v>0</v>
      </c>
      <c r="AC81" s="214" t="e">
        <f aca="false" t="array" ref="AC81:AC81">IF($N81=""," ",
IF(AND($C81&lt;&gt;"S",OR($R81="",$R81="(digite a descrição aqui)")),"DESCRIÇÃO",
IF(AND($C81="S",OR($Q81&lt;&gt;"",$T81&gt;0,$U81&gt;0),$P81=""),"FONTE",
IF(AND($C81="S",$P81&lt;&gt;"",OR($T81&gt;0,$U81&gt;0),$Q81=""),"CÓDIGO",
IF(AND($C81="S",$P81&lt;&gt;"",$Q81&lt;&gt;"",$R81="(Código não identificado nas referências)"),"CÓDIGO N/ID",
IF(AND($C81="S",OR($R81="",$R81="(digite a descrição aqui)"),OR($Q81&lt;&gt;"",$T81&gt;0,$U81&gt;0)),"DESCRIÇÃO",
IF(AND($C81="S",$P81&lt;&gt;"",$Q81&lt;&gt;"",$S81=""),"UNIDADE",
IF(AND($C81="S",$P81&lt;&gt;"",$Q81&lt;&gt;"",$U81=0),"SEM CUSTO",
IF(AND(_xlfn.single(TIPOORCAMENTO)="Licitado",$AL81=0,$AN81&gt;0),"SEM PREÇO",
IF(AND($C81="S",$P81&lt;&gt;"",$Q81&lt;&gt;"",$U81&gt;0,$V81=0),"BDI",
IF(OR(AND(TIPOORCAMENTO="Proposto",LEFT($O$8,5)&lt;&gt;"(N/D:",$AG81&lt;&gt;"",ORÇAMENTO.CustoUnitario&gt;$AG81),AND(TIPOORCAMENTO="LICITADO",ORÇAMENTO.PrecoUnitarioLicitado&gt;$AN81)),"ACIMA REF.",
IF(AND($C81="S",$P81&lt;&gt;"",$Q81&lt;&gt;"",$T81=0,$U81&gt;0),"QUANT.",
IF(AND(Import.TipoArredondamento="TransfereGOV",$L81="F",$C81="S",LEN($Q81)&gt;13),"Código &gt;13",
IF(AND(Import.TipoArredondamento="TransfereGOV",$L81="F",$C81&lt;&gt;"S",LEN($R81)&gt;100),"Descrição &gt;100",
IF(AND(Import.TipoArredondamento="TransfereGOV",$L81="F",$C81="S",LEN($R81)&gt;500),"Descrição &gt;500",
IF(AND(Import.TipoArredondamento="TransfereGOV",$L81="F",$C81="S",LEFT(TRIM(UPPER($P81)),6)&lt;&gt;"SINAPI",ISNA(VLOOKUP(TRIM(UPPER($S81)),ListaTgov.Unidades,1,FALSE()))),"Unid. Não Disp",
" "))))))))))))))))</f>
        <v>#NAME?</v>
      </c>
      <c r="AD81" s="1" t="str">
        <f aca="true">IF(C81&lt;=CRONO.NivelExibicao,MAX($AD$15:OFFSET(AD81,-1,0))+IF($C81&lt;&gt;1,1,MAX(1,COUNTIF(QCI!$A$13:$A$15,OFFSET($E81,-1,0)))),"")</f>
        <v/>
      </c>
      <c r="AE81" s="50" t="str">
        <f aca="false">IF(AND($C81="S",ORÇAMENTO.CodBarra&lt;&gt;""),IF(ORÇAMENTO.Fonte="",ORÇAMENTO.CodBarra,CONCATENATE(ORÇAMENTO.Fonte," ",ORÇAMENTO.CodBarra)))</f>
        <v>SICRO ED-50732</v>
      </c>
      <c r="AF81" s="65" t="str">
        <f aca="true">IF(ISERROR(INDIRECT(ORÇAMENTO.BancoRef)),"(abra o arquivo 'Referência "&amp;Excel_BuiltIn_Database&amp;".xlsm)",IF(OR($C81&lt;&gt;"S",ORÇAMENTO.CodBarra=""),"(Sem Código)",IF(ISERROR(MATCH($AE81,INDIRECT(ORÇAMENTO.BancoRef),0)),"(Código não identificado nas referências)",MATCH($AE81,INDIRECT(ORÇAMENTO.BancoRef),0))))</f>
        <v>(abra o arquivo 'Referência 07-2025.xlsm)</v>
      </c>
      <c r="AG81" s="215" t="n">
        <f aca="true">ROUND(IF(DESONERACAO="sim",REFERENCIA.Desonerado,REFERENCIA.NaoDesonerado),2)</f>
        <v>0</v>
      </c>
      <c r="AH81" s="216" t="n">
        <f aca="false">ROUND(IF(ISNUMBER(ORÇAMENTO.OpcaoBDI),ORÇAMENTO.OpcaoBDI,IF(LEFT(ORÇAMENTO.OpcaoBDI,3)="BDI",HLOOKUP(ORÇAMENTO.OpcaoBDI,$F$4:$H$5,2,FALSE()),0)),15-11*$AF$9)</f>
        <v>0.2904</v>
      </c>
      <c r="AJ81" s="217"/>
      <c r="AL81" s="218"/>
      <c r="AM81" s="219" t="n">
        <f aca="false">$X81</f>
        <v>42120.25</v>
      </c>
      <c r="AN81" s="220" t="n">
        <f aca="false">ROUND(ORÇAMENTO.CustoUnitario*(1+$AH81),2)</f>
        <v>44.56</v>
      </c>
    </row>
    <row r="82" customFormat="false" ht="12.75" hidden="false" customHeight="false" outlineLevel="0" collapsed="false">
      <c r="A82" s="1" t="n">
        <f aca="false">CHOOSE(1+LOG(1+2*(ORÇAMENTO.Nivel="Meta")+4*(ORÇAMENTO.Nivel="Nível 2")+8*(ORÇAMENTO.Nivel="Nível 3")+16*(ORÇAMENTO.Nivel="Nível 4")+32*(ORÇAMENTO.Nivel="Serviço"),2),0,1,2,3,4,"S")</f>
        <v>2</v>
      </c>
      <c r="B82" s="1" t="n">
        <f aca="true">IF(OR(C82="s",C82=0),OFFSET(B82,-1,0),C82)</f>
        <v>2</v>
      </c>
      <c r="C82" s="1" t="n">
        <f aca="true">IF(OFFSET(C82,-1,0)="L",1,IF(OFFSET(C82,-1,0)=1,2,IF(OR(A82="s",A82=0),"S",IF(AND(OFFSET(C82,-1,0)=2,A82=4),3,IF(AND(OR(OFFSET(C82,-1,0)="s",OFFSET(C82,-1,0)=0),A82&lt;&gt;"s",A82&gt;OFFSET(B82,-1,0)),OFFSET(B82,-1,0),A82)))))</f>
        <v>2</v>
      </c>
      <c r="D82" s="1" t="n">
        <f aca="false">IF(OR(C82="S",C82=0),0,IF(ISERROR(K82),J82,SMALL(J82:K82,1)))</f>
        <v>2</v>
      </c>
      <c r="E82" s="1" t="n">
        <f aca="true">IF($C82=1,OFFSET(E82,-1,0)+MAX(1,COUNTIF(QCI!$A$13:$A$15,OFFSET(ORÇAMENTO!E82,-1,0))),OFFSET(E82,-1,0))</f>
        <v>1</v>
      </c>
      <c r="F82" s="1" t="n">
        <f aca="true">IF($C82=1,0,IF($C82=2,OFFSET(F82,-1,0)+1,OFFSET(F82,-1,0)))</f>
        <v>19</v>
      </c>
      <c r="G82" s="1" t="n">
        <f aca="true">IF(AND($C82&lt;=2,$C82&lt;&gt;0),0,IF($C82=3,OFFSET(G82,-1,0)+1,OFFSET(G82,-1,0)))</f>
        <v>0</v>
      </c>
      <c r="H82" s="1" t="n">
        <f aca="true">IF(AND($C82&lt;=3,$C82&lt;&gt;0),0,IF($C82=4,OFFSET(H82,-1,0)+1,OFFSET(H82,-1,0)))</f>
        <v>0</v>
      </c>
      <c r="I82" s="1" t="n">
        <f aca="true">IF(AND($C82&lt;=4,$C82&lt;&gt;0),0,IF(AND($C82="S",$X82&gt;0),OFFSET(I82,-1,0)+1,OFFSET(I82,-1,0)))</f>
        <v>0</v>
      </c>
      <c r="J82" s="1" t="n">
        <f aca="true">IF(OR($C82="S",$C82=0),0,MATCH(0,OFFSET($D82,1,$C82,ROW($C$205)-ROW($C82)),0))</f>
        <v>123</v>
      </c>
      <c r="K82" s="1" t="n">
        <f aca="true">IF(OR($C82="S",$C82=0),0,MATCH(OFFSET($D82,0,$C82)+IF($C82&lt;&gt;1,1,COUNTIF(QCI!$A$13:$A$15,ORÇAMENTO!E82)),OFFSET($D82,1,$C82,ROW($C$205)-ROW($C82)),0))</f>
        <v>2</v>
      </c>
      <c r="L82" s="199" t="str">
        <f aca="false">IF(OR($X82&gt;0,$C82=1,$C82=2,$C82=3,$C82=4),"F","")</f>
        <v>F</v>
      </c>
      <c r="M82" s="200" t="s">
        <v>732</v>
      </c>
      <c r="N82" s="201" t="str">
        <f aca="false">CHOOSE(1+LOG(1+2*(C82=1)+4*(C82=2)+8*(C82=3)+16*(C82=4)+32*(C82="S"),2),"","Meta","Nível 2","Nível 3","Nível 4","Serviço")</f>
        <v>Nível 2</v>
      </c>
      <c r="O82" s="202" t="str">
        <f aca="false">IF(OR($C82=0,$L82=""),"-",CONCATENATE(E82&amp;".",IF(AND($A$5&gt;=2,$C82&gt;=2),F82&amp;".",""),IF(AND($A$5&gt;=3,$C82&gt;=3),G82&amp;".",""),IF(AND($A$5&gt;=4,$C82&gt;=4),H82&amp;".",""),IF($C82="S",I82&amp;".","")))</f>
        <v>1.19.</v>
      </c>
      <c r="P82" s="203" t="s">
        <v>780</v>
      </c>
      <c r="Q82" s="204" t="n">
        <v>90408</v>
      </c>
      <c r="R82" s="205" t="str">
        <f aca="false">[4]PO!$B$82</f>
        <v>REVESTIMENTOS CERÂMICOS</v>
      </c>
      <c r="S82" s="206" t="str">
        <f aca="true">REFERENCIA.Unidade</f>
        <v>-</v>
      </c>
      <c r="T82" s="207" t="n">
        <f aca="true">OFFSET(CÁLCULO!H$15,ROW($T82)-ROW(T$15),0)</f>
        <v>0</v>
      </c>
      <c r="U82" s="208"/>
      <c r="V82" s="209" t="s">
        <v>690</v>
      </c>
      <c r="W82" s="207" t="n">
        <f aca="false">IF($C82="S",ROUND(IF(TIPOORCAMENTO="Proposto",ORÇAMENTO.CustoUnitario*(1+$AH82),ORÇAMENTO.PrecoUnitarioLicitado),15-13*$AF$10),0)</f>
        <v>0</v>
      </c>
      <c r="X82" s="210" t="n">
        <f aca="true" t="array" ref="X82:X82">IF($C82="S",IF(OR(Import.TipoArredondamento&lt;&gt;"TransfereGOV",ACOMPANHAMENTO="BM"),VTOTAL1,SUM(OFFSET(CÁLCULO!$AQ$15,ROW($X82)-ROW($X$15),1):OFFSET(CÁLCULO!$BR$15,ROW($X82)-ROW($X$15),-1))),IF($C82=0,0,ROUND(SomaAgrup,15-13*$AF$11)))</f>
        <v>79438.75</v>
      </c>
      <c r="Y82" s="211" t="s">
        <v>781</v>
      </c>
      <c r="Z82" s="1" t="str">
        <f aca="false">IF(AND($C82="S",$X82&gt;0),IF(ISBLANK($Y82),"RA",LEFT($Y82,2)),"")</f>
        <v/>
      </c>
      <c r="AA82" s="212" t="n">
        <f aca="true">IF($C82="S",IF($Z82="CP",$X82,IF($Z82="RA",(($X82)*QCI!$AA$3),0)),SomaAgrup)</f>
        <v>8816.23374323039</v>
      </c>
      <c r="AB82" s="213" t="n">
        <f aca="true">IF($C82="S",IF($Z82="OU",ROUND($X82,2),0),SomaAgrup)</f>
        <v>0</v>
      </c>
      <c r="AC82" s="214" t="e">
        <f aca="false" t="array" ref="AC82:AC82">IF($N82=""," ",
IF(AND($C82&lt;&gt;"S",OR($R82="",$R82="(digite a descrição aqui)")),"DESCRIÇÃO",
IF(AND($C82="S",OR($Q82&lt;&gt;"",$T82&gt;0,$U82&gt;0),$P82=""),"FONTE",
IF(AND($C82="S",$P82&lt;&gt;"",OR($T82&gt;0,$U82&gt;0),$Q82=""),"CÓDIGO",
IF(AND($C82="S",$P82&lt;&gt;"",$Q82&lt;&gt;"",$R82="(Código não identificado nas referências)"),"CÓDIGO N/ID",
IF(AND($C82="S",OR($R82="",$R82="(digite a descrição aqui)"),OR($Q82&lt;&gt;"",$T82&gt;0,$U82&gt;0)),"DESCRIÇÃO",
IF(AND($C82="S",$P82&lt;&gt;"",$Q82&lt;&gt;"",$S82=""),"UNIDADE",
IF(AND($C82="S",$P82&lt;&gt;"",$Q82&lt;&gt;"",$U82=0),"SEM CUSTO",
IF(AND(_xlfn.single(TIPOORCAMENTO)="Licitado",$AL82=0,$AN82&gt;0),"SEM PREÇO",
IF(AND($C82="S",$P82&lt;&gt;"",$Q82&lt;&gt;"",$U82&gt;0,$V82=0),"BDI",
IF(OR(AND(TIPOORCAMENTO="Proposto",LEFT($O$8,5)&lt;&gt;"(N/D:",$AG82&lt;&gt;"",ORÇAMENTO.CustoUnitario&gt;$AG82),AND(TIPOORCAMENTO="LICITADO",ORÇAMENTO.PrecoUnitarioLicitado&gt;$AN82)),"ACIMA REF.",
IF(AND($C82="S",$P82&lt;&gt;"",$Q82&lt;&gt;"",$T82=0,$U82&gt;0),"QUANT.",
IF(AND(Import.TipoArredondamento="TransfereGOV",$L82="F",$C82="S",LEN($Q82)&gt;13),"Código &gt;13",
IF(AND(Import.TipoArredondamento="TransfereGOV",$L82="F",$C82&lt;&gt;"S",LEN($R82)&gt;100),"Descrição &gt;100",
IF(AND(Import.TipoArredondamento="TransfereGOV",$L82="F",$C82="S",LEN($R82)&gt;500),"Descrição &gt;500",
IF(AND(Import.TipoArredondamento="TransfereGOV",$L82="F",$C82="S",LEFT(TRIM(UPPER($P82)),6)&lt;&gt;"SINAPI",ISNA(VLOOKUP(TRIM(UPPER($S82)),ListaTgov.Unidades,1,FALSE()))),"Unid. Não Disp",
" "))))))))))))))))</f>
        <v>#NAME?</v>
      </c>
      <c r="AD82" s="38" t="n">
        <f aca="true">IF(C82&lt;=CRONO.NivelExibicao,MAX($AD$15:OFFSET(AD82,-1,0))+IF($C82&lt;&gt;1,1,MAX(1,COUNTIF(QCI!$A$13:$A$15,OFFSET($E82,-1,0)))),"")</f>
        <v>20</v>
      </c>
      <c r="AE82" s="50" t="b">
        <f aca="false">IF(AND($C82="S",ORÇAMENTO.CodBarra&lt;&gt;""),IF(ORÇAMENTO.Fonte="",ORÇAMENTO.CodBarra,CONCATENATE(ORÇAMENTO.Fonte," ",ORÇAMENTO.CodBarra)))</f>
        <v>0</v>
      </c>
      <c r="AF82" s="65" t="str">
        <f aca="true">IF(ISERROR(INDIRECT(ORÇAMENTO.BancoRef)),"(abra o arquivo 'Referência "&amp;Excel_BuiltIn_Database&amp;".xlsm)",IF(OR($C82&lt;&gt;"S",ORÇAMENTO.CodBarra=""),"(Sem Código)",IF(ISERROR(MATCH($AE82,INDIRECT(ORÇAMENTO.BancoRef),0)),"(Código não identificado nas referências)",MATCH($AE82,INDIRECT(ORÇAMENTO.BancoRef),0))))</f>
        <v>(abra o arquivo 'Referência 07-2025.xlsm)</v>
      </c>
      <c r="AG82" s="215" t="n">
        <f aca="true">ROUND(IF(DESONERACAO="sim",REFERENCIA.Desonerado,REFERENCIA.NaoDesonerado),2)</f>
        <v>0</v>
      </c>
      <c r="AH82" s="216" t="n">
        <f aca="false">ROUND(IF(ISNUMBER(ORÇAMENTO.OpcaoBDI),ORÇAMENTO.OpcaoBDI,IF(LEFT(ORÇAMENTO.OpcaoBDI,3)="BDI",HLOOKUP(ORÇAMENTO.OpcaoBDI,$F$4:$H$5,2,FALSE()),0)),15-11*$AF$9)</f>
        <v>0.2904</v>
      </c>
      <c r="AJ82" s="217"/>
      <c r="AL82" s="218"/>
      <c r="AM82" s="219" t="n">
        <f aca="false">$X82</f>
        <v>79438.75</v>
      </c>
      <c r="AN82" s="220" t="n">
        <f aca="false">ROUND(ORÇAMENTO.CustoUnitario*(1+$AH82),2)</f>
        <v>0</v>
      </c>
    </row>
    <row r="83" customFormat="false" ht="35.05" hidden="false" customHeight="false" outlineLevel="0" collapsed="false">
      <c r="A83" s="1" t="str">
        <f aca="false">CHOOSE(1+LOG(1+2*(ORÇAMENTO.Nivel="Meta")+4*(ORÇAMENTO.Nivel="Nível 2")+8*(ORÇAMENTO.Nivel="Nível 3")+16*(ORÇAMENTO.Nivel="Nível 4")+32*(ORÇAMENTO.Nivel="Serviço"),2),0,1,2,3,4,"S")</f>
        <v>S</v>
      </c>
      <c r="B83" s="1" t="n">
        <f aca="true">IF(OR(C83="s",C83=0),OFFSET(B83,-1,0),C83)</f>
        <v>2</v>
      </c>
      <c r="C83" s="1" t="str">
        <f aca="true">IF(OFFSET(C83,-1,0)="L",1,IF(OFFSET(C83,-1,0)=1,2,IF(OR(A83="s",A83=0),"S",IF(AND(OFFSET(C83,-1,0)=2,A83=4),3,IF(AND(OR(OFFSET(C83,-1,0)="s",OFFSET(C83,-1,0)=0),A83&lt;&gt;"s",A83&gt;OFFSET(B83,-1,0)),OFFSET(B83,-1,0),A83)))))</f>
        <v>S</v>
      </c>
      <c r="D83" s="1" t="n">
        <f aca="false">IF(OR(C83="S",C83=0),0,IF(ISERROR(K83),J83,SMALL(J83:K83,1)))</f>
        <v>0</v>
      </c>
      <c r="E83" s="1" t="n">
        <f aca="true">IF($C83=1,OFFSET(E83,-1,0)+MAX(1,COUNTIF(QCI!$A$13:$A$15,OFFSET(ORÇAMENTO!E83,-1,0))),OFFSET(E83,-1,0))</f>
        <v>1</v>
      </c>
      <c r="F83" s="1" t="n">
        <f aca="true">IF($C83=1,0,IF($C83=2,OFFSET(F83,-1,0)+1,OFFSET(F83,-1,0)))</f>
        <v>19</v>
      </c>
      <c r="G83" s="1" t="n">
        <f aca="true">IF(AND($C83&lt;=2,$C83&lt;&gt;0),0,IF($C83=3,OFFSET(G83,-1,0)+1,OFFSET(G83,-1,0)))</f>
        <v>0</v>
      </c>
      <c r="H83" s="1" t="n">
        <f aca="true">IF(AND($C83&lt;=3,$C83&lt;&gt;0),0,IF($C83=4,OFFSET(H83,-1,0)+1,OFFSET(H83,-1,0)))</f>
        <v>0</v>
      </c>
      <c r="I83" s="1" t="n">
        <f aca="true">IF(AND($C83&lt;=4,$C83&lt;&gt;0),0,IF(AND($C83="S",$X83&gt;0),OFFSET(I83,-1,0)+1,OFFSET(I83,-1,0)))</f>
        <v>1</v>
      </c>
      <c r="J83" s="1" t="n">
        <f aca="true">IF(OR($C83="S",$C83=0),0,MATCH(0,OFFSET($D83,1,$C83,ROW($C$205)-ROW($C83)),0))</f>
        <v>0</v>
      </c>
      <c r="K83" s="1" t="n">
        <f aca="true">IF(OR($C83="S",$C83=0),0,MATCH(OFFSET($D83,0,$C83)+IF($C83&lt;&gt;1,1,COUNTIF(QCI!$A$13:$A$15,ORÇAMENTO!E83)),OFFSET($D83,1,$C83,ROW($C$205)-ROW($C83)),0))</f>
        <v>0</v>
      </c>
      <c r="L83" s="199" t="str">
        <f aca="false">IF(OR($X83&gt;0,$C83=1,$C83=2,$C83=3,$C83=4),"F","")</f>
        <v>F</v>
      </c>
      <c r="M83" s="200" t="s">
        <v>735</v>
      </c>
      <c r="N83" s="201" t="str">
        <f aca="false">CHOOSE(1+LOG(1+2*(C83=1)+4*(C83=2)+8*(C83=3)+16*(C83=4)+32*(C83="S"),2),"","Meta","Nível 2","Nível 3","Nível 4","Serviço")</f>
        <v>Serviço</v>
      </c>
      <c r="O83" s="202" t="str">
        <f aca="false">IF(OR($C83=0,$L83=""),"-",CONCATENATE(E83&amp;".",IF(AND($A$5&gt;=2,$C83&gt;=2),F83&amp;".",""),IF(AND($A$5&gt;=3,$C83&gt;=3),G83&amp;".",""),IF(AND($A$5&gt;=4,$C83&gt;=4),H83&amp;".",""),IF($C83="S",I83&amp;".","")))</f>
        <v>1.19.1.</v>
      </c>
      <c r="P83" s="203" t="s">
        <v>780</v>
      </c>
      <c r="Q83" s="204" t="n">
        <v>87273</v>
      </c>
      <c r="R83" s="205" t="str">
        <f aca="false">[3]ORÇAMENTO!$R$55</f>
        <v>REVESTIMENTO CERÂMICO PARA PAREDES INTERNAS COM PLACAS TIPO ESMALTADA DE DIMENSÕES 33X45 CM APLICADAS NA ALTURA INTEIRA DAS PAREDES.</v>
      </c>
      <c r="S83" s="206" t="s">
        <v>650</v>
      </c>
      <c r="T83" s="207" t="n">
        <f aca="true">OFFSET(CÁLCULO!H$15,ROW($T83)-ROW(T$15),0)</f>
        <v>945.25</v>
      </c>
      <c r="U83" s="208" t="n">
        <v>65.13</v>
      </c>
      <c r="V83" s="209" t="s">
        <v>690</v>
      </c>
      <c r="W83" s="207" t="n">
        <f aca="false">IF($C83="S",ROUND(IF(TIPOORCAMENTO="Proposto",ORÇAMENTO.CustoUnitario*(1+$AH83),ORÇAMENTO.PrecoUnitarioLicitado),15-13*$AF$10),0)</f>
        <v>84.04</v>
      </c>
      <c r="X83" s="210" t="n">
        <f aca="true" t="array" ref="X83:X83">IF($C83="S",IF(OR(Import.TipoArredondamento&lt;&gt;"TransfereGOV",ACOMPANHAMENTO="BM"),VTOTAL1,SUM(OFFSET(CÁLCULO!$AQ$15,ROW($X83)-ROW($X$15),1):OFFSET(CÁLCULO!$BR$15,ROW($X83)-ROW($X$15),-1))),IF($C83=0,0,ROUND(SomaAgrup,15-13*$AF$11)))</f>
        <v>79438.75</v>
      </c>
      <c r="Y83" s="211" t="s">
        <v>781</v>
      </c>
      <c r="Z83" s="1" t="str">
        <f aca="false">IF(AND($C83="S",$X83&gt;0),IF(ISBLANK($Y83),"RA",LEFT($Y83,2)),"")</f>
        <v>RA</v>
      </c>
      <c r="AA83" s="212" t="n">
        <f aca="true">IF($C83="S",IF($Z83="CP",$X83,IF($Z83="RA",(($X83)*QCI!$AA$3),0)),SomaAgrup)</f>
        <v>8816.23374323039</v>
      </c>
      <c r="AB83" s="213" t="n">
        <f aca="true">IF($C83="S",IF($Z83="OU",ROUND($X83,2),0),SomaAgrup)</f>
        <v>0</v>
      </c>
      <c r="AC83" s="214" t="e">
        <f aca="false" t="array" ref="AC83:AC83">IF($N83=""," ",
IF(AND($C83&lt;&gt;"S",OR($R83="",$R83="(digite a descrição aqui)")),"DESCRIÇÃO",
IF(AND($C83="S",OR($Q83&lt;&gt;"",$T83&gt;0,$U83&gt;0),$P83=""),"FONTE",
IF(AND($C83="S",$P83&lt;&gt;"",OR($T83&gt;0,$U83&gt;0),$Q83=""),"CÓDIGO",
IF(AND($C83="S",$P83&lt;&gt;"",$Q83&lt;&gt;"",$R83="(Código não identificado nas referências)"),"CÓDIGO N/ID",
IF(AND($C83="S",OR($R83="",$R83="(digite a descrição aqui)"),OR($Q83&lt;&gt;"",$T83&gt;0,$U83&gt;0)),"DESCRIÇÃO",
IF(AND($C83="S",$P83&lt;&gt;"",$Q83&lt;&gt;"",$S83=""),"UNIDADE",
IF(AND($C83="S",$P83&lt;&gt;"",$Q83&lt;&gt;"",$U83=0),"SEM CUSTO",
IF(AND(_xlfn.single(TIPOORCAMENTO)="Licitado",$AL83=0,$AN83&gt;0),"SEM PREÇO",
IF(AND($C83="S",$P83&lt;&gt;"",$Q83&lt;&gt;"",$U83&gt;0,$V83=0),"BDI",
IF(OR(AND(TIPOORCAMENTO="Proposto",LEFT($O$8,5)&lt;&gt;"(N/D:",$AG83&lt;&gt;"",ORÇAMENTO.CustoUnitario&gt;$AG83),AND(TIPOORCAMENTO="LICITADO",ORÇAMENTO.PrecoUnitarioLicitado&gt;$AN83)),"ACIMA REF.",
IF(AND($C83="S",$P83&lt;&gt;"",$Q83&lt;&gt;"",$T83=0,$U83&gt;0),"QUANT.",
IF(AND(Import.TipoArredondamento="TransfereGOV",$L83="F",$C83="S",LEN($Q83)&gt;13),"Código &gt;13",
IF(AND(Import.TipoArredondamento="TransfereGOV",$L83="F",$C83&lt;&gt;"S",LEN($R83)&gt;100),"Descrição &gt;100",
IF(AND(Import.TipoArredondamento="TransfereGOV",$L83="F",$C83="S",LEN($R83)&gt;500),"Descrição &gt;500",
IF(AND(Import.TipoArredondamento="TransfereGOV",$L83="F",$C83="S",LEFT(TRIM(UPPER($P83)),6)&lt;&gt;"SINAPI",ISNA(VLOOKUP(TRIM(UPPER($S83)),ListaTgov.Unidades,1,FALSE()))),"Unid. Não Disp",
" "))))))))))))))))</f>
        <v>#NAME?</v>
      </c>
      <c r="AD83" s="1" t="str">
        <f aca="true">IF(C83&lt;=CRONO.NivelExibicao,MAX($AD$15:OFFSET(AD83,-1,0))+IF($C83&lt;&gt;1,1,MAX(1,COUNTIF(QCI!$A$13:$A$15,OFFSET($E83,-1,0)))),"")</f>
        <v/>
      </c>
      <c r="AE83" s="50" t="str">
        <f aca="false">IF(AND($C83="S",ORÇAMENTO.CodBarra&lt;&gt;""),IF(ORÇAMENTO.Fonte="",ORÇAMENTO.CodBarra,CONCATENATE(ORÇAMENTO.Fonte," ",ORÇAMENTO.CodBarra)))</f>
        <v>SINAPI 87273</v>
      </c>
      <c r="AF83" s="65" t="str">
        <f aca="true">IF(ISERROR(INDIRECT(ORÇAMENTO.BancoRef)),"(abra o arquivo 'Referência "&amp;Excel_BuiltIn_Database&amp;".xlsm)",IF(OR($C83&lt;&gt;"S",ORÇAMENTO.CodBarra=""),"(Sem Código)",IF(ISERROR(MATCH($AE83,INDIRECT(ORÇAMENTO.BancoRef),0)),"(Código não identificado nas referências)",MATCH($AE83,INDIRECT(ORÇAMENTO.BancoRef),0))))</f>
        <v>(abra o arquivo 'Referência 07-2025.xlsm)</v>
      </c>
      <c r="AG83" s="215" t="n">
        <f aca="true">ROUND(IF(DESONERACAO="sim",REFERENCIA.Desonerado,REFERENCIA.NaoDesonerado),2)</f>
        <v>0</v>
      </c>
      <c r="AH83" s="216" t="n">
        <f aca="false">ROUND(IF(ISNUMBER(ORÇAMENTO.OpcaoBDI),ORÇAMENTO.OpcaoBDI,IF(LEFT(ORÇAMENTO.OpcaoBDI,3)="BDI",HLOOKUP(ORÇAMENTO.OpcaoBDI,$F$4:$H$5,2,FALSE()),0)),15-11*$AF$9)</f>
        <v>0.2904</v>
      </c>
      <c r="AJ83" s="217"/>
      <c r="AL83" s="218"/>
      <c r="AM83" s="219" t="n">
        <f aca="false">$X83</f>
        <v>79438.75</v>
      </c>
      <c r="AN83" s="220" t="n">
        <f aca="false">ROUND(ORÇAMENTO.CustoUnitario*(1+$AH83),2)</f>
        <v>84.04</v>
      </c>
    </row>
    <row r="84" customFormat="false" ht="12.75" hidden="false" customHeight="false" outlineLevel="0" collapsed="false">
      <c r="A84" s="1" t="n">
        <f aca="false">CHOOSE(1+LOG(1+2*(ORÇAMENTO.Nivel="Meta")+4*(ORÇAMENTO.Nivel="Nível 2")+8*(ORÇAMENTO.Nivel="Nível 3")+16*(ORÇAMENTO.Nivel="Nível 4")+32*(ORÇAMENTO.Nivel="Serviço"),2),0,1,2,3,4,"S")</f>
        <v>2</v>
      </c>
      <c r="B84" s="1" t="n">
        <f aca="true">IF(OR(C84="s",C84=0),OFFSET(B84,-1,0),C84)</f>
        <v>2</v>
      </c>
      <c r="C84" s="1" t="n">
        <f aca="true">IF(OFFSET(C84,-1,0)="L",1,IF(OFFSET(C84,-1,0)=1,2,IF(OR(A84="s",A84=0),"S",IF(AND(OFFSET(C84,-1,0)=2,A84=4),3,IF(AND(OR(OFFSET(C84,-1,0)="s",OFFSET(C84,-1,0)=0),A84&lt;&gt;"s",A84&gt;OFFSET(B84,-1,0)),OFFSET(B84,-1,0),A84)))))</f>
        <v>2</v>
      </c>
      <c r="D84" s="1" t="n">
        <f aca="false">IF(OR(C84="S",C84=0),0,IF(ISERROR(K84),J84,SMALL(J84:K84,1)))</f>
        <v>3</v>
      </c>
      <c r="E84" s="1" t="n">
        <f aca="true">IF($C84=1,OFFSET(E84,-1,0)+MAX(1,COUNTIF(QCI!$A$13:$A$15,OFFSET(ORÇAMENTO!E84,-1,0))),OFFSET(E84,-1,0))</f>
        <v>1</v>
      </c>
      <c r="F84" s="1" t="n">
        <f aca="true">IF($C84=1,0,IF($C84=2,OFFSET(F84,-1,0)+1,OFFSET(F84,-1,0)))</f>
        <v>20</v>
      </c>
      <c r="G84" s="1" t="n">
        <f aca="true">IF(AND($C84&lt;=2,$C84&lt;&gt;0),0,IF($C84=3,OFFSET(G84,-1,0)+1,OFFSET(G84,-1,0)))</f>
        <v>0</v>
      </c>
      <c r="H84" s="1" t="n">
        <f aca="true">IF(AND($C84&lt;=3,$C84&lt;&gt;0),0,IF($C84=4,OFFSET(H84,-1,0)+1,OFFSET(H84,-1,0)))</f>
        <v>0</v>
      </c>
      <c r="I84" s="1" t="n">
        <f aca="true">IF(AND($C84&lt;=4,$C84&lt;&gt;0),0,IF(AND($C84="S",$X84&gt;0),OFFSET(I84,-1,0)+1,OFFSET(I84,-1,0)))</f>
        <v>0</v>
      </c>
      <c r="J84" s="1" t="n">
        <f aca="true">IF(OR($C84="S",$C84=0),0,MATCH(0,OFFSET($D84,1,$C84,ROW($C$205)-ROW($C84)),0))</f>
        <v>121</v>
      </c>
      <c r="K84" s="1" t="n">
        <f aca="true">IF(OR($C84="S",$C84=0),0,MATCH(OFFSET($D84,0,$C84)+IF($C84&lt;&gt;1,1,COUNTIF(QCI!$A$13:$A$15,ORÇAMENTO!E84)),OFFSET($D84,1,$C84,ROW($C$205)-ROW($C84)),0))</f>
        <v>3</v>
      </c>
      <c r="L84" s="199" t="str">
        <f aca="false">IF(OR($X84&gt;0,$C84=1,$C84=2,$C84=3,$C84=4),"F","")</f>
        <v>F</v>
      </c>
      <c r="M84" s="200" t="s">
        <v>732</v>
      </c>
      <c r="N84" s="201" t="str">
        <f aca="false">CHOOSE(1+LOG(1+2*(C84=1)+4*(C84=2)+8*(C84=3)+16*(C84=4)+32*(C84="S"),2),"","Meta","Nível 2","Nível 3","Nível 4","Serviço")</f>
        <v>Nível 2</v>
      </c>
      <c r="O84" s="202" t="str">
        <f aca="false">IF(OR($C84=0,$L84=""),"-",CONCATENATE(E84&amp;".",IF(AND($A$5&gt;=2,$C84&gt;=2),F84&amp;".",""),IF(AND($A$5&gt;=3,$C84&gt;=3),G84&amp;".",""),IF(AND($A$5&gt;=4,$C84&gt;=4),H84&amp;".",""),IF($C84="S",I84&amp;".","")))</f>
        <v>1.20.</v>
      </c>
      <c r="P84" s="203" t="s">
        <v>780</v>
      </c>
      <c r="Q84" s="204" t="n">
        <v>9867</v>
      </c>
      <c r="R84" s="205" t="str">
        <f aca="false">[4]PO!$B$85</f>
        <v>REVESTIMENTOS EXTERNOS</v>
      </c>
      <c r="S84" s="206" t="s">
        <v>648</v>
      </c>
      <c r="T84" s="207" t="n">
        <f aca="true">OFFSET(CÁLCULO!H$15,ROW($T84)-ROW(T$15),0)</f>
        <v>0</v>
      </c>
      <c r="U84" s="208" t="n">
        <v>20.26</v>
      </c>
      <c r="V84" s="209" t="s">
        <v>690</v>
      </c>
      <c r="W84" s="207" t="n">
        <f aca="false">IF($C84="S",ROUND(IF(TIPOORCAMENTO="Proposto",ORÇAMENTO.CustoUnitario*(1+$AH84),ORÇAMENTO.PrecoUnitarioLicitado),15-13*$AF$10),0)</f>
        <v>0</v>
      </c>
      <c r="X84" s="210" t="n">
        <f aca="true" t="array" ref="X84:X84">IF($C84="S",IF(OR(Import.TipoArredondamento&lt;&gt;"TransfereGOV",ACOMPANHAMENTO="BM"),VTOTAL1,SUM(OFFSET(CÁLCULO!$AQ$15,ROW($X84)-ROW($X$15),1):OFFSET(CÁLCULO!$BR$15,ROW($X84)-ROW($X$15),-1))),IF($C84=0,0,ROUND(SomaAgrup,15-13*$AF$11)))</f>
        <v>191721.25</v>
      </c>
      <c r="Y84" s="211" t="s">
        <v>781</v>
      </c>
      <c r="Z84" s="1" t="str">
        <f aca="false">IF(AND($C84="S",$X84&gt;0),IF(ISBLANK($Y84),"RA",LEFT($Y84,2)),"")</f>
        <v/>
      </c>
      <c r="AA84" s="212" t="n">
        <f aca="true">IF($C84="S",IF($Z84="CP",$X84,IF($Z84="RA",(($X84)*QCI!$AA$3),0)),SomaAgrup)</f>
        <v>21277.5169995035</v>
      </c>
      <c r="AB84" s="213" t="n">
        <f aca="true">IF($C84="S",IF($Z84="OU",ROUND($X84,2),0),SomaAgrup)</f>
        <v>0</v>
      </c>
      <c r="AC84" s="214" t="e">
        <f aca="false" t="array" ref="AC84:AC84">IF($N84=""," ",
IF(AND($C84&lt;&gt;"S",OR($R84="",$R84="(digite a descrição aqui)")),"DESCRIÇÃO",
IF(AND($C84="S",OR($Q84&lt;&gt;"",$T84&gt;0,$U84&gt;0),$P84=""),"FONTE",
IF(AND($C84="S",$P84&lt;&gt;"",OR($T84&gt;0,$U84&gt;0),$Q84=""),"CÓDIGO",
IF(AND($C84="S",$P84&lt;&gt;"",$Q84&lt;&gt;"",$R84="(Código não identificado nas referências)"),"CÓDIGO N/ID",
IF(AND($C84="S",OR($R84="",$R84="(digite a descrição aqui)"),OR($Q84&lt;&gt;"",$T84&gt;0,$U84&gt;0)),"DESCRIÇÃO",
IF(AND($C84="S",$P84&lt;&gt;"",$Q84&lt;&gt;"",$S84=""),"UNIDADE",
IF(AND($C84="S",$P84&lt;&gt;"",$Q84&lt;&gt;"",$U84=0),"SEM CUSTO",
IF(AND(_xlfn.single(TIPOORCAMENTO)="Licitado",$AL84=0,$AN84&gt;0),"SEM PREÇO",
IF(AND($C84="S",$P84&lt;&gt;"",$Q84&lt;&gt;"",$U84&gt;0,$V84=0),"BDI",
IF(OR(AND(TIPOORCAMENTO="Proposto",LEFT($O$8,5)&lt;&gt;"(N/D:",$AG84&lt;&gt;"",ORÇAMENTO.CustoUnitario&gt;$AG84),AND(TIPOORCAMENTO="LICITADO",ORÇAMENTO.PrecoUnitarioLicitado&gt;$AN84)),"ACIMA REF.",
IF(AND($C84="S",$P84&lt;&gt;"",$Q84&lt;&gt;"",$T84=0,$U84&gt;0),"QUANT.",
IF(AND(Import.TipoArredondamento="TransfereGOV",$L84="F",$C84="S",LEN($Q84)&gt;13),"Código &gt;13",
IF(AND(Import.TipoArredondamento="TransfereGOV",$L84="F",$C84&lt;&gt;"S",LEN($R84)&gt;100),"Descrição &gt;100",
IF(AND(Import.TipoArredondamento="TransfereGOV",$L84="F",$C84="S",LEN($R84)&gt;500),"Descrição &gt;500",
IF(AND(Import.TipoArredondamento="TransfereGOV",$L84="F",$C84="S",LEFT(TRIM(UPPER($P84)),6)&lt;&gt;"SINAPI",ISNA(VLOOKUP(TRIM(UPPER($S84)),ListaTgov.Unidades,1,FALSE()))),"Unid. Não Disp",
" "))))))))))))))))</f>
        <v>#NAME?</v>
      </c>
      <c r="AD84" s="38" t="n">
        <f aca="true">IF(C84&lt;=CRONO.NivelExibicao,MAX($AD$15:OFFSET(AD84,-1,0))+IF($C84&lt;&gt;1,1,MAX(1,COUNTIF(QCI!$A$13:$A$15,OFFSET($E84,-1,0)))),"")</f>
        <v>21</v>
      </c>
      <c r="AE84" s="50" t="b">
        <f aca="false">IF(AND($C84="S",ORÇAMENTO.CodBarra&lt;&gt;""),IF(ORÇAMENTO.Fonte="",ORÇAMENTO.CodBarra,CONCATENATE(ORÇAMENTO.Fonte," ",ORÇAMENTO.CodBarra)))</f>
        <v>0</v>
      </c>
      <c r="AF84" s="65" t="str">
        <f aca="true">IF(ISERROR(INDIRECT(ORÇAMENTO.BancoRef)),"(abra o arquivo 'Referência "&amp;Excel_BuiltIn_Database&amp;".xlsm)",IF(OR($C84&lt;&gt;"S",ORÇAMENTO.CodBarra=""),"(Sem Código)",IF(ISERROR(MATCH($AE84,INDIRECT(ORÇAMENTO.BancoRef),0)),"(Código não identificado nas referências)",MATCH($AE84,INDIRECT(ORÇAMENTO.BancoRef),0))))</f>
        <v>(abra o arquivo 'Referência 07-2025.xlsm)</v>
      </c>
      <c r="AG84" s="215" t="n">
        <f aca="true">ROUND(IF(DESONERACAO="sim",REFERENCIA.Desonerado,REFERENCIA.NaoDesonerado),2)</f>
        <v>0</v>
      </c>
      <c r="AH84" s="216" t="n">
        <f aca="false">ROUND(IF(ISNUMBER(ORÇAMENTO.OpcaoBDI),ORÇAMENTO.OpcaoBDI,IF(LEFT(ORÇAMENTO.OpcaoBDI,3)="BDI",HLOOKUP(ORÇAMENTO.OpcaoBDI,$F$4:$H$5,2,FALSE()),0)),15-11*$AF$9)</f>
        <v>0.2904</v>
      </c>
      <c r="AJ84" s="217"/>
      <c r="AL84" s="218"/>
      <c r="AM84" s="219" t="n">
        <f aca="false">$X84</f>
        <v>191721.25</v>
      </c>
      <c r="AN84" s="220" t="n">
        <f aca="false">ROUND(ORÇAMENTO.CustoUnitario*(1+$AH84),2)</f>
        <v>26.14</v>
      </c>
    </row>
    <row r="85" customFormat="false" ht="35.05" hidden="false" customHeight="false" outlineLevel="0" collapsed="false">
      <c r="A85" s="1" t="str">
        <f aca="false">CHOOSE(1+LOG(1+2*(ORÇAMENTO.Nivel="Meta")+4*(ORÇAMENTO.Nivel="Nível 2")+8*(ORÇAMENTO.Nivel="Nível 3")+16*(ORÇAMENTO.Nivel="Nível 4")+32*(ORÇAMENTO.Nivel="Serviço"),2),0,1,2,3,4,"S")</f>
        <v>S</v>
      </c>
      <c r="B85" s="1" t="n">
        <f aca="true">IF(OR(C85="s",C85=0),OFFSET(B85,-1,0),C85)</f>
        <v>2</v>
      </c>
      <c r="C85" s="1" t="str">
        <f aca="true">IF(OFFSET(C85,-1,0)="L",1,IF(OFFSET(C85,-1,0)=1,2,IF(OR(A85="s",A85=0),"S",IF(AND(OFFSET(C85,-1,0)=2,A85=4),3,IF(AND(OR(OFFSET(C85,-1,0)="s",OFFSET(C85,-1,0)=0),A85&lt;&gt;"s",A85&gt;OFFSET(B85,-1,0)),OFFSET(B85,-1,0),A85)))))</f>
        <v>S</v>
      </c>
      <c r="D85" s="1" t="n">
        <f aca="false">IF(OR(C85="S",C85=0),0,IF(ISERROR(K85),J85,SMALL(J85:K85,1)))</f>
        <v>0</v>
      </c>
      <c r="E85" s="1" t="n">
        <f aca="true">IF($C85=1,OFFSET(E85,-1,0)+MAX(1,COUNTIF(QCI!$A$13:$A$15,OFFSET(ORÇAMENTO!E85,-1,0))),OFFSET(E85,-1,0))</f>
        <v>1</v>
      </c>
      <c r="F85" s="1" t="n">
        <f aca="true">IF($C85=1,0,IF($C85=2,OFFSET(F85,-1,0)+1,OFFSET(F85,-1,0)))</f>
        <v>20</v>
      </c>
      <c r="G85" s="1" t="n">
        <f aca="true">IF(AND($C85&lt;=2,$C85&lt;&gt;0),0,IF($C85=3,OFFSET(G85,-1,0)+1,OFFSET(G85,-1,0)))</f>
        <v>0</v>
      </c>
      <c r="H85" s="1" t="n">
        <f aca="true">IF(AND($C85&lt;=3,$C85&lt;&gt;0),0,IF($C85=4,OFFSET(H85,-1,0)+1,OFFSET(H85,-1,0)))</f>
        <v>0</v>
      </c>
      <c r="I85" s="1" t="n">
        <f aca="true">IF(AND($C85&lt;=4,$C85&lt;&gt;0),0,IF(AND($C85="S",$X85&gt;0),OFFSET(I85,-1,0)+1,OFFSET(I85,-1,0)))</f>
        <v>1</v>
      </c>
      <c r="J85" s="1" t="n">
        <f aca="true">IF(OR($C85="S",$C85=0),0,MATCH(0,OFFSET($D85,1,$C85,ROW($C$205)-ROW($C85)),0))</f>
        <v>0</v>
      </c>
      <c r="K85" s="1" t="n">
        <f aca="true">IF(OR($C85="S",$C85=0),0,MATCH(OFFSET($D85,0,$C85)+IF($C85&lt;&gt;1,1,COUNTIF(QCI!$A$13:$A$15,ORÇAMENTO!E85)),OFFSET($D85,1,$C85,ROW($C$205)-ROW($C85)),0))</f>
        <v>0</v>
      </c>
      <c r="L85" s="199" t="str">
        <f aca="false">IF(OR($X85&gt;0,$C85=1,$C85=2,$C85=3,$C85=4),"F","")</f>
        <v>F</v>
      </c>
      <c r="M85" s="200" t="s">
        <v>735</v>
      </c>
      <c r="N85" s="201" t="str">
        <f aca="false">CHOOSE(1+LOG(1+2*(C85=1)+4*(C85=2)+8*(C85=3)+16*(C85=4)+32*(C85="S"),2),"","Meta","Nível 2","Nível 3","Nível 4","Serviço")</f>
        <v>Serviço</v>
      </c>
      <c r="O85" s="202" t="str">
        <f aca="false">IF(OR($C85=0,$L85=""),"-",CONCATENATE(E85&amp;".",IF(AND($A$5&gt;=2,$C85&gt;=2),F85&amp;".",""),IF(AND($A$5&gt;=3,$C85&gt;=3),G85&amp;".",""),IF(AND($A$5&gt;=4,$C85&gt;=4),H85&amp;".",""),IF($C85="S",I85&amp;".","")))</f>
        <v>1.20.1.</v>
      </c>
      <c r="P85" s="203" t="s">
        <v>780</v>
      </c>
      <c r="Q85" s="204" t="n">
        <v>87905</v>
      </c>
      <c r="R85" s="205" t="str">
        <f aca="false">[4]PO!$D$86</f>
        <v>CHAPISCO APLICADO EM ALVENARIA (COM PRESENÇA DE VÃOS) E ESTRUTURAS DE CONCRETO DE FACHADA, COM COLHER DE PEDREIRO. ARGAMASSA TRAÇO 1:3 COM PREPARO EM BETONEIRA 400L. AF_10/2022</v>
      </c>
      <c r="S85" s="206" t="s">
        <v>650</v>
      </c>
      <c r="T85" s="207" t="n">
        <f aca="true">OFFSET(CÁLCULO!H$15,ROW($T85)-ROW(T$15),0)</f>
        <v>3307.25</v>
      </c>
      <c r="U85" s="208" t="n">
        <f aca="false">[2]PO!$G$86</f>
        <v>8.33</v>
      </c>
      <c r="V85" s="209" t="s">
        <v>690</v>
      </c>
      <c r="W85" s="207" t="n">
        <f aca="false">IF($C85="S",ROUND(IF(TIPOORCAMENTO="Proposto",ORÇAMENTO.CustoUnitario*(1+$AH85),ORÇAMENTO.PrecoUnitarioLicitado),15-13*$AF$10),0)</f>
        <v>10.75</v>
      </c>
      <c r="X85" s="210" t="n">
        <f aca="true" t="array" ref="X85:X85">IF($C85="S",IF(OR(Import.TipoArredondamento&lt;&gt;"TransfereGOV",ACOMPANHAMENTO="BM"),VTOTAL1,SUM(OFFSET(CÁLCULO!$AQ$15,ROW($X85)-ROW($X$15),1):OFFSET(CÁLCULO!$BR$15,ROW($X85)-ROW($X$15),-1))),IF($C85=0,0,ROUND(SomaAgrup,15-13*$AF$11)))</f>
        <v>35553</v>
      </c>
      <c r="Y85" s="211" t="s">
        <v>781</v>
      </c>
      <c r="Z85" s="1" t="str">
        <f aca="false">IF(AND($C85="S",$X85&gt;0),IF(ISBLANK($Y85),"RA",LEFT($Y85,2)),"")</f>
        <v>RA</v>
      </c>
      <c r="AA85" s="212" t="n">
        <f aca="true">IF($C85="S",IF($Z85="CP",$X85,IF($Z85="RA",(($X85)*QCI!$AA$3),0)),SomaAgrup)</f>
        <v>3945.72621388265</v>
      </c>
      <c r="AB85" s="213" t="n">
        <f aca="true">IF($C85="S",IF($Z85="OU",ROUND($X85,2),0),SomaAgrup)</f>
        <v>0</v>
      </c>
      <c r="AC85" s="214" t="e">
        <f aca="false" t="array" ref="AC85:AC85">IF($N85=""," ",
IF(AND($C85&lt;&gt;"S",OR($R85="",$R85="(digite a descrição aqui)")),"DESCRIÇÃO",
IF(AND($C85="S",OR($Q85&lt;&gt;"",$T85&gt;0,$U85&gt;0),$P85=""),"FONTE",
IF(AND($C85="S",$P85&lt;&gt;"",OR($T85&gt;0,$U85&gt;0),$Q85=""),"CÓDIGO",
IF(AND($C85="S",$P85&lt;&gt;"",$Q85&lt;&gt;"",$R85="(Código não identificado nas referências)"),"CÓDIGO N/ID",
IF(AND($C85="S",OR($R85="",$R85="(digite a descrição aqui)"),OR($Q85&lt;&gt;"",$T85&gt;0,$U85&gt;0)),"DESCRIÇÃO",
IF(AND($C85="S",$P85&lt;&gt;"",$Q85&lt;&gt;"",$S85=""),"UNIDADE",
IF(AND($C85="S",$P85&lt;&gt;"",$Q85&lt;&gt;"",$U85=0),"SEM CUSTO",
IF(AND(_xlfn.single(TIPOORCAMENTO)="Licitado",$AL85=0,$AN85&gt;0),"SEM PREÇO",
IF(AND($C85="S",$P85&lt;&gt;"",$Q85&lt;&gt;"",$U85&gt;0,$V85=0),"BDI",
IF(OR(AND(TIPOORCAMENTO="Proposto",LEFT($O$8,5)&lt;&gt;"(N/D:",$AG85&lt;&gt;"",ORÇAMENTO.CustoUnitario&gt;$AG85),AND(TIPOORCAMENTO="LICITADO",ORÇAMENTO.PrecoUnitarioLicitado&gt;$AN85)),"ACIMA REF.",
IF(AND($C85="S",$P85&lt;&gt;"",$Q85&lt;&gt;"",$T85=0,$U85&gt;0),"QUANT.",
IF(AND(Import.TipoArredondamento="TransfereGOV",$L85="F",$C85="S",LEN($Q85)&gt;13),"Código &gt;13",
IF(AND(Import.TipoArredondamento="TransfereGOV",$L85="F",$C85&lt;&gt;"S",LEN($R85)&gt;100),"Descrição &gt;100",
IF(AND(Import.TipoArredondamento="TransfereGOV",$L85="F",$C85="S",LEN($R85)&gt;500),"Descrição &gt;500",
IF(AND(Import.TipoArredondamento="TransfereGOV",$L85="F",$C85="S",LEFT(TRIM(UPPER($P85)),6)&lt;&gt;"SINAPI",ISNA(VLOOKUP(TRIM(UPPER($S85)),ListaTgov.Unidades,1,FALSE()))),"Unid. Não Disp",
" "))))))))))))))))</f>
        <v>#NAME?</v>
      </c>
      <c r="AD85" s="1" t="str">
        <f aca="true">IF(C85&lt;=CRONO.NivelExibicao,MAX($AD$15:OFFSET(AD85,-1,0))+IF($C85&lt;&gt;1,1,MAX(1,COUNTIF(QCI!$A$13:$A$15,OFFSET($E85,-1,0)))),"")</f>
        <v/>
      </c>
      <c r="AE85" s="50" t="str">
        <f aca="false">IF(AND($C85="S",ORÇAMENTO.CodBarra&lt;&gt;""),IF(ORÇAMENTO.Fonte="",ORÇAMENTO.CodBarra,CONCATENATE(ORÇAMENTO.Fonte," ",ORÇAMENTO.CodBarra)))</f>
        <v>SINAPI 87905</v>
      </c>
      <c r="AF85" s="65" t="str">
        <f aca="true">IF(ISERROR(INDIRECT(ORÇAMENTO.BancoRef)),"(abra o arquivo 'Referência "&amp;Excel_BuiltIn_Database&amp;".xlsm)",IF(OR($C85&lt;&gt;"S",ORÇAMENTO.CodBarra=""),"(Sem Código)",IF(ISERROR(MATCH($AE85,INDIRECT(ORÇAMENTO.BancoRef),0)),"(Código não identificado nas referências)",MATCH($AE85,INDIRECT(ORÇAMENTO.BancoRef),0))))</f>
        <v>(abra o arquivo 'Referência 07-2025.xlsm)</v>
      </c>
      <c r="AG85" s="215" t="n">
        <f aca="true">ROUND(IF(DESONERACAO="sim",REFERENCIA.Desonerado,REFERENCIA.NaoDesonerado),2)</f>
        <v>0</v>
      </c>
      <c r="AH85" s="216" t="n">
        <f aca="false">ROUND(IF(ISNUMBER(ORÇAMENTO.OpcaoBDI),ORÇAMENTO.OpcaoBDI,IF(LEFT(ORÇAMENTO.OpcaoBDI,3)="BDI",HLOOKUP(ORÇAMENTO.OpcaoBDI,$F$4:$H$5,2,FALSE()),0)),15-11*$AF$9)</f>
        <v>0.2904</v>
      </c>
      <c r="AJ85" s="217"/>
      <c r="AL85" s="218"/>
      <c r="AM85" s="219" t="n">
        <f aca="false">$X85</f>
        <v>35553</v>
      </c>
      <c r="AN85" s="220" t="n">
        <f aca="false">ROUND(ORÇAMENTO.CustoUnitario*(1+$AH85),2)</f>
        <v>10.75</v>
      </c>
    </row>
    <row r="86" customFormat="false" ht="35.05" hidden="false" customHeight="false" outlineLevel="0" collapsed="false">
      <c r="A86" s="1" t="str">
        <f aca="false">CHOOSE(1+LOG(1+2*(ORÇAMENTO.Nivel="Meta")+4*(ORÇAMENTO.Nivel="Nível 2")+8*(ORÇAMENTO.Nivel="Nível 3")+16*(ORÇAMENTO.Nivel="Nível 4")+32*(ORÇAMENTO.Nivel="Serviço"),2),0,1,2,3,4,"S")</f>
        <v>S</v>
      </c>
      <c r="B86" s="1" t="n">
        <f aca="true">IF(OR(C86="s",C86=0),OFFSET(B86,-1,0),C86)</f>
        <v>2</v>
      </c>
      <c r="C86" s="1" t="str">
        <f aca="true">IF(OFFSET(C86,-1,0)="L",1,IF(OFFSET(C86,-1,0)=1,2,IF(OR(A86="s",A86=0),"S",IF(AND(OFFSET(C86,-1,0)=2,A86=4),3,IF(AND(OR(OFFSET(C86,-1,0)="s",OFFSET(C86,-1,0)=0),A86&lt;&gt;"s",A86&gt;OFFSET(B86,-1,0)),OFFSET(B86,-1,0),A86)))))</f>
        <v>S</v>
      </c>
      <c r="D86" s="1" t="n">
        <f aca="false">IF(OR(C86="S",C86=0),0,IF(ISERROR(K86),J86,SMALL(J86:K86,1)))</f>
        <v>0</v>
      </c>
      <c r="E86" s="1" t="n">
        <f aca="true">IF($C86=1,OFFSET(E86,-1,0)+MAX(1,COUNTIF(QCI!$A$13:$A$15,OFFSET(ORÇAMENTO!E86,-1,0))),OFFSET(E86,-1,0))</f>
        <v>1</v>
      </c>
      <c r="F86" s="1" t="n">
        <f aca="true">IF($C86=1,0,IF($C86=2,OFFSET(F86,-1,0)+1,OFFSET(F86,-1,0)))</f>
        <v>20</v>
      </c>
      <c r="G86" s="1" t="n">
        <f aca="true">IF(AND($C86&lt;=2,$C86&lt;&gt;0),0,IF($C86=3,OFFSET(G86,-1,0)+1,OFFSET(G86,-1,0)))</f>
        <v>0</v>
      </c>
      <c r="H86" s="1" t="n">
        <f aca="true">IF(AND($C86&lt;=3,$C86&lt;&gt;0),0,IF($C86=4,OFFSET(H86,-1,0)+1,OFFSET(H86,-1,0)))</f>
        <v>0</v>
      </c>
      <c r="I86" s="1" t="n">
        <f aca="true">IF(AND($C86&lt;=4,$C86&lt;&gt;0),0,IF(AND($C86="S",$X86&gt;0),OFFSET(I86,-1,0)+1,OFFSET(I86,-1,0)))</f>
        <v>2</v>
      </c>
      <c r="J86" s="1" t="n">
        <f aca="true">IF(OR($C86="S",$C86=0),0,MATCH(0,OFFSET($D86,1,$C86,ROW($C$205)-ROW($C86)),0))</f>
        <v>0</v>
      </c>
      <c r="K86" s="1" t="n">
        <f aca="true">IF(OR($C86="S",$C86=0),0,MATCH(OFFSET($D86,0,$C86)+IF($C86&lt;&gt;1,1,COUNTIF(QCI!$A$13:$A$15,ORÇAMENTO!E86)),OFFSET($D86,1,$C86,ROW($C$205)-ROW($C86)),0))</f>
        <v>0</v>
      </c>
      <c r="L86" s="199" t="str">
        <f aca="false">IF(OR($X86&gt;0,$C86=1,$C86=2,$C86=3,$C86=4),"F","")</f>
        <v>F</v>
      </c>
      <c r="M86" s="200" t="s">
        <v>735</v>
      </c>
      <c r="N86" s="201" t="str">
        <f aca="false">CHOOSE(1+LOG(1+2*(C86=1)+4*(C86=2)+8*(C86=3)+16*(C86=4)+32*(C86="S"),2),"","Meta","Nível 2","Nível 3","Nível 4","Serviço")</f>
        <v>Serviço</v>
      </c>
      <c r="O86" s="202" t="str">
        <f aca="false">IF(OR($C86=0,$L86=""),"-",CONCATENATE(E86&amp;".",IF(AND($A$5&gt;=2,$C86&gt;=2),F86&amp;".",""),IF(AND($A$5&gt;=3,$C86&gt;=3),G86&amp;".",""),IF(AND($A$5&gt;=4,$C86&gt;=4),H86&amp;".",""),IF($C86="S",I86&amp;".","")))</f>
        <v>1.20.2.</v>
      </c>
      <c r="P86" s="203" t="s">
        <v>780</v>
      </c>
      <c r="Q86" s="204" t="s">
        <v>841</v>
      </c>
      <c r="R86" s="205" t="str">
        <f aca="false">[3]ORÇAMENTO!$R$50</f>
        <v>REBOCO COM ARGAMASSA, TRAÇO 1:2:8 (CIMENTO, CAL E AREIA)
, ESP. 20MM, APLICAÇÃO MANUAL, INCLUSIVE ARGAMASSA COM
PREPARO MECANIZADO, EXCLUSIVE CHAPISCO</v>
      </c>
      <c r="S86" s="206" t="s">
        <v>650</v>
      </c>
      <c r="T86" s="207" t="n">
        <f aca="true">OFFSET(CÁLCULO!H$15,ROW($T86)-ROW(T$15),0)</f>
        <v>3307.25</v>
      </c>
      <c r="U86" s="208" t="n">
        <v>36.59</v>
      </c>
      <c r="V86" s="209" t="s">
        <v>690</v>
      </c>
      <c r="W86" s="207" t="n">
        <f aca="false">IF($C86="S",ROUND(IF(TIPOORCAMENTO="Proposto",ORÇAMENTO.CustoUnitario*(1+$AH86),ORÇAMENTO.PrecoUnitarioLicitado),15-13*$AF$10),0)</f>
        <v>47.22</v>
      </c>
      <c r="X86" s="210" t="n">
        <f aca="true" t="array" ref="X86:X86">IF($C86="S",IF(OR(Import.TipoArredondamento&lt;&gt;"TransfereGOV",ACOMPANHAMENTO="BM"),VTOTAL1,SUM(OFFSET(CÁLCULO!$AQ$15,ROW($X86)-ROW($X$15),1):OFFSET(CÁLCULO!$BR$15,ROW($X86)-ROW($X$15),-1))),IF($C86=0,0,ROUND(SomaAgrup,15-13*$AF$11)))</f>
        <v>156168.25</v>
      </c>
      <c r="Y86" s="211" t="s">
        <v>781</v>
      </c>
      <c r="Z86" s="1" t="str">
        <f aca="false">IF(AND($C86="S",$X86&gt;0),IF(ISBLANK($Y86),"RA",LEFT($Y86,2)),"")</f>
        <v>RA</v>
      </c>
      <c r="AA86" s="212" t="n">
        <f aca="true">IF($C86="S",IF($Z86="CP",$X86,IF($Z86="RA",(($X86)*QCI!$AA$3),0)),SomaAgrup)</f>
        <v>17331.7907856209</v>
      </c>
      <c r="AB86" s="213" t="n">
        <f aca="true">IF($C86="S",IF($Z86="OU",ROUND($X86,2),0),SomaAgrup)</f>
        <v>0</v>
      </c>
      <c r="AC86" s="214" t="e">
        <f aca="false" t="array" ref="AC86:AC86">IF($N86=""," ",
IF(AND($C86&lt;&gt;"S",OR($R86="",$R86="(digite a descrição aqui)")),"DESCRIÇÃO",
IF(AND($C86="S",OR($Q86&lt;&gt;"",$T86&gt;0,$U86&gt;0),$P86=""),"FONTE",
IF(AND($C86="S",$P86&lt;&gt;"",OR($T86&gt;0,$U86&gt;0),$Q86=""),"CÓDIGO",
IF(AND($C86="S",$P86&lt;&gt;"",$Q86&lt;&gt;"",$R86="(Código não identificado nas referências)"),"CÓDIGO N/ID",
IF(AND($C86="S",OR($R86="",$R86="(digite a descrição aqui)"),OR($Q86&lt;&gt;"",$T86&gt;0,$U86&gt;0)),"DESCRIÇÃO",
IF(AND($C86="S",$P86&lt;&gt;"",$Q86&lt;&gt;"",$S86=""),"UNIDADE",
IF(AND($C86="S",$P86&lt;&gt;"",$Q86&lt;&gt;"",$U86=0),"SEM CUSTO",
IF(AND(_xlfn.single(TIPOORCAMENTO)="Licitado",$AL86=0,$AN86&gt;0),"SEM PREÇO",
IF(AND($C86="S",$P86&lt;&gt;"",$Q86&lt;&gt;"",$U86&gt;0,$V86=0),"BDI",
IF(OR(AND(TIPOORCAMENTO="Proposto",LEFT($O$8,5)&lt;&gt;"(N/D:",$AG86&lt;&gt;"",ORÇAMENTO.CustoUnitario&gt;$AG86),AND(TIPOORCAMENTO="LICITADO",ORÇAMENTO.PrecoUnitarioLicitado&gt;$AN86)),"ACIMA REF.",
IF(AND($C86="S",$P86&lt;&gt;"",$Q86&lt;&gt;"",$T86=0,$U86&gt;0),"QUANT.",
IF(AND(Import.TipoArredondamento="TransfereGOV",$L86="F",$C86="S",LEN($Q86)&gt;13),"Código &gt;13",
IF(AND(Import.TipoArredondamento="TransfereGOV",$L86="F",$C86&lt;&gt;"S",LEN($R86)&gt;100),"Descrição &gt;100",
IF(AND(Import.TipoArredondamento="TransfereGOV",$L86="F",$C86="S",LEN($R86)&gt;500),"Descrição &gt;500",
IF(AND(Import.TipoArredondamento="TransfereGOV",$L86="F",$C86="S",LEFT(TRIM(UPPER($P86)),6)&lt;&gt;"SINAPI",ISNA(VLOOKUP(TRIM(UPPER($S86)),ListaTgov.Unidades,1,FALSE()))),"Unid. Não Disp",
" "))))))))))))))))</f>
        <v>#NAME?</v>
      </c>
      <c r="AD86" s="1" t="str">
        <f aca="true">IF(C86&lt;=CRONO.NivelExibicao,MAX($AD$15:OFFSET(AD86,-1,0))+IF($C86&lt;&gt;1,1,MAX(1,COUNTIF(QCI!$A$13:$A$15,OFFSET($E86,-1,0)))),"")</f>
        <v/>
      </c>
      <c r="AE86" s="50" t="str">
        <f aca="false">IF(AND($C86="S",ORÇAMENTO.CodBarra&lt;&gt;""),IF(ORÇAMENTO.Fonte="",ORÇAMENTO.CodBarra,CONCATENATE(ORÇAMENTO.Fonte," ",ORÇAMENTO.CodBarra)))</f>
        <v>SINAPI ED-50761</v>
      </c>
      <c r="AF86" s="65" t="str">
        <f aca="true">IF(ISERROR(INDIRECT(ORÇAMENTO.BancoRef)),"(abra o arquivo 'Referência "&amp;Excel_BuiltIn_Database&amp;".xlsm)",IF(OR($C86&lt;&gt;"S",ORÇAMENTO.CodBarra=""),"(Sem Código)",IF(ISERROR(MATCH($AE86,INDIRECT(ORÇAMENTO.BancoRef),0)),"(Código não identificado nas referências)",MATCH($AE86,INDIRECT(ORÇAMENTO.BancoRef),0))))</f>
        <v>(abra o arquivo 'Referência 07-2025.xlsm)</v>
      </c>
      <c r="AG86" s="215" t="n">
        <f aca="true">ROUND(IF(DESONERACAO="sim",REFERENCIA.Desonerado,REFERENCIA.NaoDesonerado),2)</f>
        <v>0</v>
      </c>
      <c r="AH86" s="216" t="n">
        <f aca="false">ROUND(IF(ISNUMBER(ORÇAMENTO.OpcaoBDI),ORÇAMENTO.OpcaoBDI,IF(LEFT(ORÇAMENTO.OpcaoBDI,3)="BDI",HLOOKUP(ORÇAMENTO.OpcaoBDI,$F$4:$H$5,2,FALSE()),0)),15-11*$AF$9)</f>
        <v>0.2904</v>
      </c>
      <c r="AJ86" s="217"/>
      <c r="AL86" s="218"/>
      <c r="AM86" s="219" t="n">
        <f aca="false">$X86</f>
        <v>156168.25</v>
      </c>
      <c r="AN86" s="220" t="n">
        <f aca="false">ROUND(ORÇAMENTO.CustoUnitario*(1+$AH86),2)</f>
        <v>47.22</v>
      </c>
    </row>
    <row r="87" customFormat="false" ht="12.75" hidden="false" customHeight="false" outlineLevel="0" collapsed="false">
      <c r="A87" s="1" t="n">
        <f aca="false">CHOOSE(1+LOG(1+2*(ORÇAMENTO.Nivel="Meta")+4*(ORÇAMENTO.Nivel="Nível 2")+8*(ORÇAMENTO.Nivel="Nível 3")+16*(ORÇAMENTO.Nivel="Nível 4")+32*(ORÇAMENTO.Nivel="Serviço"),2),0,1,2,3,4,"S")</f>
        <v>2</v>
      </c>
      <c r="B87" s="1" t="n">
        <f aca="true">IF(OR(C87="s",C87=0),OFFSET(B87,-1,0),C87)</f>
        <v>2</v>
      </c>
      <c r="C87" s="1" t="n">
        <f aca="true">IF(OFFSET(C87,-1,0)="L",1,IF(OFFSET(C87,-1,0)=1,2,IF(OR(A87="s",A87=0),"S",IF(AND(OFFSET(C87,-1,0)=2,A87=4),3,IF(AND(OR(OFFSET(C87,-1,0)="s",OFFSET(C87,-1,0)=0),A87&lt;&gt;"s",A87&gt;OFFSET(B87,-1,0)),OFFSET(B87,-1,0),A87)))))</f>
        <v>2</v>
      </c>
      <c r="D87" s="1" t="n">
        <f aca="false">IF(OR(C87="S",C87=0),0,IF(ISERROR(K87),J87,SMALL(J87:K87,1)))</f>
        <v>1</v>
      </c>
      <c r="E87" s="1" t="n">
        <f aca="true">IF($C87=1,OFFSET(E87,-1,0)+MAX(1,COUNTIF(QCI!$A$13:$A$15,OFFSET(ORÇAMENTO!E87,-1,0))),OFFSET(E87,-1,0))</f>
        <v>1</v>
      </c>
      <c r="F87" s="1" t="n">
        <f aca="true">IF($C87=1,0,IF($C87=2,OFFSET(F87,-1,0)+1,OFFSET(F87,-1,0)))</f>
        <v>21</v>
      </c>
      <c r="G87" s="1" t="n">
        <f aca="true">IF(AND($C87&lt;=2,$C87&lt;&gt;0),0,IF($C87=3,OFFSET(G87,-1,0)+1,OFFSET(G87,-1,0)))</f>
        <v>0</v>
      </c>
      <c r="H87" s="1" t="n">
        <f aca="true">IF(AND($C87&lt;=3,$C87&lt;&gt;0),0,IF($C87=4,OFFSET(H87,-1,0)+1,OFFSET(H87,-1,0)))</f>
        <v>0</v>
      </c>
      <c r="I87" s="1" t="n">
        <f aca="true">IF(AND($C87&lt;=4,$C87&lt;&gt;0),0,IF(AND($C87="S",$X87&gt;0),OFFSET(I87,-1,0)+1,OFFSET(I87,-1,0)))</f>
        <v>0</v>
      </c>
      <c r="J87" s="1" t="n">
        <f aca="true">IF(OR($C87="S",$C87=0),0,MATCH(0,OFFSET($D87,1,$C87,ROW($C$205)-ROW($C87)),0))</f>
        <v>118</v>
      </c>
      <c r="K87" s="1" t="n">
        <f aca="true">IF(OR($C87="S",$C87=0),0,MATCH(OFFSET($D87,0,$C87)+IF($C87&lt;&gt;1,1,COUNTIF(QCI!$A$13:$A$15,ORÇAMENTO!E87)),OFFSET($D87,1,$C87,ROW($C$205)-ROW($C87)),0))</f>
        <v>1</v>
      </c>
      <c r="L87" s="199" t="str">
        <f aca="false">IF(OR($X87&gt;0,$C87=1,$C87=2,$C87=3,$C87=4),"F","")</f>
        <v>F</v>
      </c>
      <c r="M87" s="200" t="s">
        <v>732</v>
      </c>
      <c r="N87" s="201" t="str">
        <f aca="false">CHOOSE(1+LOG(1+2*(C87=1)+4*(C87=2)+8*(C87=3)+16*(C87=4)+32*(C87="S"),2),"","Meta","Nível 2","Nível 3","Nível 4","Serviço")</f>
        <v>Nível 2</v>
      </c>
      <c r="O87" s="202" t="str">
        <f aca="false">IF(OR($C87=0,$L87=""),"-",CONCATENATE(E87&amp;".",IF(AND($A$5&gt;=2,$C87&gt;=2),F87&amp;".",""),IF(AND($A$5&gt;=3,$C87&gt;=3),G87&amp;".",""),IF(AND($A$5&gt;=4,$C87&gt;=4),H87&amp;".",""),IF($C87="S",I87&amp;".","")))</f>
        <v>1.21.</v>
      </c>
      <c r="P87" s="203" t="s">
        <v>780</v>
      </c>
      <c r="Q87" s="204" t="n">
        <v>86906</v>
      </c>
      <c r="R87" s="205" t="str">
        <f aca="false">[4]PO!$B$90</f>
        <v>FORROS</v>
      </c>
      <c r="S87" s="206" t="s">
        <v>666</v>
      </c>
      <c r="T87" s="207" t="n">
        <f aca="true">OFFSET(CÁLCULO!H$15,ROW($T87)-ROW(T$15),0)</f>
        <v>0</v>
      </c>
      <c r="U87" s="208" t="n">
        <v>77.63</v>
      </c>
      <c r="V87" s="209" t="s">
        <v>690</v>
      </c>
      <c r="W87" s="207" t="n">
        <f aca="false">IF($C87="S",ROUND(IF(TIPOORCAMENTO="Proposto",ORÇAMENTO.CustoUnitario*(1+$AH87),ORÇAMENTO.PrecoUnitarioLicitado),15-13*$AF$10),0)</f>
        <v>0</v>
      </c>
      <c r="X87" s="210" t="n">
        <f aca="true" t="array" ref="X87:X87">IF($C87="S",IF(OR(Import.TipoArredondamento&lt;&gt;"TransfereGOV",ACOMPANHAMENTO="BM"),VTOTAL1,SUM(OFFSET(CÁLCULO!$AQ$15,ROW($X87)-ROW($X$15),1):OFFSET(CÁLCULO!$BR$15,ROW($X87)-ROW($X$15),-1))),IF($C87=0,0,ROUND(SomaAgrup,15-13*$AF$11)))</f>
        <v>0</v>
      </c>
      <c r="Y87" s="211" t="s">
        <v>781</v>
      </c>
      <c r="Z87" s="1" t="str">
        <f aca="false">IF(AND($C87="S",$X87&gt;0),IF(ISBLANK($Y87),"RA",LEFT($Y87,2)),"")</f>
        <v/>
      </c>
      <c r="AA87" s="212" t="n">
        <f aca="true">IF($C87="S",IF($Z87="CP",$X87,IF($Z87="RA",(($X87)*QCI!$AA$3),0)),SomaAgrup)</f>
        <v>0</v>
      </c>
      <c r="AB87" s="213" t="n">
        <f aca="true">IF($C87="S",IF($Z87="OU",ROUND($X87,2),0),SomaAgrup)</f>
        <v>0</v>
      </c>
      <c r="AC87" s="214" t="e">
        <f aca="false" t="array" ref="AC87:AC87">IF($N87=""," ",
IF(AND($C87&lt;&gt;"S",OR($R87="",$R87="(digite a descrição aqui)")),"DESCRIÇÃO",
IF(AND($C87="S",OR($Q87&lt;&gt;"",$T87&gt;0,$U87&gt;0),$P87=""),"FONTE",
IF(AND($C87="S",$P87&lt;&gt;"",OR($T87&gt;0,$U87&gt;0),$Q87=""),"CÓDIGO",
IF(AND($C87="S",$P87&lt;&gt;"",$Q87&lt;&gt;"",$R87="(Código não identificado nas referências)"),"CÓDIGO N/ID",
IF(AND($C87="S",OR($R87="",$R87="(digite a descrição aqui)"),OR($Q87&lt;&gt;"",$T87&gt;0,$U87&gt;0)),"DESCRIÇÃO",
IF(AND($C87="S",$P87&lt;&gt;"",$Q87&lt;&gt;"",$S87=""),"UNIDADE",
IF(AND($C87="S",$P87&lt;&gt;"",$Q87&lt;&gt;"",$U87=0),"SEM CUSTO",
IF(AND(_xlfn.single(TIPOORCAMENTO)="Licitado",$AL87=0,$AN87&gt;0),"SEM PREÇO",
IF(AND($C87="S",$P87&lt;&gt;"",$Q87&lt;&gt;"",$U87&gt;0,$V87=0),"BDI",
IF(OR(AND(TIPOORCAMENTO="Proposto",LEFT($O$8,5)&lt;&gt;"(N/D:",$AG87&lt;&gt;"",ORÇAMENTO.CustoUnitario&gt;$AG87),AND(TIPOORCAMENTO="LICITADO",ORÇAMENTO.PrecoUnitarioLicitado&gt;$AN87)),"ACIMA REF.",
IF(AND($C87="S",$P87&lt;&gt;"",$Q87&lt;&gt;"",$T87=0,$U87&gt;0),"QUANT.",
IF(AND(Import.TipoArredondamento="TransfereGOV",$L87="F",$C87="S",LEN($Q87)&gt;13),"Código &gt;13",
IF(AND(Import.TipoArredondamento="TransfereGOV",$L87="F",$C87&lt;&gt;"S",LEN($R87)&gt;100),"Descrição &gt;100",
IF(AND(Import.TipoArredondamento="TransfereGOV",$L87="F",$C87="S",LEN($R87)&gt;500),"Descrição &gt;500",
IF(AND(Import.TipoArredondamento="TransfereGOV",$L87="F",$C87="S",LEFT(TRIM(UPPER($P87)),6)&lt;&gt;"SINAPI",ISNA(VLOOKUP(TRIM(UPPER($S87)),ListaTgov.Unidades,1,FALSE()))),"Unid. Não Disp",
" "))))))))))))))))</f>
        <v>#NAME?</v>
      </c>
      <c r="AD87" s="38" t="n">
        <f aca="true">IF(C87&lt;=CRONO.NivelExibicao,MAX($AD$15:OFFSET(AD87,-1,0))+IF($C87&lt;&gt;1,1,MAX(1,COUNTIF(QCI!$A$13:$A$15,OFFSET($E87,-1,0)))),"")</f>
        <v>22</v>
      </c>
      <c r="AE87" s="50" t="b">
        <f aca="false">IF(AND($C87="S",ORÇAMENTO.CodBarra&lt;&gt;""),IF(ORÇAMENTO.Fonte="",ORÇAMENTO.CodBarra,CONCATENATE(ORÇAMENTO.Fonte," ",ORÇAMENTO.CodBarra)))</f>
        <v>0</v>
      </c>
      <c r="AF87" s="65" t="str">
        <f aca="true">IF(ISERROR(INDIRECT(ORÇAMENTO.BancoRef)),"(abra o arquivo 'Referência "&amp;Excel_BuiltIn_Database&amp;".xlsm)",IF(OR($C87&lt;&gt;"S",ORÇAMENTO.CodBarra=""),"(Sem Código)",IF(ISERROR(MATCH($AE87,INDIRECT(ORÇAMENTO.BancoRef),0)),"(Código não identificado nas referências)",MATCH($AE87,INDIRECT(ORÇAMENTO.BancoRef),0))))</f>
        <v>(abra o arquivo 'Referência 07-2025.xlsm)</v>
      </c>
      <c r="AG87" s="215" t="n">
        <f aca="true">ROUND(IF(DESONERACAO="sim",REFERENCIA.Desonerado,REFERENCIA.NaoDesonerado),2)</f>
        <v>0</v>
      </c>
      <c r="AH87" s="216" t="n">
        <f aca="false">ROUND(IF(ISNUMBER(ORÇAMENTO.OpcaoBDI),ORÇAMENTO.OpcaoBDI,IF(LEFT(ORÇAMENTO.OpcaoBDI,3)="BDI",HLOOKUP(ORÇAMENTO.OpcaoBDI,$F$4:$H$5,2,FALSE()),0)),15-11*$AF$9)</f>
        <v>0.2904</v>
      </c>
      <c r="AJ87" s="217"/>
      <c r="AL87" s="218"/>
      <c r="AM87" s="219" t="n">
        <f aca="false">$X87</f>
        <v>0</v>
      </c>
      <c r="AN87" s="220" t="n">
        <f aca="false">ROUND(ORÇAMENTO.CustoUnitario*(1+$AH87),2)</f>
        <v>100.17</v>
      </c>
    </row>
    <row r="88" customFormat="false" ht="12.75" hidden="false" customHeight="false" outlineLevel="0" collapsed="false">
      <c r="A88" s="1" t="n">
        <f aca="false">CHOOSE(1+LOG(1+2*(ORÇAMENTO.Nivel="Meta")+4*(ORÇAMENTO.Nivel="Nível 2")+8*(ORÇAMENTO.Nivel="Nível 3")+16*(ORÇAMENTO.Nivel="Nível 4")+32*(ORÇAMENTO.Nivel="Serviço"),2),0,1,2,3,4,"S")</f>
        <v>2</v>
      </c>
      <c r="B88" s="1" t="n">
        <f aca="true">IF(OR(C88="s",C88=0),OFFSET(B88,-1,0),C88)</f>
        <v>2</v>
      </c>
      <c r="C88" s="1" t="n">
        <f aca="true">IF(OFFSET(C88,-1,0)="L",1,IF(OFFSET(C88,-1,0)=1,2,IF(OR(A88="s",A88=0),"S",IF(AND(OFFSET(C88,-1,0)=2,A88=4),3,IF(AND(OR(OFFSET(C88,-1,0)="s",OFFSET(C88,-1,0)=0),A88&lt;&gt;"s",A88&gt;OFFSET(B88,-1,0)),OFFSET(B88,-1,0),A88)))))</f>
        <v>2</v>
      </c>
      <c r="D88" s="1" t="n">
        <f aca="false">IF(OR(C88="S",C88=0),0,IF(ISERROR(K88),J88,SMALL(J88:K88,1)))</f>
        <v>1</v>
      </c>
      <c r="E88" s="1" t="n">
        <f aca="true">IF($C88=1,OFFSET(E88,-1,0)+MAX(1,COUNTIF(QCI!$A$13:$A$15,OFFSET(ORÇAMENTO!E88,-1,0))),OFFSET(E88,-1,0))</f>
        <v>1</v>
      </c>
      <c r="F88" s="1" t="n">
        <f aca="true">IF($C88=1,0,IF($C88=2,OFFSET(F88,-1,0)+1,OFFSET(F88,-1,0)))</f>
        <v>22</v>
      </c>
      <c r="G88" s="1" t="n">
        <f aca="true">IF(AND($C88&lt;=2,$C88&lt;&gt;0),0,IF($C88=3,OFFSET(G88,-1,0)+1,OFFSET(G88,-1,0)))</f>
        <v>0</v>
      </c>
      <c r="H88" s="1" t="n">
        <f aca="true">IF(AND($C88&lt;=3,$C88&lt;&gt;0),0,IF($C88=4,OFFSET(H88,-1,0)+1,OFFSET(H88,-1,0)))</f>
        <v>0</v>
      </c>
      <c r="I88" s="1" t="n">
        <f aca="true">IF(AND($C88&lt;=4,$C88&lt;&gt;0),0,IF(AND($C88="S",$X88&gt;0),OFFSET(I88,-1,0)+1,OFFSET(I88,-1,0)))</f>
        <v>0</v>
      </c>
      <c r="J88" s="1" t="n">
        <f aca="true">IF(OR($C88="S",$C88=0),0,MATCH(0,OFFSET($D88,1,$C88,ROW($C$205)-ROW($C88)),0))</f>
        <v>117</v>
      </c>
      <c r="K88" s="1" t="n">
        <f aca="true">IF(OR($C88="S",$C88=0),0,MATCH(OFFSET($D88,0,$C88)+IF($C88&lt;&gt;1,1,COUNTIF(QCI!$A$13:$A$15,ORÇAMENTO!E88)),OFFSET($D88,1,$C88,ROW($C$205)-ROW($C88)),0))</f>
        <v>1</v>
      </c>
      <c r="L88" s="199" t="str">
        <f aca="false">IF(OR($X88&gt;0,$C88=1,$C88=2,$C88=3,$C88=4),"F","")</f>
        <v>F</v>
      </c>
      <c r="M88" s="200" t="s">
        <v>732</v>
      </c>
      <c r="N88" s="201" t="str">
        <f aca="false">CHOOSE(1+LOG(1+2*(C88=1)+4*(C88=2)+8*(C88=3)+16*(C88=4)+32*(C88="S"),2),"","Meta","Nível 2","Nível 3","Nível 4","Serviço")</f>
        <v>Nível 2</v>
      </c>
      <c r="O88" s="202" t="str">
        <f aca="false">IF(OR($C88=0,$L88=""),"-",CONCATENATE(E88&amp;".",IF(AND($A$5&gt;=2,$C88&gt;=2),F88&amp;".",""),IF(AND($A$5&gt;=3,$C88&gt;=3),G88&amp;".",""),IF(AND($A$5&gt;=4,$C88&gt;=4),H88&amp;".",""),IF($C88="S",I88&amp;".","")))</f>
        <v>1.22.</v>
      </c>
      <c r="P88" s="203" t="s">
        <v>780</v>
      </c>
      <c r="Q88" s="204" t="n">
        <v>99635</v>
      </c>
      <c r="R88" s="205" t="str">
        <f aca="false">[4]PO!$B$92</f>
        <v>PINTURA</v>
      </c>
      <c r="S88" s="206" t="s">
        <v>666</v>
      </c>
      <c r="T88" s="207" t="n">
        <f aca="true">OFFSET(CÁLCULO!H$15,ROW($T88)-ROW(T$15),0)</f>
        <v>0</v>
      </c>
      <c r="U88" s="208" t="n">
        <v>395.31</v>
      </c>
      <c r="V88" s="209" t="s">
        <v>690</v>
      </c>
      <c r="W88" s="207" t="n">
        <f aca="false">IF($C88="S",ROUND(IF(TIPOORCAMENTO="Proposto",ORÇAMENTO.CustoUnitario*(1+$AH88),ORÇAMENTO.PrecoUnitarioLicitado),15-13*$AF$10),0)</f>
        <v>0</v>
      </c>
      <c r="X88" s="210" t="n">
        <f aca="true" t="array" ref="X88:X88">IF($C88="S",IF(OR(Import.TipoArredondamento&lt;&gt;"TransfereGOV",ACOMPANHAMENTO="BM"),VTOTAL1,SUM(OFFSET(CÁLCULO!$AQ$15,ROW($X88)-ROW($X$15),1):OFFSET(CÁLCULO!$BR$15,ROW($X88)-ROW($X$15),-1))),IF($C88=0,0,ROUND(SomaAgrup,15-13*$AF$11)))</f>
        <v>0</v>
      </c>
      <c r="Y88" s="211" t="s">
        <v>781</v>
      </c>
      <c r="Z88" s="1" t="str">
        <f aca="false">IF(AND($C88="S",$X88&gt;0),IF(ISBLANK($Y88),"RA",LEFT($Y88,2)),"")</f>
        <v/>
      </c>
      <c r="AA88" s="212" t="n">
        <f aca="true">IF($C88="S",IF($Z88="CP",$X88,IF($Z88="RA",(($X88)*QCI!$AA$3),0)),SomaAgrup)</f>
        <v>0</v>
      </c>
      <c r="AB88" s="213" t="n">
        <f aca="true">IF($C88="S",IF($Z88="OU",ROUND($X88,2),0),SomaAgrup)</f>
        <v>0</v>
      </c>
      <c r="AC88" s="214" t="e">
        <f aca="false" t="array" ref="AC88:AC88">IF($N88=""," ",
IF(AND($C88&lt;&gt;"S",OR($R88="",$R88="(digite a descrição aqui)")),"DESCRIÇÃO",
IF(AND($C88="S",OR($Q88&lt;&gt;"",$T88&gt;0,$U88&gt;0),$P88=""),"FONTE",
IF(AND($C88="S",$P88&lt;&gt;"",OR($T88&gt;0,$U88&gt;0),$Q88=""),"CÓDIGO",
IF(AND($C88="S",$P88&lt;&gt;"",$Q88&lt;&gt;"",$R88="(Código não identificado nas referências)"),"CÓDIGO N/ID",
IF(AND($C88="S",OR($R88="",$R88="(digite a descrição aqui)"),OR($Q88&lt;&gt;"",$T88&gt;0,$U88&gt;0)),"DESCRIÇÃO",
IF(AND($C88="S",$P88&lt;&gt;"",$Q88&lt;&gt;"",$S88=""),"UNIDADE",
IF(AND($C88="S",$P88&lt;&gt;"",$Q88&lt;&gt;"",$U88=0),"SEM CUSTO",
IF(AND(_xlfn.single(TIPOORCAMENTO)="Licitado",$AL88=0,$AN88&gt;0),"SEM PREÇO",
IF(AND($C88="S",$P88&lt;&gt;"",$Q88&lt;&gt;"",$U88&gt;0,$V88=0),"BDI",
IF(OR(AND(TIPOORCAMENTO="Proposto",LEFT($O$8,5)&lt;&gt;"(N/D:",$AG88&lt;&gt;"",ORÇAMENTO.CustoUnitario&gt;$AG88),AND(TIPOORCAMENTO="LICITADO",ORÇAMENTO.PrecoUnitarioLicitado&gt;$AN88)),"ACIMA REF.",
IF(AND($C88="S",$P88&lt;&gt;"",$Q88&lt;&gt;"",$T88=0,$U88&gt;0),"QUANT.",
IF(AND(Import.TipoArredondamento="TransfereGOV",$L88="F",$C88="S",LEN($Q88)&gt;13),"Código &gt;13",
IF(AND(Import.TipoArredondamento="TransfereGOV",$L88="F",$C88&lt;&gt;"S",LEN($R88)&gt;100),"Descrição &gt;100",
IF(AND(Import.TipoArredondamento="TransfereGOV",$L88="F",$C88="S",LEN($R88)&gt;500),"Descrição &gt;500",
IF(AND(Import.TipoArredondamento="TransfereGOV",$L88="F",$C88="S",LEFT(TRIM(UPPER($P88)),6)&lt;&gt;"SINAPI",ISNA(VLOOKUP(TRIM(UPPER($S88)),ListaTgov.Unidades,1,FALSE()))),"Unid. Não Disp",
" "))))))))))))))))</f>
        <v>#NAME?</v>
      </c>
      <c r="AD88" s="38" t="n">
        <f aca="true">IF(C88&lt;=CRONO.NivelExibicao,MAX($AD$15:OFFSET(AD88,-1,0))+IF($C88&lt;&gt;1,1,MAX(1,COUNTIF(QCI!$A$13:$A$15,OFFSET($E88,-1,0)))),"")</f>
        <v>23</v>
      </c>
      <c r="AE88" s="50" t="b">
        <f aca="false">IF(AND($C88="S",ORÇAMENTO.CodBarra&lt;&gt;""),IF(ORÇAMENTO.Fonte="",ORÇAMENTO.CodBarra,CONCATENATE(ORÇAMENTO.Fonte," ",ORÇAMENTO.CodBarra)))</f>
        <v>0</v>
      </c>
      <c r="AF88" s="65" t="str">
        <f aca="true">IF(ISERROR(INDIRECT(ORÇAMENTO.BancoRef)),"(abra o arquivo 'Referência "&amp;Excel_BuiltIn_Database&amp;".xlsm)",IF(OR($C88&lt;&gt;"S",ORÇAMENTO.CodBarra=""),"(Sem Código)",IF(ISERROR(MATCH($AE88,INDIRECT(ORÇAMENTO.BancoRef),0)),"(Código não identificado nas referências)",MATCH($AE88,INDIRECT(ORÇAMENTO.BancoRef),0))))</f>
        <v>(abra o arquivo 'Referência 07-2025.xlsm)</v>
      </c>
      <c r="AG88" s="215" t="n">
        <f aca="true">ROUND(IF(DESONERACAO="sim",REFERENCIA.Desonerado,REFERENCIA.NaoDesonerado),2)</f>
        <v>0</v>
      </c>
      <c r="AH88" s="216" t="n">
        <f aca="false">ROUND(IF(ISNUMBER(ORÇAMENTO.OpcaoBDI),ORÇAMENTO.OpcaoBDI,IF(LEFT(ORÇAMENTO.OpcaoBDI,3)="BDI",HLOOKUP(ORÇAMENTO.OpcaoBDI,$F$4:$H$5,2,FALSE()),0)),15-11*$AF$9)</f>
        <v>0.2904</v>
      </c>
      <c r="AJ88" s="217"/>
      <c r="AL88" s="218"/>
      <c r="AM88" s="219" t="n">
        <f aca="false">$X88</f>
        <v>0</v>
      </c>
      <c r="AN88" s="220" t="n">
        <f aca="false">ROUND(ORÇAMENTO.CustoUnitario*(1+$AH88),2)</f>
        <v>510.11</v>
      </c>
    </row>
    <row r="89" customFormat="false" ht="12.75" hidden="false" customHeight="false" outlineLevel="0" collapsed="false">
      <c r="A89" s="1" t="n">
        <f aca="false">CHOOSE(1+LOG(1+2*(ORÇAMENTO.Nivel="Meta")+4*(ORÇAMENTO.Nivel="Nível 2")+8*(ORÇAMENTO.Nivel="Nível 3")+16*(ORÇAMENTO.Nivel="Nível 4")+32*(ORÇAMENTO.Nivel="Serviço"),2),0,1,2,3,4,"S")</f>
        <v>2</v>
      </c>
      <c r="B89" s="1" t="n">
        <f aca="true">IF(OR(C89="s",C89=0),OFFSET(B89,-1,0),C89)</f>
        <v>2</v>
      </c>
      <c r="C89" s="1" t="n">
        <f aca="true">IF(OFFSET(C89,-1,0)="L",1,IF(OFFSET(C89,-1,0)=1,2,IF(OR(A89="s",A89=0),"S",IF(AND(OFFSET(C89,-1,0)=2,A89=4),3,IF(AND(OR(OFFSET(C89,-1,0)="s",OFFSET(C89,-1,0)=0),A89&lt;&gt;"s",A89&gt;OFFSET(B89,-1,0)),OFFSET(B89,-1,0),A89)))))</f>
        <v>2</v>
      </c>
      <c r="D89" s="1" t="n">
        <f aca="false">IF(OR(C89="S",C89=0),0,IF(ISERROR(K89),J89,SMALL(J89:K89,1)))</f>
        <v>5</v>
      </c>
      <c r="E89" s="1" t="n">
        <f aca="true">IF($C89=1,OFFSET(E89,-1,0)+MAX(1,COUNTIF(QCI!$A$13:$A$15,OFFSET(ORÇAMENTO!E89,-1,0))),OFFSET(E89,-1,0))</f>
        <v>1</v>
      </c>
      <c r="F89" s="1" t="n">
        <f aca="true">IF($C89=1,0,IF($C89=2,OFFSET(F89,-1,0)+1,OFFSET(F89,-1,0)))</f>
        <v>23</v>
      </c>
      <c r="G89" s="1" t="n">
        <f aca="true">IF(AND($C89&lt;=2,$C89&lt;&gt;0),0,IF($C89=3,OFFSET(G89,-1,0)+1,OFFSET(G89,-1,0)))</f>
        <v>0</v>
      </c>
      <c r="H89" s="1" t="n">
        <f aca="true">IF(AND($C89&lt;=3,$C89&lt;&gt;0),0,IF($C89=4,OFFSET(H89,-1,0)+1,OFFSET(H89,-1,0)))</f>
        <v>0</v>
      </c>
      <c r="I89" s="1" t="n">
        <f aca="true">IF(AND($C89&lt;=4,$C89&lt;&gt;0),0,IF(AND($C89="S",$X89&gt;0),OFFSET(I89,-1,0)+1,OFFSET(I89,-1,0)))</f>
        <v>0</v>
      </c>
      <c r="J89" s="1" t="n">
        <f aca="true">IF(OR($C89="S",$C89=0),0,MATCH(0,OFFSET($D89,1,$C89,ROW($C$205)-ROW($C89)),0))</f>
        <v>116</v>
      </c>
      <c r="K89" s="1" t="n">
        <f aca="true">IF(OR($C89="S",$C89=0),0,MATCH(OFFSET($D89,0,$C89)+IF($C89&lt;&gt;1,1,COUNTIF(QCI!$A$13:$A$15,ORÇAMENTO!E89)),OFFSET($D89,1,$C89,ROW($C$205)-ROW($C89)),0))</f>
        <v>5</v>
      </c>
      <c r="L89" s="199" t="str">
        <f aca="false">IF(OR($X89&gt;0,$C89=1,$C89=2,$C89=3,$C89=4),"F","")</f>
        <v>F</v>
      </c>
      <c r="M89" s="200" t="s">
        <v>732</v>
      </c>
      <c r="N89" s="201" t="str">
        <f aca="false">CHOOSE(1+LOG(1+2*(C89=1)+4*(C89=2)+8*(C89=3)+16*(C89=4)+32*(C89="S"),2),"","Meta","Nível 2","Nível 3","Nível 4","Serviço")</f>
        <v>Nível 2</v>
      </c>
      <c r="O89" s="202" t="str">
        <f aca="false">IF(OR($C89=0,$L89=""),"-",CONCATENATE(E89&amp;".",IF(AND($A$5&gt;=2,$C89&gt;=2),F89&amp;".",""),IF(AND($A$5&gt;=3,$C89&gt;=3),G89&amp;".",""),IF(AND($A$5&gt;=4,$C89&gt;=4),H89&amp;".",""),IF($C89="S",I89&amp;".","")))</f>
        <v>1.23.</v>
      </c>
      <c r="P89" s="203" t="s">
        <v>780</v>
      </c>
      <c r="Q89" s="204" t="n">
        <v>100860</v>
      </c>
      <c r="R89" s="205" t="str">
        <f aca="false">[4]PO!$B$93</f>
        <v>PINTURAS INTERNAS</v>
      </c>
      <c r="S89" s="237" t="s">
        <v>666</v>
      </c>
      <c r="T89" s="207" t="n">
        <f aca="true">OFFSET(CÁLCULO!H$15,ROW($T89)-ROW(T$15),0)</f>
        <v>0</v>
      </c>
      <c r="U89" s="208" t="n">
        <v>99.21</v>
      </c>
      <c r="V89" s="209" t="s">
        <v>690</v>
      </c>
      <c r="W89" s="207" t="n">
        <f aca="false">IF($C89="S",ROUND(IF(TIPOORCAMENTO="Proposto",ORÇAMENTO.CustoUnitario*(1+$AH89),ORÇAMENTO.PrecoUnitarioLicitado),15-13*$AF$10),0)</f>
        <v>0</v>
      </c>
      <c r="X89" s="210" t="n">
        <f aca="true" t="array" ref="X89:X89">IF($C89="S",IF(OR(Import.TipoArredondamento&lt;&gt;"TransfereGOV",ACOMPANHAMENTO="BM"),VTOTAL1,SUM(OFFSET(CÁLCULO!$AQ$15,ROW($X89)-ROW($X$15),1):OFFSET(CÁLCULO!$BR$15,ROW($X89)-ROW($X$15),-1))),IF($C89=0,0,ROUND(SomaAgrup,15-13*$AF$11)))</f>
        <v>75736.5</v>
      </c>
      <c r="Y89" s="211" t="s">
        <v>781</v>
      </c>
      <c r="Z89" s="1" t="str">
        <f aca="false">IF(AND($C89="S",$X89&gt;0),IF(ISBLANK($Y89),"RA",LEFT($Y89,2)),"")</f>
        <v/>
      </c>
      <c r="AA89" s="212" t="n">
        <f aca="true">IF($C89="S",IF($Z89="CP",$X89,IF($Z89="RA",(($X89)*QCI!$AA$3),0)),SomaAgrup)</f>
        <v>8405.35238651374</v>
      </c>
      <c r="AB89" s="213" t="n">
        <f aca="true">IF($C89="S",IF($Z89="OU",ROUND($X89,2),0),SomaAgrup)</f>
        <v>0</v>
      </c>
      <c r="AC89" s="214" t="e">
        <f aca="false" t="array" ref="AC89:AC89">IF($N89=""," ",
IF(AND($C89&lt;&gt;"S",OR($R89="",$R89="(digite a descrição aqui)")),"DESCRIÇÃO",
IF(AND($C89="S",OR($Q89&lt;&gt;"",$T89&gt;0,$U89&gt;0),$P89=""),"FONTE",
IF(AND($C89="S",$P89&lt;&gt;"",OR($T89&gt;0,$U89&gt;0),$Q89=""),"CÓDIGO",
IF(AND($C89="S",$P89&lt;&gt;"",$Q89&lt;&gt;"",$R89="(Código não identificado nas referências)"),"CÓDIGO N/ID",
IF(AND($C89="S",OR($R89="",$R89="(digite a descrição aqui)"),OR($Q89&lt;&gt;"",$T89&gt;0,$U89&gt;0)),"DESCRIÇÃO",
IF(AND($C89="S",$P89&lt;&gt;"",$Q89&lt;&gt;"",$S89=""),"UNIDADE",
IF(AND($C89="S",$P89&lt;&gt;"",$Q89&lt;&gt;"",$U89=0),"SEM CUSTO",
IF(AND(_xlfn.single(TIPOORCAMENTO)="Licitado",$AL89=0,$AN89&gt;0),"SEM PREÇO",
IF(AND($C89="S",$P89&lt;&gt;"",$Q89&lt;&gt;"",$U89&gt;0,$V89=0),"BDI",
IF(OR(AND(TIPOORCAMENTO="Proposto",LEFT($O$8,5)&lt;&gt;"(N/D:",$AG89&lt;&gt;"",ORÇAMENTO.CustoUnitario&gt;$AG89),AND(TIPOORCAMENTO="LICITADO",ORÇAMENTO.PrecoUnitarioLicitado&gt;$AN89)),"ACIMA REF.",
IF(AND($C89="S",$P89&lt;&gt;"",$Q89&lt;&gt;"",$T89=0,$U89&gt;0),"QUANT.",
IF(AND(Import.TipoArredondamento="TransfereGOV",$L89="F",$C89="S",LEN($Q89)&gt;13),"Código &gt;13",
IF(AND(Import.TipoArredondamento="TransfereGOV",$L89="F",$C89&lt;&gt;"S",LEN($R89)&gt;100),"Descrição &gt;100",
IF(AND(Import.TipoArredondamento="TransfereGOV",$L89="F",$C89="S",LEN($R89)&gt;500),"Descrição &gt;500",
IF(AND(Import.TipoArredondamento="TransfereGOV",$L89="F",$C89="S",LEFT(TRIM(UPPER($P89)),6)&lt;&gt;"SINAPI",ISNA(VLOOKUP(TRIM(UPPER($S89)),ListaTgov.Unidades,1,FALSE()))),"Unid. Não Disp",
" "))))))))))))))))</f>
        <v>#NAME?</v>
      </c>
      <c r="AD89" s="38" t="n">
        <f aca="true">IF(C89&lt;=CRONO.NivelExibicao,MAX($AD$15:OFFSET(AD89,-1,0))+IF($C89&lt;&gt;1,1,MAX(1,COUNTIF(QCI!$A$13:$A$15,OFFSET($E89,-1,0)))),"")</f>
        <v>24</v>
      </c>
      <c r="AE89" s="50" t="b">
        <f aca="false">IF(AND($C89="S",ORÇAMENTO.CodBarra&lt;&gt;""),IF(ORÇAMENTO.Fonte="",ORÇAMENTO.CodBarra,CONCATENATE(ORÇAMENTO.Fonte," ",ORÇAMENTO.CodBarra)))</f>
        <v>0</v>
      </c>
      <c r="AF89" s="65" t="str">
        <f aca="true">IF(ISERROR(INDIRECT(ORÇAMENTO.BancoRef)),"(abra o arquivo 'Referência "&amp;Excel_BuiltIn_Database&amp;".xlsm)",IF(OR($C89&lt;&gt;"S",ORÇAMENTO.CodBarra=""),"(Sem Código)",IF(ISERROR(MATCH($AE89,INDIRECT(ORÇAMENTO.BancoRef),0)),"(Código não identificado nas referências)",MATCH($AE89,INDIRECT(ORÇAMENTO.BancoRef),0))))</f>
        <v>(abra o arquivo 'Referência 07-2025.xlsm)</v>
      </c>
      <c r="AG89" s="215" t="n">
        <f aca="true">ROUND(IF(DESONERACAO="sim",REFERENCIA.Desonerado,REFERENCIA.NaoDesonerado),2)</f>
        <v>0</v>
      </c>
      <c r="AH89" s="216" t="n">
        <f aca="false">ROUND(IF(ISNUMBER(ORÇAMENTO.OpcaoBDI),ORÇAMENTO.OpcaoBDI,IF(LEFT(ORÇAMENTO.OpcaoBDI,3)="BDI",HLOOKUP(ORÇAMENTO.OpcaoBDI,$F$4:$H$5,2,FALSE()),0)),15-11*$AF$9)</f>
        <v>0.2904</v>
      </c>
      <c r="AJ89" s="217"/>
      <c r="AL89" s="218"/>
      <c r="AM89" s="219" t="n">
        <f aca="false">$X89</f>
        <v>75736.5</v>
      </c>
      <c r="AN89" s="220" t="n">
        <f aca="false">ROUND(ORÇAMENTO.CustoUnitario*(1+$AH89),2)</f>
        <v>128.02</v>
      </c>
    </row>
    <row r="90" customFormat="false" ht="23.85" hidden="false" customHeight="false" outlineLevel="0" collapsed="false">
      <c r="A90" s="1" t="str">
        <f aca="false">CHOOSE(1+LOG(1+2*(ORÇAMENTO.Nivel="Meta")+4*(ORÇAMENTO.Nivel="Nível 2")+8*(ORÇAMENTO.Nivel="Nível 3")+16*(ORÇAMENTO.Nivel="Nível 4")+32*(ORÇAMENTO.Nivel="Serviço"),2),0,1,2,3,4,"S")</f>
        <v>S</v>
      </c>
      <c r="B90" s="1" t="n">
        <f aca="true">IF(OR(C90="s",C90=0),OFFSET(B90,-1,0),C90)</f>
        <v>2</v>
      </c>
      <c r="C90" s="1" t="str">
        <f aca="true">IF(OFFSET(C90,-1,0)="L",1,IF(OFFSET(C90,-1,0)=1,2,IF(OR(A90="s",A90=0),"S",IF(AND(OFFSET(C90,-1,0)=2,A90=4),3,IF(AND(OR(OFFSET(C90,-1,0)="s",OFFSET(C90,-1,0)=0),A90&lt;&gt;"s",A90&gt;OFFSET(B90,-1,0)),OFFSET(B90,-1,0),A90)))))</f>
        <v>S</v>
      </c>
      <c r="D90" s="1" t="n">
        <f aca="false">IF(OR(C90="S",C90=0),0,IF(ISERROR(K90),J90,SMALL(J90:K90,1)))</f>
        <v>0</v>
      </c>
      <c r="E90" s="1" t="n">
        <f aca="true">IF($C90=1,OFFSET(E90,-1,0)+MAX(1,COUNTIF(QCI!$A$13:$A$15,OFFSET(ORÇAMENTO!E90,-1,0))),OFFSET(E90,-1,0))</f>
        <v>1</v>
      </c>
      <c r="F90" s="1" t="n">
        <f aca="true">IF($C90=1,0,IF($C90=2,OFFSET(F90,-1,0)+1,OFFSET(F90,-1,0)))</f>
        <v>23</v>
      </c>
      <c r="G90" s="1" t="n">
        <f aca="true">IF(AND($C90&lt;=2,$C90&lt;&gt;0),0,IF($C90=3,OFFSET(G90,-1,0)+1,OFFSET(G90,-1,0)))</f>
        <v>0</v>
      </c>
      <c r="H90" s="1" t="n">
        <f aca="true">IF(AND($C90&lt;=3,$C90&lt;&gt;0),0,IF($C90=4,OFFSET(H90,-1,0)+1,OFFSET(H90,-1,0)))</f>
        <v>0</v>
      </c>
      <c r="I90" s="1" t="n">
        <f aca="true">IF(AND($C90&lt;=4,$C90&lt;&gt;0),0,IF(AND($C90="S",$X90&gt;0),OFFSET(I90,-1,0)+1,OFFSET(I90,-1,0)))</f>
        <v>1</v>
      </c>
      <c r="J90" s="1" t="n">
        <f aca="true">IF(OR($C90="S",$C90=0),0,MATCH(0,OFFSET($D90,1,$C90,ROW($C$205)-ROW($C90)),0))</f>
        <v>0</v>
      </c>
      <c r="K90" s="1" t="n">
        <f aca="true">IF(OR($C90="S",$C90=0),0,MATCH(OFFSET($D90,0,$C90)+IF($C90&lt;&gt;1,1,COUNTIF(QCI!$A$13:$A$15,ORÇAMENTO!E90)),OFFSET($D90,1,$C90,ROW($C$205)-ROW($C90)),0))</f>
        <v>0</v>
      </c>
      <c r="L90" s="199" t="str">
        <f aca="false">IF(OR($X90&gt;0,$C90=1,$C90=2,$C90=3,$C90=4),"F","")</f>
        <v>F</v>
      </c>
      <c r="M90" s="200" t="s">
        <v>735</v>
      </c>
      <c r="N90" s="201" t="str">
        <f aca="false">CHOOSE(1+LOG(1+2*(C90=1)+4*(C90=2)+8*(C90=3)+16*(C90=4)+32*(C90="S"),2),"","Meta","Nível 2","Nível 3","Nível 4","Serviço")</f>
        <v>Serviço</v>
      </c>
      <c r="O90" s="202" t="str">
        <f aca="false">IF(OR($C90=0,$L90=""),"-",CONCATENATE(E90&amp;".",IF(AND($A$5&gt;=2,$C90&gt;=2),F90&amp;".",""),IF(AND($A$5&gt;=3,$C90&gt;=3),G90&amp;".",""),IF(AND($A$5&gt;=4,$C90&gt;=4),H90&amp;".",""),IF($C90="S",I90&amp;".","")))</f>
        <v>1.23.1.</v>
      </c>
      <c r="P90" s="203" t="s">
        <v>780</v>
      </c>
      <c r="Q90" s="204" t="n">
        <v>88485</v>
      </c>
      <c r="R90" s="205" t="str">
        <f aca="false">[4]PO!$D$94</f>
        <v>FUNDO SELADOR ACRÍLICO, APLICAÇÃO MANUAL EM PAREDE, UMA DEMÃO. AF_04/2023</v>
      </c>
      <c r="S90" s="237" t="s">
        <v>650</v>
      </c>
      <c r="T90" s="207" t="n">
        <f aca="true">OFFSET(CÁLCULO!H$15,ROW($T90)-ROW(T$15),0)</f>
        <v>2413.75</v>
      </c>
      <c r="U90" s="208" t="n">
        <f aca="false">[2]PO!$G$94</f>
        <v>4.53</v>
      </c>
      <c r="V90" s="209" t="s">
        <v>690</v>
      </c>
      <c r="W90" s="207" t="n">
        <f aca="false">IF($C90="S",ROUND(IF(TIPOORCAMENTO="Proposto",ORÇAMENTO.CustoUnitario*(1+$AH90),ORÇAMENTO.PrecoUnitarioLicitado),15-13*$AF$10),0)</f>
        <v>5.85</v>
      </c>
      <c r="X90" s="210" t="n">
        <f aca="true" t="array" ref="X90:X90">IF($C90="S",IF(OR(Import.TipoArredondamento&lt;&gt;"TransfereGOV",ACOMPANHAMENTO="BM"),VTOTAL1,SUM(OFFSET(CÁLCULO!$AQ$15,ROW($X90)-ROW($X$15),1):OFFSET(CÁLCULO!$BR$15,ROW($X90)-ROW($X$15),-1))),IF($C90=0,0,ROUND(SomaAgrup,15-13*$AF$11)))</f>
        <v>14120.5</v>
      </c>
      <c r="Y90" s="211" t="s">
        <v>781</v>
      </c>
      <c r="Z90" s="1" t="str">
        <f aca="false">IF(AND($C90="S",$X90&gt;0),IF(ISBLANK($Y90),"RA",LEFT($Y90,2)),"")</f>
        <v>RA</v>
      </c>
      <c r="AA90" s="212" t="n">
        <f aca="true">IF($C90="S",IF($Z90="CP",$X90,IF($Z90="RA",(($X90)*QCI!$AA$3),0)),SomaAgrup)</f>
        <v>1567.1146458282</v>
      </c>
      <c r="AB90" s="213" t="n">
        <f aca="true">IF($C90="S",IF($Z90="OU",ROUND($X90,2),0),SomaAgrup)</f>
        <v>0</v>
      </c>
      <c r="AC90" s="214" t="e">
        <f aca="false" t="array" ref="AC90:AC90">IF($N90=""," ",
IF(AND($C90&lt;&gt;"S",OR($R90="",$R90="(digite a descrição aqui)")),"DESCRIÇÃO",
IF(AND($C90="S",OR($Q90&lt;&gt;"",$T90&gt;0,$U90&gt;0),$P90=""),"FONTE",
IF(AND($C90="S",$P90&lt;&gt;"",OR($T90&gt;0,$U90&gt;0),$Q90=""),"CÓDIGO",
IF(AND($C90="S",$P90&lt;&gt;"",$Q90&lt;&gt;"",$R90="(Código não identificado nas referências)"),"CÓDIGO N/ID",
IF(AND($C90="S",OR($R90="",$R90="(digite a descrição aqui)"),OR($Q90&lt;&gt;"",$T90&gt;0,$U90&gt;0)),"DESCRIÇÃO",
IF(AND($C90="S",$P90&lt;&gt;"",$Q90&lt;&gt;"",$S90=""),"UNIDADE",
IF(AND($C90="S",$P90&lt;&gt;"",$Q90&lt;&gt;"",$U90=0),"SEM CUSTO",
IF(AND(_xlfn.single(TIPOORCAMENTO)="Licitado",$AL90=0,$AN90&gt;0),"SEM PREÇO",
IF(AND($C90="S",$P90&lt;&gt;"",$Q90&lt;&gt;"",$U90&gt;0,$V90=0),"BDI",
IF(OR(AND(TIPOORCAMENTO="Proposto",LEFT($O$8,5)&lt;&gt;"(N/D:",$AG90&lt;&gt;"",ORÇAMENTO.CustoUnitario&gt;$AG90),AND(TIPOORCAMENTO="LICITADO",ORÇAMENTO.PrecoUnitarioLicitado&gt;$AN90)),"ACIMA REF.",
IF(AND($C90="S",$P90&lt;&gt;"",$Q90&lt;&gt;"",$T90=0,$U90&gt;0),"QUANT.",
IF(AND(Import.TipoArredondamento="TransfereGOV",$L90="F",$C90="S",LEN($Q90)&gt;13),"Código &gt;13",
IF(AND(Import.TipoArredondamento="TransfereGOV",$L90="F",$C90&lt;&gt;"S",LEN($R90)&gt;100),"Descrição &gt;100",
IF(AND(Import.TipoArredondamento="TransfereGOV",$L90="F",$C90="S",LEN($R90)&gt;500),"Descrição &gt;500",
IF(AND(Import.TipoArredondamento="TransfereGOV",$L90="F",$C90="S",LEFT(TRIM(UPPER($P90)),6)&lt;&gt;"SINAPI",ISNA(VLOOKUP(TRIM(UPPER($S90)),ListaTgov.Unidades,1,FALSE()))),"Unid. Não Disp",
" "))))))))))))))))</f>
        <v>#NAME?</v>
      </c>
      <c r="AD90" s="1" t="str">
        <f aca="true">IF(C90&lt;=CRONO.NivelExibicao,MAX($AD$15:OFFSET(AD90,-1,0))+IF($C90&lt;&gt;1,1,MAX(1,COUNTIF(QCI!$A$13:$A$15,OFFSET($E90,-1,0)))),"")</f>
        <v/>
      </c>
      <c r="AE90" s="50" t="str">
        <f aca="false">IF(AND($C90="S",ORÇAMENTO.CodBarra&lt;&gt;""),IF(ORÇAMENTO.Fonte="",ORÇAMENTO.CodBarra,CONCATENATE(ORÇAMENTO.Fonte," ",ORÇAMENTO.CodBarra)))</f>
        <v>SINAPI 88485</v>
      </c>
      <c r="AF90" s="65" t="str">
        <f aca="true">IF(ISERROR(INDIRECT(ORÇAMENTO.BancoRef)),"(abra o arquivo 'Referência "&amp;Excel_BuiltIn_Database&amp;".xlsm)",IF(OR($C90&lt;&gt;"S",ORÇAMENTO.CodBarra=""),"(Sem Código)",IF(ISERROR(MATCH($AE90,INDIRECT(ORÇAMENTO.BancoRef),0)),"(Código não identificado nas referências)",MATCH($AE90,INDIRECT(ORÇAMENTO.BancoRef),0))))</f>
        <v>(abra o arquivo 'Referência 07-2025.xlsm)</v>
      </c>
      <c r="AG90" s="215" t="n">
        <f aca="true">ROUND(IF(DESONERACAO="sim",REFERENCIA.Desonerado,REFERENCIA.NaoDesonerado),2)</f>
        <v>0</v>
      </c>
      <c r="AH90" s="216" t="n">
        <f aca="false">ROUND(IF(ISNUMBER(ORÇAMENTO.OpcaoBDI),ORÇAMENTO.OpcaoBDI,IF(LEFT(ORÇAMENTO.OpcaoBDI,3)="BDI",HLOOKUP(ORÇAMENTO.OpcaoBDI,$F$4:$H$5,2,FALSE()),0)),15-11*$AF$9)</f>
        <v>0.2904</v>
      </c>
      <c r="AJ90" s="217"/>
      <c r="AL90" s="218"/>
      <c r="AM90" s="219" t="n">
        <f aca="false">$X90</f>
        <v>14120.5</v>
      </c>
      <c r="AN90" s="220" t="n">
        <f aca="false">ROUND(ORÇAMENTO.CustoUnitario*(1+$AH90),2)</f>
        <v>5.85</v>
      </c>
    </row>
    <row r="91" customFormat="false" ht="23.85" hidden="false" customHeight="false" outlineLevel="0" collapsed="false">
      <c r="A91" s="1" t="str">
        <f aca="false">CHOOSE(1+LOG(1+2*(ORÇAMENTO.Nivel="Meta")+4*(ORÇAMENTO.Nivel="Nível 2")+8*(ORÇAMENTO.Nivel="Nível 3")+16*(ORÇAMENTO.Nivel="Nível 4")+32*(ORÇAMENTO.Nivel="Serviço"),2),0,1,2,3,4,"S")</f>
        <v>S</v>
      </c>
      <c r="B91" s="1" t="n">
        <f aca="true">IF(OR(C91="s",C91=0),OFFSET(B91,-1,0),C91)</f>
        <v>2</v>
      </c>
      <c r="C91" s="1" t="str">
        <f aca="true">IF(OFFSET(C91,-1,0)="L",1,IF(OFFSET(C91,-1,0)=1,2,IF(OR(A91="s",A91=0),"S",IF(AND(OFFSET(C91,-1,0)=2,A91=4),3,IF(AND(OR(OFFSET(C91,-1,0)="s",OFFSET(C91,-1,0)=0),A91&lt;&gt;"s",A91&gt;OFFSET(B91,-1,0)),OFFSET(B91,-1,0),A91)))))</f>
        <v>S</v>
      </c>
      <c r="D91" s="1" t="n">
        <f aca="false">IF(OR(C91="S",C91=0),0,IF(ISERROR(K91),J91,SMALL(J91:K91,1)))</f>
        <v>0</v>
      </c>
      <c r="E91" s="1" t="n">
        <f aca="true">IF($C91=1,OFFSET(E91,-1,0)+MAX(1,COUNTIF(QCI!$A$13:$A$15,OFFSET(ORÇAMENTO!E91,-1,0))),OFFSET(E91,-1,0))</f>
        <v>1</v>
      </c>
      <c r="F91" s="1" t="n">
        <f aca="true">IF($C91=1,0,IF($C91=2,OFFSET(F91,-1,0)+1,OFFSET(F91,-1,0)))</f>
        <v>23</v>
      </c>
      <c r="G91" s="1" t="n">
        <f aca="true">IF(AND($C91&lt;=2,$C91&lt;&gt;0),0,IF($C91=3,OFFSET(G91,-1,0)+1,OFFSET(G91,-1,0)))</f>
        <v>0</v>
      </c>
      <c r="H91" s="1" t="n">
        <f aca="true">IF(AND($C91&lt;=3,$C91&lt;&gt;0),0,IF($C91=4,OFFSET(H91,-1,0)+1,OFFSET(H91,-1,0)))</f>
        <v>0</v>
      </c>
      <c r="I91" s="1" t="n">
        <f aca="true">IF(AND($C91&lt;=4,$C91&lt;&gt;0),0,IF(AND($C91="S",$X91&gt;0),OFFSET(I91,-1,0)+1,OFFSET(I91,-1,0)))</f>
        <v>2</v>
      </c>
      <c r="J91" s="1" t="n">
        <f aca="true">IF(OR($C91="S",$C91=0),0,MATCH(0,OFFSET($D91,1,$C91,ROW($C$205)-ROW($C91)),0))</f>
        <v>0</v>
      </c>
      <c r="K91" s="1" t="n">
        <f aca="true">IF(OR($C91="S",$C91=0),0,MATCH(OFFSET($D91,0,$C91)+IF($C91&lt;&gt;1,1,COUNTIF(QCI!$A$13:$A$15,ORÇAMENTO!E91)),OFFSET($D91,1,$C91,ROW($C$205)-ROW($C91)),0))</f>
        <v>0</v>
      </c>
      <c r="L91" s="199" t="str">
        <f aca="false">IF(OR($X91&gt;0,$C91=1,$C91=2,$C91=3,$C91=4),"F","")</f>
        <v>F</v>
      </c>
      <c r="M91" s="200" t="s">
        <v>735</v>
      </c>
      <c r="N91" s="201" t="str">
        <f aca="false">CHOOSE(1+LOG(1+2*(C91=1)+4*(C91=2)+8*(C91=3)+16*(C91=4)+32*(C91="S"),2),"","Meta","Nível 2","Nível 3","Nível 4","Serviço")</f>
        <v>Serviço</v>
      </c>
      <c r="O91" s="202" t="str">
        <f aca="false">IF(OR($C91=0,$L91=""),"-",CONCATENATE(E91&amp;".",IF(AND($A$5&gt;=2,$C91&gt;=2),F91&amp;".",""),IF(AND($A$5&gt;=3,$C91&gt;=3),G91&amp;".",""),IF(AND($A$5&gt;=4,$C91&gt;=4),H91&amp;".",""),IF($C91="S",I91&amp;".","")))</f>
        <v>1.23.2.</v>
      </c>
      <c r="P91" s="203" t="s">
        <v>780</v>
      </c>
      <c r="Q91" s="204" t="n">
        <v>88484</v>
      </c>
      <c r="R91" s="205" t="str">
        <f aca="false">[4]PO!$D$95</f>
        <v>FUNDO SELADOR ACRÍLICO, APLICAÇÃO MANUAL EM TETO, UMA DEMÃO. AF_04/2023</v>
      </c>
      <c r="S91" s="237" t="s">
        <v>650</v>
      </c>
      <c r="T91" s="207" t="n">
        <f aca="true">OFFSET(CÁLCULO!H$15,ROW($T91)-ROW(T$15),0)</f>
        <v>1164</v>
      </c>
      <c r="U91" s="208" t="n">
        <f aca="false">[2]PO!$G$95</f>
        <v>5.5</v>
      </c>
      <c r="V91" s="209" t="s">
        <v>690</v>
      </c>
      <c r="W91" s="207" t="n">
        <f aca="false">IF($C91="S",ROUND(IF(TIPOORCAMENTO="Proposto",ORÇAMENTO.CustoUnitario*(1+$AH91),ORÇAMENTO.PrecoUnitarioLicitado),15-13*$AF$10),0)</f>
        <v>7.1</v>
      </c>
      <c r="X91" s="210" t="n">
        <f aca="true" t="array" ref="X91:X91">IF($C91="S",IF(OR(Import.TipoArredondamento&lt;&gt;"TransfereGOV",ACOMPANHAMENTO="BM"),VTOTAL1,SUM(OFFSET(CÁLCULO!$AQ$15,ROW($X91)-ROW($X$15),1):OFFSET(CÁLCULO!$BR$15,ROW($X91)-ROW($X$15),-1))),IF($C91=0,0,ROUND(SomaAgrup,15-13*$AF$11)))</f>
        <v>8264.5</v>
      </c>
      <c r="Y91" s="211" t="s">
        <v>781</v>
      </c>
      <c r="Z91" s="1" t="str">
        <f aca="false">IF(AND($C91="S",$X91&gt;0),IF(ISBLANK($Y91),"RA",LEFT($Y91,2)),"")</f>
        <v>RA</v>
      </c>
      <c r="AA91" s="212" t="n">
        <f aca="true">IF($C91="S",IF($Z91="CP",$X91,IF($Z91="RA",(($X91)*QCI!$AA$3),0)),SomaAgrup)</f>
        <v>917.206826277196</v>
      </c>
      <c r="AB91" s="213" t="n">
        <f aca="true">IF($C91="S",IF($Z91="OU",ROUND($X91,2),0),SomaAgrup)</f>
        <v>0</v>
      </c>
      <c r="AC91" s="214" t="e">
        <f aca="false" t="array" ref="AC91:AC91">IF($N91=""," ",
IF(AND($C91&lt;&gt;"S",OR($R91="",$R91="(digite a descrição aqui)")),"DESCRIÇÃO",
IF(AND($C91="S",OR($Q91&lt;&gt;"",$T91&gt;0,$U91&gt;0),$P91=""),"FONTE",
IF(AND($C91="S",$P91&lt;&gt;"",OR($T91&gt;0,$U91&gt;0),$Q91=""),"CÓDIGO",
IF(AND($C91="S",$P91&lt;&gt;"",$Q91&lt;&gt;"",$R91="(Código não identificado nas referências)"),"CÓDIGO N/ID",
IF(AND($C91="S",OR($R91="",$R91="(digite a descrição aqui)"),OR($Q91&lt;&gt;"",$T91&gt;0,$U91&gt;0)),"DESCRIÇÃO",
IF(AND($C91="S",$P91&lt;&gt;"",$Q91&lt;&gt;"",$S91=""),"UNIDADE",
IF(AND($C91="S",$P91&lt;&gt;"",$Q91&lt;&gt;"",$U91=0),"SEM CUSTO",
IF(AND(_xlfn.single(TIPOORCAMENTO)="Licitado",$AL91=0,$AN91&gt;0),"SEM PREÇO",
IF(AND($C91="S",$P91&lt;&gt;"",$Q91&lt;&gt;"",$U91&gt;0,$V91=0),"BDI",
IF(OR(AND(TIPOORCAMENTO="Proposto",LEFT($O$8,5)&lt;&gt;"(N/D:",$AG91&lt;&gt;"",ORÇAMENTO.CustoUnitario&gt;$AG91),AND(TIPOORCAMENTO="LICITADO",ORÇAMENTO.PrecoUnitarioLicitado&gt;$AN91)),"ACIMA REF.",
IF(AND($C91="S",$P91&lt;&gt;"",$Q91&lt;&gt;"",$T91=0,$U91&gt;0),"QUANT.",
IF(AND(Import.TipoArredondamento="TransfereGOV",$L91="F",$C91="S",LEN($Q91)&gt;13),"Código &gt;13",
IF(AND(Import.TipoArredondamento="TransfereGOV",$L91="F",$C91&lt;&gt;"S",LEN($R91)&gt;100),"Descrição &gt;100",
IF(AND(Import.TipoArredondamento="TransfereGOV",$L91="F",$C91="S",LEN($R91)&gt;500),"Descrição &gt;500",
IF(AND(Import.TipoArredondamento="TransfereGOV",$L91="F",$C91="S",LEFT(TRIM(UPPER($P91)),6)&lt;&gt;"SINAPI",ISNA(VLOOKUP(TRIM(UPPER($S91)),ListaTgov.Unidades,1,FALSE()))),"Unid. Não Disp",
" "))))))))))))))))</f>
        <v>#NAME?</v>
      </c>
      <c r="AD91" s="1" t="str">
        <f aca="true">IF(C91&lt;=CRONO.NivelExibicao,MAX($AD$15:OFFSET(AD91,-1,0))+IF($C91&lt;&gt;1,1,MAX(1,COUNTIF(QCI!$A$13:$A$15,OFFSET($E91,-1,0)))),"")</f>
        <v/>
      </c>
      <c r="AE91" s="50" t="str">
        <f aca="false">IF(AND($C91="S",ORÇAMENTO.CodBarra&lt;&gt;""),IF(ORÇAMENTO.Fonte="",ORÇAMENTO.CodBarra,CONCATENATE(ORÇAMENTO.Fonte," ",ORÇAMENTO.CodBarra)))</f>
        <v>SINAPI 88484</v>
      </c>
      <c r="AF91" s="65" t="str">
        <f aca="true">IF(ISERROR(INDIRECT(ORÇAMENTO.BancoRef)),"(abra o arquivo 'Referência "&amp;Excel_BuiltIn_Database&amp;".xlsm)",IF(OR($C91&lt;&gt;"S",ORÇAMENTO.CodBarra=""),"(Sem Código)",IF(ISERROR(MATCH($AE91,INDIRECT(ORÇAMENTO.BancoRef),0)),"(Código não identificado nas referências)",MATCH($AE91,INDIRECT(ORÇAMENTO.BancoRef),0))))</f>
        <v>(abra o arquivo 'Referência 07-2025.xlsm)</v>
      </c>
      <c r="AG91" s="215" t="n">
        <f aca="true">ROUND(IF(DESONERACAO="sim",REFERENCIA.Desonerado,REFERENCIA.NaoDesonerado),2)</f>
        <v>0</v>
      </c>
      <c r="AH91" s="216" t="n">
        <f aca="false">ROUND(IF(ISNUMBER(ORÇAMENTO.OpcaoBDI),ORÇAMENTO.OpcaoBDI,IF(LEFT(ORÇAMENTO.OpcaoBDI,3)="BDI",HLOOKUP(ORÇAMENTO.OpcaoBDI,$F$4:$H$5,2,FALSE()),0)),15-11*$AF$9)</f>
        <v>0.2904</v>
      </c>
      <c r="AJ91" s="217"/>
      <c r="AL91" s="218"/>
      <c r="AM91" s="219" t="n">
        <f aca="false">$X91</f>
        <v>8264.5</v>
      </c>
      <c r="AN91" s="220" t="n">
        <f aca="false">ROUND(ORÇAMENTO.CustoUnitario*(1+$AH91),2)</f>
        <v>7.1</v>
      </c>
    </row>
    <row r="92" customFormat="false" ht="23.85" hidden="false" customHeight="false" outlineLevel="0" collapsed="false">
      <c r="A92" s="1" t="str">
        <f aca="false">CHOOSE(1+LOG(1+2*(ORÇAMENTO.Nivel="Meta")+4*(ORÇAMENTO.Nivel="Nível 2")+8*(ORÇAMENTO.Nivel="Nível 3")+16*(ORÇAMENTO.Nivel="Nível 4")+32*(ORÇAMENTO.Nivel="Serviço"),2),0,1,2,3,4,"S")</f>
        <v>S</v>
      </c>
      <c r="B92" s="1" t="n">
        <f aca="true">IF(OR(C92="s",C92=0),OFFSET(B92,-1,0),C92)</f>
        <v>2</v>
      </c>
      <c r="C92" s="1" t="str">
        <f aca="true">IF(OFFSET(C92,-1,0)="L",1,IF(OFFSET(C92,-1,0)=1,2,IF(OR(A92="s",A92=0),"S",IF(AND(OFFSET(C92,-1,0)=2,A92=4),3,IF(AND(OR(OFFSET(C92,-1,0)="s",OFFSET(C92,-1,0)=0),A92&lt;&gt;"s",A92&gt;OFFSET(B92,-1,0)),OFFSET(B92,-1,0),A92)))))</f>
        <v>S</v>
      </c>
      <c r="D92" s="1" t="n">
        <f aca="false">IF(OR(C92="S",C92=0),0,IF(ISERROR(K92),J92,SMALL(J92:K92,1)))</f>
        <v>0</v>
      </c>
      <c r="E92" s="1" t="n">
        <f aca="true">IF($C92=1,OFFSET(E92,-1,0)+MAX(1,COUNTIF(QCI!$A$13:$A$15,OFFSET(ORÇAMENTO!E92,-1,0))),OFFSET(E92,-1,0))</f>
        <v>1</v>
      </c>
      <c r="F92" s="1" t="n">
        <f aca="true">IF($C92=1,0,IF($C92=2,OFFSET(F92,-1,0)+1,OFFSET(F92,-1,0)))</f>
        <v>23</v>
      </c>
      <c r="G92" s="1" t="n">
        <f aca="true">IF(AND($C92&lt;=2,$C92&lt;&gt;0),0,IF($C92=3,OFFSET(G92,-1,0)+1,OFFSET(G92,-1,0)))</f>
        <v>0</v>
      </c>
      <c r="H92" s="1" t="n">
        <f aca="true">IF(AND($C92&lt;=3,$C92&lt;&gt;0),0,IF($C92=4,OFFSET(H92,-1,0)+1,OFFSET(H92,-1,0)))</f>
        <v>0</v>
      </c>
      <c r="I92" s="1" t="n">
        <f aca="true">IF(AND($C92&lt;=4,$C92&lt;&gt;0),0,IF(AND($C92="S",$X92&gt;0),OFFSET(I92,-1,0)+1,OFFSET(I92,-1,0)))</f>
        <v>3</v>
      </c>
      <c r="J92" s="1" t="n">
        <f aca="true">IF(OR($C92="S",$C92=0),0,MATCH(0,OFFSET($D92,1,$C92,ROW($C$205)-ROW($C92)),0))</f>
        <v>0</v>
      </c>
      <c r="K92" s="1" t="n">
        <f aca="true">IF(OR($C92="S",$C92=0),0,MATCH(OFFSET($D92,0,$C92)+IF($C92&lt;&gt;1,1,COUNTIF(QCI!$A$13:$A$15,ORÇAMENTO!E92)),OFFSET($D92,1,$C92,ROW($C$205)-ROW($C92)),0))</f>
        <v>0</v>
      </c>
      <c r="L92" s="199" t="str">
        <f aca="false">IF(OR($X92&gt;0,$C92=1,$C92=2,$C92=3,$C92=4),"F","")</f>
        <v>F</v>
      </c>
      <c r="M92" s="200" t="s">
        <v>735</v>
      </c>
      <c r="N92" s="201" t="str">
        <f aca="false">CHOOSE(1+LOG(1+2*(C92=1)+4*(C92=2)+8*(C92=3)+16*(C92=4)+32*(C92="S"),2),"","Meta","Nível 2","Nível 3","Nível 4","Serviço")</f>
        <v>Serviço</v>
      </c>
      <c r="O92" s="202" t="str">
        <f aca="false">IF(OR($C92=0,$L92=""),"-",CONCATENATE(E92&amp;".",IF(AND($A$5&gt;=2,$C92&gt;=2),F92&amp;".",""),IF(AND($A$5&gt;=3,$C92&gt;=3),G92&amp;".",""),IF(AND($A$5&gt;=4,$C92&gt;=4),H92&amp;".",""),IF($C92="S",I92&amp;".","")))</f>
        <v>1.23.3.</v>
      </c>
      <c r="P92" s="203" t="s">
        <v>780</v>
      </c>
      <c r="Q92" s="204" t="n">
        <v>104640</v>
      </c>
      <c r="R92" s="205" t="str">
        <f aca="false">[4]PO!$D$96</f>
        <v>PINTURA LÁTEX ACRÍLICA STANDARD, APLICAÇÃO MANUAL EM TETO, DUAS DEMÃOS. AF_04/2023</v>
      </c>
      <c r="S92" s="237" t="s">
        <v>650</v>
      </c>
      <c r="T92" s="207" t="n">
        <f aca="true">OFFSET(CÁLCULO!H$15,ROW($T92)-ROW(T$15),0)</f>
        <v>1164</v>
      </c>
      <c r="U92" s="208" t="n">
        <f aca="false">[2]PO!$G$96</f>
        <v>13.17</v>
      </c>
      <c r="V92" s="209" t="s">
        <v>690</v>
      </c>
      <c r="W92" s="207" t="n">
        <f aca="false">IF($C92="S",ROUND(IF(TIPOORCAMENTO="Proposto",ORÇAMENTO.CustoUnitario*(1+$AH92),ORÇAMENTO.PrecoUnitarioLicitado),15-13*$AF$10),0)</f>
        <v>16.99</v>
      </c>
      <c r="X92" s="210" t="n">
        <f aca="true" t="array" ref="X92:X92">IF($C92="S",IF(OR(Import.TipoArredondamento&lt;&gt;"TransfereGOV",ACOMPANHAMENTO="BM"),VTOTAL1,SUM(OFFSET(CÁLCULO!$AQ$15,ROW($X92)-ROW($X$15),1):OFFSET(CÁLCULO!$BR$15,ROW($X92)-ROW($X$15),-1))),IF($C92=0,0,ROUND(SomaAgrup,15-13*$AF$11)))</f>
        <v>19776.25</v>
      </c>
      <c r="Y92" s="211" t="s">
        <v>781</v>
      </c>
      <c r="Z92" s="1" t="str">
        <f aca="false">IF(AND($C92="S",$X92&gt;0),IF(ISBLANK($Y92),"RA",LEFT($Y92,2)),"")</f>
        <v>RA</v>
      </c>
      <c r="AA92" s="212" t="n">
        <f aca="true">IF($C92="S",IF($Z92="CP",$X92,IF($Z92="RA",(($X92)*QCI!$AA$3),0)),SomaAgrup)</f>
        <v>2194.79841468503</v>
      </c>
      <c r="AB92" s="213" t="n">
        <f aca="true">IF($C92="S",IF($Z92="OU",ROUND($X92,2),0),SomaAgrup)</f>
        <v>0</v>
      </c>
      <c r="AC92" s="214" t="e">
        <f aca="false" t="array" ref="AC92:AC92">IF($N92=""," ",
IF(AND($C92&lt;&gt;"S",OR($R92="",$R92="(digite a descrição aqui)")),"DESCRIÇÃO",
IF(AND($C92="S",OR($Q92&lt;&gt;"",$T92&gt;0,$U92&gt;0),$P92=""),"FONTE",
IF(AND($C92="S",$P92&lt;&gt;"",OR($T92&gt;0,$U92&gt;0),$Q92=""),"CÓDIGO",
IF(AND($C92="S",$P92&lt;&gt;"",$Q92&lt;&gt;"",$R92="(Código não identificado nas referências)"),"CÓDIGO N/ID",
IF(AND($C92="S",OR($R92="",$R92="(digite a descrição aqui)"),OR($Q92&lt;&gt;"",$T92&gt;0,$U92&gt;0)),"DESCRIÇÃO",
IF(AND($C92="S",$P92&lt;&gt;"",$Q92&lt;&gt;"",$S92=""),"UNIDADE",
IF(AND($C92="S",$P92&lt;&gt;"",$Q92&lt;&gt;"",$U92=0),"SEM CUSTO",
IF(AND(_xlfn.single(TIPOORCAMENTO)="Licitado",$AL92=0,$AN92&gt;0),"SEM PREÇO",
IF(AND($C92="S",$P92&lt;&gt;"",$Q92&lt;&gt;"",$U92&gt;0,$V92=0),"BDI",
IF(OR(AND(TIPOORCAMENTO="Proposto",LEFT($O$8,5)&lt;&gt;"(N/D:",$AG92&lt;&gt;"",ORÇAMENTO.CustoUnitario&gt;$AG92),AND(TIPOORCAMENTO="LICITADO",ORÇAMENTO.PrecoUnitarioLicitado&gt;$AN92)),"ACIMA REF.",
IF(AND($C92="S",$P92&lt;&gt;"",$Q92&lt;&gt;"",$T92=0,$U92&gt;0),"QUANT.",
IF(AND(Import.TipoArredondamento="TransfereGOV",$L92="F",$C92="S",LEN($Q92)&gt;13),"Código &gt;13",
IF(AND(Import.TipoArredondamento="TransfereGOV",$L92="F",$C92&lt;&gt;"S",LEN($R92)&gt;100),"Descrição &gt;100",
IF(AND(Import.TipoArredondamento="TransfereGOV",$L92="F",$C92="S",LEN($R92)&gt;500),"Descrição &gt;500",
IF(AND(Import.TipoArredondamento="TransfereGOV",$L92="F",$C92="S",LEFT(TRIM(UPPER($P92)),6)&lt;&gt;"SINAPI",ISNA(VLOOKUP(TRIM(UPPER($S92)),ListaTgov.Unidades,1,FALSE()))),"Unid. Não Disp",
" "))))))))))))))))</f>
        <v>#NAME?</v>
      </c>
      <c r="AD92" s="1" t="str">
        <f aca="true">IF(C92&lt;=CRONO.NivelExibicao,MAX($AD$15:OFFSET(AD92,-1,0))+IF($C92&lt;&gt;1,1,MAX(1,COUNTIF(QCI!$A$13:$A$15,OFFSET($E92,-1,0)))),"")</f>
        <v/>
      </c>
      <c r="AE92" s="50" t="str">
        <f aca="false">IF(AND($C92="S",ORÇAMENTO.CodBarra&lt;&gt;""),IF(ORÇAMENTO.Fonte="",ORÇAMENTO.CodBarra,CONCATENATE(ORÇAMENTO.Fonte," ",ORÇAMENTO.CodBarra)))</f>
        <v>SINAPI 104640</v>
      </c>
      <c r="AF92" s="65" t="str">
        <f aca="true">IF(ISERROR(INDIRECT(ORÇAMENTO.BancoRef)),"(abra o arquivo 'Referência "&amp;Excel_BuiltIn_Database&amp;".xlsm)",IF(OR($C92&lt;&gt;"S",ORÇAMENTO.CodBarra=""),"(Sem Código)",IF(ISERROR(MATCH($AE92,INDIRECT(ORÇAMENTO.BancoRef),0)),"(Código não identificado nas referências)",MATCH($AE92,INDIRECT(ORÇAMENTO.BancoRef),0))))</f>
        <v>(abra o arquivo 'Referência 07-2025.xlsm)</v>
      </c>
      <c r="AG92" s="215" t="n">
        <f aca="true">ROUND(IF(DESONERACAO="sim",REFERENCIA.Desonerado,REFERENCIA.NaoDesonerado),2)</f>
        <v>0</v>
      </c>
      <c r="AH92" s="216" t="n">
        <f aca="false">ROUND(IF(ISNUMBER(ORÇAMENTO.OpcaoBDI),ORÇAMENTO.OpcaoBDI,IF(LEFT(ORÇAMENTO.OpcaoBDI,3)="BDI",HLOOKUP(ORÇAMENTO.OpcaoBDI,$F$4:$H$5,2,FALSE()),0)),15-11*$AF$9)</f>
        <v>0.2904</v>
      </c>
      <c r="AJ92" s="217"/>
      <c r="AL92" s="218"/>
      <c r="AM92" s="219" t="n">
        <f aca="false">$X92</f>
        <v>19776.25</v>
      </c>
      <c r="AN92" s="220" t="n">
        <f aca="false">ROUND(ORÇAMENTO.CustoUnitario*(1+$AH92),2)</f>
        <v>16.99</v>
      </c>
    </row>
    <row r="93" customFormat="false" ht="23.85" hidden="false" customHeight="false" outlineLevel="0" collapsed="false">
      <c r="A93" s="1" t="str">
        <f aca="false">CHOOSE(1+LOG(1+2*(ORÇAMENTO.Nivel="Meta")+4*(ORÇAMENTO.Nivel="Nível 2")+8*(ORÇAMENTO.Nivel="Nível 3")+16*(ORÇAMENTO.Nivel="Nível 4")+32*(ORÇAMENTO.Nivel="Serviço"),2),0,1,2,3,4,"S")</f>
        <v>S</v>
      </c>
      <c r="B93" s="1" t="n">
        <f aca="true">IF(OR(C93="s",C93=0),OFFSET(B93,-1,0),C93)</f>
        <v>2</v>
      </c>
      <c r="C93" s="1" t="str">
        <f aca="true">IF(OFFSET(C93,-1,0)="L",1,IF(OFFSET(C93,-1,0)=1,2,IF(OR(A93="s",A93=0),"S",IF(AND(OFFSET(C93,-1,0)=2,A93=4),3,IF(AND(OR(OFFSET(C93,-1,0)="s",OFFSET(C93,-1,0)=0),A93&lt;&gt;"s",A93&gt;OFFSET(B93,-1,0)),OFFSET(B93,-1,0),A93)))))</f>
        <v>S</v>
      </c>
      <c r="D93" s="1" t="n">
        <f aca="false">IF(OR(C93="S",C93=0),0,IF(ISERROR(K93),J93,SMALL(J93:K93,1)))</f>
        <v>0</v>
      </c>
      <c r="E93" s="1" t="n">
        <f aca="true">IF($C93=1,OFFSET(E93,-1,0)+MAX(1,COUNTIF(QCI!$A$13:$A$15,OFFSET(ORÇAMENTO!E93,-1,0))),OFFSET(E93,-1,0))</f>
        <v>1</v>
      </c>
      <c r="F93" s="1" t="n">
        <f aca="true">IF($C93=1,0,IF($C93=2,OFFSET(F93,-1,0)+1,OFFSET(F93,-1,0)))</f>
        <v>23</v>
      </c>
      <c r="G93" s="1" t="n">
        <f aca="true">IF(AND($C93&lt;=2,$C93&lt;&gt;0),0,IF($C93=3,OFFSET(G93,-1,0)+1,OFFSET(G93,-1,0)))</f>
        <v>0</v>
      </c>
      <c r="H93" s="1" t="n">
        <f aca="true">IF(AND($C93&lt;=3,$C93&lt;&gt;0),0,IF($C93=4,OFFSET(H93,-1,0)+1,OFFSET(H93,-1,0)))</f>
        <v>0</v>
      </c>
      <c r="I93" s="1" t="n">
        <f aca="true">IF(AND($C93&lt;=4,$C93&lt;&gt;0),0,IF(AND($C93="S",$X93&gt;0),OFFSET(I93,-1,0)+1,OFFSET(I93,-1,0)))</f>
        <v>4</v>
      </c>
      <c r="J93" s="1" t="n">
        <f aca="true">IF(OR($C93="S",$C93=0),0,MATCH(0,OFFSET($D93,1,$C93,ROW($C$205)-ROW($C93)),0))</f>
        <v>0</v>
      </c>
      <c r="K93" s="1" t="n">
        <f aca="true">IF(OR($C93="S",$C93=0),0,MATCH(OFFSET($D93,0,$C93)+IF($C93&lt;&gt;1,1,COUNTIF(QCI!$A$13:$A$15,ORÇAMENTO!E93)),OFFSET($D93,1,$C93,ROW($C$205)-ROW($C93)),0))</f>
        <v>0</v>
      </c>
      <c r="L93" s="199" t="str">
        <f aca="false">IF(OR($X93&gt;0,$C93=1,$C93=2,$C93=3,$C93=4),"F","")</f>
        <v>F</v>
      </c>
      <c r="M93" s="200" t="s">
        <v>735</v>
      </c>
      <c r="N93" s="201" t="str">
        <f aca="false">CHOOSE(1+LOG(1+2*(C93=1)+4*(C93=2)+8*(C93=3)+16*(C93=4)+32*(C93="S"),2),"","Meta","Nível 2","Nível 3","Nível 4","Serviço")</f>
        <v>Serviço</v>
      </c>
      <c r="O93" s="202" t="str">
        <f aca="false">IF(OR($C93=0,$L93=""),"-",CONCATENATE(E93&amp;".",IF(AND($A$5&gt;=2,$C93&gt;=2),F93&amp;".",""),IF(AND($A$5&gt;=3,$C93&gt;=3),G93&amp;".",""),IF(AND($A$5&gt;=4,$C93&gt;=4),H93&amp;".",""),IF($C93="S",I93&amp;".","")))</f>
        <v>1.23.4.</v>
      </c>
      <c r="P93" s="203" t="s">
        <v>780</v>
      </c>
      <c r="Q93" s="204" t="n">
        <v>104642</v>
      </c>
      <c r="R93" s="205" t="str">
        <f aca="false">[4]PO!$D$97</f>
        <v>PINTURA LÁTEX ACRÍLICA STANDARD, APLICAÇÃO MANUAL EM PAREDES, DUAS DEMÃOS. AF_04/2023</v>
      </c>
      <c r="S93" s="237" t="s">
        <v>650</v>
      </c>
      <c r="T93" s="207" t="n">
        <f aca="true">OFFSET(CÁLCULO!H$15,ROW($T93)-ROW(T$15),0)</f>
        <v>2413.75</v>
      </c>
      <c r="U93" s="208" t="n">
        <f aca="false">[2]PO!$G$97</f>
        <v>10.78</v>
      </c>
      <c r="V93" s="209" t="s">
        <v>690</v>
      </c>
      <c r="W93" s="207" t="n">
        <f aca="false">IF($C93="S",ROUND(IF(TIPOORCAMENTO="Proposto",ORÇAMENTO.CustoUnitario*(1+$AH93),ORÇAMENTO.PrecoUnitarioLicitado),15-13*$AF$10),0)</f>
        <v>13.91</v>
      </c>
      <c r="X93" s="210" t="n">
        <f aca="true" t="array" ref="X93:X93">IF($C93="S",IF(OR(Import.TipoArredondamento&lt;&gt;"TransfereGOV",ACOMPANHAMENTO="BM"),VTOTAL1,SUM(OFFSET(CÁLCULO!$AQ$15,ROW($X93)-ROW($X$15),1):OFFSET(CÁLCULO!$BR$15,ROW($X93)-ROW($X$15),-1))),IF($C93=0,0,ROUND(SomaAgrup,15-13*$AF$11)))</f>
        <v>33575.25</v>
      </c>
      <c r="Y93" s="211" t="s">
        <v>781</v>
      </c>
      <c r="Z93" s="1" t="str">
        <f aca="false">IF(AND($C93="S",$X93&gt;0),IF(ISBLANK($Y93),"RA",LEFT($Y93,2)),"")</f>
        <v>RA</v>
      </c>
      <c r="AA93" s="212" t="n">
        <f aca="true">IF($C93="S",IF($Z93="CP",$X93,IF($Z93="RA",(($X93)*QCI!$AA$3),0)),SomaAgrup)</f>
        <v>3726.23249972332</v>
      </c>
      <c r="AB93" s="213" t="n">
        <f aca="true">IF($C93="S",IF($Z93="OU",ROUND($X93,2),0),SomaAgrup)</f>
        <v>0</v>
      </c>
      <c r="AC93" s="214" t="e">
        <f aca="false" t="array" ref="AC93:AC93">IF($N93=""," ",
IF(AND($C93&lt;&gt;"S",OR($R93="",$R93="(digite a descrição aqui)")),"DESCRIÇÃO",
IF(AND($C93="S",OR($Q93&lt;&gt;"",$T93&gt;0,$U93&gt;0),$P93=""),"FONTE",
IF(AND($C93="S",$P93&lt;&gt;"",OR($T93&gt;0,$U93&gt;0),$Q93=""),"CÓDIGO",
IF(AND($C93="S",$P93&lt;&gt;"",$Q93&lt;&gt;"",$R93="(Código não identificado nas referências)"),"CÓDIGO N/ID",
IF(AND($C93="S",OR($R93="",$R93="(digite a descrição aqui)"),OR($Q93&lt;&gt;"",$T93&gt;0,$U93&gt;0)),"DESCRIÇÃO",
IF(AND($C93="S",$P93&lt;&gt;"",$Q93&lt;&gt;"",$S93=""),"UNIDADE",
IF(AND($C93="S",$P93&lt;&gt;"",$Q93&lt;&gt;"",$U93=0),"SEM CUSTO",
IF(AND(_xlfn.single(TIPOORCAMENTO)="Licitado",$AL93=0,$AN93&gt;0),"SEM PREÇO",
IF(AND($C93="S",$P93&lt;&gt;"",$Q93&lt;&gt;"",$U93&gt;0,$V93=0),"BDI",
IF(OR(AND(TIPOORCAMENTO="Proposto",LEFT($O$8,5)&lt;&gt;"(N/D:",$AG93&lt;&gt;"",ORÇAMENTO.CustoUnitario&gt;$AG93),AND(TIPOORCAMENTO="LICITADO",ORÇAMENTO.PrecoUnitarioLicitado&gt;$AN93)),"ACIMA REF.",
IF(AND($C93="S",$P93&lt;&gt;"",$Q93&lt;&gt;"",$T93=0,$U93&gt;0),"QUANT.",
IF(AND(Import.TipoArredondamento="TransfereGOV",$L93="F",$C93="S",LEN($Q93)&gt;13),"Código &gt;13",
IF(AND(Import.TipoArredondamento="TransfereGOV",$L93="F",$C93&lt;&gt;"S",LEN($R93)&gt;100),"Descrição &gt;100",
IF(AND(Import.TipoArredondamento="TransfereGOV",$L93="F",$C93="S",LEN($R93)&gt;500),"Descrição &gt;500",
IF(AND(Import.TipoArredondamento="TransfereGOV",$L93="F",$C93="S",LEFT(TRIM(UPPER($P93)),6)&lt;&gt;"SINAPI",ISNA(VLOOKUP(TRIM(UPPER($S93)),ListaTgov.Unidades,1,FALSE()))),"Unid. Não Disp",
" "))))))))))))))))</f>
        <v>#NAME?</v>
      </c>
      <c r="AD93" s="1" t="str">
        <f aca="true">IF(C93&lt;=CRONO.NivelExibicao,MAX($AD$15:OFFSET(AD93,-1,0))+IF($C93&lt;&gt;1,1,MAX(1,COUNTIF(QCI!$A$13:$A$15,OFFSET($E93,-1,0)))),"")</f>
        <v/>
      </c>
      <c r="AE93" s="50" t="str">
        <f aca="false">IF(AND($C93="S",ORÇAMENTO.CodBarra&lt;&gt;""),IF(ORÇAMENTO.Fonte="",ORÇAMENTO.CodBarra,CONCATENATE(ORÇAMENTO.Fonte," ",ORÇAMENTO.CodBarra)))</f>
        <v>SINAPI 104642</v>
      </c>
      <c r="AF93" s="65" t="str">
        <f aca="true">IF(ISERROR(INDIRECT(ORÇAMENTO.BancoRef)),"(abra o arquivo 'Referência "&amp;Excel_BuiltIn_Database&amp;".xlsm)",IF(OR($C93&lt;&gt;"S",ORÇAMENTO.CodBarra=""),"(Sem Código)",IF(ISERROR(MATCH($AE93,INDIRECT(ORÇAMENTO.BancoRef),0)),"(Código não identificado nas referências)",MATCH($AE93,INDIRECT(ORÇAMENTO.BancoRef),0))))</f>
        <v>(abra o arquivo 'Referência 07-2025.xlsm)</v>
      </c>
      <c r="AG93" s="215" t="n">
        <f aca="true">ROUND(IF(DESONERACAO="sim",REFERENCIA.Desonerado,REFERENCIA.NaoDesonerado),2)</f>
        <v>0</v>
      </c>
      <c r="AH93" s="216" t="n">
        <f aca="false">ROUND(IF(ISNUMBER(ORÇAMENTO.OpcaoBDI),ORÇAMENTO.OpcaoBDI,IF(LEFT(ORÇAMENTO.OpcaoBDI,3)="BDI",HLOOKUP(ORÇAMENTO.OpcaoBDI,$F$4:$H$5,2,FALSE()),0)),15-11*$AF$9)</f>
        <v>0.2904</v>
      </c>
      <c r="AJ93" s="217"/>
      <c r="AL93" s="218"/>
      <c r="AM93" s="219" t="n">
        <f aca="false">$X93</f>
        <v>33575.25</v>
      </c>
      <c r="AN93" s="220" t="n">
        <f aca="false">ROUND(ORÇAMENTO.CustoUnitario*(1+$AH93),2)</f>
        <v>13.91</v>
      </c>
    </row>
    <row r="94" customFormat="false" ht="12.75" hidden="false" customHeight="false" outlineLevel="0" collapsed="false">
      <c r="A94" s="1" t="n">
        <f aca="false">CHOOSE(1+LOG(1+2*(ORÇAMENTO.Nivel="Meta")+4*(ORÇAMENTO.Nivel="Nível 2")+8*(ORÇAMENTO.Nivel="Nível 3")+16*(ORÇAMENTO.Nivel="Nível 4")+32*(ORÇAMENTO.Nivel="Serviço"),2),0,1,2,3,4,"S")</f>
        <v>2</v>
      </c>
      <c r="B94" s="1" t="n">
        <f aca="true">IF(OR(C94="s",C94=0),OFFSET(B94,-1,0),C94)</f>
        <v>2</v>
      </c>
      <c r="C94" s="1" t="n">
        <f aca="true">IF(OFFSET(C94,-1,0)="L",1,IF(OFFSET(C94,-1,0)=1,2,IF(OR(A94="s",A94=0),"S",IF(AND(OFFSET(C94,-1,0)=2,A94=4),3,IF(AND(OR(OFFSET(C94,-1,0)="s",OFFSET(C94,-1,0)=0),A94&lt;&gt;"s",A94&gt;OFFSET(B94,-1,0)),OFFSET(B94,-1,0),A94)))))</f>
        <v>2</v>
      </c>
      <c r="D94" s="1" t="n">
        <f aca="false">IF(OR(C94="S",C94=0),0,IF(ISERROR(K94),J94,SMALL(J94:K94,1)))</f>
        <v>3</v>
      </c>
      <c r="E94" s="1" t="n">
        <f aca="true">IF($C94=1,OFFSET(E94,-1,0)+MAX(1,COUNTIF(QCI!$A$13:$A$15,OFFSET(ORÇAMENTO!E94,-1,0))),OFFSET(E94,-1,0))</f>
        <v>1</v>
      </c>
      <c r="F94" s="1" t="n">
        <f aca="true">IF($C94=1,0,IF($C94=2,OFFSET(F94,-1,0)+1,OFFSET(F94,-1,0)))</f>
        <v>24</v>
      </c>
      <c r="G94" s="1" t="n">
        <f aca="true">IF(AND($C94&lt;=2,$C94&lt;&gt;0),0,IF($C94=3,OFFSET(G94,-1,0)+1,OFFSET(G94,-1,0)))</f>
        <v>0</v>
      </c>
      <c r="H94" s="1" t="n">
        <f aca="true">IF(AND($C94&lt;=3,$C94&lt;&gt;0),0,IF($C94=4,OFFSET(H94,-1,0)+1,OFFSET(H94,-1,0)))</f>
        <v>0</v>
      </c>
      <c r="I94" s="1" t="n">
        <f aca="true">IF(AND($C94&lt;=4,$C94&lt;&gt;0),0,IF(AND($C94="S",$X94&gt;0),OFFSET(I94,-1,0)+1,OFFSET(I94,-1,0)))</f>
        <v>0</v>
      </c>
      <c r="J94" s="1" t="n">
        <f aca="true">IF(OR($C94="S",$C94=0),0,MATCH(0,OFFSET($D94,1,$C94,ROW($C$205)-ROW($C94)),0))</f>
        <v>111</v>
      </c>
      <c r="K94" s="1" t="n">
        <f aca="true">IF(OR($C94="S",$C94=0),0,MATCH(OFFSET($D94,0,$C94)+IF($C94&lt;&gt;1,1,COUNTIF(QCI!$A$13:$A$15,ORÇAMENTO!E94)),OFFSET($D94,1,$C94,ROW($C$205)-ROW($C94)),0))</f>
        <v>3</v>
      </c>
      <c r="L94" s="199" t="str">
        <f aca="false">IF(OR($X94&gt;0,$C94=1,$C94=2,$C94=3,$C94=4),"F","")</f>
        <v>F</v>
      </c>
      <c r="M94" s="200" t="s">
        <v>732</v>
      </c>
      <c r="N94" s="201" t="str">
        <f aca="false">CHOOSE(1+LOG(1+2*(C94=1)+4*(C94=2)+8*(C94=3)+16*(C94=4)+32*(C94="S"),2),"","Meta","Nível 2","Nível 3","Nível 4","Serviço")</f>
        <v>Nível 2</v>
      </c>
      <c r="O94" s="202" t="str">
        <f aca="false">IF(OR($C94=0,$L94=""),"-",CONCATENATE(E94&amp;".",IF(AND($A$5&gt;=2,$C94&gt;=2),F94&amp;".",""),IF(AND($A$5&gt;=3,$C94&gt;=3),G94&amp;".",""),IF(AND($A$5&gt;=4,$C94&gt;=4),H94&amp;".",""),IF($C94="S",I94&amp;".","")))</f>
        <v>1.24.</v>
      </c>
      <c r="P94" s="203" t="s">
        <v>780</v>
      </c>
      <c r="Q94" s="204" t="s">
        <v>842</v>
      </c>
      <c r="R94" s="205" t="str">
        <f aca="false">[4]PO!$B$98</f>
        <v>PINTURAS EXTERNAS</v>
      </c>
      <c r="S94" s="237" t="str">
        <f aca="true">REFERENCIA.Unidade</f>
        <v>-</v>
      </c>
      <c r="T94" s="207" t="n">
        <f aca="true">OFFSET(CÁLCULO!H$15,ROW($T94)-ROW(T$15),0)</f>
        <v>0</v>
      </c>
      <c r="U94" s="208" t="n">
        <v>398.48</v>
      </c>
      <c r="V94" s="209" t="s">
        <v>690</v>
      </c>
      <c r="W94" s="207" t="n">
        <f aca="false">IF($C94="S",ROUND(IF(TIPOORCAMENTO="Proposto",ORÇAMENTO.CustoUnitario*(1+$AH94),ORÇAMENTO.PrecoUnitarioLicitado),15-13*$AF$10),0)</f>
        <v>0</v>
      </c>
      <c r="X94" s="210" t="n">
        <f aca="true" t="array" ref="X94:X94">IF($C94="S",IF(OR(Import.TipoArredondamento&lt;&gt;"TransfereGOV",ACOMPANHAMENTO="BM"),VTOTAL1,SUM(OFFSET(CÁLCULO!$AQ$15,ROW($X94)-ROW($X$15),1):OFFSET(CÁLCULO!$BR$15,ROW($X94)-ROW($X$15),-1))),IF($C94=0,0,ROUND(SomaAgrup,15-13*$AF$11)))</f>
        <v>69716.75</v>
      </c>
      <c r="Y94" s="211" t="s">
        <v>781</v>
      </c>
      <c r="Z94" s="1" t="str">
        <f aca="false">IF(AND($C94="S",$X94&gt;0),IF(ISBLANK($Y94),"RA",LEFT($Y94,2)),"")</f>
        <v/>
      </c>
      <c r="AA94" s="212" t="n">
        <f aca="true">IF($C94="S",IF($Z94="CP",$X94,IF($Z94="RA",(($X94)*QCI!$AA$3),0)),SomaAgrup)</f>
        <v>7737.27134198811</v>
      </c>
      <c r="AB94" s="213" t="n">
        <f aca="true">IF($C94="S",IF($Z94="OU",ROUND($X94,2),0),SomaAgrup)</f>
        <v>0</v>
      </c>
      <c r="AC94" s="214" t="e">
        <f aca="false" t="array" ref="AC94:AC94">IF($N94=""," ",
IF(AND($C94&lt;&gt;"S",OR($R94="",$R94="(digite a descrição aqui)")),"DESCRIÇÃO",
IF(AND($C94="S",OR($Q94&lt;&gt;"",$T94&gt;0,$U94&gt;0),$P94=""),"FONTE",
IF(AND($C94="S",$P94&lt;&gt;"",OR($T94&gt;0,$U94&gt;0),$Q94=""),"CÓDIGO",
IF(AND($C94="S",$P94&lt;&gt;"",$Q94&lt;&gt;"",$R94="(Código não identificado nas referências)"),"CÓDIGO N/ID",
IF(AND($C94="S",OR($R94="",$R94="(digite a descrição aqui)"),OR($Q94&lt;&gt;"",$T94&gt;0,$U94&gt;0)),"DESCRIÇÃO",
IF(AND($C94="S",$P94&lt;&gt;"",$Q94&lt;&gt;"",$S94=""),"UNIDADE",
IF(AND($C94="S",$P94&lt;&gt;"",$Q94&lt;&gt;"",$U94=0),"SEM CUSTO",
IF(AND(_xlfn.single(TIPOORCAMENTO)="Licitado",$AL94=0,$AN94&gt;0),"SEM PREÇO",
IF(AND($C94="S",$P94&lt;&gt;"",$Q94&lt;&gt;"",$U94&gt;0,$V94=0),"BDI",
IF(OR(AND(TIPOORCAMENTO="Proposto",LEFT($O$8,5)&lt;&gt;"(N/D:",$AG94&lt;&gt;"",ORÇAMENTO.CustoUnitario&gt;$AG94),AND(TIPOORCAMENTO="LICITADO",ORÇAMENTO.PrecoUnitarioLicitado&gt;$AN94)),"ACIMA REF.",
IF(AND($C94="S",$P94&lt;&gt;"",$Q94&lt;&gt;"",$T94=0,$U94&gt;0),"QUANT.",
IF(AND(Import.TipoArredondamento="TransfereGOV",$L94="F",$C94="S",LEN($Q94)&gt;13),"Código &gt;13",
IF(AND(Import.TipoArredondamento="TransfereGOV",$L94="F",$C94&lt;&gt;"S",LEN($R94)&gt;100),"Descrição &gt;100",
IF(AND(Import.TipoArredondamento="TransfereGOV",$L94="F",$C94="S",LEN($R94)&gt;500),"Descrição &gt;500",
IF(AND(Import.TipoArredondamento="TransfereGOV",$L94="F",$C94="S",LEFT(TRIM(UPPER($P94)),6)&lt;&gt;"SINAPI",ISNA(VLOOKUP(TRIM(UPPER($S94)),ListaTgov.Unidades,1,FALSE()))),"Unid. Não Disp",
" "))))))))))))))))</f>
        <v>#NAME?</v>
      </c>
      <c r="AD94" s="38" t="n">
        <f aca="true">IF(C94&lt;=CRONO.NivelExibicao,MAX($AD$15:OFFSET(AD94,-1,0))+IF($C94&lt;&gt;1,1,MAX(1,COUNTIF(QCI!$A$13:$A$15,OFFSET($E94,-1,0)))),"")</f>
        <v>25</v>
      </c>
      <c r="AE94" s="50" t="b">
        <f aca="false">IF(AND($C94="S",ORÇAMENTO.CodBarra&lt;&gt;""),IF(ORÇAMENTO.Fonte="",ORÇAMENTO.CodBarra,CONCATENATE(ORÇAMENTO.Fonte," ",ORÇAMENTO.CodBarra)))</f>
        <v>0</v>
      </c>
      <c r="AF94" s="65" t="str">
        <f aca="true">IF(ISERROR(INDIRECT(ORÇAMENTO.BancoRef)),"(abra o arquivo 'Referência "&amp;Excel_BuiltIn_Database&amp;".xlsm)",IF(OR($C94&lt;&gt;"S",ORÇAMENTO.CodBarra=""),"(Sem Código)",IF(ISERROR(MATCH($AE94,INDIRECT(ORÇAMENTO.BancoRef),0)),"(Código não identificado nas referências)",MATCH($AE94,INDIRECT(ORÇAMENTO.BancoRef),0))))</f>
        <v>(abra o arquivo 'Referência 07-2025.xlsm)</v>
      </c>
      <c r="AG94" s="215" t="n">
        <f aca="true">ROUND(IF(DESONERACAO="sim",REFERENCIA.Desonerado,REFERENCIA.NaoDesonerado),2)</f>
        <v>0</v>
      </c>
      <c r="AH94" s="216" t="n">
        <f aca="false">ROUND(IF(ISNUMBER(ORÇAMENTO.OpcaoBDI),ORÇAMENTO.OpcaoBDI,IF(LEFT(ORÇAMENTO.OpcaoBDI,3)="BDI",HLOOKUP(ORÇAMENTO.OpcaoBDI,$F$4:$H$5,2,FALSE()),0)),15-11*$AF$9)</f>
        <v>0.2904</v>
      </c>
      <c r="AJ94" s="217"/>
      <c r="AL94" s="218"/>
      <c r="AM94" s="219" t="n">
        <f aca="false">$X94</f>
        <v>69716.75</v>
      </c>
      <c r="AN94" s="220" t="n">
        <f aca="false">ROUND(ORÇAMENTO.CustoUnitario*(1+$AH94),2)</f>
        <v>514.2</v>
      </c>
    </row>
    <row r="95" customFormat="false" ht="23.85" hidden="false" customHeight="false" outlineLevel="0" collapsed="false">
      <c r="A95" s="1" t="str">
        <f aca="false">CHOOSE(1+LOG(1+2*(ORÇAMENTO.Nivel="Meta")+4*(ORÇAMENTO.Nivel="Nível 2")+8*(ORÇAMENTO.Nivel="Nível 3")+16*(ORÇAMENTO.Nivel="Nível 4")+32*(ORÇAMENTO.Nivel="Serviço"),2),0,1,2,3,4,"S")</f>
        <v>S</v>
      </c>
      <c r="B95" s="1" t="n">
        <f aca="true">IF(OR(C95="s",C95=0),OFFSET(B95,-1,0),C95)</f>
        <v>2</v>
      </c>
      <c r="C95" s="1" t="str">
        <f aca="true">IF(OFFSET(C95,-1,0)="L",1,IF(OFFSET(C95,-1,0)=1,2,IF(OR(A95="s",A95=0),"S",IF(AND(OFFSET(C95,-1,0)=2,A95=4),3,IF(AND(OR(OFFSET(C95,-1,0)="s",OFFSET(C95,-1,0)=0),A95&lt;&gt;"s",A95&gt;OFFSET(B95,-1,0)),OFFSET(B95,-1,0),A95)))))</f>
        <v>S</v>
      </c>
      <c r="D95" s="1" t="n">
        <f aca="false">IF(OR(C95="S",C95=0),0,IF(ISERROR(K95),J95,SMALL(J95:K95,1)))</f>
        <v>0</v>
      </c>
      <c r="E95" s="1" t="n">
        <f aca="true">IF($C95=1,OFFSET(E95,-1,0)+MAX(1,COUNTIF(QCI!$A$13:$A$15,OFFSET(ORÇAMENTO!E95,-1,0))),OFFSET(E95,-1,0))</f>
        <v>1</v>
      </c>
      <c r="F95" s="1" t="n">
        <f aca="true">IF($C95=1,0,IF($C95=2,OFFSET(F95,-1,0)+1,OFFSET(F95,-1,0)))</f>
        <v>24</v>
      </c>
      <c r="G95" s="1" t="n">
        <f aca="true">IF(AND($C95&lt;=2,$C95&lt;&gt;0),0,IF($C95=3,OFFSET(G95,-1,0)+1,OFFSET(G95,-1,0)))</f>
        <v>0</v>
      </c>
      <c r="H95" s="1" t="n">
        <f aca="true">IF(AND($C95&lt;=3,$C95&lt;&gt;0),0,IF($C95=4,OFFSET(H95,-1,0)+1,OFFSET(H95,-1,0)))</f>
        <v>0</v>
      </c>
      <c r="I95" s="1" t="n">
        <f aca="true">IF(AND($C95&lt;=4,$C95&lt;&gt;0),0,IF(AND($C95="S",$X95&gt;0),OFFSET(I95,-1,0)+1,OFFSET(I95,-1,0)))</f>
        <v>1</v>
      </c>
      <c r="J95" s="1" t="n">
        <f aca="true">IF(OR($C95="S",$C95=0),0,MATCH(0,OFFSET($D95,1,$C95,ROW($C$205)-ROW($C95)),0))</f>
        <v>0</v>
      </c>
      <c r="K95" s="1" t="n">
        <f aca="true">IF(OR($C95="S",$C95=0),0,MATCH(OFFSET($D95,0,$C95)+IF($C95&lt;&gt;1,1,COUNTIF(QCI!$A$13:$A$15,ORÇAMENTO!E95)),OFFSET($D95,1,$C95,ROW($C$205)-ROW($C95)),0))</f>
        <v>0</v>
      </c>
      <c r="L95" s="199" t="str">
        <f aca="false">IF(OR($X95&gt;0,$C95=1,$C95=2,$C95=3,$C95=4),"F","")</f>
        <v>F</v>
      </c>
      <c r="M95" s="200" t="s">
        <v>735</v>
      </c>
      <c r="N95" s="201" t="str">
        <f aca="false">CHOOSE(1+LOG(1+2*(C95=1)+4*(C95=2)+8*(C95=3)+16*(C95=4)+32*(C95="S"),2),"","Meta","Nível 2","Nível 3","Nível 4","Serviço")</f>
        <v>Serviço</v>
      </c>
      <c r="O95" s="202" t="str">
        <f aca="false">IF(OR($C95=0,$L95=""),"-",CONCATENATE(E95&amp;".",IF(AND($A$5&gt;=2,$C95&gt;=2),F95&amp;".",""),IF(AND($A$5&gt;=3,$C95&gt;=3),G95&amp;".",""),IF(AND($A$5&gt;=4,$C95&gt;=4),H95&amp;".",""),IF($C95="S",I95&amp;".","")))</f>
        <v>1.24.1.</v>
      </c>
      <c r="P95" s="203" t="s">
        <v>780</v>
      </c>
      <c r="Q95" s="204" t="s">
        <v>843</v>
      </c>
      <c r="R95" s="205" t="str">
        <f aca="false">[4]PO!$D$99</f>
        <v>APLICAÇÃO MANUAL DE FUNDO SELADOR ACRÍLICO EM PAREDES EXTERNAS DE CASAS. AF_03/2024</v>
      </c>
      <c r="S95" s="237" t="s">
        <v>650</v>
      </c>
      <c r="T95" s="207" t="n">
        <f aca="true">OFFSET(CÁLCULO!H$15,ROW($T95)-ROW(T$15),0)</f>
        <v>3307.25</v>
      </c>
      <c r="U95" s="208" t="n">
        <f aca="false">[2]PO!$G$99</f>
        <v>5.56</v>
      </c>
      <c r="V95" s="209" t="s">
        <v>690</v>
      </c>
      <c r="W95" s="207" t="n">
        <f aca="false">IF($C95="S",ROUND(IF(TIPOORCAMENTO="Proposto",ORÇAMENTO.CustoUnitario*(1+$AH95),ORÇAMENTO.PrecoUnitarioLicitado),15-13*$AF$10),0)</f>
        <v>7.17</v>
      </c>
      <c r="X95" s="210" t="n">
        <f aca="true" t="array" ref="X95:X95">IF($C95="S",IF(OR(Import.TipoArredondamento&lt;&gt;"TransfereGOV",ACOMPANHAMENTO="BM"),VTOTAL1,SUM(OFFSET(CÁLCULO!$AQ$15,ROW($X95)-ROW($X$15),1):OFFSET(CÁLCULO!$BR$15,ROW($X95)-ROW($X$15),-1))),IF($C95=0,0,ROUND(SomaAgrup,15-13*$AF$11)))</f>
        <v>23713</v>
      </c>
      <c r="Y95" s="211" t="s">
        <v>781</v>
      </c>
      <c r="Z95" s="1" t="str">
        <f aca="false">IF(AND($C95="S",$X95&gt;0),IF(ISBLANK($Y95),"RA",LEFT($Y95,2)),"")</f>
        <v>RA</v>
      </c>
      <c r="AA95" s="212" t="n">
        <f aca="true">IF($C95="S",IF($Z95="CP",$X95,IF($Z95="RA",(($X95)*QCI!$AA$3),0)),SomaAgrup)</f>
        <v>2631.70493938062</v>
      </c>
      <c r="AB95" s="213" t="n">
        <f aca="true">IF($C95="S",IF($Z95="OU",ROUND($X95,2),0),SomaAgrup)</f>
        <v>0</v>
      </c>
      <c r="AC95" s="214" t="e">
        <f aca="false" t="array" ref="AC95:AC95">IF($N95=""," ",
IF(AND($C95&lt;&gt;"S",OR($R95="",$R95="(digite a descrição aqui)")),"DESCRIÇÃO",
IF(AND($C95="S",OR($Q95&lt;&gt;"",$T95&gt;0,$U95&gt;0),$P95=""),"FONTE",
IF(AND($C95="S",$P95&lt;&gt;"",OR($T95&gt;0,$U95&gt;0),$Q95=""),"CÓDIGO",
IF(AND($C95="S",$P95&lt;&gt;"",$Q95&lt;&gt;"",$R95="(Código não identificado nas referências)"),"CÓDIGO N/ID",
IF(AND($C95="S",OR($R95="",$R95="(digite a descrição aqui)"),OR($Q95&lt;&gt;"",$T95&gt;0,$U95&gt;0)),"DESCRIÇÃO",
IF(AND($C95="S",$P95&lt;&gt;"",$Q95&lt;&gt;"",$S95=""),"UNIDADE",
IF(AND($C95="S",$P95&lt;&gt;"",$Q95&lt;&gt;"",$U95=0),"SEM CUSTO",
IF(AND(_xlfn.single(TIPOORCAMENTO)="Licitado",$AL95=0,$AN95&gt;0),"SEM PREÇO",
IF(AND($C95="S",$P95&lt;&gt;"",$Q95&lt;&gt;"",$U95&gt;0,$V95=0),"BDI",
IF(OR(AND(TIPOORCAMENTO="Proposto",LEFT($O$8,5)&lt;&gt;"(N/D:",$AG95&lt;&gt;"",ORÇAMENTO.CustoUnitario&gt;$AG95),AND(TIPOORCAMENTO="LICITADO",ORÇAMENTO.PrecoUnitarioLicitado&gt;$AN95)),"ACIMA REF.",
IF(AND($C95="S",$P95&lt;&gt;"",$Q95&lt;&gt;"",$T95=0,$U95&gt;0),"QUANT.",
IF(AND(Import.TipoArredondamento="TransfereGOV",$L95="F",$C95="S",LEN($Q95)&gt;13),"Código &gt;13",
IF(AND(Import.TipoArredondamento="TransfereGOV",$L95="F",$C95&lt;&gt;"S",LEN($R95)&gt;100),"Descrição &gt;100",
IF(AND(Import.TipoArredondamento="TransfereGOV",$L95="F",$C95="S",LEN($R95)&gt;500),"Descrição &gt;500",
IF(AND(Import.TipoArredondamento="TransfereGOV",$L95="F",$C95="S",LEFT(TRIM(UPPER($P95)),6)&lt;&gt;"SINAPI",ISNA(VLOOKUP(TRIM(UPPER($S95)),ListaTgov.Unidades,1,FALSE()))),"Unid. Não Disp",
" "))))))))))))))))</f>
        <v>#NAME?</v>
      </c>
      <c r="AD95" s="1" t="str">
        <f aca="true">IF(C95&lt;=CRONO.NivelExibicao,MAX($AD$15:OFFSET(AD95,-1,0))+IF($C95&lt;&gt;1,1,MAX(1,COUNTIF(QCI!$A$13:$A$15,OFFSET($E95,-1,0)))),"")</f>
        <v/>
      </c>
      <c r="AE95" s="50" t="str">
        <f aca="false">IF(AND($C95="S",ORÇAMENTO.CodBarra&lt;&gt;""),IF(ORÇAMENTO.Fonte="",ORÇAMENTO.CodBarra,CONCATENATE(ORÇAMENTO.Fonte," ",ORÇAMENTO.CodBarra)))</f>
        <v>SINAPI 88415</v>
      </c>
      <c r="AF95" s="65" t="str">
        <f aca="true">IF(ISERROR(INDIRECT(ORÇAMENTO.BancoRef)),"(abra o arquivo 'Referência "&amp;Excel_BuiltIn_Database&amp;".xlsm)",IF(OR($C95&lt;&gt;"S",ORÇAMENTO.CodBarra=""),"(Sem Código)",IF(ISERROR(MATCH($AE95,INDIRECT(ORÇAMENTO.BancoRef),0)),"(Código não identificado nas referências)",MATCH($AE95,INDIRECT(ORÇAMENTO.BancoRef),0))))</f>
        <v>(abra o arquivo 'Referência 07-2025.xlsm)</v>
      </c>
      <c r="AG95" s="215" t="n">
        <f aca="true">ROUND(IF(DESONERACAO="sim",REFERENCIA.Desonerado,REFERENCIA.NaoDesonerado),2)</f>
        <v>0</v>
      </c>
      <c r="AH95" s="216" t="n">
        <f aca="false">ROUND(IF(ISNUMBER(ORÇAMENTO.OpcaoBDI),ORÇAMENTO.OpcaoBDI,IF(LEFT(ORÇAMENTO.OpcaoBDI,3)="BDI",HLOOKUP(ORÇAMENTO.OpcaoBDI,$F$4:$H$5,2,FALSE()),0)),15-11*$AF$9)</f>
        <v>0.2904</v>
      </c>
      <c r="AJ95" s="217"/>
      <c r="AL95" s="218"/>
      <c r="AM95" s="219" t="n">
        <f aca="false">$X95</f>
        <v>23713</v>
      </c>
      <c r="AN95" s="220" t="n">
        <f aca="false">ROUND(ORÇAMENTO.CustoUnitario*(1+$AH95),2)</f>
        <v>7.17</v>
      </c>
    </row>
    <row r="96" customFormat="false" ht="23.85" hidden="false" customHeight="false" outlineLevel="0" collapsed="false">
      <c r="A96" s="1" t="str">
        <f aca="false">CHOOSE(1+LOG(1+2*(ORÇAMENTO.Nivel="Meta")+4*(ORÇAMENTO.Nivel="Nível 2")+8*(ORÇAMENTO.Nivel="Nível 3")+16*(ORÇAMENTO.Nivel="Nível 4")+32*(ORÇAMENTO.Nivel="Serviço"),2),0,1,2,3,4,"S")</f>
        <v>S</v>
      </c>
      <c r="B96" s="1" t="n">
        <f aca="true">IF(OR(C96="s",C96=0),OFFSET(B96,-1,0),C96)</f>
        <v>2</v>
      </c>
      <c r="C96" s="1" t="str">
        <f aca="true">IF(OFFSET(C96,-1,0)="L",1,IF(OFFSET(C96,-1,0)=1,2,IF(OR(A96="s",A96=0),"S",IF(AND(OFFSET(C96,-1,0)=2,A96=4),3,IF(AND(OR(OFFSET(C96,-1,0)="s",OFFSET(C96,-1,0)=0),A96&lt;&gt;"s",A96&gt;OFFSET(B96,-1,0)),OFFSET(B96,-1,0),A96)))))</f>
        <v>S</v>
      </c>
      <c r="D96" s="1" t="n">
        <f aca="false">IF(OR(C96="S",C96=0),0,IF(ISERROR(K96),J96,SMALL(J96:K96,1)))</f>
        <v>0</v>
      </c>
      <c r="E96" s="1" t="n">
        <f aca="true">IF($C96=1,OFFSET(E96,-1,0)+MAX(1,COUNTIF(QCI!$A$13:$A$15,OFFSET(ORÇAMENTO!E96,-1,0))),OFFSET(E96,-1,0))</f>
        <v>1</v>
      </c>
      <c r="F96" s="1" t="n">
        <f aca="true">IF($C96=1,0,IF($C96=2,OFFSET(F96,-1,0)+1,OFFSET(F96,-1,0)))</f>
        <v>24</v>
      </c>
      <c r="G96" s="1" t="n">
        <f aca="true">IF(AND($C96&lt;=2,$C96&lt;&gt;0),0,IF($C96=3,OFFSET(G96,-1,0)+1,OFFSET(G96,-1,0)))</f>
        <v>0</v>
      </c>
      <c r="H96" s="1" t="n">
        <f aca="true">IF(AND($C96&lt;=3,$C96&lt;&gt;0),0,IF($C96=4,OFFSET(H96,-1,0)+1,OFFSET(H96,-1,0)))</f>
        <v>0</v>
      </c>
      <c r="I96" s="1" t="n">
        <f aca="true">IF(AND($C96&lt;=4,$C96&lt;&gt;0),0,IF(AND($C96="S",$X96&gt;0),OFFSET(I96,-1,0)+1,OFFSET(I96,-1,0)))</f>
        <v>2</v>
      </c>
      <c r="J96" s="1" t="n">
        <f aca="true">IF(OR($C96="S",$C96=0),0,MATCH(0,OFFSET($D96,1,$C96,ROW($C$205)-ROW($C96)),0))</f>
        <v>0</v>
      </c>
      <c r="K96" s="1" t="n">
        <f aca="true">IF(OR($C96="S",$C96=0),0,MATCH(OFFSET($D96,0,$C96)+IF($C96&lt;&gt;1,1,COUNTIF(QCI!$A$13:$A$15,ORÇAMENTO!E96)),OFFSET($D96,1,$C96,ROW($C$205)-ROW($C96)),0))</f>
        <v>0</v>
      </c>
      <c r="L96" s="199" t="str">
        <f aca="false">IF(OR($X96&gt;0,$C96=1,$C96=2,$C96=3,$C96=4),"F","")</f>
        <v>F</v>
      </c>
      <c r="M96" s="200" t="s">
        <v>735</v>
      </c>
      <c r="N96" s="201" t="str">
        <f aca="false">CHOOSE(1+LOG(1+2*(C96=1)+4*(C96=2)+8*(C96=3)+16*(C96=4)+32*(C96="S"),2),"","Meta","Nível 2","Nível 3","Nível 4","Serviço")</f>
        <v>Serviço</v>
      </c>
      <c r="O96" s="202" t="str">
        <f aca="false">IF(OR($C96=0,$L96=""),"-",CONCATENATE(E96&amp;".",IF(AND($A$5&gt;=2,$C96&gt;=2),F96&amp;".",""),IF(AND($A$5&gt;=3,$C96&gt;=3),G96&amp;".",""),IF(AND($A$5&gt;=4,$C96&gt;=4),H96&amp;".",""),IF($C96="S",I96&amp;".","")))</f>
        <v>1.24.2.</v>
      </c>
      <c r="P96" s="203" t="s">
        <v>780</v>
      </c>
      <c r="Q96" s="204" t="n">
        <v>104642</v>
      </c>
      <c r="R96" s="205" t="str">
        <f aca="false">[4]PO!$D$100</f>
        <v>PINTURA LÁTEX ACRÍLICA STANDARD, APLICAÇÃO MANUAL EM PAREDES, DUAS DEMÃOS. AF_04/2023</v>
      </c>
      <c r="S96" s="237" t="s">
        <v>650</v>
      </c>
      <c r="T96" s="207" t="n">
        <f aca="true">OFFSET(CÁLCULO!H$15,ROW($T96)-ROW(T$15),0)</f>
        <v>3307.25</v>
      </c>
      <c r="U96" s="208" t="n">
        <f aca="false">[2]PO!$G$100</f>
        <v>10.78</v>
      </c>
      <c r="V96" s="209" t="s">
        <v>690</v>
      </c>
      <c r="W96" s="207" t="n">
        <f aca="false">IF($C96="S",ROUND(IF(TIPOORCAMENTO="Proposto",ORÇAMENTO.CustoUnitario*(1+$AH96),ORÇAMENTO.PrecoUnitarioLicitado),15-13*$AF$10),0)</f>
        <v>13.91</v>
      </c>
      <c r="X96" s="210" t="n">
        <f aca="true" t="array" ref="X96:X96">IF($C96="S",IF(OR(Import.TipoArredondamento&lt;&gt;"TransfereGOV",ACOMPANHAMENTO="BM"),VTOTAL1,SUM(OFFSET(CÁLCULO!$AQ$15,ROW($X96)-ROW($X$15),1):OFFSET(CÁLCULO!$BR$15,ROW($X96)-ROW($X$15),-1))),IF($C96=0,0,ROUND(SomaAgrup,15-13*$AF$11)))</f>
        <v>46003.75</v>
      </c>
      <c r="Y96" s="211" t="s">
        <v>781</v>
      </c>
      <c r="Z96" s="1" t="str">
        <f aca="false">IF(AND($C96="S",$X96&gt;0),IF(ISBLANK($Y96),"RA",LEFT($Y96,2)),"")</f>
        <v>RA</v>
      </c>
      <c r="AA96" s="212" t="n">
        <f aca="true">IF($C96="S",IF($Z96="CP",$X96,IF($Z96="RA",(($X96)*QCI!$AA$3),0)),SomaAgrup)</f>
        <v>5105.56640260748</v>
      </c>
      <c r="AB96" s="213" t="n">
        <f aca="true">IF($C96="S",IF($Z96="OU",ROUND($X96,2),0),SomaAgrup)</f>
        <v>0</v>
      </c>
      <c r="AC96" s="214" t="e">
        <f aca="false" t="array" ref="AC96:AC96">IF($N96=""," ",
IF(AND($C96&lt;&gt;"S",OR($R96="",$R96="(digite a descrição aqui)")),"DESCRIÇÃO",
IF(AND($C96="S",OR($Q96&lt;&gt;"",$T96&gt;0,$U96&gt;0),$P96=""),"FONTE",
IF(AND($C96="S",$P96&lt;&gt;"",OR($T96&gt;0,$U96&gt;0),$Q96=""),"CÓDIGO",
IF(AND($C96="S",$P96&lt;&gt;"",$Q96&lt;&gt;"",$R96="(Código não identificado nas referências)"),"CÓDIGO N/ID",
IF(AND($C96="S",OR($R96="",$R96="(digite a descrição aqui)"),OR($Q96&lt;&gt;"",$T96&gt;0,$U96&gt;0)),"DESCRIÇÃO",
IF(AND($C96="S",$P96&lt;&gt;"",$Q96&lt;&gt;"",$S96=""),"UNIDADE",
IF(AND($C96="S",$P96&lt;&gt;"",$Q96&lt;&gt;"",$U96=0),"SEM CUSTO",
IF(AND(_xlfn.single(TIPOORCAMENTO)="Licitado",$AL96=0,$AN96&gt;0),"SEM PREÇO",
IF(AND($C96="S",$P96&lt;&gt;"",$Q96&lt;&gt;"",$U96&gt;0,$V96=0),"BDI",
IF(OR(AND(TIPOORCAMENTO="Proposto",LEFT($O$8,5)&lt;&gt;"(N/D:",$AG96&lt;&gt;"",ORÇAMENTO.CustoUnitario&gt;$AG96),AND(TIPOORCAMENTO="LICITADO",ORÇAMENTO.PrecoUnitarioLicitado&gt;$AN96)),"ACIMA REF.",
IF(AND($C96="S",$P96&lt;&gt;"",$Q96&lt;&gt;"",$T96=0,$U96&gt;0),"QUANT.",
IF(AND(Import.TipoArredondamento="TransfereGOV",$L96="F",$C96="S",LEN($Q96)&gt;13),"Código &gt;13",
IF(AND(Import.TipoArredondamento="TransfereGOV",$L96="F",$C96&lt;&gt;"S",LEN($R96)&gt;100),"Descrição &gt;100",
IF(AND(Import.TipoArredondamento="TransfereGOV",$L96="F",$C96="S",LEN($R96)&gt;500),"Descrição &gt;500",
IF(AND(Import.TipoArredondamento="TransfereGOV",$L96="F",$C96="S",LEFT(TRIM(UPPER($P96)),6)&lt;&gt;"SINAPI",ISNA(VLOOKUP(TRIM(UPPER($S96)),ListaTgov.Unidades,1,FALSE()))),"Unid. Não Disp",
" "))))))))))))))))</f>
        <v>#NAME?</v>
      </c>
      <c r="AD96" s="1" t="str">
        <f aca="true">IF(C96&lt;=CRONO.NivelExibicao,MAX($AD$15:OFFSET(AD96,-1,0))+IF($C96&lt;&gt;1,1,MAX(1,COUNTIF(QCI!$A$13:$A$15,OFFSET($E96,-1,0)))),"")</f>
        <v/>
      </c>
      <c r="AE96" s="50" t="str">
        <f aca="false">IF(AND($C96="S",ORÇAMENTO.CodBarra&lt;&gt;""),IF(ORÇAMENTO.Fonte="",ORÇAMENTO.CodBarra,CONCATENATE(ORÇAMENTO.Fonte," ",ORÇAMENTO.CodBarra)))</f>
        <v>SINAPI 104642</v>
      </c>
      <c r="AF96" s="65" t="str">
        <f aca="true">IF(ISERROR(INDIRECT(ORÇAMENTO.BancoRef)),"(abra o arquivo 'Referência "&amp;Excel_BuiltIn_Database&amp;".xlsm)",IF(OR($C96&lt;&gt;"S",ORÇAMENTO.CodBarra=""),"(Sem Código)",IF(ISERROR(MATCH($AE96,INDIRECT(ORÇAMENTO.BancoRef),0)),"(Código não identificado nas referências)",MATCH($AE96,INDIRECT(ORÇAMENTO.BancoRef),0))))</f>
        <v>(abra o arquivo 'Referência 07-2025.xlsm)</v>
      </c>
      <c r="AG96" s="215" t="n">
        <f aca="true">ROUND(IF(DESONERACAO="sim",REFERENCIA.Desonerado,REFERENCIA.NaoDesonerado),2)</f>
        <v>0</v>
      </c>
      <c r="AH96" s="216" t="n">
        <f aca="false">ROUND(IF(ISNUMBER(ORÇAMENTO.OpcaoBDI),ORÇAMENTO.OpcaoBDI,IF(LEFT(ORÇAMENTO.OpcaoBDI,3)="BDI",HLOOKUP(ORÇAMENTO.OpcaoBDI,$F$4:$H$5,2,FALSE()),0)),15-11*$AF$9)</f>
        <v>0.2904</v>
      </c>
      <c r="AJ96" s="217"/>
      <c r="AL96" s="218"/>
      <c r="AM96" s="219" t="n">
        <f aca="false">$X96</f>
        <v>46003.75</v>
      </c>
      <c r="AN96" s="220" t="n">
        <f aca="false">ROUND(ORÇAMENTO.CustoUnitario*(1+$AH96),2)</f>
        <v>13.91</v>
      </c>
    </row>
    <row r="97" customFormat="false" ht="12.75" hidden="false" customHeight="false" outlineLevel="0" collapsed="false">
      <c r="A97" s="1" t="n">
        <f aca="false">CHOOSE(1+LOG(1+2*(ORÇAMENTO.Nivel="Meta")+4*(ORÇAMENTO.Nivel="Nível 2")+8*(ORÇAMENTO.Nivel="Nível 3")+16*(ORÇAMENTO.Nivel="Nível 4")+32*(ORÇAMENTO.Nivel="Serviço"),2),0,1,2,3,4,"S")</f>
        <v>2</v>
      </c>
      <c r="B97" s="1" t="n">
        <f aca="true">IF(OR(C97="s",C97=0),OFFSET(B97,-1,0),C97)</f>
        <v>2</v>
      </c>
      <c r="C97" s="1" t="n">
        <f aca="true">IF(OFFSET(C97,-1,0)="L",1,IF(OFFSET(C97,-1,0)=1,2,IF(OR(A97="s",A97=0),"S",IF(AND(OFFSET(C97,-1,0)=2,A97=4),3,IF(AND(OR(OFFSET(C97,-1,0)="s",OFFSET(C97,-1,0)=0),A97&lt;&gt;"s",A97&gt;OFFSET(B97,-1,0)),OFFSET(B97,-1,0),A97)))))</f>
        <v>2</v>
      </c>
      <c r="D97" s="1" t="n">
        <f aca="false">IF(OR(C97="S",C97=0),0,IF(ISERROR(K97),J97,SMALL(J97:K97,1)))</f>
        <v>4</v>
      </c>
      <c r="E97" s="1" t="n">
        <f aca="true">IF($C97=1,OFFSET(E97,-1,0)+MAX(1,COUNTIF(QCI!$A$13:$A$15,OFFSET(ORÇAMENTO!E97,-1,0))),OFFSET(E97,-1,0))</f>
        <v>1</v>
      </c>
      <c r="F97" s="1" t="n">
        <f aca="true">IF($C97=1,0,IF($C97=2,OFFSET(F97,-1,0)+1,OFFSET(F97,-1,0)))</f>
        <v>25</v>
      </c>
      <c r="G97" s="1" t="n">
        <f aca="true">IF(AND($C97&lt;=2,$C97&lt;&gt;0),0,IF($C97=3,OFFSET(G97,-1,0)+1,OFFSET(G97,-1,0)))</f>
        <v>0</v>
      </c>
      <c r="H97" s="1" t="n">
        <f aca="true">IF(AND($C97&lt;=3,$C97&lt;&gt;0),0,IF($C97=4,OFFSET(H97,-1,0)+1,OFFSET(H97,-1,0)))</f>
        <v>0</v>
      </c>
      <c r="I97" s="1" t="n">
        <f aca="true">IF(AND($C97&lt;=4,$C97&lt;&gt;0),0,IF(AND($C97="S",$X97&gt;0),OFFSET(I97,-1,0)+1,OFFSET(I97,-1,0)))</f>
        <v>0</v>
      </c>
      <c r="J97" s="1" t="n">
        <f aca="true">IF(OR($C97="S",$C97=0),0,MATCH(0,OFFSET($D97,1,$C97,ROW($C$205)-ROW($C97)),0))</f>
        <v>108</v>
      </c>
      <c r="K97" s="1" t="n">
        <f aca="true">IF(OR($C97="S",$C97=0),0,MATCH(OFFSET($D97,0,$C97)+IF($C97&lt;&gt;1,1,COUNTIF(QCI!$A$13:$A$15,ORÇAMENTO!E97)),OFFSET($D97,1,$C97,ROW($C$205)-ROW($C97)),0))</f>
        <v>4</v>
      </c>
      <c r="L97" s="199" t="str">
        <f aca="false">IF(OR($X97&gt;0,$C97=1,$C97=2,$C97=3,$C97=4),"F","")</f>
        <v>F</v>
      </c>
      <c r="M97" s="200" t="s">
        <v>732</v>
      </c>
      <c r="N97" s="201" t="str">
        <f aca="false">CHOOSE(1+LOG(1+2*(C97=1)+4*(C97=2)+8*(C97=3)+16*(C97=4)+32*(C97="S"),2),"","Meta","Nível 2","Nível 3","Nível 4","Serviço")</f>
        <v>Nível 2</v>
      </c>
      <c r="O97" s="202" t="str">
        <f aca="false">IF(OR($C97=0,$L97=""),"-",CONCATENATE(E97&amp;".",IF(AND($A$5&gt;=2,$C97&gt;=2),F97&amp;".",""),IF(AND($A$5&gt;=3,$C97&gt;=3),G97&amp;".",""),IF(AND($A$5&gt;=4,$C97&gt;=4),H97&amp;".",""),IF($C97="S",I97&amp;".","")))</f>
        <v>1.25.</v>
      </c>
      <c r="P97" s="203" t="s">
        <v>780</v>
      </c>
      <c r="Q97" s="204" t="n">
        <v>93654</v>
      </c>
      <c r="R97" s="205" t="str">
        <f aca="false">[4]PO!$B$101</f>
        <v>PINTURA ESQUADRIAS</v>
      </c>
      <c r="S97" s="237" t="s">
        <v>666</v>
      </c>
      <c r="T97" s="207" t="n">
        <f aca="true">OFFSET(CÁLCULO!H$15,ROW($T97)-ROW(T$15),0)</f>
        <v>0</v>
      </c>
      <c r="U97" s="208" t="n">
        <v>17.75</v>
      </c>
      <c r="V97" s="209" t="s">
        <v>690</v>
      </c>
      <c r="W97" s="207" t="n">
        <f aca="false">IF($C97="S",ROUND(IF(TIPOORCAMENTO="Proposto",ORÇAMENTO.CustoUnitario*(1+$AH97),ORÇAMENTO.PrecoUnitarioLicitado),15-13*$AF$10),0)</f>
        <v>0</v>
      </c>
      <c r="X97" s="210" t="n">
        <f aca="true" t="array" ref="X97:X97">IF($C97="S",IF(OR(Import.TipoArredondamento&lt;&gt;"TransfereGOV",ACOMPANHAMENTO="BM"),VTOTAL1,SUM(OFFSET(CÁLCULO!$AQ$15,ROW($X97)-ROW($X$15),1):OFFSET(CÁLCULO!$BR$15,ROW($X97)-ROW($X$15),-1))),IF($C97=0,0,ROUND(SomaAgrup,15-13*$AF$11)))</f>
        <v>17274.5</v>
      </c>
      <c r="Y97" s="211" t="s">
        <v>781</v>
      </c>
      <c r="Z97" s="1" t="str">
        <f aca="false">IF(AND($C97="S",$X97&gt;0),IF(ISBLANK($Y97),"RA",LEFT($Y97,2)),"")</f>
        <v/>
      </c>
      <c r="AA97" s="212" t="n">
        <f aca="true">IF($C97="S",IF($Z97="CP",$X97,IF($Z97="RA",(($X97)*QCI!$AA$3),0)),SomaAgrup)</f>
        <v>1917.15038060686</v>
      </c>
      <c r="AB97" s="213" t="n">
        <f aca="true">IF($C97="S",IF($Z97="OU",ROUND($X97,2),0),SomaAgrup)</f>
        <v>0</v>
      </c>
      <c r="AC97" s="214" t="e">
        <f aca="false" t="array" ref="AC97:AC97">IF($N97=""," ",
IF(AND($C97&lt;&gt;"S",OR($R97="",$R97="(digite a descrição aqui)")),"DESCRIÇÃO",
IF(AND($C97="S",OR($Q97&lt;&gt;"",$T97&gt;0,$U97&gt;0),$P97=""),"FONTE",
IF(AND($C97="S",$P97&lt;&gt;"",OR($T97&gt;0,$U97&gt;0),$Q97=""),"CÓDIGO",
IF(AND($C97="S",$P97&lt;&gt;"",$Q97&lt;&gt;"",$R97="(Código não identificado nas referências)"),"CÓDIGO N/ID",
IF(AND($C97="S",OR($R97="",$R97="(digite a descrição aqui)"),OR($Q97&lt;&gt;"",$T97&gt;0,$U97&gt;0)),"DESCRIÇÃO",
IF(AND($C97="S",$P97&lt;&gt;"",$Q97&lt;&gt;"",$S97=""),"UNIDADE",
IF(AND($C97="S",$P97&lt;&gt;"",$Q97&lt;&gt;"",$U97=0),"SEM CUSTO",
IF(AND(_xlfn.single(TIPOORCAMENTO)="Licitado",$AL97=0,$AN97&gt;0),"SEM PREÇO",
IF(AND($C97="S",$P97&lt;&gt;"",$Q97&lt;&gt;"",$U97&gt;0,$V97=0),"BDI",
IF(OR(AND(TIPOORCAMENTO="Proposto",LEFT($O$8,5)&lt;&gt;"(N/D:",$AG97&lt;&gt;"",ORÇAMENTO.CustoUnitario&gt;$AG97),AND(TIPOORCAMENTO="LICITADO",ORÇAMENTO.PrecoUnitarioLicitado&gt;$AN97)),"ACIMA REF.",
IF(AND($C97="S",$P97&lt;&gt;"",$Q97&lt;&gt;"",$T97=0,$U97&gt;0),"QUANT.",
IF(AND(Import.TipoArredondamento="TransfereGOV",$L97="F",$C97="S",LEN($Q97)&gt;13),"Código &gt;13",
IF(AND(Import.TipoArredondamento="TransfereGOV",$L97="F",$C97&lt;&gt;"S",LEN($R97)&gt;100),"Descrição &gt;100",
IF(AND(Import.TipoArredondamento="TransfereGOV",$L97="F",$C97="S",LEN($R97)&gt;500),"Descrição &gt;500",
IF(AND(Import.TipoArredondamento="TransfereGOV",$L97="F",$C97="S",LEFT(TRIM(UPPER($P97)),6)&lt;&gt;"SINAPI",ISNA(VLOOKUP(TRIM(UPPER($S97)),ListaTgov.Unidades,1,FALSE()))),"Unid. Não Disp",
" "))))))))))))))))</f>
        <v>#NAME?</v>
      </c>
      <c r="AD97" s="38" t="n">
        <f aca="true">IF(C97&lt;=CRONO.NivelExibicao,MAX($AD$15:OFFSET(AD97,-1,0))+IF($C97&lt;&gt;1,1,MAX(1,COUNTIF(QCI!$A$13:$A$15,OFFSET($E97,-1,0)))),"")</f>
        <v>26</v>
      </c>
      <c r="AE97" s="50" t="b">
        <f aca="false">IF(AND($C97="S",ORÇAMENTO.CodBarra&lt;&gt;""),IF(ORÇAMENTO.Fonte="",ORÇAMENTO.CodBarra,CONCATENATE(ORÇAMENTO.Fonte," ",ORÇAMENTO.CodBarra)))</f>
        <v>0</v>
      </c>
      <c r="AF97" s="65" t="str">
        <f aca="true">IF(ISERROR(INDIRECT(ORÇAMENTO.BancoRef)),"(abra o arquivo 'Referência "&amp;Excel_BuiltIn_Database&amp;".xlsm)",IF(OR($C97&lt;&gt;"S",ORÇAMENTO.CodBarra=""),"(Sem Código)",IF(ISERROR(MATCH($AE97,INDIRECT(ORÇAMENTO.BancoRef),0)),"(Código não identificado nas referências)",MATCH($AE97,INDIRECT(ORÇAMENTO.BancoRef),0))))</f>
        <v>(abra o arquivo 'Referência 07-2025.xlsm)</v>
      </c>
      <c r="AG97" s="215" t="n">
        <f aca="true">ROUND(IF(DESONERACAO="sim",REFERENCIA.Desonerado,REFERENCIA.NaoDesonerado),2)</f>
        <v>0</v>
      </c>
      <c r="AH97" s="216" t="n">
        <f aca="false">ROUND(IF(ISNUMBER(ORÇAMENTO.OpcaoBDI),ORÇAMENTO.OpcaoBDI,IF(LEFT(ORÇAMENTO.OpcaoBDI,3)="BDI",HLOOKUP(ORÇAMENTO.OpcaoBDI,$F$4:$H$5,2,FALSE()),0)),15-11*$AF$9)</f>
        <v>0.2904</v>
      </c>
      <c r="AJ97" s="217"/>
      <c r="AL97" s="218"/>
      <c r="AM97" s="219" t="n">
        <f aca="false">$X97</f>
        <v>17274.5</v>
      </c>
      <c r="AN97" s="220" t="n">
        <f aca="false">ROUND(ORÇAMENTO.CustoUnitario*(1+$AH97),2)</f>
        <v>22.9</v>
      </c>
    </row>
    <row r="98" customFormat="false" ht="23.85" hidden="false" customHeight="false" outlineLevel="0" collapsed="false">
      <c r="A98" s="1" t="str">
        <f aca="false">CHOOSE(1+LOG(1+2*(ORÇAMENTO.Nivel="Meta")+4*(ORÇAMENTO.Nivel="Nível 2")+8*(ORÇAMENTO.Nivel="Nível 3")+16*(ORÇAMENTO.Nivel="Nível 4")+32*(ORÇAMENTO.Nivel="Serviço"),2),0,1,2,3,4,"S")</f>
        <v>S</v>
      </c>
      <c r="B98" s="1" t="n">
        <f aca="true">IF(OR(C98="s",C98=0),OFFSET(B98,-1,0),C98)</f>
        <v>2</v>
      </c>
      <c r="C98" s="1" t="str">
        <f aca="true">IF(OFFSET(C98,-1,0)="L",1,IF(OFFSET(C98,-1,0)=1,2,IF(OR(A98="s",A98=0),"S",IF(AND(OFFSET(C98,-1,0)=2,A98=4),3,IF(AND(OR(OFFSET(C98,-1,0)="s",OFFSET(C98,-1,0)=0),A98&lt;&gt;"s",A98&gt;OFFSET(B98,-1,0)),OFFSET(B98,-1,0),A98)))))</f>
        <v>S</v>
      </c>
      <c r="D98" s="1" t="n">
        <f aca="false">IF(OR(C98="S",C98=0),0,IF(ISERROR(K98),J98,SMALL(J98:K98,1)))</f>
        <v>0</v>
      </c>
      <c r="E98" s="1" t="n">
        <f aca="true">IF($C98=1,OFFSET(E98,-1,0)+MAX(1,COUNTIF(QCI!$A$13:$A$15,OFFSET(ORÇAMENTO!E98,-1,0))),OFFSET(E98,-1,0))</f>
        <v>1</v>
      </c>
      <c r="F98" s="1" t="n">
        <f aca="true">IF($C98=1,0,IF($C98=2,OFFSET(F98,-1,0)+1,OFFSET(F98,-1,0)))</f>
        <v>25</v>
      </c>
      <c r="G98" s="1" t="n">
        <f aca="true">IF(AND($C98&lt;=2,$C98&lt;&gt;0),0,IF($C98=3,OFFSET(G98,-1,0)+1,OFFSET(G98,-1,0)))</f>
        <v>0</v>
      </c>
      <c r="H98" s="1" t="n">
        <f aca="true">IF(AND($C98&lt;=3,$C98&lt;&gt;0),0,IF($C98=4,OFFSET(H98,-1,0)+1,OFFSET(H98,-1,0)))</f>
        <v>0</v>
      </c>
      <c r="I98" s="1" t="n">
        <f aca="true">IF(AND($C98&lt;=4,$C98&lt;&gt;0),0,IF(AND($C98="S",$X98&gt;0),OFFSET(I98,-1,0)+1,OFFSET(I98,-1,0)))</f>
        <v>1</v>
      </c>
      <c r="J98" s="1" t="n">
        <f aca="true">IF(OR($C98="S",$C98=0),0,MATCH(0,OFFSET($D98,1,$C98,ROW($C$205)-ROW($C98)),0))</f>
        <v>0</v>
      </c>
      <c r="K98" s="1" t="n">
        <f aca="true">IF(OR($C98="S",$C98=0),0,MATCH(OFFSET($D98,0,$C98)+IF($C98&lt;&gt;1,1,COUNTIF(QCI!$A$13:$A$15,ORÇAMENTO!E98)),OFFSET($D98,1,$C98,ROW($C$205)-ROW($C98)),0))</f>
        <v>0</v>
      </c>
      <c r="L98" s="199" t="str">
        <f aca="false">IF(OR($X98&gt;0,$C98=1,$C98=2,$C98=3,$C98=4),"F","")</f>
        <v>F</v>
      </c>
      <c r="M98" s="200" t="s">
        <v>735</v>
      </c>
      <c r="N98" s="201" t="str">
        <f aca="false">CHOOSE(1+LOG(1+2*(C98=1)+4*(C98=2)+8*(C98=3)+16*(C98=4)+32*(C98="S"),2),"","Meta","Nível 2","Nível 3","Nível 4","Serviço")</f>
        <v>Serviço</v>
      </c>
      <c r="O98" s="202" t="str">
        <f aca="false">IF(OR($C98=0,$L98=""),"-",CONCATENATE(E98&amp;".",IF(AND($A$5&gt;=2,$C98&gt;=2),F98&amp;".",""),IF(AND($A$5&gt;=3,$C98&gt;=3),G98&amp;".",""),IF(AND($A$5&gt;=4,$C98&gt;=4),H98&amp;".",""),IF($C98="S",I98&amp;".","")))</f>
        <v>1.25.1.</v>
      </c>
      <c r="P98" s="203" t="s">
        <v>780</v>
      </c>
      <c r="Q98" s="204" t="n">
        <v>102193</v>
      </c>
      <c r="R98" s="205" t="str">
        <f aca="false">[4]PO!$D$102</f>
        <v>LIXAMENTO DE MADEIRA PARA APLICAÇÃO DE FUNDO OU PINTURA. AF_01/2021</v>
      </c>
      <c r="S98" s="206" t="s">
        <v>650</v>
      </c>
      <c r="T98" s="207" t="n">
        <f aca="true">OFFSET(CÁLCULO!H$15,ROW($T98)-ROW(T$15),0)</f>
        <v>270</v>
      </c>
      <c r="U98" s="208" t="n">
        <f aca="false">[2]PO!$G$102</f>
        <v>2.15</v>
      </c>
      <c r="V98" s="209" t="s">
        <v>690</v>
      </c>
      <c r="W98" s="207" t="n">
        <f aca="false">IF($C98="S",ROUND(IF(TIPOORCAMENTO="Proposto",ORÇAMENTO.CustoUnitario*(1+$AH98),ORÇAMENTO.PrecoUnitarioLicitado),15-13*$AF$10),0)</f>
        <v>2.77</v>
      </c>
      <c r="X98" s="210" t="n">
        <f aca="true" t="array" ref="X98:X98">IF($C98="S",IF(OR(Import.TipoArredondamento&lt;&gt;"TransfereGOV",ACOMPANHAMENTO="BM"),VTOTAL1,SUM(OFFSET(CÁLCULO!$AQ$15,ROW($X98)-ROW($X$15),1):OFFSET(CÁLCULO!$BR$15,ROW($X98)-ROW($X$15),-1))),IF($C98=0,0,ROUND(SomaAgrup,15-13*$AF$11)))</f>
        <v>748</v>
      </c>
      <c r="Y98" s="211" t="s">
        <v>781</v>
      </c>
      <c r="Z98" s="1" t="str">
        <f aca="false">IF(AND($C98="S",$X98&gt;0),IF(ISBLANK($Y98),"RA",LEFT($Y98,2)),"")</f>
        <v>RA</v>
      </c>
      <c r="AA98" s="212" t="n">
        <f aca="true">IF($C98="S",IF($Z98="CP",$X98,IF($Z98="RA",(($X98)*QCI!$AA$3),0)),SomaAgrup)</f>
        <v>83.014181868878</v>
      </c>
      <c r="AB98" s="213" t="n">
        <f aca="true">IF($C98="S",IF($Z98="OU",ROUND($X98,2),0),SomaAgrup)</f>
        <v>0</v>
      </c>
      <c r="AC98" s="214" t="e">
        <f aca="false" t="array" ref="AC98:AC98">IF($N98=""," ",
IF(AND($C98&lt;&gt;"S",OR($R98="",$R98="(digite a descrição aqui)")),"DESCRIÇÃO",
IF(AND($C98="S",OR($Q98&lt;&gt;"",$T98&gt;0,$U98&gt;0),$P98=""),"FONTE",
IF(AND($C98="S",$P98&lt;&gt;"",OR($T98&gt;0,$U98&gt;0),$Q98=""),"CÓDIGO",
IF(AND($C98="S",$P98&lt;&gt;"",$Q98&lt;&gt;"",$R98="(Código não identificado nas referências)"),"CÓDIGO N/ID",
IF(AND($C98="S",OR($R98="",$R98="(digite a descrição aqui)"),OR($Q98&lt;&gt;"",$T98&gt;0,$U98&gt;0)),"DESCRIÇÃO",
IF(AND($C98="S",$P98&lt;&gt;"",$Q98&lt;&gt;"",$S98=""),"UNIDADE",
IF(AND($C98="S",$P98&lt;&gt;"",$Q98&lt;&gt;"",$U98=0),"SEM CUSTO",
IF(AND(_xlfn.single(TIPOORCAMENTO)="Licitado",$AL98=0,$AN98&gt;0),"SEM PREÇO",
IF(AND($C98="S",$P98&lt;&gt;"",$Q98&lt;&gt;"",$U98&gt;0,$V98=0),"BDI",
IF(OR(AND(TIPOORCAMENTO="Proposto",LEFT($O$8,5)&lt;&gt;"(N/D:",$AG98&lt;&gt;"",ORÇAMENTO.CustoUnitario&gt;$AG98),AND(TIPOORCAMENTO="LICITADO",ORÇAMENTO.PrecoUnitarioLicitado&gt;$AN98)),"ACIMA REF.",
IF(AND($C98="S",$P98&lt;&gt;"",$Q98&lt;&gt;"",$T98=0,$U98&gt;0),"QUANT.",
IF(AND(Import.TipoArredondamento="TransfereGOV",$L98="F",$C98="S",LEN($Q98)&gt;13),"Código &gt;13",
IF(AND(Import.TipoArredondamento="TransfereGOV",$L98="F",$C98&lt;&gt;"S",LEN($R98)&gt;100),"Descrição &gt;100",
IF(AND(Import.TipoArredondamento="TransfereGOV",$L98="F",$C98="S",LEN($R98)&gt;500),"Descrição &gt;500",
IF(AND(Import.TipoArredondamento="TransfereGOV",$L98="F",$C98="S",LEFT(TRIM(UPPER($P98)),6)&lt;&gt;"SINAPI",ISNA(VLOOKUP(TRIM(UPPER($S98)),ListaTgov.Unidades,1,FALSE()))),"Unid. Não Disp",
" "))))))))))))))))</f>
        <v>#NAME?</v>
      </c>
      <c r="AD98" s="1" t="str">
        <f aca="true">IF(C98&lt;=CRONO.NivelExibicao,MAX($AD$15:OFFSET(AD98,-1,0))+IF($C98&lt;&gt;1,1,MAX(1,COUNTIF(QCI!$A$13:$A$15,OFFSET($E98,-1,0)))),"")</f>
        <v/>
      </c>
      <c r="AE98" s="50" t="str">
        <f aca="false">IF(AND($C98="S",ORÇAMENTO.CodBarra&lt;&gt;""),IF(ORÇAMENTO.Fonte="",ORÇAMENTO.CodBarra,CONCATENATE(ORÇAMENTO.Fonte," ",ORÇAMENTO.CodBarra)))</f>
        <v>SINAPI 102193</v>
      </c>
      <c r="AF98" s="65" t="str">
        <f aca="true">IF(ISERROR(INDIRECT(ORÇAMENTO.BancoRef)),"(abra o arquivo 'Referência "&amp;Excel_BuiltIn_Database&amp;".xlsm)",IF(OR($C98&lt;&gt;"S",ORÇAMENTO.CodBarra=""),"(Sem Código)",IF(ISERROR(MATCH($AE98,INDIRECT(ORÇAMENTO.BancoRef),0)),"(Código não identificado nas referências)",MATCH($AE98,INDIRECT(ORÇAMENTO.BancoRef),0))))</f>
        <v>(abra o arquivo 'Referência 07-2025.xlsm)</v>
      </c>
      <c r="AG98" s="215" t="n">
        <f aca="true">ROUND(IF(DESONERACAO="sim",REFERENCIA.Desonerado,REFERENCIA.NaoDesonerado),2)</f>
        <v>0</v>
      </c>
      <c r="AH98" s="216" t="n">
        <f aca="false">ROUND(IF(ISNUMBER(ORÇAMENTO.OpcaoBDI),ORÇAMENTO.OpcaoBDI,IF(LEFT(ORÇAMENTO.OpcaoBDI,3)="BDI",HLOOKUP(ORÇAMENTO.OpcaoBDI,$F$4:$H$5,2,FALSE()),0)),15-11*$AF$9)</f>
        <v>0.2904</v>
      </c>
      <c r="AJ98" s="217"/>
      <c r="AL98" s="218"/>
      <c r="AM98" s="219" t="n">
        <f aca="false">$X98</f>
        <v>748</v>
      </c>
      <c r="AN98" s="220" t="n">
        <f aca="false">ROUND(ORÇAMENTO.CustoUnitario*(1+$AH98),2)</f>
        <v>2.77</v>
      </c>
    </row>
    <row r="99" customFormat="false" ht="23.85" hidden="false" customHeight="false" outlineLevel="0" collapsed="false">
      <c r="A99" s="1" t="str">
        <f aca="false">CHOOSE(1+LOG(1+2*(ORÇAMENTO.Nivel="Meta")+4*(ORÇAMENTO.Nivel="Nível 2")+8*(ORÇAMENTO.Nivel="Nível 3")+16*(ORÇAMENTO.Nivel="Nível 4")+32*(ORÇAMENTO.Nivel="Serviço"),2),0,1,2,3,4,"S")</f>
        <v>S</v>
      </c>
      <c r="B99" s="1" t="n">
        <f aca="true">IF(OR(C99="s",C99=0),OFFSET(B99,-1,0),C99)</f>
        <v>2</v>
      </c>
      <c r="C99" s="1" t="str">
        <f aca="true">IF(OFFSET(C99,-1,0)="L",1,IF(OFFSET(C99,-1,0)=1,2,IF(OR(A99="s",A99=0),"S",IF(AND(OFFSET(C99,-1,0)=2,A99=4),3,IF(AND(OR(OFFSET(C99,-1,0)="s",OFFSET(C99,-1,0)=0),A99&lt;&gt;"s",A99&gt;OFFSET(B99,-1,0)),OFFSET(B99,-1,0),A99)))))</f>
        <v>S</v>
      </c>
      <c r="D99" s="1" t="n">
        <f aca="false">IF(OR(C99="S",C99=0),0,IF(ISERROR(K99),J99,SMALL(J99:K99,1)))</f>
        <v>0</v>
      </c>
      <c r="E99" s="1" t="n">
        <f aca="true">IF($C99=1,OFFSET(E99,-1,0)+MAX(1,COUNTIF(QCI!$A$13:$A$15,OFFSET(ORÇAMENTO!E99,-1,0))),OFFSET(E99,-1,0))</f>
        <v>1</v>
      </c>
      <c r="F99" s="1" t="n">
        <f aca="true">IF($C99=1,0,IF($C99=2,OFFSET(F99,-1,0)+1,OFFSET(F99,-1,0)))</f>
        <v>25</v>
      </c>
      <c r="G99" s="1" t="n">
        <f aca="true">IF(AND($C99&lt;=2,$C99&lt;&gt;0),0,IF($C99=3,OFFSET(G99,-1,0)+1,OFFSET(G99,-1,0)))</f>
        <v>0</v>
      </c>
      <c r="H99" s="1" t="n">
        <f aca="true">IF(AND($C99&lt;=3,$C99&lt;&gt;0),0,IF($C99=4,OFFSET(H99,-1,0)+1,OFFSET(H99,-1,0)))</f>
        <v>0</v>
      </c>
      <c r="I99" s="1" t="n">
        <f aca="true">IF(AND($C99&lt;=4,$C99&lt;&gt;0),0,IF(AND($C99="S",$X99&gt;0),OFFSET(I99,-1,0)+1,OFFSET(I99,-1,0)))</f>
        <v>2</v>
      </c>
      <c r="J99" s="1" t="n">
        <f aca="true">IF(OR($C99="S",$C99=0),0,MATCH(0,OFFSET($D99,1,$C99,ROW($C$205)-ROW($C99)),0))</f>
        <v>0</v>
      </c>
      <c r="K99" s="1" t="n">
        <f aca="true">IF(OR($C99="S",$C99=0),0,MATCH(OFFSET($D99,0,$C99)+IF($C99&lt;&gt;1,1,COUNTIF(QCI!$A$13:$A$15,ORÇAMENTO!E99)),OFFSET($D99,1,$C99,ROW($C$205)-ROW($C99)),0))</f>
        <v>0</v>
      </c>
      <c r="L99" s="199" t="str">
        <f aca="false">IF(OR($X99&gt;0,$C99=1,$C99=2,$C99=3,$C99=4),"F","")</f>
        <v>F</v>
      </c>
      <c r="M99" s="200" t="s">
        <v>735</v>
      </c>
      <c r="N99" s="201" t="str">
        <f aca="false">CHOOSE(1+LOG(1+2*(C99=1)+4*(C99=2)+8*(C99=3)+16*(C99=4)+32*(C99="S"),2),"","Meta","Nível 2","Nível 3","Nível 4","Serviço")</f>
        <v>Serviço</v>
      </c>
      <c r="O99" s="202" t="str">
        <f aca="false">IF(OR($C99=0,$L99=""),"-",CONCATENATE(E99&amp;".",IF(AND($A$5&gt;=2,$C99&gt;=2),F99&amp;".",""),IF(AND($A$5&gt;=3,$C99&gt;=3),G99&amp;".",""),IF(AND($A$5&gt;=4,$C99&gt;=4),H99&amp;".",""),IF($C99="S",I99&amp;".","")))</f>
        <v>1.25.2.</v>
      </c>
      <c r="P99" s="203" t="s">
        <v>780</v>
      </c>
      <c r="Q99" s="204" t="n">
        <v>102197</v>
      </c>
      <c r="R99" s="205" t="str">
        <f aca="false">[4]PO!$D$103</f>
        <v>PINTURA FUNDO NIVELADOR ALQUÍDICO BRANCO EM MADEIRA. AF_01/2021</v>
      </c>
      <c r="S99" s="206" t="s">
        <v>650</v>
      </c>
      <c r="T99" s="207" t="n">
        <f aca="true">OFFSET(CÁLCULO!H$15,ROW($T99)-ROW(T$15),0)</f>
        <v>270</v>
      </c>
      <c r="U99" s="208" t="n">
        <f aca="false">[2]PO!$G$103</f>
        <v>28.5</v>
      </c>
      <c r="V99" s="209" t="s">
        <v>690</v>
      </c>
      <c r="W99" s="207" t="n">
        <f aca="false">IF($C99="S",ROUND(IF(TIPOORCAMENTO="Proposto",ORÇAMENTO.CustoUnitario*(1+$AH99),ORÇAMENTO.PrecoUnitarioLicitado),15-13*$AF$10),0)</f>
        <v>36.78</v>
      </c>
      <c r="X99" s="210" t="n">
        <f aca="true" t="array" ref="X99:X99">IF($C99="S",IF(OR(Import.TipoArredondamento&lt;&gt;"TransfereGOV",ACOMPANHAMENTO="BM"),VTOTAL1,SUM(OFFSET(CÁLCULO!$AQ$15,ROW($X99)-ROW($X$15),1):OFFSET(CÁLCULO!$BR$15,ROW($X99)-ROW($X$15),-1))),IF($C99=0,0,ROUND(SomaAgrup,15-13*$AF$11)))</f>
        <v>9930.5</v>
      </c>
      <c r="Y99" s="211" t="s">
        <v>781</v>
      </c>
      <c r="Z99" s="1" t="str">
        <f aca="false">IF(AND($C99="S",$X99&gt;0),IF(ISBLANK($Y99),"RA",LEFT($Y99,2)),"")</f>
        <v>RA</v>
      </c>
      <c r="AA99" s="212" t="n">
        <f aca="true">IF($C99="S",IF($Z99="CP",$X99,IF($Z99="RA",(($X99)*QCI!$AA$3),0)),SomaAgrup)</f>
        <v>1102.10204953061</v>
      </c>
      <c r="AB99" s="213" t="n">
        <f aca="true">IF($C99="S",IF($Z99="OU",ROUND($X99,2),0),SomaAgrup)</f>
        <v>0</v>
      </c>
      <c r="AC99" s="214" t="e">
        <f aca="false" t="array" ref="AC99:AC99">IF($N99=""," ",
IF(AND($C99&lt;&gt;"S",OR($R99="",$R99="(digite a descrição aqui)")),"DESCRIÇÃO",
IF(AND($C99="S",OR($Q99&lt;&gt;"",$T99&gt;0,$U99&gt;0),$P99=""),"FONTE",
IF(AND($C99="S",$P99&lt;&gt;"",OR($T99&gt;0,$U99&gt;0),$Q99=""),"CÓDIGO",
IF(AND($C99="S",$P99&lt;&gt;"",$Q99&lt;&gt;"",$R99="(Código não identificado nas referências)"),"CÓDIGO N/ID",
IF(AND($C99="S",OR($R99="",$R99="(digite a descrição aqui)"),OR($Q99&lt;&gt;"",$T99&gt;0,$U99&gt;0)),"DESCRIÇÃO",
IF(AND($C99="S",$P99&lt;&gt;"",$Q99&lt;&gt;"",$S99=""),"UNIDADE",
IF(AND($C99="S",$P99&lt;&gt;"",$Q99&lt;&gt;"",$U99=0),"SEM CUSTO",
IF(AND(_xlfn.single(TIPOORCAMENTO)="Licitado",$AL99=0,$AN99&gt;0),"SEM PREÇO",
IF(AND($C99="S",$P99&lt;&gt;"",$Q99&lt;&gt;"",$U99&gt;0,$V99=0),"BDI",
IF(OR(AND(TIPOORCAMENTO="Proposto",LEFT($O$8,5)&lt;&gt;"(N/D:",$AG99&lt;&gt;"",ORÇAMENTO.CustoUnitario&gt;$AG99),AND(TIPOORCAMENTO="LICITADO",ORÇAMENTO.PrecoUnitarioLicitado&gt;$AN99)),"ACIMA REF.",
IF(AND($C99="S",$P99&lt;&gt;"",$Q99&lt;&gt;"",$T99=0,$U99&gt;0),"QUANT.",
IF(AND(Import.TipoArredondamento="TransfereGOV",$L99="F",$C99="S",LEN($Q99)&gt;13),"Código &gt;13",
IF(AND(Import.TipoArredondamento="TransfereGOV",$L99="F",$C99&lt;&gt;"S",LEN($R99)&gt;100),"Descrição &gt;100",
IF(AND(Import.TipoArredondamento="TransfereGOV",$L99="F",$C99="S",LEN($R99)&gt;500),"Descrição &gt;500",
IF(AND(Import.TipoArredondamento="TransfereGOV",$L99="F",$C99="S",LEFT(TRIM(UPPER($P99)),6)&lt;&gt;"SINAPI",ISNA(VLOOKUP(TRIM(UPPER($S99)),ListaTgov.Unidades,1,FALSE()))),"Unid. Não Disp",
" "))))))))))))))))</f>
        <v>#NAME?</v>
      </c>
      <c r="AD99" s="1" t="str">
        <f aca="true">IF(C99&lt;=CRONO.NivelExibicao,MAX($AD$15:OFFSET(AD99,-1,0))+IF($C99&lt;&gt;1,1,MAX(1,COUNTIF(QCI!$A$13:$A$15,OFFSET($E99,-1,0)))),"")</f>
        <v/>
      </c>
      <c r="AE99" s="50" t="str">
        <f aca="false">IF(AND($C99="S",ORÇAMENTO.CodBarra&lt;&gt;""),IF(ORÇAMENTO.Fonte="",ORÇAMENTO.CodBarra,CONCATENATE(ORÇAMENTO.Fonte," ",ORÇAMENTO.CodBarra)))</f>
        <v>SINAPI 102197</v>
      </c>
      <c r="AF99" s="65" t="str">
        <f aca="true">IF(ISERROR(INDIRECT(ORÇAMENTO.BancoRef)),"(abra o arquivo 'Referência "&amp;Excel_BuiltIn_Database&amp;".xlsm)",IF(OR($C99&lt;&gt;"S",ORÇAMENTO.CodBarra=""),"(Sem Código)",IF(ISERROR(MATCH($AE99,INDIRECT(ORÇAMENTO.BancoRef),0)),"(Código não identificado nas referências)",MATCH($AE99,INDIRECT(ORÇAMENTO.BancoRef),0))))</f>
        <v>(abra o arquivo 'Referência 07-2025.xlsm)</v>
      </c>
      <c r="AG99" s="215" t="n">
        <f aca="true">ROUND(IF(DESONERACAO="sim",REFERENCIA.Desonerado,REFERENCIA.NaoDesonerado),2)</f>
        <v>0</v>
      </c>
      <c r="AH99" s="216" t="n">
        <f aca="false">ROUND(IF(ISNUMBER(ORÇAMENTO.OpcaoBDI),ORÇAMENTO.OpcaoBDI,IF(LEFT(ORÇAMENTO.OpcaoBDI,3)="BDI",HLOOKUP(ORÇAMENTO.OpcaoBDI,$F$4:$H$5,2,FALSE()),0)),15-11*$AF$9)</f>
        <v>0.2904</v>
      </c>
      <c r="AJ99" s="217"/>
      <c r="AL99" s="218"/>
      <c r="AM99" s="219" t="n">
        <f aca="false">$X99</f>
        <v>9930.5</v>
      </c>
      <c r="AN99" s="220" t="n">
        <f aca="false">ROUND(ORÇAMENTO.CustoUnitario*(1+$AH99),2)</f>
        <v>36.78</v>
      </c>
    </row>
    <row r="100" customFormat="false" ht="23.85" hidden="false" customHeight="false" outlineLevel="0" collapsed="false">
      <c r="A100" s="1" t="str">
        <f aca="false">CHOOSE(1+LOG(1+2*(ORÇAMENTO.Nivel="Meta")+4*(ORÇAMENTO.Nivel="Nível 2")+8*(ORÇAMENTO.Nivel="Nível 3")+16*(ORÇAMENTO.Nivel="Nível 4")+32*(ORÇAMENTO.Nivel="Serviço"),2),0,1,2,3,4,"S")</f>
        <v>S</v>
      </c>
      <c r="B100" s="1" t="n">
        <f aca="true">IF(OR(C100="s",C100=0),OFFSET(B100,-1,0),C100)</f>
        <v>2</v>
      </c>
      <c r="C100" s="1" t="str">
        <f aca="true">IF(OFFSET(C100,-1,0)="L",1,IF(OFFSET(C100,-1,0)=1,2,IF(OR(A100="s",A100=0),"S",IF(AND(OFFSET(C100,-1,0)=2,A100=4),3,IF(AND(OR(OFFSET(C100,-1,0)="s",OFFSET(C100,-1,0)=0),A100&lt;&gt;"s",A100&gt;OFFSET(B100,-1,0)),OFFSET(B100,-1,0),A100)))))</f>
        <v>S</v>
      </c>
      <c r="D100" s="1" t="n">
        <f aca="false">IF(OR(C100="S",C100=0),0,IF(ISERROR(K100),J100,SMALL(J100:K100,1)))</f>
        <v>0</v>
      </c>
      <c r="E100" s="1" t="n">
        <f aca="true">IF($C100=1,OFFSET(E100,-1,0)+MAX(1,COUNTIF(QCI!$A$13:$A$15,OFFSET(ORÇAMENTO!E100,-1,0))),OFFSET(E100,-1,0))</f>
        <v>1</v>
      </c>
      <c r="F100" s="1" t="n">
        <f aca="true">IF($C100=1,0,IF($C100=2,OFFSET(F100,-1,0)+1,OFFSET(F100,-1,0)))</f>
        <v>25</v>
      </c>
      <c r="G100" s="1" t="n">
        <f aca="true">IF(AND($C100&lt;=2,$C100&lt;&gt;0),0,IF($C100=3,OFFSET(G100,-1,0)+1,OFFSET(G100,-1,0)))</f>
        <v>0</v>
      </c>
      <c r="H100" s="1" t="n">
        <f aca="true">IF(AND($C100&lt;=3,$C100&lt;&gt;0),0,IF($C100=4,OFFSET(H100,-1,0)+1,OFFSET(H100,-1,0)))</f>
        <v>0</v>
      </c>
      <c r="I100" s="1" t="n">
        <f aca="true">IF(AND($C100&lt;=4,$C100&lt;&gt;0),0,IF(AND($C100="S",$X100&gt;0),OFFSET(I100,-1,0)+1,OFFSET(I100,-1,0)))</f>
        <v>3</v>
      </c>
      <c r="J100" s="1" t="n">
        <f aca="true">IF(OR($C100="S",$C100=0),0,MATCH(0,OFFSET($D100,1,$C100,ROW($C$205)-ROW($C100)),0))</f>
        <v>0</v>
      </c>
      <c r="K100" s="1" t="n">
        <f aca="true">IF(OR($C100="S",$C100=0),0,MATCH(OFFSET($D100,0,$C100)+IF($C100&lt;&gt;1,1,COUNTIF(QCI!$A$13:$A$15,ORÇAMENTO!E100)),OFFSET($D100,1,$C100,ROW($C$205)-ROW($C100)),0))</f>
        <v>0</v>
      </c>
      <c r="L100" s="199" t="str">
        <f aca="false">IF(OR($X100&gt;0,$C100=1,$C100=2,$C100=3,$C100=4),"F","")</f>
        <v>F</v>
      </c>
      <c r="M100" s="200" t="s">
        <v>735</v>
      </c>
      <c r="N100" s="201" t="str">
        <f aca="false">CHOOSE(1+LOG(1+2*(C100=1)+4*(C100=2)+8*(C100=3)+16*(C100=4)+32*(C100="S"),2),"","Meta","Nível 2","Nível 3","Nível 4","Serviço")</f>
        <v>Serviço</v>
      </c>
      <c r="O100" s="202" t="str">
        <f aca="false">IF(OR($C100=0,$L100=""),"-",CONCATENATE(E100&amp;".",IF(AND($A$5&gt;=2,$C100&gt;=2),F100&amp;".",""),IF(AND($A$5&gt;=3,$C100&gt;=3),G100&amp;".",""),IF(AND($A$5&gt;=4,$C100&gt;=4),H100&amp;".",""),IF($C100="S",I100&amp;".","")))</f>
        <v>1.25.3.</v>
      </c>
      <c r="P100" s="203" t="s">
        <v>780</v>
      </c>
      <c r="Q100" s="204" t="n">
        <v>102219</v>
      </c>
      <c r="R100" s="205" t="str">
        <f aca="false">[4]PO!$D$104</f>
        <v>PINTURA TINTA DE ACABAMENTO (PIGMENTADA) ESMALTE SINTÉTICO ACETINADO EM MADEIRA, 2 DEMÃOS. AF_01/2021</v>
      </c>
      <c r="S100" s="206" t="s">
        <v>650</v>
      </c>
      <c r="T100" s="207" t="n">
        <f aca="true">OFFSET(CÁLCULO!H$15,ROW($T100)-ROW(T$15),0)</f>
        <v>270</v>
      </c>
      <c r="U100" s="208" t="n">
        <f aca="false">[2]PO!$G$104</f>
        <v>18.93</v>
      </c>
      <c r="V100" s="209" t="s">
        <v>690</v>
      </c>
      <c r="W100" s="207" t="n">
        <f aca="false">IF($C100="S",ROUND(IF(TIPOORCAMENTO="Proposto",ORÇAMENTO.CustoUnitario*(1+$AH100),ORÇAMENTO.PrecoUnitarioLicitado),15-13*$AF$10),0)</f>
        <v>24.43</v>
      </c>
      <c r="X100" s="210" t="n">
        <f aca="true" t="array" ref="X100:X100">IF($C100="S",IF(OR(Import.TipoArredondamento&lt;&gt;"TransfereGOV",ACOMPANHAMENTO="BM"),VTOTAL1,SUM(OFFSET(CÁLCULO!$AQ$15,ROW($X100)-ROW($X$15),1):OFFSET(CÁLCULO!$BR$15,ROW($X100)-ROW($X$15),-1))),IF($C100=0,0,ROUND(SomaAgrup,15-13*$AF$11)))</f>
        <v>6596</v>
      </c>
      <c r="Y100" s="211" t="s">
        <v>781</v>
      </c>
      <c r="Z100" s="1" t="str">
        <f aca="false">IF(AND($C100="S",$X100&gt;0),IF(ISBLANK($Y100),"RA",LEFT($Y100,2)),"")</f>
        <v>RA</v>
      </c>
      <c r="AA100" s="212" t="n">
        <f aca="true">IF($C100="S",IF($Z100="CP",$X100,IF($Z100="RA",(($X100)*QCI!$AA$3),0)),SomaAgrup)</f>
        <v>732.034149207379</v>
      </c>
      <c r="AB100" s="213" t="n">
        <f aca="true">IF($C100="S",IF($Z100="OU",ROUND($X100,2),0),SomaAgrup)</f>
        <v>0</v>
      </c>
      <c r="AC100" s="214" t="e">
        <f aca="false" t="array" ref="AC100:AC100">IF($N100=""," ",
IF(AND($C100&lt;&gt;"S",OR($R100="",$R100="(digite a descrição aqui)")),"DESCRIÇÃO",
IF(AND($C100="S",OR($Q100&lt;&gt;"",$T100&gt;0,$U100&gt;0),$P100=""),"FONTE",
IF(AND($C100="S",$P100&lt;&gt;"",OR($T100&gt;0,$U100&gt;0),$Q100=""),"CÓDIGO",
IF(AND($C100="S",$P100&lt;&gt;"",$Q100&lt;&gt;"",$R100="(Código não identificado nas referências)"),"CÓDIGO N/ID",
IF(AND($C100="S",OR($R100="",$R100="(digite a descrição aqui)"),OR($Q100&lt;&gt;"",$T100&gt;0,$U100&gt;0)),"DESCRIÇÃO",
IF(AND($C100="S",$P100&lt;&gt;"",$Q100&lt;&gt;"",$S100=""),"UNIDADE",
IF(AND($C100="S",$P100&lt;&gt;"",$Q100&lt;&gt;"",$U100=0),"SEM CUSTO",
IF(AND(_xlfn.single(TIPOORCAMENTO)="Licitado",$AL100=0,$AN100&gt;0),"SEM PREÇO",
IF(AND($C100="S",$P100&lt;&gt;"",$Q100&lt;&gt;"",$U100&gt;0,$V100=0),"BDI",
IF(OR(AND(TIPOORCAMENTO="Proposto",LEFT($O$8,5)&lt;&gt;"(N/D:",$AG100&lt;&gt;"",ORÇAMENTO.CustoUnitario&gt;$AG100),AND(TIPOORCAMENTO="LICITADO",ORÇAMENTO.PrecoUnitarioLicitado&gt;$AN100)),"ACIMA REF.",
IF(AND($C100="S",$P100&lt;&gt;"",$Q100&lt;&gt;"",$T100=0,$U100&gt;0),"QUANT.",
IF(AND(Import.TipoArredondamento="TransfereGOV",$L100="F",$C100="S",LEN($Q100)&gt;13),"Código &gt;13",
IF(AND(Import.TipoArredondamento="TransfereGOV",$L100="F",$C100&lt;&gt;"S",LEN($R100)&gt;100),"Descrição &gt;100",
IF(AND(Import.TipoArredondamento="TransfereGOV",$L100="F",$C100="S",LEN($R100)&gt;500),"Descrição &gt;500",
IF(AND(Import.TipoArredondamento="TransfereGOV",$L100="F",$C100="S",LEFT(TRIM(UPPER($P100)),6)&lt;&gt;"SINAPI",ISNA(VLOOKUP(TRIM(UPPER($S100)),ListaTgov.Unidades,1,FALSE()))),"Unid. Não Disp",
" "))))))))))))))))</f>
        <v>#NAME?</v>
      </c>
      <c r="AD100" s="1" t="str">
        <f aca="true">IF(C100&lt;=CRONO.NivelExibicao,MAX($AD$15:OFFSET(AD100,-1,0))+IF($C100&lt;&gt;1,1,MAX(1,COUNTIF(QCI!$A$13:$A$15,OFFSET($E100,-1,0)))),"")</f>
        <v/>
      </c>
      <c r="AE100" s="50" t="str">
        <f aca="false">IF(AND($C100="S",ORÇAMENTO.CodBarra&lt;&gt;""),IF(ORÇAMENTO.Fonte="",ORÇAMENTO.CodBarra,CONCATENATE(ORÇAMENTO.Fonte," ",ORÇAMENTO.CodBarra)))</f>
        <v>SINAPI 102219</v>
      </c>
      <c r="AF100" s="65" t="str">
        <f aca="true">IF(ISERROR(INDIRECT(ORÇAMENTO.BancoRef)),"(abra o arquivo 'Referência "&amp;Excel_BuiltIn_Database&amp;".xlsm)",IF(OR($C100&lt;&gt;"S",ORÇAMENTO.CodBarra=""),"(Sem Código)",IF(ISERROR(MATCH($AE100,INDIRECT(ORÇAMENTO.BancoRef),0)),"(Código não identificado nas referências)",MATCH($AE100,INDIRECT(ORÇAMENTO.BancoRef),0))))</f>
        <v>(abra o arquivo 'Referência 07-2025.xlsm)</v>
      </c>
      <c r="AG100" s="215" t="n">
        <f aca="true">ROUND(IF(DESONERACAO="sim",REFERENCIA.Desonerado,REFERENCIA.NaoDesonerado),2)</f>
        <v>0</v>
      </c>
      <c r="AH100" s="216" t="n">
        <f aca="false">ROUND(IF(ISNUMBER(ORÇAMENTO.OpcaoBDI),ORÇAMENTO.OpcaoBDI,IF(LEFT(ORÇAMENTO.OpcaoBDI,3)="BDI",HLOOKUP(ORÇAMENTO.OpcaoBDI,$F$4:$H$5,2,FALSE()),0)),15-11*$AF$9)</f>
        <v>0.2904</v>
      </c>
      <c r="AJ100" s="217"/>
      <c r="AL100" s="218"/>
      <c r="AM100" s="219" t="n">
        <f aca="false">$X100</f>
        <v>6596</v>
      </c>
      <c r="AN100" s="220" t="n">
        <f aca="false">ROUND(ORÇAMENTO.CustoUnitario*(1+$AH100),2)</f>
        <v>24.43</v>
      </c>
    </row>
    <row r="101" customFormat="false" ht="12.75" hidden="false" customHeight="false" outlineLevel="0" collapsed="false">
      <c r="A101" s="1" t="n">
        <f aca="false">CHOOSE(1+LOG(1+2*(ORÇAMENTO.Nivel="Meta")+4*(ORÇAMENTO.Nivel="Nível 2")+8*(ORÇAMENTO.Nivel="Nível 3")+16*(ORÇAMENTO.Nivel="Nível 4")+32*(ORÇAMENTO.Nivel="Serviço"),2),0,1,2,3,4,"S")</f>
        <v>2</v>
      </c>
      <c r="B101" s="1" t="n">
        <f aca="true">IF(OR(C101="s",C101=0),OFFSET(B101,-1,0),C101)</f>
        <v>2</v>
      </c>
      <c r="C101" s="1" t="n">
        <f aca="true">IF(OFFSET(C101,-1,0)="L",1,IF(OFFSET(C101,-1,0)=1,2,IF(OR(A101="s",A101=0),"S",IF(AND(OFFSET(C101,-1,0)=2,A101=4),3,IF(AND(OR(OFFSET(C101,-1,0)="s",OFFSET(C101,-1,0)=0),A101&lt;&gt;"s",A101&gt;OFFSET(B101,-1,0)),OFFSET(B101,-1,0),A101)))))</f>
        <v>2</v>
      </c>
      <c r="D101" s="1" t="n">
        <f aca="false">IF(OR(C101="S",C101=0),0,IF(ISERROR(K101),J101,SMALL(J101:K101,1)))</f>
        <v>1</v>
      </c>
      <c r="E101" s="1" t="n">
        <f aca="true">IF($C101=1,OFFSET(E101,-1,0)+MAX(1,COUNTIF(QCI!$A$13:$A$15,OFFSET(ORÇAMENTO!E101,-1,0))),OFFSET(E101,-1,0))</f>
        <v>1</v>
      </c>
      <c r="F101" s="1" t="n">
        <f aca="true">IF($C101=1,0,IF($C101=2,OFFSET(F101,-1,0)+1,OFFSET(F101,-1,0)))</f>
        <v>26</v>
      </c>
      <c r="G101" s="1" t="n">
        <f aca="true">IF(AND($C101&lt;=2,$C101&lt;&gt;0),0,IF($C101=3,OFFSET(G101,-1,0)+1,OFFSET(G101,-1,0)))</f>
        <v>0</v>
      </c>
      <c r="H101" s="1" t="n">
        <f aca="true">IF(AND($C101&lt;=3,$C101&lt;&gt;0),0,IF($C101=4,OFFSET(H101,-1,0)+1,OFFSET(H101,-1,0)))</f>
        <v>0</v>
      </c>
      <c r="I101" s="1" t="n">
        <f aca="true">IF(AND($C101&lt;=4,$C101&lt;&gt;0),0,IF(AND($C101="S",$X101&gt;0),OFFSET(I101,-1,0)+1,OFFSET(I101,-1,0)))</f>
        <v>0</v>
      </c>
      <c r="J101" s="1" t="n">
        <f aca="true">IF(OR($C101="S",$C101=0),0,MATCH(0,OFFSET($D101,1,$C101,ROW($C$205)-ROW($C101)),0))</f>
        <v>104</v>
      </c>
      <c r="K101" s="1" t="n">
        <f aca="true">IF(OR($C101="S",$C101=0),0,MATCH(OFFSET($D101,0,$C101)+IF($C101&lt;&gt;1,1,COUNTIF(QCI!$A$13:$A$15,ORÇAMENTO!E101)),OFFSET($D101,1,$C101,ROW($C$205)-ROW($C101)),0))</f>
        <v>1</v>
      </c>
      <c r="L101" s="199" t="str">
        <f aca="false">IF(OR($X101&gt;0,$C101=1,$C101=2,$C101=3,$C101=4),"F","")</f>
        <v>F</v>
      </c>
      <c r="M101" s="200" t="s">
        <v>732</v>
      </c>
      <c r="N101" s="201" t="str">
        <f aca="false">CHOOSE(1+LOG(1+2*(C101=1)+4*(C101=2)+8*(C101=3)+16*(C101=4)+32*(C101="S"),2),"","Meta","Nível 2","Nível 3","Nível 4","Serviço")</f>
        <v>Nível 2</v>
      </c>
      <c r="O101" s="202" t="str">
        <f aca="false">IF(OR($C101=0,$L101=""),"-",CONCATENATE(E101&amp;".",IF(AND($A$5&gt;=2,$C101&gt;=2),F101&amp;".",""),IF(AND($A$5&gt;=3,$C101&gt;=3),G101&amp;".",""),IF(AND($A$5&gt;=4,$C101&gt;=4),H101&amp;".",""),IF($C101="S",I101&amp;".","")))</f>
        <v>1.26.</v>
      </c>
      <c r="P101" s="203" t="s">
        <v>780</v>
      </c>
      <c r="Q101" s="204"/>
      <c r="R101" s="205" t="str">
        <f aca="false">[4]PO!$B$105</f>
        <v>ESPECIAIS / ELEMENTOS FACHADA</v>
      </c>
      <c r="S101" s="206" t="str">
        <f aca="true">REFERENCIA.Unidade</f>
        <v>-</v>
      </c>
      <c r="T101" s="207" t="n">
        <f aca="true">OFFSET(CÁLCULO!H$15,ROW($T101)-ROW(T$15),0)</f>
        <v>0</v>
      </c>
      <c r="U101" s="208"/>
      <c r="V101" s="209" t="s">
        <v>690</v>
      </c>
      <c r="W101" s="207" t="n">
        <f aca="false">IF($C101="S",ROUND(IF(TIPOORCAMENTO="Proposto",ORÇAMENTO.CustoUnitario*(1+$AH101),ORÇAMENTO.PrecoUnitarioLicitado),15-13*$AF$10),0)</f>
        <v>0</v>
      </c>
      <c r="X101" s="210" t="n">
        <f aca="true" t="array" ref="X101:X101">IF($C101="S",IF(OR(Import.TipoArredondamento&lt;&gt;"TransfereGOV",ACOMPANHAMENTO="BM"),VTOTAL1,SUM(OFFSET(CÁLCULO!$AQ$15,ROW($X101)-ROW($X$15),1):OFFSET(CÁLCULO!$BR$15,ROW($X101)-ROW($X$15),-1))),IF($C101=0,0,ROUND(SomaAgrup,15-13*$AF$11)))</f>
        <v>0</v>
      </c>
      <c r="Y101" s="211" t="s">
        <v>781</v>
      </c>
      <c r="Z101" s="1" t="str">
        <f aca="false">IF(AND($C101="S",$X101&gt;0),IF(ISBLANK($Y101),"RA",LEFT($Y101,2)),"")</f>
        <v/>
      </c>
      <c r="AA101" s="212" t="n">
        <f aca="true">IF($C101="S",IF($Z101="CP",$X101,IF($Z101="RA",(($X101)*QCI!$AA$3),0)),SomaAgrup)</f>
        <v>0</v>
      </c>
      <c r="AB101" s="213" t="n">
        <f aca="true">IF($C101="S",IF($Z101="OU",ROUND($X101,2),0),SomaAgrup)</f>
        <v>0</v>
      </c>
      <c r="AC101" s="214" t="e">
        <f aca="false" t="array" ref="AC101:AC101">IF($N101=""," ",
IF(AND($C101&lt;&gt;"S",OR($R101="",$R101="(digite a descrição aqui)")),"DESCRIÇÃO",
IF(AND($C101="S",OR($Q101&lt;&gt;"",$T101&gt;0,$U101&gt;0),$P101=""),"FONTE",
IF(AND($C101="S",$P101&lt;&gt;"",OR($T101&gt;0,$U101&gt;0),$Q101=""),"CÓDIGO",
IF(AND($C101="S",$P101&lt;&gt;"",$Q101&lt;&gt;"",$R101="(Código não identificado nas referências)"),"CÓDIGO N/ID",
IF(AND($C101="S",OR($R101="",$R101="(digite a descrição aqui)"),OR($Q101&lt;&gt;"",$T101&gt;0,$U101&gt;0)),"DESCRIÇÃO",
IF(AND($C101="S",$P101&lt;&gt;"",$Q101&lt;&gt;"",$S101=""),"UNIDADE",
IF(AND($C101="S",$P101&lt;&gt;"",$Q101&lt;&gt;"",$U101=0),"SEM CUSTO",
IF(AND(_xlfn.single(TIPOORCAMENTO)="Licitado",$AL101=0,$AN101&gt;0),"SEM PREÇO",
IF(AND($C101="S",$P101&lt;&gt;"",$Q101&lt;&gt;"",$U101&gt;0,$V101=0),"BDI",
IF(OR(AND(TIPOORCAMENTO="Proposto",LEFT($O$8,5)&lt;&gt;"(N/D:",$AG101&lt;&gt;"",ORÇAMENTO.CustoUnitario&gt;$AG101),AND(TIPOORCAMENTO="LICITADO",ORÇAMENTO.PrecoUnitarioLicitado&gt;$AN101)),"ACIMA REF.",
IF(AND($C101="S",$P101&lt;&gt;"",$Q101&lt;&gt;"",$T101=0,$U101&gt;0),"QUANT.",
IF(AND(Import.TipoArredondamento="TransfereGOV",$L101="F",$C101="S",LEN($Q101)&gt;13),"Código &gt;13",
IF(AND(Import.TipoArredondamento="TransfereGOV",$L101="F",$C101&lt;&gt;"S",LEN($R101)&gt;100),"Descrição &gt;100",
IF(AND(Import.TipoArredondamento="TransfereGOV",$L101="F",$C101="S",LEN($R101)&gt;500),"Descrição &gt;500",
IF(AND(Import.TipoArredondamento="TransfereGOV",$L101="F",$C101="S",LEFT(TRIM(UPPER($P101)),6)&lt;&gt;"SINAPI",ISNA(VLOOKUP(TRIM(UPPER($S101)),ListaTgov.Unidades,1,FALSE()))),"Unid. Não Disp",
" "))))))))))))))))</f>
        <v>#NAME?</v>
      </c>
      <c r="AD101" s="38" t="n">
        <f aca="true">IF(C101&lt;=CRONO.NivelExibicao,MAX($AD$15:OFFSET(AD101,-1,0))+IF($C101&lt;&gt;1,1,MAX(1,COUNTIF(QCI!$A$13:$A$15,OFFSET($E101,-1,0)))),"")</f>
        <v>27</v>
      </c>
      <c r="AE101" s="50" t="b">
        <f aca="false">IF(AND($C101="S",ORÇAMENTO.CodBarra&lt;&gt;""),IF(ORÇAMENTO.Fonte="",ORÇAMENTO.CodBarra,CONCATENATE(ORÇAMENTO.Fonte," ",ORÇAMENTO.CodBarra)))</f>
        <v>0</v>
      </c>
      <c r="AF101" s="65" t="str">
        <f aca="true">IF(ISERROR(INDIRECT(ORÇAMENTO.BancoRef)),"(abra o arquivo 'Referência "&amp;Excel_BuiltIn_Database&amp;".xlsm)",IF(OR($C101&lt;&gt;"S",ORÇAMENTO.CodBarra=""),"(Sem Código)",IF(ISERROR(MATCH($AE101,INDIRECT(ORÇAMENTO.BancoRef),0)),"(Código não identificado nas referências)",MATCH($AE101,INDIRECT(ORÇAMENTO.BancoRef),0))))</f>
        <v>(abra o arquivo 'Referência 07-2025.xlsm)</v>
      </c>
      <c r="AG101" s="215" t="n">
        <f aca="true">ROUND(IF(DESONERACAO="sim",REFERENCIA.Desonerado,REFERENCIA.NaoDesonerado),2)</f>
        <v>0</v>
      </c>
      <c r="AH101" s="216" t="n">
        <f aca="false">ROUND(IF(ISNUMBER(ORÇAMENTO.OpcaoBDI),ORÇAMENTO.OpcaoBDI,IF(LEFT(ORÇAMENTO.OpcaoBDI,3)="BDI",HLOOKUP(ORÇAMENTO.OpcaoBDI,$F$4:$H$5,2,FALSE()),0)),15-11*$AF$9)</f>
        <v>0.2904</v>
      </c>
      <c r="AJ101" s="217"/>
      <c r="AL101" s="218"/>
      <c r="AM101" s="219" t="n">
        <f aca="false">$X101</f>
        <v>0</v>
      </c>
      <c r="AN101" s="220" t="n">
        <f aca="false">ROUND(ORÇAMENTO.CustoUnitario*(1+$AH101),2)</f>
        <v>0</v>
      </c>
    </row>
    <row r="102" customFormat="false" ht="12.75" hidden="false" customHeight="false" outlineLevel="0" collapsed="false">
      <c r="A102" s="1" t="n">
        <f aca="false">CHOOSE(1+LOG(1+2*(ORÇAMENTO.Nivel="Meta")+4*(ORÇAMENTO.Nivel="Nível 2")+8*(ORÇAMENTO.Nivel="Nível 3")+16*(ORÇAMENTO.Nivel="Nível 4")+32*(ORÇAMENTO.Nivel="Serviço"),2),0,1,2,3,4,"S")</f>
        <v>2</v>
      </c>
      <c r="B102" s="1" t="n">
        <f aca="true">IF(OR(C102="s",C102=0),OFFSET(B102,-1,0),C102)</f>
        <v>2</v>
      </c>
      <c r="C102" s="1" t="n">
        <f aca="true">IF(OFFSET(C102,-1,0)="L",1,IF(OFFSET(C102,-1,0)=1,2,IF(OR(A102="s",A102=0),"S",IF(AND(OFFSET(C102,-1,0)=2,A102=4),3,IF(AND(OR(OFFSET(C102,-1,0)="s",OFFSET(C102,-1,0)=0),A102&lt;&gt;"s",A102&gt;OFFSET(B102,-1,0)),OFFSET(B102,-1,0),A102)))))</f>
        <v>2</v>
      </c>
      <c r="D102" s="1" t="n">
        <f aca="false">IF(OR(C102="S",C102=0),0,IF(ISERROR(K102),J102,SMALL(J102:K102,1)))</f>
        <v>1</v>
      </c>
      <c r="E102" s="1" t="n">
        <f aca="true">IF($C102=1,OFFSET(E102,-1,0)+MAX(1,COUNTIF(QCI!$A$13:$A$15,OFFSET(ORÇAMENTO!E102,-1,0))),OFFSET(E102,-1,0))</f>
        <v>1</v>
      </c>
      <c r="F102" s="1" t="n">
        <f aca="true">IF($C102=1,0,IF($C102=2,OFFSET(F102,-1,0)+1,OFFSET(F102,-1,0)))</f>
        <v>27</v>
      </c>
      <c r="G102" s="1" t="n">
        <f aca="true">IF(AND($C102&lt;=2,$C102&lt;&gt;0),0,IF($C102=3,OFFSET(G102,-1,0)+1,OFFSET(G102,-1,0)))</f>
        <v>0</v>
      </c>
      <c r="H102" s="1" t="n">
        <f aca="true">IF(AND($C102&lt;=3,$C102&lt;&gt;0),0,IF($C102=4,OFFSET(H102,-1,0)+1,OFFSET(H102,-1,0)))</f>
        <v>0</v>
      </c>
      <c r="I102" s="1" t="n">
        <f aca="true">IF(AND($C102&lt;=4,$C102&lt;&gt;0),0,IF(AND($C102="S",$X102&gt;0),OFFSET(I102,-1,0)+1,OFFSET(I102,-1,0)))</f>
        <v>0</v>
      </c>
      <c r="J102" s="1" t="n">
        <f aca="true">IF(OR($C102="S",$C102=0),0,MATCH(0,OFFSET($D102,1,$C102,ROW($C$205)-ROW($C102)),0))</f>
        <v>103</v>
      </c>
      <c r="K102" s="1" t="n">
        <f aca="true">IF(OR($C102="S",$C102=0),0,MATCH(OFFSET($D102,0,$C102)+IF($C102&lt;&gt;1,1,COUNTIF(QCI!$A$13:$A$15,ORÇAMENTO!E102)),OFFSET($D102,1,$C102,ROW($C$205)-ROW($C102)),0))</f>
        <v>1</v>
      </c>
      <c r="L102" s="199" t="str">
        <f aca="false">IF(OR($X102&gt;0,$C102=1,$C102=2,$C102=3,$C102=4),"F","")</f>
        <v>F</v>
      </c>
      <c r="M102" s="200" t="s">
        <v>732</v>
      </c>
      <c r="N102" s="201" t="str">
        <f aca="false">CHOOSE(1+LOG(1+2*(C102=1)+4*(C102=2)+8*(C102=3)+16*(C102=4)+32*(C102="S"),2),"","Meta","Nível 2","Nível 3","Nível 4","Serviço")</f>
        <v>Nível 2</v>
      </c>
      <c r="O102" s="202" t="str">
        <f aca="false">IF(OR($C102=0,$L102=""),"-",CONCATENATE(E102&amp;".",IF(AND($A$5&gt;=2,$C102&gt;=2),F102&amp;".",""),IF(AND($A$5&gt;=3,$C102&gt;=3),G102&amp;".",""),IF(AND($A$5&gt;=4,$C102&gt;=4),H102&amp;".",""),IF($C102="S",I102&amp;".","")))</f>
        <v>1.27.</v>
      </c>
      <c r="P102" s="203" t="s">
        <v>780</v>
      </c>
      <c r="Q102" s="204" t="n">
        <v>90843</v>
      </c>
      <c r="R102" s="205" t="str">
        <f aca="false">[4]PO!$B$106</f>
        <v>PAVIMENTAÇÕES</v>
      </c>
      <c r="S102" s="206" t="s">
        <v>666</v>
      </c>
      <c r="T102" s="207" t="n">
        <f aca="true">OFFSET(CÁLCULO!H$15,ROW($T102)-ROW(T$15),0)</f>
        <v>0</v>
      </c>
      <c r="U102" s="208" t="n">
        <v>1048.35</v>
      </c>
      <c r="V102" s="209" t="s">
        <v>690</v>
      </c>
      <c r="W102" s="207" t="n">
        <f aca="false">IF($C102="S",ROUND(IF(TIPOORCAMENTO="Proposto",ORÇAMENTO.CustoUnitario*(1+$AH102),ORÇAMENTO.PrecoUnitarioLicitado),15-13*$AF$10),0)</f>
        <v>0</v>
      </c>
      <c r="X102" s="210" t="n">
        <f aca="true" t="array" ref="X102:X102">IF($C102="S",IF(OR(Import.TipoArredondamento&lt;&gt;"TransfereGOV",ACOMPANHAMENTO="BM"),VTOTAL1,SUM(OFFSET(CÁLCULO!$AQ$15,ROW($X102)-ROW($X$15),1):OFFSET(CÁLCULO!$BR$15,ROW($X102)-ROW($X$15),-1))),IF($C102=0,0,ROUND(SomaAgrup,15-13*$AF$11)))</f>
        <v>0</v>
      </c>
      <c r="Y102" s="211" t="s">
        <v>781</v>
      </c>
      <c r="Z102" s="1" t="str">
        <f aca="false">IF(AND($C102="S",$X102&gt;0),IF(ISBLANK($Y102),"RA",LEFT($Y102,2)),"")</f>
        <v/>
      </c>
      <c r="AA102" s="212" t="n">
        <f aca="true">IF($C102="S",IF($Z102="CP",$X102,IF($Z102="RA",(($X102)*QCI!$AA$3),0)),SomaAgrup)</f>
        <v>0</v>
      </c>
      <c r="AB102" s="213" t="n">
        <f aca="true">IF($C102="S",IF($Z102="OU",ROUND($X102,2),0),SomaAgrup)</f>
        <v>0</v>
      </c>
      <c r="AC102" s="214" t="e">
        <f aca="false" t="array" ref="AC102:AC102">IF($N102=""," ",
IF(AND($C102&lt;&gt;"S",OR($R102="",$R102="(digite a descrição aqui)")),"DESCRIÇÃO",
IF(AND($C102="S",OR($Q102&lt;&gt;"",$T102&gt;0,$U102&gt;0),$P102=""),"FONTE",
IF(AND($C102="S",$P102&lt;&gt;"",OR($T102&gt;0,$U102&gt;0),$Q102=""),"CÓDIGO",
IF(AND($C102="S",$P102&lt;&gt;"",$Q102&lt;&gt;"",$R102="(Código não identificado nas referências)"),"CÓDIGO N/ID",
IF(AND($C102="S",OR($R102="",$R102="(digite a descrição aqui)"),OR($Q102&lt;&gt;"",$T102&gt;0,$U102&gt;0)),"DESCRIÇÃO",
IF(AND($C102="S",$P102&lt;&gt;"",$Q102&lt;&gt;"",$S102=""),"UNIDADE",
IF(AND($C102="S",$P102&lt;&gt;"",$Q102&lt;&gt;"",$U102=0),"SEM CUSTO",
IF(AND(_xlfn.single(TIPOORCAMENTO)="Licitado",$AL102=0,$AN102&gt;0),"SEM PREÇO",
IF(AND($C102="S",$P102&lt;&gt;"",$Q102&lt;&gt;"",$U102&gt;0,$V102=0),"BDI",
IF(OR(AND(TIPOORCAMENTO="Proposto",LEFT($O$8,5)&lt;&gt;"(N/D:",$AG102&lt;&gt;"",ORÇAMENTO.CustoUnitario&gt;$AG102),AND(TIPOORCAMENTO="LICITADO",ORÇAMENTO.PrecoUnitarioLicitado&gt;$AN102)),"ACIMA REF.",
IF(AND($C102="S",$P102&lt;&gt;"",$Q102&lt;&gt;"",$T102=0,$U102&gt;0),"QUANT.",
IF(AND(Import.TipoArredondamento="TransfereGOV",$L102="F",$C102="S",LEN($Q102)&gt;13),"Código &gt;13",
IF(AND(Import.TipoArredondamento="TransfereGOV",$L102="F",$C102&lt;&gt;"S",LEN($R102)&gt;100),"Descrição &gt;100",
IF(AND(Import.TipoArredondamento="TransfereGOV",$L102="F",$C102="S",LEN($R102)&gt;500),"Descrição &gt;500",
IF(AND(Import.TipoArredondamento="TransfereGOV",$L102="F",$C102="S",LEFT(TRIM(UPPER($P102)),6)&lt;&gt;"SINAPI",ISNA(VLOOKUP(TRIM(UPPER($S102)),ListaTgov.Unidades,1,FALSE()))),"Unid. Não Disp",
" "))))))))))))))))</f>
        <v>#NAME?</v>
      </c>
      <c r="AD102" s="38" t="n">
        <f aca="true">IF(C102&lt;=CRONO.NivelExibicao,MAX($AD$15:OFFSET(AD102,-1,0))+IF($C102&lt;&gt;1,1,MAX(1,COUNTIF(QCI!$A$13:$A$15,OFFSET($E102,-1,0)))),"")</f>
        <v>28</v>
      </c>
      <c r="AE102" s="50" t="b">
        <f aca="false">IF(AND($C102="S",ORÇAMENTO.CodBarra&lt;&gt;""),IF(ORÇAMENTO.Fonte="",ORÇAMENTO.CodBarra,CONCATENATE(ORÇAMENTO.Fonte," ",ORÇAMENTO.CodBarra)))</f>
        <v>0</v>
      </c>
      <c r="AF102" s="65" t="str">
        <f aca="true">IF(ISERROR(INDIRECT(ORÇAMENTO.BancoRef)),"(abra o arquivo 'Referência "&amp;Excel_BuiltIn_Database&amp;".xlsm)",IF(OR($C102&lt;&gt;"S",ORÇAMENTO.CodBarra=""),"(Sem Código)",IF(ISERROR(MATCH($AE102,INDIRECT(ORÇAMENTO.BancoRef),0)),"(Código não identificado nas referências)",MATCH($AE102,INDIRECT(ORÇAMENTO.BancoRef),0))))</f>
        <v>(abra o arquivo 'Referência 07-2025.xlsm)</v>
      </c>
      <c r="AG102" s="215" t="n">
        <f aca="true">ROUND(IF(DESONERACAO="sim",REFERENCIA.Desonerado,REFERENCIA.NaoDesonerado),2)</f>
        <v>0</v>
      </c>
      <c r="AH102" s="216" t="n">
        <f aca="false">ROUND(IF(ISNUMBER(ORÇAMENTO.OpcaoBDI),ORÇAMENTO.OpcaoBDI,IF(LEFT(ORÇAMENTO.OpcaoBDI,3)="BDI",HLOOKUP(ORÇAMENTO.OpcaoBDI,$F$4:$H$5,2,FALSE()),0)),15-11*$AF$9)</f>
        <v>0.2904</v>
      </c>
      <c r="AJ102" s="217"/>
      <c r="AL102" s="218"/>
      <c r="AM102" s="219" t="n">
        <f aca="false">$X102</f>
        <v>0</v>
      </c>
      <c r="AN102" s="220" t="n">
        <f aca="false">ROUND(ORÇAMENTO.CustoUnitario*(1+$AH102),2)</f>
        <v>1352.79</v>
      </c>
    </row>
    <row r="103" customFormat="false" ht="12.75" hidden="false" customHeight="false" outlineLevel="0" collapsed="false">
      <c r="A103" s="1" t="n">
        <f aca="false">CHOOSE(1+LOG(1+2*(ORÇAMENTO.Nivel="Meta")+4*(ORÇAMENTO.Nivel="Nível 2")+8*(ORÇAMENTO.Nivel="Nível 3")+16*(ORÇAMENTO.Nivel="Nível 4")+32*(ORÇAMENTO.Nivel="Serviço"),2),0,1,2,3,4,"S")</f>
        <v>2</v>
      </c>
      <c r="B103" s="1" t="n">
        <f aca="true">IF(OR(C103="s",C103=0),OFFSET(B103,-1,0),C103)</f>
        <v>2</v>
      </c>
      <c r="C103" s="1" t="n">
        <f aca="true">IF(OFFSET(C103,-1,0)="L",1,IF(OFFSET(C103,-1,0)=1,2,IF(OR(A103="s",A103=0),"S",IF(AND(OFFSET(C103,-1,0)=2,A103=4),3,IF(AND(OR(OFFSET(C103,-1,0)="s",OFFSET(C103,-1,0)=0),A103&lt;&gt;"s",A103&gt;OFFSET(B103,-1,0)),OFFSET(B103,-1,0),A103)))))</f>
        <v>2</v>
      </c>
      <c r="D103" s="1" t="n">
        <f aca="false">IF(OR(C103="S",C103=0),0,IF(ISERROR(K103),J103,SMALL(J103:K103,1)))</f>
        <v>1</v>
      </c>
      <c r="E103" s="1" t="n">
        <f aca="true">IF($C103=1,OFFSET(E103,-1,0)+MAX(1,COUNTIF(QCI!$A$13:$A$15,OFFSET(ORÇAMENTO!E103,-1,0))),OFFSET(E103,-1,0))</f>
        <v>1</v>
      </c>
      <c r="F103" s="1" t="n">
        <f aca="true">IF($C103=1,0,IF($C103=2,OFFSET(F103,-1,0)+1,OFFSET(F103,-1,0)))</f>
        <v>28</v>
      </c>
      <c r="G103" s="1" t="n">
        <f aca="true">IF(AND($C103&lt;=2,$C103&lt;&gt;0),0,IF($C103=3,OFFSET(G103,-1,0)+1,OFFSET(G103,-1,0)))</f>
        <v>0</v>
      </c>
      <c r="H103" s="1" t="n">
        <f aca="true">IF(AND($C103&lt;=3,$C103&lt;&gt;0),0,IF($C103=4,OFFSET(H103,-1,0)+1,OFFSET(H103,-1,0)))</f>
        <v>0</v>
      </c>
      <c r="I103" s="1" t="n">
        <f aca="true">IF(AND($C103&lt;=4,$C103&lt;&gt;0),0,IF(AND($C103="S",$X103&gt;0),OFFSET(I103,-1,0)+1,OFFSET(I103,-1,0)))</f>
        <v>0</v>
      </c>
      <c r="J103" s="1" t="n">
        <f aca="true">IF(OR($C103="S",$C103=0),0,MATCH(0,OFFSET($D103,1,$C103,ROW($C$205)-ROW($C103)),0))</f>
        <v>102</v>
      </c>
      <c r="K103" s="1" t="n">
        <f aca="true">IF(OR($C103="S",$C103=0),0,MATCH(OFFSET($D103,0,$C103)+IF($C103&lt;&gt;1,1,COUNTIF(QCI!$A$13:$A$15,ORÇAMENTO!E103)),OFFSET($D103,1,$C103,ROW($C$205)-ROW($C103)),0))</f>
        <v>1</v>
      </c>
      <c r="L103" s="199" t="str">
        <f aca="false">IF(OR($X103&gt;0,$C103=1,$C103=2,$C103=3,$C103=4),"F","")</f>
        <v>F</v>
      </c>
      <c r="M103" s="200" t="s">
        <v>732</v>
      </c>
      <c r="N103" s="201" t="str">
        <f aca="false">CHOOSE(1+LOG(1+2*(C103=1)+4*(C103=2)+8*(C103=3)+16*(C103=4)+32*(C103="S"),2),"","Meta","Nível 2","Nível 3","Nível 4","Serviço")</f>
        <v>Nível 2</v>
      </c>
      <c r="O103" s="202" t="str">
        <f aca="false">IF(OR($C103=0,$L103=""),"-",CONCATENATE(E103&amp;".",IF(AND($A$5&gt;=2,$C103&gt;=2),F103&amp;".",""),IF(AND($A$5&gt;=3,$C103&gt;=3),G103&amp;".",""),IF(AND($A$5&gt;=4,$C103&gt;=4),H103&amp;".",""),IF($C103="S",I103&amp;".","")))</f>
        <v>1.28.</v>
      </c>
      <c r="P103" s="203" t="s">
        <v>780</v>
      </c>
      <c r="Q103" s="204" t="n">
        <v>102203</v>
      </c>
      <c r="R103" s="205" t="str">
        <f aca="false">[4]PO!$B$107</f>
        <v>MADEIRA</v>
      </c>
      <c r="S103" s="206" t="s">
        <v>650</v>
      </c>
      <c r="T103" s="207" t="n">
        <f aca="true">OFFSET(CÁLCULO!H$15,ROW($T103)-ROW(T$15),0)</f>
        <v>0</v>
      </c>
      <c r="U103" s="208" t="n">
        <v>10.72</v>
      </c>
      <c r="V103" s="209" t="s">
        <v>690</v>
      </c>
      <c r="W103" s="207" t="n">
        <f aca="false">IF($C103="S",ROUND(IF(TIPOORCAMENTO="Proposto",ORÇAMENTO.CustoUnitario*(1+$AH103),ORÇAMENTO.PrecoUnitarioLicitado),15-13*$AF$10),0)</f>
        <v>0</v>
      </c>
      <c r="X103" s="210" t="n">
        <f aca="true" t="array" ref="X103:X103">IF($C103="S",IF(OR(Import.TipoArredondamento&lt;&gt;"TransfereGOV",ACOMPANHAMENTO="BM"),VTOTAL1,SUM(OFFSET(CÁLCULO!$AQ$15,ROW($X103)-ROW($X$15),1):OFFSET(CÁLCULO!$BR$15,ROW($X103)-ROW($X$15),-1))),IF($C103=0,0,ROUND(SomaAgrup,15-13*$AF$11)))</f>
        <v>0</v>
      </c>
      <c r="Y103" s="211" t="s">
        <v>781</v>
      </c>
      <c r="Z103" s="1" t="str">
        <f aca="false">IF(AND($C103="S",$X103&gt;0),IF(ISBLANK($Y103),"RA",LEFT($Y103,2)),"")</f>
        <v/>
      </c>
      <c r="AA103" s="212" t="n">
        <f aca="true">IF($C103="S",IF($Z103="CP",$X103,IF($Z103="RA",(($X103)*QCI!$AA$3),0)),SomaAgrup)</f>
        <v>0</v>
      </c>
      <c r="AB103" s="213" t="n">
        <f aca="true">IF($C103="S",IF($Z103="OU",ROUND($X103,2),0),SomaAgrup)</f>
        <v>0</v>
      </c>
      <c r="AC103" s="214" t="e">
        <f aca="false" t="array" ref="AC103:AC103">IF($N103=""," ",
IF(AND($C103&lt;&gt;"S",OR($R103="",$R103="(digite a descrição aqui)")),"DESCRIÇÃO",
IF(AND($C103="S",OR($Q103&lt;&gt;"",$T103&gt;0,$U103&gt;0),$P103=""),"FONTE",
IF(AND($C103="S",$P103&lt;&gt;"",OR($T103&gt;0,$U103&gt;0),$Q103=""),"CÓDIGO",
IF(AND($C103="S",$P103&lt;&gt;"",$Q103&lt;&gt;"",$R103="(Código não identificado nas referências)"),"CÓDIGO N/ID",
IF(AND($C103="S",OR($R103="",$R103="(digite a descrição aqui)"),OR($Q103&lt;&gt;"",$T103&gt;0,$U103&gt;0)),"DESCRIÇÃO",
IF(AND($C103="S",$P103&lt;&gt;"",$Q103&lt;&gt;"",$S103=""),"UNIDADE",
IF(AND($C103="S",$P103&lt;&gt;"",$Q103&lt;&gt;"",$U103=0),"SEM CUSTO",
IF(AND(_xlfn.single(TIPOORCAMENTO)="Licitado",$AL103=0,$AN103&gt;0),"SEM PREÇO",
IF(AND($C103="S",$P103&lt;&gt;"",$Q103&lt;&gt;"",$U103&gt;0,$V103=0),"BDI",
IF(OR(AND(TIPOORCAMENTO="Proposto",LEFT($O$8,5)&lt;&gt;"(N/D:",$AG103&lt;&gt;"",ORÇAMENTO.CustoUnitario&gt;$AG103),AND(TIPOORCAMENTO="LICITADO",ORÇAMENTO.PrecoUnitarioLicitado&gt;$AN103)),"ACIMA REF.",
IF(AND($C103="S",$P103&lt;&gt;"",$Q103&lt;&gt;"",$T103=0,$U103&gt;0),"QUANT.",
IF(AND(Import.TipoArredondamento="TransfereGOV",$L103="F",$C103="S",LEN($Q103)&gt;13),"Código &gt;13",
IF(AND(Import.TipoArredondamento="TransfereGOV",$L103="F",$C103&lt;&gt;"S",LEN($R103)&gt;100),"Descrição &gt;100",
IF(AND(Import.TipoArredondamento="TransfereGOV",$L103="F",$C103="S",LEN($R103)&gt;500),"Descrição &gt;500",
IF(AND(Import.TipoArredondamento="TransfereGOV",$L103="F",$C103="S",LEFT(TRIM(UPPER($P103)),6)&lt;&gt;"SINAPI",ISNA(VLOOKUP(TRIM(UPPER($S103)),ListaTgov.Unidades,1,FALSE()))),"Unid. Não Disp",
" "))))))))))))))))</f>
        <v>#NAME?</v>
      </c>
      <c r="AD103" s="38" t="n">
        <f aca="true">IF(C103&lt;=CRONO.NivelExibicao,MAX($AD$15:OFFSET(AD103,-1,0))+IF($C103&lt;&gt;1,1,MAX(1,COUNTIF(QCI!$A$13:$A$15,OFFSET($E103,-1,0)))),"")</f>
        <v>29</v>
      </c>
      <c r="AE103" s="50" t="b">
        <f aca="false">IF(AND($C103="S",ORÇAMENTO.CodBarra&lt;&gt;""),IF(ORÇAMENTO.Fonte="",ORÇAMENTO.CodBarra,CONCATENATE(ORÇAMENTO.Fonte," ",ORÇAMENTO.CodBarra)))</f>
        <v>0</v>
      </c>
      <c r="AF103" s="65" t="str">
        <f aca="true">IF(ISERROR(INDIRECT(ORÇAMENTO.BancoRef)),"(abra o arquivo 'Referência "&amp;Excel_BuiltIn_Database&amp;".xlsm)",IF(OR($C103&lt;&gt;"S",ORÇAMENTO.CodBarra=""),"(Sem Código)",IF(ISERROR(MATCH($AE103,INDIRECT(ORÇAMENTO.BancoRef),0)),"(Código não identificado nas referências)",MATCH($AE103,INDIRECT(ORÇAMENTO.BancoRef),0))))</f>
        <v>(abra o arquivo 'Referência 07-2025.xlsm)</v>
      </c>
      <c r="AG103" s="215" t="n">
        <f aca="true">ROUND(IF(DESONERACAO="sim",REFERENCIA.Desonerado,REFERENCIA.NaoDesonerado),2)</f>
        <v>0</v>
      </c>
      <c r="AH103" s="216" t="n">
        <f aca="false">ROUND(IF(ISNUMBER(ORÇAMENTO.OpcaoBDI),ORÇAMENTO.OpcaoBDI,IF(LEFT(ORÇAMENTO.OpcaoBDI,3)="BDI",HLOOKUP(ORÇAMENTO.OpcaoBDI,$F$4:$H$5,2,FALSE()),0)),15-11*$AF$9)</f>
        <v>0.2904</v>
      </c>
      <c r="AJ103" s="217"/>
      <c r="AL103" s="218"/>
      <c r="AM103" s="219" t="n">
        <f aca="false">$X103</f>
        <v>0</v>
      </c>
      <c r="AN103" s="220" t="n">
        <f aca="false">ROUND(ORÇAMENTO.CustoUnitario*(1+$AH103),2)</f>
        <v>13.83</v>
      </c>
    </row>
    <row r="104" customFormat="false" ht="12.75" hidden="false" customHeight="false" outlineLevel="0" collapsed="false">
      <c r="A104" s="1" t="n">
        <f aca="false">CHOOSE(1+LOG(1+2*(ORÇAMENTO.Nivel="Meta")+4*(ORÇAMENTO.Nivel="Nível 2")+8*(ORÇAMENTO.Nivel="Nível 3")+16*(ORÇAMENTO.Nivel="Nível 4")+32*(ORÇAMENTO.Nivel="Serviço"),2),0,1,2,3,4,"S")</f>
        <v>2</v>
      </c>
      <c r="B104" s="1" t="n">
        <f aca="true">IF(OR(C104="s",C104=0),OFFSET(B104,-1,0),C104)</f>
        <v>2</v>
      </c>
      <c r="C104" s="1" t="n">
        <f aca="true">IF(OFFSET(C104,-1,0)="L",1,IF(OFFSET(C104,-1,0)=1,2,IF(OR(A104="s",A104=0),"S",IF(AND(OFFSET(C104,-1,0)=2,A104=4),3,IF(AND(OR(OFFSET(C104,-1,0)="s",OFFSET(C104,-1,0)=0),A104&lt;&gt;"s",A104&gt;OFFSET(B104,-1,0)),OFFSET(B104,-1,0),A104)))))</f>
        <v>2</v>
      </c>
      <c r="D104" s="1" t="n">
        <f aca="false">IF(OR(C104="S",C104=0),0,IF(ISERROR(K104),J104,SMALL(J104:K104,1)))</f>
        <v>6</v>
      </c>
      <c r="E104" s="1" t="n">
        <f aca="true">IF($C104=1,OFFSET(E104,-1,0)+MAX(1,COUNTIF(QCI!$A$13:$A$15,OFFSET(ORÇAMENTO!E104,-1,0))),OFFSET(E104,-1,0))</f>
        <v>1</v>
      </c>
      <c r="F104" s="1" t="n">
        <f aca="true">IF($C104=1,0,IF($C104=2,OFFSET(F104,-1,0)+1,OFFSET(F104,-1,0)))</f>
        <v>29</v>
      </c>
      <c r="G104" s="1" t="n">
        <f aca="true">IF(AND($C104&lt;=2,$C104&lt;&gt;0),0,IF($C104=3,OFFSET(G104,-1,0)+1,OFFSET(G104,-1,0)))</f>
        <v>0</v>
      </c>
      <c r="H104" s="1" t="n">
        <f aca="true">IF(AND($C104&lt;=3,$C104&lt;&gt;0),0,IF($C104=4,OFFSET(H104,-1,0)+1,OFFSET(H104,-1,0)))</f>
        <v>0</v>
      </c>
      <c r="I104" s="1" t="n">
        <f aca="true">IF(AND($C104&lt;=4,$C104&lt;&gt;0),0,IF(AND($C104="S",$X104&gt;0),OFFSET(I104,-1,0)+1,OFFSET(I104,-1,0)))</f>
        <v>0</v>
      </c>
      <c r="J104" s="1" t="n">
        <f aca="true">IF(OR($C104="S",$C104=0),0,MATCH(0,OFFSET($D104,1,$C104,ROW($C$205)-ROW($C104)),0))</f>
        <v>101</v>
      </c>
      <c r="K104" s="1" t="n">
        <f aca="true">IF(OR($C104="S",$C104=0),0,MATCH(OFFSET($D104,0,$C104)+IF($C104&lt;&gt;1,1,COUNTIF(QCI!$A$13:$A$15,ORÇAMENTO!E104)),OFFSET($D104,1,$C104,ROW($C$205)-ROW($C104)),0))</f>
        <v>6</v>
      </c>
      <c r="L104" s="199" t="str">
        <f aca="false">IF(OR($X104&gt;0,$C104=1,$C104=2,$C104=3,$C104=4),"F","")</f>
        <v>F</v>
      </c>
      <c r="M104" s="200" t="s">
        <v>732</v>
      </c>
      <c r="N104" s="201" t="str">
        <f aca="false">CHOOSE(1+LOG(1+2*(C104=1)+4*(C104=2)+8*(C104=3)+16*(C104=4)+32*(C104="S"),2),"","Meta","Nível 2","Nível 3","Nível 4","Serviço")</f>
        <v>Nível 2</v>
      </c>
      <c r="O104" s="202" t="str">
        <f aca="false">IF(OR($C104=0,$L104=""),"-",CONCATENATE(E104&amp;".",IF(AND($A$5&gt;=2,$C104&gt;=2),F104&amp;".",""),IF(AND($A$5&gt;=3,$C104&gt;=3),G104&amp;".",""),IF(AND($A$5&gt;=4,$C104&gt;=4),H104&amp;".",""),IF($C104="S",I104&amp;".","")))</f>
        <v>1.29.</v>
      </c>
      <c r="P104" s="203" t="s">
        <v>780</v>
      </c>
      <c r="Q104" s="204" t="s">
        <v>844</v>
      </c>
      <c r="R104" s="205" t="str">
        <f aca="false">[4]PO!$B$108</f>
        <v>CERÂMICA</v>
      </c>
      <c r="S104" s="206" t="s">
        <v>650</v>
      </c>
      <c r="T104" s="207" t="n">
        <f aca="true">OFFSET(CÁLCULO!H$15,ROW($T104)-ROW(T$15),0)</f>
        <v>0</v>
      </c>
      <c r="U104" s="208" t="n">
        <v>875.52</v>
      </c>
      <c r="V104" s="209" t="s">
        <v>690</v>
      </c>
      <c r="W104" s="207" t="n">
        <f aca="false">IF($C104="S",ROUND(IF(TIPOORCAMENTO="Proposto",ORÇAMENTO.CustoUnitario*(1+$AH104),ORÇAMENTO.PrecoUnitarioLicitado),15-13*$AF$10),0)</f>
        <v>0</v>
      </c>
      <c r="X104" s="210" t="n">
        <f aca="true" t="array" ref="X104:X104">IF($C104="S",IF(OR(Import.TipoArredondamento&lt;&gt;"TransfereGOV",ACOMPANHAMENTO="BM"),VTOTAL1,SUM(OFFSET(CÁLCULO!$AQ$15,ROW($X104)-ROW($X$15),1):OFFSET(CÁLCULO!$BR$15,ROW($X104)-ROW($X$15),-1))),IF($C104=0,0,ROUND(SomaAgrup,15-13*$AF$11)))</f>
        <v>227675.5</v>
      </c>
      <c r="Y104" s="211" t="s">
        <v>781</v>
      </c>
      <c r="Z104" s="1" t="str">
        <f aca="false">IF(AND($C104="S",$X104&gt;0),IF(ISBLANK($Y104),"RA",LEFT($Y104,2)),"")</f>
        <v/>
      </c>
      <c r="AA104" s="212" t="n">
        <f aca="true">IF($C104="S",IF($Z104="CP",$X104,IF($Z104="RA",(($X104)*QCI!$AA$3),0)),SomaAgrup)</f>
        <v>25267.7745509194</v>
      </c>
      <c r="AB104" s="213" t="n">
        <f aca="true">IF($C104="S",IF($Z104="OU",ROUND($X104,2),0),SomaAgrup)</f>
        <v>0</v>
      </c>
      <c r="AC104" s="214" t="e">
        <f aca="false" t="array" ref="AC104:AC104">IF($N104=""," ",
IF(AND($C104&lt;&gt;"S",OR($R104="",$R104="(digite a descrição aqui)")),"DESCRIÇÃO",
IF(AND($C104="S",OR($Q104&lt;&gt;"",$T104&gt;0,$U104&gt;0),$P104=""),"FONTE",
IF(AND($C104="S",$P104&lt;&gt;"",OR($T104&gt;0,$U104&gt;0),$Q104=""),"CÓDIGO",
IF(AND($C104="S",$P104&lt;&gt;"",$Q104&lt;&gt;"",$R104="(Código não identificado nas referências)"),"CÓDIGO N/ID",
IF(AND($C104="S",OR($R104="",$R104="(digite a descrição aqui)"),OR($Q104&lt;&gt;"",$T104&gt;0,$U104&gt;0)),"DESCRIÇÃO",
IF(AND($C104="S",$P104&lt;&gt;"",$Q104&lt;&gt;"",$S104=""),"UNIDADE",
IF(AND($C104="S",$P104&lt;&gt;"",$Q104&lt;&gt;"",$U104=0),"SEM CUSTO",
IF(AND(_xlfn.single(TIPOORCAMENTO)="Licitado",$AL104=0,$AN104&gt;0),"SEM PREÇO",
IF(AND($C104="S",$P104&lt;&gt;"",$Q104&lt;&gt;"",$U104&gt;0,$V104=0),"BDI",
IF(OR(AND(TIPOORCAMENTO="Proposto",LEFT($O$8,5)&lt;&gt;"(N/D:",$AG104&lt;&gt;"",ORÇAMENTO.CustoUnitario&gt;$AG104),AND(TIPOORCAMENTO="LICITADO",ORÇAMENTO.PrecoUnitarioLicitado&gt;$AN104)),"ACIMA REF.",
IF(AND($C104="S",$P104&lt;&gt;"",$Q104&lt;&gt;"",$T104=0,$U104&gt;0),"QUANT.",
IF(AND(Import.TipoArredondamento="TransfereGOV",$L104="F",$C104="S",LEN($Q104)&gt;13),"Código &gt;13",
IF(AND(Import.TipoArredondamento="TransfereGOV",$L104="F",$C104&lt;&gt;"S",LEN($R104)&gt;100),"Descrição &gt;100",
IF(AND(Import.TipoArredondamento="TransfereGOV",$L104="F",$C104="S",LEN($R104)&gt;500),"Descrição &gt;500",
IF(AND(Import.TipoArredondamento="TransfereGOV",$L104="F",$C104="S",LEFT(TRIM(UPPER($P104)),6)&lt;&gt;"SINAPI",ISNA(VLOOKUP(TRIM(UPPER($S104)),ListaTgov.Unidades,1,FALSE()))),"Unid. Não Disp",
" "))))))))))))))))</f>
        <v>#NAME?</v>
      </c>
      <c r="AD104" s="38" t="n">
        <f aca="true">IF(C104&lt;=CRONO.NivelExibicao,MAX($AD$15:OFFSET(AD104,-1,0))+IF($C104&lt;&gt;1,1,MAX(1,COUNTIF(QCI!$A$13:$A$15,OFFSET($E104,-1,0)))),"")</f>
        <v>30</v>
      </c>
      <c r="AE104" s="50" t="b">
        <f aca="false">IF(AND($C104="S",ORÇAMENTO.CodBarra&lt;&gt;""),IF(ORÇAMENTO.Fonte="",ORÇAMENTO.CodBarra,CONCATENATE(ORÇAMENTO.Fonte," ",ORÇAMENTO.CodBarra)))</f>
        <v>0</v>
      </c>
      <c r="AF104" s="65" t="str">
        <f aca="true">IF(ISERROR(INDIRECT(ORÇAMENTO.BancoRef)),"(abra o arquivo 'Referência "&amp;Excel_BuiltIn_Database&amp;".xlsm)",IF(OR($C104&lt;&gt;"S",ORÇAMENTO.CodBarra=""),"(Sem Código)",IF(ISERROR(MATCH($AE104,INDIRECT(ORÇAMENTO.BancoRef),0)),"(Código não identificado nas referências)",MATCH($AE104,INDIRECT(ORÇAMENTO.BancoRef),0))))</f>
        <v>(abra o arquivo 'Referência 07-2025.xlsm)</v>
      </c>
      <c r="AG104" s="215" t="n">
        <f aca="true">ROUND(IF(DESONERACAO="sim",REFERENCIA.Desonerado,REFERENCIA.NaoDesonerado),2)</f>
        <v>0</v>
      </c>
      <c r="AH104" s="216" t="n">
        <f aca="false">ROUND(IF(ISNUMBER(ORÇAMENTO.OpcaoBDI),ORÇAMENTO.OpcaoBDI,IF(LEFT(ORÇAMENTO.OpcaoBDI,3)="BDI",HLOOKUP(ORÇAMENTO.OpcaoBDI,$F$4:$H$5,2,FALSE()),0)),15-11*$AF$9)</f>
        <v>0.2904</v>
      </c>
      <c r="AJ104" s="217"/>
      <c r="AL104" s="218"/>
      <c r="AM104" s="219" t="n">
        <f aca="false">$X104</f>
        <v>227675.5</v>
      </c>
      <c r="AN104" s="220" t="n">
        <f aca="false">ROUND(ORÇAMENTO.CustoUnitario*(1+$AH104),2)</f>
        <v>1129.77</v>
      </c>
    </row>
    <row r="105" customFormat="false" ht="35.05" hidden="false" customHeight="false" outlineLevel="0" collapsed="false">
      <c r="A105" s="1" t="str">
        <f aca="false">CHOOSE(1+LOG(1+2*(ORÇAMENTO.Nivel="Meta")+4*(ORÇAMENTO.Nivel="Nível 2")+8*(ORÇAMENTO.Nivel="Nível 3")+16*(ORÇAMENTO.Nivel="Nível 4")+32*(ORÇAMENTO.Nivel="Serviço"),2),0,1,2,3,4,"S")</f>
        <v>S</v>
      </c>
      <c r="B105" s="1" t="n">
        <f aca="true">IF(OR(C105="s",C105=0),OFFSET(B105,-1,0),C105)</f>
        <v>2</v>
      </c>
      <c r="C105" s="1" t="str">
        <f aca="true">IF(OFFSET(C105,-1,0)="L",1,IF(OFFSET(C105,-1,0)=1,2,IF(OR(A105="s",A105=0),"S",IF(AND(OFFSET(C105,-1,0)=2,A105=4),3,IF(AND(OR(OFFSET(C105,-1,0)="s",OFFSET(C105,-1,0)=0),A105&lt;&gt;"s",A105&gt;OFFSET(B105,-1,0)),OFFSET(B105,-1,0),A105)))))</f>
        <v>S</v>
      </c>
      <c r="D105" s="1" t="n">
        <f aca="false">IF(OR(C105="S",C105=0),0,IF(ISERROR(K105),J105,SMALL(J105:K105,1)))</f>
        <v>0</v>
      </c>
      <c r="E105" s="1" t="n">
        <f aca="true">IF($C105=1,OFFSET(E105,-1,0)+MAX(1,COUNTIF(QCI!$A$13:$A$15,OFFSET(ORÇAMENTO!E105,-1,0))),OFFSET(E105,-1,0))</f>
        <v>1</v>
      </c>
      <c r="F105" s="1" t="n">
        <f aca="true">IF($C105=1,0,IF($C105=2,OFFSET(F105,-1,0)+1,OFFSET(F105,-1,0)))</f>
        <v>29</v>
      </c>
      <c r="G105" s="1" t="n">
        <f aca="true">IF(AND($C105&lt;=2,$C105&lt;&gt;0),0,IF($C105=3,OFFSET(G105,-1,0)+1,OFFSET(G105,-1,0)))</f>
        <v>0</v>
      </c>
      <c r="H105" s="1" t="n">
        <f aca="true">IF(AND($C105&lt;=3,$C105&lt;&gt;0),0,IF($C105=4,OFFSET(H105,-1,0)+1,OFFSET(H105,-1,0)))</f>
        <v>0</v>
      </c>
      <c r="I105" s="1" t="n">
        <f aca="true">IF(AND($C105&lt;=4,$C105&lt;&gt;0),0,IF(AND($C105="S",$X105&gt;0),OFFSET(I105,-1,0)+1,OFFSET(I105,-1,0)))</f>
        <v>1</v>
      </c>
      <c r="J105" s="1" t="n">
        <f aca="true">IF(OR($C105="S",$C105=0),0,MATCH(0,OFFSET($D105,1,$C105,ROW($C$205)-ROW($C105)),0))</f>
        <v>0</v>
      </c>
      <c r="K105" s="1" t="n">
        <f aca="true">IF(OR($C105="S",$C105=0),0,MATCH(OFFSET($D105,0,$C105)+IF($C105&lt;&gt;1,1,COUNTIF(QCI!$A$13:$A$15,ORÇAMENTO!E105)),OFFSET($D105,1,$C105,ROW($C$205)-ROW($C105)),0))</f>
        <v>0</v>
      </c>
      <c r="L105" s="199" t="str">
        <f aca="false">IF(OR($X105&gt;0,$C105=1,$C105=2,$C105=3,$C105=4),"F","")</f>
        <v>F</v>
      </c>
      <c r="M105" s="200" t="s">
        <v>735</v>
      </c>
      <c r="N105" s="201" t="str">
        <f aca="false">CHOOSE(1+LOG(1+2*(C105=1)+4*(C105=2)+8*(C105=3)+16*(C105=4)+32*(C105="S"),2),"","Meta","Nível 2","Nível 3","Nível 4","Serviço")</f>
        <v>Serviço</v>
      </c>
      <c r="O105" s="202" t="str">
        <f aca="false">IF(OR($C105=0,$L105=""),"-",CONCATENATE(E105&amp;".",IF(AND($A$5&gt;=2,$C105&gt;=2),F105&amp;".",""),IF(AND($A$5&gt;=3,$C105&gt;=3),G105&amp;".",""),IF(AND($A$5&gt;=4,$C105&gt;=4),H105&amp;".",""),IF($C105="S",I105&amp;".","")))</f>
        <v>1.29.1.</v>
      </c>
      <c r="P105" s="203" t="s">
        <v>780</v>
      </c>
      <c r="Q105" s="204" t="n">
        <v>97084</v>
      </c>
      <c r="R105" s="205" t="str">
        <f aca="false">[4]PO!$D$109</f>
        <v>COMPACTAÇÃO MECÂNICA DE SOLO PARA EXECUÇÃO DE RADIER, PISO DE CONCRETO OU LAJE SOBRE SOLO, COM COMPACTADOR DE SOLOS TIPO PLACA VIBRATÓRIA. AF_09/2021</v>
      </c>
      <c r="S105" s="206" t="s">
        <v>650</v>
      </c>
      <c r="T105" s="207" t="n">
        <f aca="true">OFFSET(CÁLCULO!H$15,ROW($T105)-ROW(T$15),0)</f>
        <v>1187.25</v>
      </c>
      <c r="U105" s="208" t="n">
        <f aca="false">[2]PO!$G$120</f>
        <v>0.68</v>
      </c>
      <c r="V105" s="209" t="s">
        <v>690</v>
      </c>
      <c r="W105" s="207" t="n">
        <f aca="false">IF($C105="S",ROUND(IF(TIPOORCAMENTO="Proposto",ORÇAMENTO.CustoUnitario*(1+$AH105),ORÇAMENTO.PrecoUnitarioLicitado),15-13*$AF$10),0)</f>
        <v>0.88</v>
      </c>
      <c r="X105" s="210" t="n">
        <f aca="true" t="array" ref="X105:X105">IF($C105="S",IF(OR(Import.TipoArredondamento&lt;&gt;"TransfereGOV",ACOMPANHAMENTO="BM"),VTOTAL1,SUM(OFFSET(CÁLCULO!$AQ$15,ROW($X105)-ROW($X$15),1):OFFSET(CÁLCULO!$BR$15,ROW($X105)-ROW($X$15),-1))),IF($C105=0,0,ROUND(SomaAgrup,15-13*$AF$11)))</f>
        <v>1044.75</v>
      </c>
      <c r="Y105" s="211" t="s">
        <v>781</v>
      </c>
      <c r="Z105" s="1" t="str">
        <f aca="false">IF(AND($C105="S",$X105&gt;0),IF(ISBLANK($Y105),"RA",LEFT($Y105,2)),"")</f>
        <v>RA</v>
      </c>
      <c r="AA105" s="212" t="n">
        <f aca="true">IF($C105="S",IF($Z105="CP",$X105,IF($Z105="RA",(($X105)*QCI!$AA$3),0)),SomaAgrup)</f>
        <v>115.947949876351</v>
      </c>
      <c r="AB105" s="213" t="n">
        <f aca="true">IF($C105="S",IF($Z105="OU",ROUND($X105,2),0),SomaAgrup)</f>
        <v>0</v>
      </c>
      <c r="AC105" s="214" t="e">
        <f aca="false" t="array" ref="AC105:AC105">IF($N105=""," ",
IF(AND($C105&lt;&gt;"S",OR($R105="",$R105="(digite a descrição aqui)")),"DESCRIÇÃO",
IF(AND($C105="S",OR($Q105&lt;&gt;"",$T105&gt;0,$U105&gt;0),$P105=""),"FONTE",
IF(AND($C105="S",$P105&lt;&gt;"",OR($T105&gt;0,$U105&gt;0),$Q105=""),"CÓDIGO",
IF(AND($C105="S",$P105&lt;&gt;"",$Q105&lt;&gt;"",$R105="(Código não identificado nas referências)"),"CÓDIGO N/ID",
IF(AND($C105="S",OR($R105="",$R105="(digite a descrição aqui)"),OR($Q105&lt;&gt;"",$T105&gt;0,$U105&gt;0)),"DESCRIÇÃO",
IF(AND($C105="S",$P105&lt;&gt;"",$Q105&lt;&gt;"",$S105=""),"UNIDADE",
IF(AND($C105="S",$P105&lt;&gt;"",$Q105&lt;&gt;"",$U105=0),"SEM CUSTO",
IF(AND(_xlfn.single(TIPOORCAMENTO)="Licitado",$AL105=0,$AN105&gt;0),"SEM PREÇO",
IF(AND($C105="S",$P105&lt;&gt;"",$Q105&lt;&gt;"",$U105&gt;0,$V105=0),"BDI",
IF(OR(AND(TIPOORCAMENTO="Proposto",LEFT($O$8,5)&lt;&gt;"(N/D:",$AG105&lt;&gt;"",ORÇAMENTO.CustoUnitario&gt;$AG105),AND(TIPOORCAMENTO="LICITADO",ORÇAMENTO.PrecoUnitarioLicitado&gt;$AN105)),"ACIMA REF.",
IF(AND($C105="S",$P105&lt;&gt;"",$Q105&lt;&gt;"",$T105=0,$U105&gt;0),"QUANT.",
IF(AND(Import.TipoArredondamento="TransfereGOV",$L105="F",$C105="S",LEN($Q105)&gt;13),"Código &gt;13",
IF(AND(Import.TipoArredondamento="TransfereGOV",$L105="F",$C105&lt;&gt;"S",LEN($R105)&gt;100),"Descrição &gt;100",
IF(AND(Import.TipoArredondamento="TransfereGOV",$L105="F",$C105="S",LEN($R105)&gt;500),"Descrição &gt;500",
IF(AND(Import.TipoArredondamento="TransfereGOV",$L105="F",$C105="S",LEFT(TRIM(UPPER($P105)),6)&lt;&gt;"SINAPI",ISNA(VLOOKUP(TRIM(UPPER($S105)),ListaTgov.Unidades,1,FALSE()))),"Unid. Não Disp",
" "))))))))))))))))</f>
        <v>#NAME?</v>
      </c>
      <c r="AD105" s="1" t="str">
        <f aca="true">IF(C105&lt;=CRONO.NivelExibicao,MAX($AD$15:OFFSET(AD105,-1,0))+IF($C105&lt;&gt;1,1,MAX(1,COUNTIF(QCI!$A$13:$A$15,OFFSET($E105,-1,0)))),"")</f>
        <v/>
      </c>
      <c r="AE105" s="50" t="str">
        <f aca="false">IF(AND($C105="S",ORÇAMENTO.CodBarra&lt;&gt;""),IF(ORÇAMENTO.Fonte="",ORÇAMENTO.CodBarra,CONCATENATE(ORÇAMENTO.Fonte," ",ORÇAMENTO.CodBarra)))</f>
        <v>SINAPI 97084</v>
      </c>
      <c r="AF105" s="65" t="str">
        <f aca="true">IF(ISERROR(INDIRECT(ORÇAMENTO.BancoRef)),"(abra o arquivo 'Referência "&amp;Excel_BuiltIn_Database&amp;".xlsm)",IF(OR($C105&lt;&gt;"S",ORÇAMENTO.CodBarra=""),"(Sem Código)",IF(ISERROR(MATCH($AE105,INDIRECT(ORÇAMENTO.BancoRef),0)),"(Código não identificado nas referências)",MATCH($AE105,INDIRECT(ORÇAMENTO.BancoRef),0))))</f>
        <v>(abra o arquivo 'Referência 07-2025.xlsm)</v>
      </c>
      <c r="AG105" s="215" t="n">
        <f aca="true">ROUND(IF(DESONERACAO="sim",REFERENCIA.Desonerado,REFERENCIA.NaoDesonerado),2)</f>
        <v>0</v>
      </c>
      <c r="AH105" s="216" t="n">
        <f aca="false">ROUND(IF(ISNUMBER(ORÇAMENTO.OpcaoBDI),ORÇAMENTO.OpcaoBDI,IF(LEFT(ORÇAMENTO.OpcaoBDI,3)="BDI",HLOOKUP(ORÇAMENTO.OpcaoBDI,$F$4:$H$5,2,FALSE()),0)),15-11*$AF$9)</f>
        <v>0.2904</v>
      </c>
      <c r="AJ105" s="217"/>
      <c r="AL105" s="218"/>
      <c r="AM105" s="219" t="n">
        <f aca="false">$X105</f>
        <v>1044.75</v>
      </c>
      <c r="AN105" s="220" t="n">
        <f aca="false">ROUND(ORÇAMENTO.CustoUnitario*(1+$AH105),2)</f>
        <v>0.88</v>
      </c>
    </row>
    <row r="106" customFormat="false" ht="23.85" hidden="false" customHeight="false" outlineLevel="0" collapsed="false">
      <c r="A106" s="1" t="str">
        <f aca="false">CHOOSE(1+LOG(1+2*(ORÇAMENTO.Nivel="Meta")+4*(ORÇAMENTO.Nivel="Nível 2")+8*(ORÇAMENTO.Nivel="Nível 3")+16*(ORÇAMENTO.Nivel="Nível 4")+32*(ORÇAMENTO.Nivel="Serviço"),2),0,1,2,3,4,"S")</f>
        <v>S</v>
      </c>
      <c r="B106" s="1" t="n">
        <f aca="true">IF(OR(C106="s",C106=0),OFFSET(B106,-1,0),C106)</f>
        <v>2</v>
      </c>
      <c r="C106" s="1" t="str">
        <f aca="true">IF(OFFSET(C106,-1,0)="L",1,IF(OFFSET(C106,-1,0)=1,2,IF(OR(A106="s",A106=0),"S",IF(AND(OFFSET(C106,-1,0)=2,A106=4),3,IF(AND(OR(OFFSET(C106,-1,0)="s",OFFSET(C106,-1,0)=0),A106&lt;&gt;"s",A106&gt;OFFSET(B106,-1,0)),OFFSET(B106,-1,0),A106)))))</f>
        <v>S</v>
      </c>
      <c r="D106" s="1" t="n">
        <f aca="false">IF(OR(C106="S",C106=0),0,IF(ISERROR(K106),J106,SMALL(J106:K106,1)))</f>
        <v>0</v>
      </c>
      <c r="E106" s="1" t="n">
        <f aca="true">IF($C106=1,OFFSET(E106,-1,0)+MAX(1,COUNTIF(QCI!$A$13:$A$15,OFFSET(ORÇAMENTO!E106,-1,0))),OFFSET(E106,-1,0))</f>
        <v>1</v>
      </c>
      <c r="F106" s="1" t="n">
        <f aca="true">IF($C106=1,0,IF($C106=2,OFFSET(F106,-1,0)+1,OFFSET(F106,-1,0)))</f>
        <v>29</v>
      </c>
      <c r="G106" s="1" t="n">
        <f aca="true">IF(AND($C106&lt;=2,$C106&lt;&gt;0),0,IF($C106=3,OFFSET(G106,-1,0)+1,OFFSET(G106,-1,0)))</f>
        <v>0</v>
      </c>
      <c r="H106" s="1" t="n">
        <f aca="true">IF(AND($C106&lt;=3,$C106&lt;&gt;0),0,IF($C106=4,OFFSET(H106,-1,0)+1,OFFSET(H106,-1,0)))</f>
        <v>0</v>
      </c>
      <c r="I106" s="1" t="n">
        <f aca="true">IF(AND($C106&lt;=4,$C106&lt;&gt;0),0,IF(AND($C106="S",$X106&gt;0),OFFSET(I106,-1,0)+1,OFFSET(I106,-1,0)))</f>
        <v>2</v>
      </c>
      <c r="J106" s="1" t="n">
        <f aca="true">IF(OR($C106="S",$C106=0),0,MATCH(0,OFFSET($D106,1,$C106,ROW($C$205)-ROW($C106)),0))</f>
        <v>0</v>
      </c>
      <c r="K106" s="1" t="n">
        <f aca="true">IF(OR($C106="S",$C106=0),0,MATCH(OFFSET($D106,0,$C106)+IF($C106&lt;&gt;1,1,COUNTIF(QCI!$A$13:$A$15,ORÇAMENTO!E106)),OFFSET($D106,1,$C106,ROW($C$205)-ROW($C106)),0))</f>
        <v>0</v>
      </c>
      <c r="L106" s="199" t="str">
        <f aca="false">IF(OR($X106&gt;0,$C106=1,$C106=2,$C106=3,$C106=4),"F","")</f>
        <v>F</v>
      </c>
      <c r="M106" s="200" t="s">
        <v>735</v>
      </c>
      <c r="N106" s="201" t="str">
        <f aca="false">CHOOSE(1+LOG(1+2*(C106=1)+4*(C106=2)+8*(C106=3)+16*(C106=4)+32*(C106="S"),2),"","Meta","Nível 2","Nível 3","Nível 4","Serviço")</f>
        <v>Serviço</v>
      </c>
      <c r="O106" s="202" t="str">
        <f aca="false">IF(OR($C106=0,$L106=""),"-",CONCATENATE(E106&amp;".",IF(AND($A$5&gt;=2,$C106&gt;=2),F106&amp;".",""),IF(AND($A$5&gt;=3,$C106&gt;=3),G106&amp;".",""),IF(AND($A$5&gt;=4,$C106&gt;=4),H106&amp;".",""),IF($C106="S",I106&amp;".","")))</f>
        <v>1.29.2.</v>
      </c>
      <c r="P106" s="203" t="s">
        <v>780</v>
      </c>
      <c r="Q106" s="204" t="n">
        <v>95241</v>
      </c>
      <c r="R106" s="205" t="str">
        <f aca="false">[4]PO!$D$112</f>
        <v>LASTRO DE CONCRETO MAGRO, APLICADO EM PISOS, LAJES SOBRE SOLO OU RADIERS, ESPESSURA DE 5 CM. AF_01/2024</v>
      </c>
      <c r="S106" s="206" t="s">
        <v>650</v>
      </c>
      <c r="T106" s="207" t="n">
        <f aca="true">OFFSET(CÁLCULO!H$15,ROW($T106)-ROW(T$15),0)</f>
        <v>1187.25</v>
      </c>
      <c r="U106" s="208" t="n">
        <v>40.67</v>
      </c>
      <c r="V106" s="209" t="s">
        <v>690</v>
      </c>
      <c r="W106" s="207" t="n">
        <f aca="false">IF($C106="S",ROUND(IF(TIPOORCAMENTO="Proposto",ORÇAMENTO.CustoUnitario*(1+$AH106),ORÇAMENTO.PrecoUnitarioLicitado),15-13*$AF$10),0)</f>
        <v>52.48</v>
      </c>
      <c r="X106" s="210" t="n">
        <f aca="true" t="array" ref="X106:X106">IF($C106="S",IF(OR(Import.TipoArredondamento&lt;&gt;"TransfereGOV",ACOMPANHAMENTO="BM"),VTOTAL1,SUM(OFFSET(CÁLCULO!$AQ$15,ROW($X106)-ROW($X$15),1):OFFSET(CÁLCULO!$BR$15,ROW($X106)-ROW($X$15),-1))),IF($C106=0,0,ROUND(SomaAgrup,15-13*$AF$11)))</f>
        <v>62307</v>
      </c>
      <c r="Y106" s="211" t="s">
        <v>781</v>
      </c>
      <c r="Z106" s="1" t="str">
        <f aca="false">IF(AND($C106="S",$X106&gt;0),IF(ISBLANK($Y106),"RA",LEFT($Y106,2)),"")</f>
        <v>RA</v>
      </c>
      <c r="AA106" s="212" t="n">
        <f aca="true">IF($C106="S",IF($Z106="CP",$X106,IF($Z106="RA",(($X106)*QCI!$AA$3),0)),SomaAgrup)</f>
        <v>6914.92597554035</v>
      </c>
      <c r="AB106" s="213" t="n">
        <f aca="true">IF($C106="S",IF($Z106="OU",ROUND($X106,2),0),SomaAgrup)</f>
        <v>0</v>
      </c>
      <c r="AC106" s="214" t="e">
        <f aca="false" t="array" ref="AC106:AC106">IF($N106=""," ",
IF(AND($C106&lt;&gt;"S",OR($R106="",$R106="(digite a descrição aqui)")),"DESCRIÇÃO",
IF(AND($C106="S",OR($Q106&lt;&gt;"",$T106&gt;0,$U106&gt;0),$P106=""),"FONTE",
IF(AND($C106="S",$P106&lt;&gt;"",OR($T106&gt;0,$U106&gt;0),$Q106=""),"CÓDIGO",
IF(AND($C106="S",$P106&lt;&gt;"",$Q106&lt;&gt;"",$R106="(Código não identificado nas referências)"),"CÓDIGO N/ID",
IF(AND($C106="S",OR($R106="",$R106="(digite a descrição aqui)"),OR($Q106&lt;&gt;"",$T106&gt;0,$U106&gt;0)),"DESCRIÇÃO",
IF(AND($C106="S",$P106&lt;&gt;"",$Q106&lt;&gt;"",$S106=""),"UNIDADE",
IF(AND($C106="S",$P106&lt;&gt;"",$Q106&lt;&gt;"",$U106=0),"SEM CUSTO",
IF(AND(_xlfn.single(TIPOORCAMENTO)="Licitado",$AL106=0,$AN106&gt;0),"SEM PREÇO",
IF(AND($C106="S",$P106&lt;&gt;"",$Q106&lt;&gt;"",$U106&gt;0,$V106=0),"BDI",
IF(OR(AND(TIPOORCAMENTO="Proposto",LEFT($O$8,5)&lt;&gt;"(N/D:",$AG106&lt;&gt;"",ORÇAMENTO.CustoUnitario&gt;$AG106),AND(TIPOORCAMENTO="LICITADO",ORÇAMENTO.PrecoUnitarioLicitado&gt;$AN106)),"ACIMA REF.",
IF(AND($C106="S",$P106&lt;&gt;"",$Q106&lt;&gt;"",$T106=0,$U106&gt;0),"QUANT.",
IF(AND(Import.TipoArredondamento="TransfereGOV",$L106="F",$C106="S",LEN($Q106)&gt;13),"Código &gt;13",
IF(AND(Import.TipoArredondamento="TransfereGOV",$L106="F",$C106&lt;&gt;"S",LEN($R106)&gt;100),"Descrição &gt;100",
IF(AND(Import.TipoArredondamento="TransfereGOV",$L106="F",$C106="S",LEN($R106)&gt;500),"Descrição &gt;500",
IF(AND(Import.TipoArredondamento="TransfereGOV",$L106="F",$C106="S",LEFT(TRIM(UPPER($P106)),6)&lt;&gt;"SINAPI",ISNA(VLOOKUP(TRIM(UPPER($S106)),ListaTgov.Unidades,1,FALSE()))),"Unid. Não Disp",
" "))))))))))))))))</f>
        <v>#NAME?</v>
      </c>
      <c r="AD106" s="1" t="str">
        <f aca="true">IF(C106&lt;=CRONO.NivelExibicao,MAX($AD$15:OFFSET(AD106,-1,0))+IF($C106&lt;&gt;1,1,MAX(1,COUNTIF(QCI!$A$13:$A$15,OFFSET($E106,-1,0)))),"")</f>
        <v/>
      </c>
      <c r="AE106" s="50" t="str">
        <f aca="false">IF(AND($C106="S",ORÇAMENTO.CodBarra&lt;&gt;""),IF(ORÇAMENTO.Fonte="",ORÇAMENTO.CodBarra,CONCATENATE(ORÇAMENTO.Fonte," ",ORÇAMENTO.CodBarra)))</f>
        <v>SINAPI 95241</v>
      </c>
      <c r="AF106" s="65" t="str">
        <f aca="true">IF(ISERROR(INDIRECT(ORÇAMENTO.BancoRef)),"(abra o arquivo 'Referência "&amp;Excel_BuiltIn_Database&amp;".xlsm)",IF(OR($C106&lt;&gt;"S",ORÇAMENTO.CodBarra=""),"(Sem Código)",IF(ISERROR(MATCH($AE106,INDIRECT(ORÇAMENTO.BancoRef),0)),"(Código não identificado nas referências)",MATCH($AE106,INDIRECT(ORÇAMENTO.BancoRef),0))))</f>
        <v>(abra o arquivo 'Referência 07-2025.xlsm)</v>
      </c>
      <c r="AG106" s="215" t="n">
        <f aca="true">ROUND(IF(DESONERACAO="sim",REFERENCIA.Desonerado,REFERENCIA.NaoDesonerado),2)</f>
        <v>0</v>
      </c>
      <c r="AH106" s="216" t="n">
        <f aca="false">ROUND(IF(ISNUMBER(ORÇAMENTO.OpcaoBDI),ORÇAMENTO.OpcaoBDI,IF(LEFT(ORÇAMENTO.OpcaoBDI,3)="BDI",HLOOKUP(ORÇAMENTO.OpcaoBDI,$F$4:$H$5,2,FALSE()),0)),15-11*$AF$9)</f>
        <v>0.2904</v>
      </c>
      <c r="AJ106" s="217"/>
      <c r="AL106" s="218"/>
      <c r="AM106" s="219" t="n">
        <f aca="false">$X106</f>
        <v>62307</v>
      </c>
      <c r="AN106" s="220" t="n">
        <f aca="false">ROUND(ORÇAMENTO.CustoUnitario*(1+$AH106),2)</f>
        <v>52.48</v>
      </c>
    </row>
    <row r="107" customFormat="false" ht="46.25" hidden="false" customHeight="false" outlineLevel="0" collapsed="false">
      <c r="A107" s="1" t="str">
        <f aca="false">CHOOSE(1+LOG(1+2*(ORÇAMENTO.Nivel="Meta")+4*(ORÇAMENTO.Nivel="Nível 2")+8*(ORÇAMENTO.Nivel="Nível 3")+16*(ORÇAMENTO.Nivel="Nível 4")+32*(ORÇAMENTO.Nivel="Serviço"),2),0,1,2,3,4,"S")</f>
        <v>S</v>
      </c>
      <c r="B107" s="1" t="n">
        <f aca="true">IF(OR(C107="s",C107=0),OFFSET(B107,-1,0),C107)</f>
        <v>2</v>
      </c>
      <c r="C107" s="1" t="str">
        <f aca="true">IF(OFFSET(C107,-1,0)="L",1,IF(OFFSET(C107,-1,0)=1,2,IF(OR(A107="s",A107=0),"S",IF(AND(OFFSET(C107,-1,0)=2,A107=4),3,IF(AND(OR(OFFSET(C107,-1,0)="s",OFFSET(C107,-1,0)=0),A107&lt;&gt;"s",A107&gt;OFFSET(B107,-1,0)),OFFSET(B107,-1,0),A107)))))</f>
        <v>S</v>
      </c>
      <c r="D107" s="1" t="n">
        <f aca="false">IF(OR(C107="S",C107=0),0,IF(ISERROR(K107),J107,SMALL(J107:K107,1)))</f>
        <v>0</v>
      </c>
      <c r="E107" s="1" t="n">
        <f aca="true">IF($C107=1,OFFSET(E107,-1,0)+MAX(1,COUNTIF(QCI!$A$13:$A$15,OFFSET(ORÇAMENTO!E107,-1,0))),OFFSET(E107,-1,0))</f>
        <v>1</v>
      </c>
      <c r="F107" s="1" t="n">
        <f aca="true">IF($C107=1,0,IF($C107=2,OFFSET(F107,-1,0)+1,OFFSET(F107,-1,0)))</f>
        <v>29</v>
      </c>
      <c r="G107" s="1" t="n">
        <f aca="true">IF(AND($C107&lt;=2,$C107&lt;&gt;0),0,IF($C107=3,OFFSET(G107,-1,0)+1,OFFSET(G107,-1,0)))</f>
        <v>0</v>
      </c>
      <c r="H107" s="1" t="n">
        <f aca="true">IF(AND($C107&lt;=3,$C107&lt;&gt;0),0,IF($C107=4,OFFSET(H107,-1,0)+1,OFFSET(H107,-1,0)))</f>
        <v>0</v>
      </c>
      <c r="I107" s="1" t="n">
        <f aca="true">IF(AND($C107&lt;=4,$C107&lt;&gt;0),0,IF(AND($C107="S",$X107&gt;0),OFFSET(I107,-1,0)+1,OFFSET(I107,-1,0)))</f>
        <v>3</v>
      </c>
      <c r="J107" s="1" t="n">
        <f aca="true">IF(OR($C107="S",$C107=0),0,MATCH(0,OFFSET($D107,1,$C107,ROW($C$205)-ROW($C107)),0))</f>
        <v>0</v>
      </c>
      <c r="K107" s="1" t="n">
        <f aca="true">IF(OR($C107="S",$C107=0),0,MATCH(OFFSET($D107,0,$C107)+IF($C107&lt;&gt;1,1,COUNTIF(QCI!$A$13:$A$15,ORÇAMENTO!E107)),OFFSET($D107,1,$C107,ROW($C$205)-ROW($C107)),0))</f>
        <v>0</v>
      </c>
      <c r="L107" s="199" t="str">
        <f aca="false">IF(OR($X107&gt;0,$C107=1,$C107=2,$C107=3,$C107=4),"F","")</f>
        <v>F</v>
      </c>
      <c r="M107" s="200" t="s">
        <v>735</v>
      </c>
      <c r="N107" s="201" t="str">
        <f aca="false">CHOOSE(1+LOG(1+2*(C107=1)+4*(C107=2)+8*(C107=3)+16*(C107=4)+32*(C107="S"),2),"","Meta","Nível 2","Nível 3","Nível 4","Serviço")</f>
        <v>Serviço</v>
      </c>
      <c r="O107" s="202" t="str">
        <f aca="false">IF(OR($C107=0,$L107=""),"-",CONCATENATE(E107&amp;".",IF(AND($A$5&gt;=2,$C107&gt;=2),F107&amp;".",""),IF(AND($A$5&gt;=3,$C107&gt;=3),G107&amp;".",""),IF(AND($A$5&gt;=4,$C107&gt;=4),H107&amp;".",""),IF($C107="S",I107&amp;".","")))</f>
        <v>1.29.3.</v>
      </c>
      <c r="P107" s="203" t="s">
        <v>780</v>
      </c>
      <c r="Q107" s="204" t="n">
        <v>87745</v>
      </c>
      <c r="R107" s="205" t="str">
        <f aca="false">[4]PO!$D$113</f>
        <v>CONTRAPISO EM ARGAMASSA TRAÇO 1:4 (CIMENTO E AREIA), PREPARO MECÂNICO COM BETONEIRA 400 L, APLICADO EM ÁREAS MOLHADAS SOBRE LAJE, ADERIDO, ACABAMENTO NÃO REFORÇADO, ESPESSURA 3CM. AF_07/2021</v>
      </c>
      <c r="S107" s="206" t="s">
        <v>650</v>
      </c>
      <c r="T107" s="207" t="n">
        <f aca="true">OFFSET(CÁLCULO!H$15,ROW($T107)-ROW(T$15),0)</f>
        <v>342.5</v>
      </c>
      <c r="U107" s="208" t="n">
        <f aca="false">[2]PO!$G$113</f>
        <v>55.24</v>
      </c>
      <c r="V107" s="209" t="s">
        <v>690</v>
      </c>
      <c r="W107" s="207" t="n">
        <f aca="false">IF($C107="S",ROUND(IF(TIPOORCAMENTO="Proposto",ORÇAMENTO.CustoUnitario*(1+$AH107),ORÇAMENTO.PrecoUnitarioLicitado),15-13*$AF$10),0)</f>
        <v>71.28</v>
      </c>
      <c r="X107" s="210" t="n">
        <f aca="true" t="array" ref="X107:X107">IF($C107="S",IF(OR(Import.TipoArredondamento&lt;&gt;"TransfereGOV",ACOMPANHAMENTO="BM"),VTOTAL1,SUM(OFFSET(CÁLCULO!$AQ$15,ROW($X107)-ROW($X$15),1):OFFSET(CÁLCULO!$BR$15,ROW($X107)-ROW($X$15),-1))),IF($C107=0,0,ROUND(SomaAgrup,15-13*$AF$11)))</f>
        <v>24413.5</v>
      </c>
      <c r="Y107" s="211" t="s">
        <v>781</v>
      </c>
      <c r="Z107" s="1" t="str">
        <f aca="false">IF(AND($C107="S",$X107&gt;0),IF(ISBLANK($Y107),"RA",LEFT($Y107,2)),"")</f>
        <v>RA</v>
      </c>
      <c r="AA107" s="212" t="n">
        <f aca="true">IF($C107="S",IF($Z107="CP",$X107,IF($Z107="RA",(($X107)*QCI!$AA$3),0)),SomaAgrup)</f>
        <v>2709.44749873777</v>
      </c>
      <c r="AB107" s="213" t="n">
        <f aca="true">IF($C107="S",IF($Z107="OU",ROUND($X107,2),0),SomaAgrup)</f>
        <v>0</v>
      </c>
      <c r="AC107" s="214" t="e">
        <f aca="false" t="array" ref="AC107:AC107">IF($N107=""," ",
IF(AND($C107&lt;&gt;"S",OR($R107="",$R107="(digite a descrição aqui)")),"DESCRIÇÃO",
IF(AND($C107="S",OR($Q107&lt;&gt;"",$T107&gt;0,$U107&gt;0),$P107=""),"FONTE",
IF(AND($C107="S",$P107&lt;&gt;"",OR($T107&gt;0,$U107&gt;0),$Q107=""),"CÓDIGO",
IF(AND($C107="S",$P107&lt;&gt;"",$Q107&lt;&gt;"",$R107="(Código não identificado nas referências)"),"CÓDIGO N/ID",
IF(AND($C107="S",OR($R107="",$R107="(digite a descrição aqui)"),OR($Q107&lt;&gt;"",$T107&gt;0,$U107&gt;0)),"DESCRIÇÃO",
IF(AND($C107="S",$P107&lt;&gt;"",$Q107&lt;&gt;"",$S107=""),"UNIDADE",
IF(AND($C107="S",$P107&lt;&gt;"",$Q107&lt;&gt;"",$U107=0),"SEM CUSTO",
IF(AND(_xlfn.single(TIPOORCAMENTO)="Licitado",$AL107=0,$AN107&gt;0),"SEM PREÇO",
IF(AND($C107="S",$P107&lt;&gt;"",$Q107&lt;&gt;"",$U107&gt;0,$V107=0),"BDI",
IF(OR(AND(TIPOORCAMENTO="Proposto",LEFT($O$8,5)&lt;&gt;"(N/D:",$AG107&lt;&gt;"",ORÇAMENTO.CustoUnitario&gt;$AG107),AND(TIPOORCAMENTO="LICITADO",ORÇAMENTO.PrecoUnitarioLicitado&gt;$AN107)),"ACIMA REF.",
IF(AND($C107="S",$P107&lt;&gt;"",$Q107&lt;&gt;"",$T107=0,$U107&gt;0),"QUANT.",
IF(AND(Import.TipoArredondamento="TransfereGOV",$L107="F",$C107="S",LEN($Q107)&gt;13),"Código &gt;13",
IF(AND(Import.TipoArredondamento="TransfereGOV",$L107="F",$C107&lt;&gt;"S",LEN($R107)&gt;100),"Descrição &gt;100",
IF(AND(Import.TipoArredondamento="TransfereGOV",$L107="F",$C107="S",LEN($R107)&gt;500),"Descrição &gt;500",
IF(AND(Import.TipoArredondamento="TransfereGOV",$L107="F",$C107="S",LEFT(TRIM(UPPER($P107)),6)&lt;&gt;"SINAPI",ISNA(VLOOKUP(TRIM(UPPER($S107)),ListaTgov.Unidades,1,FALSE()))),"Unid. Não Disp",
" "))))))))))))))))</f>
        <v>#NAME?</v>
      </c>
      <c r="AD107" s="1" t="str">
        <f aca="true">IF(C107&lt;=CRONO.NivelExibicao,MAX($AD$15:OFFSET(AD107,-1,0))+IF($C107&lt;&gt;1,1,MAX(1,COUNTIF(QCI!$A$13:$A$15,OFFSET($E107,-1,0)))),"")</f>
        <v/>
      </c>
      <c r="AE107" s="50" t="str">
        <f aca="false">IF(AND($C107="S",ORÇAMENTO.CodBarra&lt;&gt;""),IF(ORÇAMENTO.Fonte="",ORÇAMENTO.CodBarra,CONCATENATE(ORÇAMENTO.Fonte," ",ORÇAMENTO.CodBarra)))</f>
        <v>SINAPI 87745</v>
      </c>
      <c r="AF107" s="65" t="str">
        <f aca="true">IF(ISERROR(INDIRECT(ORÇAMENTO.BancoRef)),"(abra o arquivo 'Referência "&amp;Excel_BuiltIn_Database&amp;".xlsm)",IF(OR($C107&lt;&gt;"S",ORÇAMENTO.CodBarra=""),"(Sem Código)",IF(ISERROR(MATCH($AE107,INDIRECT(ORÇAMENTO.BancoRef),0)),"(Código não identificado nas referências)",MATCH($AE107,INDIRECT(ORÇAMENTO.BancoRef),0))))</f>
        <v>(abra o arquivo 'Referência 07-2025.xlsm)</v>
      </c>
      <c r="AG107" s="215" t="n">
        <f aca="true">ROUND(IF(DESONERACAO="sim",REFERENCIA.Desonerado,REFERENCIA.NaoDesonerado),2)</f>
        <v>0</v>
      </c>
      <c r="AH107" s="216" t="n">
        <f aca="false">ROUND(IF(ISNUMBER(ORÇAMENTO.OpcaoBDI),ORÇAMENTO.OpcaoBDI,IF(LEFT(ORÇAMENTO.OpcaoBDI,3)="BDI",HLOOKUP(ORÇAMENTO.OpcaoBDI,$F$4:$H$5,2,FALSE()),0)),15-11*$AF$9)</f>
        <v>0.2904</v>
      </c>
      <c r="AJ107" s="217"/>
      <c r="AL107" s="218"/>
      <c r="AM107" s="219" t="n">
        <f aca="false">$X107</f>
        <v>24413.5</v>
      </c>
      <c r="AN107" s="220" t="n">
        <f aca="false">ROUND(ORÇAMENTO.CustoUnitario*(1+$AH107),2)</f>
        <v>71.28</v>
      </c>
    </row>
    <row r="108" customFormat="false" ht="46.25" hidden="false" customHeight="false" outlineLevel="0" collapsed="false">
      <c r="A108" s="1" t="str">
        <f aca="false">CHOOSE(1+LOG(1+2*(ORÇAMENTO.Nivel="Meta")+4*(ORÇAMENTO.Nivel="Nível 2")+8*(ORÇAMENTO.Nivel="Nível 3")+16*(ORÇAMENTO.Nivel="Nível 4")+32*(ORÇAMENTO.Nivel="Serviço"),2),0,1,2,3,4,"S")</f>
        <v>S</v>
      </c>
      <c r="B108" s="1" t="n">
        <f aca="true">IF(OR(C108="s",C108=0),OFFSET(B108,-1,0),C108)</f>
        <v>2</v>
      </c>
      <c r="C108" s="1" t="str">
        <f aca="true">IF(OFFSET(C108,-1,0)="L",1,IF(OFFSET(C108,-1,0)=1,2,IF(OR(A108="s",A108=0),"S",IF(AND(OFFSET(C108,-1,0)=2,A108=4),3,IF(AND(OR(OFFSET(C108,-1,0)="s",OFFSET(C108,-1,0)=0),A108&lt;&gt;"s",A108&gt;OFFSET(B108,-1,0)),OFFSET(B108,-1,0),A108)))))</f>
        <v>S</v>
      </c>
      <c r="D108" s="1" t="n">
        <f aca="false">IF(OR(C108="S",C108=0),0,IF(ISERROR(K108),J108,SMALL(J108:K108,1)))</f>
        <v>0</v>
      </c>
      <c r="E108" s="1" t="n">
        <f aca="true">IF($C108=1,OFFSET(E108,-1,0)+MAX(1,COUNTIF(QCI!$A$13:$A$15,OFFSET(ORÇAMENTO!E108,-1,0))),OFFSET(E108,-1,0))</f>
        <v>1</v>
      </c>
      <c r="F108" s="1" t="n">
        <f aca="true">IF($C108=1,0,IF($C108=2,OFFSET(F108,-1,0)+1,OFFSET(F108,-1,0)))</f>
        <v>29</v>
      </c>
      <c r="G108" s="1" t="n">
        <f aca="true">IF(AND($C108&lt;=2,$C108&lt;&gt;0),0,IF($C108=3,OFFSET(G108,-1,0)+1,OFFSET(G108,-1,0)))</f>
        <v>0</v>
      </c>
      <c r="H108" s="1" t="n">
        <f aca="true">IF(AND($C108&lt;=3,$C108&lt;&gt;0),0,IF($C108=4,OFFSET(H108,-1,0)+1,OFFSET(H108,-1,0)))</f>
        <v>0</v>
      </c>
      <c r="I108" s="1" t="n">
        <f aca="true">IF(AND($C108&lt;=4,$C108&lt;&gt;0),0,IF(AND($C108="S",$X108&gt;0),OFFSET(I108,-1,0)+1,OFFSET(I108,-1,0)))</f>
        <v>4</v>
      </c>
      <c r="J108" s="1" t="n">
        <f aca="true">IF(OR($C108="S",$C108=0),0,MATCH(0,OFFSET($D108,1,$C108,ROW($C$205)-ROW($C108)),0))</f>
        <v>0</v>
      </c>
      <c r="K108" s="1" t="n">
        <f aca="true">IF(OR($C108="S",$C108=0),0,MATCH(OFFSET($D108,0,$C108)+IF($C108&lt;&gt;1,1,COUNTIF(QCI!$A$13:$A$15,ORÇAMENTO!E108)),OFFSET($D108,1,$C108,ROW($C$205)-ROW($C108)),0))</f>
        <v>0</v>
      </c>
      <c r="L108" s="199" t="str">
        <f aca="false">IF(OR($X108&gt;0,$C108=1,$C108=2,$C108=3,$C108=4),"F","")</f>
        <v>F</v>
      </c>
      <c r="M108" s="200" t="s">
        <v>735</v>
      </c>
      <c r="N108" s="201" t="str">
        <f aca="false">CHOOSE(1+LOG(1+2*(C108=1)+4*(C108=2)+8*(C108=3)+16*(C108=4)+32*(C108="S"),2),"","Meta","Nível 2","Nível 3","Nível 4","Serviço")</f>
        <v>Serviço</v>
      </c>
      <c r="O108" s="202" t="str">
        <f aca="false">IF(OR($C108=0,$L108=""),"-",CONCATENATE(E108&amp;".",IF(AND($A$5&gt;=2,$C108&gt;=2),F108&amp;".",""),IF(AND($A$5&gt;=3,$C108&gt;=3),G108&amp;".",""),IF(AND($A$5&gt;=4,$C108&gt;=4),H108&amp;".",""),IF($C108="S",I108&amp;".","")))</f>
        <v>1.29.4.</v>
      </c>
      <c r="P108" s="203" t="s">
        <v>780</v>
      </c>
      <c r="Q108" s="204" t="n">
        <v>87630</v>
      </c>
      <c r="R108" s="205" t="str">
        <f aca="false">[4]PO!$D$114</f>
        <v>CONTRAPISO EM ARGAMASSA TRAÇO 1:4 (CIMENTO E AREIA), PREPARO MECÂNICO COM BETONEIRA 400 L, APLICADO EM ÁREAS SECAS SOBRE LAJE, ADERIDO, ACABAMENTO NÃO REFORÇADO, ESPESSURA 3CM. AF_07/2021</v>
      </c>
      <c r="S108" s="206" t="s">
        <v>650</v>
      </c>
      <c r="T108" s="207" t="n">
        <f aca="true">OFFSET(CÁLCULO!H$15,ROW($T108)-ROW(T$15),0)</f>
        <v>844.75</v>
      </c>
      <c r="U108" s="208" t="n">
        <f aca="false">[2]PO!$G$114</f>
        <v>42.92</v>
      </c>
      <c r="V108" s="209" t="s">
        <v>690</v>
      </c>
      <c r="W108" s="207" t="n">
        <f aca="false">IF($C108="S",ROUND(IF(TIPOORCAMENTO="Proposto",ORÇAMENTO.CustoUnitario*(1+$AH108),ORÇAMENTO.PrecoUnitarioLicitado),15-13*$AF$10),0)</f>
        <v>55.38</v>
      </c>
      <c r="X108" s="210" t="n">
        <f aca="true" t="array" ref="X108:X108">IF($C108="S",IF(OR(Import.TipoArredondamento&lt;&gt;"TransfereGOV",ACOMPANHAMENTO="BM"),VTOTAL1,SUM(OFFSET(CÁLCULO!$AQ$15,ROW($X108)-ROW($X$15),1):OFFSET(CÁLCULO!$BR$15,ROW($X108)-ROW($X$15),-1))),IF($C108=0,0,ROUND(SomaAgrup,15-13*$AF$11)))</f>
        <v>46782.25</v>
      </c>
      <c r="Y108" s="211" t="s">
        <v>781</v>
      </c>
      <c r="Z108" s="1" t="str">
        <f aca="false">IF(AND($C108="S",$X108&gt;0),IF(ISBLANK($Y108),"RA",LEFT($Y108,2)),"")</f>
        <v>RA</v>
      </c>
      <c r="AA108" s="212" t="n">
        <f aca="true">IF($C108="S",IF($Z108="CP",$X108,IF($Z108="RA",(($X108)*QCI!$AA$3),0)),SomaAgrup)</f>
        <v>5191.96552103652</v>
      </c>
      <c r="AB108" s="213" t="n">
        <f aca="true">IF($C108="S",IF($Z108="OU",ROUND($X108,2),0),SomaAgrup)</f>
        <v>0</v>
      </c>
      <c r="AC108" s="214" t="e">
        <f aca="false" t="array" ref="AC108:AC108">IF($N108=""," ",
IF(AND($C108&lt;&gt;"S",OR($R108="",$R108="(digite a descrição aqui)")),"DESCRIÇÃO",
IF(AND($C108="S",OR($Q108&lt;&gt;"",$T108&gt;0,$U108&gt;0),$P108=""),"FONTE",
IF(AND($C108="S",$P108&lt;&gt;"",OR($T108&gt;0,$U108&gt;0),$Q108=""),"CÓDIGO",
IF(AND($C108="S",$P108&lt;&gt;"",$Q108&lt;&gt;"",$R108="(Código não identificado nas referências)"),"CÓDIGO N/ID",
IF(AND($C108="S",OR($R108="",$R108="(digite a descrição aqui)"),OR($Q108&lt;&gt;"",$T108&gt;0,$U108&gt;0)),"DESCRIÇÃO",
IF(AND($C108="S",$P108&lt;&gt;"",$Q108&lt;&gt;"",$S108=""),"UNIDADE",
IF(AND($C108="S",$P108&lt;&gt;"",$Q108&lt;&gt;"",$U108=0),"SEM CUSTO",
IF(AND(_xlfn.single(TIPOORCAMENTO)="Licitado",$AL108=0,$AN108&gt;0),"SEM PREÇO",
IF(AND($C108="S",$P108&lt;&gt;"",$Q108&lt;&gt;"",$U108&gt;0,$V108=0),"BDI",
IF(OR(AND(TIPOORCAMENTO="Proposto",LEFT($O$8,5)&lt;&gt;"(N/D:",$AG108&lt;&gt;"",ORÇAMENTO.CustoUnitario&gt;$AG108),AND(TIPOORCAMENTO="LICITADO",ORÇAMENTO.PrecoUnitarioLicitado&gt;$AN108)),"ACIMA REF.",
IF(AND($C108="S",$P108&lt;&gt;"",$Q108&lt;&gt;"",$T108=0,$U108&gt;0),"QUANT.",
IF(AND(Import.TipoArredondamento="TransfereGOV",$L108="F",$C108="S",LEN($Q108)&gt;13),"Código &gt;13",
IF(AND(Import.TipoArredondamento="TransfereGOV",$L108="F",$C108&lt;&gt;"S",LEN($R108)&gt;100),"Descrição &gt;100",
IF(AND(Import.TipoArredondamento="TransfereGOV",$L108="F",$C108="S",LEN($R108)&gt;500),"Descrição &gt;500",
IF(AND(Import.TipoArredondamento="TransfereGOV",$L108="F",$C108="S",LEFT(TRIM(UPPER($P108)),6)&lt;&gt;"SINAPI",ISNA(VLOOKUP(TRIM(UPPER($S108)),ListaTgov.Unidades,1,FALSE()))),"Unid. Não Disp",
" "))))))))))))))))</f>
        <v>#NAME?</v>
      </c>
      <c r="AD108" s="1" t="str">
        <f aca="true">IF(C108&lt;=CRONO.NivelExibicao,MAX($AD$15:OFFSET(AD108,-1,0))+IF($C108&lt;&gt;1,1,MAX(1,COUNTIF(QCI!$A$13:$A$15,OFFSET($E108,-1,0)))),"")</f>
        <v/>
      </c>
      <c r="AE108" s="50" t="str">
        <f aca="false">IF(AND($C108="S",ORÇAMENTO.CodBarra&lt;&gt;""),IF(ORÇAMENTO.Fonte="",ORÇAMENTO.CodBarra,CONCATENATE(ORÇAMENTO.Fonte," ",ORÇAMENTO.CodBarra)))</f>
        <v>SINAPI 87630</v>
      </c>
      <c r="AF108" s="65" t="str">
        <f aca="true">IF(ISERROR(INDIRECT(ORÇAMENTO.BancoRef)),"(abra o arquivo 'Referência "&amp;Excel_BuiltIn_Database&amp;".xlsm)",IF(OR($C108&lt;&gt;"S",ORÇAMENTO.CodBarra=""),"(Sem Código)",IF(ISERROR(MATCH($AE108,INDIRECT(ORÇAMENTO.BancoRef),0)),"(Código não identificado nas referências)",MATCH($AE108,INDIRECT(ORÇAMENTO.BancoRef),0))))</f>
        <v>(abra o arquivo 'Referência 07-2025.xlsm)</v>
      </c>
      <c r="AG108" s="215" t="n">
        <f aca="true">ROUND(IF(DESONERACAO="sim",REFERENCIA.Desonerado,REFERENCIA.NaoDesonerado),2)</f>
        <v>0</v>
      </c>
      <c r="AH108" s="216" t="n">
        <f aca="false">ROUND(IF(ISNUMBER(ORÇAMENTO.OpcaoBDI),ORÇAMENTO.OpcaoBDI,IF(LEFT(ORÇAMENTO.OpcaoBDI,3)="BDI",HLOOKUP(ORÇAMENTO.OpcaoBDI,$F$4:$H$5,2,FALSE()),0)),15-11*$AF$9)</f>
        <v>0.2904</v>
      </c>
      <c r="AJ108" s="217"/>
      <c r="AL108" s="218"/>
      <c r="AM108" s="219" t="n">
        <f aca="false">$X108</f>
        <v>46782.25</v>
      </c>
      <c r="AN108" s="220" t="n">
        <f aca="false">ROUND(ORÇAMENTO.CustoUnitario*(1+$AH108),2)</f>
        <v>55.38</v>
      </c>
    </row>
    <row r="109" customFormat="false" ht="35.05" hidden="false" customHeight="false" outlineLevel="0" collapsed="false">
      <c r="A109" s="1" t="str">
        <f aca="false">CHOOSE(1+LOG(1+2*(ORÇAMENTO.Nivel="Meta")+4*(ORÇAMENTO.Nivel="Nível 2")+8*(ORÇAMENTO.Nivel="Nível 3")+16*(ORÇAMENTO.Nivel="Nível 4")+32*(ORÇAMENTO.Nivel="Serviço"),2),0,1,2,3,4,"S")</f>
        <v>S</v>
      </c>
      <c r="B109" s="1" t="n">
        <f aca="true">IF(OR(C109="s",C109=0),OFFSET(B109,-1,0),C109)</f>
        <v>2</v>
      </c>
      <c r="C109" s="1" t="str">
        <f aca="true">IF(OFFSET(C109,-1,0)="L",1,IF(OFFSET(C109,-1,0)=1,2,IF(OR(A109="s",A109=0),"S",IF(AND(OFFSET(C109,-1,0)=2,A109=4),3,IF(AND(OR(OFFSET(C109,-1,0)="s",OFFSET(C109,-1,0)=0),A109&lt;&gt;"s",A109&gt;OFFSET(B109,-1,0)),OFFSET(B109,-1,0),A109)))))</f>
        <v>S</v>
      </c>
      <c r="D109" s="1" t="n">
        <f aca="false">IF(OR(C109="S",C109=0),0,IF(ISERROR(K109),J109,SMALL(J109:K109,1)))</f>
        <v>0</v>
      </c>
      <c r="E109" s="1" t="n">
        <f aca="true">IF($C109=1,OFFSET(E109,-1,0)+MAX(1,COUNTIF(QCI!$A$13:$A$15,OFFSET(ORÇAMENTO!E109,-1,0))),OFFSET(E109,-1,0))</f>
        <v>1</v>
      </c>
      <c r="F109" s="1" t="n">
        <f aca="true">IF($C109=1,0,IF($C109=2,OFFSET(F109,-1,0)+1,OFFSET(F109,-1,0)))</f>
        <v>29</v>
      </c>
      <c r="G109" s="1" t="n">
        <f aca="true">IF(AND($C109&lt;=2,$C109&lt;&gt;0),0,IF($C109=3,OFFSET(G109,-1,0)+1,OFFSET(G109,-1,0)))</f>
        <v>0</v>
      </c>
      <c r="H109" s="1" t="n">
        <f aca="true">IF(AND($C109&lt;=3,$C109&lt;&gt;0),0,IF($C109=4,OFFSET(H109,-1,0)+1,OFFSET(H109,-1,0)))</f>
        <v>0</v>
      </c>
      <c r="I109" s="1" t="n">
        <f aca="true">IF(AND($C109&lt;=4,$C109&lt;&gt;0),0,IF(AND($C109="S",$X109&gt;0),OFFSET(I109,-1,0)+1,OFFSET(I109,-1,0)))</f>
        <v>5</v>
      </c>
      <c r="J109" s="1" t="n">
        <f aca="true">IF(OR($C109="S",$C109=0),0,MATCH(0,OFFSET($D109,1,$C109,ROW($C$205)-ROW($C109)),0))</f>
        <v>0</v>
      </c>
      <c r="K109" s="1" t="n">
        <f aca="true">IF(OR($C109="S",$C109=0),0,MATCH(OFFSET($D109,0,$C109)+IF($C109&lt;&gt;1,1,COUNTIF(QCI!$A$13:$A$15,ORÇAMENTO!E109)),OFFSET($D109,1,$C109,ROW($C$205)-ROW($C109)),0))</f>
        <v>0</v>
      </c>
      <c r="L109" s="199" t="str">
        <f aca="false">IF(OR($X109&gt;0,$C109=1,$C109=2,$C109=3,$C109=4),"F","")</f>
        <v>F</v>
      </c>
      <c r="M109" s="200" t="s">
        <v>735</v>
      </c>
      <c r="N109" s="201" t="str">
        <f aca="false">CHOOSE(1+LOG(1+2*(C109=1)+4*(C109=2)+8*(C109=3)+16*(C109=4)+32*(C109="S"),2),"","Meta","Nível 2","Nível 3","Nível 4","Serviço")</f>
        <v>Serviço</v>
      </c>
      <c r="O109" s="202" t="str">
        <f aca="false">IF(OR($C109=0,$L109=""),"-",CONCATENATE(E109&amp;".",IF(AND($A$5&gt;=2,$C109&gt;=2),F109&amp;".",""),IF(AND($A$5&gt;=3,$C109&gt;=3),G109&amp;".",""),IF(AND($A$5&gt;=4,$C109&gt;=4),H109&amp;".",""),IF($C109="S",I109&amp;".","")))</f>
        <v>1.29.5.</v>
      </c>
      <c r="P109" s="203" t="s">
        <v>780</v>
      </c>
      <c r="Q109" s="204" t="s">
        <v>845</v>
      </c>
      <c r="R109" s="205" t="str">
        <f aca="false">[3]ORÇAMENTO!$R$53</f>
        <v>REVESTIMENTO CERÂMICO PARA PISO COM PLACAS TIPO ESMALTADA DE DIMENSÕES 60X60 CM APLICADA EM AMBIENTES DE ÁREA MAIOR QUE 10 M2. AF_02/2023_PE.</v>
      </c>
      <c r="S109" s="206" t="s">
        <v>650</v>
      </c>
      <c r="T109" s="207" t="n">
        <f aca="true">OFFSET(CÁLCULO!H$15,ROW($T109)-ROW(T$15),0)</f>
        <v>1187.25</v>
      </c>
      <c r="U109" s="208" t="n">
        <v>60.79</v>
      </c>
      <c r="V109" s="209" t="s">
        <v>690</v>
      </c>
      <c r="W109" s="207" t="n">
        <f aca="false">IF($C109="S",ROUND(IF(TIPOORCAMENTO="Proposto",ORÇAMENTO.CustoUnitario*(1+$AH109),ORÇAMENTO.PrecoUnitarioLicitado),15-13*$AF$10),0)</f>
        <v>78.44</v>
      </c>
      <c r="X109" s="210" t="n">
        <f aca="true" t="array" ref="X109:X109">IF($C109="S",IF(OR(Import.TipoArredondamento&lt;&gt;"TransfereGOV",ACOMPANHAMENTO="BM"),VTOTAL1,SUM(OFFSET(CÁLCULO!$AQ$15,ROW($X109)-ROW($X$15),1):OFFSET(CÁLCULO!$BR$15,ROW($X109)-ROW($X$15),-1))),IF($C109=0,0,ROUND(SomaAgrup,15-13*$AF$11)))</f>
        <v>93128</v>
      </c>
      <c r="Y109" s="211" t="s">
        <v>781</v>
      </c>
      <c r="Z109" s="1" t="str">
        <f aca="false">IF(AND($C109="S",$X109&gt;0),IF(ISBLANK($Y109),"RA",LEFT($Y109,2)),"")</f>
        <v>RA</v>
      </c>
      <c r="AA109" s="212" t="n">
        <f aca="true">IF($C109="S",IF($Z109="CP",$X109,IF($Z109="RA",(($X109)*QCI!$AA$3),0)),SomaAgrup)</f>
        <v>10335.4876057284</v>
      </c>
      <c r="AB109" s="213" t="n">
        <f aca="true">IF($C109="S",IF($Z109="OU",ROUND($X109,2),0),SomaAgrup)</f>
        <v>0</v>
      </c>
      <c r="AC109" s="214" t="e">
        <f aca="false" t="array" ref="AC109:AC109">IF($N109=""," ",
IF(AND($C109&lt;&gt;"S",OR($R109="",$R109="(digite a descrição aqui)")),"DESCRIÇÃO",
IF(AND($C109="S",OR($Q109&lt;&gt;"",$T109&gt;0,$U109&gt;0),$P109=""),"FONTE",
IF(AND($C109="S",$P109&lt;&gt;"",OR($T109&gt;0,$U109&gt;0),$Q109=""),"CÓDIGO",
IF(AND($C109="S",$P109&lt;&gt;"",$Q109&lt;&gt;"",$R109="(Código não identificado nas referências)"),"CÓDIGO N/ID",
IF(AND($C109="S",OR($R109="",$R109="(digite a descrição aqui)"),OR($Q109&lt;&gt;"",$T109&gt;0,$U109&gt;0)),"DESCRIÇÃO",
IF(AND($C109="S",$P109&lt;&gt;"",$Q109&lt;&gt;"",$S109=""),"UNIDADE",
IF(AND($C109="S",$P109&lt;&gt;"",$Q109&lt;&gt;"",$U109=0),"SEM CUSTO",
IF(AND(_xlfn.single(TIPOORCAMENTO)="Licitado",$AL109=0,$AN109&gt;0),"SEM PREÇO",
IF(AND($C109="S",$P109&lt;&gt;"",$Q109&lt;&gt;"",$U109&gt;0,$V109=0),"BDI",
IF(OR(AND(TIPOORCAMENTO="Proposto",LEFT($O$8,5)&lt;&gt;"(N/D:",$AG109&lt;&gt;"",ORÇAMENTO.CustoUnitario&gt;$AG109),AND(TIPOORCAMENTO="LICITADO",ORÇAMENTO.PrecoUnitarioLicitado&gt;$AN109)),"ACIMA REF.",
IF(AND($C109="S",$P109&lt;&gt;"",$Q109&lt;&gt;"",$T109=0,$U109&gt;0),"QUANT.",
IF(AND(Import.TipoArredondamento="TransfereGOV",$L109="F",$C109="S",LEN($Q109)&gt;13),"Código &gt;13",
IF(AND(Import.TipoArredondamento="TransfereGOV",$L109="F",$C109&lt;&gt;"S",LEN($R109)&gt;100),"Descrição &gt;100",
IF(AND(Import.TipoArredondamento="TransfereGOV",$L109="F",$C109="S",LEN($R109)&gt;500),"Descrição &gt;500",
IF(AND(Import.TipoArredondamento="TransfereGOV",$L109="F",$C109="S",LEFT(TRIM(UPPER($P109)),6)&lt;&gt;"SINAPI",ISNA(VLOOKUP(TRIM(UPPER($S109)),ListaTgov.Unidades,1,FALSE()))),"Unid. Não Disp",
" "))))))))))))))))</f>
        <v>#NAME?</v>
      </c>
      <c r="AD109" s="1" t="str">
        <f aca="true">IF(C109&lt;=CRONO.NivelExibicao,MAX($AD$15:OFFSET(AD109,-1,0))+IF($C109&lt;&gt;1,1,MAX(1,COUNTIF(QCI!$A$13:$A$15,OFFSET($E109,-1,0)))),"")</f>
        <v/>
      </c>
      <c r="AE109" s="50" t="str">
        <f aca="false">IF(AND($C109="S",ORÇAMENTO.CodBarra&lt;&gt;""),IF(ORÇAMENTO.Fonte="",ORÇAMENTO.CodBarra,CONCATENATE(ORÇAMENTO.Fonte," ",ORÇAMENTO.CodBarra)))</f>
        <v>SINAPI 87257</v>
      </c>
      <c r="AF109" s="65" t="str">
        <f aca="true">IF(ISERROR(INDIRECT(ORÇAMENTO.BancoRef)),"(abra o arquivo 'Referência "&amp;Excel_BuiltIn_Database&amp;".xlsm)",IF(OR($C109&lt;&gt;"S",ORÇAMENTO.CodBarra=""),"(Sem Código)",IF(ISERROR(MATCH($AE109,INDIRECT(ORÇAMENTO.BancoRef),0)),"(Código não identificado nas referências)",MATCH($AE109,INDIRECT(ORÇAMENTO.BancoRef),0))))</f>
        <v>(abra o arquivo 'Referência 07-2025.xlsm)</v>
      </c>
      <c r="AG109" s="215" t="n">
        <f aca="true">ROUND(IF(DESONERACAO="sim",REFERENCIA.Desonerado,REFERENCIA.NaoDesonerado),2)</f>
        <v>0</v>
      </c>
      <c r="AH109" s="216" t="n">
        <f aca="false">ROUND(IF(ISNUMBER(ORÇAMENTO.OpcaoBDI),ORÇAMENTO.OpcaoBDI,IF(LEFT(ORÇAMENTO.OpcaoBDI,3)="BDI",HLOOKUP(ORÇAMENTO.OpcaoBDI,$F$4:$H$5,2,FALSE()),0)),15-11*$AF$9)</f>
        <v>0.2904</v>
      </c>
      <c r="AJ109" s="217"/>
      <c r="AL109" s="218"/>
      <c r="AM109" s="219" t="n">
        <f aca="false">$X109</f>
        <v>93128</v>
      </c>
      <c r="AN109" s="220" t="n">
        <f aca="false">ROUND(ORÇAMENTO.CustoUnitario*(1+$AH109),2)</f>
        <v>78.44</v>
      </c>
    </row>
    <row r="110" customFormat="false" ht="12.75" hidden="false" customHeight="false" outlineLevel="0" collapsed="false">
      <c r="A110" s="1" t="n">
        <f aca="false">CHOOSE(1+LOG(1+2*(ORÇAMENTO.Nivel="Meta")+4*(ORÇAMENTO.Nivel="Nível 2")+8*(ORÇAMENTO.Nivel="Nível 3")+16*(ORÇAMENTO.Nivel="Nível 4")+32*(ORÇAMENTO.Nivel="Serviço"),2),0,1,2,3,4,"S")</f>
        <v>2</v>
      </c>
      <c r="B110" s="1" t="n">
        <f aca="true">IF(OR(C110="s",C110=0),OFFSET(B110,-1,0),C110)</f>
        <v>2</v>
      </c>
      <c r="C110" s="1" t="n">
        <f aca="true">IF(OFFSET(C110,-1,0)="L",1,IF(OFFSET(C110,-1,0)=1,2,IF(OR(A110="s",A110=0),"S",IF(AND(OFFSET(C110,-1,0)=2,A110=4),3,IF(AND(OR(OFFSET(C110,-1,0)="s",OFFSET(C110,-1,0)=0),A110&lt;&gt;"s",A110&gt;OFFSET(B110,-1,0)),OFFSET(B110,-1,0),A110)))))</f>
        <v>2</v>
      </c>
      <c r="D110" s="1" t="n">
        <f aca="false">IF(OR(C110="S",C110=0),0,IF(ISERROR(K110),J110,SMALL(J110:K110,1)))</f>
        <v>1</v>
      </c>
      <c r="E110" s="1" t="n">
        <f aca="true">IF($C110=1,OFFSET(E110,-1,0)+MAX(1,COUNTIF(QCI!$A$13:$A$15,OFFSET(ORÇAMENTO!E110,-1,0))),OFFSET(E110,-1,0))</f>
        <v>1</v>
      </c>
      <c r="F110" s="1" t="n">
        <f aca="true">IF($C110=1,0,IF($C110=2,OFFSET(F110,-1,0)+1,OFFSET(F110,-1,0)))</f>
        <v>30</v>
      </c>
      <c r="G110" s="1" t="n">
        <f aca="true">IF(AND($C110&lt;=2,$C110&lt;&gt;0),0,IF($C110=3,OFFSET(G110,-1,0)+1,OFFSET(G110,-1,0)))</f>
        <v>0</v>
      </c>
      <c r="H110" s="1" t="n">
        <f aca="true">IF(AND($C110&lt;=3,$C110&lt;&gt;0),0,IF($C110=4,OFFSET(H110,-1,0)+1,OFFSET(H110,-1,0)))</f>
        <v>0</v>
      </c>
      <c r="I110" s="1" t="n">
        <f aca="true">IF(AND($C110&lt;=4,$C110&lt;&gt;0),0,IF(AND($C110="S",$X110&gt;0),OFFSET(I110,-1,0)+1,OFFSET(I110,-1,0)))</f>
        <v>0</v>
      </c>
      <c r="J110" s="1" t="n">
        <f aca="true">IF(OR($C110="S",$C110=0),0,MATCH(0,OFFSET($D110,1,$C110,ROW($C$205)-ROW($C110)),0))</f>
        <v>95</v>
      </c>
      <c r="K110" s="1" t="n">
        <f aca="true">IF(OR($C110="S",$C110=0),0,MATCH(OFFSET($D110,0,$C110)+IF($C110&lt;&gt;1,1,COUNTIF(QCI!$A$13:$A$15,ORÇAMENTO!E110)),OFFSET($D110,1,$C110,ROW($C$205)-ROW($C110)),0))</f>
        <v>1</v>
      </c>
      <c r="L110" s="199" t="str">
        <f aca="false">IF(OR($X110&gt;0,$C110=1,$C110=2,$C110=3,$C110=4),"F","")</f>
        <v>F</v>
      </c>
      <c r="M110" s="200" t="s">
        <v>732</v>
      </c>
      <c r="N110" s="201" t="str">
        <f aca="false">CHOOSE(1+LOG(1+2*(C110=1)+4*(C110=2)+8*(C110=3)+16*(C110=4)+32*(C110="S"),2),"","Meta","Nível 2","Nível 3","Nível 4","Serviço")</f>
        <v>Nível 2</v>
      </c>
      <c r="O110" s="202" t="str">
        <f aca="false">IF(OR($C110=0,$L110=""),"-",CONCATENATE(E110&amp;".",IF(AND($A$5&gt;=2,$C110&gt;=2),F110&amp;".",""),IF(AND($A$5&gt;=3,$C110&gt;=3),G110&amp;".",""),IF(AND($A$5&gt;=4,$C110&gt;=4),H110&amp;".",""),IF($C110="S",I110&amp;".","")))</f>
        <v>1.30.</v>
      </c>
      <c r="P110" s="203" t="s">
        <v>780</v>
      </c>
      <c r="Q110" s="204"/>
      <c r="R110" s="205" t="str">
        <f aca="false">[4]PO!$B$118</f>
        <v>CARPETE</v>
      </c>
      <c r="S110" s="206" t="str">
        <f aca="true">REFERENCIA.Unidade</f>
        <v>-</v>
      </c>
      <c r="T110" s="207" t="n">
        <f aca="true">OFFSET(CÁLCULO!H$15,ROW($T110)-ROW(T$15),0)</f>
        <v>0</v>
      </c>
      <c r="U110" s="208"/>
      <c r="V110" s="209" t="s">
        <v>690</v>
      </c>
      <c r="W110" s="207" t="n">
        <f aca="false">IF($C110="S",ROUND(IF(TIPOORCAMENTO="Proposto",ORÇAMENTO.CustoUnitario*(1+$AH110),ORÇAMENTO.PrecoUnitarioLicitado),15-13*$AF$10),0)</f>
        <v>0</v>
      </c>
      <c r="X110" s="210" t="n">
        <f aca="true" t="array" ref="X110:X110">IF($C110="S",IF(OR(Import.TipoArredondamento&lt;&gt;"TransfereGOV",ACOMPANHAMENTO="BM"),VTOTAL1,SUM(OFFSET(CÁLCULO!$AQ$15,ROW($X110)-ROW($X$15),1):OFFSET(CÁLCULO!$BR$15,ROW($X110)-ROW($X$15),-1))),IF($C110=0,0,ROUND(SomaAgrup,15-13*$AF$11)))</f>
        <v>0</v>
      </c>
      <c r="Y110" s="211" t="s">
        <v>781</v>
      </c>
      <c r="Z110" s="1" t="str">
        <f aca="false">IF(AND($C110="S",$X110&gt;0),IF(ISBLANK($Y110),"RA",LEFT($Y110,2)),"")</f>
        <v/>
      </c>
      <c r="AA110" s="212" t="n">
        <f aca="true">IF($C110="S",IF($Z110="CP",$X110,IF($Z110="RA",(($X110)*QCI!$AA$3),0)),SomaAgrup)</f>
        <v>0</v>
      </c>
      <c r="AB110" s="213" t="n">
        <f aca="true">IF($C110="S",IF($Z110="OU",ROUND($X110,2),0),SomaAgrup)</f>
        <v>0</v>
      </c>
      <c r="AC110" s="214" t="e">
        <f aca="false" t="array" ref="AC110:AC110">IF($N110=""," ",
IF(AND($C110&lt;&gt;"S",OR($R110="",$R110="(digite a descrição aqui)")),"DESCRIÇÃO",
IF(AND($C110="S",OR($Q110&lt;&gt;"",$T110&gt;0,$U110&gt;0),$P110=""),"FONTE",
IF(AND($C110="S",$P110&lt;&gt;"",OR($T110&gt;0,$U110&gt;0),$Q110=""),"CÓDIGO",
IF(AND($C110="S",$P110&lt;&gt;"",$Q110&lt;&gt;"",$R110="(Código não identificado nas referências)"),"CÓDIGO N/ID",
IF(AND($C110="S",OR($R110="",$R110="(digite a descrição aqui)"),OR($Q110&lt;&gt;"",$T110&gt;0,$U110&gt;0)),"DESCRIÇÃO",
IF(AND($C110="S",$P110&lt;&gt;"",$Q110&lt;&gt;"",$S110=""),"UNIDADE",
IF(AND($C110="S",$P110&lt;&gt;"",$Q110&lt;&gt;"",$U110=0),"SEM CUSTO",
IF(AND(_xlfn.single(TIPOORCAMENTO)="Licitado",$AL110=0,$AN110&gt;0),"SEM PREÇO",
IF(AND($C110="S",$P110&lt;&gt;"",$Q110&lt;&gt;"",$U110&gt;0,$V110=0),"BDI",
IF(OR(AND(TIPOORCAMENTO="Proposto",LEFT($O$8,5)&lt;&gt;"(N/D:",$AG110&lt;&gt;"",ORÇAMENTO.CustoUnitario&gt;$AG110),AND(TIPOORCAMENTO="LICITADO",ORÇAMENTO.PrecoUnitarioLicitado&gt;$AN110)),"ACIMA REF.",
IF(AND($C110="S",$P110&lt;&gt;"",$Q110&lt;&gt;"",$T110=0,$U110&gt;0),"QUANT.",
IF(AND(Import.TipoArredondamento="TransfereGOV",$L110="F",$C110="S",LEN($Q110)&gt;13),"Código &gt;13",
IF(AND(Import.TipoArredondamento="TransfereGOV",$L110="F",$C110&lt;&gt;"S",LEN($R110)&gt;100),"Descrição &gt;100",
IF(AND(Import.TipoArredondamento="TransfereGOV",$L110="F",$C110="S",LEN($R110)&gt;500),"Descrição &gt;500",
IF(AND(Import.TipoArredondamento="TransfereGOV",$L110="F",$C110="S",LEFT(TRIM(UPPER($P110)),6)&lt;&gt;"SINAPI",ISNA(VLOOKUP(TRIM(UPPER($S110)),ListaTgov.Unidades,1,FALSE()))),"Unid. Não Disp",
" "))))))))))))))))</f>
        <v>#NAME?</v>
      </c>
      <c r="AD110" s="38" t="n">
        <f aca="true">IF(C110&lt;=CRONO.NivelExibicao,MAX($AD$15:OFFSET(AD110,-1,0))+IF($C110&lt;&gt;1,1,MAX(1,COUNTIF(QCI!$A$13:$A$15,OFFSET($E110,-1,0)))),"")</f>
        <v>31</v>
      </c>
      <c r="AE110" s="50" t="b">
        <f aca="false">IF(AND($C110="S",ORÇAMENTO.CodBarra&lt;&gt;""),IF(ORÇAMENTO.Fonte="",ORÇAMENTO.CodBarra,CONCATENATE(ORÇAMENTO.Fonte," ",ORÇAMENTO.CodBarra)))</f>
        <v>0</v>
      </c>
      <c r="AF110" s="65" t="str">
        <f aca="true">IF(ISERROR(INDIRECT(ORÇAMENTO.BancoRef)),"(abra o arquivo 'Referência "&amp;Excel_BuiltIn_Database&amp;".xlsm)",IF(OR($C110&lt;&gt;"S",ORÇAMENTO.CodBarra=""),"(Sem Código)",IF(ISERROR(MATCH($AE110,INDIRECT(ORÇAMENTO.BancoRef),0)),"(Código não identificado nas referências)",MATCH($AE110,INDIRECT(ORÇAMENTO.BancoRef),0))))</f>
        <v>(abra o arquivo 'Referência 07-2025.xlsm)</v>
      </c>
      <c r="AG110" s="215" t="n">
        <f aca="true">ROUND(IF(DESONERACAO="sim",REFERENCIA.Desonerado,REFERENCIA.NaoDesonerado),2)</f>
        <v>0</v>
      </c>
      <c r="AH110" s="216" t="n">
        <f aca="false">ROUND(IF(ISNUMBER(ORÇAMENTO.OpcaoBDI),ORÇAMENTO.OpcaoBDI,IF(LEFT(ORÇAMENTO.OpcaoBDI,3)="BDI",HLOOKUP(ORÇAMENTO.OpcaoBDI,$F$4:$H$5,2,FALSE()),0)),15-11*$AF$9)</f>
        <v>0.2904</v>
      </c>
      <c r="AJ110" s="217"/>
      <c r="AL110" s="218"/>
      <c r="AM110" s="219" t="n">
        <f aca="false">$X110</f>
        <v>0</v>
      </c>
      <c r="AN110" s="220" t="n">
        <f aca="false">ROUND(ORÇAMENTO.CustoUnitario*(1+$AH110),2)</f>
        <v>0</v>
      </c>
    </row>
    <row r="111" customFormat="false" ht="12.75" hidden="false" customHeight="false" outlineLevel="0" collapsed="false">
      <c r="A111" s="1" t="n">
        <f aca="false">CHOOSE(1+LOG(1+2*(ORÇAMENTO.Nivel="Meta")+4*(ORÇAMENTO.Nivel="Nível 2")+8*(ORÇAMENTO.Nivel="Nível 3")+16*(ORÇAMENTO.Nivel="Nível 4")+32*(ORÇAMENTO.Nivel="Serviço"),2),0,1,2,3,4,"S")</f>
        <v>2</v>
      </c>
      <c r="B111" s="1" t="n">
        <f aca="true">IF(OR(C111="s",C111=0),OFFSET(B111,-1,0),C111)</f>
        <v>2</v>
      </c>
      <c r="C111" s="1" t="n">
        <f aca="true">IF(OFFSET(C111,-1,0)="L",1,IF(OFFSET(C111,-1,0)=1,2,IF(OR(A111="s",A111=0),"S",IF(AND(OFFSET(C111,-1,0)=2,A111=4),3,IF(AND(OR(OFFSET(C111,-1,0)="s",OFFSET(C111,-1,0)=0),A111&lt;&gt;"s",A111&gt;OFFSET(B111,-1,0)),OFFSET(B111,-1,0),A111)))))</f>
        <v>2</v>
      </c>
      <c r="D111" s="1" t="n">
        <f aca="false">IF(OR(C111="S",C111=0),0,IF(ISERROR(K111),J111,SMALL(J111:K111,1)))</f>
        <v>3</v>
      </c>
      <c r="E111" s="1" t="n">
        <f aca="true">IF($C111=1,OFFSET(E111,-1,0)+MAX(1,COUNTIF(QCI!$A$13:$A$15,OFFSET(ORÇAMENTO!E111,-1,0))),OFFSET(E111,-1,0))</f>
        <v>1</v>
      </c>
      <c r="F111" s="1" t="n">
        <f aca="true">IF($C111=1,0,IF($C111=2,OFFSET(F111,-1,0)+1,OFFSET(F111,-1,0)))</f>
        <v>31</v>
      </c>
      <c r="G111" s="1" t="n">
        <f aca="true">IF(AND($C111&lt;=2,$C111&lt;&gt;0),0,IF($C111=3,OFFSET(G111,-1,0)+1,OFFSET(G111,-1,0)))</f>
        <v>0</v>
      </c>
      <c r="H111" s="1" t="n">
        <f aca="true">IF(AND($C111&lt;=3,$C111&lt;&gt;0),0,IF($C111=4,OFFSET(H111,-1,0)+1,OFFSET(H111,-1,0)))</f>
        <v>0</v>
      </c>
      <c r="I111" s="1" t="n">
        <f aca="true">IF(AND($C111&lt;=4,$C111&lt;&gt;0),0,IF(AND($C111="S",$X111&gt;0),OFFSET(I111,-1,0)+1,OFFSET(I111,-1,0)))</f>
        <v>0</v>
      </c>
      <c r="J111" s="1" t="n">
        <f aca="true">IF(OR($C111="S",$C111=0),0,MATCH(0,OFFSET($D111,1,$C111,ROW($C$205)-ROW($C111)),0))</f>
        <v>94</v>
      </c>
      <c r="K111" s="1" t="n">
        <f aca="true">IF(OR($C111="S",$C111=0),0,MATCH(OFFSET($D111,0,$C111)+IF($C111&lt;&gt;1,1,COUNTIF(QCI!$A$13:$A$15,ORÇAMENTO!E111)),OFFSET($D111,1,$C111,ROW($C$205)-ROW($C111)),0))</f>
        <v>3</v>
      </c>
      <c r="L111" s="199" t="str">
        <f aca="false">IF(OR($X111&gt;0,$C111=1,$C111=2,$C111=3,$C111=4),"F","")</f>
        <v>F</v>
      </c>
      <c r="M111" s="200" t="s">
        <v>732</v>
      </c>
      <c r="N111" s="201" t="str">
        <f aca="false">CHOOSE(1+LOG(1+2*(C111=1)+4*(C111=2)+8*(C111=3)+16*(C111=4)+32*(C111="S"),2),"","Meta","Nível 2","Nível 3","Nível 4","Serviço")</f>
        <v>Nível 2</v>
      </c>
      <c r="O111" s="202" t="str">
        <f aca="false">IF(OR($C111=0,$L111=""),"-",CONCATENATE(E111&amp;".",IF(AND($A$5&gt;=2,$C111&gt;=2),F111&amp;".",""),IF(AND($A$5&gt;=3,$C111&gt;=3),G111&amp;".",""),IF(AND($A$5&gt;=4,$C111&gt;=4),H111&amp;".",""),IF($C111="S",I111&amp;".","")))</f>
        <v>1.31.</v>
      </c>
      <c r="P111" s="203" t="s">
        <v>780</v>
      </c>
      <c r="Q111" s="204" t="s">
        <v>846</v>
      </c>
      <c r="R111" s="205" t="str">
        <f aca="false">[4]PO!$B$119</f>
        <v>CIMENTADOS</v>
      </c>
      <c r="S111" s="206" t="s">
        <v>650</v>
      </c>
      <c r="T111" s="207" t="n">
        <f aca="true">OFFSET(CÁLCULO!H$15,ROW($T111)-ROW(T$15),0)</f>
        <v>0</v>
      </c>
      <c r="U111" s="208" t="n">
        <v>7.72</v>
      </c>
      <c r="V111" s="209" t="s">
        <v>690</v>
      </c>
      <c r="W111" s="207" t="n">
        <f aca="false">IF($C111="S",ROUND(IF(TIPOORCAMENTO="Proposto",ORÇAMENTO.CustoUnitario*(1+$AH111),ORÇAMENTO.PrecoUnitarioLicitado),15-13*$AF$10),0)</f>
        <v>0</v>
      </c>
      <c r="X111" s="210" t="n">
        <f aca="true" t="array" ref="X111:X111">IF($C111="S",IF(OR(Import.TipoArredondamento&lt;&gt;"TransfereGOV",ACOMPANHAMENTO="BM"),VTOTAL1,SUM(OFFSET(CÁLCULO!$AQ$15,ROW($X111)-ROW($X$15),1):OFFSET(CÁLCULO!$BR$15,ROW($X111)-ROW($X$15),-1))),IF($C111=0,0,ROUND(SomaAgrup,15-13*$AF$11)))</f>
        <v>29087.5</v>
      </c>
      <c r="Y111" s="211" t="s">
        <v>781</v>
      </c>
      <c r="Z111" s="1" t="str">
        <f aca="false">IF(AND($C111="S",$X111&gt;0),IF(ISBLANK($Y111),"RA",LEFT($Y111,2)),"")</f>
        <v/>
      </c>
      <c r="AA111" s="212" t="n">
        <f aca="true">IF($C111="S",IF($Z111="CP",$X111,IF($Z111="RA",(($X111)*QCI!$AA$3),0)),SomaAgrup)</f>
        <v>3228.1751538917</v>
      </c>
      <c r="AB111" s="213" t="n">
        <f aca="true">IF($C111="S",IF($Z111="OU",ROUND($X111,2),0),SomaAgrup)</f>
        <v>0</v>
      </c>
      <c r="AC111" s="214" t="e">
        <f aca="false" t="array" ref="AC111:AC111">IF($N111=""," ",
IF(AND($C111&lt;&gt;"S",OR($R111="",$R111="(digite a descrição aqui)")),"DESCRIÇÃO",
IF(AND($C111="S",OR($Q111&lt;&gt;"",$T111&gt;0,$U111&gt;0),$P111=""),"FONTE",
IF(AND($C111="S",$P111&lt;&gt;"",OR($T111&gt;0,$U111&gt;0),$Q111=""),"CÓDIGO",
IF(AND($C111="S",$P111&lt;&gt;"",$Q111&lt;&gt;"",$R111="(Código não identificado nas referências)"),"CÓDIGO N/ID",
IF(AND($C111="S",OR($R111="",$R111="(digite a descrição aqui)"),OR($Q111&lt;&gt;"",$T111&gt;0,$U111&gt;0)),"DESCRIÇÃO",
IF(AND($C111="S",$P111&lt;&gt;"",$Q111&lt;&gt;"",$S111=""),"UNIDADE",
IF(AND($C111="S",$P111&lt;&gt;"",$Q111&lt;&gt;"",$U111=0),"SEM CUSTO",
IF(AND(_xlfn.single(TIPOORCAMENTO)="Licitado",$AL111=0,$AN111&gt;0),"SEM PREÇO",
IF(AND($C111="S",$P111&lt;&gt;"",$Q111&lt;&gt;"",$U111&gt;0,$V111=0),"BDI",
IF(OR(AND(TIPOORCAMENTO="Proposto",LEFT($O$8,5)&lt;&gt;"(N/D:",$AG111&lt;&gt;"",ORÇAMENTO.CustoUnitario&gt;$AG111),AND(TIPOORCAMENTO="LICITADO",ORÇAMENTO.PrecoUnitarioLicitado&gt;$AN111)),"ACIMA REF.",
IF(AND($C111="S",$P111&lt;&gt;"",$Q111&lt;&gt;"",$T111=0,$U111&gt;0),"QUANT.",
IF(AND(Import.TipoArredondamento="TransfereGOV",$L111="F",$C111="S",LEN($Q111)&gt;13),"Código &gt;13",
IF(AND(Import.TipoArredondamento="TransfereGOV",$L111="F",$C111&lt;&gt;"S",LEN($R111)&gt;100),"Descrição &gt;100",
IF(AND(Import.TipoArredondamento="TransfereGOV",$L111="F",$C111="S",LEN($R111)&gt;500),"Descrição &gt;500",
IF(AND(Import.TipoArredondamento="TransfereGOV",$L111="F",$C111="S",LEFT(TRIM(UPPER($P111)),6)&lt;&gt;"SINAPI",ISNA(VLOOKUP(TRIM(UPPER($S111)),ListaTgov.Unidades,1,FALSE()))),"Unid. Não Disp",
" "))))))))))))))))</f>
        <v>#NAME?</v>
      </c>
      <c r="AD111" s="38" t="n">
        <f aca="true">IF(C111&lt;=CRONO.NivelExibicao,MAX($AD$15:OFFSET(AD111,-1,0))+IF($C111&lt;&gt;1,1,MAX(1,COUNTIF(QCI!$A$13:$A$15,OFFSET($E111,-1,0)))),"")</f>
        <v>32</v>
      </c>
      <c r="AE111" s="50" t="b">
        <f aca="false">IF(AND($C111="S",ORÇAMENTO.CodBarra&lt;&gt;""),IF(ORÇAMENTO.Fonte="",ORÇAMENTO.CodBarra,CONCATENATE(ORÇAMENTO.Fonte," ",ORÇAMENTO.CodBarra)))</f>
        <v>0</v>
      </c>
      <c r="AF111" s="65" t="str">
        <f aca="true">IF(ISERROR(INDIRECT(ORÇAMENTO.BancoRef)),"(abra o arquivo 'Referência "&amp;Excel_BuiltIn_Database&amp;".xlsm)",IF(OR($C111&lt;&gt;"S",ORÇAMENTO.CodBarra=""),"(Sem Código)",IF(ISERROR(MATCH($AE111,INDIRECT(ORÇAMENTO.BancoRef),0)),"(Código não identificado nas referências)",MATCH($AE111,INDIRECT(ORÇAMENTO.BancoRef),0))))</f>
        <v>(abra o arquivo 'Referência 07-2025.xlsm)</v>
      </c>
      <c r="AG111" s="215" t="n">
        <f aca="true">ROUND(IF(DESONERACAO="sim",REFERENCIA.Desonerado,REFERENCIA.NaoDesonerado),2)</f>
        <v>0</v>
      </c>
      <c r="AH111" s="216" t="n">
        <f aca="false">ROUND(IF(ISNUMBER(ORÇAMENTO.OpcaoBDI),ORÇAMENTO.OpcaoBDI,IF(LEFT(ORÇAMENTO.OpcaoBDI,3)="BDI",HLOOKUP(ORÇAMENTO.OpcaoBDI,$F$4:$H$5,2,FALSE()),0)),15-11*$AF$9)</f>
        <v>0.2904</v>
      </c>
      <c r="AJ111" s="217"/>
      <c r="AL111" s="218"/>
      <c r="AM111" s="219" t="n">
        <f aca="false">$X111</f>
        <v>29087.5</v>
      </c>
      <c r="AN111" s="220" t="n">
        <f aca="false">ROUND(ORÇAMENTO.CustoUnitario*(1+$AH111),2)</f>
        <v>9.96</v>
      </c>
    </row>
    <row r="112" customFormat="false" ht="35.05" hidden="false" customHeight="false" outlineLevel="0" collapsed="false">
      <c r="A112" s="1" t="str">
        <f aca="false">CHOOSE(1+LOG(1+2*(ORÇAMENTO.Nivel="Meta")+4*(ORÇAMENTO.Nivel="Nível 2")+8*(ORÇAMENTO.Nivel="Nível 3")+16*(ORÇAMENTO.Nivel="Nível 4")+32*(ORÇAMENTO.Nivel="Serviço"),2),0,1,2,3,4,"S")</f>
        <v>S</v>
      </c>
      <c r="B112" s="1" t="n">
        <f aca="true">IF(OR(C112="s",C112=0),OFFSET(B112,-1,0),C112)</f>
        <v>2</v>
      </c>
      <c r="C112" s="1" t="str">
        <f aca="true">IF(OFFSET(C112,-1,0)="L",1,IF(OFFSET(C112,-1,0)=1,2,IF(OR(A112="s",A112=0),"S",IF(AND(OFFSET(C112,-1,0)=2,A112=4),3,IF(AND(OR(OFFSET(C112,-1,0)="s",OFFSET(C112,-1,0)=0),A112&lt;&gt;"s",A112&gt;OFFSET(B112,-1,0)),OFFSET(B112,-1,0),A112)))))</f>
        <v>S</v>
      </c>
      <c r="D112" s="1" t="n">
        <f aca="false">IF(OR(C112="S",C112=0),0,IF(ISERROR(K112),J112,SMALL(J112:K112,1)))</f>
        <v>0</v>
      </c>
      <c r="E112" s="1" t="n">
        <f aca="true">IF($C112=1,OFFSET(E112,-1,0)+MAX(1,COUNTIF(QCI!$A$13:$A$15,OFFSET(ORÇAMENTO!E112,-1,0))),OFFSET(E112,-1,0))</f>
        <v>1</v>
      </c>
      <c r="F112" s="1" t="n">
        <f aca="true">IF($C112=1,0,IF($C112=2,OFFSET(F112,-1,0)+1,OFFSET(F112,-1,0)))</f>
        <v>31</v>
      </c>
      <c r="G112" s="1" t="n">
        <f aca="true">IF(AND($C112&lt;=2,$C112&lt;&gt;0),0,IF($C112=3,OFFSET(G112,-1,0)+1,OFFSET(G112,-1,0)))</f>
        <v>0</v>
      </c>
      <c r="H112" s="1" t="n">
        <f aca="true">IF(AND($C112&lt;=3,$C112&lt;&gt;0),0,IF($C112=4,OFFSET(H112,-1,0)+1,OFFSET(H112,-1,0)))</f>
        <v>0</v>
      </c>
      <c r="I112" s="1" t="n">
        <f aca="true">IF(AND($C112&lt;=4,$C112&lt;&gt;0),0,IF(AND($C112="S",$X112&gt;0),OFFSET(I112,-1,0)+1,OFFSET(I112,-1,0)))</f>
        <v>1</v>
      </c>
      <c r="J112" s="1" t="n">
        <f aca="true">IF(OR($C112="S",$C112=0),0,MATCH(0,OFFSET($D112,1,$C112,ROW($C$205)-ROW($C112)),0))</f>
        <v>0</v>
      </c>
      <c r="K112" s="1" t="n">
        <f aca="true">IF(OR($C112="S",$C112=0),0,MATCH(OFFSET($D112,0,$C112)+IF($C112&lt;&gt;1,1,COUNTIF(QCI!$A$13:$A$15,ORÇAMENTO!E112)),OFFSET($D112,1,$C112,ROW($C$205)-ROW($C112)),0))</f>
        <v>0</v>
      </c>
      <c r="L112" s="199" t="str">
        <f aca="false">IF(OR($X112&gt;0,$C112=1,$C112=2,$C112=3,$C112=4),"F","")</f>
        <v>F</v>
      </c>
      <c r="M112" s="200" t="s">
        <v>735</v>
      </c>
      <c r="N112" s="201" t="str">
        <f aca="false">CHOOSE(1+LOG(1+2*(C112=1)+4*(C112=2)+8*(C112=3)+16*(C112=4)+32*(C112="S"),2),"","Meta","Nível 2","Nível 3","Nível 4","Serviço")</f>
        <v>Serviço</v>
      </c>
      <c r="O112" s="202" t="str">
        <f aca="false">IF(OR($C112=0,$L112=""),"-",CONCATENATE(E112&amp;".",IF(AND($A$5&gt;=2,$C112&gt;=2),F112&amp;".",""),IF(AND($A$5&gt;=3,$C112&gt;=3),G112&amp;".",""),IF(AND($A$5&gt;=4,$C112&gt;=4),H112&amp;".",""),IF($C112="S",I112&amp;".","")))</f>
        <v>1.31.1.</v>
      </c>
      <c r="P112" s="203" t="s">
        <v>780</v>
      </c>
      <c r="Q112" s="204" t="n">
        <v>97084</v>
      </c>
      <c r="R112" s="205" t="str">
        <f aca="false">[4]PO!$D$120</f>
        <v>COMPACTAÇÃO MECÂNICA DE SOLO PARA EXECUÇÃO DE RADIER, PISO DE CONCRETO OU LAJE SOBRE SOLO, COM COMPACTADOR DE SOLOS TIPO PLACA VIBRATÓRIA. AF_09/2021</v>
      </c>
      <c r="S112" s="206" t="s">
        <v>652</v>
      </c>
      <c r="T112" s="207" t="n">
        <f aca="true">OFFSET(CÁLCULO!H$15,ROW($T112)-ROW(T$15),0)</f>
        <v>378.75</v>
      </c>
      <c r="U112" s="208" t="n">
        <f aca="false">[2]PO!$G$120</f>
        <v>0.68</v>
      </c>
      <c r="V112" s="209" t="s">
        <v>690</v>
      </c>
      <c r="W112" s="207" t="n">
        <f aca="false">IF($C112="S",ROUND(IF(TIPOORCAMENTO="Proposto",ORÇAMENTO.CustoUnitario*(1+$AH112),ORÇAMENTO.PrecoUnitarioLicitado),15-13*$AF$10),0)</f>
        <v>0.88</v>
      </c>
      <c r="X112" s="210" t="n">
        <f aca="true" t="array" ref="X112:X112">IF($C112="S",IF(OR(Import.TipoArredondamento&lt;&gt;"TransfereGOV",ACOMPANHAMENTO="BM"),VTOTAL1,SUM(OFFSET(CÁLCULO!$AQ$15,ROW($X112)-ROW($X$15),1):OFFSET(CÁLCULO!$BR$15,ROW($X112)-ROW($X$15),-1))),IF($C112=0,0,ROUND(SomaAgrup,15-13*$AF$11)))</f>
        <v>333.25</v>
      </c>
      <c r="Y112" s="211" t="s">
        <v>781</v>
      </c>
      <c r="Z112" s="1" t="str">
        <f aca="false">IF(AND($C112="S",$X112&gt;0),IF(ISBLANK($Y112),"RA",LEFT($Y112,2)),"")</f>
        <v>RA</v>
      </c>
      <c r="AA112" s="212" t="n">
        <f aca="true">IF($C112="S",IF($Z112="CP",$X112,IF($Z112="RA",(($X112)*QCI!$AA$3),0)),SomaAgrup)</f>
        <v>36.9845937270102</v>
      </c>
      <c r="AB112" s="213" t="n">
        <f aca="true">IF($C112="S",IF($Z112="OU",ROUND($X112,2),0),SomaAgrup)</f>
        <v>0</v>
      </c>
      <c r="AC112" s="214" t="e">
        <f aca="false" t="array" ref="AC112:AC112">IF($N112=""," ",
IF(AND($C112&lt;&gt;"S",OR($R112="",$R112="(digite a descrição aqui)")),"DESCRIÇÃO",
IF(AND($C112="S",OR($Q112&lt;&gt;"",$T112&gt;0,$U112&gt;0),$P112=""),"FONTE",
IF(AND($C112="S",$P112&lt;&gt;"",OR($T112&gt;0,$U112&gt;0),$Q112=""),"CÓDIGO",
IF(AND($C112="S",$P112&lt;&gt;"",$Q112&lt;&gt;"",$R112="(Código não identificado nas referências)"),"CÓDIGO N/ID",
IF(AND($C112="S",OR($R112="",$R112="(digite a descrição aqui)"),OR($Q112&lt;&gt;"",$T112&gt;0,$U112&gt;0)),"DESCRIÇÃO",
IF(AND($C112="S",$P112&lt;&gt;"",$Q112&lt;&gt;"",$S112=""),"UNIDADE",
IF(AND($C112="S",$P112&lt;&gt;"",$Q112&lt;&gt;"",$U112=0),"SEM CUSTO",
IF(AND(_xlfn.single(TIPOORCAMENTO)="Licitado",$AL112=0,$AN112&gt;0),"SEM PREÇO",
IF(AND($C112="S",$P112&lt;&gt;"",$Q112&lt;&gt;"",$U112&gt;0,$V112=0),"BDI",
IF(OR(AND(TIPOORCAMENTO="Proposto",LEFT($O$8,5)&lt;&gt;"(N/D:",$AG112&lt;&gt;"",ORÇAMENTO.CustoUnitario&gt;$AG112),AND(TIPOORCAMENTO="LICITADO",ORÇAMENTO.PrecoUnitarioLicitado&gt;$AN112)),"ACIMA REF.",
IF(AND($C112="S",$P112&lt;&gt;"",$Q112&lt;&gt;"",$T112=0,$U112&gt;0),"QUANT.",
IF(AND(Import.TipoArredondamento="TransfereGOV",$L112="F",$C112="S",LEN($Q112)&gt;13),"Código &gt;13",
IF(AND(Import.TipoArredondamento="TransfereGOV",$L112="F",$C112&lt;&gt;"S",LEN($R112)&gt;100),"Descrição &gt;100",
IF(AND(Import.TipoArredondamento="TransfereGOV",$L112="F",$C112="S",LEN($R112)&gt;500),"Descrição &gt;500",
IF(AND(Import.TipoArredondamento="TransfereGOV",$L112="F",$C112="S",LEFT(TRIM(UPPER($P112)),6)&lt;&gt;"SINAPI",ISNA(VLOOKUP(TRIM(UPPER($S112)),ListaTgov.Unidades,1,FALSE()))),"Unid. Não Disp",
" "))))))))))))))))</f>
        <v>#NAME?</v>
      </c>
      <c r="AD112" s="1" t="str">
        <f aca="true">IF(C112&lt;=CRONO.NivelExibicao,MAX($AD$15:OFFSET(AD112,-1,0))+IF($C112&lt;&gt;1,1,MAX(1,COUNTIF(QCI!$A$13:$A$15,OFFSET($E112,-1,0)))),"")</f>
        <v/>
      </c>
      <c r="AE112" s="50" t="str">
        <f aca="false">IF(AND($C112="S",ORÇAMENTO.CodBarra&lt;&gt;""),IF(ORÇAMENTO.Fonte="",ORÇAMENTO.CodBarra,CONCATENATE(ORÇAMENTO.Fonte," ",ORÇAMENTO.CodBarra)))</f>
        <v>SINAPI 97084</v>
      </c>
      <c r="AF112" s="65" t="str">
        <f aca="true">IF(ISERROR(INDIRECT(ORÇAMENTO.BancoRef)),"(abra o arquivo 'Referência "&amp;Excel_BuiltIn_Database&amp;".xlsm)",IF(OR($C112&lt;&gt;"S",ORÇAMENTO.CodBarra=""),"(Sem Código)",IF(ISERROR(MATCH($AE112,INDIRECT(ORÇAMENTO.BancoRef),0)),"(Código não identificado nas referências)",MATCH($AE112,INDIRECT(ORÇAMENTO.BancoRef),0))))</f>
        <v>(abra o arquivo 'Referência 07-2025.xlsm)</v>
      </c>
      <c r="AG112" s="215" t="n">
        <f aca="true">ROUND(IF(DESONERACAO="sim",REFERENCIA.Desonerado,REFERENCIA.NaoDesonerado),2)</f>
        <v>0</v>
      </c>
      <c r="AH112" s="216" t="n">
        <f aca="false">ROUND(IF(ISNUMBER(ORÇAMENTO.OpcaoBDI),ORÇAMENTO.OpcaoBDI,IF(LEFT(ORÇAMENTO.OpcaoBDI,3)="BDI",HLOOKUP(ORÇAMENTO.OpcaoBDI,$F$4:$H$5,2,FALSE()),0)),15-11*$AF$9)</f>
        <v>0.2904</v>
      </c>
      <c r="AJ112" s="217"/>
      <c r="AL112" s="218"/>
      <c r="AM112" s="219" t="n">
        <f aca="false">$X112</f>
        <v>333.25</v>
      </c>
      <c r="AN112" s="220" t="n">
        <f aca="false">ROUND(ORÇAMENTO.CustoUnitario*(1+$AH112),2)</f>
        <v>0.88</v>
      </c>
    </row>
    <row r="113" customFormat="false" ht="35.05" hidden="false" customHeight="false" outlineLevel="0" collapsed="false">
      <c r="A113" s="1" t="str">
        <f aca="false">CHOOSE(1+LOG(1+2*(ORÇAMENTO.Nivel="Meta")+4*(ORÇAMENTO.Nivel="Nível 2")+8*(ORÇAMENTO.Nivel="Nível 3")+16*(ORÇAMENTO.Nivel="Nível 4")+32*(ORÇAMENTO.Nivel="Serviço"),2),0,1,2,3,4,"S")</f>
        <v>S</v>
      </c>
      <c r="B113" s="1" t="n">
        <f aca="true">IF(OR(C113="s",C113=0),OFFSET(B113,-1,0),C113)</f>
        <v>2</v>
      </c>
      <c r="C113" s="1" t="str">
        <f aca="true">IF(OFFSET(C113,-1,0)="L",1,IF(OFFSET(C113,-1,0)=1,2,IF(OR(A113="s",A113=0),"S",IF(AND(OFFSET(C113,-1,0)=2,A113=4),3,IF(AND(OR(OFFSET(C113,-1,0)="s",OFFSET(C113,-1,0)=0),A113&lt;&gt;"s",A113&gt;OFFSET(B113,-1,0)),OFFSET(B113,-1,0),A113)))))</f>
        <v>S</v>
      </c>
      <c r="D113" s="1" t="n">
        <f aca="false">IF(OR(C113="S",C113=0),0,IF(ISERROR(K113),J113,SMALL(J113:K113,1)))</f>
        <v>0</v>
      </c>
      <c r="E113" s="1" t="n">
        <f aca="true">IF($C113=1,OFFSET(E113,-1,0)+MAX(1,COUNTIF(QCI!$A$13:$A$15,OFFSET(ORÇAMENTO!E113,-1,0))),OFFSET(E113,-1,0))</f>
        <v>1</v>
      </c>
      <c r="F113" s="1" t="n">
        <f aca="true">IF($C113=1,0,IF($C113=2,OFFSET(F113,-1,0)+1,OFFSET(F113,-1,0)))</f>
        <v>31</v>
      </c>
      <c r="G113" s="1" t="n">
        <f aca="true">IF(AND($C113&lt;=2,$C113&lt;&gt;0),0,IF($C113=3,OFFSET(G113,-1,0)+1,OFFSET(G113,-1,0)))</f>
        <v>0</v>
      </c>
      <c r="H113" s="1" t="n">
        <f aca="true">IF(AND($C113&lt;=3,$C113&lt;&gt;0),0,IF($C113=4,OFFSET(H113,-1,0)+1,OFFSET(H113,-1,0)))</f>
        <v>0</v>
      </c>
      <c r="I113" s="1" t="n">
        <f aca="true">IF(AND($C113&lt;=4,$C113&lt;&gt;0),0,IF(AND($C113="S",$X113&gt;0),OFFSET(I113,-1,0)+1,OFFSET(I113,-1,0)))</f>
        <v>2</v>
      </c>
      <c r="J113" s="1" t="n">
        <f aca="true">IF(OR($C113="S",$C113=0),0,MATCH(0,OFFSET($D113,1,$C113,ROW($C$205)-ROW($C113)),0))</f>
        <v>0</v>
      </c>
      <c r="K113" s="1" t="n">
        <f aca="true">IF(OR($C113="S",$C113=0),0,MATCH(OFFSET($D113,0,$C113)+IF($C113&lt;&gt;1,1,COUNTIF(QCI!$A$13:$A$15,ORÇAMENTO!E113)),OFFSET($D113,1,$C113,ROW($C$205)-ROW($C113)),0))</f>
        <v>0</v>
      </c>
      <c r="L113" s="199" t="str">
        <f aca="false">IF(OR($X113&gt;0,$C113=1,$C113=2,$C113=3,$C113=4),"F","")</f>
        <v>F</v>
      </c>
      <c r="M113" s="200" t="s">
        <v>735</v>
      </c>
      <c r="N113" s="201" t="str">
        <f aca="false">CHOOSE(1+LOG(1+2*(C113=1)+4*(C113=2)+8*(C113=3)+16*(C113=4)+32*(C113="S"),2),"","Meta","Nível 2","Nível 3","Nível 4","Serviço")</f>
        <v>Serviço</v>
      </c>
      <c r="O113" s="202" t="str">
        <f aca="false">IF(OR($C113=0,$L113=""),"-",CONCATENATE(E113&amp;".",IF(AND($A$5&gt;=2,$C113&gt;=2),F113&amp;".",""),IF(AND($A$5&gt;=3,$C113&gt;=3),G113&amp;".",""),IF(AND($A$5&gt;=4,$C113&gt;=4),H113&amp;".",""),IF($C113="S",I113&amp;".","")))</f>
        <v>1.31.2.</v>
      </c>
      <c r="P113" s="203" t="s">
        <v>780</v>
      </c>
      <c r="Q113" s="204" t="n">
        <v>94990</v>
      </c>
      <c r="R113" s="205" t="str">
        <f aca="false">[4]PO!$D$121</f>
        <v>EXECUÇÃO DE PASSEIO (CALÇADA) OU PISO DE CONCRETO COM CONCRETO MOLDADO IN LOCO, FEITO EM OBRA, ACABAMENTO CONVENCIONAL, NÃO ARMADO. AF_08/2022</v>
      </c>
      <c r="S113" s="206" t="s">
        <v>652</v>
      </c>
      <c r="T113" s="207" t="n">
        <f aca="true">OFFSET(CÁLCULO!H$15,ROW($T113)-ROW(T$15),0)</f>
        <v>26.5</v>
      </c>
      <c r="U113" s="208" t="n">
        <f aca="false">[2]PO!$G$121</f>
        <v>840.88</v>
      </c>
      <c r="V113" s="209" t="s">
        <v>690</v>
      </c>
      <c r="W113" s="207" t="n">
        <f aca="false">IF($C113="S",ROUND(IF(TIPOORCAMENTO="Proposto",ORÇAMENTO.CustoUnitario*(1+$AH113),ORÇAMENTO.PrecoUnitarioLicitado),15-13*$AF$10),0)</f>
        <v>1085.07</v>
      </c>
      <c r="X113" s="210" t="n">
        <f aca="true" t="array" ref="X113:X113">IF($C113="S",IF(OR(Import.TipoArredondamento&lt;&gt;"TransfereGOV",ACOMPANHAMENTO="BM"),VTOTAL1,SUM(OFFSET(CÁLCULO!$AQ$15,ROW($X113)-ROW($X$15),1):OFFSET(CÁLCULO!$BR$15,ROW($X113)-ROW($X$15),-1))),IF($C113=0,0,ROUND(SomaAgrup,15-13*$AF$11)))</f>
        <v>28754.25</v>
      </c>
      <c r="Y113" s="211" t="s">
        <v>781</v>
      </c>
      <c r="Z113" s="1" t="str">
        <f aca="false">IF(AND($C113="S",$X113&gt;0),IF(ISBLANK($Y113),"RA",LEFT($Y113,2)),"")</f>
        <v>RA</v>
      </c>
      <c r="AA113" s="212" t="n">
        <f aca="true">IF($C113="S",IF($Z113="CP",$X113,IF($Z113="RA",(($X113)*QCI!$AA$3),0)),SomaAgrup)</f>
        <v>3191.19056016469</v>
      </c>
      <c r="AB113" s="213" t="n">
        <f aca="true">IF($C113="S",IF($Z113="OU",ROUND($X113,2),0),SomaAgrup)</f>
        <v>0</v>
      </c>
      <c r="AC113" s="214" t="e">
        <f aca="false" t="array" ref="AC113:AC113">IF($N113=""," ",
IF(AND($C113&lt;&gt;"S",OR($R113="",$R113="(digite a descrição aqui)")),"DESCRIÇÃO",
IF(AND($C113="S",OR($Q113&lt;&gt;"",$T113&gt;0,$U113&gt;0),$P113=""),"FONTE",
IF(AND($C113="S",$P113&lt;&gt;"",OR($T113&gt;0,$U113&gt;0),$Q113=""),"CÓDIGO",
IF(AND($C113="S",$P113&lt;&gt;"",$Q113&lt;&gt;"",$R113="(Código não identificado nas referências)"),"CÓDIGO N/ID",
IF(AND($C113="S",OR($R113="",$R113="(digite a descrição aqui)"),OR($Q113&lt;&gt;"",$T113&gt;0,$U113&gt;0)),"DESCRIÇÃO",
IF(AND($C113="S",$P113&lt;&gt;"",$Q113&lt;&gt;"",$S113=""),"UNIDADE",
IF(AND($C113="S",$P113&lt;&gt;"",$Q113&lt;&gt;"",$U113=0),"SEM CUSTO",
IF(AND(_xlfn.single(TIPOORCAMENTO)="Licitado",$AL113=0,$AN113&gt;0),"SEM PREÇO",
IF(AND($C113="S",$P113&lt;&gt;"",$Q113&lt;&gt;"",$U113&gt;0,$V113=0),"BDI",
IF(OR(AND(TIPOORCAMENTO="Proposto",LEFT($O$8,5)&lt;&gt;"(N/D:",$AG113&lt;&gt;"",ORÇAMENTO.CustoUnitario&gt;$AG113),AND(TIPOORCAMENTO="LICITADO",ORÇAMENTO.PrecoUnitarioLicitado&gt;$AN113)),"ACIMA REF.",
IF(AND($C113="S",$P113&lt;&gt;"",$Q113&lt;&gt;"",$T113=0,$U113&gt;0),"QUANT.",
IF(AND(Import.TipoArredondamento="TransfereGOV",$L113="F",$C113="S",LEN($Q113)&gt;13),"Código &gt;13",
IF(AND(Import.TipoArredondamento="TransfereGOV",$L113="F",$C113&lt;&gt;"S",LEN($R113)&gt;100),"Descrição &gt;100",
IF(AND(Import.TipoArredondamento="TransfereGOV",$L113="F",$C113="S",LEN($R113)&gt;500),"Descrição &gt;500",
IF(AND(Import.TipoArredondamento="TransfereGOV",$L113="F",$C113="S",LEFT(TRIM(UPPER($P113)),6)&lt;&gt;"SINAPI",ISNA(VLOOKUP(TRIM(UPPER($S113)),ListaTgov.Unidades,1,FALSE()))),"Unid. Não Disp",
" "))))))))))))))))</f>
        <v>#NAME?</v>
      </c>
      <c r="AD113" s="1" t="str">
        <f aca="true">IF(C113&lt;=CRONO.NivelExibicao,MAX($AD$15:OFFSET(AD113,-1,0))+IF($C113&lt;&gt;1,1,MAX(1,COUNTIF(QCI!$A$13:$A$15,OFFSET($E113,-1,0)))),"")</f>
        <v/>
      </c>
      <c r="AE113" s="50" t="str">
        <f aca="false">IF(AND($C113="S",ORÇAMENTO.CodBarra&lt;&gt;""),IF(ORÇAMENTO.Fonte="",ORÇAMENTO.CodBarra,CONCATENATE(ORÇAMENTO.Fonte," ",ORÇAMENTO.CodBarra)))</f>
        <v>SINAPI 94990</v>
      </c>
      <c r="AF113" s="65" t="str">
        <f aca="true">IF(ISERROR(INDIRECT(ORÇAMENTO.BancoRef)),"(abra o arquivo 'Referência "&amp;Excel_BuiltIn_Database&amp;".xlsm)",IF(OR($C113&lt;&gt;"S",ORÇAMENTO.CodBarra=""),"(Sem Código)",IF(ISERROR(MATCH($AE113,INDIRECT(ORÇAMENTO.BancoRef),0)),"(Código não identificado nas referências)",MATCH($AE113,INDIRECT(ORÇAMENTO.BancoRef),0))))</f>
        <v>(abra o arquivo 'Referência 07-2025.xlsm)</v>
      </c>
      <c r="AG113" s="215" t="n">
        <f aca="true">ROUND(IF(DESONERACAO="sim",REFERENCIA.Desonerado,REFERENCIA.NaoDesonerado),2)</f>
        <v>0</v>
      </c>
      <c r="AH113" s="216" t="n">
        <f aca="false">ROUND(IF(ISNUMBER(ORÇAMENTO.OpcaoBDI),ORÇAMENTO.OpcaoBDI,IF(LEFT(ORÇAMENTO.OpcaoBDI,3)="BDI",HLOOKUP(ORÇAMENTO.OpcaoBDI,$F$4:$H$5,2,FALSE()),0)),15-11*$AF$9)</f>
        <v>0.2904</v>
      </c>
      <c r="AJ113" s="217"/>
      <c r="AL113" s="218"/>
      <c r="AM113" s="219" t="n">
        <f aca="false">$X113</f>
        <v>28754.25</v>
      </c>
      <c r="AN113" s="220" t="n">
        <f aca="false">ROUND(ORÇAMENTO.CustoUnitario*(1+$AH113),2)</f>
        <v>1085.07</v>
      </c>
    </row>
    <row r="114" customFormat="false" ht="12.75" hidden="false" customHeight="false" outlineLevel="0" collapsed="false">
      <c r="A114" s="1" t="n">
        <f aca="false">CHOOSE(1+LOG(1+2*(ORÇAMENTO.Nivel="Meta")+4*(ORÇAMENTO.Nivel="Nível 2")+8*(ORÇAMENTO.Nivel="Nível 3")+16*(ORÇAMENTO.Nivel="Nível 4")+32*(ORÇAMENTO.Nivel="Serviço"),2),0,1,2,3,4,"S")</f>
        <v>2</v>
      </c>
      <c r="B114" s="1" t="n">
        <f aca="true">IF(OR(C114="s",C114=0),OFFSET(B114,-1,0),C114)</f>
        <v>2</v>
      </c>
      <c r="C114" s="1" t="n">
        <f aca="true">IF(OFFSET(C114,-1,0)="L",1,IF(OFFSET(C114,-1,0)=1,2,IF(OR(A114="s",A114=0),"S",IF(AND(OFFSET(C114,-1,0)=2,A114=4),3,IF(AND(OR(OFFSET(C114,-1,0)="s",OFFSET(C114,-1,0)=0),A114&lt;&gt;"s",A114&gt;OFFSET(B114,-1,0)),OFFSET(B114,-1,0),A114)))))</f>
        <v>2</v>
      </c>
      <c r="D114" s="1" t="n">
        <f aca="false">IF(OR(C114="S",C114=0),0,IF(ISERROR(K114),J114,SMALL(J114:K114,1)))</f>
        <v>3</v>
      </c>
      <c r="E114" s="1" t="n">
        <f aca="true">IF($C114=1,OFFSET(E114,-1,0)+MAX(1,COUNTIF(QCI!$A$13:$A$15,OFFSET(ORÇAMENTO!E114,-1,0))),OFFSET(E114,-1,0))</f>
        <v>1</v>
      </c>
      <c r="F114" s="1" t="n">
        <f aca="true">IF($C114=1,0,IF($C114=2,OFFSET(F114,-1,0)+1,OFFSET(F114,-1,0)))</f>
        <v>32</v>
      </c>
      <c r="G114" s="1" t="n">
        <f aca="true">IF(AND($C114&lt;=2,$C114&lt;&gt;0),0,IF($C114=3,OFFSET(G114,-1,0)+1,OFFSET(G114,-1,0)))</f>
        <v>0</v>
      </c>
      <c r="H114" s="1" t="n">
        <f aca="true">IF(AND($C114&lt;=3,$C114&lt;&gt;0),0,IF($C114=4,OFFSET(H114,-1,0)+1,OFFSET(H114,-1,0)))</f>
        <v>0</v>
      </c>
      <c r="I114" s="1" t="n">
        <f aca="true">IF(AND($C114&lt;=4,$C114&lt;&gt;0),0,IF(AND($C114="S",$X114&gt;0),OFFSET(I114,-1,0)+1,OFFSET(I114,-1,0)))</f>
        <v>0</v>
      </c>
      <c r="J114" s="1" t="n">
        <f aca="true">IF(OR($C114="S",$C114=0),0,MATCH(0,OFFSET($D114,1,$C114,ROW($C$205)-ROW($C114)),0))</f>
        <v>91</v>
      </c>
      <c r="K114" s="1" t="n">
        <f aca="true">IF(OR($C114="S",$C114=0),0,MATCH(OFFSET($D114,0,$C114)+IF($C114&lt;&gt;1,1,COUNTIF(QCI!$A$13:$A$15,ORÇAMENTO!E114)),OFFSET($D114,1,$C114,ROW($C$205)-ROW($C114)),0))</f>
        <v>3</v>
      </c>
      <c r="L114" s="199" t="str">
        <f aca="false">IF(OR($X114&gt;0,$C114=1,$C114=2,$C114=3,$C114=4),"F","")</f>
        <v>F</v>
      </c>
      <c r="M114" s="200" t="s">
        <v>732</v>
      </c>
      <c r="N114" s="201" t="str">
        <f aca="false">CHOOSE(1+LOG(1+2*(C114=1)+4*(C114=2)+8*(C114=3)+16*(C114=4)+32*(C114="S"),2),"","Meta","Nível 2","Nível 3","Nível 4","Serviço")</f>
        <v>Nível 2</v>
      </c>
      <c r="O114" s="202" t="str">
        <f aca="false">IF(OR($C114=0,$L114=""),"-",CONCATENATE(E114&amp;".",IF(AND($A$5&gt;=2,$C114&gt;=2),F114&amp;".",""),IF(AND($A$5&gt;=3,$C114&gt;=3),G114&amp;".",""),IF(AND($A$5&gt;=4,$C114&gt;=4),H114&amp;".",""),IF($C114="S",I114&amp;".","")))</f>
        <v>1.32.</v>
      </c>
      <c r="P114" s="203" t="s">
        <v>780</v>
      </c>
      <c r="Q114" s="204"/>
      <c r="R114" s="205" t="str">
        <f aca="false">[4]PO!$B$122</f>
        <v>RODAPÉS, SOLEIRAS E PEITORIS</v>
      </c>
      <c r="S114" s="206" t="str">
        <f aca="true">REFERENCIA.Unidade</f>
        <v>-</v>
      </c>
      <c r="T114" s="207" t="n">
        <f aca="true">OFFSET(CÁLCULO!H$15,ROW($T114)-ROW(T$15),0)</f>
        <v>0</v>
      </c>
      <c r="U114" s="208"/>
      <c r="V114" s="209" t="s">
        <v>690</v>
      </c>
      <c r="W114" s="207" t="n">
        <f aca="false">IF($C114="S",ROUND(IF(TIPOORCAMENTO="Proposto",ORÇAMENTO.CustoUnitario*(1+$AH114),ORÇAMENTO.PrecoUnitarioLicitado),15-13*$AF$10),0)</f>
        <v>0</v>
      </c>
      <c r="X114" s="210" t="n">
        <f aca="true" t="array" ref="X114:X114">IF($C114="S",IF(OR(Import.TipoArredondamento&lt;&gt;"TransfereGOV",ACOMPANHAMENTO="BM"),VTOTAL1,SUM(OFFSET(CÁLCULO!$AQ$15,ROW($X114)-ROW($X$15),1):OFFSET(CÁLCULO!$BR$15,ROW($X114)-ROW($X$15),-1))),IF($C114=0,0,ROUND(SomaAgrup,15-13*$AF$11)))</f>
        <v>23182.5</v>
      </c>
      <c r="Y114" s="211" t="s">
        <v>781</v>
      </c>
      <c r="Z114" s="1" t="str">
        <f aca="false">IF(AND($C114="S",$X114&gt;0),IF(ISBLANK($Y114),"RA",LEFT($Y114,2)),"")</f>
        <v/>
      </c>
      <c r="AA114" s="212" t="n">
        <f aca="true">IF($C114="S",IF($Z114="CP",$X114,IF($Z114="RA",(($X114)*QCI!$AA$3),0)),SomaAgrup)</f>
        <v>2572.82923953912</v>
      </c>
      <c r="AB114" s="213" t="n">
        <f aca="true">IF($C114="S",IF($Z114="OU",ROUND($X114,2),0),SomaAgrup)</f>
        <v>0</v>
      </c>
      <c r="AC114" s="214" t="e">
        <f aca="false" t="array" ref="AC114:AC114">IF($N114=""," ",
IF(AND($C114&lt;&gt;"S",OR($R114="",$R114="(digite a descrição aqui)")),"DESCRIÇÃO",
IF(AND($C114="S",OR($Q114&lt;&gt;"",$T114&gt;0,$U114&gt;0),$P114=""),"FONTE",
IF(AND($C114="S",$P114&lt;&gt;"",OR($T114&gt;0,$U114&gt;0),$Q114=""),"CÓDIGO",
IF(AND($C114="S",$P114&lt;&gt;"",$Q114&lt;&gt;"",$R114="(Código não identificado nas referências)"),"CÓDIGO N/ID",
IF(AND($C114="S",OR($R114="",$R114="(digite a descrição aqui)"),OR($Q114&lt;&gt;"",$T114&gt;0,$U114&gt;0)),"DESCRIÇÃO",
IF(AND($C114="S",$P114&lt;&gt;"",$Q114&lt;&gt;"",$S114=""),"UNIDADE",
IF(AND($C114="S",$P114&lt;&gt;"",$Q114&lt;&gt;"",$U114=0),"SEM CUSTO",
IF(AND(_xlfn.single(TIPOORCAMENTO)="Licitado",$AL114=0,$AN114&gt;0),"SEM PREÇO",
IF(AND($C114="S",$P114&lt;&gt;"",$Q114&lt;&gt;"",$U114&gt;0,$V114=0),"BDI",
IF(OR(AND(TIPOORCAMENTO="Proposto",LEFT($O$8,5)&lt;&gt;"(N/D:",$AG114&lt;&gt;"",ORÇAMENTO.CustoUnitario&gt;$AG114),AND(TIPOORCAMENTO="LICITADO",ORÇAMENTO.PrecoUnitarioLicitado&gt;$AN114)),"ACIMA REF.",
IF(AND($C114="S",$P114&lt;&gt;"",$Q114&lt;&gt;"",$T114=0,$U114&gt;0),"QUANT.",
IF(AND(Import.TipoArredondamento="TransfereGOV",$L114="F",$C114="S",LEN($Q114)&gt;13),"Código &gt;13",
IF(AND(Import.TipoArredondamento="TransfereGOV",$L114="F",$C114&lt;&gt;"S",LEN($R114)&gt;100),"Descrição &gt;100",
IF(AND(Import.TipoArredondamento="TransfereGOV",$L114="F",$C114="S",LEN($R114)&gt;500),"Descrição &gt;500",
IF(AND(Import.TipoArredondamento="TransfereGOV",$L114="F",$C114="S",LEFT(TRIM(UPPER($P114)),6)&lt;&gt;"SINAPI",ISNA(VLOOKUP(TRIM(UPPER($S114)),ListaTgov.Unidades,1,FALSE()))),"Unid. Não Disp",
" "))))))))))))))))</f>
        <v>#NAME?</v>
      </c>
      <c r="AD114" s="38" t="n">
        <f aca="true">IF(C114&lt;=CRONO.NivelExibicao,MAX($AD$15:OFFSET(AD114,-1,0))+IF($C114&lt;&gt;1,1,MAX(1,COUNTIF(QCI!$A$13:$A$15,OFFSET($E114,-1,0)))),"")</f>
        <v>33</v>
      </c>
      <c r="AE114" s="50" t="b">
        <f aca="false">IF(AND($C114="S",ORÇAMENTO.CodBarra&lt;&gt;""),IF(ORÇAMENTO.Fonte="",ORÇAMENTO.CodBarra,CONCATENATE(ORÇAMENTO.Fonte," ",ORÇAMENTO.CodBarra)))</f>
        <v>0</v>
      </c>
      <c r="AF114" s="65" t="str">
        <f aca="true">IF(ISERROR(INDIRECT(ORÇAMENTO.BancoRef)),"(abra o arquivo 'Referência "&amp;Excel_BuiltIn_Database&amp;".xlsm)",IF(OR($C114&lt;&gt;"S",ORÇAMENTO.CodBarra=""),"(Sem Código)",IF(ISERROR(MATCH($AE114,INDIRECT(ORÇAMENTO.BancoRef),0)),"(Código não identificado nas referências)",MATCH($AE114,INDIRECT(ORÇAMENTO.BancoRef),0))))</f>
        <v>(abra o arquivo 'Referência 07-2025.xlsm)</v>
      </c>
      <c r="AG114" s="215" t="n">
        <f aca="true">ROUND(IF(DESONERACAO="sim",REFERENCIA.Desonerado,REFERENCIA.NaoDesonerado),2)</f>
        <v>0</v>
      </c>
      <c r="AH114" s="216" t="n">
        <f aca="false">ROUND(IF(ISNUMBER(ORÇAMENTO.OpcaoBDI),ORÇAMENTO.OpcaoBDI,IF(LEFT(ORÇAMENTO.OpcaoBDI,3)="BDI",HLOOKUP(ORÇAMENTO.OpcaoBDI,$F$4:$H$5,2,FALSE()),0)),15-11*$AF$9)</f>
        <v>0.2904</v>
      </c>
      <c r="AJ114" s="217"/>
      <c r="AL114" s="218"/>
      <c r="AM114" s="219" t="n">
        <f aca="false">$X114</f>
        <v>23182.5</v>
      </c>
      <c r="AN114" s="220" t="n">
        <f aca="false">ROUND(ORÇAMENTO.CustoUnitario*(1+$AH114),2)</f>
        <v>0</v>
      </c>
    </row>
    <row r="115" customFormat="false" ht="23.85" hidden="false" customHeight="false" outlineLevel="0" collapsed="false">
      <c r="A115" s="1" t="str">
        <f aca="false">CHOOSE(1+LOG(1+2*(ORÇAMENTO.Nivel="Meta")+4*(ORÇAMENTO.Nivel="Nível 2")+8*(ORÇAMENTO.Nivel="Nível 3")+16*(ORÇAMENTO.Nivel="Nível 4")+32*(ORÇAMENTO.Nivel="Serviço"),2),0,1,2,3,4,"S")</f>
        <v>S</v>
      </c>
      <c r="B115" s="1" t="n">
        <f aca="true">IF(OR(C115="s",C115=0),OFFSET(B115,-1,0),C115)</f>
        <v>2</v>
      </c>
      <c r="C115" s="1" t="str">
        <f aca="true">IF(OFFSET(C115,-1,0)="L",1,IF(OFFSET(C115,-1,0)=1,2,IF(OR(A115="s",A115=0),"S",IF(AND(OFFSET(C115,-1,0)=2,A115=4),3,IF(AND(OR(OFFSET(C115,-1,0)="s",OFFSET(C115,-1,0)=0),A115&lt;&gt;"s",A115&gt;OFFSET(B115,-1,0)),OFFSET(B115,-1,0),A115)))))</f>
        <v>S</v>
      </c>
      <c r="D115" s="1" t="n">
        <f aca="false">IF(OR(C115="S",C115=0),0,IF(ISERROR(K115),J115,SMALL(J115:K115,1)))</f>
        <v>0</v>
      </c>
      <c r="E115" s="1" t="n">
        <f aca="true">IF($C115=1,OFFSET(E115,-1,0)+MAX(1,COUNTIF(QCI!$A$13:$A$15,OFFSET(ORÇAMENTO!E115,-1,0))),OFFSET(E115,-1,0))</f>
        <v>1</v>
      </c>
      <c r="F115" s="1" t="n">
        <f aca="true">IF($C115=1,0,IF($C115=2,OFFSET(F115,-1,0)+1,OFFSET(F115,-1,0)))</f>
        <v>32</v>
      </c>
      <c r="G115" s="1" t="n">
        <f aca="true">IF(AND($C115&lt;=2,$C115&lt;&gt;0),0,IF($C115=3,OFFSET(G115,-1,0)+1,OFFSET(G115,-1,0)))</f>
        <v>0</v>
      </c>
      <c r="H115" s="1" t="n">
        <f aca="true">IF(AND($C115&lt;=3,$C115&lt;&gt;0),0,IF($C115=4,OFFSET(H115,-1,0)+1,OFFSET(H115,-1,0)))</f>
        <v>0</v>
      </c>
      <c r="I115" s="1" t="n">
        <f aca="true">IF(AND($C115&lt;=4,$C115&lt;&gt;0),0,IF(AND($C115="S",$X115&gt;0),OFFSET(I115,-1,0)+1,OFFSET(I115,-1,0)))</f>
        <v>1</v>
      </c>
      <c r="J115" s="1" t="n">
        <f aca="true">IF(OR($C115="S",$C115=0),0,MATCH(0,OFFSET($D115,1,$C115,ROW($C$205)-ROW($C115)),0))</f>
        <v>0</v>
      </c>
      <c r="K115" s="1" t="n">
        <f aca="true">IF(OR($C115="S",$C115=0),0,MATCH(OFFSET($D115,0,$C115)+IF($C115&lt;&gt;1,1,COUNTIF(QCI!$A$13:$A$15,ORÇAMENTO!E115)),OFFSET($D115,1,$C115,ROW($C$205)-ROW($C115)),0))</f>
        <v>0</v>
      </c>
      <c r="L115" s="199" t="str">
        <f aca="false">IF(OR($X115&gt;0,$C115=1,$C115=2,$C115=3,$C115=4),"F","")</f>
        <v>F</v>
      </c>
      <c r="M115" s="200" t="s">
        <v>735</v>
      </c>
      <c r="N115" s="201" t="str">
        <f aca="false">CHOOSE(1+LOG(1+2*(C115=1)+4*(C115=2)+8*(C115=3)+16*(C115=4)+32*(C115="S"),2),"","Meta","Nível 2","Nível 3","Nível 4","Serviço")</f>
        <v>Serviço</v>
      </c>
      <c r="O115" s="202" t="str">
        <f aca="false">IF(OR($C115=0,$L115=""),"-",CONCATENATE(E115&amp;".",IF(AND($A$5&gt;=2,$C115&gt;=2),F115&amp;".",""),IF(AND($A$5&gt;=3,$C115&gt;=3),G115&amp;".",""),IF(AND($A$5&gt;=4,$C115&gt;=4),H115&amp;".",""),IF($C115="S",I115&amp;".","")))</f>
        <v>1.32.1.</v>
      </c>
      <c r="P115" s="203" t="s">
        <v>780</v>
      </c>
      <c r="Q115" s="204" t="n">
        <v>88648</v>
      </c>
      <c r="R115" s="205" t="str">
        <f aca="false">[4]PO!$D$124</f>
        <v>RODAPÉ CERÂMICO DE 7CM DE ALTURA COM PLACAS TIPO ESMALTADA DE DIMENSÕES 35X35CM. AF_02/2023</v>
      </c>
      <c r="S115" s="206" t="s">
        <v>648</v>
      </c>
      <c r="T115" s="207" t="n">
        <f aca="true">OFFSET(CÁLCULO!H$15,ROW($T115)-ROW(T$15),0)</f>
        <v>117.75</v>
      </c>
      <c r="U115" s="208" t="n">
        <f aca="false">[2]PO!$G$124</f>
        <v>7.46</v>
      </c>
      <c r="V115" s="209" t="s">
        <v>690</v>
      </c>
      <c r="W115" s="207" t="n">
        <f aca="false">IF($C115="S",ROUND(IF(TIPOORCAMENTO="Proposto",ORÇAMENTO.CustoUnitario*(1+$AH115),ORÇAMENTO.PrecoUnitarioLicitado),15-13*$AF$10),0)</f>
        <v>9.63</v>
      </c>
      <c r="X115" s="210" t="n">
        <f aca="true" t="array" ref="X115:X115">IF($C115="S",IF(OR(Import.TipoArredondamento&lt;&gt;"TransfereGOV",ACOMPANHAMENTO="BM"),VTOTAL1,SUM(OFFSET(CÁLCULO!$AQ$15,ROW($X115)-ROW($X$15),1):OFFSET(CÁLCULO!$BR$15,ROW($X115)-ROW($X$15),-1))),IF($C115=0,0,ROUND(SomaAgrup,15-13*$AF$11)))</f>
        <v>1134</v>
      </c>
      <c r="Y115" s="211" t="s">
        <v>781</v>
      </c>
      <c r="Z115" s="1" t="str">
        <f aca="false">IF(AND($C115="S",$X115&gt;0),IF(ISBLANK($Y115),"RA",LEFT($Y115,2)),"")</f>
        <v>RA</v>
      </c>
      <c r="AA115" s="212" t="n">
        <f aca="true">IF($C115="S",IF($Z115="CP",$X115,IF($Z115="RA",(($X115)*QCI!$AA$3),0)),SomaAgrup)</f>
        <v>125.853051122069</v>
      </c>
      <c r="AB115" s="213" t="n">
        <f aca="true">IF($C115="S",IF($Z115="OU",ROUND($X115,2),0),SomaAgrup)</f>
        <v>0</v>
      </c>
      <c r="AC115" s="214" t="e">
        <f aca="false" t="array" ref="AC115:AC115">IF($N115=""," ",
IF(AND($C115&lt;&gt;"S",OR($R115="",$R115="(digite a descrição aqui)")),"DESCRIÇÃO",
IF(AND($C115="S",OR($Q115&lt;&gt;"",$T115&gt;0,$U115&gt;0),$P115=""),"FONTE",
IF(AND($C115="S",$P115&lt;&gt;"",OR($T115&gt;0,$U115&gt;0),$Q115=""),"CÓDIGO",
IF(AND($C115="S",$P115&lt;&gt;"",$Q115&lt;&gt;"",$R115="(Código não identificado nas referências)"),"CÓDIGO N/ID",
IF(AND($C115="S",OR($R115="",$R115="(digite a descrição aqui)"),OR($Q115&lt;&gt;"",$T115&gt;0,$U115&gt;0)),"DESCRIÇÃO",
IF(AND($C115="S",$P115&lt;&gt;"",$Q115&lt;&gt;"",$S115=""),"UNIDADE",
IF(AND($C115="S",$P115&lt;&gt;"",$Q115&lt;&gt;"",$U115=0),"SEM CUSTO",
IF(AND(_xlfn.single(TIPOORCAMENTO)="Licitado",$AL115=0,$AN115&gt;0),"SEM PREÇO",
IF(AND($C115="S",$P115&lt;&gt;"",$Q115&lt;&gt;"",$U115&gt;0,$V115=0),"BDI",
IF(OR(AND(TIPOORCAMENTO="Proposto",LEFT($O$8,5)&lt;&gt;"(N/D:",$AG115&lt;&gt;"",ORÇAMENTO.CustoUnitario&gt;$AG115),AND(TIPOORCAMENTO="LICITADO",ORÇAMENTO.PrecoUnitarioLicitado&gt;$AN115)),"ACIMA REF.",
IF(AND($C115="S",$P115&lt;&gt;"",$Q115&lt;&gt;"",$T115=0,$U115&gt;0),"QUANT.",
IF(AND(Import.TipoArredondamento="TransfereGOV",$L115="F",$C115="S",LEN($Q115)&gt;13),"Código &gt;13",
IF(AND(Import.TipoArredondamento="TransfereGOV",$L115="F",$C115&lt;&gt;"S",LEN($R115)&gt;100),"Descrição &gt;100",
IF(AND(Import.TipoArredondamento="TransfereGOV",$L115="F",$C115="S",LEN($R115)&gt;500),"Descrição &gt;500",
IF(AND(Import.TipoArredondamento="TransfereGOV",$L115="F",$C115="S",LEFT(TRIM(UPPER($P115)),6)&lt;&gt;"SINAPI",ISNA(VLOOKUP(TRIM(UPPER($S115)),ListaTgov.Unidades,1,FALSE()))),"Unid. Não Disp",
" "))))))))))))))))</f>
        <v>#NAME?</v>
      </c>
      <c r="AD115" s="1" t="str">
        <f aca="true">IF(C115&lt;=CRONO.NivelExibicao,MAX($AD$15:OFFSET(AD115,-1,0))+IF($C115&lt;&gt;1,1,MAX(1,COUNTIF(QCI!$A$13:$A$15,OFFSET($E115,-1,0)))),"")</f>
        <v/>
      </c>
      <c r="AE115" s="50" t="str">
        <f aca="false">IF(AND($C115="S",ORÇAMENTO.CodBarra&lt;&gt;""),IF(ORÇAMENTO.Fonte="",ORÇAMENTO.CodBarra,CONCATENATE(ORÇAMENTO.Fonte," ",ORÇAMENTO.CodBarra)))</f>
        <v>SINAPI 88648</v>
      </c>
      <c r="AF115" s="65" t="str">
        <f aca="true">IF(ISERROR(INDIRECT(ORÇAMENTO.BancoRef)),"(abra o arquivo 'Referência "&amp;Excel_BuiltIn_Database&amp;".xlsm)",IF(OR($C115&lt;&gt;"S",ORÇAMENTO.CodBarra=""),"(Sem Código)",IF(ISERROR(MATCH($AE115,INDIRECT(ORÇAMENTO.BancoRef),0)),"(Código não identificado nas referências)",MATCH($AE115,INDIRECT(ORÇAMENTO.BancoRef),0))))</f>
        <v>(abra o arquivo 'Referência 07-2025.xlsm)</v>
      </c>
      <c r="AG115" s="215" t="n">
        <f aca="true">ROUND(IF(DESONERACAO="sim",REFERENCIA.Desonerado,REFERENCIA.NaoDesonerado),2)</f>
        <v>0</v>
      </c>
      <c r="AH115" s="216" t="n">
        <f aca="false">ROUND(IF(ISNUMBER(ORÇAMENTO.OpcaoBDI),ORÇAMENTO.OpcaoBDI,IF(LEFT(ORÇAMENTO.OpcaoBDI,3)="BDI",HLOOKUP(ORÇAMENTO.OpcaoBDI,$F$4:$H$5,2,FALSE()),0)),15-11*$AF$9)</f>
        <v>0.2904</v>
      </c>
      <c r="AJ115" s="217"/>
      <c r="AL115" s="218"/>
      <c r="AM115" s="219" t="n">
        <f aca="false">$X115</f>
        <v>1134</v>
      </c>
      <c r="AN115" s="220" t="n">
        <f aca="false">ROUND(ORÇAMENTO.CustoUnitario*(1+$AH115),2)</f>
        <v>9.63</v>
      </c>
    </row>
    <row r="116" customFormat="false" ht="23.85" hidden="false" customHeight="false" outlineLevel="0" collapsed="false">
      <c r="A116" s="1" t="str">
        <f aca="false">CHOOSE(1+LOG(1+2*(ORÇAMENTO.Nivel="Meta")+4*(ORÇAMENTO.Nivel="Nível 2")+8*(ORÇAMENTO.Nivel="Nível 3")+16*(ORÇAMENTO.Nivel="Nível 4")+32*(ORÇAMENTO.Nivel="Serviço"),2),0,1,2,3,4,"S")</f>
        <v>S</v>
      </c>
      <c r="B116" s="1" t="n">
        <f aca="true">IF(OR(C116="s",C116=0),OFFSET(B116,-1,0),C116)</f>
        <v>2</v>
      </c>
      <c r="C116" s="1" t="str">
        <f aca="true">IF(OFFSET(C116,-1,0)="L",1,IF(OFFSET(C116,-1,0)=1,2,IF(OR(A116="s",A116=0),"S",IF(AND(OFFSET(C116,-1,0)=2,A116=4),3,IF(AND(OR(OFFSET(C116,-1,0)="s",OFFSET(C116,-1,0)=0),A116&lt;&gt;"s",A116&gt;OFFSET(B116,-1,0)),OFFSET(B116,-1,0),A116)))))</f>
        <v>S</v>
      </c>
      <c r="D116" s="1" t="n">
        <f aca="false">IF(OR(C116="S",C116=0),0,IF(ISERROR(K116),J116,SMALL(J116:K116,1)))</f>
        <v>0</v>
      </c>
      <c r="E116" s="1" t="n">
        <f aca="true">IF($C116=1,OFFSET(E116,-1,0)+MAX(1,COUNTIF(QCI!$A$13:$A$15,OFFSET(ORÇAMENTO!E116,-1,0))),OFFSET(E116,-1,0))</f>
        <v>1</v>
      </c>
      <c r="F116" s="1" t="n">
        <f aca="true">IF($C116=1,0,IF($C116=2,OFFSET(F116,-1,0)+1,OFFSET(F116,-1,0)))</f>
        <v>32</v>
      </c>
      <c r="G116" s="1" t="n">
        <f aca="true">IF(AND($C116&lt;=2,$C116&lt;&gt;0),0,IF($C116=3,OFFSET(G116,-1,0)+1,OFFSET(G116,-1,0)))</f>
        <v>0</v>
      </c>
      <c r="H116" s="1" t="n">
        <f aca="true">IF(AND($C116&lt;=3,$C116&lt;&gt;0),0,IF($C116=4,OFFSET(H116,-1,0)+1,OFFSET(H116,-1,0)))</f>
        <v>0</v>
      </c>
      <c r="I116" s="1" t="n">
        <f aca="true">IF(AND($C116&lt;=4,$C116&lt;&gt;0),0,IF(AND($C116="S",$X116&gt;0),OFFSET(I116,-1,0)+1,OFFSET(I116,-1,0)))</f>
        <v>2</v>
      </c>
      <c r="J116" s="1" t="n">
        <f aca="true">IF(OR($C116="S",$C116=0),0,MATCH(0,OFFSET($D116,1,$C116,ROW($C$205)-ROW($C116)),0))</f>
        <v>0</v>
      </c>
      <c r="K116" s="1" t="n">
        <f aca="true">IF(OR($C116="S",$C116=0),0,MATCH(OFFSET($D116,0,$C116)+IF($C116&lt;&gt;1,1,COUNTIF(QCI!$A$13:$A$15,ORÇAMENTO!E116)),OFFSET($D116,1,$C116,ROW($C$205)-ROW($C116)),0))</f>
        <v>0</v>
      </c>
      <c r="L116" s="199" t="str">
        <f aca="false">IF(OR($X116&gt;0,$C116=1,$C116=2,$C116=3,$C116=4),"F","")</f>
        <v>F</v>
      </c>
      <c r="M116" s="200" t="s">
        <v>735</v>
      </c>
      <c r="N116" s="201" t="str">
        <f aca="false">CHOOSE(1+LOG(1+2*(C116=1)+4*(C116=2)+8*(C116=3)+16*(C116=4)+32*(C116="S"),2),"","Meta","Nível 2","Nível 3","Nível 4","Serviço")</f>
        <v>Serviço</v>
      </c>
      <c r="O116" s="202" t="str">
        <f aca="false">IF(OR($C116=0,$L116=""),"-",CONCATENATE(E116&amp;".",IF(AND($A$5&gt;=2,$C116&gt;=2),F116&amp;".",""),IF(AND($A$5&gt;=3,$C116&gt;=3),G116&amp;".",""),IF(AND($A$5&gt;=4,$C116&gt;=4),H116&amp;".",""),IF($C116="S",I116&amp;".","")))</f>
        <v>1.32.2.</v>
      </c>
      <c r="P116" s="203" t="s">
        <v>780</v>
      </c>
      <c r="Q116" s="204" t="n">
        <v>101965</v>
      </c>
      <c r="R116" s="205" t="str">
        <f aca="false">[4]PO!$D$125</f>
        <v>PEITORIL LINEAR EM GRANITO OU MÁRMORE, L = 15CM, ASSENTADO COM ARGAMASSA 1:6 COM ADITIVO. AF_11/2020</v>
      </c>
      <c r="S116" s="206" t="s">
        <v>648</v>
      </c>
      <c r="T116" s="207" t="n">
        <f aca="true">OFFSET(CÁLCULO!H$15,ROW($T116)-ROW(T$15),0)</f>
        <v>150</v>
      </c>
      <c r="U116" s="208" t="n">
        <v>113.91</v>
      </c>
      <c r="V116" s="209" t="s">
        <v>690</v>
      </c>
      <c r="W116" s="207" t="n">
        <f aca="false">IF($C116="S",ROUND(IF(TIPOORCAMENTO="Proposto",ORÇAMENTO.CustoUnitario*(1+$AH116),ORÇAMENTO.PrecoUnitarioLicitado),15-13*$AF$10),0)</f>
        <v>146.99</v>
      </c>
      <c r="X116" s="210" t="n">
        <f aca="true" t="array" ref="X116:X116">IF($C116="S",IF(OR(Import.TipoArredondamento&lt;&gt;"TransfereGOV",ACOMPANHAMENTO="BM"),VTOTAL1,SUM(OFFSET(CÁLCULO!$AQ$15,ROW($X116)-ROW($X$15),1):OFFSET(CÁLCULO!$BR$15,ROW($X116)-ROW($X$15),-1))),IF($C116=0,0,ROUND(SomaAgrup,15-13*$AF$11)))</f>
        <v>22048.5</v>
      </c>
      <c r="Y116" s="211" t="s">
        <v>781</v>
      </c>
      <c r="Z116" s="1" t="str">
        <f aca="false">IF(AND($C116="S",$X116&gt;0),IF(ISBLANK($Y116),"RA",LEFT($Y116,2)),"")</f>
        <v>RA</v>
      </c>
      <c r="AA116" s="212" t="n">
        <f aca="true">IF($C116="S",IF($Z116="CP",$X116,IF($Z116="RA",(($X116)*QCI!$AA$3),0)),SomaAgrup)</f>
        <v>2446.97618841706</v>
      </c>
      <c r="AB116" s="213" t="n">
        <f aca="true">IF($C116="S",IF($Z116="OU",ROUND($X116,2),0),SomaAgrup)</f>
        <v>0</v>
      </c>
      <c r="AC116" s="214" t="e">
        <f aca="false" t="array" ref="AC116:AC116">IF($N116=""," ",
IF(AND($C116&lt;&gt;"S",OR($R116="",$R116="(digite a descrição aqui)")),"DESCRIÇÃO",
IF(AND($C116="S",OR($Q116&lt;&gt;"",$T116&gt;0,$U116&gt;0),$P116=""),"FONTE",
IF(AND($C116="S",$P116&lt;&gt;"",OR($T116&gt;0,$U116&gt;0),$Q116=""),"CÓDIGO",
IF(AND($C116="S",$P116&lt;&gt;"",$Q116&lt;&gt;"",$R116="(Código não identificado nas referências)"),"CÓDIGO N/ID",
IF(AND($C116="S",OR($R116="",$R116="(digite a descrição aqui)"),OR($Q116&lt;&gt;"",$T116&gt;0,$U116&gt;0)),"DESCRIÇÃO",
IF(AND($C116="S",$P116&lt;&gt;"",$Q116&lt;&gt;"",$S116=""),"UNIDADE",
IF(AND($C116="S",$P116&lt;&gt;"",$Q116&lt;&gt;"",$U116=0),"SEM CUSTO",
IF(AND(_xlfn.single(TIPOORCAMENTO)="Licitado",$AL116=0,$AN116&gt;0),"SEM PREÇO",
IF(AND($C116="S",$P116&lt;&gt;"",$Q116&lt;&gt;"",$U116&gt;0,$V116=0),"BDI",
IF(OR(AND(TIPOORCAMENTO="Proposto",LEFT($O$8,5)&lt;&gt;"(N/D:",$AG116&lt;&gt;"",ORÇAMENTO.CustoUnitario&gt;$AG116),AND(TIPOORCAMENTO="LICITADO",ORÇAMENTO.PrecoUnitarioLicitado&gt;$AN116)),"ACIMA REF.",
IF(AND($C116="S",$P116&lt;&gt;"",$Q116&lt;&gt;"",$T116=0,$U116&gt;0),"QUANT.",
IF(AND(Import.TipoArredondamento="TransfereGOV",$L116="F",$C116="S",LEN($Q116)&gt;13),"Código &gt;13",
IF(AND(Import.TipoArredondamento="TransfereGOV",$L116="F",$C116&lt;&gt;"S",LEN($R116)&gt;100),"Descrição &gt;100",
IF(AND(Import.TipoArredondamento="TransfereGOV",$L116="F",$C116="S",LEN($R116)&gt;500),"Descrição &gt;500",
IF(AND(Import.TipoArredondamento="TransfereGOV",$L116="F",$C116="S",LEFT(TRIM(UPPER($P116)),6)&lt;&gt;"SINAPI",ISNA(VLOOKUP(TRIM(UPPER($S116)),ListaTgov.Unidades,1,FALSE()))),"Unid. Não Disp",
" "))))))))))))))))</f>
        <v>#NAME?</v>
      </c>
      <c r="AD116" s="1" t="str">
        <f aca="true">IF(C116&lt;=CRONO.NivelExibicao,MAX($AD$15:OFFSET(AD116,-1,0))+IF($C116&lt;&gt;1,1,MAX(1,COUNTIF(QCI!$A$13:$A$15,OFFSET($E116,-1,0)))),"")</f>
        <v/>
      </c>
      <c r="AE116" s="50" t="str">
        <f aca="false">IF(AND($C116="S",ORÇAMENTO.CodBarra&lt;&gt;""),IF(ORÇAMENTO.Fonte="",ORÇAMENTO.CodBarra,CONCATENATE(ORÇAMENTO.Fonte," ",ORÇAMENTO.CodBarra)))</f>
        <v>SINAPI 101965</v>
      </c>
      <c r="AF116" s="65" t="str">
        <f aca="true">IF(ISERROR(INDIRECT(ORÇAMENTO.BancoRef)),"(abra o arquivo 'Referência "&amp;Excel_BuiltIn_Database&amp;".xlsm)",IF(OR($C116&lt;&gt;"S",ORÇAMENTO.CodBarra=""),"(Sem Código)",IF(ISERROR(MATCH($AE116,INDIRECT(ORÇAMENTO.BancoRef),0)),"(Código não identificado nas referências)",MATCH($AE116,INDIRECT(ORÇAMENTO.BancoRef),0))))</f>
        <v>(abra o arquivo 'Referência 07-2025.xlsm)</v>
      </c>
      <c r="AG116" s="215" t="n">
        <f aca="true">ROUND(IF(DESONERACAO="sim",REFERENCIA.Desonerado,REFERENCIA.NaoDesonerado),2)</f>
        <v>0</v>
      </c>
      <c r="AH116" s="216" t="n">
        <f aca="false">ROUND(IF(ISNUMBER(ORÇAMENTO.OpcaoBDI),ORÇAMENTO.OpcaoBDI,IF(LEFT(ORÇAMENTO.OpcaoBDI,3)="BDI",HLOOKUP(ORÇAMENTO.OpcaoBDI,$F$4:$H$5,2,FALSE()),0)),15-11*$AF$9)</f>
        <v>0.2904</v>
      </c>
      <c r="AJ116" s="217"/>
      <c r="AL116" s="218"/>
      <c r="AM116" s="219" t="n">
        <f aca="false">$X116</f>
        <v>22048.5</v>
      </c>
      <c r="AN116" s="220" t="n">
        <f aca="false">ROUND(ORÇAMENTO.CustoUnitario*(1+$AH116),2)</f>
        <v>146.99</v>
      </c>
    </row>
    <row r="117" customFormat="false" ht="12.75" hidden="false" customHeight="false" outlineLevel="0" collapsed="false">
      <c r="A117" s="1" t="n">
        <f aca="false">CHOOSE(1+LOG(1+2*(ORÇAMENTO.Nivel="Meta")+4*(ORÇAMENTO.Nivel="Nível 2")+8*(ORÇAMENTO.Nivel="Nível 3")+16*(ORÇAMENTO.Nivel="Nível 4")+32*(ORÇAMENTO.Nivel="Serviço"),2),0,1,2,3,4,"S")</f>
        <v>2</v>
      </c>
      <c r="B117" s="1" t="n">
        <f aca="true">IF(OR(C117="s",C117=0),OFFSET(B117,-1,0),C117)</f>
        <v>2</v>
      </c>
      <c r="C117" s="1" t="n">
        <f aca="true">IF(OFFSET(C117,-1,0)="L",1,IF(OFFSET(C117,-1,0)=1,2,IF(OR(A117="s",A117=0),"S",IF(AND(OFFSET(C117,-1,0)=2,A117=4),3,IF(AND(OR(OFFSET(C117,-1,0)="s",OFFSET(C117,-1,0)=0),A117&lt;&gt;"s",A117&gt;OFFSET(B117,-1,0)),OFFSET(B117,-1,0),A117)))))</f>
        <v>2</v>
      </c>
      <c r="D117" s="1" t="n">
        <f aca="false">IF(OR(C117="S",C117=0),0,IF(ISERROR(K117),J117,SMALL(J117:K117,1)))</f>
        <v>1</v>
      </c>
      <c r="E117" s="1" t="n">
        <f aca="true">IF($C117=1,OFFSET(E117,-1,0)+MAX(1,COUNTIF(QCI!$A$13:$A$15,OFFSET(ORÇAMENTO!E117,-1,0))),OFFSET(E117,-1,0))</f>
        <v>1</v>
      </c>
      <c r="F117" s="1" t="n">
        <f aca="true">IF($C117=1,0,IF($C117=2,OFFSET(F117,-1,0)+1,OFFSET(F117,-1,0)))</f>
        <v>33</v>
      </c>
      <c r="G117" s="1" t="n">
        <f aca="true">IF(AND($C117&lt;=2,$C117&lt;&gt;0),0,IF($C117=3,OFFSET(G117,-1,0)+1,OFFSET(G117,-1,0)))</f>
        <v>0</v>
      </c>
      <c r="H117" s="1" t="n">
        <f aca="true">IF(AND($C117&lt;=3,$C117&lt;&gt;0),0,IF($C117=4,OFFSET(H117,-1,0)+1,OFFSET(H117,-1,0)))</f>
        <v>0</v>
      </c>
      <c r="I117" s="1" t="n">
        <f aca="true">IF(AND($C117&lt;=4,$C117&lt;&gt;0),0,IF(AND($C117="S",$X117&gt;0),OFFSET(I117,-1,0)+1,OFFSET(I117,-1,0)))</f>
        <v>0</v>
      </c>
      <c r="J117" s="1" t="n">
        <f aca="true">IF(OR($C117="S",$C117=0),0,MATCH(0,OFFSET($D117,1,$C117,ROW($C$205)-ROW($C117)),0))</f>
        <v>88</v>
      </c>
      <c r="K117" s="1" t="n">
        <f aca="true">IF(OR($C117="S",$C117=0),0,MATCH(OFFSET($D117,0,$C117)+IF($C117&lt;&gt;1,1,COUNTIF(QCI!$A$13:$A$15,ORÇAMENTO!E117)),OFFSET($D117,1,$C117,ROW($C$205)-ROW($C117)),0))</f>
        <v>1</v>
      </c>
      <c r="L117" s="199" t="str">
        <f aca="false">IF(OR($X117&gt;0,$C117=1,$C117=2,$C117=3,$C117=4),"F","")</f>
        <v>F</v>
      </c>
      <c r="M117" s="200" t="s">
        <v>732</v>
      </c>
      <c r="N117" s="201" t="str">
        <f aca="false">CHOOSE(1+LOG(1+2*(C117=1)+4*(C117=2)+8*(C117=3)+16*(C117=4)+32*(C117="S"),2),"","Meta","Nível 2","Nível 3","Nível 4","Serviço")</f>
        <v>Nível 2</v>
      </c>
      <c r="O117" s="202" t="str">
        <f aca="false">IF(OR($C117=0,$L117=""),"-",CONCATENATE(E117&amp;".",IF(AND($A$5&gt;=2,$C117&gt;=2),F117&amp;".",""),IF(AND($A$5&gt;=3,$C117&gt;=3),G117&amp;".",""),IF(AND($A$5&gt;=4,$C117&gt;=4),H117&amp;".",""),IF($C117="S",I117&amp;".","")))</f>
        <v>1.33.</v>
      </c>
      <c r="P117" s="203" t="s">
        <v>780</v>
      </c>
      <c r="Q117" s="204"/>
      <c r="R117" s="205" t="str">
        <f aca="false">[4]PO!$B$126</f>
        <v>PAVIMENTAÇÕES ESPECIAIS</v>
      </c>
      <c r="S117" s="206" t="str">
        <f aca="true">REFERENCIA.Unidade</f>
        <v>-</v>
      </c>
      <c r="T117" s="207" t="n">
        <f aca="true">OFFSET(CÁLCULO!H$15,ROW($T117)-ROW(T$15),0)</f>
        <v>0</v>
      </c>
      <c r="U117" s="208"/>
      <c r="V117" s="209" t="s">
        <v>690</v>
      </c>
      <c r="W117" s="207" t="n">
        <f aca="false">IF($C117="S",ROUND(IF(TIPOORCAMENTO="Proposto",ORÇAMENTO.CustoUnitario*(1+$AH117),ORÇAMENTO.PrecoUnitarioLicitado),15-13*$AF$10),0)</f>
        <v>0</v>
      </c>
      <c r="X117" s="210" t="n">
        <f aca="true" t="array" ref="X117:X117">IF($C117="S",IF(OR(Import.TipoArredondamento&lt;&gt;"TransfereGOV",ACOMPANHAMENTO="BM"),VTOTAL1,SUM(OFFSET(CÁLCULO!$AQ$15,ROW($X117)-ROW($X$15),1):OFFSET(CÁLCULO!$BR$15,ROW($X117)-ROW($X$15),-1))),IF($C117=0,0,ROUND(SomaAgrup,15-13*$AF$11)))</f>
        <v>0</v>
      </c>
      <c r="Y117" s="211" t="s">
        <v>781</v>
      </c>
      <c r="Z117" s="1" t="str">
        <f aca="false">IF(AND($C117="S",$X117&gt;0),IF(ISBLANK($Y117),"RA",LEFT($Y117,2)),"")</f>
        <v/>
      </c>
      <c r="AA117" s="212" t="n">
        <f aca="true">IF($C117="S",IF($Z117="CP",$X117,IF($Z117="RA",(($X117)*QCI!$AA$3),0)),SomaAgrup)</f>
        <v>0</v>
      </c>
      <c r="AB117" s="213" t="n">
        <f aca="true">IF($C117="S",IF($Z117="OU",ROUND($X117,2),0),SomaAgrup)</f>
        <v>0</v>
      </c>
      <c r="AC117" s="214" t="e">
        <f aca="false" t="array" ref="AC117:AC117">IF($N117=""," ",
IF(AND($C117&lt;&gt;"S",OR($R117="",$R117="(digite a descrição aqui)")),"DESCRIÇÃO",
IF(AND($C117="S",OR($Q117&lt;&gt;"",$T117&gt;0,$U117&gt;0),$P117=""),"FONTE",
IF(AND($C117="S",$P117&lt;&gt;"",OR($T117&gt;0,$U117&gt;0),$Q117=""),"CÓDIGO",
IF(AND($C117="S",$P117&lt;&gt;"",$Q117&lt;&gt;"",$R117="(Código não identificado nas referências)"),"CÓDIGO N/ID",
IF(AND($C117="S",OR($R117="",$R117="(digite a descrição aqui)"),OR($Q117&lt;&gt;"",$T117&gt;0,$U117&gt;0)),"DESCRIÇÃO",
IF(AND($C117="S",$P117&lt;&gt;"",$Q117&lt;&gt;"",$S117=""),"UNIDADE",
IF(AND($C117="S",$P117&lt;&gt;"",$Q117&lt;&gt;"",$U117=0),"SEM CUSTO",
IF(AND(_xlfn.single(TIPOORCAMENTO)="Licitado",$AL117=0,$AN117&gt;0),"SEM PREÇO",
IF(AND($C117="S",$P117&lt;&gt;"",$Q117&lt;&gt;"",$U117&gt;0,$V117=0),"BDI",
IF(OR(AND(TIPOORCAMENTO="Proposto",LEFT($O$8,5)&lt;&gt;"(N/D:",$AG117&lt;&gt;"",ORÇAMENTO.CustoUnitario&gt;$AG117),AND(TIPOORCAMENTO="LICITADO",ORÇAMENTO.PrecoUnitarioLicitado&gt;$AN117)),"ACIMA REF.",
IF(AND($C117="S",$P117&lt;&gt;"",$Q117&lt;&gt;"",$T117=0,$U117&gt;0),"QUANT.",
IF(AND(Import.TipoArredondamento="TransfereGOV",$L117="F",$C117="S",LEN($Q117)&gt;13),"Código &gt;13",
IF(AND(Import.TipoArredondamento="TransfereGOV",$L117="F",$C117&lt;&gt;"S",LEN($R117)&gt;100),"Descrição &gt;100",
IF(AND(Import.TipoArredondamento="TransfereGOV",$L117="F",$C117="S",LEN($R117)&gt;500),"Descrição &gt;500",
IF(AND(Import.TipoArredondamento="TransfereGOV",$L117="F",$C117="S",LEFT(TRIM(UPPER($P117)),6)&lt;&gt;"SINAPI",ISNA(VLOOKUP(TRIM(UPPER($S117)),ListaTgov.Unidades,1,FALSE()))),"Unid. Não Disp",
" "))))))))))))))))</f>
        <v>#NAME?</v>
      </c>
      <c r="AD117" s="38" t="n">
        <f aca="true">IF(C117&lt;=CRONO.NivelExibicao,MAX($AD$15:OFFSET(AD117,-1,0))+IF($C117&lt;&gt;1,1,MAX(1,COUNTIF(QCI!$A$13:$A$15,OFFSET($E117,-1,0)))),"")</f>
        <v>34</v>
      </c>
      <c r="AE117" s="50" t="b">
        <f aca="false">IF(AND($C117="S",ORÇAMENTO.CodBarra&lt;&gt;""),IF(ORÇAMENTO.Fonte="",ORÇAMENTO.CodBarra,CONCATENATE(ORÇAMENTO.Fonte," ",ORÇAMENTO.CodBarra)))</f>
        <v>0</v>
      </c>
      <c r="AF117" s="65" t="str">
        <f aca="true">IF(ISERROR(INDIRECT(ORÇAMENTO.BancoRef)),"(abra o arquivo 'Referência "&amp;Excel_BuiltIn_Database&amp;".xlsm)",IF(OR($C117&lt;&gt;"S",ORÇAMENTO.CodBarra=""),"(Sem Código)",IF(ISERROR(MATCH($AE117,INDIRECT(ORÇAMENTO.BancoRef),0)),"(Código não identificado nas referências)",MATCH($AE117,INDIRECT(ORÇAMENTO.BancoRef),0))))</f>
        <v>(abra o arquivo 'Referência 07-2025.xlsm)</v>
      </c>
      <c r="AG117" s="215" t="n">
        <f aca="true">ROUND(IF(DESONERACAO="sim",REFERENCIA.Desonerado,REFERENCIA.NaoDesonerado),2)</f>
        <v>0</v>
      </c>
      <c r="AH117" s="216" t="n">
        <f aca="false">ROUND(IF(ISNUMBER(ORÇAMENTO.OpcaoBDI),ORÇAMENTO.OpcaoBDI,IF(LEFT(ORÇAMENTO.OpcaoBDI,3)="BDI",HLOOKUP(ORÇAMENTO.OpcaoBDI,$F$4:$H$5,2,FALSE()),0)),15-11*$AF$9)</f>
        <v>0.2904</v>
      </c>
      <c r="AJ117" s="217"/>
      <c r="AL117" s="218"/>
      <c r="AM117" s="219" t="n">
        <f aca="false">$X117</f>
        <v>0</v>
      </c>
      <c r="AN117" s="220" t="n">
        <f aca="false">ROUND(ORÇAMENTO.CustoUnitario*(1+$AH117),2)</f>
        <v>0</v>
      </c>
    </row>
    <row r="118" customFormat="false" ht="12.75" hidden="false" customHeight="false" outlineLevel="0" collapsed="false">
      <c r="A118" s="1" t="n">
        <f aca="false">CHOOSE(1+LOG(1+2*(ORÇAMENTO.Nivel="Meta")+4*(ORÇAMENTO.Nivel="Nível 2")+8*(ORÇAMENTO.Nivel="Nível 3")+16*(ORÇAMENTO.Nivel="Nível 4")+32*(ORÇAMENTO.Nivel="Serviço"),2),0,1,2,3,4,"S")</f>
        <v>2</v>
      </c>
      <c r="B118" s="1" t="n">
        <f aca="true">IF(OR(C118="s",C118=0),OFFSET(B118,-1,0),C118)</f>
        <v>2</v>
      </c>
      <c r="C118" s="1" t="n">
        <f aca="true">IF(OFFSET(C118,-1,0)="L",1,IF(OFFSET(C118,-1,0)=1,2,IF(OR(A118="s",A118=0),"S",IF(AND(OFFSET(C118,-1,0)=2,A118=4),3,IF(AND(OR(OFFSET(C118,-1,0)="s",OFFSET(C118,-1,0)=0),A118&lt;&gt;"s",A118&gt;OFFSET(B118,-1,0)),OFFSET(B118,-1,0),A118)))))</f>
        <v>2</v>
      </c>
      <c r="D118" s="1" t="n">
        <f aca="false">IF(OR(C118="S",C118=0),0,IF(ISERROR(K118),J118,SMALL(J118:K118,1)))</f>
        <v>1</v>
      </c>
      <c r="E118" s="1" t="n">
        <f aca="true">IF($C118=1,OFFSET(E118,-1,0)+MAX(1,COUNTIF(QCI!$A$13:$A$15,OFFSET(ORÇAMENTO!E118,-1,0))),OFFSET(E118,-1,0))</f>
        <v>1</v>
      </c>
      <c r="F118" s="1" t="n">
        <f aca="true">IF($C118=1,0,IF($C118=2,OFFSET(F118,-1,0)+1,OFFSET(F118,-1,0)))</f>
        <v>34</v>
      </c>
      <c r="G118" s="1" t="n">
        <f aca="true">IF(AND($C118&lt;=2,$C118&lt;&gt;0),0,IF($C118=3,OFFSET(G118,-1,0)+1,OFFSET(G118,-1,0)))</f>
        <v>0</v>
      </c>
      <c r="H118" s="1" t="n">
        <f aca="true">IF(AND($C118&lt;=3,$C118&lt;&gt;0),0,IF($C118=4,OFFSET(H118,-1,0)+1,OFFSET(H118,-1,0)))</f>
        <v>0</v>
      </c>
      <c r="I118" s="1" t="n">
        <f aca="true">IF(AND($C118&lt;=4,$C118&lt;&gt;0),0,IF(AND($C118="S",$X118&gt;0),OFFSET(I118,-1,0)+1,OFFSET(I118,-1,0)))</f>
        <v>0</v>
      </c>
      <c r="J118" s="1" t="n">
        <f aca="true">IF(OR($C118="S",$C118=0),0,MATCH(0,OFFSET($D118,1,$C118,ROW($C$205)-ROW($C118)),0))</f>
        <v>87</v>
      </c>
      <c r="K118" s="1" t="n">
        <f aca="true">IF(OR($C118="S",$C118=0),0,MATCH(OFFSET($D118,0,$C118)+IF($C118&lt;&gt;1,1,COUNTIF(QCI!$A$13:$A$15,ORÇAMENTO!E118)),OFFSET($D118,1,$C118,ROW($C$205)-ROW($C118)),0))</f>
        <v>1</v>
      </c>
      <c r="L118" s="199" t="str">
        <f aca="false">IF(OR($X118&gt;0,$C118=1,$C118=2,$C118=3,$C118=4),"F","")</f>
        <v>F</v>
      </c>
      <c r="M118" s="200" t="s">
        <v>732</v>
      </c>
      <c r="N118" s="201" t="str">
        <f aca="false">CHOOSE(1+LOG(1+2*(C118=1)+4*(C118=2)+8*(C118=3)+16*(C118=4)+32*(C118="S"),2),"","Meta","Nível 2","Nível 3","Nível 4","Serviço")</f>
        <v>Nível 2</v>
      </c>
      <c r="O118" s="202" t="str">
        <f aca="false">IF(OR($C118=0,$L118=""),"-",CONCATENATE(E118&amp;".",IF(AND($A$5&gt;=2,$C118&gt;=2),F118&amp;".",""),IF(AND($A$5&gt;=3,$C118&gt;=3),G118&amp;".",""),IF(AND($A$5&gt;=4,$C118&gt;=4),H118&amp;".",""),IF($C118="S",I118&amp;".","")))</f>
        <v>1.34.</v>
      </c>
      <c r="P118" s="203" t="s">
        <v>780</v>
      </c>
      <c r="Q118" s="204"/>
      <c r="R118" s="205" t="str">
        <f aca="false">[4]PO!$B$127</f>
        <v>INSTALAÇÕES</v>
      </c>
      <c r="S118" s="206" t="str">
        <f aca="true">REFERENCIA.Unidade</f>
        <v>-</v>
      </c>
      <c r="T118" s="207" t="n">
        <f aca="true">OFFSET(CÁLCULO!H$15,ROW($T118)-ROW(T$15),0)</f>
        <v>0</v>
      </c>
      <c r="U118" s="208"/>
      <c r="V118" s="209" t="s">
        <v>690</v>
      </c>
      <c r="W118" s="207" t="n">
        <f aca="false">IF($C118="S",ROUND(IF(TIPOORCAMENTO="Proposto",ORÇAMENTO.CustoUnitario*(1+$AH118),ORÇAMENTO.PrecoUnitarioLicitado),15-13*$AF$10),0)</f>
        <v>0</v>
      </c>
      <c r="X118" s="210" t="n">
        <f aca="true" t="array" ref="X118:X118">IF($C118="S",IF(OR(Import.TipoArredondamento&lt;&gt;"TransfereGOV",ACOMPANHAMENTO="BM"),VTOTAL1,SUM(OFFSET(CÁLCULO!$AQ$15,ROW($X118)-ROW($X$15),1):OFFSET(CÁLCULO!$BR$15,ROW($X118)-ROW($X$15),-1))),IF($C118=0,0,ROUND(SomaAgrup,15-13*$AF$11)))</f>
        <v>0</v>
      </c>
      <c r="Y118" s="211" t="s">
        <v>781</v>
      </c>
      <c r="Z118" s="1" t="str">
        <f aca="false">IF(AND($C118="S",$X118&gt;0),IF(ISBLANK($Y118),"RA",LEFT($Y118,2)),"")</f>
        <v/>
      </c>
      <c r="AA118" s="212" t="n">
        <f aca="true">IF($C118="S",IF($Z118="CP",$X118,IF($Z118="RA",(($X118)*QCI!$AA$3),0)),SomaAgrup)</f>
        <v>0</v>
      </c>
      <c r="AB118" s="213" t="n">
        <f aca="true">IF($C118="S",IF($Z118="OU",ROUND($X118,2),0),SomaAgrup)</f>
        <v>0</v>
      </c>
      <c r="AC118" s="214" t="e">
        <f aca="false" t="array" ref="AC118:AC118">IF($N118=""," ",
IF(AND($C118&lt;&gt;"S",OR($R118="",$R118="(digite a descrição aqui)")),"DESCRIÇÃO",
IF(AND($C118="S",OR($Q118&lt;&gt;"",$T118&gt;0,$U118&gt;0),$P118=""),"FONTE",
IF(AND($C118="S",$P118&lt;&gt;"",OR($T118&gt;0,$U118&gt;0),$Q118=""),"CÓDIGO",
IF(AND($C118="S",$P118&lt;&gt;"",$Q118&lt;&gt;"",$R118="(Código não identificado nas referências)"),"CÓDIGO N/ID",
IF(AND($C118="S",OR($R118="",$R118="(digite a descrição aqui)"),OR($Q118&lt;&gt;"",$T118&gt;0,$U118&gt;0)),"DESCRIÇÃO",
IF(AND($C118="S",$P118&lt;&gt;"",$Q118&lt;&gt;"",$S118=""),"UNIDADE",
IF(AND($C118="S",$P118&lt;&gt;"",$Q118&lt;&gt;"",$U118=0),"SEM CUSTO",
IF(AND(_xlfn.single(TIPOORCAMENTO)="Licitado",$AL118=0,$AN118&gt;0),"SEM PREÇO",
IF(AND($C118="S",$P118&lt;&gt;"",$Q118&lt;&gt;"",$U118&gt;0,$V118=0),"BDI",
IF(OR(AND(TIPOORCAMENTO="Proposto",LEFT($O$8,5)&lt;&gt;"(N/D:",$AG118&lt;&gt;"",ORÇAMENTO.CustoUnitario&gt;$AG118),AND(TIPOORCAMENTO="LICITADO",ORÇAMENTO.PrecoUnitarioLicitado&gt;$AN118)),"ACIMA REF.",
IF(AND($C118="S",$P118&lt;&gt;"",$Q118&lt;&gt;"",$T118=0,$U118&gt;0),"QUANT.",
IF(AND(Import.TipoArredondamento="TransfereGOV",$L118="F",$C118="S",LEN($Q118)&gt;13),"Código &gt;13",
IF(AND(Import.TipoArredondamento="TransfereGOV",$L118="F",$C118&lt;&gt;"S",LEN($R118)&gt;100),"Descrição &gt;100",
IF(AND(Import.TipoArredondamento="TransfereGOV",$L118="F",$C118="S",LEN($R118)&gt;500),"Descrição &gt;500",
IF(AND(Import.TipoArredondamento="TransfereGOV",$L118="F",$C118="S",LEFT(TRIM(UPPER($P118)),6)&lt;&gt;"SINAPI",ISNA(VLOOKUP(TRIM(UPPER($S118)),ListaTgov.Unidades,1,FALSE()))),"Unid. Não Disp",
" "))))))))))))))))</f>
        <v>#NAME?</v>
      </c>
      <c r="AD118" s="38" t="n">
        <f aca="true">IF(C118&lt;=CRONO.NivelExibicao,MAX($AD$15:OFFSET(AD118,-1,0))+IF($C118&lt;&gt;1,1,MAX(1,COUNTIF(QCI!$A$13:$A$15,OFFSET($E118,-1,0)))),"")</f>
        <v>35</v>
      </c>
      <c r="AE118" s="50" t="b">
        <f aca="false">IF(AND($C118="S",ORÇAMENTO.CodBarra&lt;&gt;""),IF(ORÇAMENTO.Fonte="",ORÇAMENTO.CodBarra,CONCATENATE(ORÇAMENTO.Fonte," ",ORÇAMENTO.CodBarra)))</f>
        <v>0</v>
      </c>
      <c r="AF118" s="65" t="str">
        <f aca="true">IF(ISERROR(INDIRECT(ORÇAMENTO.BancoRef)),"(abra o arquivo 'Referência "&amp;Excel_BuiltIn_Database&amp;".xlsm)",IF(OR($C118&lt;&gt;"S",ORÇAMENTO.CodBarra=""),"(Sem Código)",IF(ISERROR(MATCH($AE118,INDIRECT(ORÇAMENTO.BancoRef),0)),"(Código não identificado nas referências)",MATCH($AE118,INDIRECT(ORÇAMENTO.BancoRef),0))))</f>
        <v>(abra o arquivo 'Referência 07-2025.xlsm)</v>
      </c>
      <c r="AG118" s="215" t="n">
        <f aca="true">ROUND(IF(DESONERACAO="sim",REFERENCIA.Desonerado,REFERENCIA.NaoDesonerado),2)</f>
        <v>0</v>
      </c>
      <c r="AH118" s="216" t="n">
        <f aca="false">ROUND(IF(ISNUMBER(ORÇAMENTO.OpcaoBDI),ORÇAMENTO.OpcaoBDI,IF(LEFT(ORÇAMENTO.OpcaoBDI,3)="BDI",HLOOKUP(ORÇAMENTO.OpcaoBDI,$F$4:$H$5,2,FALSE()),0)),15-11*$AF$9)</f>
        <v>0.2904</v>
      </c>
      <c r="AJ118" s="217"/>
      <c r="AL118" s="218"/>
      <c r="AM118" s="219" t="n">
        <f aca="false">$X118</f>
        <v>0</v>
      </c>
      <c r="AN118" s="220" t="n">
        <f aca="false">ROUND(ORÇAMENTO.CustoUnitario*(1+$AH118),2)</f>
        <v>0</v>
      </c>
    </row>
    <row r="119" customFormat="false" ht="12.75" hidden="false" customHeight="false" outlineLevel="0" collapsed="false">
      <c r="A119" s="1" t="n">
        <f aca="false">CHOOSE(1+LOG(1+2*(ORÇAMENTO.Nivel="Meta")+4*(ORÇAMENTO.Nivel="Nível 2")+8*(ORÇAMENTO.Nivel="Nível 3")+16*(ORÇAMENTO.Nivel="Nível 4")+32*(ORÇAMENTO.Nivel="Serviço"),2),0,1,2,3,4,"S")</f>
        <v>2</v>
      </c>
      <c r="B119" s="1" t="n">
        <f aca="true">IF(OR(C119="s",C119=0),OFFSET(B119,-1,0),C119)</f>
        <v>2</v>
      </c>
      <c r="C119" s="1" t="n">
        <f aca="true">IF(OFFSET(C119,-1,0)="L",1,IF(OFFSET(C119,-1,0)=1,2,IF(OR(A119="s",A119=0),"S",IF(AND(OFFSET(C119,-1,0)=2,A119=4),3,IF(AND(OR(OFFSET(C119,-1,0)="s",OFFSET(C119,-1,0)=0),A119&lt;&gt;"s",A119&gt;OFFSET(B119,-1,0)),OFFSET(B119,-1,0),A119)))))</f>
        <v>2</v>
      </c>
      <c r="D119" s="1" t="n">
        <f aca="false">IF(OR(C119="S",C119=0),0,IF(ISERROR(K119),J119,SMALL(J119:K119,1)))</f>
        <v>1</v>
      </c>
      <c r="E119" s="1" t="n">
        <f aca="true">IF($C119=1,OFFSET(E119,-1,0)+MAX(1,COUNTIF(QCI!$A$13:$A$15,OFFSET(ORÇAMENTO!E119,-1,0))),OFFSET(E119,-1,0))</f>
        <v>1</v>
      </c>
      <c r="F119" s="1" t="n">
        <f aca="true">IF($C119=1,0,IF($C119=2,OFFSET(F119,-1,0)+1,OFFSET(F119,-1,0)))</f>
        <v>35</v>
      </c>
      <c r="G119" s="1" t="n">
        <f aca="true">IF(AND($C119&lt;=2,$C119&lt;&gt;0),0,IF($C119=3,OFFSET(G119,-1,0)+1,OFFSET(G119,-1,0)))</f>
        <v>0</v>
      </c>
      <c r="H119" s="1" t="n">
        <f aca="true">IF(AND($C119&lt;=3,$C119&lt;&gt;0),0,IF($C119=4,OFFSET(H119,-1,0)+1,OFFSET(H119,-1,0)))</f>
        <v>0</v>
      </c>
      <c r="I119" s="1" t="n">
        <f aca="true">IF(AND($C119&lt;=4,$C119&lt;&gt;0),0,IF(AND($C119="S",$X119&gt;0),OFFSET(I119,-1,0)+1,OFFSET(I119,-1,0)))</f>
        <v>0</v>
      </c>
      <c r="J119" s="1" t="n">
        <f aca="true">IF(OR($C119="S",$C119=0),0,MATCH(0,OFFSET($D119,1,$C119,ROW($C$205)-ROW($C119)),0))</f>
        <v>86</v>
      </c>
      <c r="K119" s="1" t="n">
        <f aca="true">IF(OR($C119="S",$C119=0),0,MATCH(OFFSET($D119,0,$C119)+IF($C119&lt;&gt;1,1,COUNTIF(QCI!$A$13:$A$15,ORÇAMENTO!E119)),OFFSET($D119,1,$C119,ROW($C$205)-ROW($C119)),0))</f>
        <v>1</v>
      </c>
      <c r="L119" s="199" t="str">
        <f aca="false">IF(OR($X119&gt;0,$C119=1,$C119=2,$C119=3,$C119=4),"F","")</f>
        <v>F</v>
      </c>
      <c r="M119" s="200" t="s">
        <v>732</v>
      </c>
      <c r="N119" s="201" t="str">
        <f aca="false">CHOOSE(1+LOG(1+2*(C119=1)+4*(C119=2)+8*(C119=3)+16*(C119=4)+32*(C119="S"),2),"","Meta","Nível 2","Nível 3","Nível 4","Serviço")</f>
        <v>Nível 2</v>
      </c>
      <c r="O119" s="202" t="str">
        <f aca="false">IF(OR($C119=0,$L119=""),"-",CONCATENATE(E119&amp;".",IF(AND($A$5&gt;=2,$C119&gt;=2),F119&amp;".",""),IF(AND($A$5&gt;=3,$C119&gt;=3),G119&amp;".",""),IF(AND($A$5&gt;=4,$C119&gt;=4),H119&amp;".",""),IF($C119="S",I119&amp;".","")))</f>
        <v>1.35.</v>
      </c>
      <c r="P119" s="203" t="s">
        <v>780</v>
      </c>
      <c r="Q119" s="204"/>
      <c r="R119" s="205" t="str">
        <f aca="false">[4]PO!$B$128</f>
        <v>ELÉTRICAS / TELEFÔNICAS</v>
      </c>
      <c r="S119" s="206" t="str">
        <f aca="true">REFERENCIA.Unidade</f>
        <v>-</v>
      </c>
      <c r="T119" s="207" t="n">
        <f aca="true">OFFSET(CÁLCULO!H$15,ROW($T119)-ROW(T$15),0)</f>
        <v>0</v>
      </c>
      <c r="U119" s="208"/>
      <c r="V119" s="209" t="s">
        <v>690</v>
      </c>
      <c r="W119" s="207" t="n">
        <f aca="false">IF($C119="S",ROUND(IF(TIPOORCAMENTO="Proposto",ORÇAMENTO.CustoUnitario*(1+$AH119),ORÇAMENTO.PrecoUnitarioLicitado),15-13*$AF$10),0)</f>
        <v>0</v>
      </c>
      <c r="X119" s="210" t="n">
        <f aca="true" t="array" ref="X119:X119">IF($C119="S",IF(OR(Import.TipoArredondamento&lt;&gt;"TransfereGOV",ACOMPANHAMENTO="BM"),VTOTAL1,SUM(OFFSET(CÁLCULO!$AQ$15,ROW($X119)-ROW($X$15),1):OFFSET(CÁLCULO!$BR$15,ROW($X119)-ROW($X$15),-1))),IF($C119=0,0,ROUND(SomaAgrup,15-13*$AF$11)))</f>
        <v>0</v>
      </c>
      <c r="Y119" s="211" t="s">
        <v>781</v>
      </c>
      <c r="Z119" s="1" t="str">
        <f aca="false">IF(AND($C119="S",$X119&gt;0),IF(ISBLANK($Y119),"RA",LEFT($Y119,2)),"")</f>
        <v/>
      </c>
      <c r="AA119" s="212" t="n">
        <f aca="true">IF($C119="S",IF($Z119="CP",$X119,IF($Z119="RA",(($X119)*QCI!$AA$3),0)),SomaAgrup)</f>
        <v>0</v>
      </c>
      <c r="AB119" s="213" t="n">
        <f aca="true">IF($C119="S",IF($Z119="OU",ROUND($X119,2),0),SomaAgrup)</f>
        <v>0</v>
      </c>
      <c r="AC119" s="214" t="e">
        <f aca="false" t="array" ref="AC119:AC119">IF($N119=""," ",
IF(AND($C119&lt;&gt;"S",OR($R119="",$R119="(digite a descrição aqui)")),"DESCRIÇÃO",
IF(AND($C119="S",OR($Q119&lt;&gt;"",$T119&gt;0,$U119&gt;0),$P119=""),"FONTE",
IF(AND($C119="S",$P119&lt;&gt;"",OR($T119&gt;0,$U119&gt;0),$Q119=""),"CÓDIGO",
IF(AND($C119="S",$P119&lt;&gt;"",$Q119&lt;&gt;"",$R119="(Código não identificado nas referências)"),"CÓDIGO N/ID",
IF(AND($C119="S",OR($R119="",$R119="(digite a descrição aqui)"),OR($Q119&lt;&gt;"",$T119&gt;0,$U119&gt;0)),"DESCRIÇÃO",
IF(AND($C119="S",$P119&lt;&gt;"",$Q119&lt;&gt;"",$S119=""),"UNIDADE",
IF(AND($C119="S",$P119&lt;&gt;"",$Q119&lt;&gt;"",$U119=0),"SEM CUSTO",
IF(AND(_xlfn.single(TIPOORCAMENTO)="Licitado",$AL119=0,$AN119&gt;0),"SEM PREÇO",
IF(AND($C119="S",$P119&lt;&gt;"",$Q119&lt;&gt;"",$U119&gt;0,$V119=0),"BDI",
IF(OR(AND(TIPOORCAMENTO="Proposto",LEFT($O$8,5)&lt;&gt;"(N/D:",$AG119&lt;&gt;"",ORÇAMENTO.CustoUnitario&gt;$AG119),AND(TIPOORCAMENTO="LICITADO",ORÇAMENTO.PrecoUnitarioLicitado&gt;$AN119)),"ACIMA REF.",
IF(AND($C119="S",$P119&lt;&gt;"",$Q119&lt;&gt;"",$T119=0,$U119&gt;0),"QUANT.",
IF(AND(Import.TipoArredondamento="TransfereGOV",$L119="F",$C119="S",LEN($Q119)&gt;13),"Código &gt;13",
IF(AND(Import.TipoArredondamento="TransfereGOV",$L119="F",$C119&lt;&gt;"S",LEN($R119)&gt;100),"Descrição &gt;100",
IF(AND(Import.TipoArredondamento="TransfereGOV",$L119="F",$C119="S",LEN($R119)&gt;500),"Descrição &gt;500",
IF(AND(Import.TipoArredondamento="TransfereGOV",$L119="F",$C119="S",LEFT(TRIM(UPPER($P119)),6)&lt;&gt;"SINAPI",ISNA(VLOOKUP(TRIM(UPPER($S119)),ListaTgov.Unidades,1,FALSE()))),"Unid. Não Disp",
" "))))))))))))))))</f>
        <v>#NAME?</v>
      </c>
      <c r="AD119" s="38" t="n">
        <f aca="true">IF(C119&lt;=CRONO.NivelExibicao,MAX($AD$15:OFFSET(AD119,-1,0))+IF($C119&lt;&gt;1,1,MAX(1,COUNTIF(QCI!$A$13:$A$15,OFFSET($E119,-1,0)))),"")</f>
        <v>36</v>
      </c>
      <c r="AE119" s="50" t="b">
        <f aca="false">IF(AND($C119="S",ORÇAMENTO.CodBarra&lt;&gt;""),IF(ORÇAMENTO.Fonte="",ORÇAMENTO.CodBarra,CONCATENATE(ORÇAMENTO.Fonte," ",ORÇAMENTO.CodBarra)))</f>
        <v>0</v>
      </c>
      <c r="AF119" s="65" t="str">
        <f aca="true">IF(ISERROR(INDIRECT(ORÇAMENTO.BancoRef)),"(abra o arquivo 'Referência "&amp;Excel_BuiltIn_Database&amp;".xlsm)",IF(OR($C119&lt;&gt;"S",ORÇAMENTO.CodBarra=""),"(Sem Código)",IF(ISERROR(MATCH($AE119,INDIRECT(ORÇAMENTO.BancoRef),0)),"(Código não identificado nas referências)",MATCH($AE119,INDIRECT(ORÇAMENTO.BancoRef),0))))</f>
        <v>(abra o arquivo 'Referência 07-2025.xlsm)</v>
      </c>
      <c r="AG119" s="215" t="n">
        <f aca="true">ROUND(IF(DESONERACAO="sim",REFERENCIA.Desonerado,REFERENCIA.NaoDesonerado),2)</f>
        <v>0</v>
      </c>
      <c r="AH119" s="216" t="n">
        <f aca="false">ROUND(IF(ISNUMBER(ORÇAMENTO.OpcaoBDI),ORÇAMENTO.OpcaoBDI,IF(LEFT(ORÇAMENTO.OpcaoBDI,3)="BDI",HLOOKUP(ORÇAMENTO.OpcaoBDI,$F$4:$H$5,2,FALSE()),0)),15-11*$AF$9)</f>
        <v>0.2904</v>
      </c>
      <c r="AJ119" s="217"/>
      <c r="AL119" s="218"/>
      <c r="AM119" s="219" t="n">
        <f aca="false">$X119</f>
        <v>0</v>
      </c>
      <c r="AN119" s="220" t="n">
        <f aca="false">ROUND(ORÇAMENTO.CustoUnitario*(1+$AH119),2)</f>
        <v>0</v>
      </c>
    </row>
    <row r="120" customFormat="false" ht="12.75" hidden="false" customHeight="false" outlineLevel="0" collapsed="false">
      <c r="A120" s="1" t="n">
        <f aca="false">CHOOSE(1+LOG(1+2*(ORÇAMENTO.Nivel="Meta")+4*(ORÇAMENTO.Nivel="Nível 2")+8*(ORÇAMENTO.Nivel="Nível 3")+16*(ORÇAMENTO.Nivel="Nível 4")+32*(ORÇAMENTO.Nivel="Serviço"),2),0,1,2,3,4,"S")</f>
        <v>2</v>
      </c>
      <c r="B120" s="1" t="n">
        <f aca="true">IF(OR(C120="s",C120=0),OFFSET(B120,-1,0),C120)</f>
        <v>2</v>
      </c>
      <c r="C120" s="1" t="n">
        <f aca="true">IF(OFFSET(C120,-1,0)="L",1,IF(OFFSET(C120,-1,0)=1,2,IF(OR(A120="s",A120=0),"S",IF(AND(OFFSET(C120,-1,0)=2,A120=4),3,IF(AND(OR(OFFSET(C120,-1,0)="s",OFFSET(C120,-1,0)=0),A120&lt;&gt;"s",A120&gt;OFFSET(B120,-1,0)),OFFSET(B120,-1,0),A120)))))</f>
        <v>2</v>
      </c>
      <c r="D120" s="1" t="n">
        <f aca="false">IF(OR(C120="S",C120=0),0,IF(ISERROR(K120),J120,SMALL(J120:K120,1)))</f>
        <v>6</v>
      </c>
      <c r="E120" s="1" t="n">
        <f aca="true">IF($C120=1,OFFSET(E120,-1,0)+MAX(1,COUNTIF(QCI!$A$13:$A$15,OFFSET(ORÇAMENTO!E120,-1,0))),OFFSET(E120,-1,0))</f>
        <v>1</v>
      </c>
      <c r="F120" s="1" t="n">
        <f aca="true">IF($C120=1,0,IF($C120=2,OFFSET(F120,-1,0)+1,OFFSET(F120,-1,0)))</f>
        <v>36</v>
      </c>
      <c r="G120" s="1" t="n">
        <f aca="true">IF(AND($C120&lt;=2,$C120&lt;&gt;0),0,IF($C120=3,OFFSET(G120,-1,0)+1,OFFSET(G120,-1,0)))</f>
        <v>0</v>
      </c>
      <c r="H120" s="1" t="n">
        <f aca="true">IF(AND($C120&lt;=3,$C120&lt;&gt;0),0,IF($C120=4,OFFSET(H120,-1,0)+1,OFFSET(H120,-1,0)))</f>
        <v>0</v>
      </c>
      <c r="I120" s="1" t="n">
        <f aca="true">IF(AND($C120&lt;=4,$C120&lt;&gt;0),0,IF(AND($C120="S",$X120&gt;0),OFFSET(I120,-1,0)+1,OFFSET(I120,-1,0)))</f>
        <v>0</v>
      </c>
      <c r="J120" s="1" t="n">
        <f aca="true">IF(OR($C120="S",$C120=0),0,MATCH(0,OFFSET($D120,1,$C120,ROW($C$205)-ROW($C120)),0))</f>
        <v>85</v>
      </c>
      <c r="K120" s="1" t="n">
        <f aca="true">IF(OR($C120="S",$C120=0),0,MATCH(OFFSET($D120,0,$C120)+IF($C120&lt;&gt;1,1,COUNTIF(QCI!$A$13:$A$15,ORÇAMENTO!E120)),OFFSET($D120,1,$C120,ROW($C$205)-ROW($C120)),0))</f>
        <v>6</v>
      </c>
      <c r="L120" s="199" t="str">
        <f aca="false">IF(OR($X120&gt;0,$C120=1,$C120=2,$C120=3,$C120=4),"F","")</f>
        <v>F</v>
      </c>
      <c r="M120" s="200" t="s">
        <v>732</v>
      </c>
      <c r="N120" s="201" t="str">
        <f aca="false">CHOOSE(1+LOG(1+2*(C120=1)+4*(C120=2)+8*(C120=3)+16*(C120=4)+32*(C120="S"),2),"","Meta","Nível 2","Nível 3","Nível 4","Serviço")</f>
        <v>Nível 2</v>
      </c>
      <c r="O120" s="202" t="str">
        <f aca="false">IF(OR($C120=0,$L120=""),"-",CONCATENATE(E120&amp;".",IF(AND($A$5&gt;=2,$C120&gt;=2),F120&amp;".",""),IF(AND($A$5&gt;=3,$C120&gt;=3),G120&amp;".",""),IF(AND($A$5&gt;=4,$C120&gt;=4),H120&amp;".",""),IF($C120="S",I120&amp;".","")))</f>
        <v>1.36.</v>
      </c>
      <c r="P120" s="203" t="s">
        <v>780</v>
      </c>
      <c r="Q120" s="204"/>
      <c r="R120" s="205" t="str">
        <f aca="false">[4]PO!$B$129</f>
        <v>CENTRO DE DISTRIBUIÇÃO</v>
      </c>
      <c r="S120" s="206" t="str">
        <f aca="true">REFERENCIA.Unidade</f>
        <v>-</v>
      </c>
      <c r="T120" s="207" t="n">
        <f aca="true">OFFSET(CÁLCULO!H$15,ROW($T120)-ROW(T$15),0)</f>
        <v>0</v>
      </c>
      <c r="U120" s="208"/>
      <c r="V120" s="209" t="s">
        <v>690</v>
      </c>
      <c r="W120" s="207" t="n">
        <f aca="false">IF($C120="S",ROUND(IF(TIPOORCAMENTO="Proposto",ORÇAMENTO.CustoUnitario*(1+$AH120),ORÇAMENTO.PrecoUnitarioLicitado),15-13*$AF$10),0)</f>
        <v>0</v>
      </c>
      <c r="X120" s="210" t="n">
        <f aca="true" t="array" ref="X120:X120">IF($C120="S",IF(OR(Import.TipoArredondamento&lt;&gt;"TransfereGOV",ACOMPANHAMENTO="BM"),VTOTAL1,SUM(OFFSET(CÁLCULO!$AQ$15,ROW($X120)-ROW($X$15),1):OFFSET(CÁLCULO!$BR$15,ROW($X120)-ROW($X$15),-1))),IF($C120=0,0,ROUND(SomaAgrup,15-13*$AF$11)))</f>
        <v>67801.5</v>
      </c>
      <c r="Y120" s="211" t="s">
        <v>781</v>
      </c>
      <c r="Z120" s="1" t="str">
        <f aca="false">IF(AND($C120="S",$X120&gt;0),IF(ISBLANK($Y120),"RA",LEFT($Y120,2)),"")</f>
        <v/>
      </c>
      <c r="AA120" s="212" t="n">
        <f aca="true">IF($C120="S",IF($Z120="CP",$X120,IF($Z120="RA",(($X120)*QCI!$AA$3),0)),SomaAgrup)</f>
        <v>7524.71397323895</v>
      </c>
      <c r="AB120" s="213" t="n">
        <f aca="true">IF($C120="S",IF($Z120="OU",ROUND($X120,2),0),SomaAgrup)</f>
        <v>0</v>
      </c>
      <c r="AC120" s="214" t="e">
        <f aca="false" t="array" ref="AC120:AC120">IF($N120=""," ",
IF(AND($C120&lt;&gt;"S",OR($R120="",$R120="(digite a descrição aqui)")),"DESCRIÇÃO",
IF(AND($C120="S",OR($Q120&lt;&gt;"",$T120&gt;0,$U120&gt;0),$P120=""),"FONTE",
IF(AND($C120="S",$P120&lt;&gt;"",OR($T120&gt;0,$U120&gt;0),$Q120=""),"CÓDIGO",
IF(AND($C120="S",$P120&lt;&gt;"",$Q120&lt;&gt;"",$R120="(Código não identificado nas referências)"),"CÓDIGO N/ID",
IF(AND($C120="S",OR($R120="",$R120="(digite a descrição aqui)"),OR($Q120&lt;&gt;"",$T120&gt;0,$U120&gt;0)),"DESCRIÇÃO",
IF(AND($C120="S",$P120&lt;&gt;"",$Q120&lt;&gt;"",$S120=""),"UNIDADE",
IF(AND($C120="S",$P120&lt;&gt;"",$Q120&lt;&gt;"",$U120=0),"SEM CUSTO",
IF(AND(_xlfn.single(TIPOORCAMENTO)="Licitado",$AL120=0,$AN120&gt;0),"SEM PREÇO",
IF(AND($C120="S",$P120&lt;&gt;"",$Q120&lt;&gt;"",$U120&gt;0,$V120=0),"BDI",
IF(OR(AND(TIPOORCAMENTO="Proposto",LEFT($O$8,5)&lt;&gt;"(N/D:",$AG120&lt;&gt;"",ORÇAMENTO.CustoUnitario&gt;$AG120),AND(TIPOORCAMENTO="LICITADO",ORÇAMENTO.PrecoUnitarioLicitado&gt;$AN120)),"ACIMA REF.",
IF(AND($C120="S",$P120&lt;&gt;"",$Q120&lt;&gt;"",$T120=0,$U120&gt;0),"QUANT.",
IF(AND(Import.TipoArredondamento="TransfereGOV",$L120="F",$C120="S",LEN($Q120)&gt;13),"Código &gt;13",
IF(AND(Import.TipoArredondamento="TransfereGOV",$L120="F",$C120&lt;&gt;"S",LEN($R120)&gt;100),"Descrição &gt;100",
IF(AND(Import.TipoArredondamento="TransfereGOV",$L120="F",$C120="S",LEN($R120)&gt;500),"Descrição &gt;500",
IF(AND(Import.TipoArredondamento="TransfereGOV",$L120="F",$C120="S",LEFT(TRIM(UPPER($P120)),6)&lt;&gt;"SINAPI",ISNA(VLOOKUP(TRIM(UPPER($S120)),ListaTgov.Unidades,1,FALSE()))),"Unid. Não Disp",
" "))))))))))))))))</f>
        <v>#NAME?</v>
      </c>
      <c r="AD120" s="38" t="n">
        <f aca="true">IF(C120&lt;=CRONO.NivelExibicao,MAX($AD$15:OFFSET(AD120,-1,0))+IF($C120&lt;&gt;1,1,MAX(1,COUNTIF(QCI!$A$13:$A$15,OFFSET($E120,-1,0)))),"")</f>
        <v>37</v>
      </c>
      <c r="AE120" s="50" t="b">
        <f aca="false">IF(AND($C120="S",ORÇAMENTO.CodBarra&lt;&gt;""),IF(ORÇAMENTO.Fonte="",ORÇAMENTO.CodBarra,CONCATENATE(ORÇAMENTO.Fonte," ",ORÇAMENTO.CodBarra)))</f>
        <v>0</v>
      </c>
      <c r="AF120" s="65" t="str">
        <f aca="true">IF(ISERROR(INDIRECT(ORÇAMENTO.BancoRef)),"(abra o arquivo 'Referência "&amp;Excel_BuiltIn_Database&amp;".xlsm)",IF(OR($C120&lt;&gt;"S",ORÇAMENTO.CodBarra=""),"(Sem Código)",IF(ISERROR(MATCH($AE120,INDIRECT(ORÇAMENTO.BancoRef),0)),"(Código não identificado nas referências)",MATCH($AE120,INDIRECT(ORÇAMENTO.BancoRef),0))))</f>
        <v>(abra o arquivo 'Referência 07-2025.xlsm)</v>
      </c>
      <c r="AG120" s="215" t="n">
        <f aca="true">ROUND(IF(DESONERACAO="sim",REFERENCIA.Desonerado,REFERENCIA.NaoDesonerado),2)</f>
        <v>0</v>
      </c>
      <c r="AH120" s="216" t="n">
        <f aca="false">ROUND(IF(ISNUMBER(ORÇAMENTO.OpcaoBDI),ORÇAMENTO.OpcaoBDI,IF(LEFT(ORÇAMENTO.OpcaoBDI,3)="BDI",HLOOKUP(ORÇAMENTO.OpcaoBDI,$F$4:$H$5,2,FALSE()),0)),15-11*$AF$9)</f>
        <v>0.2904</v>
      </c>
      <c r="AJ120" s="217"/>
      <c r="AL120" s="218"/>
      <c r="AM120" s="219" t="n">
        <f aca="false">$X120</f>
        <v>67801.5</v>
      </c>
      <c r="AN120" s="220" t="n">
        <f aca="false">ROUND(ORÇAMENTO.CustoUnitario*(1+$AH120),2)</f>
        <v>0</v>
      </c>
    </row>
    <row r="121" customFormat="false" ht="23.85" hidden="false" customHeight="false" outlineLevel="0" collapsed="false">
      <c r="A121" s="1" t="str">
        <f aca="false">CHOOSE(1+LOG(1+2*(ORÇAMENTO.Nivel="Meta")+4*(ORÇAMENTO.Nivel="Nível 2")+8*(ORÇAMENTO.Nivel="Nível 3")+16*(ORÇAMENTO.Nivel="Nível 4")+32*(ORÇAMENTO.Nivel="Serviço"),2),0,1,2,3,4,"S")</f>
        <v>S</v>
      </c>
      <c r="B121" s="1" t="n">
        <f aca="true">IF(OR(C121="s",C121=0),OFFSET(B121,-1,0),C121)</f>
        <v>2</v>
      </c>
      <c r="C121" s="1" t="str">
        <f aca="true">IF(OFFSET(C121,-1,0)="L",1,IF(OFFSET(C121,-1,0)=1,2,IF(OR(A121="s",A121=0),"S",IF(AND(OFFSET(C121,-1,0)=2,A121=4),3,IF(AND(OR(OFFSET(C121,-1,0)="s",OFFSET(C121,-1,0)=0),A121&lt;&gt;"s",A121&gt;OFFSET(B121,-1,0)),OFFSET(B121,-1,0),A121)))))</f>
        <v>S</v>
      </c>
      <c r="D121" s="1" t="n">
        <f aca="false">IF(OR(C121="S",C121=0),0,IF(ISERROR(K121),J121,SMALL(J121:K121,1)))</f>
        <v>0</v>
      </c>
      <c r="E121" s="1" t="n">
        <f aca="true">IF($C121=1,OFFSET(E121,-1,0)+MAX(1,COUNTIF(QCI!$A$13:$A$15,OFFSET(ORÇAMENTO!E121,-1,0))),OFFSET(E121,-1,0))</f>
        <v>1</v>
      </c>
      <c r="F121" s="1" t="n">
        <f aca="true">IF($C121=1,0,IF($C121=2,OFFSET(F121,-1,0)+1,OFFSET(F121,-1,0)))</f>
        <v>36</v>
      </c>
      <c r="G121" s="1" t="n">
        <f aca="true">IF(AND($C121&lt;=2,$C121&lt;&gt;0),0,IF($C121=3,OFFSET(G121,-1,0)+1,OFFSET(G121,-1,0)))</f>
        <v>0</v>
      </c>
      <c r="H121" s="1" t="n">
        <f aca="true">IF(AND($C121&lt;=3,$C121&lt;&gt;0),0,IF($C121=4,OFFSET(H121,-1,0)+1,OFFSET(H121,-1,0)))</f>
        <v>0</v>
      </c>
      <c r="I121" s="1" t="n">
        <f aca="true">IF(AND($C121&lt;=4,$C121&lt;&gt;0),0,IF(AND($C121="S",$X121&gt;0),OFFSET(I121,-1,0)+1,OFFSET(I121,-1,0)))</f>
        <v>1</v>
      </c>
      <c r="J121" s="1" t="n">
        <f aca="true">IF(OR($C121="S",$C121=0),0,MATCH(0,OFFSET($D121,1,$C121,ROW($C$205)-ROW($C121)),0))</f>
        <v>0</v>
      </c>
      <c r="K121" s="1" t="n">
        <f aca="true">IF(OR($C121="S",$C121=0),0,MATCH(OFFSET($D121,0,$C121)+IF($C121&lt;&gt;1,1,COUNTIF(QCI!$A$13:$A$15,ORÇAMENTO!E121)),OFFSET($D121,1,$C121,ROW($C$205)-ROW($C121)),0))</f>
        <v>0</v>
      </c>
      <c r="L121" s="199" t="str">
        <f aca="false">IF(OR($X121&gt;0,$C121=1,$C121=2,$C121=3,$C121=4),"F","")</f>
        <v>F</v>
      </c>
      <c r="M121" s="200" t="s">
        <v>735</v>
      </c>
      <c r="N121" s="201" t="str">
        <f aca="false">CHOOSE(1+LOG(1+2*(C121=1)+4*(C121=2)+8*(C121=3)+16*(C121=4)+32*(C121="S"),2),"","Meta","Nível 2","Nível 3","Nível 4","Serviço")</f>
        <v>Serviço</v>
      </c>
      <c r="O121" s="202" t="str">
        <f aca="false">IF(OR($C121=0,$L121=""),"-",CONCATENATE(E121&amp;".",IF(AND($A$5&gt;=2,$C121&gt;=2),F121&amp;".",""),IF(AND($A$5&gt;=3,$C121&gt;=3),G121&amp;".",""),IF(AND($A$5&gt;=4,$C121&gt;=4),H121&amp;".",""),IF($C121="S",I121&amp;".","")))</f>
        <v>1.36.1.</v>
      </c>
      <c r="P121" s="203" t="s">
        <v>780</v>
      </c>
      <c r="Q121" s="204" t="s">
        <v>847</v>
      </c>
      <c r="R121" s="205" t="str">
        <f aca="false">[4]PO!$D$130</f>
        <v>DISJUNTOR MONOPOLAR TIPO DIN, CORRENTE NOMINAL DE 10A - FORNECIMENTO E INSTALAÇÃO. AF_07/2025</v>
      </c>
      <c r="S121" s="206" t="s">
        <v>666</v>
      </c>
      <c r="T121" s="207" t="n">
        <f aca="true">OFFSET(CÁLCULO!H$15,ROW($T121)-ROW(T$15),0)</f>
        <v>25</v>
      </c>
      <c r="U121" s="208" t="n">
        <v>14.44</v>
      </c>
      <c r="V121" s="209" t="s">
        <v>690</v>
      </c>
      <c r="W121" s="207" t="n">
        <f aca="false">IF($C121="S",ROUND(IF(TIPOORCAMENTO="Proposto",ORÇAMENTO.CustoUnitario*(1+$AH121),ORÇAMENTO.PrecoUnitarioLicitado),15-13*$AF$10),0)</f>
        <v>18.63</v>
      </c>
      <c r="X121" s="210" t="n">
        <f aca="true" t="array" ref="X121:X121">IF($C121="S",IF(OR(Import.TipoArredondamento&lt;&gt;"TransfereGOV",ACOMPANHAMENTO="BM"),VTOTAL1,SUM(OFFSET(CÁLCULO!$AQ$15,ROW($X121)-ROW($X$15),1):OFFSET(CÁLCULO!$BR$15,ROW($X121)-ROW($X$15),-1))),IF($C121=0,0,ROUND(SomaAgrup,15-13*$AF$11)))</f>
        <v>465.75</v>
      </c>
      <c r="Y121" s="211" t="s">
        <v>781</v>
      </c>
      <c r="Z121" s="1" t="str">
        <f aca="false">IF(AND($C121="S",$X121&gt;0),IF(ISBLANK($Y121),"RA",LEFT($Y121,2)),"")</f>
        <v>RA</v>
      </c>
      <c r="AA121" s="212" t="n">
        <f aca="true">IF($C121="S",IF($Z121="CP",$X121,IF($Z121="RA",(($X121)*QCI!$AA$3),0)),SomaAgrup)</f>
        <v>51.6896459965641</v>
      </c>
      <c r="AB121" s="213" t="n">
        <f aca="true">IF($C121="S",IF($Z121="OU",ROUND($X121,2),0),SomaAgrup)</f>
        <v>0</v>
      </c>
      <c r="AC121" s="214" t="e">
        <f aca="false" t="array" ref="AC121:AC121">IF($N121=""," ",
IF(AND($C121&lt;&gt;"S",OR($R121="",$R121="(digite a descrição aqui)")),"DESCRIÇÃO",
IF(AND($C121="S",OR($Q121&lt;&gt;"",$T121&gt;0,$U121&gt;0),$P121=""),"FONTE",
IF(AND($C121="S",$P121&lt;&gt;"",OR($T121&gt;0,$U121&gt;0),$Q121=""),"CÓDIGO",
IF(AND($C121="S",$P121&lt;&gt;"",$Q121&lt;&gt;"",$R121="(Código não identificado nas referências)"),"CÓDIGO N/ID",
IF(AND($C121="S",OR($R121="",$R121="(digite a descrição aqui)"),OR($Q121&lt;&gt;"",$T121&gt;0,$U121&gt;0)),"DESCRIÇÃO",
IF(AND($C121="S",$P121&lt;&gt;"",$Q121&lt;&gt;"",$S121=""),"UNIDADE",
IF(AND($C121="S",$P121&lt;&gt;"",$Q121&lt;&gt;"",$U121=0),"SEM CUSTO",
IF(AND(_xlfn.single(TIPOORCAMENTO)="Licitado",$AL121=0,$AN121&gt;0),"SEM PREÇO",
IF(AND($C121="S",$P121&lt;&gt;"",$Q121&lt;&gt;"",$U121&gt;0,$V121=0),"BDI",
IF(OR(AND(TIPOORCAMENTO="Proposto",LEFT($O$8,5)&lt;&gt;"(N/D:",$AG121&lt;&gt;"",ORÇAMENTO.CustoUnitario&gt;$AG121),AND(TIPOORCAMENTO="LICITADO",ORÇAMENTO.PrecoUnitarioLicitado&gt;$AN121)),"ACIMA REF.",
IF(AND($C121="S",$P121&lt;&gt;"",$Q121&lt;&gt;"",$T121=0,$U121&gt;0),"QUANT.",
IF(AND(Import.TipoArredondamento="TransfereGOV",$L121="F",$C121="S",LEN($Q121)&gt;13),"Código &gt;13",
IF(AND(Import.TipoArredondamento="TransfereGOV",$L121="F",$C121&lt;&gt;"S",LEN($R121)&gt;100),"Descrição &gt;100",
IF(AND(Import.TipoArredondamento="TransfereGOV",$L121="F",$C121="S",LEN($R121)&gt;500),"Descrição &gt;500",
IF(AND(Import.TipoArredondamento="TransfereGOV",$L121="F",$C121="S",LEFT(TRIM(UPPER($P121)),6)&lt;&gt;"SINAPI",ISNA(VLOOKUP(TRIM(UPPER($S121)),ListaTgov.Unidades,1,FALSE()))),"Unid. Não Disp",
" "))))))))))))))))</f>
        <v>#NAME?</v>
      </c>
      <c r="AD121" s="1" t="str">
        <f aca="true">IF(C121&lt;=CRONO.NivelExibicao,MAX($AD$15:OFFSET(AD121,-1,0))+IF($C121&lt;&gt;1,1,MAX(1,COUNTIF(QCI!$A$13:$A$15,OFFSET($E121,-1,0)))),"")</f>
        <v/>
      </c>
      <c r="AE121" s="50" t="str">
        <f aca="false">IF(AND($C121="S",ORÇAMENTO.CodBarra&lt;&gt;""),IF(ORÇAMENTO.Fonte="",ORÇAMENTO.CodBarra,CONCATENATE(ORÇAMENTO.Fonte," ",ORÇAMENTO.CodBarra)))</f>
        <v>SINAPI 93653</v>
      </c>
      <c r="AF121" s="65" t="str">
        <f aca="true">IF(ISERROR(INDIRECT(ORÇAMENTO.BancoRef)),"(abra o arquivo 'Referência "&amp;Excel_BuiltIn_Database&amp;".xlsm)",IF(OR($C121&lt;&gt;"S",ORÇAMENTO.CodBarra=""),"(Sem Código)",IF(ISERROR(MATCH($AE121,INDIRECT(ORÇAMENTO.BancoRef),0)),"(Código não identificado nas referências)",MATCH($AE121,INDIRECT(ORÇAMENTO.BancoRef),0))))</f>
        <v>(abra o arquivo 'Referência 07-2025.xlsm)</v>
      </c>
      <c r="AG121" s="215" t="n">
        <f aca="true">ROUND(IF(DESONERACAO="sim",REFERENCIA.Desonerado,REFERENCIA.NaoDesonerado),2)</f>
        <v>0</v>
      </c>
      <c r="AH121" s="216" t="n">
        <f aca="false">ROUND(IF(ISNUMBER(ORÇAMENTO.OpcaoBDI),ORÇAMENTO.OpcaoBDI,IF(LEFT(ORÇAMENTO.OpcaoBDI,3)="BDI",HLOOKUP(ORÇAMENTO.OpcaoBDI,$F$4:$H$5,2,FALSE()),0)),15-11*$AF$9)</f>
        <v>0.2904</v>
      </c>
      <c r="AJ121" s="217"/>
      <c r="AL121" s="218"/>
      <c r="AM121" s="219" t="n">
        <f aca="false">$X121</f>
        <v>465.75</v>
      </c>
      <c r="AN121" s="220" t="n">
        <f aca="false">ROUND(ORÇAMENTO.CustoUnitario*(1+$AH121),2)</f>
        <v>18.63</v>
      </c>
    </row>
    <row r="122" customFormat="false" ht="23.85" hidden="false" customHeight="false" outlineLevel="0" collapsed="false">
      <c r="A122" s="1" t="str">
        <f aca="false">CHOOSE(1+LOG(1+2*(ORÇAMENTO.Nivel="Meta")+4*(ORÇAMENTO.Nivel="Nível 2")+8*(ORÇAMENTO.Nivel="Nível 3")+16*(ORÇAMENTO.Nivel="Nível 4")+32*(ORÇAMENTO.Nivel="Serviço"),2),0,1,2,3,4,"S")</f>
        <v>S</v>
      </c>
      <c r="B122" s="1" t="n">
        <f aca="true">IF(OR(C122="s",C122=0),OFFSET(B122,-1,0),C122)</f>
        <v>2</v>
      </c>
      <c r="C122" s="1" t="str">
        <f aca="true">IF(OFFSET(C122,-1,0)="L",1,IF(OFFSET(C122,-1,0)=1,2,IF(OR(A122="s",A122=0),"S",IF(AND(OFFSET(C122,-1,0)=2,A122=4),3,IF(AND(OR(OFFSET(C122,-1,0)="s",OFFSET(C122,-1,0)=0),A122&lt;&gt;"s",A122&gt;OFFSET(B122,-1,0)),OFFSET(B122,-1,0),A122)))))</f>
        <v>S</v>
      </c>
      <c r="D122" s="1" t="n">
        <f aca="false">IF(OR(C122="S",C122=0),0,IF(ISERROR(K122),J122,SMALL(J122:K122,1)))</f>
        <v>0</v>
      </c>
      <c r="E122" s="1" t="n">
        <f aca="true">IF($C122=1,OFFSET(E122,-1,0)+MAX(1,COUNTIF(QCI!$A$13:$A$15,OFFSET(ORÇAMENTO!E122,-1,0))),OFFSET(E122,-1,0))</f>
        <v>1</v>
      </c>
      <c r="F122" s="1" t="n">
        <f aca="true">IF($C122=1,0,IF($C122=2,OFFSET(F122,-1,0)+1,OFFSET(F122,-1,0)))</f>
        <v>36</v>
      </c>
      <c r="G122" s="1" t="n">
        <f aca="true">IF(AND($C122&lt;=2,$C122&lt;&gt;0),0,IF($C122=3,OFFSET(G122,-1,0)+1,OFFSET(G122,-1,0)))</f>
        <v>0</v>
      </c>
      <c r="H122" s="1" t="n">
        <f aca="true">IF(AND($C122&lt;=3,$C122&lt;&gt;0),0,IF($C122=4,OFFSET(H122,-1,0)+1,OFFSET(H122,-1,0)))</f>
        <v>0</v>
      </c>
      <c r="I122" s="1" t="n">
        <f aca="true">IF(AND($C122&lt;=4,$C122&lt;&gt;0),0,IF(AND($C122="S",$X122&gt;0),OFFSET(I122,-1,0)+1,OFFSET(I122,-1,0)))</f>
        <v>2</v>
      </c>
      <c r="J122" s="1" t="n">
        <f aca="true">IF(OR($C122="S",$C122=0),0,MATCH(0,OFFSET($D122,1,$C122,ROW($C$205)-ROW($C122)),0))</f>
        <v>0</v>
      </c>
      <c r="K122" s="1" t="n">
        <f aca="true">IF(OR($C122="S",$C122=0),0,MATCH(OFFSET($D122,0,$C122)+IF($C122&lt;&gt;1,1,COUNTIF(QCI!$A$13:$A$15,ORÇAMENTO!E122)),OFFSET($D122,1,$C122,ROW($C$205)-ROW($C122)),0))</f>
        <v>0</v>
      </c>
      <c r="L122" s="199" t="str">
        <f aca="false">IF(OR($X122&gt;0,$C122=1,$C122=2,$C122=3,$C122=4),"F","")</f>
        <v>F</v>
      </c>
      <c r="M122" s="200" t="s">
        <v>735</v>
      </c>
      <c r="N122" s="201" t="str">
        <f aca="false">CHOOSE(1+LOG(1+2*(C122=1)+4*(C122=2)+8*(C122=3)+16*(C122=4)+32*(C122="S"),2),"","Meta","Nível 2","Nível 3","Nível 4","Serviço")</f>
        <v>Serviço</v>
      </c>
      <c r="O122" s="202" t="str">
        <f aca="false">IF(OR($C122=0,$L122=""),"-",CONCATENATE(E122&amp;".",IF(AND($A$5&gt;=2,$C122&gt;=2),F122&amp;".",""),IF(AND($A$5&gt;=3,$C122&gt;=3),G122&amp;".",""),IF(AND($A$5&gt;=4,$C122&gt;=4),H122&amp;".",""),IF($C122="S",I122&amp;".","")))</f>
        <v>1.36.2.</v>
      </c>
      <c r="P122" s="203" t="s">
        <v>780</v>
      </c>
      <c r="Q122" s="204" t="s">
        <v>848</v>
      </c>
      <c r="R122" s="205" t="s">
        <v>849</v>
      </c>
      <c r="S122" s="206" t="s">
        <v>666</v>
      </c>
      <c r="T122" s="207" t="n">
        <f aca="true">OFFSET(CÁLCULO!H$15,ROW($T122)-ROW(T$15),0)</f>
        <v>75</v>
      </c>
      <c r="U122" s="208" t="n">
        <v>15.46</v>
      </c>
      <c r="V122" s="209" t="s">
        <v>690</v>
      </c>
      <c r="W122" s="207" t="n">
        <f aca="false">IF($C122="S",ROUND(IF(TIPOORCAMENTO="Proposto",ORÇAMENTO.CustoUnitario*(1+$AH122),ORÇAMENTO.PrecoUnitarioLicitado),15-13*$AF$10),0)</f>
        <v>19.95</v>
      </c>
      <c r="X122" s="210" t="n">
        <f aca="true" t="array" ref="X122:X122">IF($C122="S",IF(OR(Import.TipoArredondamento&lt;&gt;"TransfereGOV",ACOMPANHAMENTO="BM"),VTOTAL1,SUM(OFFSET(CÁLCULO!$AQ$15,ROW($X122)-ROW($X$15),1):OFFSET(CÁLCULO!$BR$15,ROW($X122)-ROW($X$15),-1))),IF($C122=0,0,ROUND(SomaAgrup,15-13*$AF$11)))</f>
        <v>1496.25</v>
      </c>
      <c r="Y122" s="211" t="s">
        <v>781</v>
      </c>
      <c r="Z122" s="1" t="str">
        <f aca="false">IF(AND($C122="S",$X122&gt;0),IF(ISBLANK($Y122),"RA",LEFT($Y122,2)),"")</f>
        <v>RA</v>
      </c>
      <c r="AA122" s="212" t="n">
        <f aca="true">IF($C122="S",IF($Z122="CP",$X122,IF($Z122="RA",(($X122)*QCI!$AA$3),0)),SomaAgrup)</f>
        <v>166.056109119397</v>
      </c>
      <c r="AB122" s="213" t="n">
        <f aca="true">IF($C122="S",IF($Z122="OU",ROUND($X122,2),0),SomaAgrup)</f>
        <v>0</v>
      </c>
      <c r="AC122" s="214" t="e">
        <f aca="false" t="array" ref="AC122:AC122">IF($N122=""," ",
IF(AND($C122&lt;&gt;"S",OR($R122="",$R122="(digite a descrição aqui)")),"DESCRIÇÃO",
IF(AND($C122="S",OR($Q122&lt;&gt;"",$T122&gt;0,$U122&gt;0),$P122=""),"FONTE",
IF(AND($C122="S",$P122&lt;&gt;"",OR($T122&gt;0,$U122&gt;0),$Q122=""),"CÓDIGO",
IF(AND($C122="S",$P122&lt;&gt;"",$Q122&lt;&gt;"",$R122="(Código não identificado nas referências)"),"CÓDIGO N/ID",
IF(AND($C122="S",OR($R122="",$R122="(digite a descrição aqui)"),OR($Q122&lt;&gt;"",$T122&gt;0,$U122&gt;0)),"DESCRIÇÃO",
IF(AND($C122="S",$P122&lt;&gt;"",$Q122&lt;&gt;"",$S122=""),"UNIDADE",
IF(AND($C122="S",$P122&lt;&gt;"",$Q122&lt;&gt;"",$U122=0),"SEM CUSTO",
IF(AND(_xlfn.single(TIPOORCAMENTO)="Licitado",$AL122=0,$AN122&gt;0),"SEM PREÇO",
IF(AND($C122="S",$P122&lt;&gt;"",$Q122&lt;&gt;"",$U122&gt;0,$V122=0),"BDI",
IF(OR(AND(TIPOORCAMENTO="Proposto",LEFT($O$8,5)&lt;&gt;"(N/D:",$AG122&lt;&gt;"",ORÇAMENTO.CustoUnitario&gt;$AG122),AND(TIPOORCAMENTO="LICITADO",ORÇAMENTO.PrecoUnitarioLicitado&gt;$AN122)),"ACIMA REF.",
IF(AND($C122="S",$P122&lt;&gt;"",$Q122&lt;&gt;"",$T122=0,$U122&gt;0),"QUANT.",
IF(AND(Import.TipoArredondamento="TransfereGOV",$L122="F",$C122="S",LEN($Q122)&gt;13),"Código &gt;13",
IF(AND(Import.TipoArredondamento="TransfereGOV",$L122="F",$C122&lt;&gt;"S",LEN($R122)&gt;100),"Descrição &gt;100",
IF(AND(Import.TipoArredondamento="TransfereGOV",$L122="F",$C122="S",LEN($R122)&gt;500),"Descrição &gt;500",
IF(AND(Import.TipoArredondamento="TransfereGOV",$L122="F",$C122="S",LEFT(TRIM(UPPER($P122)),6)&lt;&gt;"SINAPI",ISNA(VLOOKUP(TRIM(UPPER($S122)),ListaTgov.Unidades,1,FALSE()))),"Unid. Não Disp",
" "))))))))))))))))</f>
        <v>#NAME?</v>
      </c>
      <c r="AD122" s="1" t="str">
        <f aca="true">IF(C122&lt;=CRONO.NivelExibicao,MAX($AD$15:OFFSET(AD122,-1,0))+IF($C122&lt;&gt;1,1,MAX(1,COUNTIF(QCI!$A$13:$A$15,OFFSET($E122,-1,0)))),"")</f>
        <v/>
      </c>
      <c r="AE122" s="50" t="str">
        <f aca="false">IF(AND($C122="S",ORÇAMENTO.CodBarra&lt;&gt;""),IF(ORÇAMENTO.Fonte="",ORÇAMENTO.CodBarra,CONCATENATE(ORÇAMENTO.Fonte," ",ORÇAMENTO.CodBarra)))</f>
        <v>SINAPI 93655</v>
      </c>
      <c r="AF122" s="65" t="str">
        <f aca="true">IF(ISERROR(INDIRECT(ORÇAMENTO.BancoRef)),"(abra o arquivo 'Referência "&amp;Excel_BuiltIn_Database&amp;".xlsm)",IF(OR($C122&lt;&gt;"S",ORÇAMENTO.CodBarra=""),"(Sem Código)",IF(ISERROR(MATCH($AE122,INDIRECT(ORÇAMENTO.BancoRef),0)),"(Código não identificado nas referências)",MATCH($AE122,INDIRECT(ORÇAMENTO.BancoRef),0))))</f>
        <v>(abra o arquivo 'Referência 07-2025.xlsm)</v>
      </c>
      <c r="AG122" s="215" t="n">
        <f aca="true">ROUND(IF(DESONERACAO="sim",REFERENCIA.Desonerado,REFERENCIA.NaoDesonerado),2)</f>
        <v>0</v>
      </c>
      <c r="AH122" s="216" t="n">
        <f aca="false">ROUND(IF(ISNUMBER(ORÇAMENTO.OpcaoBDI),ORÇAMENTO.OpcaoBDI,IF(LEFT(ORÇAMENTO.OpcaoBDI,3)="BDI",HLOOKUP(ORÇAMENTO.OpcaoBDI,$F$4:$H$5,2,FALSE()),0)),15-11*$AF$9)</f>
        <v>0.2904</v>
      </c>
      <c r="AJ122" s="217"/>
      <c r="AL122" s="218"/>
      <c r="AM122" s="219" t="n">
        <f aca="false">$X122</f>
        <v>1496.25</v>
      </c>
      <c r="AN122" s="220" t="n">
        <f aca="false">ROUND(ORÇAMENTO.CustoUnitario*(1+$AH122),2)</f>
        <v>19.95</v>
      </c>
    </row>
    <row r="123" customFormat="false" ht="23.85" hidden="false" customHeight="false" outlineLevel="0" collapsed="false">
      <c r="A123" s="1" t="str">
        <f aca="false">CHOOSE(1+LOG(1+2*(ORÇAMENTO.Nivel="Meta")+4*(ORÇAMENTO.Nivel="Nível 2")+8*(ORÇAMENTO.Nivel="Nível 3")+16*(ORÇAMENTO.Nivel="Nível 4")+32*(ORÇAMENTO.Nivel="Serviço"),2),0,1,2,3,4,"S")</f>
        <v>S</v>
      </c>
      <c r="B123" s="1" t="n">
        <f aca="true">IF(OR(C123="s",C123=0),OFFSET(B123,-1,0),C123)</f>
        <v>2</v>
      </c>
      <c r="C123" s="1" t="str">
        <f aca="true">IF(OFFSET(C123,-1,0)="L",1,IF(OFFSET(C123,-1,0)=1,2,IF(OR(A123="s",A123=0),"S",IF(AND(OFFSET(C123,-1,0)=2,A123=4),3,IF(AND(OR(OFFSET(C123,-1,0)="s",OFFSET(C123,-1,0)=0),A123&lt;&gt;"s",A123&gt;OFFSET(B123,-1,0)),OFFSET(B123,-1,0),A123)))))</f>
        <v>S</v>
      </c>
      <c r="D123" s="1" t="n">
        <f aca="false">IF(OR(C123="S",C123=0),0,IF(ISERROR(K123),J123,SMALL(J123:K123,1)))</f>
        <v>0</v>
      </c>
      <c r="E123" s="1" t="n">
        <f aca="true">IF($C123=1,OFFSET(E123,-1,0)+MAX(1,COUNTIF(QCI!$A$13:$A$15,OFFSET(ORÇAMENTO!E123,-1,0))),OFFSET(E123,-1,0))</f>
        <v>1</v>
      </c>
      <c r="F123" s="1" t="n">
        <f aca="true">IF($C123=1,0,IF($C123=2,OFFSET(F123,-1,0)+1,OFFSET(F123,-1,0)))</f>
        <v>36</v>
      </c>
      <c r="G123" s="1" t="n">
        <f aca="true">IF(AND($C123&lt;=2,$C123&lt;&gt;0),0,IF($C123=3,OFFSET(G123,-1,0)+1,OFFSET(G123,-1,0)))</f>
        <v>0</v>
      </c>
      <c r="H123" s="1" t="n">
        <f aca="true">IF(AND($C123&lt;=3,$C123&lt;&gt;0),0,IF($C123=4,OFFSET(H123,-1,0)+1,OFFSET(H123,-1,0)))</f>
        <v>0</v>
      </c>
      <c r="I123" s="1" t="n">
        <f aca="true">IF(AND($C123&lt;=4,$C123&lt;&gt;0),0,IF(AND($C123="S",$X123&gt;0),OFFSET(I123,-1,0)+1,OFFSET(I123,-1,0)))</f>
        <v>3</v>
      </c>
      <c r="J123" s="1" t="n">
        <f aca="true">IF(OR($C123="S",$C123=0),0,MATCH(0,OFFSET($D123,1,$C123,ROW($C$205)-ROW($C123)),0))</f>
        <v>0</v>
      </c>
      <c r="K123" s="1" t="n">
        <f aca="true">IF(OR($C123="S",$C123=0),0,MATCH(OFFSET($D123,0,$C123)+IF($C123&lt;&gt;1,1,COUNTIF(QCI!$A$13:$A$15,ORÇAMENTO!E123)),OFFSET($D123,1,$C123,ROW($C$205)-ROW($C123)),0))</f>
        <v>0</v>
      </c>
      <c r="L123" s="199" t="str">
        <f aca="false">IF(OR($X123&gt;0,$C123=1,$C123=2,$C123=3,$C123=4),"F","")</f>
        <v>F</v>
      </c>
      <c r="M123" s="200" t="s">
        <v>735</v>
      </c>
      <c r="N123" s="201" t="str">
        <f aca="false">CHOOSE(1+LOG(1+2*(C123=1)+4*(C123=2)+8*(C123=3)+16*(C123=4)+32*(C123="S"),2),"","Meta","Nível 2","Nível 3","Nível 4","Serviço")</f>
        <v>Serviço</v>
      </c>
      <c r="O123" s="202" t="str">
        <f aca="false">IF(OR($C123=0,$L123=""),"-",CONCATENATE(E123&amp;".",IF(AND($A$5&gt;=2,$C123&gt;=2),F123&amp;".",""),IF(AND($A$5&gt;=3,$C123&gt;=3),G123&amp;".",""),IF(AND($A$5&gt;=4,$C123&gt;=4),H123&amp;".",""),IF($C123="S",I123&amp;".","")))</f>
        <v>1.36.3.</v>
      </c>
      <c r="P123" s="203" t="s">
        <v>780</v>
      </c>
      <c r="Q123" s="204" t="s">
        <v>850</v>
      </c>
      <c r="R123" s="205" t="s">
        <v>851</v>
      </c>
      <c r="S123" s="206" t="s">
        <v>666</v>
      </c>
      <c r="T123" s="207" t="n">
        <f aca="true">OFFSET(CÁLCULO!H$15,ROW($T123)-ROW(T$15),0)</f>
        <v>25</v>
      </c>
      <c r="U123" s="208" t="n">
        <v>193.56</v>
      </c>
      <c r="V123" s="209" t="s">
        <v>690</v>
      </c>
      <c r="W123" s="207" t="n">
        <f aca="false">IF($C123="S",ROUND(IF(TIPOORCAMENTO="Proposto",ORÇAMENTO.CustoUnitario*(1+$AH123),ORÇAMENTO.PrecoUnitarioLicitado),15-13*$AF$10),0)</f>
        <v>249.77</v>
      </c>
      <c r="X123" s="210" t="n">
        <f aca="true" t="array" ref="X123:X123">IF($C123="S",IF(OR(Import.TipoArredondamento&lt;&gt;"TransfereGOV",ACOMPANHAMENTO="BM"),VTOTAL1,SUM(OFFSET(CÁLCULO!$AQ$15,ROW($X123)-ROW($X$15),1):OFFSET(CÁLCULO!$BR$15,ROW($X123)-ROW($X$15),-1))),IF($C123=0,0,ROUND(SomaAgrup,15-13*$AF$11)))</f>
        <v>6244.25</v>
      </c>
      <c r="Y123" s="211" t="s">
        <v>781</v>
      </c>
      <c r="Z123" s="1" t="str">
        <f aca="false">IF(AND($C123="S",$X123&gt;0),IF(ISBLANK($Y123),"RA",LEFT($Y123,2)),"")</f>
        <v>RA</v>
      </c>
      <c r="AA123" s="212" t="n">
        <f aca="true">IF($C123="S",IF($Z123="CP",$X123,IF($Z123="RA",(($X123)*QCI!$AA$3),0)),SomaAgrup)</f>
        <v>692.996397238959</v>
      </c>
      <c r="AB123" s="213" t="n">
        <f aca="true">IF($C123="S",IF($Z123="OU",ROUND($X123,2),0),SomaAgrup)</f>
        <v>0</v>
      </c>
      <c r="AC123" s="214" t="e">
        <f aca="false" t="array" ref="AC123:AC123">IF($N123=""," ",
IF(AND($C123&lt;&gt;"S",OR($R123="",$R123="(digite a descrição aqui)")),"DESCRIÇÃO",
IF(AND($C123="S",OR($Q123&lt;&gt;"",$T123&gt;0,$U123&gt;0),$P123=""),"FONTE",
IF(AND($C123="S",$P123&lt;&gt;"",OR($T123&gt;0,$U123&gt;0),$Q123=""),"CÓDIGO",
IF(AND($C123="S",$P123&lt;&gt;"",$Q123&lt;&gt;"",$R123="(Código não identificado nas referências)"),"CÓDIGO N/ID",
IF(AND($C123="S",OR($R123="",$R123="(digite a descrição aqui)"),OR($Q123&lt;&gt;"",$T123&gt;0,$U123&gt;0)),"DESCRIÇÃO",
IF(AND($C123="S",$P123&lt;&gt;"",$Q123&lt;&gt;"",$S123=""),"UNIDADE",
IF(AND($C123="S",$P123&lt;&gt;"",$Q123&lt;&gt;"",$U123=0),"SEM CUSTO",
IF(AND(_xlfn.single(TIPOORCAMENTO)="Licitado",$AL123=0,$AN123&gt;0),"SEM PREÇO",
IF(AND($C123="S",$P123&lt;&gt;"",$Q123&lt;&gt;"",$U123&gt;0,$V123=0),"BDI",
IF(OR(AND(TIPOORCAMENTO="Proposto",LEFT($O$8,5)&lt;&gt;"(N/D:",$AG123&lt;&gt;"",ORÇAMENTO.CustoUnitario&gt;$AG123),AND(TIPOORCAMENTO="LICITADO",ORÇAMENTO.PrecoUnitarioLicitado&gt;$AN123)),"ACIMA REF.",
IF(AND($C123="S",$P123&lt;&gt;"",$Q123&lt;&gt;"",$T123=0,$U123&gt;0),"QUANT.",
IF(AND(Import.TipoArredondamento="TransfereGOV",$L123="F",$C123="S",LEN($Q123)&gt;13),"Código &gt;13",
IF(AND(Import.TipoArredondamento="TransfereGOV",$L123="F",$C123&lt;&gt;"S",LEN($R123)&gt;100),"Descrição &gt;100",
IF(AND(Import.TipoArredondamento="TransfereGOV",$L123="F",$C123="S",LEN($R123)&gt;500),"Descrição &gt;500",
IF(AND(Import.TipoArredondamento="TransfereGOV",$L123="F",$C123="S",LEFT(TRIM(UPPER($P123)),6)&lt;&gt;"SINAPI",ISNA(VLOOKUP(TRIM(UPPER($S123)),ListaTgov.Unidades,1,FALSE()))),"Unid. Não Disp",
" "))))))))))))))))</f>
        <v>#NAME?</v>
      </c>
      <c r="AD123" s="1" t="str">
        <f aca="true">IF(C123&lt;=CRONO.NivelExibicao,MAX($AD$15:OFFSET(AD123,-1,0))+IF($C123&lt;&gt;1,1,MAX(1,COUNTIF(QCI!$A$13:$A$15,OFFSET($E123,-1,0)))),"")</f>
        <v/>
      </c>
      <c r="AE123" s="50" t="str">
        <f aca="false">IF(AND($C123="S",ORÇAMENTO.CodBarra&lt;&gt;""),IF(ORÇAMENTO.Fonte="",ORÇAMENTO.CodBarra,CONCATENATE(ORÇAMENTO.Fonte," ",ORÇAMENTO.CodBarra)))</f>
        <v>SINAPI 93675</v>
      </c>
      <c r="AF123" s="65" t="str">
        <f aca="true">IF(ISERROR(INDIRECT(ORÇAMENTO.BancoRef)),"(abra o arquivo 'Referência "&amp;Excel_BuiltIn_Database&amp;".xlsm)",IF(OR($C123&lt;&gt;"S",ORÇAMENTO.CodBarra=""),"(Sem Código)",IF(ISERROR(MATCH($AE123,INDIRECT(ORÇAMENTO.BancoRef),0)),"(Código não identificado nas referências)",MATCH($AE123,INDIRECT(ORÇAMENTO.BancoRef),0))))</f>
        <v>(abra o arquivo 'Referência 07-2025.xlsm)</v>
      </c>
      <c r="AG123" s="215" t="n">
        <f aca="true">ROUND(IF(DESONERACAO="sim",REFERENCIA.Desonerado,REFERENCIA.NaoDesonerado),2)</f>
        <v>0</v>
      </c>
      <c r="AH123" s="216" t="n">
        <f aca="false">ROUND(IF(ISNUMBER(ORÇAMENTO.OpcaoBDI),ORÇAMENTO.OpcaoBDI,IF(LEFT(ORÇAMENTO.OpcaoBDI,3)="BDI",HLOOKUP(ORÇAMENTO.OpcaoBDI,$F$4:$H$5,2,FALSE()),0)),15-11*$AF$9)</f>
        <v>0.2904</v>
      </c>
      <c r="AJ123" s="217"/>
      <c r="AL123" s="218"/>
      <c r="AM123" s="219" t="n">
        <f aca="false">$X123</f>
        <v>6244.25</v>
      </c>
      <c r="AN123" s="220" t="n">
        <f aca="false">ROUND(ORÇAMENTO.CustoUnitario*(1+$AH123),2)</f>
        <v>249.77</v>
      </c>
    </row>
    <row r="124" customFormat="false" ht="35.05" hidden="false" customHeight="false" outlineLevel="0" collapsed="false">
      <c r="A124" s="1" t="str">
        <f aca="false">CHOOSE(1+LOG(1+2*(ORÇAMENTO.Nivel="Meta")+4*(ORÇAMENTO.Nivel="Nível 2")+8*(ORÇAMENTO.Nivel="Nível 3")+16*(ORÇAMENTO.Nivel="Nível 4")+32*(ORÇAMENTO.Nivel="Serviço"),2),0,1,2,3,4,"S")</f>
        <v>S</v>
      </c>
      <c r="B124" s="1" t="n">
        <f aca="true">IF(OR(C124="s",C124=0),OFFSET(B124,-1,0),C124)</f>
        <v>2</v>
      </c>
      <c r="C124" s="1" t="str">
        <f aca="true">IF(OFFSET(C124,-1,0)="L",1,IF(OFFSET(C124,-1,0)=1,2,IF(OR(A124="s",A124=0),"S",IF(AND(OFFSET(C124,-1,0)=2,A124=4),3,IF(AND(OR(OFFSET(C124,-1,0)="s",OFFSET(C124,-1,0)=0),A124&lt;&gt;"s",A124&gt;OFFSET(B124,-1,0)),OFFSET(B124,-1,0),A124)))))</f>
        <v>S</v>
      </c>
      <c r="D124" s="1" t="n">
        <f aca="false">IF(OR(C124="S",C124=0),0,IF(ISERROR(K124),J124,SMALL(J124:K124,1)))</f>
        <v>0</v>
      </c>
      <c r="E124" s="1" t="n">
        <f aca="true">IF($C124=1,OFFSET(E124,-1,0)+MAX(1,COUNTIF(QCI!$A$13:$A$15,OFFSET(ORÇAMENTO!E124,-1,0))),OFFSET(E124,-1,0))</f>
        <v>1</v>
      </c>
      <c r="F124" s="1" t="n">
        <f aca="true">IF($C124=1,0,IF($C124=2,OFFSET(F124,-1,0)+1,OFFSET(F124,-1,0)))</f>
        <v>36</v>
      </c>
      <c r="G124" s="1" t="n">
        <f aca="true">IF(AND($C124&lt;=2,$C124&lt;&gt;0),0,IF($C124=3,OFFSET(G124,-1,0)+1,OFFSET(G124,-1,0)))</f>
        <v>0</v>
      </c>
      <c r="H124" s="1" t="n">
        <f aca="true">IF(AND($C124&lt;=3,$C124&lt;&gt;0),0,IF($C124=4,OFFSET(H124,-1,0)+1,OFFSET(H124,-1,0)))</f>
        <v>0</v>
      </c>
      <c r="I124" s="1" t="n">
        <f aca="true">IF(AND($C124&lt;=4,$C124&lt;&gt;0),0,IF(AND($C124="S",$X124&gt;0),OFFSET(I124,-1,0)+1,OFFSET(I124,-1,0)))</f>
        <v>4</v>
      </c>
      <c r="J124" s="1" t="n">
        <f aca="true">IF(OR($C124="S",$C124=0),0,MATCH(0,OFFSET($D124,1,$C124,ROW($C$205)-ROW($C124)),0))</f>
        <v>0</v>
      </c>
      <c r="K124" s="1" t="n">
        <f aca="true">IF(OR($C124="S",$C124=0),0,MATCH(OFFSET($D124,0,$C124)+IF($C124&lt;&gt;1,1,COUNTIF(QCI!$A$13:$A$15,ORÇAMENTO!E124)),OFFSET($D124,1,$C124,ROW($C$205)-ROW($C124)),0))</f>
        <v>0</v>
      </c>
      <c r="L124" s="199" t="str">
        <f aca="false">IF(OR($X124&gt;0,$C124=1,$C124=2,$C124=3,$C124=4),"F","")</f>
        <v>F</v>
      </c>
      <c r="M124" s="200" t="s">
        <v>735</v>
      </c>
      <c r="N124" s="201" t="str">
        <f aca="false">CHOOSE(1+LOG(1+2*(C124=1)+4*(C124=2)+8*(C124=3)+16*(C124=4)+32*(C124="S"),2),"","Meta","Nível 2","Nível 3","Nível 4","Serviço")</f>
        <v>Serviço</v>
      </c>
      <c r="O124" s="202" t="str">
        <f aca="false">IF(OR($C124=0,$L124=""),"-",CONCATENATE(E124&amp;".",IF(AND($A$5&gt;=2,$C124&gt;=2),F124&amp;".",""),IF(AND($A$5&gt;=3,$C124&gt;=3),G124&amp;".",""),IF(AND($A$5&gt;=4,$C124&gt;=4),H124&amp;".",""),IF($C124="S",I124&amp;".","")))</f>
        <v>1.36.4.</v>
      </c>
      <c r="P124" s="203" t="s">
        <v>780</v>
      </c>
      <c r="Q124" s="204" t="n">
        <v>101493</v>
      </c>
      <c r="R124" s="205" t="str">
        <f aca="false">[4]PO!$D$135</f>
        <v>ENTRADA DE ENERGIA ELÉTRICA, AÉREA, MONOFÁSICA, COM CAIXA DE EMBUTIR, CABO DE 10 MM2 E DISJUNTOR DIN 50A (NÃO INCLUSO O POSTE DE CONCRETO). AF_07/2020_PS</v>
      </c>
      <c r="S124" s="206" t="s">
        <v>666</v>
      </c>
      <c r="T124" s="207" t="n">
        <f aca="true">OFFSET(CÁLCULO!H$15,ROW($T124)-ROW(T$15),0)</f>
        <v>25</v>
      </c>
      <c r="U124" s="208" t="n">
        <f aca="false">[2]PO!$H$135</f>
        <v>1598.7</v>
      </c>
      <c r="V124" s="209" t="s">
        <v>690</v>
      </c>
      <c r="W124" s="207" t="n">
        <f aca="false">IF($C124="S",ROUND(IF(TIPOORCAMENTO="Proposto",ORÇAMENTO.CustoUnitario*(1+$AH124),ORÇAMENTO.PrecoUnitarioLicitado),15-13*$AF$10),0)</f>
        <v>2062.96</v>
      </c>
      <c r="X124" s="210" t="n">
        <f aca="true" t="array" ref="X124:X124">IF($C124="S",IF(OR(Import.TipoArredondamento&lt;&gt;"TransfereGOV",ACOMPANHAMENTO="BM"),VTOTAL1,SUM(OFFSET(CÁLCULO!$AQ$15,ROW($X124)-ROW($X$15),1):OFFSET(CÁLCULO!$BR$15,ROW($X124)-ROW($X$15),-1))),IF($C124=0,0,ROUND(SomaAgrup,15-13*$AF$11)))</f>
        <v>51574</v>
      </c>
      <c r="Y124" s="211" t="s">
        <v>781</v>
      </c>
      <c r="Z124" s="1" t="str">
        <f aca="false">IF(AND($C124="S",$X124&gt;0),IF(ISBLANK($Y124),"RA",LEFT($Y124,2)),"")</f>
        <v>RA</v>
      </c>
      <c r="AA124" s="212" t="n">
        <f aca="true">IF($C124="S",IF($Z124="CP",$X124,IF($Z124="RA",(($X124)*QCI!$AA$3),0)),SomaAgrup)</f>
        <v>5723.7612509432</v>
      </c>
      <c r="AB124" s="213" t="n">
        <f aca="true">IF($C124="S",IF($Z124="OU",ROUND($X124,2),0),SomaAgrup)</f>
        <v>0</v>
      </c>
      <c r="AC124" s="214" t="e">
        <f aca="false" t="array" ref="AC124:AC124">IF($N124=""," ",
IF(AND($C124&lt;&gt;"S",OR($R124="",$R124="(digite a descrição aqui)")),"DESCRIÇÃO",
IF(AND($C124="S",OR($Q124&lt;&gt;"",$T124&gt;0,$U124&gt;0),$P124=""),"FONTE",
IF(AND($C124="S",$P124&lt;&gt;"",OR($T124&gt;0,$U124&gt;0),$Q124=""),"CÓDIGO",
IF(AND($C124="S",$P124&lt;&gt;"",$Q124&lt;&gt;"",$R124="(Código não identificado nas referências)"),"CÓDIGO N/ID",
IF(AND($C124="S",OR($R124="",$R124="(digite a descrição aqui)"),OR($Q124&lt;&gt;"",$T124&gt;0,$U124&gt;0)),"DESCRIÇÃO",
IF(AND($C124="S",$P124&lt;&gt;"",$Q124&lt;&gt;"",$S124=""),"UNIDADE",
IF(AND($C124="S",$P124&lt;&gt;"",$Q124&lt;&gt;"",$U124=0),"SEM CUSTO",
IF(AND(_xlfn.single(TIPOORCAMENTO)="Licitado",$AL124=0,$AN124&gt;0),"SEM PREÇO",
IF(AND($C124="S",$P124&lt;&gt;"",$Q124&lt;&gt;"",$U124&gt;0,$V124=0),"BDI",
IF(OR(AND(TIPOORCAMENTO="Proposto",LEFT($O$8,5)&lt;&gt;"(N/D:",$AG124&lt;&gt;"",ORÇAMENTO.CustoUnitario&gt;$AG124),AND(TIPOORCAMENTO="LICITADO",ORÇAMENTO.PrecoUnitarioLicitado&gt;$AN124)),"ACIMA REF.",
IF(AND($C124="S",$P124&lt;&gt;"",$Q124&lt;&gt;"",$T124=0,$U124&gt;0),"QUANT.",
IF(AND(Import.TipoArredondamento="TransfereGOV",$L124="F",$C124="S",LEN($Q124)&gt;13),"Código &gt;13",
IF(AND(Import.TipoArredondamento="TransfereGOV",$L124="F",$C124&lt;&gt;"S",LEN($R124)&gt;100),"Descrição &gt;100",
IF(AND(Import.TipoArredondamento="TransfereGOV",$L124="F",$C124="S",LEN($R124)&gt;500),"Descrição &gt;500",
IF(AND(Import.TipoArredondamento="TransfereGOV",$L124="F",$C124="S",LEFT(TRIM(UPPER($P124)),6)&lt;&gt;"SINAPI",ISNA(VLOOKUP(TRIM(UPPER($S124)),ListaTgov.Unidades,1,FALSE()))),"Unid. Não Disp",
" "))))))))))))))))</f>
        <v>#NAME?</v>
      </c>
      <c r="AD124" s="1" t="str">
        <f aca="true">IF(C124&lt;=CRONO.NivelExibicao,MAX($AD$15:OFFSET(AD124,-1,0))+IF($C124&lt;&gt;1,1,MAX(1,COUNTIF(QCI!$A$13:$A$15,OFFSET($E124,-1,0)))),"")</f>
        <v/>
      </c>
      <c r="AE124" s="50" t="str">
        <f aca="false">IF(AND($C124="S",ORÇAMENTO.CodBarra&lt;&gt;""),IF(ORÇAMENTO.Fonte="",ORÇAMENTO.CodBarra,CONCATENATE(ORÇAMENTO.Fonte," ",ORÇAMENTO.CodBarra)))</f>
        <v>SINAPI 101493</v>
      </c>
      <c r="AF124" s="65" t="str">
        <f aca="true">IF(ISERROR(INDIRECT(ORÇAMENTO.BancoRef)),"(abra o arquivo 'Referência "&amp;Excel_BuiltIn_Database&amp;".xlsm)",IF(OR($C124&lt;&gt;"S",ORÇAMENTO.CodBarra=""),"(Sem Código)",IF(ISERROR(MATCH($AE124,INDIRECT(ORÇAMENTO.BancoRef),0)),"(Código não identificado nas referências)",MATCH($AE124,INDIRECT(ORÇAMENTO.BancoRef),0))))</f>
        <v>(abra o arquivo 'Referência 07-2025.xlsm)</v>
      </c>
      <c r="AG124" s="215" t="n">
        <f aca="true">ROUND(IF(DESONERACAO="sim",REFERENCIA.Desonerado,REFERENCIA.NaoDesonerado),2)</f>
        <v>0</v>
      </c>
      <c r="AH124" s="216" t="n">
        <f aca="false">ROUND(IF(ISNUMBER(ORÇAMENTO.OpcaoBDI),ORÇAMENTO.OpcaoBDI,IF(LEFT(ORÇAMENTO.OpcaoBDI,3)="BDI",HLOOKUP(ORÇAMENTO.OpcaoBDI,$F$4:$H$5,2,FALSE()),0)),15-11*$AF$9)</f>
        <v>0.2904</v>
      </c>
      <c r="AJ124" s="217"/>
      <c r="AL124" s="218"/>
      <c r="AM124" s="219" t="n">
        <f aca="false">$X124</f>
        <v>51574</v>
      </c>
      <c r="AN124" s="220" t="n">
        <f aca="false">ROUND(ORÇAMENTO.CustoUnitario*(1+$AH124),2)</f>
        <v>2062.96</v>
      </c>
    </row>
    <row r="125" customFormat="false" ht="23.85" hidden="false" customHeight="false" outlineLevel="0" collapsed="false">
      <c r="A125" s="1" t="str">
        <f aca="false">CHOOSE(1+LOG(1+2*(ORÇAMENTO.Nivel="Meta")+4*(ORÇAMENTO.Nivel="Nível 2")+8*(ORÇAMENTO.Nivel="Nível 3")+16*(ORÇAMENTO.Nivel="Nível 4")+32*(ORÇAMENTO.Nivel="Serviço"),2),0,1,2,3,4,"S")</f>
        <v>S</v>
      </c>
      <c r="B125" s="1" t="n">
        <f aca="true">IF(OR(C125="s",C125=0),OFFSET(B125,-1,0),C125)</f>
        <v>2</v>
      </c>
      <c r="C125" s="1" t="str">
        <f aca="true">IF(OFFSET(C125,-1,0)="L",1,IF(OFFSET(C125,-1,0)=1,2,IF(OR(A125="s",A125=0),"S",IF(AND(OFFSET(C125,-1,0)=2,A125=4),3,IF(AND(OR(OFFSET(C125,-1,0)="s",OFFSET(C125,-1,0)=0),A125&lt;&gt;"s",A125&gt;OFFSET(B125,-1,0)),OFFSET(B125,-1,0),A125)))))</f>
        <v>S</v>
      </c>
      <c r="D125" s="1" t="n">
        <f aca="false">IF(OR(C125="S",C125=0),0,IF(ISERROR(K125),J125,SMALL(J125:K125,1)))</f>
        <v>0</v>
      </c>
      <c r="E125" s="1" t="n">
        <f aca="true">IF($C125=1,OFFSET(E125,-1,0)+MAX(1,COUNTIF(QCI!$A$13:$A$15,OFFSET(ORÇAMENTO!E125,-1,0))),OFFSET(E125,-1,0))</f>
        <v>1</v>
      </c>
      <c r="F125" s="1" t="n">
        <f aca="true">IF($C125=1,0,IF($C125=2,OFFSET(F125,-1,0)+1,OFFSET(F125,-1,0)))</f>
        <v>36</v>
      </c>
      <c r="G125" s="1" t="n">
        <f aca="true">IF(AND($C125&lt;=2,$C125&lt;&gt;0),0,IF($C125=3,OFFSET(G125,-1,0)+1,OFFSET(G125,-1,0)))</f>
        <v>0</v>
      </c>
      <c r="H125" s="1" t="n">
        <f aca="true">IF(AND($C125&lt;=3,$C125&lt;&gt;0),0,IF($C125=4,OFFSET(H125,-1,0)+1,OFFSET(H125,-1,0)))</f>
        <v>0</v>
      </c>
      <c r="I125" s="1" t="n">
        <f aca="true">IF(AND($C125&lt;=4,$C125&lt;&gt;0),0,IF(AND($C125="S",$X125&gt;0),OFFSET(I125,-1,0)+1,OFFSET(I125,-1,0)))</f>
        <v>5</v>
      </c>
      <c r="J125" s="1" t="n">
        <f aca="true">IF(OR($C125="S",$C125=0),0,MATCH(0,OFFSET($D125,1,$C125,ROW($C$205)-ROW($C125)),0))</f>
        <v>0</v>
      </c>
      <c r="K125" s="1" t="n">
        <f aca="true">IF(OR($C125="S",$C125=0),0,MATCH(OFFSET($D125,0,$C125)+IF($C125&lt;&gt;1,1,COUNTIF(QCI!$A$13:$A$15,ORÇAMENTO!E125)),OFFSET($D125,1,$C125,ROW($C$205)-ROW($C125)),0))</f>
        <v>0</v>
      </c>
      <c r="L125" s="199" t="str">
        <f aca="false">IF(OR($X125&gt;0,$C125=1,$C125=2,$C125=3,$C125=4),"F","")</f>
        <v>F</v>
      </c>
      <c r="M125" s="200" t="s">
        <v>735</v>
      </c>
      <c r="N125" s="201" t="str">
        <f aca="false">CHOOSE(1+LOG(1+2*(C125=1)+4*(C125=2)+8*(C125=3)+16*(C125=4)+32*(C125="S"),2),"","Meta","Nível 2","Nível 3","Nível 4","Serviço")</f>
        <v>Serviço</v>
      </c>
      <c r="O125" s="202" t="str">
        <f aca="false">IF(OR($C125=0,$L125=""),"-",CONCATENATE(E125&amp;".",IF(AND($A$5&gt;=2,$C125&gt;=2),F125&amp;".",""),IF(AND($A$5&gt;=3,$C125&gt;=3),G125&amp;".",""),IF(AND($A$5&gt;=4,$C125&gt;=4),H125&amp;".",""),IF($C125="S",I125&amp;".","")))</f>
        <v>1.36.5.</v>
      </c>
      <c r="P125" s="203" t="s">
        <v>780</v>
      </c>
      <c r="Q125" s="204" t="s">
        <v>852</v>
      </c>
      <c r="R125" s="205" t="str">
        <f aca="false">[4]PO!$D$136</f>
        <v>QUADRO DE DISTRIBUIÇÃO DE LUZ EM PVC PARA 12 DISJUNTORES - FORNECIMENTO E INSTALAÇÃO.</v>
      </c>
      <c r="S125" s="206" t="s">
        <v>666</v>
      </c>
      <c r="T125" s="207" t="n">
        <f aca="true">OFFSET(CÁLCULO!H$15,ROW($T125)-ROW(T$15),0)</f>
        <v>25</v>
      </c>
      <c r="U125" s="208" t="n">
        <f aca="false">[2]PO!$H$136</f>
        <v>248.64</v>
      </c>
      <c r="V125" s="209" t="s">
        <v>690</v>
      </c>
      <c r="W125" s="207" t="n">
        <f aca="false">IF($C125="S",ROUND(IF(TIPOORCAMENTO="Proposto",ORÇAMENTO.CustoUnitario*(1+$AH125),ORÇAMENTO.PrecoUnitarioLicitado),15-13*$AF$10),0)</f>
        <v>320.85</v>
      </c>
      <c r="X125" s="210" t="n">
        <f aca="true" t="array" ref="X125:X125">IF($C125="S",IF(OR(Import.TipoArredondamento&lt;&gt;"TransfereGOV",ACOMPANHAMENTO="BM"),VTOTAL1,SUM(OFFSET(CÁLCULO!$AQ$15,ROW($X125)-ROW($X$15),1):OFFSET(CÁLCULO!$BR$15,ROW($X125)-ROW($X$15),-1))),IF($C125=0,0,ROUND(SomaAgrup,15-13*$AF$11)))</f>
        <v>8021.25</v>
      </c>
      <c r="Y125" s="211" t="s">
        <v>781</v>
      </c>
      <c r="Z125" s="1" t="str">
        <f aca="false">IF(AND($C125="S",$X125&gt;0),IF(ISBLANK($Y125),"RA",LEFT($Y125,2)),"")</f>
        <v>RA</v>
      </c>
      <c r="AA125" s="212" t="n">
        <f aca="true">IF($C125="S",IF($Z125="CP",$X125,IF($Z125="RA",(($X125)*QCI!$AA$3),0)),SomaAgrup)</f>
        <v>890.210569940826</v>
      </c>
      <c r="AB125" s="213" t="n">
        <f aca="true">IF($C125="S",IF($Z125="OU",ROUND($X125,2),0),SomaAgrup)</f>
        <v>0</v>
      </c>
      <c r="AC125" s="214" t="e">
        <f aca="false" t="array" ref="AC125:AC125">IF($N125=""," ",
IF(AND($C125&lt;&gt;"S",OR($R125="",$R125="(digite a descrição aqui)")),"DESCRIÇÃO",
IF(AND($C125="S",OR($Q125&lt;&gt;"",$T125&gt;0,$U125&gt;0),$P125=""),"FONTE",
IF(AND($C125="S",$P125&lt;&gt;"",OR($T125&gt;0,$U125&gt;0),$Q125=""),"CÓDIGO",
IF(AND($C125="S",$P125&lt;&gt;"",$Q125&lt;&gt;"",$R125="(Código não identificado nas referências)"),"CÓDIGO N/ID",
IF(AND($C125="S",OR($R125="",$R125="(digite a descrição aqui)"),OR($Q125&lt;&gt;"",$T125&gt;0,$U125&gt;0)),"DESCRIÇÃO",
IF(AND($C125="S",$P125&lt;&gt;"",$Q125&lt;&gt;"",$S125=""),"UNIDADE",
IF(AND($C125="S",$P125&lt;&gt;"",$Q125&lt;&gt;"",$U125=0),"SEM CUSTO",
IF(AND(_xlfn.single(TIPOORCAMENTO)="Licitado",$AL125=0,$AN125&gt;0),"SEM PREÇO",
IF(AND($C125="S",$P125&lt;&gt;"",$Q125&lt;&gt;"",$U125&gt;0,$V125=0),"BDI",
IF(OR(AND(TIPOORCAMENTO="Proposto",LEFT($O$8,5)&lt;&gt;"(N/D:",$AG125&lt;&gt;"",ORÇAMENTO.CustoUnitario&gt;$AG125),AND(TIPOORCAMENTO="LICITADO",ORÇAMENTO.PrecoUnitarioLicitado&gt;$AN125)),"ACIMA REF.",
IF(AND($C125="S",$P125&lt;&gt;"",$Q125&lt;&gt;"",$T125=0,$U125&gt;0),"QUANT.",
IF(AND(Import.TipoArredondamento="TransfereGOV",$L125="F",$C125="S",LEN($Q125)&gt;13),"Código &gt;13",
IF(AND(Import.TipoArredondamento="TransfereGOV",$L125="F",$C125&lt;&gt;"S",LEN($R125)&gt;100),"Descrição &gt;100",
IF(AND(Import.TipoArredondamento="TransfereGOV",$L125="F",$C125="S",LEN($R125)&gt;500),"Descrição &gt;500",
IF(AND(Import.TipoArredondamento="TransfereGOV",$L125="F",$C125="S",LEFT(TRIM(UPPER($P125)),6)&lt;&gt;"SINAPI",ISNA(VLOOKUP(TRIM(UPPER($S125)),ListaTgov.Unidades,1,FALSE()))),"Unid. Não Disp",
" "))))))))))))))))</f>
        <v>#NAME?</v>
      </c>
      <c r="AD125" s="1" t="str">
        <f aca="true">IF(C125&lt;=CRONO.NivelExibicao,MAX($AD$15:OFFSET(AD125,-1,0))+IF($C125&lt;&gt;1,1,MAX(1,COUNTIF(QCI!$A$13:$A$15,OFFSET($E125,-1,0)))),"")</f>
        <v/>
      </c>
      <c r="AE125" s="50" t="str">
        <f aca="false">IF(AND($C125="S",ORÇAMENTO.CodBarra&lt;&gt;""),IF(ORÇAMENTO.Fonte="",ORÇAMENTO.CodBarra,CONCATENATE(ORÇAMENTO.Fonte," ",ORÇAMENTO.CodBarra)))</f>
        <v>SINAPI 101873_ADP-01</v>
      </c>
      <c r="AF125" s="65" t="str">
        <f aca="true">IF(ISERROR(INDIRECT(ORÇAMENTO.BancoRef)),"(abra o arquivo 'Referência "&amp;Excel_BuiltIn_Database&amp;".xlsm)",IF(OR($C125&lt;&gt;"S",ORÇAMENTO.CodBarra=""),"(Sem Código)",IF(ISERROR(MATCH($AE125,INDIRECT(ORÇAMENTO.BancoRef),0)),"(Código não identificado nas referências)",MATCH($AE125,INDIRECT(ORÇAMENTO.BancoRef),0))))</f>
        <v>(abra o arquivo 'Referência 07-2025.xlsm)</v>
      </c>
      <c r="AG125" s="215" t="n">
        <f aca="true">ROUND(IF(DESONERACAO="sim",REFERENCIA.Desonerado,REFERENCIA.NaoDesonerado),2)</f>
        <v>0</v>
      </c>
      <c r="AH125" s="216" t="n">
        <f aca="false">ROUND(IF(ISNUMBER(ORÇAMENTO.OpcaoBDI),ORÇAMENTO.OpcaoBDI,IF(LEFT(ORÇAMENTO.OpcaoBDI,3)="BDI",HLOOKUP(ORÇAMENTO.OpcaoBDI,$F$4:$H$5,2,FALSE()),0)),15-11*$AF$9)</f>
        <v>0.2904</v>
      </c>
      <c r="AJ125" s="217"/>
      <c r="AL125" s="218"/>
      <c r="AM125" s="219" t="n">
        <f aca="false">$X125</f>
        <v>8021.25</v>
      </c>
      <c r="AN125" s="220" t="n">
        <f aca="false">ROUND(ORÇAMENTO.CustoUnitario*(1+$AH125),2)</f>
        <v>320.85</v>
      </c>
    </row>
    <row r="126" customFormat="false" ht="12.75" hidden="false" customHeight="false" outlineLevel="0" collapsed="false">
      <c r="A126" s="1" t="n">
        <f aca="false">CHOOSE(1+LOG(1+2*(ORÇAMENTO.Nivel="Meta")+4*(ORÇAMENTO.Nivel="Nível 2")+8*(ORÇAMENTO.Nivel="Nível 3")+16*(ORÇAMENTO.Nivel="Nível 4")+32*(ORÇAMENTO.Nivel="Serviço"),2),0,1,2,3,4,"S")</f>
        <v>2</v>
      </c>
      <c r="B126" s="1" t="n">
        <f aca="true">IF(OR(C126="s",C126=0),OFFSET(B126,-1,0),C126)</f>
        <v>2</v>
      </c>
      <c r="C126" s="1" t="n">
        <f aca="true">IF(OFFSET(C126,-1,0)="L",1,IF(OFFSET(C126,-1,0)=1,2,IF(OR(A126="s",A126=0),"S",IF(AND(OFFSET(C126,-1,0)=2,A126=4),3,IF(AND(OR(OFFSET(C126,-1,0)="s",OFFSET(C126,-1,0)=0),A126&lt;&gt;"s",A126&gt;OFFSET(B126,-1,0)),OFFSET(B126,-1,0),A126)))))</f>
        <v>2</v>
      </c>
      <c r="D126" s="1" t="n">
        <f aca="false">IF(OR(C126="S",C126=0),0,IF(ISERROR(K126),J126,SMALL(J126:K126,1)))</f>
        <v>6</v>
      </c>
      <c r="E126" s="1" t="n">
        <f aca="true">IF($C126=1,OFFSET(E126,-1,0)+MAX(1,COUNTIF(QCI!$A$13:$A$15,OFFSET(ORÇAMENTO!E126,-1,0))),OFFSET(E126,-1,0))</f>
        <v>1</v>
      </c>
      <c r="F126" s="1" t="n">
        <f aca="true">IF($C126=1,0,IF($C126=2,OFFSET(F126,-1,0)+1,OFFSET(F126,-1,0)))</f>
        <v>37</v>
      </c>
      <c r="G126" s="1" t="n">
        <f aca="true">IF(AND($C126&lt;=2,$C126&lt;&gt;0),0,IF($C126=3,OFFSET(G126,-1,0)+1,OFFSET(G126,-1,0)))</f>
        <v>0</v>
      </c>
      <c r="H126" s="1" t="n">
        <f aca="true">IF(AND($C126&lt;=3,$C126&lt;&gt;0),0,IF($C126=4,OFFSET(H126,-1,0)+1,OFFSET(H126,-1,0)))</f>
        <v>0</v>
      </c>
      <c r="I126" s="1" t="n">
        <f aca="true">IF(AND($C126&lt;=4,$C126&lt;&gt;0),0,IF(AND($C126="S",$X126&gt;0),OFFSET(I126,-1,0)+1,OFFSET(I126,-1,0)))</f>
        <v>0</v>
      </c>
      <c r="J126" s="1" t="n">
        <f aca="true">IF(OR($C126="S",$C126=0),0,MATCH(0,OFFSET($D126,1,$C126,ROW($C$205)-ROW($C126)),0))</f>
        <v>79</v>
      </c>
      <c r="K126" s="1" t="n">
        <f aca="true">IF(OR($C126="S",$C126=0),0,MATCH(OFFSET($D126,0,$C126)+IF($C126&lt;&gt;1,1,COUNTIF(QCI!$A$13:$A$15,ORÇAMENTO!E126)),OFFSET($D126,1,$C126,ROW($C$205)-ROW($C126)),0))</f>
        <v>6</v>
      </c>
      <c r="L126" s="199" t="str">
        <f aca="false">IF(OR($X126&gt;0,$C126=1,$C126=2,$C126=3,$C126=4),"F","")</f>
        <v>F</v>
      </c>
      <c r="M126" s="200" t="s">
        <v>732</v>
      </c>
      <c r="N126" s="201" t="str">
        <f aca="false">CHOOSE(1+LOG(1+2*(C126=1)+4*(C126=2)+8*(C126=3)+16*(C126=4)+32*(C126="S"),2),"","Meta","Nível 2","Nível 3","Nível 4","Serviço")</f>
        <v>Nível 2</v>
      </c>
      <c r="O126" s="202" t="str">
        <f aca="false">IF(OR($C126=0,$L126=""),"-",CONCATENATE(E126&amp;".",IF(AND($A$5&gt;=2,$C126&gt;=2),F126&amp;".",""),IF(AND($A$5&gt;=3,$C126&gt;=3),G126&amp;".",""),IF(AND($A$5&gt;=4,$C126&gt;=4),H126&amp;".",""),IF($C126="S",I126&amp;".","")))</f>
        <v>1.37.</v>
      </c>
      <c r="P126" s="203" t="s">
        <v>780</v>
      </c>
      <c r="Q126" s="204"/>
      <c r="R126" s="205" t="str">
        <f aca="false">[4]PO!$B$137</f>
        <v>ILUMINAÇÃO, TOMADAS E INTERRUPTORES</v>
      </c>
      <c r="S126" s="206" t="str">
        <f aca="true">REFERENCIA.Unidade</f>
        <v>-</v>
      </c>
      <c r="T126" s="207" t="n">
        <f aca="true">OFFSET(CÁLCULO!H$15,ROW($T126)-ROW(T$15),0)</f>
        <v>0</v>
      </c>
      <c r="U126" s="208"/>
      <c r="V126" s="209" t="s">
        <v>690</v>
      </c>
      <c r="W126" s="207" t="n">
        <f aca="false">IF($C126="S",ROUND(IF(TIPOORCAMENTO="Proposto",ORÇAMENTO.CustoUnitario*(1+$AH126),ORÇAMENTO.PrecoUnitarioLicitado),15-13*$AF$10),0)</f>
        <v>0</v>
      </c>
      <c r="X126" s="210" t="n">
        <f aca="true" t="array" ref="X126:X126">IF($C126="S",IF(OR(Import.TipoArredondamento&lt;&gt;"TransfereGOV",ACOMPANHAMENTO="BM"),VTOTAL1,SUM(OFFSET(CÁLCULO!$AQ$15,ROW($X126)-ROW($X$15),1):OFFSET(CÁLCULO!$BR$15,ROW($X126)-ROW($X$15),-1))),IF($C126=0,0,ROUND(SomaAgrup,15-13*$AF$11)))</f>
        <v>286262.25</v>
      </c>
      <c r="Y126" s="211" t="s">
        <v>781</v>
      </c>
      <c r="Z126" s="1" t="str">
        <f aca="false">IF(AND($C126="S",$X126&gt;0),IF(ISBLANK($Y126),"RA",LEFT($Y126,2)),"")</f>
        <v/>
      </c>
      <c r="AA126" s="212" t="n">
        <f aca="true">IF($C126="S",IF($Z126="CP",$X126,IF($Z126="RA",(($X126)*QCI!$AA$3),0)),SomaAgrup)</f>
        <v>31769.821502265</v>
      </c>
      <c r="AB126" s="213" t="n">
        <f aca="true">IF($C126="S",IF($Z126="OU",ROUND($X126,2),0),SomaAgrup)</f>
        <v>0</v>
      </c>
      <c r="AC126" s="214" t="e">
        <f aca="false" t="array" ref="AC126:AC126">IF($N126=""," ",
IF(AND($C126&lt;&gt;"S",OR($R126="",$R126="(digite a descrição aqui)")),"DESCRIÇÃO",
IF(AND($C126="S",OR($Q126&lt;&gt;"",$T126&gt;0,$U126&gt;0),$P126=""),"FONTE",
IF(AND($C126="S",$P126&lt;&gt;"",OR($T126&gt;0,$U126&gt;0),$Q126=""),"CÓDIGO",
IF(AND($C126="S",$P126&lt;&gt;"",$Q126&lt;&gt;"",$R126="(Código não identificado nas referências)"),"CÓDIGO N/ID",
IF(AND($C126="S",OR($R126="",$R126="(digite a descrição aqui)"),OR($Q126&lt;&gt;"",$T126&gt;0,$U126&gt;0)),"DESCRIÇÃO",
IF(AND($C126="S",$P126&lt;&gt;"",$Q126&lt;&gt;"",$S126=""),"UNIDADE",
IF(AND($C126="S",$P126&lt;&gt;"",$Q126&lt;&gt;"",$U126=0),"SEM CUSTO",
IF(AND(_xlfn.single(TIPOORCAMENTO)="Licitado",$AL126=0,$AN126&gt;0),"SEM PREÇO",
IF(AND($C126="S",$P126&lt;&gt;"",$Q126&lt;&gt;"",$U126&gt;0,$V126=0),"BDI",
IF(OR(AND(TIPOORCAMENTO="Proposto",LEFT($O$8,5)&lt;&gt;"(N/D:",$AG126&lt;&gt;"",ORÇAMENTO.CustoUnitario&gt;$AG126),AND(TIPOORCAMENTO="LICITADO",ORÇAMENTO.PrecoUnitarioLicitado&gt;$AN126)),"ACIMA REF.",
IF(AND($C126="S",$P126&lt;&gt;"",$Q126&lt;&gt;"",$T126=0,$U126&gt;0),"QUANT.",
IF(AND(Import.TipoArredondamento="TransfereGOV",$L126="F",$C126="S",LEN($Q126)&gt;13),"Código &gt;13",
IF(AND(Import.TipoArredondamento="TransfereGOV",$L126="F",$C126&lt;&gt;"S",LEN($R126)&gt;100),"Descrição &gt;100",
IF(AND(Import.TipoArredondamento="TransfereGOV",$L126="F",$C126="S",LEN($R126)&gt;500),"Descrição &gt;500",
IF(AND(Import.TipoArredondamento="TransfereGOV",$L126="F",$C126="S",LEFT(TRIM(UPPER($P126)),6)&lt;&gt;"SINAPI",ISNA(VLOOKUP(TRIM(UPPER($S126)),ListaTgov.Unidades,1,FALSE()))),"Unid. Não Disp",
" "))))))))))))))))</f>
        <v>#NAME?</v>
      </c>
      <c r="AD126" s="38" t="n">
        <f aca="true">IF(C126&lt;=CRONO.NivelExibicao,MAX($AD$15:OFFSET(AD126,-1,0))+IF($C126&lt;&gt;1,1,MAX(1,COUNTIF(QCI!$A$13:$A$15,OFFSET($E126,-1,0)))),"")</f>
        <v>38</v>
      </c>
      <c r="AE126" s="50" t="b">
        <f aca="false">IF(AND($C126="S",ORÇAMENTO.CodBarra&lt;&gt;""),IF(ORÇAMENTO.Fonte="",ORÇAMENTO.CodBarra,CONCATENATE(ORÇAMENTO.Fonte," ",ORÇAMENTO.CodBarra)))</f>
        <v>0</v>
      </c>
      <c r="AF126" s="65" t="str">
        <f aca="true">IF(ISERROR(INDIRECT(ORÇAMENTO.BancoRef)),"(abra o arquivo 'Referência "&amp;Excel_BuiltIn_Database&amp;".xlsm)",IF(OR($C126&lt;&gt;"S",ORÇAMENTO.CodBarra=""),"(Sem Código)",IF(ISERROR(MATCH($AE126,INDIRECT(ORÇAMENTO.BancoRef),0)),"(Código não identificado nas referências)",MATCH($AE126,INDIRECT(ORÇAMENTO.BancoRef),0))))</f>
        <v>(abra o arquivo 'Referência 07-2025.xlsm)</v>
      </c>
      <c r="AG126" s="215" t="n">
        <f aca="true">ROUND(IF(DESONERACAO="sim",REFERENCIA.Desonerado,REFERENCIA.NaoDesonerado),2)</f>
        <v>0</v>
      </c>
      <c r="AH126" s="216" t="n">
        <f aca="false">ROUND(IF(ISNUMBER(ORÇAMENTO.OpcaoBDI),ORÇAMENTO.OpcaoBDI,IF(LEFT(ORÇAMENTO.OpcaoBDI,3)="BDI",HLOOKUP(ORÇAMENTO.OpcaoBDI,$F$4:$H$5,2,FALSE()),0)),15-11*$AF$9)</f>
        <v>0.2904</v>
      </c>
      <c r="AJ126" s="217"/>
      <c r="AL126" s="218"/>
      <c r="AM126" s="219" t="n">
        <f aca="false">$X126</f>
        <v>286262.25</v>
      </c>
      <c r="AN126" s="220" t="n">
        <f aca="false">ROUND(ORÇAMENTO.CustoUnitario*(1+$AH126),2)</f>
        <v>0</v>
      </c>
    </row>
    <row r="127" customFormat="false" ht="23.85" hidden="false" customHeight="false" outlineLevel="0" collapsed="false">
      <c r="A127" s="1" t="str">
        <f aca="false">CHOOSE(1+LOG(1+2*(ORÇAMENTO.Nivel="Meta")+4*(ORÇAMENTO.Nivel="Nível 2")+8*(ORÇAMENTO.Nivel="Nível 3")+16*(ORÇAMENTO.Nivel="Nível 4")+32*(ORÇAMENTO.Nivel="Serviço"),2),0,1,2,3,4,"S")</f>
        <v>S</v>
      </c>
      <c r="B127" s="1" t="n">
        <f aca="true">IF(OR(C127="s",C127=0),OFFSET(B127,-1,0),C127)</f>
        <v>2</v>
      </c>
      <c r="C127" s="1" t="str">
        <f aca="true">IF(OFFSET(C127,-1,0)="L",1,IF(OFFSET(C127,-1,0)=1,2,IF(OR(A127="s",A127=0),"S",IF(AND(OFFSET(C127,-1,0)=2,A127=4),3,IF(AND(OR(OFFSET(C127,-1,0)="s",OFFSET(C127,-1,0)=0),A127&lt;&gt;"s",A127&gt;OFFSET(B127,-1,0)),OFFSET(B127,-1,0),A127)))))</f>
        <v>S</v>
      </c>
      <c r="D127" s="1" t="n">
        <f aca="false">IF(OR(C127="S",C127=0),0,IF(ISERROR(K127),J127,SMALL(J127:K127,1)))</f>
        <v>0</v>
      </c>
      <c r="E127" s="1" t="n">
        <f aca="true">IF($C127=1,OFFSET(E127,-1,0)+MAX(1,COUNTIF(QCI!$A$13:$A$15,OFFSET(ORÇAMENTO!E127,-1,0))),OFFSET(E127,-1,0))</f>
        <v>1</v>
      </c>
      <c r="F127" s="1" t="n">
        <f aca="true">IF($C127=1,0,IF($C127=2,OFFSET(F127,-1,0)+1,OFFSET(F127,-1,0)))</f>
        <v>37</v>
      </c>
      <c r="G127" s="1" t="n">
        <f aca="true">IF(AND($C127&lt;=2,$C127&lt;&gt;0),0,IF($C127=3,OFFSET(G127,-1,0)+1,OFFSET(G127,-1,0)))</f>
        <v>0</v>
      </c>
      <c r="H127" s="1" t="n">
        <f aca="true">IF(AND($C127&lt;=3,$C127&lt;&gt;0),0,IF($C127=4,OFFSET(H127,-1,0)+1,OFFSET(H127,-1,0)))</f>
        <v>0</v>
      </c>
      <c r="I127" s="1" t="n">
        <f aca="true">IF(AND($C127&lt;=4,$C127&lt;&gt;0),0,IF(AND($C127="S",$X127&gt;0),OFFSET(I127,-1,0)+1,OFFSET(I127,-1,0)))</f>
        <v>1</v>
      </c>
      <c r="J127" s="1" t="n">
        <f aca="true">IF(OR($C127="S",$C127=0),0,MATCH(0,OFFSET($D127,1,$C127,ROW($C$205)-ROW($C127)),0))</f>
        <v>0</v>
      </c>
      <c r="K127" s="1" t="n">
        <f aca="true">IF(OR($C127="S",$C127=0),0,MATCH(OFFSET($D127,0,$C127)+IF($C127&lt;&gt;1,1,COUNTIF(QCI!$A$13:$A$15,ORÇAMENTO!E127)),OFFSET($D127,1,$C127,ROW($C$205)-ROW($C127)),0))</f>
        <v>0</v>
      </c>
      <c r="L127" s="199" t="str">
        <f aca="false">IF(OR($X127&gt;0,$C127=1,$C127=2,$C127=3,$C127=4),"F","")</f>
        <v>F</v>
      </c>
      <c r="M127" s="200" t="s">
        <v>735</v>
      </c>
      <c r="N127" s="201" t="str">
        <f aca="false">CHOOSE(1+LOG(1+2*(C127=1)+4*(C127=2)+8*(C127=3)+16*(C127=4)+32*(C127="S"),2),"","Meta","Nível 2","Nível 3","Nível 4","Serviço")</f>
        <v>Serviço</v>
      </c>
      <c r="O127" s="202" t="str">
        <f aca="false">IF(OR($C127=0,$L127=""),"-",CONCATENATE(E127&amp;".",IF(AND($A$5&gt;=2,$C127&gt;=2),F127&amp;".",""),IF(AND($A$5&gt;=3,$C127&gt;=3),G127&amp;".",""),IF(AND($A$5&gt;=4,$C127&gt;=4),H127&amp;".",""),IF($C127="S",I127&amp;".","")))</f>
        <v>1.37.1.</v>
      </c>
      <c r="P127" s="203" t="s">
        <v>780</v>
      </c>
      <c r="Q127" s="204" t="n">
        <v>103782</v>
      </c>
      <c r="R127" s="205" t="s">
        <v>853</v>
      </c>
      <c r="S127" s="206" t="s">
        <v>666</v>
      </c>
      <c r="T127" s="207" t="n">
        <f aca="true">OFFSET(CÁLCULO!H$15,ROW($T127)-ROW(T$15),0)</f>
        <v>200</v>
      </c>
      <c r="U127" s="208" t="n">
        <v>29.01</v>
      </c>
      <c r="V127" s="209" t="s">
        <v>690</v>
      </c>
      <c r="W127" s="207" t="n">
        <f aca="false">IF($C127="S",ROUND(IF(TIPOORCAMENTO="Proposto",ORÇAMENTO.CustoUnitario*(1+$AH127),ORÇAMENTO.PrecoUnitarioLicitado),15-13*$AF$10),0)</f>
        <v>37.43</v>
      </c>
      <c r="X127" s="210" t="n">
        <f aca="true" t="array" ref="X127:X127">IF($C127="S",IF(OR(Import.TipoArredondamento&lt;&gt;"TransfereGOV",ACOMPANHAMENTO="BM"),VTOTAL1,SUM(OFFSET(CÁLCULO!$AQ$15,ROW($X127)-ROW($X$15),1):OFFSET(CÁLCULO!$BR$15,ROW($X127)-ROW($X$15),-1))),IF($C127=0,0,ROUND(SomaAgrup,15-13*$AF$11)))</f>
        <v>7486</v>
      </c>
      <c r="Y127" s="211" t="s">
        <v>781</v>
      </c>
      <c r="Z127" s="1" t="str">
        <f aca="false">IF(AND($C127="S",$X127&gt;0),IF(ISBLANK($Y127),"RA",LEFT($Y127,2)),"")</f>
        <v>RA</v>
      </c>
      <c r="AA127" s="212" t="n">
        <f aca="true">IF($C127="S",IF($Z127="CP",$X127,IF($Z127="RA",(($X127)*QCI!$AA$3),0)),SomaAgrup)</f>
        <v>830.807707848156</v>
      </c>
      <c r="AB127" s="213" t="n">
        <f aca="true">IF($C127="S",IF($Z127="OU",ROUND($X127,2),0),SomaAgrup)</f>
        <v>0</v>
      </c>
      <c r="AC127" s="214" t="e">
        <f aca="false" t="array" ref="AC127:AC127">IF($N127=""," ",
IF(AND($C127&lt;&gt;"S",OR($R127="",$R127="(digite a descrição aqui)")),"DESCRIÇÃO",
IF(AND($C127="S",OR($Q127&lt;&gt;"",$T127&gt;0,$U127&gt;0),$P127=""),"FONTE",
IF(AND($C127="S",$P127&lt;&gt;"",OR($T127&gt;0,$U127&gt;0),$Q127=""),"CÓDIGO",
IF(AND($C127="S",$P127&lt;&gt;"",$Q127&lt;&gt;"",$R127="(Código não identificado nas referências)"),"CÓDIGO N/ID",
IF(AND($C127="S",OR($R127="",$R127="(digite a descrição aqui)"),OR($Q127&lt;&gt;"",$T127&gt;0,$U127&gt;0)),"DESCRIÇÃO",
IF(AND($C127="S",$P127&lt;&gt;"",$Q127&lt;&gt;"",$S127=""),"UNIDADE",
IF(AND($C127="S",$P127&lt;&gt;"",$Q127&lt;&gt;"",$U127=0),"SEM CUSTO",
IF(AND(_xlfn.single(TIPOORCAMENTO)="Licitado",$AL127=0,$AN127&gt;0),"SEM PREÇO",
IF(AND($C127="S",$P127&lt;&gt;"",$Q127&lt;&gt;"",$U127&gt;0,$V127=0),"BDI",
IF(OR(AND(TIPOORCAMENTO="Proposto",LEFT($O$8,5)&lt;&gt;"(N/D:",$AG127&lt;&gt;"",ORÇAMENTO.CustoUnitario&gt;$AG127),AND(TIPOORCAMENTO="LICITADO",ORÇAMENTO.PrecoUnitarioLicitado&gt;$AN127)),"ACIMA REF.",
IF(AND($C127="S",$P127&lt;&gt;"",$Q127&lt;&gt;"",$T127=0,$U127&gt;0),"QUANT.",
IF(AND(Import.TipoArredondamento="TransfereGOV",$L127="F",$C127="S",LEN($Q127)&gt;13),"Código &gt;13",
IF(AND(Import.TipoArredondamento="TransfereGOV",$L127="F",$C127&lt;&gt;"S",LEN($R127)&gt;100),"Descrição &gt;100",
IF(AND(Import.TipoArredondamento="TransfereGOV",$L127="F",$C127="S",LEN($R127)&gt;500),"Descrição &gt;500",
IF(AND(Import.TipoArredondamento="TransfereGOV",$L127="F",$C127="S",LEFT(TRIM(UPPER($P127)),6)&lt;&gt;"SINAPI",ISNA(VLOOKUP(TRIM(UPPER($S127)),ListaTgov.Unidades,1,FALSE()))),"Unid. Não Disp",
" "))))))))))))))))</f>
        <v>#NAME?</v>
      </c>
      <c r="AD127" s="1" t="str">
        <f aca="true">IF(C127&lt;=CRONO.NivelExibicao,MAX($AD$15:OFFSET(AD127,-1,0))+IF($C127&lt;&gt;1,1,MAX(1,COUNTIF(QCI!$A$13:$A$15,OFFSET($E127,-1,0)))),"")</f>
        <v/>
      </c>
      <c r="AE127" s="50" t="str">
        <f aca="false">IF(AND($C127="S",ORÇAMENTO.CodBarra&lt;&gt;""),IF(ORÇAMENTO.Fonte="",ORÇAMENTO.CodBarra,CONCATENATE(ORÇAMENTO.Fonte," ",ORÇAMENTO.CodBarra)))</f>
        <v>SINAPI 103782</v>
      </c>
      <c r="AF127" s="65" t="str">
        <f aca="true">IF(ISERROR(INDIRECT(ORÇAMENTO.BancoRef)),"(abra o arquivo 'Referência "&amp;Excel_BuiltIn_Database&amp;".xlsm)",IF(OR($C127&lt;&gt;"S",ORÇAMENTO.CodBarra=""),"(Sem Código)",IF(ISERROR(MATCH($AE127,INDIRECT(ORÇAMENTO.BancoRef),0)),"(Código não identificado nas referências)",MATCH($AE127,INDIRECT(ORÇAMENTO.BancoRef),0))))</f>
        <v>(abra o arquivo 'Referência 07-2025.xlsm)</v>
      </c>
      <c r="AG127" s="215" t="n">
        <f aca="true">ROUND(IF(DESONERACAO="sim",REFERENCIA.Desonerado,REFERENCIA.NaoDesonerado),2)</f>
        <v>0</v>
      </c>
      <c r="AH127" s="216" t="n">
        <f aca="false">ROUND(IF(ISNUMBER(ORÇAMENTO.OpcaoBDI),ORÇAMENTO.OpcaoBDI,IF(LEFT(ORÇAMENTO.OpcaoBDI,3)="BDI",HLOOKUP(ORÇAMENTO.OpcaoBDI,$F$4:$H$5,2,FALSE()),0)),15-11*$AF$9)</f>
        <v>0.2904</v>
      </c>
      <c r="AJ127" s="217"/>
      <c r="AL127" s="218"/>
      <c r="AM127" s="219" t="n">
        <f aca="false">$X127</f>
        <v>7486</v>
      </c>
      <c r="AN127" s="220" t="n">
        <f aca="false">ROUND(ORÇAMENTO.CustoUnitario*(1+$AH127),2)</f>
        <v>37.43</v>
      </c>
    </row>
    <row r="128" customFormat="false" ht="23.85" hidden="false" customHeight="false" outlineLevel="0" collapsed="false">
      <c r="A128" s="1" t="str">
        <f aca="false">CHOOSE(1+LOG(1+2*(ORÇAMENTO.Nivel="Meta")+4*(ORÇAMENTO.Nivel="Nível 2")+8*(ORÇAMENTO.Nivel="Nível 3")+16*(ORÇAMENTO.Nivel="Nível 4")+32*(ORÇAMENTO.Nivel="Serviço"),2),0,1,2,3,4,"S")</f>
        <v>S</v>
      </c>
      <c r="B128" s="1" t="n">
        <f aca="true">IF(OR(C128="s",C128=0),OFFSET(B128,-1,0),C128)</f>
        <v>2</v>
      </c>
      <c r="C128" s="1" t="str">
        <f aca="true">IF(OFFSET(C128,-1,0)="L",1,IF(OFFSET(C128,-1,0)=1,2,IF(OR(A128="s",A128=0),"S",IF(AND(OFFSET(C128,-1,0)=2,A128=4),3,IF(AND(OR(OFFSET(C128,-1,0)="s",OFFSET(C128,-1,0)=0),A128&lt;&gt;"s",A128&gt;OFFSET(B128,-1,0)),OFFSET(B128,-1,0),A128)))))</f>
        <v>S</v>
      </c>
      <c r="D128" s="1" t="n">
        <f aca="false">IF(OR(C128="S",C128=0),0,IF(ISERROR(K128),J128,SMALL(J128:K128,1)))</f>
        <v>0</v>
      </c>
      <c r="E128" s="1" t="n">
        <f aca="true">IF($C128=1,OFFSET(E128,-1,0)+MAX(1,COUNTIF(QCI!$A$13:$A$15,OFFSET(ORÇAMENTO!E128,-1,0))),OFFSET(E128,-1,0))</f>
        <v>1</v>
      </c>
      <c r="F128" s="1" t="n">
        <f aca="true">IF($C128=1,0,IF($C128=2,OFFSET(F128,-1,0)+1,OFFSET(F128,-1,0)))</f>
        <v>37</v>
      </c>
      <c r="G128" s="1" t="n">
        <f aca="true">IF(AND($C128&lt;=2,$C128&lt;&gt;0),0,IF($C128=3,OFFSET(G128,-1,0)+1,OFFSET(G128,-1,0)))</f>
        <v>0</v>
      </c>
      <c r="H128" s="1" t="n">
        <f aca="true">IF(AND($C128&lt;=3,$C128&lt;&gt;0),0,IF($C128=4,OFFSET(H128,-1,0)+1,OFFSET(H128,-1,0)))</f>
        <v>0</v>
      </c>
      <c r="I128" s="1" t="n">
        <f aca="true">IF(AND($C128&lt;=4,$C128&lt;&gt;0),0,IF(AND($C128="S",$X128&gt;0),OFFSET(I128,-1,0)+1,OFFSET(I128,-1,0)))</f>
        <v>2</v>
      </c>
      <c r="J128" s="1" t="n">
        <f aca="true">IF(OR($C128="S",$C128=0),0,MATCH(0,OFFSET($D128,1,$C128,ROW($C$205)-ROW($C128)),0))</f>
        <v>0</v>
      </c>
      <c r="K128" s="1" t="n">
        <f aca="true">IF(OR($C128="S",$C128=0),0,MATCH(OFFSET($D128,0,$C128)+IF($C128&lt;&gt;1,1,COUNTIF(QCI!$A$13:$A$15,ORÇAMENTO!E128)),OFFSET($D128,1,$C128,ROW($C$205)-ROW($C128)),0))</f>
        <v>0</v>
      </c>
      <c r="L128" s="199" t="str">
        <f aca="false">IF(OR($X128&gt;0,$C128=1,$C128=2,$C128=3,$C128=4),"F","")</f>
        <v>F</v>
      </c>
      <c r="M128" s="200" t="s">
        <v>735</v>
      </c>
      <c r="N128" s="201" t="str">
        <f aca="false">CHOOSE(1+LOG(1+2*(C128=1)+4*(C128=2)+8*(C128=3)+16*(C128=4)+32*(C128="S"),2),"","Meta","Nível 2","Nível 3","Nível 4","Serviço")</f>
        <v>Serviço</v>
      </c>
      <c r="O128" s="202" t="str">
        <f aca="false">IF(OR($C128=0,$L128=""),"-",CONCATENATE(E128&amp;".",IF(AND($A$5&gt;=2,$C128&gt;=2),F128&amp;".",""),IF(AND($A$5&gt;=3,$C128&gt;=3),G128&amp;".",""),IF(AND($A$5&gt;=4,$C128&gt;=4),H128&amp;".",""),IF($C128="S",I128&amp;".","")))</f>
        <v>1.37.2.</v>
      </c>
      <c r="P128" s="203" t="s">
        <v>780</v>
      </c>
      <c r="Q128" s="204" t="n">
        <v>97605</v>
      </c>
      <c r="R128" s="205" t="str">
        <f aca="false">[3]ORÇAMENTO!$R$87</f>
        <v>LUMINÁRIA ARANDELA TIPO MEIA LUA, DE SOBREPOR, COM 1 LÂMPADA LED DE 6W, SEM REATOR - FORNECIMENTO E INSTALAÇÃO. AF_09/2024</v>
      </c>
      <c r="S128" s="206" t="s">
        <v>666</v>
      </c>
      <c r="T128" s="207" t="n">
        <f aca="true">OFFSET(CÁLCULO!H$15,ROW($T128)-ROW(T$15),0)</f>
        <v>50</v>
      </c>
      <c r="U128" s="208" t="n">
        <v>83.53</v>
      </c>
      <c r="V128" s="209" t="s">
        <v>690</v>
      </c>
      <c r="W128" s="207" t="n">
        <f aca="false">IF($C128="S",ROUND(IF(TIPOORCAMENTO="Proposto",ORÇAMENTO.CustoUnitario*(1+$AH128),ORÇAMENTO.PrecoUnitarioLicitado),15-13*$AF$10),0)</f>
        <v>107.79</v>
      </c>
      <c r="X128" s="210" t="n">
        <f aca="true" t="array" ref="X128:X128">IF($C128="S",IF(OR(Import.TipoArredondamento&lt;&gt;"TransfereGOV",ACOMPANHAMENTO="BM"),VTOTAL1,SUM(OFFSET(CÁLCULO!$AQ$15,ROW($X128)-ROW($X$15),1):OFFSET(CÁLCULO!$BR$15,ROW($X128)-ROW($X$15),-1))),IF($C128=0,0,ROUND(SomaAgrup,15-13*$AF$11)))</f>
        <v>5389.5</v>
      </c>
      <c r="Y128" s="211" t="s">
        <v>781</v>
      </c>
      <c r="Z128" s="1" t="str">
        <f aca="false">IF(AND($C128="S",$X128&gt;0),IF(ISBLANK($Y128),"RA",LEFT($Y128,2)),"")</f>
        <v>RA</v>
      </c>
      <c r="AA128" s="212" t="n">
        <f aca="true">IF($C128="S",IF($Z128="CP",$X128,IF($Z128="RA",(($X128)*QCI!$AA$3),0)),SomaAgrup)</f>
        <v>598.134937409516</v>
      </c>
      <c r="AB128" s="213" t="n">
        <f aca="true">IF($C128="S",IF($Z128="OU",ROUND($X128,2),0),SomaAgrup)</f>
        <v>0</v>
      </c>
      <c r="AC128" s="214" t="e">
        <f aca="false" t="array" ref="AC128:AC128">IF($N128=""," ",
IF(AND($C128&lt;&gt;"S",OR($R128="",$R128="(digite a descrição aqui)")),"DESCRIÇÃO",
IF(AND($C128="S",OR($Q128&lt;&gt;"",$T128&gt;0,$U128&gt;0),$P128=""),"FONTE",
IF(AND($C128="S",$P128&lt;&gt;"",OR($T128&gt;0,$U128&gt;0),$Q128=""),"CÓDIGO",
IF(AND($C128="S",$P128&lt;&gt;"",$Q128&lt;&gt;"",$R128="(Código não identificado nas referências)"),"CÓDIGO N/ID",
IF(AND($C128="S",OR($R128="",$R128="(digite a descrição aqui)"),OR($Q128&lt;&gt;"",$T128&gt;0,$U128&gt;0)),"DESCRIÇÃO",
IF(AND($C128="S",$P128&lt;&gt;"",$Q128&lt;&gt;"",$S128=""),"UNIDADE",
IF(AND($C128="S",$P128&lt;&gt;"",$Q128&lt;&gt;"",$U128=0),"SEM CUSTO",
IF(AND(_xlfn.single(TIPOORCAMENTO)="Licitado",$AL128=0,$AN128&gt;0),"SEM PREÇO",
IF(AND($C128="S",$P128&lt;&gt;"",$Q128&lt;&gt;"",$U128&gt;0,$V128=0),"BDI",
IF(OR(AND(TIPOORCAMENTO="Proposto",LEFT($O$8,5)&lt;&gt;"(N/D:",$AG128&lt;&gt;"",ORÇAMENTO.CustoUnitario&gt;$AG128),AND(TIPOORCAMENTO="LICITADO",ORÇAMENTO.PrecoUnitarioLicitado&gt;$AN128)),"ACIMA REF.",
IF(AND($C128="S",$P128&lt;&gt;"",$Q128&lt;&gt;"",$T128=0,$U128&gt;0),"QUANT.",
IF(AND(Import.TipoArredondamento="TransfereGOV",$L128="F",$C128="S",LEN($Q128)&gt;13),"Código &gt;13",
IF(AND(Import.TipoArredondamento="TransfereGOV",$L128="F",$C128&lt;&gt;"S",LEN($R128)&gt;100),"Descrição &gt;100",
IF(AND(Import.TipoArredondamento="TransfereGOV",$L128="F",$C128="S",LEN($R128)&gt;500),"Descrição &gt;500",
IF(AND(Import.TipoArredondamento="TransfereGOV",$L128="F",$C128="S",LEFT(TRIM(UPPER($P128)),6)&lt;&gt;"SINAPI",ISNA(VLOOKUP(TRIM(UPPER($S128)),ListaTgov.Unidades,1,FALSE()))),"Unid. Não Disp",
" "))))))))))))))))</f>
        <v>#NAME?</v>
      </c>
      <c r="AD128" s="1" t="str">
        <f aca="true">IF(C128&lt;=CRONO.NivelExibicao,MAX($AD$15:OFFSET(AD128,-1,0))+IF($C128&lt;&gt;1,1,MAX(1,COUNTIF(QCI!$A$13:$A$15,OFFSET($E128,-1,0)))),"")</f>
        <v/>
      </c>
      <c r="AE128" s="50" t="str">
        <f aca="false">IF(AND($C128="S",ORÇAMENTO.CodBarra&lt;&gt;""),IF(ORÇAMENTO.Fonte="",ORÇAMENTO.CodBarra,CONCATENATE(ORÇAMENTO.Fonte," ",ORÇAMENTO.CodBarra)))</f>
        <v>SINAPI 97605</v>
      </c>
      <c r="AF128" s="65" t="str">
        <f aca="true">IF(ISERROR(INDIRECT(ORÇAMENTO.BancoRef)),"(abra o arquivo 'Referência "&amp;Excel_BuiltIn_Database&amp;".xlsm)",IF(OR($C128&lt;&gt;"S",ORÇAMENTO.CodBarra=""),"(Sem Código)",IF(ISERROR(MATCH($AE128,INDIRECT(ORÇAMENTO.BancoRef),0)),"(Código não identificado nas referências)",MATCH($AE128,INDIRECT(ORÇAMENTO.BancoRef),0))))</f>
        <v>(abra o arquivo 'Referência 07-2025.xlsm)</v>
      </c>
      <c r="AG128" s="215" t="n">
        <f aca="true">ROUND(IF(DESONERACAO="sim",REFERENCIA.Desonerado,REFERENCIA.NaoDesonerado),2)</f>
        <v>0</v>
      </c>
      <c r="AH128" s="216" t="n">
        <f aca="false">ROUND(IF(ISNUMBER(ORÇAMENTO.OpcaoBDI),ORÇAMENTO.OpcaoBDI,IF(LEFT(ORÇAMENTO.OpcaoBDI,3)="BDI",HLOOKUP(ORÇAMENTO.OpcaoBDI,$F$4:$H$5,2,FALSE()),0)),15-11*$AF$9)</f>
        <v>0.2904</v>
      </c>
      <c r="AJ128" s="217"/>
      <c r="AL128" s="218"/>
      <c r="AM128" s="219" t="n">
        <f aca="false">$X128</f>
        <v>5389.5</v>
      </c>
      <c r="AN128" s="220" t="n">
        <f aca="false">ROUND(ORÇAMENTO.CustoUnitario*(1+$AH128),2)</f>
        <v>107.79</v>
      </c>
    </row>
    <row r="129" customFormat="false" ht="102.2" hidden="false" customHeight="false" outlineLevel="0" collapsed="false">
      <c r="A129" s="1" t="str">
        <f aca="false">CHOOSE(1+LOG(1+2*(ORÇAMENTO.Nivel="Meta")+4*(ORÇAMENTO.Nivel="Nível 2")+8*(ORÇAMENTO.Nivel="Nível 3")+16*(ORÇAMENTO.Nivel="Nível 4")+32*(ORÇAMENTO.Nivel="Serviço"),2),0,1,2,3,4,"S")</f>
        <v>S</v>
      </c>
      <c r="B129" s="1" t="n">
        <f aca="true">IF(OR(C129="s",C129=0),OFFSET(B129,-1,0),C129)</f>
        <v>2</v>
      </c>
      <c r="C129" s="1" t="str">
        <f aca="true">IF(OFFSET(C129,-1,0)="L",1,IF(OFFSET(C129,-1,0)=1,2,IF(OR(A129="s",A129=0),"S",IF(AND(OFFSET(C129,-1,0)=2,A129=4),3,IF(AND(OR(OFFSET(C129,-1,0)="s",OFFSET(C129,-1,0)=0),A129&lt;&gt;"s",A129&gt;OFFSET(B129,-1,0)),OFFSET(B129,-1,0),A129)))))</f>
        <v>S</v>
      </c>
      <c r="D129" s="1" t="n">
        <f aca="false">IF(OR(C129="S",C129=0),0,IF(ISERROR(K129),J129,SMALL(J129:K129,1)))</f>
        <v>0</v>
      </c>
      <c r="E129" s="1" t="n">
        <f aca="true">IF($C129=1,OFFSET(E129,-1,0)+MAX(1,COUNTIF(QCI!$A$13:$A$15,OFFSET(ORÇAMENTO!E129,-1,0))),OFFSET(E129,-1,0))</f>
        <v>1</v>
      </c>
      <c r="F129" s="1" t="n">
        <f aca="true">IF($C129=1,0,IF($C129=2,OFFSET(F129,-1,0)+1,OFFSET(F129,-1,0)))</f>
        <v>37</v>
      </c>
      <c r="G129" s="1" t="n">
        <f aca="true">IF(AND($C129&lt;=2,$C129&lt;&gt;0),0,IF($C129=3,OFFSET(G129,-1,0)+1,OFFSET(G129,-1,0)))</f>
        <v>0</v>
      </c>
      <c r="H129" s="1" t="n">
        <f aca="true">IF(AND($C129&lt;=3,$C129&lt;&gt;0),0,IF($C129=4,OFFSET(H129,-1,0)+1,OFFSET(H129,-1,0)))</f>
        <v>0</v>
      </c>
      <c r="I129" s="1" t="n">
        <f aca="true">IF(AND($C129&lt;=4,$C129&lt;&gt;0),0,IF(AND($C129="S",$X129&gt;0),OFFSET(I129,-1,0)+1,OFFSET(I129,-1,0)))</f>
        <v>3</v>
      </c>
      <c r="J129" s="1" t="n">
        <f aca="true">IF(OR($C129="S",$C129=0),0,MATCH(0,OFFSET($D129,1,$C129,ROW($C$205)-ROW($C129)),0))</f>
        <v>0</v>
      </c>
      <c r="K129" s="1" t="n">
        <f aca="true">IF(OR($C129="S",$C129=0),0,MATCH(OFFSET($D129,0,$C129)+IF($C129&lt;&gt;1,1,COUNTIF(QCI!$A$13:$A$15,ORÇAMENTO!E129)),OFFSET($D129,1,$C129,ROW($C$205)-ROW($C129)),0))</f>
        <v>0</v>
      </c>
      <c r="L129" s="199" t="str">
        <f aca="false">IF(OR($X129&gt;0,$C129=1,$C129=2,$C129=3,$C129=4),"F","")</f>
        <v>F</v>
      </c>
      <c r="M129" s="200" t="s">
        <v>735</v>
      </c>
      <c r="N129" s="201" t="str">
        <f aca="false">CHOOSE(1+LOG(1+2*(C129=1)+4*(C129=2)+8*(C129=3)+16*(C129=4)+32*(C129="S"),2),"","Meta","Nível 2","Nível 3","Nível 4","Serviço")</f>
        <v>Serviço</v>
      </c>
      <c r="O129" s="202" t="str">
        <f aca="false">IF(OR($C129=0,$L129=""),"-",CONCATENATE(E129&amp;".",IF(AND($A$5&gt;=2,$C129&gt;=2),F129&amp;".",""),IF(AND($A$5&gt;=3,$C129&gt;=3),G129&amp;".",""),IF(AND($A$5&gt;=4,$C129&gt;=4),H129&amp;".",""),IF($C129="S",I129&amp;".","")))</f>
        <v>1.37.3.</v>
      </c>
      <c r="P129" s="203" t="s">
        <v>789</v>
      </c>
      <c r="Q129" s="204" t="s">
        <v>854</v>
      </c>
      <c r="R129" s="205" t="str">
        <f aca="false">[3]ORÇAMENTO!$R$83</f>
        <v>PONTO DE EMBUTIR PARA UM (1) INTERRUPTOR SIMPLES (10A-
250V), COM PLACA 4"X2" DE UM (1) POSTO, COM ELETRODUTO
FLEXÍVEL CORRUGADO, ANTI-CHAMA, DN 25MM (3/4"), EMBUTIDO
NA ALVENARIA E CABO DE COBRE FLEXÍVEL, CLASSE 5,
ISOLAMENTO TIPO LSHF/ATOX, NÃO HALOGENADO, SEÇÃO 1,
5MM2 (70°C-450/750V), COM DISTÂNCIA DE ATÉ DEZ (10) METROS
DO PONTO DE DERIVAÇÃO, INCLUSIVE CAIXA DE LIGAÇÃO,
SUPORTE E FIXAÇÃO DO ELETRODUTO COM ENCHIMENTO DO
RASGO NA ALVENARIA/CONCRETO COM ARGAMASSA</v>
      </c>
      <c r="S129" s="206" t="s">
        <v>666</v>
      </c>
      <c r="T129" s="207" t="n">
        <f aca="true">OFFSET(CÁLCULO!H$15,ROW($T129)-ROW(T$15),0)</f>
        <v>325</v>
      </c>
      <c r="U129" s="208" t="n">
        <f aca="false">[3]ORÇAMENTO!$U$83</f>
        <v>236.04</v>
      </c>
      <c r="V129" s="209" t="s">
        <v>690</v>
      </c>
      <c r="W129" s="207" t="n">
        <f aca="false">IF($C129="S",ROUND(IF(TIPOORCAMENTO="Proposto",ORÇAMENTO.CustoUnitario*(1+$AH129),ORÇAMENTO.PrecoUnitarioLicitado),15-13*$AF$10),0)</f>
        <v>304.59</v>
      </c>
      <c r="X129" s="210" t="n">
        <f aca="true" t="array" ref="X129:X129">IF($C129="S",IF(OR(Import.TipoArredondamento&lt;&gt;"TransfereGOV",ACOMPANHAMENTO="BM"),VTOTAL1,SUM(OFFSET(CÁLCULO!$AQ$15,ROW($X129)-ROW($X$15),1):OFFSET(CÁLCULO!$BR$15,ROW($X129)-ROW($X$15),-1))),IF($C129=0,0,ROUND(SomaAgrup,15-13*$AF$11)))</f>
        <v>98991.75</v>
      </c>
      <c r="Y129" s="211" t="s">
        <v>781</v>
      </c>
      <c r="Z129" s="1" t="str">
        <f aca="false">IF(AND($C129="S",$X129&gt;0),IF(ISBLANK($Y129),"RA",LEFT($Y129,2)),"")</f>
        <v>RA</v>
      </c>
      <c r="AA129" s="212" t="n">
        <f aca="true">IF($C129="S",IF($Z129="CP",$X129,IF($Z129="RA",(($X129)*QCI!$AA$3),0)),SomaAgrup)</f>
        <v>10986.2555321103</v>
      </c>
      <c r="AB129" s="213" t="n">
        <f aca="true">IF($C129="S",IF($Z129="OU",ROUND($X129,2),0),SomaAgrup)</f>
        <v>0</v>
      </c>
      <c r="AC129" s="214" t="e">
        <f aca="false" t="array" ref="AC129:AC129">IF($N129=""," ",
IF(AND($C129&lt;&gt;"S",OR($R129="",$R129="(digite a descrição aqui)")),"DESCRIÇÃO",
IF(AND($C129="S",OR($Q129&lt;&gt;"",$T129&gt;0,$U129&gt;0),$P129=""),"FONTE",
IF(AND($C129="S",$P129&lt;&gt;"",OR($T129&gt;0,$U129&gt;0),$Q129=""),"CÓDIGO",
IF(AND($C129="S",$P129&lt;&gt;"",$Q129&lt;&gt;"",$R129="(Código não identificado nas referências)"),"CÓDIGO N/ID",
IF(AND($C129="S",OR($R129="",$R129="(digite a descrição aqui)"),OR($Q129&lt;&gt;"",$T129&gt;0,$U129&gt;0)),"DESCRIÇÃO",
IF(AND($C129="S",$P129&lt;&gt;"",$Q129&lt;&gt;"",$S129=""),"UNIDADE",
IF(AND($C129="S",$P129&lt;&gt;"",$Q129&lt;&gt;"",$U129=0),"SEM CUSTO",
IF(AND(_xlfn.single(TIPOORCAMENTO)="Licitado",$AL129=0,$AN129&gt;0),"SEM PREÇO",
IF(AND($C129="S",$P129&lt;&gt;"",$Q129&lt;&gt;"",$U129&gt;0,$V129=0),"BDI",
IF(OR(AND(TIPOORCAMENTO="Proposto",LEFT($O$8,5)&lt;&gt;"(N/D:",$AG129&lt;&gt;"",ORÇAMENTO.CustoUnitario&gt;$AG129),AND(TIPOORCAMENTO="LICITADO",ORÇAMENTO.PrecoUnitarioLicitado&gt;$AN129)),"ACIMA REF.",
IF(AND($C129="S",$P129&lt;&gt;"",$Q129&lt;&gt;"",$T129=0,$U129&gt;0),"QUANT.",
IF(AND(Import.TipoArredondamento="TransfereGOV",$L129="F",$C129="S",LEN($Q129)&gt;13),"Código &gt;13",
IF(AND(Import.TipoArredondamento="TransfereGOV",$L129="F",$C129&lt;&gt;"S",LEN($R129)&gt;100),"Descrição &gt;100",
IF(AND(Import.TipoArredondamento="TransfereGOV",$L129="F",$C129="S",LEN($R129)&gt;500),"Descrição &gt;500",
IF(AND(Import.TipoArredondamento="TransfereGOV",$L129="F",$C129="S",LEFT(TRIM(UPPER($P129)),6)&lt;&gt;"SINAPI",ISNA(VLOOKUP(TRIM(UPPER($S129)),ListaTgov.Unidades,1,FALSE()))),"Unid. Não Disp",
" "))))))))))))))))</f>
        <v>#NAME?</v>
      </c>
      <c r="AD129" s="1" t="str">
        <f aca="true">IF(C129&lt;=CRONO.NivelExibicao,MAX($AD$15:OFFSET(AD129,-1,0))+IF($C129&lt;&gt;1,1,MAX(1,COUNTIF(QCI!$A$13:$A$15,OFFSET($E129,-1,0)))),"")</f>
        <v/>
      </c>
      <c r="AE129" s="50" t="str">
        <f aca="false">IF(AND($C129="S",ORÇAMENTO.CodBarra&lt;&gt;""),IF(ORÇAMENTO.Fonte="",ORÇAMENTO.CodBarra,CONCATENATE(ORÇAMENTO.Fonte," ",ORÇAMENTO.CodBarra)))</f>
        <v>SICRO ED-50227</v>
      </c>
      <c r="AF129" s="65" t="str">
        <f aca="true">IF(ISERROR(INDIRECT(ORÇAMENTO.BancoRef)),"(abra o arquivo 'Referência "&amp;Excel_BuiltIn_Database&amp;".xlsm)",IF(OR($C129&lt;&gt;"S",ORÇAMENTO.CodBarra=""),"(Sem Código)",IF(ISERROR(MATCH($AE129,INDIRECT(ORÇAMENTO.BancoRef),0)),"(Código não identificado nas referências)",MATCH($AE129,INDIRECT(ORÇAMENTO.BancoRef),0))))</f>
        <v>(abra o arquivo 'Referência 07-2025.xlsm)</v>
      </c>
      <c r="AG129" s="215" t="n">
        <f aca="true">ROUND(IF(DESONERACAO="sim",REFERENCIA.Desonerado,REFERENCIA.NaoDesonerado),2)</f>
        <v>0</v>
      </c>
      <c r="AH129" s="216" t="n">
        <f aca="false">ROUND(IF(ISNUMBER(ORÇAMENTO.OpcaoBDI),ORÇAMENTO.OpcaoBDI,IF(LEFT(ORÇAMENTO.OpcaoBDI,3)="BDI",HLOOKUP(ORÇAMENTO.OpcaoBDI,$F$4:$H$5,2,FALSE()),0)),15-11*$AF$9)</f>
        <v>0.2904</v>
      </c>
      <c r="AJ129" s="217"/>
      <c r="AL129" s="218"/>
      <c r="AM129" s="219" t="n">
        <f aca="false">$X129</f>
        <v>98991.75</v>
      </c>
      <c r="AN129" s="220" t="n">
        <f aca="false">ROUND(ORÇAMENTO.CustoUnitario*(1+$AH129),2)</f>
        <v>304.59</v>
      </c>
    </row>
    <row r="130" customFormat="false" ht="79.85" hidden="false" customHeight="false" outlineLevel="0" collapsed="false">
      <c r="A130" s="1" t="str">
        <f aca="false">CHOOSE(1+LOG(1+2*(ORÇAMENTO.Nivel="Meta")+4*(ORÇAMENTO.Nivel="Nível 2")+8*(ORÇAMENTO.Nivel="Nível 3")+16*(ORÇAMENTO.Nivel="Nível 4")+32*(ORÇAMENTO.Nivel="Serviço"),2),0,1,2,3,4,"S")</f>
        <v>S</v>
      </c>
      <c r="B130" s="1" t="n">
        <f aca="true">IF(OR(C130="s",C130=0),OFFSET(B130,-1,0),C130)</f>
        <v>2</v>
      </c>
      <c r="C130" s="1" t="str">
        <f aca="true">IF(OFFSET(C130,-1,0)="L",1,IF(OFFSET(C130,-1,0)=1,2,IF(OR(A130="s",A130=0),"S",IF(AND(OFFSET(C130,-1,0)=2,A130=4),3,IF(AND(OR(OFFSET(C130,-1,0)="s",OFFSET(C130,-1,0)=0),A130&lt;&gt;"s",A130&gt;OFFSET(B130,-1,0)),OFFSET(B130,-1,0),A130)))))</f>
        <v>S</v>
      </c>
      <c r="D130" s="1" t="n">
        <f aca="false">IF(OR(C130="S",C130=0),0,IF(ISERROR(K130),J130,SMALL(J130:K130,1)))</f>
        <v>0</v>
      </c>
      <c r="E130" s="1" t="n">
        <f aca="true">IF($C130=1,OFFSET(E130,-1,0)+MAX(1,COUNTIF(QCI!$A$13:$A$15,OFFSET(ORÇAMENTO!E130,-1,0))),OFFSET(E130,-1,0))</f>
        <v>1</v>
      </c>
      <c r="F130" s="1" t="n">
        <f aca="true">IF($C130=1,0,IF($C130=2,OFFSET(F130,-1,0)+1,OFFSET(F130,-1,0)))</f>
        <v>37</v>
      </c>
      <c r="G130" s="1" t="n">
        <f aca="true">IF(AND($C130&lt;=2,$C130&lt;&gt;0),0,IF($C130=3,OFFSET(G130,-1,0)+1,OFFSET(G130,-1,0)))</f>
        <v>0</v>
      </c>
      <c r="H130" s="1" t="n">
        <f aca="true">IF(AND($C130&lt;=3,$C130&lt;&gt;0),0,IF($C130=4,OFFSET(H130,-1,0)+1,OFFSET(H130,-1,0)))</f>
        <v>0</v>
      </c>
      <c r="I130" s="1" t="n">
        <f aca="true">IF(AND($C130&lt;=4,$C130&lt;&gt;0),0,IF(AND($C130="S",$X130&gt;0),OFFSET(I130,-1,0)+1,OFFSET(I130,-1,0)))</f>
        <v>4</v>
      </c>
      <c r="J130" s="1" t="n">
        <f aca="true">IF(OR($C130="S",$C130=0),0,MATCH(0,OFFSET($D130,1,$C130,ROW($C$205)-ROW($C130)),0))</f>
        <v>0</v>
      </c>
      <c r="K130" s="1" t="n">
        <f aca="true">IF(OR($C130="S",$C130=0),0,MATCH(OFFSET($D130,0,$C130)+IF($C130&lt;&gt;1,1,COUNTIF(QCI!$A$13:$A$15,ORÇAMENTO!E130)),OFFSET($D130,1,$C130,ROW($C$205)-ROW($C130)),0))</f>
        <v>0</v>
      </c>
      <c r="L130" s="199" t="str">
        <f aca="false">IF(OR($X130&gt;0,$C130=1,$C130=2,$C130=3,$C130=4),"F","")</f>
        <v>F</v>
      </c>
      <c r="M130" s="200" t="s">
        <v>735</v>
      </c>
      <c r="N130" s="201" t="str">
        <f aca="false">CHOOSE(1+LOG(1+2*(C130=1)+4*(C130=2)+8*(C130=3)+16*(C130=4)+32*(C130="S"),2),"","Meta","Nível 2","Nível 3","Nível 4","Serviço")</f>
        <v>Serviço</v>
      </c>
      <c r="O130" s="202" t="str">
        <f aca="false">IF(OR($C130=0,$L130=""),"-",CONCATENATE(E130&amp;".",IF(AND($A$5&gt;=2,$C130&gt;=2),F130&amp;".",""),IF(AND($A$5&gt;=3,$C130&gt;=3),G130&amp;".",""),IF(AND($A$5&gt;=4,$C130&gt;=4),H130&amp;".",""),IF($C130="S",I130&amp;".","")))</f>
        <v>1.37.4.</v>
      </c>
      <c r="P130" s="203" t="s">
        <v>789</v>
      </c>
      <c r="Q130" s="204" t="s">
        <v>855</v>
      </c>
      <c r="R130" s="205" t="str">
        <f aca="false">[3]ORÇAMENTO!$R$84</f>
        <v>PONTO DE EMBUTIR PARA UMA (1) LUMINÁRIA,COM ELETRODUTO
DE PVC RÍGIDO ROSCÁVEL, DN 20MM (3/4"), EMBUTIDO NA LAJE E
CABO DE COBRE FLEXÍVEL, CLASSE 5, ISOLAMENTO TIPO LSHF/
ATOX, NÃO HALOGENADO, SEÇÃO 1,5MM2 (70°C-450/750V), COM
DISTÂNCIA DE ATÉ CINCO (5) METROS DO PONTO DE DERIVAÇÃO,
EXCLUSIVE LUMINÁRIA, INCLUSIVE CAIXA DE LIGAÇÃO
OCTOGONAL, SUPORTE E FIXAÇÃO DO ELETRODUTO</v>
      </c>
      <c r="S130" s="206" t="s">
        <v>666</v>
      </c>
      <c r="T130" s="207" t="n">
        <f aca="true">OFFSET(CÁLCULO!H$15,ROW($T130)-ROW(T$15),0)</f>
        <v>250</v>
      </c>
      <c r="U130" s="208" t="n">
        <f aca="false">[3]ORÇAMENTO!$U$84</f>
        <v>142.11</v>
      </c>
      <c r="V130" s="209" t="s">
        <v>690</v>
      </c>
      <c r="W130" s="207" t="n">
        <f aca="false">IF($C130="S",ROUND(IF(TIPOORCAMENTO="Proposto",ORÇAMENTO.CustoUnitario*(1+$AH130),ORÇAMENTO.PrecoUnitarioLicitado),15-13*$AF$10),0)</f>
        <v>183.38</v>
      </c>
      <c r="X130" s="210" t="n">
        <f aca="true" t="array" ref="X130:X130">IF($C130="S",IF(OR(Import.TipoArredondamento&lt;&gt;"TransfereGOV",ACOMPANHAMENTO="BM"),VTOTAL1,SUM(OFFSET(CÁLCULO!$AQ$15,ROW($X130)-ROW($X$15),1):OFFSET(CÁLCULO!$BR$15,ROW($X130)-ROW($X$15),-1))),IF($C130=0,0,ROUND(SomaAgrup,15-13*$AF$11)))</f>
        <v>45845</v>
      </c>
      <c r="Y130" s="211" t="s">
        <v>781</v>
      </c>
      <c r="Z130" s="1" t="str">
        <f aca="false">IF(AND($C130="S",$X130&gt;0),IF(ISBLANK($Y130),"RA",LEFT($Y130,2)),"")</f>
        <v>RA</v>
      </c>
      <c r="AA130" s="212" t="n">
        <f aca="true">IF($C130="S",IF($Z130="CP",$X130,IF($Z130="RA",(($X130)*QCI!$AA$3),0)),SomaAgrup)</f>
        <v>5087.94808526566</v>
      </c>
      <c r="AB130" s="213" t="n">
        <f aca="true">IF($C130="S",IF($Z130="OU",ROUND($X130,2),0),SomaAgrup)</f>
        <v>0</v>
      </c>
      <c r="AC130" s="214" t="e">
        <f aca="false" t="array" ref="AC130:AC130">IF($N130=""," ",
IF(AND($C130&lt;&gt;"S",OR($R130="",$R130="(digite a descrição aqui)")),"DESCRIÇÃO",
IF(AND($C130="S",OR($Q130&lt;&gt;"",$T130&gt;0,$U130&gt;0),$P130=""),"FONTE",
IF(AND($C130="S",$P130&lt;&gt;"",OR($T130&gt;0,$U130&gt;0),$Q130=""),"CÓDIGO",
IF(AND($C130="S",$P130&lt;&gt;"",$Q130&lt;&gt;"",$R130="(Código não identificado nas referências)"),"CÓDIGO N/ID",
IF(AND($C130="S",OR($R130="",$R130="(digite a descrição aqui)"),OR($Q130&lt;&gt;"",$T130&gt;0,$U130&gt;0)),"DESCRIÇÃO",
IF(AND($C130="S",$P130&lt;&gt;"",$Q130&lt;&gt;"",$S130=""),"UNIDADE",
IF(AND($C130="S",$P130&lt;&gt;"",$Q130&lt;&gt;"",$U130=0),"SEM CUSTO",
IF(AND(_xlfn.single(TIPOORCAMENTO)="Licitado",$AL130=0,$AN130&gt;0),"SEM PREÇO",
IF(AND($C130="S",$P130&lt;&gt;"",$Q130&lt;&gt;"",$U130&gt;0,$V130=0),"BDI",
IF(OR(AND(TIPOORCAMENTO="Proposto",LEFT($O$8,5)&lt;&gt;"(N/D:",$AG130&lt;&gt;"",ORÇAMENTO.CustoUnitario&gt;$AG130),AND(TIPOORCAMENTO="LICITADO",ORÇAMENTO.PrecoUnitarioLicitado&gt;$AN130)),"ACIMA REF.",
IF(AND($C130="S",$P130&lt;&gt;"",$Q130&lt;&gt;"",$T130=0,$U130&gt;0),"QUANT.",
IF(AND(Import.TipoArredondamento="TransfereGOV",$L130="F",$C130="S",LEN($Q130)&gt;13),"Código &gt;13",
IF(AND(Import.TipoArredondamento="TransfereGOV",$L130="F",$C130&lt;&gt;"S",LEN($R130)&gt;100),"Descrição &gt;100",
IF(AND(Import.TipoArredondamento="TransfereGOV",$L130="F",$C130="S",LEN($R130)&gt;500),"Descrição &gt;500",
IF(AND(Import.TipoArredondamento="TransfereGOV",$L130="F",$C130="S",LEFT(TRIM(UPPER($P130)),6)&lt;&gt;"SINAPI",ISNA(VLOOKUP(TRIM(UPPER($S130)),ListaTgov.Unidades,1,FALSE()))),"Unid. Não Disp",
" "))))))))))))))))</f>
        <v>#NAME?</v>
      </c>
      <c r="AD130" s="1" t="str">
        <f aca="true">IF(C130&lt;=CRONO.NivelExibicao,MAX($AD$15:OFFSET(AD130,-1,0))+IF($C130&lt;&gt;1,1,MAX(1,COUNTIF(QCI!$A$13:$A$15,OFFSET($E130,-1,0)))),"")</f>
        <v/>
      </c>
      <c r="AE130" s="50" t="str">
        <f aca="false">IF(AND($C130="S",ORÇAMENTO.CodBarra&lt;&gt;""),IF(ORÇAMENTO.Fonte="",ORÇAMENTO.CodBarra,CONCATENATE(ORÇAMENTO.Fonte," ",ORÇAMENTO.CodBarra)))</f>
        <v>SICRO ED-50228</v>
      </c>
      <c r="AF130" s="65" t="str">
        <f aca="true">IF(ISERROR(INDIRECT(ORÇAMENTO.BancoRef)),"(abra o arquivo 'Referência "&amp;Excel_BuiltIn_Database&amp;".xlsm)",IF(OR($C130&lt;&gt;"S",ORÇAMENTO.CodBarra=""),"(Sem Código)",IF(ISERROR(MATCH($AE130,INDIRECT(ORÇAMENTO.BancoRef),0)),"(Código não identificado nas referências)",MATCH($AE130,INDIRECT(ORÇAMENTO.BancoRef),0))))</f>
        <v>(abra o arquivo 'Referência 07-2025.xlsm)</v>
      </c>
      <c r="AG130" s="215" t="n">
        <f aca="true">ROUND(IF(DESONERACAO="sim",REFERENCIA.Desonerado,REFERENCIA.NaoDesonerado),2)</f>
        <v>0</v>
      </c>
      <c r="AH130" s="216" t="n">
        <f aca="false">ROUND(IF(ISNUMBER(ORÇAMENTO.OpcaoBDI),ORÇAMENTO.OpcaoBDI,IF(LEFT(ORÇAMENTO.OpcaoBDI,3)="BDI",HLOOKUP(ORÇAMENTO.OpcaoBDI,$F$4:$H$5,2,FALSE()),0)),15-11*$AF$9)</f>
        <v>0.2904</v>
      </c>
      <c r="AJ130" s="217"/>
      <c r="AL130" s="218"/>
      <c r="AM130" s="219" t="n">
        <f aca="false">$X130</f>
        <v>45845</v>
      </c>
      <c r="AN130" s="220" t="n">
        <f aca="false">ROUND(ORÇAMENTO.CustoUnitario*(1+$AH130),2)</f>
        <v>183.38</v>
      </c>
    </row>
    <row r="131" customFormat="false" ht="102.2" hidden="false" customHeight="false" outlineLevel="0" collapsed="false">
      <c r="A131" s="1" t="str">
        <f aca="false">CHOOSE(1+LOG(1+2*(ORÇAMENTO.Nivel="Meta")+4*(ORÇAMENTO.Nivel="Nível 2")+8*(ORÇAMENTO.Nivel="Nível 3")+16*(ORÇAMENTO.Nivel="Nível 4")+32*(ORÇAMENTO.Nivel="Serviço"),2),0,1,2,3,4,"S")</f>
        <v>S</v>
      </c>
      <c r="B131" s="1" t="n">
        <f aca="true">IF(OR(C131="s",C131=0),OFFSET(B131,-1,0),C131)</f>
        <v>2</v>
      </c>
      <c r="C131" s="1" t="str">
        <f aca="true">IF(OFFSET(C131,-1,0)="L",1,IF(OFFSET(C131,-1,0)=1,2,IF(OR(A131="s",A131=0),"S",IF(AND(OFFSET(C131,-1,0)=2,A131=4),3,IF(AND(OR(OFFSET(C131,-1,0)="s",OFFSET(C131,-1,0)=0),A131&lt;&gt;"s",A131&gt;OFFSET(B131,-1,0)),OFFSET(B131,-1,0),A131)))))</f>
        <v>S</v>
      </c>
      <c r="D131" s="1" t="n">
        <f aca="false">IF(OR(C131="S",C131=0),0,IF(ISERROR(K131),J131,SMALL(J131:K131,1)))</f>
        <v>0</v>
      </c>
      <c r="E131" s="1" t="n">
        <f aca="true">IF($C131=1,OFFSET(E131,-1,0)+MAX(1,COUNTIF(QCI!$A$13:$A$15,OFFSET(ORÇAMENTO!E131,-1,0))),OFFSET(E131,-1,0))</f>
        <v>1</v>
      </c>
      <c r="F131" s="1" t="n">
        <f aca="true">IF($C131=1,0,IF($C131=2,OFFSET(F131,-1,0)+1,OFFSET(F131,-1,0)))</f>
        <v>37</v>
      </c>
      <c r="G131" s="1" t="n">
        <f aca="true">IF(AND($C131&lt;=2,$C131&lt;&gt;0),0,IF($C131=3,OFFSET(G131,-1,0)+1,OFFSET(G131,-1,0)))</f>
        <v>0</v>
      </c>
      <c r="H131" s="1" t="n">
        <f aca="true">IF(AND($C131&lt;=3,$C131&lt;&gt;0),0,IF($C131=4,OFFSET(H131,-1,0)+1,OFFSET(H131,-1,0)))</f>
        <v>0</v>
      </c>
      <c r="I131" s="1" t="n">
        <f aca="true">IF(AND($C131&lt;=4,$C131&lt;&gt;0),0,IF(AND($C131="S",$X131&gt;0),OFFSET(I131,-1,0)+1,OFFSET(I131,-1,0)))</f>
        <v>5</v>
      </c>
      <c r="J131" s="1" t="n">
        <f aca="true">IF(OR($C131="S",$C131=0),0,MATCH(0,OFFSET($D131,1,$C131,ROW($C$205)-ROW($C131)),0))</f>
        <v>0</v>
      </c>
      <c r="K131" s="1" t="n">
        <f aca="true">IF(OR($C131="S",$C131=0),0,MATCH(OFFSET($D131,0,$C131)+IF($C131&lt;&gt;1,1,COUNTIF(QCI!$A$13:$A$15,ORÇAMENTO!E131)),OFFSET($D131,1,$C131,ROW($C$205)-ROW($C131)),0))</f>
        <v>0</v>
      </c>
      <c r="L131" s="199" t="str">
        <f aca="false">IF(OR($X131&gt;0,$C131=1,$C131=2,$C131=3,$C131=4),"F","")</f>
        <v>F</v>
      </c>
      <c r="M131" s="200" t="s">
        <v>735</v>
      </c>
      <c r="N131" s="201" t="str">
        <f aca="false">CHOOSE(1+LOG(1+2*(C131=1)+4*(C131=2)+8*(C131=3)+16*(C131=4)+32*(C131="S"),2),"","Meta","Nível 2","Nível 3","Nível 4","Serviço")</f>
        <v>Serviço</v>
      </c>
      <c r="O131" s="202" t="str">
        <f aca="false">IF(OR($C131=0,$L131=""),"-",CONCATENATE(E131&amp;".",IF(AND($A$5&gt;=2,$C131&gt;=2),F131&amp;".",""),IF(AND($A$5&gt;=3,$C131&gt;=3),G131&amp;".",""),IF(AND($A$5&gt;=4,$C131&gt;=4),H131&amp;".",""),IF($C131="S",I131&amp;".","")))</f>
        <v>1.37.5.</v>
      </c>
      <c r="P131" s="203" t="s">
        <v>789</v>
      </c>
      <c r="Q131" s="204" t="s">
        <v>842</v>
      </c>
      <c r="R131" s="205" t="str">
        <f aca="false">[3]ORÇAMENTO!$R$85</f>
        <v>PONTO DE EMBUTIR PARA UMA (1) TOMADA PADRÃO, TRÊS (3)
POLOS (2P+T/10A-250V), COM PLACA 4"X2" DE UM (1) POSTO, COM
ELETRODUTO DE PVC RÍGIDO ROSCÁVEL, DN 20MM (3/4"),
EMBUTIDO NO PISO E CABO DE COBRE FLEXÍVEL, CLASSE 5,
ISOLAMENTO TIPO LSHF/ATOX, NÃO HALOGENADO, SEÇÃO 2,
5MM2 (70°C-450/750V), COM DISTÂNCIA DE ATÉ DEZ (10) METROS
DO PONTO DE DERIVAÇÃO, INCLUSIVE CAIXA DE LIGAÇÃO,
SUPORTE E FIXAÇÃO DO ELETRODUTO COM ENCHIMENTO DO
RASGO NA ALVENARIA/CONCRETO COM ARGAMASSA</v>
      </c>
      <c r="S131" s="206" t="s">
        <v>666</v>
      </c>
      <c r="T131" s="207" t="n">
        <f aca="true">OFFSET(CÁLCULO!H$15,ROW($T131)-ROW(T$15),0)</f>
        <v>250</v>
      </c>
      <c r="U131" s="208" t="n">
        <f aca="false">[3]ORÇAMENTO!$U$85</f>
        <v>398.48</v>
      </c>
      <c r="V131" s="209" t="s">
        <v>690</v>
      </c>
      <c r="W131" s="207" t="n">
        <f aca="false">IF($C131="S",ROUND(IF(TIPOORCAMENTO="Proposto",ORÇAMENTO.CustoUnitario*(1+$AH131),ORÇAMENTO.PrecoUnitarioLicitado),15-13*$AF$10),0)</f>
        <v>514.2</v>
      </c>
      <c r="X131" s="210" t="n">
        <f aca="true" t="array" ref="X131:X131">IF($C131="S",IF(OR(Import.TipoArredondamento&lt;&gt;"TransfereGOV",ACOMPANHAMENTO="BM"),VTOTAL1,SUM(OFFSET(CÁLCULO!$AQ$15,ROW($X131)-ROW($X$15),1):OFFSET(CÁLCULO!$BR$15,ROW($X131)-ROW($X$15),-1))),IF($C131=0,0,ROUND(SomaAgrup,15-13*$AF$11)))</f>
        <v>128550</v>
      </c>
      <c r="Y131" s="211" t="s">
        <v>781</v>
      </c>
      <c r="Z131" s="1" t="str">
        <f aca="false">IF(AND($C131="S",$X131&gt;0),IF(ISBLANK($Y131),"RA",LEFT($Y131,2)),"")</f>
        <v>RA</v>
      </c>
      <c r="AA131" s="212" t="n">
        <f aca="true">IF($C131="S",IF($Z131="CP",$X131,IF($Z131="RA",(($X131)*QCI!$AA$3),0)),SomaAgrup)</f>
        <v>14266.6752396314</v>
      </c>
      <c r="AB131" s="213" t="n">
        <f aca="true">IF($C131="S",IF($Z131="OU",ROUND($X131,2),0),SomaAgrup)</f>
        <v>0</v>
      </c>
      <c r="AC131" s="214" t="e">
        <f aca="false" t="array" ref="AC131:AC131">IF($N131=""," ",
IF(AND($C131&lt;&gt;"S",OR($R131="",$R131="(digite a descrição aqui)")),"DESCRIÇÃO",
IF(AND($C131="S",OR($Q131&lt;&gt;"",$T131&gt;0,$U131&gt;0),$P131=""),"FONTE",
IF(AND($C131="S",$P131&lt;&gt;"",OR($T131&gt;0,$U131&gt;0),$Q131=""),"CÓDIGO",
IF(AND($C131="S",$P131&lt;&gt;"",$Q131&lt;&gt;"",$R131="(Código não identificado nas referências)"),"CÓDIGO N/ID",
IF(AND($C131="S",OR($R131="",$R131="(digite a descrição aqui)"),OR($Q131&lt;&gt;"",$T131&gt;0,$U131&gt;0)),"DESCRIÇÃO",
IF(AND($C131="S",$P131&lt;&gt;"",$Q131&lt;&gt;"",$S131=""),"UNIDADE",
IF(AND($C131="S",$P131&lt;&gt;"",$Q131&lt;&gt;"",$U131=0),"SEM CUSTO",
IF(AND(_xlfn.single(TIPOORCAMENTO)="Licitado",$AL131=0,$AN131&gt;0),"SEM PREÇO",
IF(AND($C131="S",$P131&lt;&gt;"",$Q131&lt;&gt;"",$U131&gt;0,$V131=0),"BDI",
IF(OR(AND(TIPOORCAMENTO="Proposto",LEFT($O$8,5)&lt;&gt;"(N/D:",$AG131&lt;&gt;"",ORÇAMENTO.CustoUnitario&gt;$AG131),AND(TIPOORCAMENTO="LICITADO",ORÇAMENTO.PrecoUnitarioLicitado&gt;$AN131)),"ACIMA REF.",
IF(AND($C131="S",$P131&lt;&gt;"",$Q131&lt;&gt;"",$T131=0,$U131&gt;0),"QUANT.",
IF(AND(Import.TipoArredondamento="TransfereGOV",$L131="F",$C131="S",LEN($Q131)&gt;13),"Código &gt;13",
IF(AND(Import.TipoArredondamento="TransfereGOV",$L131="F",$C131&lt;&gt;"S",LEN($R131)&gt;100),"Descrição &gt;100",
IF(AND(Import.TipoArredondamento="TransfereGOV",$L131="F",$C131="S",LEN($R131)&gt;500),"Descrição &gt;500",
IF(AND(Import.TipoArredondamento="TransfereGOV",$L131="F",$C131="S",LEFT(TRIM(UPPER($P131)),6)&lt;&gt;"SINAPI",ISNA(VLOOKUP(TRIM(UPPER($S131)),ListaTgov.Unidades,1,FALSE()))),"Unid. Não Disp",
" "))))))))))))))))</f>
        <v>#NAME?</v>
      </c>
      <c r="AD131" s="1" t="str">
        <f aca="true">IF(C131&lt;=CRONO.NivelExibicao,MAX($AD$15:OFFSET(AD131,-1,0))+IF($C131&lt;&gt;1,1,MAX(1,COUNTIF(QCI!$A$13:$A$15,OFFSET($E131,-1,0)))),"")</f>
        <v/>
      </c>
      <c r="AE131" s="50" t="str">
        <f aca="false">IF(AND($C131="S",ORÇAMENTO.CodBarra&lt;&gt;""),IF(ORÇAMENTO.Fonte="",ORÇAMENTO.CodBarra,CONCATENATE(ORÇAMENTO.Fonte," ",ORÇAMENTO.CodBarra)))</f>
        <v>SICRO ED-17905</v>
      </c>
      <c r="AF131" s="65" t="str">
        <f aca="true">IF(ISERROR(INDIRECT(ORÇAMENTO.BancoRef)),"(abra o arquivo 'Referência "&amp;Excel_BuiltIn_Database&amp;".xlsm)",IF(OR($C131&lt;&gt;"S",ORÇAMENTO.CodBarra=""),"(Sem Código)",IF(ISERROR(MATCH($AE131,INDIRECT(ORÇAMENTO.BancoRef),0)),"(Código não identificado nas referências)",MATCH($AE131,INDIRECT(ORÇAMENTO.BancoRef),0))))</f>
        <v>(abra o arquivo 'Referência 07-2025.xlsm)</v>
      </c>
      <c r="AG131" s="215" t="n">
        <f aca="true">ROUND(IF(DESONERACAO="sim",REFERENCIA.Desonerado,REFERENCIA.NaoDesonerado),2)</f>
        <v>0</v>
      </c>
      <c r="AH131" s="216" t="n">
        <f aca="false">ROUND(IF(ISNUMBER(ORÇAMENTO.OpcaoBDI),ORÇAMENTO.OpcaoBDI,IF(LEFT(ORÇAMENTO.OpcaoBDI,3)="BDI",HLOOKUP(ORÇAMENTO.OpcaoBDI,$F$4:$H$5,2,FALSE()),0)),15-11*$AF$9)</f>
        <v>0.2904</v>
      </c>
      <c r="AJ131" s="217"/>
      <c r="AL131" s="218"/>
      <c r="AM131" s="219" t="n">
        <f aca="false">$X131</f>
        <v>128550</v>
      </c>
      <c r="AN131" s="220" t="n">
        <f aca="false">ROUND(ORÇAMENTO.CustoUnitario*(1+$AH131),2)</f>
        <v>514.2</v>
      </c>
    </row>
    <row r="132" customFormat="false" ht="12.75" hidden="false" customHeight="false" outlineLevel="0" collapsed="false">
      <c r="A132" s="1" t="n">
        <f aca="false">CHOOSE(1+LOG(1+2*(ORÇAMENTO.Nivel="Meta")+4*(ORÇAMENTO.Nivel="Nível 2")+8*(ORÇAMENTO.Nivel="Nível 3")+16*(ORÇAMENTO.Nivel="Nível 4")+32*(ORÇAMENTO.Nivel="Serviço"),2),0,1,2,3,4,"S")</f>
        <v>2</v>
      </c>
      <c r="B132" s="1" t="n">
        <f aca="true">IF(OR(C132="s",C132=0),OFFSET(B132,-1,0),C132)</f>
        <v>2</v>
      </c>
      <c r="C132" s="1" t="n">
        <f aca="true">IF(OFFSET(C132,-1,0)="L",1,IF(OFFSET(C132,-1,0)=1,2,IF(OR(A132="s",A132=0),"S",IF(AND(OFFSET(C132,-1,0)=2,A132=4),3,IF(AND(OR(OFFSET(C132,-1,0)="s",OFFSET(C132,-1,0)=0),A132&lt;&gt;"s",A132&gt;OFFSET(B132,-1,0)),OFFSET(B132,-1,0),A132)))))</f>
        <v>2</v>
      </c>
      <c r="D132" s="1" t="n">
        <f aca="false">IF(OR(C132="S",C132=0),0,IF(ISERROR(K132),J132,SMALL(J132:K132,1)))</f>
        <v>3</v>
      </c>
      <c r="E132" s="1" t="n">
        <f aca="true">IF($C132=1,OFFSET(E132,-1,0)+MAX(1,COUNTIF(QCI!$A$13:$A$15,OFFSET(ORÇAMENTO!E132,-1,0))),OFFSET(E132,-1,0))</f>
        <v>1</v>
      </c>
      <c r="F132" s="1" t="n">
        <f aca="true">IF($C132=1,0,IF($C132=2,OFFSET(F132,-1,0)+1,OFFSET(F132,-1,0)))</f>
        <v>38</v>
      </c>
      <c r="G132" s="1" t="n">
        <f aca="true">IF(AND($C132&lt;=2,$C132&lt;&gt;0),0,IF($C132=3,OFFSET(G132,-1,0)+1,OFFSET(G132,-1,0)))</f>
        <v>0</v>
      </c>
      <c r="H132" s="1" t="n">
        <f aca="true">IF(AND($C132&lt;=3,$C132&lt;&gt;0),0,IF($C132=4,OFFSET(H132,-1,0)+1,OFFSET(H132,-1,0)))</f>
        <v>0</v>
      </c>
      <c r="I132" s="1" t="n">
        <f aca="true">IF(AND($C132&lt;=4,$C132&lt;&gt;0),0,IF(AND($C132="S",$X132&gt;0),OFFSET(I132,-1,0)+1,OFFSET(I132,-1,0)))</f>
        <v>0</v>
      </c>
      <c r="J132" s="1" t="n">
        <f aca="true">IF(OR($C132="S",$C132=0),0,MATCH(0,OFFSET($D132,1,$C132,ROW($C$205)-ROW($C132)),0))</f>
        <v>73</v>
      </c>
      <c r="K132" s="1" t="n">
        <f aca="true">IF(OR($C132="S",$C132=0),0,MATCH(OFFSET($D132,0,$C132)+IF($C132&lt;&gt;1,1,COUNTIF(QCI!$A$13:$A$15,ORÇAMENTO!E132)),OFFSET($D132,1,$C132,ROW($C$205)-ROW($C132)),0))</f>
        <v>3</v>
      </c>
      <c r="L132" s="199" t="str">
        <f aca="false">IF(OR($X132&gt;0,$C132=1,$C132=2,$C132=3,$C132=4),"F","")</f>
        <v>F</v>
      </c>
      <c r="M132" s="200" t="s">
        <v>732</v>
      </c>
      <c r="N132" s="201" t="str">
        <f aca="false">CHOOSE(1+LOG(1+2*(C132=1)+4*(C132=2)+8*(C132=3)+16*(C132=4)+32*(C132="S"),2),"","Meta","Nível 2","Nível 3","Nível 4","Serviço")</f>
        <v>Nível 2</v>
      </c>
      <c r="O132" s="202" t="str">
        <f aca="false">IF(OR($C132=0,$L132=""),"-",CONCATENATE(E132&amp;".",IF(AND($A$5&gt;=2,$C132&gt;=2),F132&amp;".",""),IF(AND($A$5&gt;=3,$C132&gt;=3),G132&amp;".",""),IF(AND($A$5&gt;=4,$C132&gt;=4),H132&amp;".",""),IF($C132="S",I132&amp;".","")))</f>
        <v>1.38.</v>
      </c>
      <c r="P132" s="203" t="s">
        <v>780</v>
      </c>
      <c r="Q132" s="204"/>
      <c r="R132" s="205" t="str">
        <f aca="false">[4]PO!$B$151</f>
        <v>FIOS E CABOS</v>
      </c>
      <c r="S132" s="206" t="str">
        <f aca="true">REFERENCIA.Unidade</f>
        <v>-</v>
      </c>
      <c r="T132" s="207" t="n">
        <f aca="true">OFFSET(CÁLCULO!H$15,ROW($T132)-ROW(T$15),0)</f>
        <v>0</v>
      </c>
      <c r="U132" s="208"/>
      <c r="V132" s="209" t="s">
        <v>690</v>
      </c>
      <c r="W132" s="207" t="n">
        <f aca="false">IF($C132="S",ROUND(IF(TIPOORCAMENTO="Proposto",ORÇAMENTO.CustoUnitario*(1+$AH132),ORÇAMENTO.PrecoUnitarioLicitado),15-13*$AF$10),0)</f>
        <v>0</v>
      </c>
      <c r="X132" s="210" t="n">
        <f aca="true" t="array" ref="X132:X132">IF($C132="S",IF(OR(Import.TipoArredondamento&lt;&gt;"TransfereGOV",ACOMPANHAMENTO="BM"),VTOTAL1,SUM(OFFSET(CÁLCULO!$AQ$15,ROW($X132)-ROW($X$15),1):OFFSET(CÁLCULO!$BR$15,ROW($X132)-ROW($X$15),-1))),IF($C132=0,0,ROUND(SomaAgrup,15-13*$AF$11)))</f>
        <v>32158.75</v>
      </c>
      <c r="Y132" s="211" t="s">
        <v>781</v>
      </c>
      <c r="Z132" s="1" t="str">
        <f aca="false">IF(AND($C132="S",$X132&gt;0),IF(ISBLANK($Y132),"RA",LEFT($Y132,2)),"")</f>
        <v/>
      </c>
      <c r="AA132" s="212" t="n">
        <f aca="true">IF($C132="S",IF($Z132="CP",$X132,IF($Z132="RA",(($X132)*QCI!$AA$3),0)),SomaAgrup)</f>
        <v>3569.0271673473</v>
      </c>
      <c r="AB132" s="213" t="n">
        <f aca="true">IF($C132="S",IF($Z132="OU",ROUND($X132,2),0),SomaAgrup)</f>
        <v>0</v>
      </c>
      <c r="AC132" s="214" t="e">
        <f aca="false" t="array" ref="AC132:AC132">IF($N132=""," ",
IF(AND($C132&lt;&gt;"S",OR($R132="",$R132="(digite a descrição aqui)")),"DESCRIÇÃO",
IF(AND($C132="S",OR($Q132&lt;&gt;"",$T132&gt;0,$U132&gt;0),$P132=""),"FONTE",
IF(AND($C132="S",$P132&lt;&gt;"",OR($T132&gt;0,$U132&gt;0),$Q132=""),"CÓDIGO",
IF(AND($C132="S",$P132&lt;&gt;"",$Q132&lt;&gt;"",$R132="(Código não identificado nas referências)"),"CÓDIGO N/ID",
IF(AND($C132="S",OR($R132="",$R132="(digite a descrição aqui)"),OR($Q132&lt;&gt;"",$T132&gt;0,$U132&gt;0)),"DESCRIÇÃO",
IF(AND($C132="S",$P132&lt;&gt;"",$Q132&lt;&gt;"",$S132=""),"UNIDADE",
IF(AND($C132="S",$P132&lt;&gt;"",$Q132&lt;&gt;"",$U132=0),"SEM CUSTO",
IF(AND(_xlfn.single(TIPOORCAMENTO)="Licitado",$AL132=0,$AN132&gt;0),"SEM PREÇO",
IF(AND($C132="S",$P132&lt;&gt;"",$Q132&lt;&gt;"",$U132&gt;0,$V132=0),"BDI",
IF(OR(AND(TIPOORCAMENTO="Proposto",LEFT($O$8,5)&lt;&gt;"(N/D:",$AG132&lt;&gt;"",ORÇAMENTO.CustoUnitario&gt;$AG132),AND(TIPOORCAMENTO="LICITADO",ORÇAMENTO.PrecoUnitarioLicitado&gt;$AN132)),"ACIMA REF.",
IF(AND($C132="S",$P132&lt;&gt;"",$Q132&lt;&gt;"",$T132=0,$U132&gt;0),"QUANT.",
IF(AND(Import.TipoArredondamento="TransfereGOV",$L132="F",$C132="S",LEN($Q132)&gt;13),"Código &gt;13",
IF(AND(Import.TipoArredondamento="TransfereGOV",$L132="F",$C132&lt;&gt;"S",LEN($R132)&gt;100),"Descrição &gt;100",
IF(AND(Import.TipoArredondamento="TransfereGOV",$L132="F",$C132="S",LEN($R132)&gt;500),"Descrição &gt;500",
IF(AND(Import.TipoArredondamento="TransfereGOV",$L132="F",$C132="S",LEFT(TRIM(UPPER($P132)),6)&lt;&gt;"SINAPI",ISNA(VLOOKUP(TRIM(UPPER($S132)),ListaTgov.Unidades,1,FALSE()))),"Unid. Não Disp",
" "))))))))))))))))</f>
        <v>#NAME?</v>
      </c>
      <c r="AD132" s="38" t="n">
        <f aca="true">IF(C132&lt;=CRONO.NivelExibicao,MAX($AD$15:OFFSET(AD132,-1,0))+IF($C132&lt;&gt;1,1,MAX(1,COUNTIF(QCI!$A$13:$A$15,OFFSET($E132,-1,0)))),"")</f>
        <v>39</v>
      </c>
      <c r="AE132" s="50" t="b">
        <f aca="false">IF(AND($C132="S",ORÇAMENTO.CodBarra&lt;&gt;""),IF(ORÇAMENTO.Fonte="",ORÇAMENTO.CodBarra,CONCATENATE(ORÇAMENTO.Fonte," ",ORÇAMENTO.CodBarra)))</f>
        <v>0</v>
      </c>
      <c r="AF132" s="65" t="str">
        <f aca="true">IF(ISERROR(INDIRECT(ORÇAMENTO.BancoRef)),"(abra o arquivo 'Referência "&amp;Excel_BuiltIn_Database&amp;".xlsm)",IF(OR($C132&lt;&gt;"S",ORÇAMENTO.CodBarra=""),"(Sem Código)",IF(ISERROR(MATCH($AE132,INDIRECT(ORÇAMENTO.BancoRef),0)),"(Código não identificado nas referências)",MATCH($AE132,INDIRECT(ORÇAMENTO.BancoRef),0))))</f>
        <v>(abra o arquivo 'Referência 07-2025.xlsm)</v>
      </c>
      <c r="AG132" s="215" t="n">
        <f aca="true">ROUND(IF(DESONERACAO="sim",REFERENCIA.Desonerado,REFERENCIA.NaoDesonerado),2)</f>
        <v>0</v>
      </c>
      <c r="AH132" s="216" t="n">
        <f aca="false">ROUND(IF(ISNUMBER(ORÇAMENTO.OpcaoBDI),ORÇAMENTO.OpcaoBDI,IF(LEFT(ORÇAMENTO.OpcaoBDI,3)="BDI",HLOOKUP(ORÇAMENTO.OpcaoBDI,$F$4:$H$5,2,FALSE()),0)),15-11*$AF$9)</f>
        <v>0.2904</v>
      </c>
      <c r="AJ132" s="217"/>
      <c r="AL132" s="218"/>
      <c r="AM132" s="219" t="n">
        <f aca="false">$X132</f>
        <v>32158.75</v>
      </c>
      <c r="AN132" s="220" t="n">
        <f aca="false">ROUND(ORÇAMENTO.CustoUnitario*(1+$AH132),2)</f>
        <v>0</v>
      </c>
    </row>
    <row r="133" customFormat="false" ht="35.05" hidden="false" customHeight="false" outlineLevel="0" collapsed="false">
      <c r="A133" s="1" t="str">
        <f aca="false">CHOOSE(1+LOG(1+2*(ORÇAMENTO.Nivel="Meta")+4*(ORÇAMENTO.Nivel="Nível 2")+8*(ORÇAMENTO.Nivel="Nível 3")+16*(ORÇAMENTO.Nivel="Nível 4")+32*(ORÇAMENTO.Nivel="Serviço"),2),0,1,2,3,4,"S")</f>
        <v>S</v>
      </c>
      <c r="B133" s="1" t="n">
        <f aca="true">IF(OR(C133="s",C133=0),OFFSET(B133,-1,0),C133)</f>
        <v>2</v>
      </c>
      <c r="C133" s="1" t="str">
        <f aca="true">IF(OFFSET(C133,-1,0)="L",1,IF(OFFSET(C133,-1,0)=1,2,IF(OR(A133="s",A133=0),"S",IF(AND(OFFSET(C133,-1,0)=2,A133=4),3,IF(AND(OR(OFFSET(C133,-1,0)="s",OFFSET(C133,-1,0)=0),A133&lt;&gt;"s",A133&gt;OFFSET(B133,-1,0)),OFFSET(B133,-1,0),A133)))))</f>
        <v>S</v>
      </c>
      <c r="D133" s="1" t="n">
        <f aca="false">IF(OR(C133="S",C133=0),0,IF(ISERROR(K133),J133,SMALL(J133:K133,1)))</f>
        <v>0</v>
      </c>
      <c r="E133" s="1" t="n">
        <f aca="true">IF($C133=1,OFFSET(E133,-1,0)+MAX(1,COUNTIF(QCI!$A$13:$A$15,OFFSET(ORÇAMENTO!E133,-1,0))),OFFSET(E133,-1,0))</f>
        <v>1</v>
      </c>
      <c r="F133" s="1" t="n">
        <f aca="true">IF($C133=1,0,IF($C133=2,OFFSET(F133,-1,0)+1,OFFSET(F133,-1,0)))</f>
        <v>38</v>
      </c>
      <c r="G133" s="1" t="n">
        <f aca="true">IF(AND($C133&lt;=2,$C133&lt;&gt;0),0,IF($C133=3,OFFSET(G133,-1,0)+1,OFFSET(G133,-1,0)))</f>
        <v>0</v>
      </c>
      <c r="H133" s="1" t="n">
        <f aca="true">IF(AND($C133&lt;=3,$C133&lt;&gt;0),0,IF($C133=4,OFFSET(H133,-1,0)+1,OFFSET(H133,-1,0)))</f>
        <v>0</v>
      </c>
      <c r="I133" s="1" t="n">
        <f aca="true">IF(AND($C133&lt;=4,$C133&lt;&gt;0),0,IF(AND($C133="S",$X133&gt;0),OFFSET(I133,-1,0)+1,OFFSET(I133,-1,0)))</f>
        <v>1</v>
      </c>
      <c r="J133" s="1" t="n">
        <f aca="true">IF(OR($C133="S",$C133=0),0,MATCH(0,OFFSET($D133,1,$C133,ROW($C$205)-ROW($C133)),0))</f>
        <v>0</v>
      </c>
      <c r="K133" s="1" t="n">
        <f aca="true">IF(OR($C133="S",$C133=0),0,MATCH(OFFSET($D133,0,$C133)+IF($C133&lt;&gt;1,1,COUNTIF(QCI!$A$13:$A$15,ORÇAMENTO!E133)),OFFSET($D133,1,$C133,ROW($C$205)-ROW($C133)),0))</f>
        <v>0</v>
      </c>
      <c r="L133" s="199" t="str">
        <f aca="false">IF(OR($X133&gt;0,$C133=1,$C133=2,$C133=3,$C133=4),"F","")</f>
        <v>F</v>
      </c>
      <c r="M133" s="200" t="s">
        <v>735</v>
      </c>
      <c r="N133" s="201" t="str">
        <f aca="false">CHOOSE(1+LOG(1+2*(C133=1)+4*(C133=2)+8*(C133=3)+16*(C133=4)+32*(C133="S"),2),"","Meta","Nível 2","Nível 3","Nível 4","Serviço")</f>
        <v>Serviço</v>
      </c>
      <c r="O133" s="202" t="str">
        <f aca="false">IF(OR($C133=0,$L133=""),"-",CONCATENATE(E133&amp;".",IF(AND($A$5&gt;=2,$C133&gt;=2),F133&amp;".",""),IF(AND($A$5&gt;=3,$C133&gt;=3),G133&amp;".",""),IF(AND($A$5&gt;=4,$C133&gt;=4),H133&amp;".",""),IF($C133="S",I133&amp;".","")))</f>
        <v>1.38.1.</v>
      </c>
      <c r="P133" s="203" t="s">
        <v>780</v>
      </c>
      <c r="Q133" s="204" t="s">
        <v>856</v>
      </c>
      <c r="R133" s="205" t="s">
        <v>857</v>
      </c>
      <c r="S133" s="206" t="s">
        <v>648</v>
      </c>
      <c r="T133" s="207" t="n">
        <f aca="true">OFFSET(CÁLCULO!H$15,ROW($T133)-ROW(T$15),0)</f>
        <v>975</v>
      </c>
      <c r="U133" s="208" t="n">
        <v>17.22</v>
      </c>
      <c r="V133" s="209" t="s">
        <v>690</v>
      </c>
      <c r="W133" s="207" t="n">
        <f aca="false">IF($C133="S",ROUND(IF(TIPOORCAMENTO="Proposto",ORÇAMENTO.CustoUnitario*(1+$AH133),ORÇAMENTO.PrecoUnitarioLicitado),15-13*$AF$10),0)</f>
        <v>22.22</v>
      </c>
      <c r="X133" s="210" t="n">
        <f aca="true" t="array" ref="X133:X133">IF($C133="S",IF(OR(Import.TipoArredondamento&lt;&gt;"TransfereGOV",ACOMPANHAMENTO="BM"),VTOTAL1,SUM(OFFSET(CÁLCULO!$AQ$15,ROW($X133)-ROW($X$15),1):OFFSET(CÁLCULO!$BR$15,ROW($X133)-ROW($X$15),-1))),IF($C133=0,0,ROUND(SomaAgrup,15-13*$AF$11)))</f>
        <v>21664.5</v>
      </c>
      <c r="Y133" s="211" t="s">
        <v>781</v>
      </c>
      <c r="Z133" s="1" t="str">
        <f aca="false">IF(AND($C133="S",$X133&gt;0),IF(ISBLANK($Y133),"RA",LEFT($Y133,2)),"")</f>
        <v>RA</v>
      </c>
      <c r="AA133" s="212" t="n">
        <f aca="true">IF($C133="S",IF($Z133="CP",$X133,IF($Z133="RA",(($X133)*QCI!$AA$3),0)),SomaAgrup)</f>
        <v>2404.35928221699</v>
      </c>
      <c r="AB133" s="213" t="n">
        <f aca="true">IF($C133="S",IF($Z133="OU",ROUND($X133,2),0),SomaAgrup)</f>
        <v>0</v>
      </c>
      <c r="AC133" s="214" t="e">
        <f aca="false" t="array" ref="AC133:AC133">IF($N133=""," ",
IF(AND($C133&lt;&gt;"S",OR($R133="",$R133="(digite a descrição aqui)")),"DESCRIÇÃO",
IF(AND($C133="S",OR($Q133&lt;&gt;"",$T133&gt;0,$U133&gt;0),$P133=""),"FONTE",
IF(AND($C133="S",$P133&lt;&gt;"",OR($T133&gt;0,$U133&gt;0),$Q133=""),"CÓDIGO",
IF(AND($C133="S",$P133&lt;&gt;"",$Q133&lt;&gt;"",$R133="(Código não identificado nas referências)"),"CÓDIGO N/ID",
IF(AND($C133="S",OR($R133="",$R133="(digite a descrição aqui)"),OR($Q133&lt;&gt;"",$T133&gt;0,$U133&gt;0)),"DESCRIÇÃO",
IF(AND($C133="S",$P133&lt;&gt;"",$Q133&lt;&gt;"",$S133=""),"UNIDADE",
IF(AND($C133="S",$P133&lt;&gt;"",$Q133&lt;&gt;"",$U133=0),"SEM CUSTO",
IF(AND(_xlfn.single(TIPOORCAMENTO)="Licitado",$AL133=0,$AN133&gt;0),"SEM PREÇO",
IF(AND($C133="S",$P133&lt;&gt;"",$Q133&lt;&gt;"",$U133&gt;0,$V133=0),"BDI",
IF(OR(AND(TIPOORCAMENTO="Proposto",LEFT($O$8,5)&lt;&gt;"(N/D:",$AG133&lt;&gt;"",ORÇAMENTO.CustoUnitario&gt;$AG133),AND(TIPOORCAMENTO="LICITADO",ORÇAMENTO.PrecoUnitarioLicitado&gt;$AN133)),"ACIMA REF.",
IF(AND($C133="S",$P133&lt;&gt;"",$Q133&lt;&gt;"",$T133=0,$U133&gt;0),"QUANT.",
IF(AND(Import.TipoArredondamento="TransfereGOV",$L133="F",$C133="S",LEN($Q133)&gt;13),"Código &gt;13",
IF(AND(Import.TipoArredondamento="TransfereGOV",$L133="F",$C133&lt;&gt;"S",LEN($R133)&gt;100),"Descrição &gt;100",
IF(AND(Import.TipoArredondamento="TransfereGOV",$L133="F",$C133="S",LEN($R133)&gt;500),"Descrição &gt;500",
IF(AND(Import.TipoArredondamento="TransfereGOV",$L133="F",$C133="S",LEFT(TRIM(UPPER($P133)),6)&lt;&gt;"SINAPI",ISNA(VLOOKUP(TRIM(UPPER($S133)),ListaTgov.Unidades,1,FALSE()))),"Unid. Não Disp",
" "))))))))))))))))</f>
        <v>#NAME?</v>
      </c>
      <c r="AD133" s="1" t="str">
        <f aca="true">IF(C133&lt;=CRONO.NivelExibicao,MAX($AD$15:OFFSET(AD133,-1,0))+IF($C133&lt;&gt;1,1,MAX(1,COUNTIF(QCI!$A$13:$A$15,OFFSET($E133,-1,0)))),"")</f>
        <v/>
      </c>
      <c r="AE133" s="50" t="str">
        <f aca="false">IF(AND($C133="S",ORÇAMENTO.CodBarra&lt;&gt;""),IF(ORÇAMENTO.Fonte="",ORÇAMENTO.CodBarra,CONCATENATE(ORÇAMENTO.Fonte," ",ORÇAMENTO.CodBarra)))</f>
        <v>SINAPI 101561</v>
      </c>
      <c r="AF133" s="65" t="str">
        <f aca="true">IF(ISERROR(INDIRECT(ORÇAMENTO.BancoRef)),"(abra o arquivo 'Referência "&amp;Excel_BuiltIn_Database&amp;".xlsm)",IF(OR($C133&lt;&gt;"S",ORÇAMENTO.CodBarra=""),"(Sem Código)",IF(ISERROR(MATCH($AE133,INDIRECT(ORÇAMENTO.BancoRef),0)),"(Código não identificado nas referências)",MATCH($AE133,INDIRECT(ORÇAMENTO.BancoRef),0))))</f>
        <v>(abra o arquivo 'Referência 07-2025.xlsm)</v>
      </c>
      <c r="AG133" s="215" t="n">
        <f aca="true">ROUND(IF(DESONERACAO="sim",REFERENCIA.Desonerado,REFERENCIA.NaoDesonerado),2)</f>
        <v>0</v>
      </c>
      <c r="AH133" s="216" t="n">
        <f aca="false">ROUND(IF(ISNUMBER(ORÇAMENTO.OpcaoBDI),ORÇAMENTO.OpcaoBDI,IF(LEFT(ORÇAMENTO.OpcaoBDI,3)="BDI",HLOOKUP(ORÇAMENTO.OpcaoBDI,$F$4:$H$5,2,FALSE()),0)),15-11*$AF$9)</f>
        <v>0.2904</v>
      </c>
      <c r="AJ133" s="217"/>
      <c r="AL133" s="218"/>
      <c r="AM133" s="219" t="n">
        <f aca="false">$X133</f>
        <v>21664.5</v>
      </c>
      <c r="AN133" s="220" t="n">
        <f aca="false">ROUND(ORÇAMENTO.CustoUnitario*(1+$AH133),2)</f>
        <v>22.22</v>
      </c>
    </row>
    <row r="134" customFormat="false" ht="35.05" hidden="false" customHeight="false" outlineLevel="0" collapsed="false">
      <c r="A134" s="1" t="str">
        <f aca="false">CHOOSE(1+LOG(1+2*(ORÇAMENTO.Nivel="Meta")+4*(ORÇAMENTO.Nivel="Nível 2")+8*(ORÇAMENTO.Nivel="Nível 3")+16*(ORÇAMENTO.Nivel="Nível 4")+32*(ORÇAMENTO.Nivel="Serviço"),2),0,1,2,3,4,"S")</f>
        <v>S</v>
      </c>
      <c r="B134" s="1" t="n">
        <f aca="true">IF(OR(C134="s",C134=0),OFFSET(B134,-1,0),C134)</f>
        <v>2</v>
      </c>
      <c r="C134" s="1" t="str">
        <f aca="true">IF(OFFSET(C134,-1,0)="L",1,IF(OFFSET(C134,-1,0)=1,2,IF(OR(A134="s",A134=0),"S",IF(AND(OFFSET(C134,-1,0)=2,A134=4),3,IF(AND(OR(OFFSET(C134,-1,0)="s",OFFSET(C134,-1,0)=0),A134&lt;&gt;"s",A134&gt;OFFSET(B134,-1,0)),OFFSET(B134,-1,0),A134)))))</f>
        <v>S</v>
      </c>
      <c r="D134" s="1" t="n">
        <f aca="false">IF(OR(C134="S",C134=0),0,IF(ISERROR(K134),J134,SMALL(J134:K134,1)))</f>
        <v>0</v>
      </c>
      <c r="E134" s="1" t="n">
        <f aca="true">IF($C134=1,OFFSET(E134,-1,0)+MAX(1,COUNTIF(QCI!$A$13:$A$15,OFFSET(ORÇAMENTO!E134,-1,0))),OFFSET(E134,-1,0))</f>
        <v>1</v>
      </c>
      <c r="F134" s="1" t="n">
        <f aca="true">IF($C134=1,0,IF($C134=2,OFFSET(F134,-1,0)+1,OFFSET(F134,-1,0)))</f>
        <v>38</v>
      </c>
      <c r="G134" s="1" t="n">
        <f aca="true">IF(AND($C134&lt;=2,$C134&lt;&gt;0),0,IF($C134=3,OFFSET(G134,-1,0)+1,OFFSET(G134,-1,0)))</f>
        <v>0</v>
      </c>
      <c r="H134" s="1" t="n">
        <f aca="true">IF(AND($C134&lt;=3,$C134&lt;&gt;0),0,IF($C134=4,OFFSET(H134,-1,0)+1,OFFSET(H134,-1,0)))</f>
        <v>0</v>
      </c>
      <c r="I134" s="1" t="n">
        <f aca="true">IF(AND($C134&lt;=4,$C134&lt;&gt;0),0,IF(AND($C134="S",$X134&gt;0),OFFSET(I134,-1,0)+1,OFFSET(I134,-1,0)))</f>
        <v>2</v>
      </c>
      <c r="J134" s="1" t="n">
        <f aca="true">IF(OR($C134="S",$C134=0),0,MATCH(0,OFFSET($D134,1,$C134,ROW($C$205)-ROW($C134)),0))</f>
        <v>0</v>
      </c>
      <c r="K134" s="1" t="n">
        <f aca="true">IF(OR($C134="S",$C134=0),0,MATCH(OFFSET($D134,0,$C134)+IF($C134&lt;&gt;1,1,COUNTIF(QCI!$A$13:$A$15,ORÇAMENTO!E134)),OFFSET($D134,1,$C134,ROW($C$205)-ROW($C134)),0))</f>
        <v>0</v>
      </c>
      <c r="L134" s="199" t="str">
        <f aca="false">IF(OR($X134&gt;0,$C134=1,$C134=2,$C134=3,$C134=4),"F","")</f>
        <v>F</v>
      </c>
      <c r="M134" s="200" t="s">
        <v>735</v>
      </c>
      <c r="N134" s="201" t="str">
        <f aca="false">CHOOSE(1+LOG(1+2*(C134=1)+4*(C134=2)+8*(C134=3)+16*(C134=4)+32*(C134="S"),2),"","Meta","Nível 2","Nível 3","Nível 4","Serviço")</f>
        <v>Serviço</v>
      </c>
      <c r="O134" s="202" t="str">
        <f aca="false">IF(OR($C134=0,$L134=""),"-",CONCATENATE(E134&amp;".",IF(AND($A$5&gt;=2,$C134&gt;=2),F134&amp;".",""),IF(AND($A$5&gt;=3,$C134&gt;=3),G134&amp;".",""),IF(AND($A$5&gt;=4,$C134&gt;=4),H134&amp;".",""),IF($C134="S",I134&amp;".","")))</f>
        <v>1.38.2.</v>
      </c>
      <c r="P134" s="203" t="s">
        <v>780</v>
      </c>
      <c r="Q134" s="204" t="s">
        <v>858</v>
      </c>
      <c r="R134" s="205" t="s">
        <v>859</v>
      </c>
      <c r="S134" s="206" t="s">
        <v>648</v>
      </c>
      <c r="T134" s="207" t="n">
        <f aca="true">OFFSET(CÁLCULO!H$15,ROW($T134)-ROW(T$15),0)</f>
        <v>325</v>
      </c>
      <c r="U134" s="208" t="n">
        <v>25.02</v>
      </c>
      <c r="V134" s="209" t="s">
        <v>690</v>
      </c>
      <c r="W134" s="207" t="n">
        <f aca="false">IF($C134="S",ROUND(IF(TIPOORCAMENTO="Proposto",ORÇAMENTO.CustoUnitario*(1+$AH134),ORÇAMENTO.PrecoUnitarioLicitado),15-13*$AF$10),0)</f>
        <v>32.29</v>
      </c>
      <c r="X134" s="210" t="n">
        <f aca="true" t="array" ref="X134:X134">IF($C134="S",IF(OR(Import.TipoArredondamento&lt;&gt;"TransfereGOV",ACOMPANHAMENTO="BM"),VTOTAL1,SUM(OFFSET(CÁLCULO!$AQ$15,ROW($X134)-ROW($X$15),1):OFFSET(CÁLCULO!$BR$15,ROW($X134)-ROW($X$15),-1))),IF($C134=0,0,ROUND(SomaAgrup,15-13*$AF$11)))</f>
        <v>10494.25</v>
      </c>
      <c r="Y134" s="211" t="s">
        <v>781</v>
      </c>
      <c r="Z134" s="1" t="str">
        <f aca="false">IF(AND($C134="S",$X134&gt;0),IF(ISBLANK($Y134),"RA",LEFT($Y134,2)),"")</f>
        <v>RA</v>
      </c>
      <c r="AA134" s="212" t="n">
        <f aca="true">IF($C134="S",IF($Z134="CP",$X134,IF($Z134="RA",(($X134)*QCI!$AA$3),0)),SomaAgrup)</f>
        <v>1164.66788513031</v>
      </c>
      <c r="AB134" s="213" t="n">
        <f aca="true">IF($C134="S",IF($Z134="OU",ROUND($X134,2),0),SomaAgrup)</f>
        <v>0</v>
      </c>
      <c r="AC134" s="214" t="e">
        <f aca="false" t="array" ref="AC134:AC134">IF($N134=""," ",
IF(AND($C134&lt;&gt;"S",OR($R134="",$R134="(digite a descrição aqui)")),"DESCRIÇÃO",
IF(AND($C134="S",OR($Q134&lt;&gt;"",$T134&gt;0,$U134&gt;0),$P134=""),"FONTE",
IF(AND($C134="S",$P134&lt;&gt;"",OR($T134&gt;0,$U134&gt;0),$Q134=""),"CÓDIGO",
IF(AND($C134="S",$P134&lt;&gt;"",$Q134&lt;&gt;"",$R134="(Código não identificado nas referências)"),"CÓDIGO N/ID",
IF(AND($C134="S",OR($R134="",$R134="(digite a descrição aqui)"),OR($Q134&lt;&gt;"",$T134&gt;0,$U134&gt;0)),"DESCRIÇÃO",
IF(AND($C134="S",$P134&lt;&gt;"",$Q134&lt;&gt;"",$S134=""),"UNIDADE",
IF(AND($C134="S",$P134&lt;&gt;"",$Q134&lt;&gt;"",$U134=0),"SEM CUSTO",
IF(AND(_xlfn.single(TIPOORCAMENTO)="Licitado",$AL134=0,$AN134&gt;0),"SEM PREÇO",
IF(AND($C134="S",$P134&lt;&gt;"",$Q134&lt;&gt;"",$U134&gt;0,$V134=0),"BDI",
IF(OR(AND(TIPOORCAMENTO="Proposto",LEFT($O$8,5)&lt;&gt;"(N/D:",$AG134&lt;&gt;"",ORÇAMENTO.CustoUnitario&gt;$AG134),AND(TIPOORCAMENTO="LICITADO",ORÇAMENTO.PrecoUnitarioLicitado&gt;$AN134)),"ACIMA REF.",
IF(AND($C134="S",$P134&lt;&gt;"",$Q134&lt;&gt;"",$T134=0,$U134&gt;0),"QUANT.",
IF(AND(Import.TipoArredondamento="TransfereGOV",$L134="F",$C134="S",LEN($Q134)&gt;13),"Código &gt;13",
IF(AND(Import.TipoArredondamento="TransfereGOV",$L134="F",$C134&lt;&gt;"S",LEN($R134)&gt;100),"Descrição &gt;100",
IF(AND(Import.TipoArredondamento="TransfereGOV",$L134="F",$C134="S",LEN($R134)&gt;500),"Descrição &gt;500",
IF(AND(Import.TipoArredondamento="TransfereGOV",$L134="F",$C134="S",LEFT(TRIM(UPPER($P134)),6)&lt;&gt;"SINAPI",ISNA(VLOOKUP(TRIM(UPPER($S134)),ListaTgov.Unidades,1,FALSE()))),"Unid. Não Disp",
" "))))))))))))))))</f>
        <v>#NAME?</v>
      </c>
      <c r="AD134" s="1" t="str">
        <f aca="true">IF(C134&lt;=CRONO.NivelExibicao,MAX($AD$15:OFFSET(AD134,-1,0))+IF($C134&lt;&gt;1,1,MAX(1,COUNTIF(QCI!$A$13:$A$15,OFFSET($E134,-1,0)))),"")</f>
        <v/>
      </c>
      <c r="AE134" s="50" t="str">
        <f aca="false">IF(AND($C134="S",ORÇAMENTO.CodBarra&lt;&gt;""),IF(ORÇAMENTO.Fonte="",ORÇAMENTO.CodBarra,CONCATENATE(ORÇAMENTO.Fonte," ",ORÇAMENTO.CodBarra)))</f>
        <v>SINAPI 91837</v>
      </c>
      <c r="AF134" s="65" t="str">
        <f aca="true">IF(ISERROR(INDIRECT(ORÇAMENTO.BancoRef)),"(abra o arquivo 'Referência "&amp;Excel_BuiltIn_Database&amp;".xlsm)",IF(OR($C134&lt;&gt;"S",ORÇAMENTO.CodBarra=""),"(Sem Código)",IF(ISERROR(MATCH($AE134,INDIRECT(ORÇAMENTO.BancoRef),0)),"(Código não identificado nas referências)",MATCH($AE134,INDIRECT(ORÇAMENTO.BancoRef),0))))</f>
        <v>(abra o arquivo 'Referência 07-2025.xlsm)</v>
      </c>
      <c r="AG134" s="215" t="n">
        <f aca="true">ROUND(IF(DESONERACAO="sim",REFERENCIA.Desonerado,REFERENCIA.NaoDesonerado),2)</f>
        <v>0</v>
      </c>
      <c r="AH134" s="216" t="n">
        <f aca="false">ROUND(IF(ISNUMBER(ORÇAMENTO.OpcaoBDI),ORÇAMENTO.OpcaoBDI,IF(LEFT(ORÇAMENTO.OpcaoBDI,3)="BDI",HLOOKUP(ORÇAMENTO.OpcaoBDI,$F$4:$H$5,2,FALSE()),0)),15-11*$AF$9)</f>
        <v>0.2904</v>
      </c>
      <c r="AJ134" s="217"/>
      <c r="AL134" s="218"/>
      <c r="AM134" s="219" t="n">
        <f aca="false">$X134</f>
        <v>10494.25</v>
      </c>
      <c r="AN134" s="220" t="n">
        <f aca="false">ROUND(ORÇAMENTO.CustoUnitario*(1+$AH134),2)</f>
        <v>32.29</v>
      </c>
    </row>
    <row r="135" customFormat="false" ht="12.75" hidden="false" customHeight="false" outlineLevel="0" collapsed="false">
      <c r="A135" s="1" t="n">
        <f aca="false">CHOOSE(1+LOG(1+2*(ORÇAMENTO.Nivel="Meta")+4*(ORÇAMENTO.Nivel="Nível 2")+8*(ORÇAMENTO.Nivel="Nível 3")+16*(ORÇAMENTO.Nivel="Nível 4")+32*(ORÇAMENTO.Nivel="Serviço"),2),0,1,2,3,4,"S")</f>
        <v>2</v>
      </c>
      <c r="B135" s="1" t="n">
        <f aca="true">IF(OR(C135="s",C135=0),OFFSET(B135,-1,0),C135)</f>
        <v>2</v>
      </c>
      <c r="C135" s="1" t="n">
        <f aca="true">IF(OFFSET(C135,-1,0)="L",1,IF(OFFSET(C135,-1,0)=1,2,IF(OR(A135="s",A135=0),"S",IF(AND(OFFSET(C135,-1,0)=2,A135=4),3,IF(AND(OR(OFFSET(C135,-1,0)="s",OFFSET(C135,-1,0)=0),A135&lt;&gt;"s",A135&gt;OFFSET(B135,-1,0)),OFFSET(B135,-1,0),A135)))))</f>
        <v>2</v>
      </c>
      <c r="D135" s="1" t="n">
        <f aca="false">IF(OR(C135="S",C135=0),0,IF(ISERROR(K135),J135,SMALL(J135:K135,1)))</f>
        <v>1</v>
      </c>
      <c r="E135" s="1" t="n">
        <f aca="true">IF($C135=1,OFFSET(E135,-1,0)+MAX(1,COUNTIF(QCI!$A$13:$A$15,OFFSET(ORÇAMENTO!E135,-1,0))),OFFSET(E135,-1,0))</f>
        <v>1</v>
      </c>
      <c r="F135" s="1" t="n">
        <f aca="true">IF($C135=1,0,IF($C135=2,OFFSET(F135,-1,0)+1,OFFSET(F135,-1,0)))</f>
        <v>39</v>
      </c>
      <c r="G135" s="1" t="n">
        <f aca="true">IF(AND($C135&lt;=2,$C135&lt;&gt;0),0,IF($C135=3,OFFSET(G135,-1,0)+1,OFFSET(G135,-1,0)))</f>
        <v>0</v>
      </c>
      <c r="H135" s="1" t="n">
        <f aca="true">IF(AND($C135&lt;=3,$C135&lt;&gt;0),0,IF($C135=4,OFFSET(H135,-1,0)+1,OFFSET(H135,-1,0)))</f>
        <v>0</v>
      </c>
      <c r="I135" s="1" t="n">
        <f aca="true">IF(AND($C135&lt;=4,$C135&lt;&gt;0),0,IF(AND($C135="S",$X135&gt;0),OFFSET(I135,-1,0)+1,OFFSET(I135,-1,0)))</f>
        <v>0</v>
      </c>
      <c r="J135" s="1" t="n">
        <f aca="true">IF(OR($C135="S",$C135=0),0,MATCH(0,OFFSET($D135,1,$C135,ROW($C$205)-ROW($C135)),0))</f>
        <v>70</v>
      </c>
      <c r="K135" s="1" t="n">
        <f aca="true">IF(OR($C135="S",$C135=0),0,MATCH(OFFSET($D135,0,$C135)+IF($C135&lt;&gt;1,1,COUNTIF(QCI!$A$13:$A$15,ORÇAMENTO!E135)),OFFSET($D135,1,$C135,ROW($C$205)-ROW($C135)),0))</f>
        <v>1</v>
      </c>
      <c r="L135" s="199" t="str">
        <f aca="false">IF(OR($X135&gt;0,$C135=1,$C135=2,$C135=3,$C135=4),"F","")</f>
        <v>F</v>
      </c>
      <c r="M135" s="200" t="s">
        <v>732</v>
      </c>
      <c r="N135" s="201" t="str">
        <f aca="false">CHOOSE(1+LOG(1+2*(C135=1)+4*(C135=2)+8*(C135=3)+16*(C135=4)+32*(C135="S"),2),"","Meta","Nível 2","Nível 3","Nível 4","Serviço")</f>
        <v>Nível 2</v>
      </c>
      <c r="O135" s="202" t="str">
        <f aca="false">IF(OR($C135=0,$L135=""),"-",CONCATENATE(E135&amp;".",IF(AND($A$5&gt;=2,$C135&gt;=2),F135&amp;".",""),IF(AND($A$5&gt;=3,$C135&gt;=3),G135&amp;".",""),IF(AND($A$5&gt;=4,$C135&gt;=4),H135&amp;".",""),IF($C135="S",I135&amp;".","")))</f>
        <v>1.39.</v>
      </c>
      <c r="P135" s="203" t="s">
        <v>780</v>
      </c>
      <c r="Q135" s="204"/>
      <c r="R135" s="205" t="str">
        <f aca="false">[4]PO!$B$161</f>
        <v>HIDRÁULICAS / GÁS / INCÊNCIO</v>
      </c>
      <c r="S135" s="206" t="str">
        <f aca="true">REFERENCIA.Unidade</f>
        <v>-</v>
      </c>
      <c r="T135" s="207" t="n">
        <f aca="true">OFFSET(CÁLCULO!H$15,ROW($T135)-ROW(T$15),0)</f>
        <v>0</v>
      </c>
      <c r="U135" s="208"/>
      <c r="V135" s="209" t="s">
        <v>690</v>
      </c>
      <c r="W135" s="207" t="n">
        <f aca="false">IF($C135="S",ROUND(IF(TIPOORCAMENTO="Proposto",ORÇAMENTO.CustoUnitario*(1+$AH135),ORÇAMENTO.PrecoUnitarioLicitado),15-13*$AF$10),0)</f>
        <v>0</v>
      </c>
      <c r="X135" s="210" t="n">
        <f aca="true" t="array" ref="X135:X135">IF($C135="S",IF(OR(Import.TipoArredondamento&lt;&gt;"TransfereGOV",ACOMPANHAMENTO="BM"),VTOTAL1,SUM(OFFSET(CÁLCULO!$AQ$15,ROW($X135)-ROW($X$15),1):OFFSET(CÁLCULO!$BR$15,ROW($X135)-ROW($X$15),-1))),IF($C135=0,0,ROUND(SomaAgrup,15-13*$AF$11)))</f>
        <v>0</v>
      </c>
      <c r="Y135" s="211" t="s">
        <v>781</v>
      </c>
      <c r="Z135" s="1" t="str">
        <f aca="false">IF(AND($C135="S",$X135&gt;0),IF(ISBLANK($Y135),"RA",LEFT($Y135,2)),"")</f>
        <v/>
      </c>
      <c r="AA135" s="212" t="n">
        <f aca="true">IF($C135="S",IF($Z135="CP",$X135,IF($Z135="RA",(($X135)*QCI!$AA$3),0)),SomaAgrup)</f>
        <v>0</v>
      </c>
      <c r="AB135" s="213" t="n">
        <f aca="true">IF($C135="S",IF($Z135="OU",ROUND($X135,2),0),SomaAgrup)</f>
        <v>0</v>
      </c>
      <c r="AC135" s="214" t="e">
        <f aca="false" t="array" ref="AC135:AC135">IF($N135=""," ",
IF(AND($C135&lt;&gt;"S",OR($R135="",$R135="(digite a descrição aqui)")),"DESCRIÇÃO",
IF(AND($C135="S",OR($Q135&lt;&gt;"",$T135&gt;0,$U135&gt;0),$P135=""),"FONTE",
IF(AND($C135="S",$P135&lt;&gt;"",OR($T135&gt;0,$U135&gt;0),$Q135=""),"CÓDIGO",
IF(AND($C135="S",$P135&lt;&gt;"",$Q135&lt;&gt;"",$R135="(Código não identificado nas referências)"),"CÓDIGO N/ID",
IF(AND($C135="S",OR($R135="",$R135="(digite a descrição aqui)"),OR($Q135&lt;&gt;"",$T135&gt;0,$U135&gt;0)),"DESCRIÇÃO",
IF(AND($C135="S",$P135&lt;&gt;"",$Q135&lt;&gt;"",$S135=""),"UNIDADE",
IF(AND($C135="S",$P135&lt;&gt;"",$Q135&lt;&gt;"",$U135=0),"SEM CUSTO",
IF(AND(_xlfn.single(TIPOORCAMENTO)="Licitado",$AL135=0,$AN135&gt;0),"SEM PREÇO",
IF(AND($C135="S",$P135&lt;&gt;"",$Q135&lt;&gt;"",$U135&gt;0,$V135=0),"BDI",
IF(OR(AND(TIPOORCAMENTO="Proposto",LEFT($O$8,5)&lt;&gt;"(N/D:",$AG135&lt;&gt;"",ORÇAMENTO.CustoUnitario&gt;$AG135),AND(TIPOORCAMENTO="LICITADO",ORÇAMENTO.PrecoUnitarioLicitado&gt;$AN135)),"ACIMA REF.",
IF(AND($C135="S",$P135&lt;&gt;"",$Q135&lt;&gt;"",$T135=0,$U135&gt;0),"QUANT.",
IF(AND(Import.TipoArredondamento="TransfereGOV",$L135="F",$C135="S",LEN($Q135)&gt;13),"Código &gt;13",
IF(AND(Import.TipoArredondamento="TransfereGOV",$L135="F",$C135&lt;&gt;"S",LEN($R135)&gt;100),"Descrição &gt;100",
IF(AND(Import.TipoArredondamento="TransfereGOV",$L135="F",$C135="S",LEN($R135)&gt;500),"Descrição &gt;500",
IF(AND(Import.TipoArredondamento="TransfereGOV",$L135="F",$C135="S",LEFT(TRIM(UPPER($P135)),6)&lt;&gt;"SINAPI",ISNA(VLOOKUP(TRIM(UPPER($S135)),ListaTgov.Unidades,1,FALSE()))),"Unid. Não Disp",
" "))))))))))))))))</f>
        <v>#NAME?</v>
      </c>
      <c r="AD135" s="38" t="n">
        <f aca="true">IF(C135&lt;=CRONO.NivelExibicao,MAX($AD$15:OFFSET(AD135,-1,0))+IF($C135&lt;&gt;1,1,MAX(1,COUNTIF(QCI!$A$13:$A$15,OFFSET($E135,-1,0)))),"")</f>
        <v>40</v>
      </c>
      <c r="AE135" s="50" t="b">
        <f aca="false">IF(AND($C135="S",ORÇAMENTO.CodBarra&lt;&gt;""),IF(ORÇAMENTO.Fonte="",ORÇAMENTO.CodBarra,CONCATENATE(ORÇAMENTO.Fonte," ",ORÇAMENTO.CodBarra)))</f>
        <v>0</v>
      </c>
      <c r="AF135" s="65" t="str">
        <f aca="true">IF(ISERROR(INDIRECT(ORÇAMENTO.BancoRef)),"(abra o arquivo 'Referência "&amp;Excel_BuiltIn_Database&amp;".xlsm)",IF(OR($C135&lt;&gt;"S",ORÇAMENTO.CodBarra=""),"(Sem Código)",IF(ISERROR(MATCH($AE135,INDIRECT(ORÇAMENTO.BancoRef),0)),"(Código não identificado nas referências)",MATCH($AE135,INDIRECT(ORÇAMENTO.BancoRef),0))))</f>
        <v>(abra o arquivo 'Referência 07-2025.xlsm)</v>
      </c>
      <c r="AG135" s="215" t="n">
        <f aca="true">ROUND(IF(DESONERACAO="sim",REFERENCIA.Desonerado,REFERENCIA.NaoDesonerado),2)</f>
        <v>0</v>
      </c>
      <c r="AH135" s="216" t="n">
        <f aca="false">ROUND(IF(ISNUMBER(ORÇAMENTO.OpcaoBDI),ORÇAMENTO.OpcaoBDI,IF(LEFT(ORÇAMENTO.OpcaoBDI,3)="BDI",HLOOKUP(ORÇAMENTO.OpcaoBDI,$F$4:$H$5,2,FALSE()),0)),15-11*$AF$9)</f>
        <v>0.2904</v>
      </c>
      <c r="AJ135" s="217"/>
      <c r="AL135" s="218"/>
      <c r="AM135" s="219" t="n">
        <f aca="false">$X135</f>
        <v>0</v>
      </c>
      <c r="AN135" s="220" t="n">
        <f aca="false">ROUND(ORÇAMENTO.CustoUnitario*(1+$AH135),2)</f>
        <v>0</v>
      </c>
    </row>
    <row r="136" customFormat="false" ht="12.75" hidden="false" customHeight="false" outlineLevel="0" collapsed="false">
      <c r="A136" s="1" t="n">
        <f aca="false">CHOOSE(1+LOG(1+2*(ORÇAMENTO.Nivel="Meta")+4*(ORÇAMENTO.Nivel="Nível 2")+8*(ORÇAMENTO.Nivel="Nível 3")+16*(ORÇAMENTO.Nivel="Nível 4")+32*(ORÇAMENTO.Nivel="Serviço"),2),0,1,2,3,4,"S")</f>
        <v>2</v>
      </c>
      <c r="B136" s="1" t="n">
        <f aca="true">IF(OR(C136="s",C136=0),OFFSET(B136,-1,0),C136)</f>
        <v>2</v>
      </c>
      <c r="C136" s="1" t="n">
        <f aca="true">IF(OFFSET(C136,-1,0)="L",1,IF(OFFSET(C136,-1,0)=1,2,IF(OR(A136="s",A136=0),"S",IF(AND(OFFSET(C136,-1,0)=2,A136=4),3,IF(AND(OR(OFFSET(C136,-1,0)="s",OFFSET(C136,-1,0)=0),A136&lt;&gt;"s",A136&gt;OFFSET(B136,-1,0)),OFFSET(B136,-1,0),A136)))))</f>
        <v>2</v>
      </c>
      <c r="D136" s="1" t="n">
        <f aca="false">IF(OR(C136="S",C136=0),0,IF(ISERROR(K136),J136,SMALL(J136:K136,1)))</f>
        <v>7</v>
      </c>
      <c r="E136" s="1" t="n">
        <f aca="true">IF($C136=1,OFFSET(E136,-1,0)+MAX(1,COUNTIF(QCI!$A$13:$A$15,OFFSET(ORÇAMENTO!E136,-1,0))),OFFSET(E136,-1,0))</f>
        <v>1</v>
      </c>
      <c r="F136" s="1" t="n">
        <f aca="true">IF($C136=1,0,IF($C136=2,OFFSET(F136,-1,0)+1,OFFSET(F136,-1,0)))</f>
        <v>40</v>
      </c>
      <c r="G136" s="1" t="n">
        <f aca="true">IF(AND($C136&lt;=2,$C136&lt;&gt;0),0,IF($C136=3,OFFSET(G136,-1,0)+1,OFFSET(G136,-1,0)))</f>
        <v>0</v>
      </c>
      <c r="H136" s="1" t="n">
        <f aca="true">IF(AND($C136&lt;=3,$C136&lt;&gt;0),0,IF($C136=4,OFFSET(H136,-1,0)+1,OFFSET(H136,-1,0)))</f>
        <v>0</v>
      </c>
      <c r="I136" s="1" t="n">
        <f aca="true">IF(AND($C136&lt;=4,$C136&lt;&gt;0),0,IF(AND($C136="S",$X136&gt;0),OFFSET(I136,-1,0)+1,OFFSET(I136,-1,0)))</f>
        <v>0</v>
      </c>
      <c r="J136" s="1" t="n">
        <f aca="true">IF(OR($C136="S",$C136=0),0,MATCH(0,OFFSET($D136,1,$C136,ROW($C$205)-ROW($C136)),0))</f>
        <v>69</v>
      </c>
      <c r="K136" s="1" t="n">
        <f aca="true">IF(OR($C136="S",$C136=0),0,MATCH(OFFSET($D136,0,$C136)+IF($C136&lt;&gt;1,1,COUNTIF(QCI!$A$13:$A$15,ORÇAMENTO!E136)),OFFSET($D136,1,$C136,ROW($C$205)-ROW($C136)),0))</f>
        <v>7</v>
      </c>
      <c r="L136" s="199" t="str">
        <f aca="false">IF(OR($X136&gt;0,$C136=1,$C136=2,$C136=3,$C136=4),"F","")</f>
        <v>F</v>
      </c>
      <c r="M136" s="200" t="s">
        <v>732</v>
      </c>
      <c r="N136" s="201" t="str">
        <f aca="false">CHOOSE(1+LOG(1+2*(C136=1)+4*(C136=2)+8*(C136=3)+16*(C136=4)+32*(C136="S"),2),"","Meta","Nível 2","Nível 3","Nível 4","Serviço")</f>
        <v>Nível 2</v>
      </c>
      <c r="O136" s="202" t="str">
        <f aca="false">IF(OR($C136=0,$L136=""),"-",CONCATENATE(E136&amp;".",IF(AND($A$5&gt;=2,$C136&gt;=2),F136&amp;".",""),IF(AND($A$5&gt;=3,$C136&gt;=3),G136&amp;".",""),IF(AND($A$5&gt;=4,$C136&gt;=4),H136&amp;".",""),IF($C136="S",I136&amp;".","")))</f>
        <v>1.40.</v>
      </c>
      <c r="P136" s="203" t="s">
        <v>780</v>
      </c>
      <c r="Q136" s="204"/>
      <c r="R136" s="205" t="str">
        <f aca="false">[4]PO!$B$162</f>
        <v>TUBULAÇÕES E CONEXÕES</v>
      </c>
      <c r="S136" s="206" t="str">
        <f aca="true">REFERENCIA.Unidade</f>
        <v>-</v>
      </c>
      <c r="T136" s="207" t="n">
        <f aca="true">OFFSET(CÁLCULO!H$15,ROW($T136)-ROW(T$15),0)</f>
        <v>0</v>
      </c>
      <c r="U136" s="208"/>
      <c r="V136" s="209" t="s">
        <v>690</v>
      </c>
      <c r="W136" s="207" t="n">
        <f aca="false">IF($C136="S",ROUND(IF(TIPOORCAMENTO="Proposto",ORÇAMENTO.CustoUnitario*(1+$AH136),ORÇAMENTO.PrecoUnitarioLicitado),15-13*$AF$10),0)</f>
        <v>0</v>
      </c>
      <c r="X136" s="210" t="n">
        <f aca="true" t="array" ref="X136:X136">IF($C136="S",IF(OR(Import.TipoArredondamento&lt;&gt;"TransfereGOV",ACOMPANHAMENTO="BM"),VTOTAL1,SUM(OFFSET(CÁLCULO!$AQ$15,ROW($X136)-ROW($X$15),1):OFFSET(CÁLCULO!$BR$15,ROW($X136)-ROW($X$15),-1))),IF($C136=0,0,ROUND(SomaAgrup,15-13*$AF$11)))</f>
        <v>15943.25</v>
      </c>
      <c r="Y136" s="211" t="s">
        <v>781</v>
      </c>
      <c r="Z136" s="1" t="str">
        <f aca="false">IF(AND($C136="S",$X136&gt;0),IF(ISBLANK($Y136),"RA",LEFT($Y136,2)),"")</f>
        <v/>
      </c>
      <c r="AA136" s="212" t="n">
        <f aca="true">IF($C136="S",IF($Z136="CP",$X136,IF($Z136="RA",(($X136)*QCI!$AA$3),0)),SomaAgrup)</f>
        <v>1769.40622337031</v>
      </c>
      <c r="AB136" s="213" t="n">
        <f aca="true">IF($C136="S",IF($Z136="OU",ROUND($X136,2),0),SomaAgrup)</f>
        <v>0</v>
      </c>
      <c r="AC136" s="214" t="e">
        <f aca="false" t="array" ref="AC136:AC136">IF($N136=""," ",
IF(AND($C136&lt;&gt;"S",OR($R136="",$R136="(digite a descrição aqui)")),"DESCRIÇÃO",
IF(AND($C136="S",OR($Q136&lt;&gt;"",$T136&gt;0,$U136&gt;0),$P136=""),"FONTE",
IF(AND($C136="S",$P136&lt;&gt;"",OR($T136&gt;0,$U136&gt;0),$Q136=""),"CÓDIGO",
IF(AND($C136="S",$P136&lt;&gt;"",$Q136&lt;&gt;"",$R136="(Código não identificado nas referências)"),"CÓDIGO N/ID",
IF(AND($C136="S",OR($R136="",$R136="(digite a descrição aqui)"),OR($Q136&lt;&gt;"",$T136&gt;0,$U136&gt;0)),"DESCRIÇÃO",
IF(AND($C136="S",$P136&lt;&gt;"",$Q136&lt;&gt;"",$S136=""),"UNIDADE",
IF(AND($C136="S",$P136&lt;&gt;"",$Q136&lt;&gt;"",$U136=0),"SEM CUSTO",
IF(AND(_xlfn.single(TIPOORCAMENTO)="Licitado",$AL136=0,$AN136&gt;0),"SEM PREÇO",
IF(AND($C136="S",$P136&lt;&gt;"",$Q136&lt;&gt;"",$U136&gt;0,$V136=0),"BDI",
IF(OR(AND(TIPOORCAMENTO="Proposto",LEFT($O$8,5)&lt;&gt;"(N/D:",$AG136&lt;&gt;"",ORÇAMENTO.CustoUnitario&gt;$AG136),AND(TIPOORCAMENTO="LICITADO",ORÇAMENTO.PrecoUnitarioLicitado&gt;$AN136)),"ACIMA REF.",
IF(AND($C136="S",$P136&lt;&gt;"",$Q136&lt;&gt;"",$T136=0,$U136&gt;0),"QUANT.",
IF(AND(Import.TipoArredondamento="TransfereGOV",$L136="F",$C136="S",LEN($Q136)&gt;13),"Código &gt;13",
IF(AND(Import.TipoArredondamento="TransfereGOV",$L136="F",$C136&lt;&gt;"S",LEN($R136)&gt;100),"Descrição &gt;100",
IF(AND(Import.TipoArredondamento="TransfereGOV",$L136="F",$C136="S",LEN($R136)&gt;500),"Descrição &gt;500",
IF(AND(Import.TipoArredondamento="TransfereGOV",$L136="F",$C136="S",LEFT(TRIM(UPPER($P136)),6)&lt;&gt;"SINAPI",ISNA(VLOOKUP(TRIM(UPPER($S136)),ListaTgov.Unidades,1,FALSE()))),"Unid. Não Disp",
" "))))))))))))))))</f>
        <v>#NAME?</v>
      </c>
      <c r="AD136" s="38" t="n">
        <f aca="true">IF(C136&lt;=CRONO.NivelExibicao,MAX($AD$15:OFFSET(AD136,-1,0))+IF($C136&lt;&gt;1,1,MAX(1,COUNTIF(QCI!$A$13:$A$15,OFFSET($E136,-1,0)))),"")</f>
        <v>41</v>
      </c>
      <c r="AE136" s="50" t="b">
        <f aca="false">IF(AND($C136="S",ORÇAMENTO.CodBarra&lt;&gt;""),IF(ORÇAMENTO.Fonte="",ORÇAMENTO.CodBarra,CONCATENATE(ORÇAMENTO.Fonte," ",ORÇAMENTO.CodBarra)))</f>
        <v>0</v>
      </c>
      <c r="AF136" s="65" t="str">
        <f aca="true">IF(ISERROR(INDIRECT(ORÇAMENTO.BancoRef)),"(abra o arquivo 'Referência "&amp;Excel_BuiltIn_Database&amp;".xlsm)",IF(OR($C136&lt;&gt;"S",ORÇAMENTO.CodBarra=""),"(Sem Código)",IF(ISERROR(MATCH($AE136,INDIRECT(ORÇAMENTO.BancoRef),0)),"(Código não identificado nas referências)",MATCH($AE136,INDIRECT(ORÇAMENTO.BancoRef),0))))</f>
        <v>(abra o arquivo 'Referência 07-2025.xlsm)</v>
      </c>
      <c r="AG136" s="215" t="n">
        <f aca="true">ROUND(IF(DESONERACAO="sim",REFERENCIA.Desonerado,REFERENCIA.NaoDesonerado),2)</f>
        <v>0</v>
      </c>
      <c r="AH136" s="216" t="n">
        <f aca="false">ROUND(IF(ISNUMBER(ORÇAMENTO.OpcaoBDI),ORÇAMENTO.OpcaoBDI,IF(LEFT(ORÇAMENTO.OpcaoBDI,3)="BDI",HLOOKUP(ORÇAMENTO.OpcaoBDI,$F$4:$H$5,2,FALSE()),0)),15-11*$AF$9)</f>
        <v>0.2904</v>
      </c>
      <c r="AJ136" s="217"/>
      <c r="AL136" s="218"/>
      <c r="AM136" s="219" t="n">
        <f aca="false">$X136</f>
        <v>15943.25</v>
      </c>
      <c r="AN136" s="220" t="n">
        <f aca="false">ROUND(ORÇAMENTO.CustoUnitario*(1+$AH136),2)</f>
        <v>0</v>
      </c>
    </row>
    <row r="137" customFormat="false" ht="35.05" hidden="false" customHeight="false" outlineLevel="0" collapsed="false">
      <c r="A137" s="1" t="str">
        <f aca="false">CHOOSE(1+LOG(1+2*(ORÇAMENTO.Nivel="Meta")+4*(ORÇAMENTO.Nivel="Nível 2")+8*(ORÇAMENTO.Nivel="Nível 3")+16*(ORÇAMENTO.Nivel="Nível 4")+32*(ORÇAMENTO.Nivel="Serviço"),2),0,1,2,3,4,"S")</f>
        <v>S</v>
      </c>
      <c r="B137" s="1" t="n">
        <f aca="true">IF(OR(C137="s",C137=0),OFFSET(B137,-1,0),C137)</f>
        <v>2</v>
      </c>
      <c r="C137" s="1" t="str">
        <f aca="true">IF(OFFSET(C137,-1,0)="L",1,IF(OFFSET(C137,-1,0)=1,2,IF(OR(A137="s",A137=0),"S",IF(AND(OFFSET(C137,-1,0)=2,A137=4),3,IF(AND(OR(OFFSET(C137,-1,0)="s",OFFSET(C137,-1,0)=0),A137&lt;&gt;"s",A137&gt;OFFSET(B137,-1,0)),OFFSET(B137,-1,0),A137)))))</f>
        <v>S</v>
      </c>
      <c r="D137" s="1" t="n">
        <f aca="false">IF(OR(C137="S",C137=0),0,IF(ISERROR(K137),J137,SMALL(J137:K137,1)))</f>
        <v>0</v>
      </c>
      <c r="E137" s="1" t="n">
        <f aca="true">IF($C137=1,OFFSET(E137,-1,0)+MAX(1,COUNTIF(QCI!$A$13:$A$15,OFFSET(ORÇAMENTO!E137,-1,0))),OFFSET(E137,-1,0))</f>
        <v>1</v>
      </c>
      <c r="F137" s="1" t="n">
        <f aca="true">IF($C137=1,0,IF($C137=2,OFFSET(F137,-1,0)+1,OFFSET(F137,-1,0)))</f>
        <v>40</v>
      </c>
      <c r="G137" s="1" t="n">
        <f aca="true">IF(AND($C137&lt;=2,$C137&lt;&gt;0),0,IF($C137=3,OFFSET(G137,-1,0)+1,OFFSET(G137,-1,0)))</f>
        <v>0</v>
      </c>
      <c r="H137" s="1" t="n">
        <f aca="true">IF(AND($C137&lt;=3,$C137&lt;&gt;0),0,IF($C137=4,OFFSET(H137,-1,0)+1,OFFSET(H137,-1,0)))</f>
        <v>0</v>
      </c>
      <c r="I137" s="1" t="n">
        <f aca="true">IF(AND($C137&lt;=4,$C137&lt;&gt;0),0,IF(AND($C137="S",$X137&gt;0),OFFSET(I137,-1,0)+1,OFFSET(I137,-1,0)))</f>
        <v>1</v>
      </c>
      <c r="J137" s="1" t="n">
        <f aca="true">IF(OR($C137="S",$C137=0),0,MATCH(0,OFFSET($D137,1,$C137,ROW($C$205)-ROW($C137)),0))</f>
        <v>0</v>
      </c>
      <c r="K137" s="1" t="n">
        <f aca="true">IF(OR($C137="S",$C137=0),0,MATCH(OFFSET($D137,0,$C137)+IF($C137&lt;&gt;1,1,COUNTIF(QCI!$A$13:$A$15,ORÇAMENTO!E137)),OFFSET($D137,1,$C137,ROW($C$205)-ROW($C137)),0))</f>
        <v>0</v>
      </c>
      <c r="L137" s="199" t="str">
        <f aca="false">IF(OR($X137&gt;0,$C137=1,$C137=2,$C137=3,$C137=4),"F","")</f>
        <v>F</v>
      </c>
      <c r="M137" s="200" t="s">
        <v>735</v>
      </c>
      <c r="N137" s="201" t="str">
        <f aca="false">CHOOSE(1+LOG(1+2*(C137=1)+4*(C137=2)+8*(C137=3)+16*(C137=4)+32*(C137="S"),2),"","Meta","Nível 2","Nível 3","Nível 4","Serviço")</f>
        <v>Serviço</v>
      </c>
      <c r="O137" s="202" t="str">
        <f aca="false">IF(OR($C137=0,$L137=""),"-",CONCATENATE(E137&amp;".",IF(AND($A$5&gt;=2,$C137&gt;=2),F137&amp;".",""),IF(AND($A$5&gt;=3,$C137&gt;=3),G137&amp;".",""),IF(AND($A$5&gt;=4,$C137&gt;=4),H137&amp;".",""),IF($C137="S",I137&amp;".","")))</f>
        <v>1.40.1.</v>
      </c>
      <c r="P137" s="203" t="s">
        <v>780</v>
      </c>
      <c r="Q137" s="204" t="n">
        <v>90373</v>
      </c>
      <c r="R137" s="205" t="str">
        <f aca="false">[4]PO!$D$163</f>
        <v>JOELHO 90 GRAUS COM BUCHA DE LATÃO, PVC, SOLDÁVEL, DN 25MM, X 1/2 INSTALADO EM RAMAL OU SUB-RAMAL DE ÁGUA - FORNECIMENTO E INSTALAÇÃO. AF_06/2022</v>
      </c>
      <c r="S137" s="206" t="s">
        <v>666</v>
      </c>
      <c r="T137" s="207" t="n">
        <f aca="true">OFFSET(CÁLCULO!H$15,ROW($T137)-ROW(T$15),0)</f>
        <v>175</v>
      </c>
      <c r="U137" s="208" t="n">
        <f aca="false">[2]PO!$G$163</f>
        <v>12.72</v>
      </c>
      <c r="V137" s="209" t="s">
        <v>690</v>
      </c>
      <c r="W137" s="207" t="n">
        <f aca="false">IF($C137="S",ROUND(IF(TIPOORCAMENTO="Proposto",ORÇAMENTO.CustoUnitario*(1+$AH137),ORÇAMENTO.PrecoUnitarioLicitado),15-13*$AF$10),0)</f>
        <v>16.41</v>
      </c>
      <c r="X137" s="210" t="n">
        <f aca="true" t="array" ref="X137:X137">IF($C137="S",IF(OR(Import.TipoArredondamento&lt;&gt;"TransfereGOV",ACOMPANHAMENTO="BM"),VTOTAL1,SUM(OFFSET(CÁLCULO!$AQ$15,ROW($X137)-ROW($X$15),1):OFFSET(CÁLCULO!$BR$15,ROW($X137)-ROW($X$15),-1))),IF($C137=0,0,ROUND(SomaAgrup,15-13*$AF$11)))</f>
        <v>2871.75</v>
      </c>
      <c r="Y137" s="211" t="s">
        <v>781</v>
      </c>
      <c r="Z137" s="1" t="str">
        <f aca="false">IF(AND($C137="S",$X137&gt;0),IF(ISBLANK($Y137),"RA",LEFT($Y137,2)),"")</f>
        <v>RA</v>
      </c>
      <c r="AA137" s="212" t="n">
        <f aca="true">IF($C137="S",IF($Z137="CP",$X137,IF($Z137="RA",(($X137)*QCI!$AA$3),0)),SomaAgrup)</f>
        <v>318.711198906351</v>
      </c>
      <c r="AB137" s="213" t="n">
        <f aca="true">IF($C137="S",IF($Z137="OU",ROUND($X137,2),0),SomaAgrup)</f>
        <v>0</v>
      </c>
      <c r="AC137" s="214" t="e">
        <f aca="false" t="array" ref="AC137:AC137">IF($N137=""," ",
IF(AND($C137&lt;&gt;"S",OR($R137="",$R137="(digite a descrição aqui)")),"DESCRIÇÃO",
IF(AND($C137="S",OR($Q137&lt;&gt;"",$T137&gt;0,$U137&gt;0),$P137=""),"FONTE",
IF(AND($C137="S",$P137&lt;&gt;"",OR($T137&gt;0,$U137&gt;0),$Q137=""),"CÓDIGO",
IF(AND($C137="S",$P137&lt;&gt;"",$Q137&lt;&gt;"",$R137="(Código não identificado nas referências)"),"CÓDIGO N/ID",
IF(AND($C137="S",OR($R137="",$R137="(digite a descrição aqui)"),OR($Q137&lt;&gt;"",$T137&gt;0,$U137&gt;0)),"DESCRIÇÃO",
IF(AND($C137="S",$P137&lt;&gt;"",$Q137&lt;&gt;"",$S137=""),"UNIDADE",
IF(AND($C137="S",$P137&lt;&gt;"",$Q137&lt;&gt;"",$U137=0),"SEM CUSTO",
IF(AND(_xlfn.single(TIPOORCAMENTO)="Licitado",$AL137=0,$AN137&gt;0),"SEM PREÇO",
IF(AND($C137="S",$P137&lt;&gt;"",$Q137&lt;&gt;"",$U137&gt;0,$V137=0),"BDI",
IF(OR(AND(TIPOORCAMENTO="Proposto",LEFT($O$8,5)&lt;&gt;"(N/D:",$AG137&lt;&gt;"",ORÇAMENTO.CustoUnitario&gt;$AG137),AND(TIPOORCAMENTO="LICITADO",ORÇAMENTO.PrecoUnitarioLicitado&gt;$AN137)),"ACIMA REF.",
IF(AND($C137="S",$P137&lt;&gt;"",$Q137&lt;&gt;"",$T137=0,$U137&gt;0),"QUANT.",
IF(AND(Import.TipoArredondamento="TransfereGOV",$L137="F",$C137="S",LEN($Q137)&gt;13),"Código &gt;13",
IF(AND(Import.TipoArredondamento="TransfereGOV",$L137="F",$C137&lt;&gt;"S",LEN($R137)&gt;100),"Descrição &gt;100",
IF(AND(Import.TipoArredondamento="TransfereGOV",$L137="F",$C137="S",LEN($R137)&gt;500),"Descrição &gt;500",
IF(AND(Import.TipoArredondamento="TransfereGOV",$L137="F",$C137="S",LEFT(TRIM(UPPER($P137)),6)&lt;&gt;"SINAPI",ISNA(VLOOKUP(TRIM(UPPER($S137)),ListaTgov.Unidades,1,FALSE()))),"Unid. Não Disp",
" "))))))))))))))))</f>
        <v>#NAME?</v>
      </c>
      <c r="AD137" s="1" t="str">
        <f aca="true">IF(C137&lt;=CRONO.NivelExibicao,MAX($AD$15:OFFSET(AD137,-1,0))+IF($C137&lt;&gt;1,1,MAX(1,COUNTIF(QCI!$A$13:$A$15,OFFSET($E137,-1,0)))),"")</f>
        <v/>
      </c>
      <c r="AE137" s="50" t="str">
        <f aca="false">IF(AND($C137="S",ORÇAMENTO.CodBarra&lt;&gt;""),IF(ORÇAMENTO.Fonte="",ORÇAMENTO.CodBarra,CONCATENATE(ORÇAMENTO.Fonte," ",ORÇAMENTO.CodBarra)))</f>
        <v>SINAPI 90373</v>
      </c>
      <c r="AF137" s="65" t="str">
        <f aca="true">IF(ISERROR(INDIRECT(ORÇAMENTO.BancoRef)),"(abra o arquivo 'Referência "&amp;Excel_BuiltIn_Database&amp;".xlsm)",IF(OR($C137&lt;&gt;"S",ORÇAMENTO.CodBarra=""),"(Sem Código)",IF(ISERROR(MATCH($AE137,INDIRECT(ORÇAMENTO.BancoRef),0)),"(Código não identificado nas referências)",MATCH($AE137,INDIRECT(ORÇAMENTO.BancoRef),0))))</f>
        <v>(abra o arquivo 'Referência 07-2025.xlsm)</v>
      </c>
      <c r="AG137" s="215" t="n">
        <f aca="true">ROUND(IF(DESONERACAO="sim",REFERENCIA.Desonerado,REFERENCIA.NaoDesonerado),2)</f>
        <v>0</v>
      </c>
      <c r="AH137" s="216" t="n">
        <f aca="false">ROUND(IF(ISNUMBER(ORÇAMENTO.OpcaoBDI),ORÇAMENTO.OpcaoBDI,IF(LEFT(ORÇAMENTO.OpcaoBDI,3)="BDI",HLOOKUP(ORÇAMENTO.OpcaoBDI,$F$4:$H$5,2,FALSE()),0)),15-11*$AF$9)</f>
        <v>0.2904</v>
      </c>
      <c r="AJ137" s="217"/>
      <c r="AL137" s="218"/>
      <c r="AM137" s="219" t="n">
        <f aca="false">$X137</f>
        <v>2871.75</v>
      </c>
      <c r="AN137" s="220" t="n">
        <f aca="false">ROUND(ORÇAMENTO.CustoUnitario*(1+$AH137),2)</f>
        <v>16.41</v>
      </c>
    </row>
    <row r="138" customFormat="false" ht="35.05" hidden="false" customHeight="false" outlineLevel="0" collapsed="false">
      <c r="A138" s="1" t="str">
        <f aca="false">CHOOSE(1+LOG(1+2*(ORÇAMENTO.Nivel="Meta")+4*(ORÇAMENTO.Nivel="Nível 2")+8*(ORÇAMENTO.Nivel="Nível 3")+16*(ORÇAMENTO.Nivel="Nível 4")+32*(ORÇAMENTO.Nivel="Serviço"),2),0,1,2,3,4,"S")</f>
        <v>S</v>
      </c>
      <c r="B138" s="1" t="n">
        <f aca="true">IF(OR(C138="s",C138=0),OFFSET(B138,-1,0),C138)</f>
        <v>2</v>
      </c>
      <c r="C138" s="1" t="str">
        <f aca="true">IF(OFFSET(C138,-1,0)="L",1,IF(OFFSET(C138,-1,0)=1,2,IF(OR(A138="s",A138=0),"S",IF(AND(OFFSET(C138,-1,0)=2,A138=4),3,IF(AND(OR(OFFSET(C138,-1,0)="s",OFFSET(C138,-1,0)=0),A138&lt;&gt;"s",A138&gt;OFFSET(B138,-1,0)),OFFSET(B138,-1,0),A138)))))</f>
        <v>S</v>
      </c>
      <c r="D138" s="1" t="n">
        <f aca="false">IF(OR(C138="S",C138=0),0,IF(ISERROR(K138),J138,SMALL(J138:K138,1)))</f>
        <v>0</v>
      </c>
      <c r="E138" s="1" t="n">
        <f aca="true">IF($C138=1,OFFSET(E138,-1,0)+MAX(1,COUNTIF(QCI!$A$13:$A$15,OFFSET(ORÇAMENTO!E138,-1,0))),OFFSET(E138,-1,0))</f>
        <v>1</v>
      </c>
      <c r="F138" s="1" t="n">
        <f aca="true">IF($C138=1,0,IF($C138=2,OFFSET(F138,-1,0)+1,OFFSET(F138,-1,0)))</f>
        <v>40</v>
      </c>
      <c r="G138" s="1" t="n">
        <f aca="true">IF(AND($C138&lt;=2,$C138&lt;&gt;0),0,IF($C138=3,OFFSET(G138,-1,0)+1,OFFSET(G138,-1,0)))</f>
        <v>0</v>
      </c>
      <c r="H138" s="1" t="n">
        <f aca="true">IF(AND($C138&lt;=3,$C138&lt;&gt;0),0,IF($C138=4,OFFSET(H138,-1,0)+1,OFFSET(H138,-1,0)))</f>
        <v>0</v>
      </c>
      <c r="I138" s="1" t="n">
        <f aca="true">IF(AND($C138&lt;=4,$C138&lt;&gt;0),0,IF(AND($C138="S",$X138&gt;0),OFFSET(I138,-1,0)+1,OFFSET(I138,-1,0)))</f>
        <v>2</v>
      </c>
      <c r="J138" s="1" t="n">
        <f aca="true">IF(OR($C138="S",$C138=0),0,MATCH(0,OFFSET($D138,1,$C138,ROW($C$205)-ROW($C138)),0))</f>
        <v>0</v>
      </c>
      <c r="K138" s="1" t="n">
        <f aca="true">IF(OR($C138="S",$C138=0),0,MATCH(OFFSET($D138,0,$C138)+IF($C138&lt;&gt;1,1,COUNTIF(QCI!$A$13:$A$15,ORÇAMENTO!E138)),OFFSET($D138,1,$C138,ROW($C$205)-ROW($C138)),0))</f>
        <v>0</v>
      </c>
      <c r="L138" s="199" t="str">
        <f aca="false">IF(OR($X138&gt;0,$C138=1,$C138=2,$C138=3,$C138=4),"F","")</f>
        <v>F</v>
      </c>
      <c r="M138" s="200" t="s">
        <v>735</v>
      </c>
      <c r="N138" s="201" t="str">
        <f aca="false">CHOOSE(1+LOG(1+2*(C138=1)+4*(C138=2)+8*(C138=3)+16*(C138=4)+32*(C138="S"),2),"","Meta","Nível 2","Nível 3","Nível 4","Serviço")</f>
        <v>Serviço</v>
      </c>
      <c r="O138" s="202" t="str">
        <f aca="false">IF(OR($C138=0,$L138=""),"-",CONCATENATE(E138&amp;".",IF(AND($A$5&gt;=2,$C138&gt;=2),F138&amp;".",""),IF(AND($A$5&gt;=3,$C138&gt;=3),G138&amp;".",""),IF(AND($A$5&gt;=4,$C138&gt;=4),H138&amp;".",""),IF($C138="S",I138&amp;".","")))</f>
        <v>1.40.2.</v>
      </c>
      <c r="P138" s="203" t="s">
        <v>780</v>
      </c>
      <c r="Q138" s="204" t="n">
        <v>89408</v>
      </c>
      <c r="R138" s="205" t="str">
        <f aca="false">[4]PO!$D$164</f>
        <v>JOELHO 90 GRAUS, PVC, SOLDÁVEL, DN 25MM, INSTALADO EM RAMAL DE DISTRIBUIÇÃO DE ÁGUA - FORNECIMENTO E INSTALAÇÃO. AF_06/2022</v>
      </c>
      <c r="S138" s="206" t="s">
        <v>666</v>
      </c>
      <c r="T138" s="207" t="n">
        <f aca="true">OFFSET(CÁLCULO!H$15,ROW($T138)-ROW(T$15),0)</f>
        <v>200</v>
      </c>
      <c r="U138" s="208" t="n">
        <f aca="false">[2]PO!$G$164</f>
        <v>8.64</v>
      </c>
      <c r="V138" s="209" t="s">
        <v>690</v>
      </c>
      <c r="W138" s="207" t="n">
        <f aca="false">IF($C138="S",ROUND(IF(TIPOORCAMENTO="Proposto",ORÇAMENTO.CustoUnitario*(1+$AH138),ORÇAMENTO.PrecoUnitarioLicitado),15-13*$AF$10),0)</f>
        <v>11.15</v>
      </c>
      <c r="X138" s="210" t="n">
        <f aca="true" t="array" ref="X138:X138">IF($C138="S",IF(OR(Import.TipoArredondamento&lt;&gt;"TransfereGOV",ACOMPANHAMENTO="BM"),VTOTAL1,SUM(OFFSET(CÁLCULO!$AQ$15,ROW($X138)-ROW($X$15),1):OFFSET(CÁLCULO!$BR$15,ROW($X138)-ROW($X$15),-1))),IF($C138=0,0,ROUND(SomaAgrup,15-13*$AF$11)))</f>
        <v>2230</v>
      </c>
      <c r="Y138" s="211" t="s">
        <v>781</v>
      </c>
      <c r="Z138" s="1" t="str">
        <f aca="false">IF(AND($C138="S",$X138&gt;0),IF(ISBLANK($Y138),"RA",LEFT($Y138,2)),"")</f>
        <v>RA</v>
      </c>
      <c r="AA138" s="212" t="n">
        <f aca="true">IF($C138="S",IF($Z138="CP",$X138,IF($Z138="RA",(($X138)*QCI!$AA$3),0)),SomaAgrup)</f>
        <v>247.488804234757</v>
      </c>
      <c r="AB138" s="213" t="n">
        <f aca="true">IF($C138="S",IF($Z138="OU",ROUND($X138,2),0),SomaAgrup)</f>
        <v>0</v>
      </c>
      <c r="AC138" s="214" t="e">
        <f aca="false" t="array" ref="AC138:AC138">IF($N138=""," ",
IF(AND($C138&lt;&gt;"S",OR($R138="",$R138="(digite a descrição aqui)")),"DESCRIÇÃO",
IF(AND($C138="S",OR($Q138&lt;&gt;"",$T138&gt;0,$U138&gt;0),$P138=""),"FONTE",
IF(AND($C138="S",$P138&lt;&gt;"",OR($T138&gt;0,$U138&gt;0),$Q138=""),"CÓDIGO",
IF(AND($C138="S",$P138&lt;&gt;"",$Q138&lt;&gt;"",$R138="(Código não identificado nas referências)"),"CÓDIGO N/ID",
IF(AND($C138="S",OR($R138="",$R138="(digite a descrição aqui)"),OR($Q138&lt;&gt;"",$T138&gt;0,$U138&gt;0)),"DESCRIÇÃO",
IF(AND($C138="S",$P138&lt;&gt;"",$Q138&lt;&gt;"",$S138=""),"UNIDADE",
IF(AND($C138="S",$P138&lt;&gt;"",$Q138&lt;&gt;"",$U138=0),"SEM CUSTO",
IF(AND(_xlfn.single(TIPOORCAMENTO)="Licitado",$AL138=0,$AN138&gt;0),"SEM PREÇO",
IF(AND($C138="S",$P138&lt;&gt;"",$Q138&lt;&gt;"",$U138&gt;0,$V138=0),"BDI",
IF(OR(AND(TIPOORCAMENTO="Proposto",LEFT($O$8,5)&lt;&gt;"(N/D:",$AG138&lt;&gt;"",ORÇAMENTO.CustoUnitario&gt;$AG138),AND(TIPOORCAMENTO="LICITADO",ORÇAMENTO.PrecoUnitarioLicitado&gt;$AN138)),"ACIMA REF.",
IF(AND($C138="S",$P138&lt;&gt;"",$Q138&lt;&gt;"",$T138=0,$U138&gt;0),"QUANT.",
IF(AND(Import.TipoArredondamento="TransfereGOV",$L138="F",$C138="S",LEN($Q138)&gt;13),"Código &gt;13",
IF(AND(Import.TipoArredondamento="TransfereGOV",$L138="F",$C138&lt;&gt;"S",LEN($R138)&gt;100),"Descrição &gt;100",
IF(AND(Import.TipoArredondamento="TransfereGOV",$L138="F",$C138="S",LEN($R138)&gt;500),"Descrição &gt;500",
IF(AND(Import.TipoArredondamento="TransfereGOV",$L138="F",$C138="S",LEFT(TRIM(UPPER($P138)),6)&lt;&gt;"SINAPI",ISNA(VLOOKUP(TRIM(UPPER($S138)),ListaTgov.Unidades,1,FALSE()))),"Unid. Não Disp",
" "))))))))))))))))</f>
        <v>#NAME?</v>
      </c>
      <c r="AD138" s="1" t="str">
        <f aca="true">IF(C138&lt;=CRONO.NivelExibicao,MAX($AD$15:OFFSET(AD138,-1,0))+IF($C138&lt;&gt;1,1,MAX(1,COUNTIF(QCI!$A$13:$A$15,OFFSET($E138,-1,0)))),"")</f>
        <v/>
      </c>
      <c r="AE138" s="50" t="str">
        <f aca="false">IF(AND($C138="S",ORÇAMENTO.CodBarra&lt;&gt;""),IF(ORÇAMENTO.Fonte="",ORÇAMENTO.CodBarra,CONCATENATE(ORÇAMENTO.Fonte," ",ORÇAMENTO.CodBarra)))</f>
        <v>SINAPI 89408</v>
      </c>
      <c r="AF138" s="65" t="str">
        <f aca="true">IF(ISERROR(INDIRECT(ORÇAMENTO.BancoRef)),"(abra o arquivo 'Referência "&amp;Excel_BuiltIn_Database&amp;".xlsm)",IF(OR($C138&lt;&gt;"S",ORÇAMENTO.CodBarra=""),"(Sem Código)",IF(ISERROR(MATCH($AE138,INDIRECT(ORÇAMENTO.BancoRef),0)),"(Código não identificado nas referências)",MATCH($AE138,INDIRECT(ORÇAMENTO.BancoRef),0))))</f>
        <v>(abra o arquivo 'Referência 07-2025.xlsm)</v>
      </c>
      <c r="AG138" s="215" t="n">
        <f aca="true">ROUND(IF(DESONERACAO="sim",REFERENCIA.Desonerado,REFERENCIA.NaoDesonerado),2)</f>
        <v>0</v>
      </c>
      <c r="AH138" s="216" t="n">
        <f aca="false">ROUND(IF(ISNUMBER(ORÇAMENTO.OpcaoBDI),ORÇAMENTO.OpcaoBDI,IF(LEFT(ORÇAMENTO.OpcaoBDI,3)="BDI",HLOOKUP(ORÇAMENTO.OpcaoBDI,$F$4:$H$5,2,FALSE()),0)),15-11*$AF$9)</f>
        <v>0.2904</v>
      </c>
      <c r="AJ138" s="217"/>
      <c r="AL138" s="218"/>
      <c r="AM138" s="219" t="n">
        <f aca="false">$X138</f>
        <v>2230</v>
      </c>
      <c r="AN138" s="220" t="n">
        <f aca="false">ROUND(ORÇAMENTO.CustoUnitario*(1+$AH138),2)</f>
        <v>11.15</v>
      </c>
    </row>
    <row r="139" customFormat="false" ht="23.85" hidden="false" customHeight="false" outlineLevel="0" collapsed="false">
      <c r="A139" s="1" t="str">
        <f aca="false">CHOOSE(1+LOG(1+2*(ORÇAMENTO.Nivel="Meta")+4*(ORÇAMENTO.Nivel="Nível 2")+8*(ORÇAMENTO.Nivel="Nível 3")+16*(ORÇAMENTO.Nivel="Nível 4")+32*(ORÇAMENTO.Nivel="Serviço"),2),0,1,2,3,4,"S")</f>
        <v>S</v>
      </c>
      <c r="B139" s="1" t="n">
        <f aca="true">IF(OR(C139="s",C139=0),OFFSET(B139,-1,0),C139)</f>
        <v>2</v>
      </c>
      <c r="C139" s="1" t="str">
        <f aca="true">IF(OFFSET(C139,-1,0)="L",1,IF(OFFSET(C139,-1,0)=1,2,IF(OR(A139="s",A139=0),"S",IF(AND(OFFSET(C139,-1,0)=2,A139=4),3,IF(AND(OR(OFFSET(C139,-1,0)="s",OFFSET(C139,-1,0)=0),A139&lt;&gt;"s",A139&gt;OFFSET(B139,-1,0)),OFFSET(B139,-1,0),A139)))))</f>
        <v>S</v>
      </c>
      <c r="D139" s="1" t="n">
        <f aca="false">IF(OR(C139="S",C139=0),0,IF(ISERROR(K139),J139,SMALL(J139:K139,1)))</f>
        <v>0</v>
      </c>
      <c r="E139" s="1" t="n">
        <f aca="true">IF($C139=1,OFFSET(E139,-1,0)+MAX(1,COUNTIF(QCI!$A$13:$A$15,OFFSET(ORÇAMENTO!E139,-1,0))),OFFSET(E139,-1,0))</f>
        <v>1</v>
      </c>
      <c r="F139" s="1" t="n">
        <f aca="true">IF($C139=1,0,IF($C139=2,OFFSET(F139,-1,0)+1,OFFSET(F139,-1,0)))</f>
        <v>40</v>
      </c>
      <c r="G139" s="1" t="n">
        <f aca="true">IF(AND($C139&lt;=2,$C139&lt;&gt;0),0,IF($C139=3,OFFSET(G139,-1,0)+1,OFFSET(G139,-1,0)))</f>
        <v>0</v>
      </c>
      <c r="H139" s="1" t="n">
        <f aca="true">IF(AND($C139&lt;=3,$C139&lt;&gt;0),0,IF($C139=4,OFFSET(H139,-1,0)+1,OFFSET(H139,-1,0)))</f>
        <v>0</v>
      </c>
      <c r="I139" s="1" t="n">
        <f aca="true">IF(AND($C139&lt;=4,$C139&lt;&gt;0),0,IF(AND($C139="S",$X139&gt;0),OFFSET(I139,-1,0)+1,OFFSET(I139,-1,0)))</f>
        <v>3</v>
      </c>
      <c r="J139" s="1" t="n">
        <f aca="true">IF(OR($C139="S",$C139=0),0,MATCH(0,OFFSET($D139,1,$C139,ROW($C$205)-ROW($C139)),0))</f>
        <v>0</v>
      </c>
      <c r="K139" s="1" t="n">
        <f aca="true">IF(OR($C139="S",$C139=0),0,MATCH(OFFSET($D139,0,$C139)+IF($C139&lt;&gt;1,1,COUNTIF(QCI!$A$13:$A$15,ORÇAMENTO!E139)),OFFSET($D139,1,$C139,ROW($C$205)-ROW($C139)),0))</f>
        <v>0</v>
      </c>
      <c r="L139" s="199" t="str">
        <f aca="false">IF(OR($X139&gt;0,$C139=1,$C139=2,$C139=3,$C139=4),"F","")</f>
        <v>F</v>
      </c>
      <c r="M139" s="200" t="s">
        <v>735</v>
      </c>
      <c r="N139" s="201" t="str">
        <f aca="false">CHOOSE(1+LOG(1+2*(C139=1)+4*(C139=2)+8*(C139=3)+16*(C139=4)+32*(C139="S"),2),"","Meta","Nível 2","Nível 3","Nível 4","Serviço")</f>
        <v>Serviço</v>
      </c>
      <c r="O139" s="202" t="str">
        <f aca="false">IF(OR($C139=0,$L139=""),"-",CONCATENATE(E139&amp;".",IF(AND($A$5&gt;=2,$C139&gt;=2),F139&amp;".",""),IF(AND($A$5&gt;=3,$C139&gt;=3),G139&amp;".",""),IF(AND($A$5&gt;=4,$C139&gt;=4),H139&amp;".",""),IF($C139="S",I139&amp;".","")))</f>
        <v>1.40.3.</v>
      </c>
      <c r="P139" s="203" t="s">
        <v>780</v>
      </c>
      <c r="Q139" s="204" t="n">
        <v>89395</v>
      </c>
      <c r="R139" s="205" t="str">
        <f aca="false">[4]PO!$D$165</f>
        <v>TE, PVC, SOLDÁVEL, DN 25MM, INSTALADO EM RAMAL OU SUB-RAMAL DE ÁGUA - FORNECIMENTO E INSTALAÇÃO. AF_06/2022</v>
      </c>
      <c r="S139" s="206" t="s">
        <v>666</v>
      </c>
      <c r="T139" s="207" t="n">
        <f aca="true">OFFSET(CÁLCULO!H$15,ROW($T139)-ROW(T$15),0)</f>
        <v>100</v>
      </c>
      <c r="U139" s="208" t="n">
        <v>13.04</v>
      </c>
      <c r="V139" s="209" t="s">
        <v>690</v>
      </c>
      <c r="W139" s="207" t="n">
        <f aca="false">IF($C139="S",ROUND(IF(TIPOORCAMENTO="Proposto",ORÇAMENTO.CustoUnitario*(1+$AH139),ORÇAMENTO.PrecoUnitarioLicitado),15-13*$AF$10),0)</f>
        <v>16.83</v>
      </c>
      <c r="X139" s="210" t="n">
        <f aca="true" t="array" ref="X139:X139">IF($C139="S",IF(OR(Import.TipoArredondamento&lt;&gt;"TransfereGOV",ACOMPANHAMENTO="BM"),VTOTAL1,SUM(OFFSET(CÁLCULO!$AQ$15,ROW($X139)-ROW($X$15),1):OFFSET(CÁLCULO!$BR$15,ROW($X139)-ROW($X$15),-1))),IF($C139=0,0,ROUND(SomaAgrup,15-13*$AF$11)))</f>
        <v>1683</v>
      </c>
      <c r="Y139" s="211" t="s">
        <v>781</v>
      </c>
      <c r="Z139" s="1" t="str">
        <f aca="false">IF(AND($C139="S",$X139&gt;0),IF(ISBLANK($Y139),"RA",LEFT($Y139,2)),"")</f>
        <v>RA</v>
      </c>
      <c r="AA139" s="212" t="n">
        <f aca="true">IF($C139="S",IF($Z139="CP",$X139,IF($Z139="RA",(($X139)*QCI!$AA$3),0)),SomaAgrup)</f>
        <v>186.781909204976</v>
      </c>
      <c r="AB139" s="213" t="n">
        <f aca="true">IF($C139="S",IF($Z139="OU",ROUND($X139,2),0),SomaAgrup)</f>
        <v>0</v>
      </c>
      <c r="AC139" s="214" t="e">
        <f aca="false" t="array" ref="AC139:AC139">IF($N139=""," ",
IF(AND($C139&lt;&gt;"S",OR($R139="",$R139="(digite a descrição aqui)")),"DESCRIÇÃO",
IF(AND($C139="S",OR($Q139&lt;&gt;"",$T139&gt;0,$U139&gt;0),$P139=""),"FONTE",
IF(AND($C139="S",$P139&lt;&gt;"",OR($T139&gt;0,$U139&gt;0),$Q139=""),"CÓDIGO",
IF(AND($C139="S",$P139&lt;&gt;"",$Q139&lt;&gt;"",$R139="(Código não identificado nas referências)"),"CÓDIGO N/ID",
IF(AND($C139="S",OR($R139="",$R139="(digite a descrição aqui)"),OR($Q139&lt;&gt;"",$T139&gt;0,$U139&gt;0)),"DESCRIÇÃO",
IF(AND($C139="S",$P139&lt;&gt;"",$Q139&lt;&gt;"",$S139=""),"UNIDADE",
IF(AND($C139="S",$P139&lt;&gt;"",$Q139&lt;&gt;"",$U139=0),"SEM CUSTO",
IF(AND(_xlfn.single(TIPOORCAMENTO)="Licitado",$AL139=0,$AN139&gt;0),"SEM PREÇO",
IF(AND($C139="S",$P139&lt;&gt;"",$Q139&lt;&gt;"",$U139&gt;0,$V139=0),"BDI",
IF(OR(AND(TIPOORCAMENTO="Proposto",LEFT($O$8,5)&lt;&gt;"(N/D:",$AG139&lt;&gt;"",ORÇAMENTO.CustoUnitario&gt;$AG139),AND(TIPOORCAMENTO="LICITADO",ORÇAMENTO.PrecoUnitarioLicitado&gt;$AN139)),"ACIMA REF.",
IF(AND($C139="S",$P139&lt;&gt;"",$Q139&lt;&gt;"",$T139=0,$U139&gt;0),"QUANT.",
IF(AND(Import.TipoArredondamento="TransfereGOV",$L139="F",$C139="S",LEN($Q139)&gt;13),"Código &gt;13",
IF(AND(Import.TipoArredondamento="TransfereGOV",$L139="F",$C139&lt;&gt;"S",LEN($R139)&gt;100),"Descrição &gt;100",
IF(AND(Import.TipoArredondamento="TransfereGOV",$L139="F",$C139="S",LEN($R139)&gt;500),"Descrição &gt;500",
IF(AND(Import.TipoArredondamento="TransfereGOV",$L139="F",$C139="S",LEFT(TRIM(UPPER($P139)),6)&lt;&gt;"SINAPI",ISNA(VLOOKUP(TRIM(UPPER($S139)),ListaTgov.Unidades,1,FALSE()))),"Unid. Não Disp",
" "))))))))))))))))</f>
        <v>#NAME?</v>
      </c>
      <c r="AD139" s="1" t="str">
        <f aca="true">IF(C139&lt;=CRONO.NivelExibicao,MAX($AD$15:OFFSET(AD139,-1,0))+IF($C139&lt;&gt;1,1,MAX(1,COUNTIF(QCI!$A$13:$A$15,OFFSET($E139,-1,0)))),"")</f>
        <v/>
      </c>
      <c r="AE139" s="50" t="str">
        <f aca="false">IF(AND($C139="S",ORÇAMENTO.CodBarra&lt;&gt;""),IF(ORÇAMENTO.Fonte="",ORÇAMENTO.CodBarra,CONCATENATE(ORÇAMENTO.Fonte," ",ORÇAMENTO.CodBarra)))</f>
        <v>SINAPI 89395</v>
      </c>
      <c r="AF139" s="65" t="str">
        <f aca="true">IF(ISERROR(INDIRECT(ORÇAMENTO.BancoRef)),"(abra o arquivo 'Referência "&amp;Excel_BuiltIn_Database&amp;".xlsm)",IF(OR($C139&lt;&gt;"S",ORÇAMENTO.CodBarra=""),"(Sem Código)",IF(ISERROR(MATCH($AE139,INDIRECT(ORÇAMENTO.BancoRef),0)),"(Código não identificado nas referências)",MATCH($AE139,INDIRECT(ORÇAMENTO.BancoRef),0))))</f>
        <v>(abra o arquivo 'Referência 07-2025.xlsm)</v>
      </c>
      <c r="AG139" s="215" t="n">
        <f aca="true">ROUND(IF(DESONERACAO="sim",REFERENCIA.Desonerado,REFERENCIA.NaoDesonerado),2)</f>
        <v>0</v>
      </c>
      <c r="AH139" s="216" t="n">
        <f aca="false">ROUND(IF(ISNUMBER(ORÇAMENTO.OpcaoBDI),ORÇAMENTO.OpcaoBDI,IF(LEFT(ORÇAMENTO.OpcaoBDI,3)="BDI",HLOOKUP(ORÇAMENTO.OpcaoBDI,$F$4:$H$5,2,FALSE()),0)),15-11*$AF$9)</f>
        <v>0.2904</v>
      </c>
      <c r="AJ139" s="217"/>
      <c r="AL139" s="218"/>
      <c r="AM139" s="219" t="n">
        <f aca="false">$X139</f>
        <v>1683</v>
      </c>
      <c r="AN139" s="220" t="n">
        <f aca="false">ROUND(ORÇAMENTO.CustoUnitario*(1+$AH139),2)</f>
        <v>16.83</v>
      </c>
    </row>
    <row r="140" customFormat="false" ht="35.05" hidden="false" customHeight="false" outlineLevel="0" collapsed="false">
      <c r="A140" s="1" t="str">
        <f aca="false">CHOOSE(1+LOG(1+2*(ORÇAMENTO.Nivel="Meta")+4*(ORÇAMENTO.Nivel="Nível 2")+8*(ORÇAMENTO.Nivel="Nível 3")+16*(ORÇAMENTO.Nivel="Nível 4")+32*(ORÇAMENTO.Nivel="Serviço"),2),0,1,2,3,4,"S")</f>
        <v>S</v>
      </c>
      <c r="B140" s="1" t="n">
        <f aca="true">IF(OR(C140="s",C140=0),OFFSET(B140,-1,0),C140)</f>
        <v>2</v>
      </c>
      <c r="C140" s="1" t="str">
        <f aca="true">IF(OFFSET(C140,-1,0)="L",1,IF(OFFSET(C140,-1,0)=1,2,IF(OR(A140="s",A140=0),"S",IF(AND(OFFSET(C140,-1,0)=2,A140=4),3,IF(AND(OR(OFFSET(C140,-1,0)="s",OFFSET(C140,-1,0)=0),A140&lt;&gt;"s",A140&gt;OFFSET(B140,-1,0)),OFFSET(B140,-1,0),A140)))))</f>
        <v>S</v>
      </c>
      <c r="D140" s="1" t="n">
        <f aca="false">IF(OR(C140="S",C140=0),0,IF(ISERROR(K140),J140,SMALL(J140:K140,1)))</f>
        <v>0</v>
      </c>
      <c r="E140" s="1" t="n">
        <f aca="true">IF($C140=1,OFFSET(E140,-1,0)+MAX(1,COUNTIF(QCI!$A$13:$A$15,OFFSET(ORÇAMENTO!E140,-1,0))),OFFSET(E140,-1,0))</f>
        <v>1</v>
      </c>
      <c r="F140" s="1" t="n">
        <f aca="true">IF($C140=1,0,IF($C140=2,OFFSET(F140,-1,0)+1,OFFSET(F140,-1,0)))</f>
        <v>40</v>
      </c>
      <c r="G140" s="1" t="n">
        <f aca="true">IF(AND($C140&lt;=2,$C140&lt;&gt;0),0,IF($C140=3,OFFSET(G140,-1,0)+1,OFFSET(G140,-1,0)))</f>
        <v>0</v>
      </c>
      <c r="H140" s="1" t="n">
        <f aca="true">IF(AND($C140&lt;=3,$C140&lt;&gt;0),0,IF($C140=4,OFFSET(H140,-1,0)+1,OFFSET(H140,-1,0)))</f>
        <v>0</v>
      </c>
      <c r="I140" s="1" t="n">
        <f aca="true">IF(AND($C140&lt;=4,$C140&lt;&gt;0),0,IF(AND($C140="S",$X140&gt;0),OFFSET(I140,-1,0)+1,OFFSET(I140,-1,0)))</f>
        <v>4</v>
      </c>
      <c r="J140" s="1" t="n">
        <f aca="true">IF(OR($C140="S",$C140=0),0,MATCH(0,OFFSET($D140,1,$C140,ROW($C$205)-ROW($C140)),0))</f>
        <v>0</v>
      </c>
      <c r="K140" s="1" t="n">
        <f aca="true">IF(OR($C140="S",$C140=0),0,MATCH(OFFSET($D140,0,$C140)+IF($C140&lt;&gt;1,1,COUNTIF(QCI!$A$13:$A$15,ORÇAMENTO!E140)),OFFSET($D140,1,$C140,ROW($C$205)-ROW($C140)),0))</f>
        <v>0</v>
      </c>
      <c r="L140" s="199" t="str">
        <f aca="false">IF(OR($X140&gt;0,$C140=1,$C140=2,$C140=3,$C140=4),"F","")</f>
        <v>F</v>
      </c>
      <c r="M140" s="200" t="s">
        <v>735</v>
      </c>
      <c r="N140" s="201" t="str">
        <f aca="false">CHOOSE(1+LOG(1+2*(C140=1)+4*(C140=2)+8*(C140=3)+16*(C140=4)+32*(C140="S"),2),"","Meta","Nível 2","Nível 3","Nível 4","Serviço")</f>
        <v>Serviço</v>
      </c>
      <c r="O140" s="202" t="str">
        <f aca="false">IF(OR($C140=0,$L140=""),"-",CONCATENATE(E140&amp;".",IF(AND($A$5&gt;=2,$C140&gt;=2),F140&amp;".",""),IF(AND($A$5&gt;=3,$C140&gt;=3),G140&amp;".",""),IF(AND($A$5&gt;=4,$C140&gt;=4),H140&amp;".",""),IF($C140="S",I140&amp;".","")))</f>
        <v>1.40.4.</v>
      </c>
      <c r="P140" s="203" t="s">
        <v>780</v>
      </c>
      <c r="Q140" s="204" t="n">
        <v>89383</v>
      </c>
      <c r="R140" s="205" t="str">
        <f aca="false">[4]PO!$D$166</f>
        <v>ADAPTADOR CURTO COM BOLSA E ROSCA PARA REGISTRO, PVC, SOLDÁVEL, DN 25MM X 3/4, INSTALADO EM RAMAL OU SUB-RAMAL DE ÁGUA - FORNECIMENTO E INSTALAÇÃO. AF_06/2022</v>
      </c>
      <c r="S140" s="206" t="s">
        <v>666</v>
      </c>
      <c r="T140" s="207" t="n">
        <f aca="true">OFFSET(CÁLCULO!H$15,ROW($T140)-ROW(T$15),0)</f>
        <v>200</v>
      </c>
      <c r="U140" s="208" t="n">
        <f aca="false">[2]PO!$G$166</f>
        <v>6.57</v>
      </c>
      <c r="V140" s="209" t="s">
        <v>690</v>
      </c>
      <c r="W140" s="207" t="n">
        <f aca="false">IF($C140="S",ROUND(IF(TIPOORCAMENTO="Proposto",ORÇAMENTO.CustoUnitario*(1+$AH140),ORÇAMENTO.PrecoUnitarioLicitado),15-13*$AF$10),0)</f>
        <v>8.48</v>
      </c>
      <c r="X140" s="210" t="n">
        <f aca="true" t="array" ref="X140:X140">IF($C140="S",IF(OR(Import.TipoArredondamento&lt;&gt;"TransfereGOV",ACOMPANHAMENTO="BM"),VTOTAL1,SUM(OFFSET(CÁLCULO!$AQ$15,ROW($X140)-ROW($X$15),1):OFFSET(CÁLCULO!$BR$15,ROW($X140)-ROW($X$15),-1))),IF($C140=0,0,ROUND(SomaAgrup,15-13*$AF$11)))</f>
        <v>1696</v>
      </c>
      <c r="Y140" s="211" t="s">
        <v>781</v>
      </c>
      <c r="Z140" s="1" t="str">
        <f aca="false">IF(AND($C140="S",$X140&gt;0),IF(ISBLANK($Y140),"RA",LEFT($Y140,2)),"")</f>
        <v>RA</v>
      </c>
      <c r="AA140" s="212" t="n">
        <f aca="true">IF($C140="S",IF($Z140="CP",$X140,IF($Z140="RA",(($X140)*QCI!$AA$3),0)),SomaAgrup)</f>
        <v>188.22466905029</v>
      </c>
      <c r="AB140" s="213" t="n">
        <f aca="true">IF($C140="S",IF($Z140="OU",ROUND($X140,2),0),SomaAgrup)</f>
        <v>0</v>
      </c>
      <c r="AC140" s="214" t="e">
        <f aca="false" t="array" ref="AC140:AC140">IF($N140=""," ",
IF(AND($C140&lt;&gt;"S",OR($R140="",$R140="(digite a descrição aqui)")),"DESCRIÇÃO",
IF(AND($C140="S",OR($Q140&lt;&gt;"",$T140&gt;0,$U140&gt;0),$P140=""),"FONTE",
IF(AND($C140="S",$P140&lt;&gt;"",OR($T140&gt;0,$U140&gt;0),$Q140=""),"CÓDIGO",
IF(AND($C140="S",$P140&lt;&gt;"",$Q140&lt;&gt;"",$R140="(Código não identificado nas referências)"),"CÓDIGO N/ID",
IF(AND($C140="S",OR($R140="",$R140="(digite a descrição aqui)"),OR($Q140&lt;&gt;"",$T140&gt;0,$U140&gt;0)),"DESCRIÇÃO",
IF(AND($C140="S",$P140&lt;&gt;"",$Q140&lt;&gt;"",$S140=""),"UNIDADE",
IF(AND($C140="S",$P140&lt;&gt;"",$Q140&lt;&gt;"",$U140=0),"SEM CUSTO",
IF(AND(_xlfn.single(TIPOORCAMENTO)="Licitado",$AL140=0,$AN140&gt;0),"SEM PREÇO",
IF(AND($C140="S",$P140&lt;&gt;"",$Q140&lt;&gt;"",$U140&gt;0,$V140=0),"BDI",
IF(OR(AND(TIPOORCAMENTO="Proposto",LEFT($O$8,5)&lt;&gt;"(N/D:",$AG140&lt;&gt;"",ORÇAMENTO.CustoUnitario&gt;$AG140),AND(TIPOORCAMENTO="LICITADO",ORÇAMENTO.PrecoUnitarioLicitado&gt;$AN140)),"ACIMA REF.",
IF(AND($C140="S",$P140&lt;&gt;"",$Q140&lt;&gt;"",$T140=0,$U140&gt;0),"QUANT.",
IF(AND(Import.TipoArredondamento="TransfereGOV",$L140="F",$C140="S",LEN($Q140)&gt;13),"Código &gt;13",
IF(AND(Import.TipoArredondamento="TransfereGOV",$L140="F",$C140&lt;&gt;"S",LEN($R140)&gt;100),"Descrição &gt;100",
IF(AND(Import.TipoArredondamento="TransfereGOV",$L140="F",$C140="S",LEN($R140)&gt;500),"Descrição &gt;500",
IF(AND(Import.TipoArredondamento="TransfereGOV",$L140="F",$C140="S",LEFT(TRIM(UPPER($P140)),6)&lt;&gt;"SINAPI",ISNA(VLOOKUP(TRIM(UPPER($S140)),ListaTgov.Unidades,1,FALSE()))),"Unid. Não Disp",
" "))))))))))))))))</f>
        <v>#NAME?</v>
      </c>
      <c r="AD140" s="1" t="str">
        <f aca="true">IF(C140&lt;=CRONO.NivelExibicao,MAX($AD$15:OFFSET(AD140,-1,0))+IF($C140&lt;&gt;1,1,MAX(1,COUNTIF(QCI!$A$13:$A$15,OFFSET($E140,-1,0)))),"")</f>
        <v/>
      </c>
      <c r="AE140" s="50" t="str">
        <f aca="false">IF(AND($C140="S",ORÇAMENTO.CodBarra&lt;&gt;""),IF(ORÇAMENTO.Fonte="",ORÇAMENTO.CodBarra,CONCATENATE(ORÇAMENTO.Fonte," ",ORÇAMENTO.CodBarra)))</f>
        <v>SINAPI 89383</v>
      </c>
      <c r="AF140" s="65" t="str">
        <f aca="true">IF(ISERROR(INDIRECT(ORÇAMENTO.BancoRef)),"(abra o arquivo 'Referência "&amp;Excel_BuiltIn_Database&amp;".xlsm)",IF(OR($C140&lt;&gt;"S",ORÇAMENTO.CodBarra=""),"(Sem Código)",IF(ISERROR(MATCH($AE140,INDIRECT(ORÇAMENTO.BancoRef),0)),"(Código não identificado nas referências)",MATCH($AE140,INDIRECT(ORÇAMENTO.BancoRef),0))))</f>
        <v>(abra o arquivo 'Referência 07-2025.xlsm)</v>
      </c>
      <c r="AG140" s="215" t="n">
        <f aca="true">ROUND(IF(DESONERACAO="sim",REFERENCIA.Desonerado,REFERENCIA.NaoDesonerado),2)</f>
        <v>0</v>
      </c>
      <c r="AH140" s="216" t="n">
        <f aca="false">ROUND(IF(ISNUMBER(ORÇAMENTO.OpcaoBDI),ORÇAMENTO.OpcaoBDI,IF(LEFT(ORÇAMENTO.OpcaoBDI,3)="BDI",HLOOKUP(ORÇAMENTO.OpcaoBDI,$F$4:$H$5,2,FALSE()),0)),15-11*$AF$9)</f>
        <v>0.2904</v>
      </c>
      <c r="AJ140" s="217"/>
      <c r="AL140" s="218"/>
      <c r="AM140" s="219" t="n">
        <f aca="false">$X140</f>
        <v>1696</v>
      </c>
      <c r="AN140" s="220" t="n">
        <f aca="false">ROUND(ORÇAMENTO.CustoUnitario*(1+$AH140),2)</f>
        <v>8.48</v>
      </c>
    </row>
    <row r="141" customFormat="false" ht="23.85" hidden="false" customHeight="false" outlineLevel="0" collapsed="false">
      <c r="A141" s="1" t="str">
        <f aca="false">CHOOSE(1+LOG(1+2*(ORÇAMENTO.Nivel="Meta")+4*(ORÇAMENTO.Nivel="Nível 2")+8*(ORÇAMENTO.Nivel="Nível 3")+16*(ORÇAMENTO.Nivel="Nível 4")+32*(ORÇAMENTO.Nivel="Serviço"),2),0,1,2,3,4,"S")</f>
        <v>S</v>
      </c>
      <c r="B141" s="1" t="n">
        <f aca="true">IF(OR(C141="s",C141=0),OFFSET(B141,-1,0),C141)</f>
        <v>2</v>
      </c>
      <c r="C141" s="1" t="str">
        <f aca="true">IF(OFFSET(C141,-1,0)="L",1,IF(OFFSET(C141,-1,0)=1,2,IF(OR(A141="s",A141=0),"S",IF(AND(OFFSET(C141,-1,0)=2,A141=4),3,IF(AND(OR(OFFSET(C141,-1,0)="s",OFFSET(C141,-1,0)=0),A141&lt;&gt;"s",A141&gt;OFFSET(B141,-1,0)),OFFSET(B141,-1,0),A141)))))</f>
        <v>S</v>
      </c>
      <c r="D141" s="1" t="n">
        <f aca="false">IF(OR(C141="S",C141=0),0,IF(ISERROR(K141),J141,SMALL(J141:K141,1)))</f>
        <v>0</v>
      </c>
      <c r="E141" s="1" t="n">
        <f aca="true">IF($C141=1,OFFSET(E141,-1,0)+MAX(1,COUNTIF(QCI!$A$13:$A$15,OFFSET(ORÇAMENTO!E141,-1,0))),OFFSET(E141,-1,0))</f>
        <v>1</v>
      </c>
      <c r="F141" s="1" t="n">
        <f aca="true">IF($C141=1,0,IF($C141=2,OFFSET(F141,-1,0)+1,OFFSET(F141,-1,0)))</f>
        <v>40</v>
      </c>
      <c r="G141" s="1" t="n">
        <f aca="true">IF(AND($C141&lt;=2,$C141&lt;&gt;0),0,IF($C141=3,OFFSET(G141,-1,0)+1,OFFSET(G141,-1,0)))</f>
        <v>0</v>
      </c>
      <c r="H141" s="1" t="n">
        <f aca="true">IF(AND($C141&lt;=3,$C141&lt;&gt;0),0,IF($C141=4,OFFSET(H141,-1,0)+1,OFFSET(H141,-1,0)))</f>
        <v>0</v>
      </c>
      <c r="I141" s="1" t="n">
        <f aca="true">IF(AND($C141&lt;=4,$C141&lt;&gt;0),0,IF(AND($C141="S",$X141&gt;0),OFFSET(I141,-1,0)+1,OFFSET(I141,-1,0)))</f>
        <v>5</v>
      </c>
      <c r="J141" s="1" t="n">
        <f aca="true">IF(OR($C141="S",$C141=0),0,MATCH(0,OFFSET($D141,1,$C141,ROW($C$205)-ROW($C141)),0))</f>
        <v>0</v>
      </c>
      <c r="K141" s="1" t="n">
        <f aca="true">IF(OR($C141="S",$C141=0),0,MATCH(OFFSET($D141,0,$C141)+IF($C141&lt;&gt;1,1,COUNTIF(QCI!$A$13:$A$15,ORÇAMENTO!E141)),OFFSET($D141,1,$C141,ROW($C$205)-ROW($C141)),0))</f>
        <v>0</v>
      </c>
      <c r="L141" s="199" t="str">
        <f aca="false">IF(OR($X141&gt;0,$C141=1,$C141=2,$C141=3,$C141=4),"F","")</f>
        <v>F</v>
      </c>
      <c r="M141" s="200" t="s">
        <v>735</v>
      </c>
      <c r="N141" s="201" t="str">
        <f aca="false">CHOOSE(1+LOG(1+2*(C141=1)+4*(C141=2)+8*(C141=3)+16*(C141=4)+32*(C141="S"),2),"","Meta","Nível 2","Nível 3","Nível 4","Serviço")</f>
        <v>Serviço</v>
      </c>
      <c r="O141" s="202" t="str">
        <f aca="false">IF(OR($C141=0,$L141=""),"-",CONCATENATE(E141&amp;".",IF(AND($A$5&gt;=2,$C141&gt;=2),F141&amp;".",""),IF(AND($A$5&gt;=3,$C141&gt;=3),G141&amp;".",""),IF(AND($A$5&gt;=4,$C141&gt;=4),H141&amp;".",""),IF($C141="S",I141&amp;".","")))</f>
        <v>1.40.5.</v>
      </c>
      <c r="P141" s="203" t="s">
        <v>780</v>
      </c>
      <c r="Q141" s="204" t="n">
        <v>89446</v>
      </c>
      <c r="R141" s="205" t="str">
        <f aca="false">[4]PO!$D$167</f>
        <v>TUBO, PVC, SOLDÁVEL, DE 25MM, INSTALADO EM PRUMADA DE ÁGUA - FORNECIMENTO E INSTALAÇÃO. AF_06/2022</v>
      </c>
      <c r="S141" s="206" t="s">
        <v>648</v>
      </c>
      <c r="T141" s="207" t="n">
        <f aca="true">OFFSET(CÁLCULO!H$15,ROW($T141)-ROW(T$15),0)</f>
        <v>127.5</v>
      </c>
      <c r="U141" s="208" t="n">
        <v>5.17</v>
      </c>
      <c r="V141" s="209" t="s">
        <v>690</v>
      </c>
      <c r="W141" s="207" t="n">
        <f aca="false">IF($C141="S",ROUND(IF(TIPOORCAMENTO="Proposto",ORÇAMENTO.CustoUnitario*(1+$AH141),ORÇAMENTO.PrecoUnitarioLicitado),15-13*$AF$10),0)</f>
        <v>6.67</v>
      </c>
      <c r="X141" s="210" t="n">
        <f aca="true" t="array" ref="X141:X141">IF($C141="S",IF(OR(Import.TipoArredondamento&lt;&gt;"TransfereGOV",ACOMPANHAMENTO="BM"),VTOTAL1,SUM(OFFSET(CÁLCULO!$AQ$15,ROW($X141)-ROW($X$15),1):OFFSET(CÁLCULO!$BR$15,ROW($X141)-ROW($X$15),-1))),IF($C141=0,0,ROUND(SomaAgrup,15-13*$AF$11)))</f>
        <v>850.5</v>
      </c>
      <c r="Y141" s="211" t="s">
        <v>781</v>
      </c>
      <c r="Z141" s="1" t="str">
        <f aca="false">IF(AND($C141="S",$X141&gt;0),IF(ISBLANK($Y141),"RA",LEFT($Y141,2)),"")</f>
        <v>RA</v>
      </c>
      <c r="AA141" s="212" t="n">
        <f aca="true">IF($C141="S",IF($Z141="CP",$X141,IF($Z141="RA",(($X141)*QCI!$AA$3),0)),SomaAgrup)</f>
        <v>94.3897883415518</v>
      </c>
      <c r="AB141" s="213" t="n">
        <f aca="true">IF($C141="S",IF($Z141="OU",ROUND($X141,2),0),SomaAgrup)</f>
        <v>0</v>
      </c>
      <c r="AC141" s="214" t="e">
        <f aca="false" t="array" ref="AC141:AC141">IF($N141=""," ",
IF(AND($C141&lt;&gt;"S",OR($R141="",$R141="(digite a descrição aqui)")),"DESCRIÇÃO",
IF(AND($C141="S",OR($Q141&lt;&gt;"",$T141&gt;0,$U141&gt;0),$P141=""),"FONTE",
IF(AND($C141="S",$P141&lt;&gt;"",OR($T141&gt;0,$U141&gt;0),$Q141=""),"CÓDIGO",
IF(AND($C141="S",$P141&lt;&gt;"",$Q141&lt;&gt;"",$R141="(Código não identificado nas referências)"),"CÓDIGO N/ID",
IF(AND($C141="S",OR($R141="",$R141="(digite a descrição aqui)"),OR($Q141&lt;&gt;"",$T141&gt;0,$U141&gt;0)),"DESCRIÇÃO",
IF(AND($C141="S",$P141&lt;&gt;"",$Q141&lt;&gt;"",$S141=""),"UNIDADE",
IF(AND($C141="S",$P141&lt;&gt;"",$Q141&lt;&gt;"",$U141=0),"SEM CUSTO",
IF(AND(_xlfn.single(TIPOORCAMENTO)="Licitado",$AL141=0,$AN141&gt;0),"SEM PREÇO",
IF(AND($C141="S",$P141&lt;&gt;"",$Q141&lt;&gt;"",$U141&gt;0,$V141=0),"BDI",
IF(OR(AND(TIPOORCAMENTO="Proposto",LEFT($O$8,5)&lt;&gt;"(N/D:",$AG141&lt;&gt;"",ORÇAMENTO.CustoUnitario&gt;$AG141),AND(TIPOORCAMENTO="LICITADO",ORÇAMENTO.PrecoUnitarioLicitado&gt;$AN141)),"ACIMA REF.",
IF(AND($C141="S",$P141&lt;&gt;"",$Q141&lt;&gt;"",$T141=0,$U141&gt;0),"QUANT.",
IF(AND(Import.TipoArredondamento="TransfereGOV",$L141="F",$C141="S",LEN($Q141)&gt;13),"Código &gt;13",
IF(AND(Import.TipoArredondamento="TransfereGOV",$L141="F",$C141&lt;&gt;"S",LEN($R141)&gt;100),"Descrição &gt;100",
IF(AND(Import.TipoArredondamento="TransfereGOV",$L141="F",$C141="S",LEN($R141)&gt;500),"Descrição &gt;500",
IF(AND(Import.TipoArredondamento="TransfereGOV",$L141="F",$C141="S",LEFT(TRIM(UPPER($P141)),6)&lt;&gt;"SINAPI",ISNA(VLOOKUP(TRIM(UPPER($S141)),ListaTgov.Unidades,1,FALSE()))),"Unid. Não Disp",
" "))))))))))))))))</f>
        <v>#NAME?</v>
      </c>
      <c r="AD141" s="1" t="str">
        <f aca="true">IF(C141&lt;=CRONO.NivelExibicao,MAX($AD$15:OFFSET(AD141,-1,0))+IF($C141&lt;&gt;1,1,MAX(1,COUNTIF(QCI!$A$13:$A$15,OFFSET($E141,-1,0)))),"")</f>
        <v/>
      </c>
      <c r="AE141" s="50" t="str">
        <f aca="false">IF(AND($C141="S",ORÇAMENTO.CodBarra&lt;&gt;""),IF(ORÇAMENTO.Fonte="",ORÇAMENTO.CodBarra,CONCATENATE(ORÇAMENTO.Fonte," ",ORÇAMENTO.CodBarra)))</f>
        <v>SINAPI 89446</v>
      </c>
      <c r="AF141" s="65" t="str">
        <f aca="true">IF(ISERROR(INDIRECT(ORÇAMENTO.BancoRef)),"(abra o arquivo 'Referência "&amp;Excel_BuiltIn_Database&amp;".xlsm)",IF(OR($C141&lt;&gt;"S",ORÇAMENTO.CodBarra=""),"(Sem Código)",IF(ISERROR(MATCH($AE141,INDIRECT(ORÇAMENTO.BancoRef),0)),"(Código não identificado nas referências)",MATCH($AE141,INDIRECT(ORÇAMENTO.BancoRef),0))))</f>
        <v>(abra o arquivo 'Referência 07-2025.xlsm)</v>
      </c>
      <c r="AG141" s="215" t="n">
        <f aca="true">ROUND(IF(DESONERACAO="sim",REFERENCIA.Desonerado,REFERENCIA.NaoDesonerado),2)</f>
        <v>0</v>
      </c>
      <c r="AH141" s="216" t="n">
        <f aca="false">ROUND(IF(ISNUMBER(ORÇAMENTO.OpcaoBDI),ORÇAMENTO.OpcaoBDI,IF(LEFT(ORÇAMENTO.OpcaoBDI,3)="BDI",HLOOKUP(ORÇAMENTO.OpcaoBDI,$F$4:$H$5,2,FALSE()),0)),15-11*$AF$9)</f>
        <v>0.2904</v>
      </c>
      <c r="AJ141" s="217"/>
      <c r="AL141" s="218"/>
      <c r="AM141" s="219" t="n">
        <f aca="false">$X141</f>
        <v>850.5</v>
      </c>
      <c r="AN141" s="220" t="n">
        <f aca="false">ROUND(ORÇAMENTO.CustoUnitario*(1+$AH141),2)</f>
        <v>6.67</v>
      </c>
    </row>
    <row r="142" customFormat="false" ht="23.85" hidden="false" customHeight="false" outlineLevel="0" collapsed="false">
      <c r="A142" s="1" t="str">
        <f aca="false">CHOOSE(1+LOG(1+2*(ORÇAMENTO.Nivel="Meta")+4*(ORÇAMENTO.Nivel="Nível 2")+8*(ORÇAMENTO.Nivel="Nível 3")+16*(ORÇAMENTO.Nivel="Nível 4")+32*(ORÇAMENTO.Nivel="Serviço"),2),0,1,2,3,4,"S")</f>
        <v>S</v>
      </c>
      <c r="B142" s="1" t="n">
        <f aca="true">IF(OR(C142="s",C142=0),OFFSET(B142,-1,0),C142)</f>
        <v>2</v>
      </c>
      <c r="C142" s="1" t="str">
        <f aca="true">IF(OFFSET(C142,-1,0)="L",1,IF(OFFSET(C142,-1,0)=1,2,IF(OR(A142="s",A142=0),"S",IF(AND(OFFSET(C142,-1,0)=2,A142=4),3,IF(AND(OR(OFFSET(C142,-1,0)="s",OFFSET(C142,-1,0)=0),A142&lt;&gt;"s",A142&gt;OFFSET(B142,-1,0)),OFFSET(B142,-1,0),A142)))))</f>
        <v>S</v>
      </c>
      <c r="D142" s="1" t="n">
        <f aca="false">IF(OR(C142="S",C142=0),0,IF(ISERROR(K142),J142,SMALL(J142:K142,1)))</f>
        <v>0</v>
      </c>
      <c r="E142" s="1" t="n">
        <f aca="true">IF($C142=1,OFFSET(E142,-1,0)+MAX(1,COUNTIF(QCI!$A$13:$A$15,OFFSET(ORÇAMENTO!E142,-1,0))),OFFSET(E142,-1,0))</f>
        <v>1</v>
      </c>
      <c r="F142" s="1" t="n">
        <f aca="true">IF($C142=1,0,IF($C142=2,OFFSET(F142,-1,0)+1,OFFSET(F142,-1,0)))</f>
        <v>40</v>
      </c>
      <c r="G142" s="1" t="n">
        <f aca="true">IF(AND($C142&lt;=2,$C142&lt;&gt;0),0,IF($C142=3,OFFSET(G142,-1,0)+1,OFFSET(G142,-1,0)))</f>
        <v>0</v>
      </c>
      <c r="H142" s="1" t="n">
        <f aca="true">IF(AND($C142&lt;=3,$C142&lt;&gt;0),0,IF($C142=4,OFFSET(H142,-1,0)+1,OFFSET(H142,-1,0)))</f>
        <v>0</v>
      </c>
      <c r="I142" s="1" t="n">
        <f aca="true">IF(AND($C142&lt;=4,$C142&lt;&gt;0),0,IF(AND($C142="S",$X142&gt;0),OFFSET(I142,-1,0)+1,OFFSET(I142,-1,0)))</f>
        <v>6</v>
      </c>
      <c r="J142" s="1" t="n">
        <f aca="true">IF(OR($C142="S",$C142=0),0,MATCH(0,OFFSET($D142,1,$C142,ROW($C$205)-ROW($C142)),0))</f>
        <v>0</v>
      </c>
      <c r="K142" s="1" t="n">
        <f aca="true">IF(OR($C142="S",$C142=0),0,MATCH(OFFSET($D142,0,$C142)+IF($C142&lt;&gt;1,1,COUNTIF(QCI!$A$13:$A$15,ORÇAMENTO!E142)),OFFSET($D142,1,$C142,ROW($C$205)-ROW($C142)),0))</f>
        <v>0</v>
      </c>
      <c r="L142" s="199" t="str">
        <f aca="false">IF(OR($X142&gt;0,$C142=1,$C142=2,$C142=3,$C142=4),"F","")</f>
        <v>F</v>
      </c>
      <c r="M142" s="200" t="s">
        <v>735</v>
      </c>
      <c r="N142" s="201" t="str">
        <f aca="false">CHOOSE(1+LOG(1+2*(C142=1)+4*(C142=2)+8*(C142=3)+16*(C142=4)+32*(C142="S"),2),"","Meta","Nível 2","Nível 3","Nível 4","Serviço")</f>
        <v>Serviço</v>
      </c>
      <c r="O142" s="202" t="str">
        <f aca="false">IF(OR($C142=0,$L142=""),"-",CONCATENATE(E142&amp;".",IF(AND($A$5&gt;=2,$C142&gt;=2),F142&amp;".",""),IF(AND($A$5&gt;=3,$C142&gt;=3),G142&amp;".",""),IF(AND($A$5&gt;=4,$C142&gt;=4),H142&amp;".",""),IF($C142="S",I142&amp;".","")))</f>
        <v>1.40.6.</v>
      </c>
      <c r="P142" s="203" t="s">
        <v>780</v>
      </c>
      <c r="Q142" s="204" t="n">
        <v>89356</v>
      </c>
      <c r="R142" s="205" t="str">
        <f aca="false">[4]PO!$D$168</f>
        <v>TUBO, PVC, SOLDÁVEL, DE 25MM, INSTALADO EM RAMAL OU SUB-RAMAL DE ÁGUA - FORNECIMENTO E INSTALAÇÃO. AF_06/2022</v>
      </c>
      <c r="S142" s="206" t="s">
        <v>648</v>
      </c>
      <c r="T142" s="207" t="n">
        <f aca="true">OFFSET(CÁLCULO!H$15,ROW($T142)-ROW(T$15),0)</f>
        <v>217.5</v>
      </c>
      <c r="U142" s="208" t="n">
        <f aca="false">[2]PO!$G$168</f>
        <v>23.56</v>
      </c>
      <c r="V142" s="209" t="s">
        <v>690</v>
      </c>
      <c r="W142" s="207" t="n">
        <f aca="false">IF($C142="S",ROUND(IF(TIPOORCAMENTO="Proposto",ORÇAMENTO.CustoUnitario*(1+$AH142),ORÇAMENTO.PrecoUnitarioLicitado),15-13*$AF$10),0)</f>
        <v>30.4</v>
      </c>
      <c r="X142" s="210" t="n">
        <f aca="true" t="array" ref="X142:X142">IF($C142="S",IF(OR(Import.TipoArredondamento&lt;&gt;"TransfereGOV",ACOMPANHAMENTO="BM"),VTOTAL1,SUM(OFFSET(CÁLCULO!$AQ$15,ROW($X142)-ROW($X$15),1):OFFSET(CÁLCULO!$BR$15,ROW($X142)-ROW($X$15),-1))),IF($C142=0,0,ROUND(SomaAgrup,15-13*$AF$11)))</f>
        <v>6612</v>
      </c>
      <c r="Y142" s="211" t="s">
        <v>781</v>
      </c>
      <c r="Z142" s="1" t="str">
        <f aca="false">IF(AND($C142="S",$X142&gt;0),IF(ISBLANK($Y142),"RA",LEFT($Y142,2)),"")</f>
        <v>RA</v>
      </c>
      <c r="AA142" s="212" t="n">
        <f aca="true">IF($C142="S",IF($Z142="CP",$X142,IF($Z142="RA",(($X142)*QCI!$AA$3),0)),SomaAgrup)</f>
        <v>733.809853632382</v>
      </c>
      <c r="AB142" s="213" t="n">
        <f aca="true">IF($C142="S",IF($Z142="OU",ROUND($X142,2),0),SomaAgrup)</f>
        <v>0</v>
      </c>
      <c r="AC142" s="214" t="e">
        <f aca="false" t="array" ref="AC142:AC142">IF($N142=""," ",
IF(AND($C142&lt;&gt;"S",OR($R142="",$R142="(digite a descrição aqui)")),"DESCRIÇÃO",
IF(AND($C142="S",OR($Q142&lt;&gt;"",$T142&gt;0,$U142&gt;0),$P142=""),"FONTE",
IF(AND($C142="S",$P142&lt;&gt;"",OR($T142&gt;0,$U142&gt;0),$Q142=""),"CÓDIGO",
IF(AND($C142="S",$P142&lt;&gt;"",$Q142&lt;&gt;"",$R142="(Código não identificado nas referências)"),"CÓDIGO N/ID",
IF(AND($C142="S",OR($R142="",$R142="(digite a descrição aqui)"),OR($Q142&lt;&gt;"",$T142&gt;0,$U142&gt;0)),"DESCRIÇÃO",
IF(AND($C142="S",$P142&lt;&gt;"",$Q142&lt;&gt;"",$S142=""),"UNIDADE",
IF(AND($C142="S",$P142&lt;&gt;"",$Q142&lt;&gt;"",$U142=0),"SEM CUSTO",
IF(AND(_xlfn.single(TIPOORCAMENTO)="Licitado",$AL142=0,$AN142&gt;0),"SEM PREÇO",
IF(AND($C142="S",$P142&lt;&gt;"",$Q142&lt;&gt;"",$U142&gt;0,$V142=0),"BDI",
IF(OR(AND(TIPOORCAMENTO="Proposto",LEFT($O$8,5)&lt;&gt;"(N/D:",$AG142&lt;&gt;"",ORÇAMENTO.CustoUnitario&gt;$AG142),AND(TIPOORCAMENTO="LICITADO",ORÇAMENTO.PrecoUnitarioLicitado&gt;$AN142)),"ACIMA REF.",
IF(AND($C142="S",$P142&lt;&gt;"",$Q142&lt;&gt;"",$T142=0,$U142&gt;0),"QUANT.",
IF(AND(Import.TipoArredondamento="TransfereGOV",$L142="F",$C142="S",LEN($Q142)&gt;13),"Código &gt;13",
IF(AND(Import.TipoArredondamento="TransfereGOV",$L142="F",$C142&lt;&gt;"S",LEN($R142)&gt;100),"Descrição &gt;100",
IF(AND(Import.TipoArredondamento="TransfereGOV",$L142="F",$C142="S",LEN($R142)&gt;500),"Descrição &gt;500",
IF(AND(Import.TipoArredondamento="TransfereGOV",$L142="F",$C142="S",LEFT(TRIM(UPPER($P142)),6)&lt;&gt;"SINAPI",ISNA(VLOOKUP(TRIM(UPPER($S142)),ListaTgov.Unidades,1,FALSE()))),"Unid. Não Disp",
" "))))))))))))))))</f>
        <v>#NAME?</v>
      </c>
      <c r="AD142" s="1" t="str">
        <f aca="true">IF(C142&lt;=CRONO.NivelExibicao,MAX($AD$15:OFFSET(AD142,-1,0))+IF($C142&lt;&gt;1,1,MAX(1,COUNTIF(QCI!$A$13:$A$15,OFFSET($E142,-1,0)))),"")</f>
        <v/>
      </c>
      <c r="AE142" s="50" t="str">
        <f aca="false">IF(AND($C142="S",ORÇAMENTO.CodBarra&lt;&gt;""),IF(ORÇAMENTO.Fonte="",ORÇAMENTO.CodBarra,CONCATENATE(ORÇAMENTO.Fonte," ",ORÇAMENTO.CodBarra)))</f>
        <v>SINAPI 89356</v>
      </c>
      <c r="AF142" s="65" t="str">
        <f aca="true">IF(ISERROR(INDIRECT(ORÇAMENTO.BancoRef)),"(abra o arquivo 'Referência "&amp;Excel_BuiltIn_Database&amp;".xlsm)",IF(OR($C142&lt;&gt;"S",ORÇAMENTO.CodBarra=""),"(Sem Código)",IF(ISERROR(MATCH($AE142,INDIRECT(ORÇAMENTO.BancoRef),0)),"(Código não identificado nas referências)",MATCH($AE142,INDIRECT(ORÇAMENTO.BancoRef),0))))</f>
        <v>(abra o arquivo 'Referência 07-2025.xlsm)</v>
      </c>
      <c r="AG142" s="215" t="n">
        <f aca="true">ROUND(IF(DESONERACAO="sim",REFERENCIA.Desonerado,REFERENCIA.NaoDesonerado),2)</f>
        <v>0</v>
      </c>
      <c r="AH142" s="216" t="n">
        <f aca="false">ROUND(IF(ISNUMBER(ORÇAMENTO.OpcaoBDI),ORÇAMENTO.OpcaoBDI,IF(LEFT(ORÇAMENTO.OpcaoBDI,3)="BDI",HLOOKUP(ORÇAMENTO.OpcaoBDI,$F$4:$H$5,2,FALSE()),0)),15-11*$AF$9)</f>
        <v>0.2904</v>
      </c>
      <c r="AJ142" s="217"/>
      <c r="AL142" s="218"/>
      <c r="AM142" s="219" t="n">
        <f aca="false">$X142</f>
        <v>6612</v>
      </c>
      <c r="AN142" s="220" t="n">
        <f aca="false">ROUND(ORÇAMENTO.CustoUnitario*(1+$AH142),2)</f>
        <v>30.4</v>
      </c>
    </row>
    <row r="143" customFormat="false" ht="12.75" hidden="false" customHeight="false" outlineLevel="0" collapsed="false">
      <c r="A143" s="1" t="n">
        <f aca="false">CHOOSE(1+LOG(1+2*(ORÇAMENTO.Nivel="Meta")+4*(ORÇAMENTO.Nivel="Nível 2")+8*(ORÇAMENTO.Nivel="Nível 3")+16*(ORÇAMENTO.Nivel="Nível 4")+32*(ORÇAMENTO.Nivel="Serviço"),2),0,1,2,3,4,"S")</f>
        <v>2</v>
      </c>
      <c r="B143" s="1" t="n">
        <f aca="true">IF(OR(C143="s",C143=0),OFFSET(B143,-1,0),C143)</f>
        <v>2</v>
      </c>
      <c r="C143" s="1" t="n">
        <f aca="true">IF(OFFSET(C143,-1,0)="L",1,IF(OFFSET(C143,-1,0)=1,2,IF(OR(A143="s",A143=0),"S",IF(AND(OFFSET(C143,-1,0)=2,A143=4),3,IF(AND(OR(OFFSET(C143,-1,0)="s",OFFSET(C143,-1,0)=0),A143&lt;&gt;"s",A143&gt;OFFSET(B143,-1,0)),OFFSET(B143,-1,0),A143)))))</f>
        <v>2</v>
      </c>
      <c r="D143" s="1" t="n">
        <f aca="false">IF(OR(C143="S",C143=0),0,IF(ISERROR(K143),J143,SMALL(J143:K143,1)))</f>
        <v>5</v>
      </c>
      <c r="E143" s="1" t="n">
        <f aca="true">IF($C143=1,OFFSET(E143,-1,0)+MAX(1,COUNTIF(QCI!$A$13:$A$15,OFFSET(ORÇAMENTO!E143,-1,0))),OFFSET(E143,-1,0))</f>
        <v>1</v>
      </c>
      <c r="F143" s="1" t="n">
        <f aca="true">IF($C143=1,0,IF($C143=2,OFFSET(F143,-1,0)+1,OFFSET(F143,-1,0)))</f>
        <v>41</v>
      </c>
      <c r="G143" s="1" t="n">
        <f aca="true">IF(AND($C143&lt;=2,$C143&lt;&gt;0),0,IF($C143=3,OFFSET(G143,-1,0)+1,OFFSET(G143,-1,0)))</f>
        <v>0</v>
      </c>
      <c r="H143" s="1" t="n">
        <f aca="true">IF(AND($C143&lt;=3,$C143&lt;&gt;0),0,IF($C143=4,OFFSET(H143,-1,0)+1,OFFSET(H143,-1,0)))</f>
        <v>0</v>
      </c>
      <c r="I143" s="1" t="n">
        <f aca="true">IF(AND($C143&lt;=4,$C143&lt;&gt;0),0,IF(AND($C143="S",$X143&gt;0),OFFSET(I143,-1,0)+1,OFFSET(I143,-1,0)))</f>
        <v>0</v>
      </c>
      <c r="J143" s="1" t="n">
        <f aca="true">IF(OR($C143="S",$C143=0),0,MATCH(0,OFFSET($D143,1,$C143,ROW($C$205)-ROW($C143)),0))</f>
        <v>62</v>
      </c>
      <c r="K143" s="1" t="n">
        <f aca="true">IF(OR($C143="S",$C143=0),0,MATCH(OFFSET($D143,0,$C143)+IF($C143&lt;&gt;1,1,COUNTIF(QCI!$A$13:$A$15,ORÇAMENTO!E143)),OFFSET($D143,1,$C143,ROW($C$205)-ROW($C143)),0))</f>
        <v>5</v>
      </c>
      <c r="L143" s="199" t="str">
        <f aca="false">IF(OR($X143&gt;0,$C143=1,$C143=2,$C143=3,$C143=4),"F","")</f>
        <v>F</v>
      </c>
      <c r="M143" s="200" t="s">
        <v>732</v>
      </c>
      <c r="N143" s="201" t="str">
        <f aca="false">CHOOSE(1+LOG(1+2*(C143=1)+4*(C143=2)+8*(C143=3)+16*(C143=4)+32*(C143="S"),2),"","Meta","Nível 2","Nível 3","Nível 4","Serviço")</f>
        <v>Nível 2</v>
      </c>
      <c r="O143" s="202" t="str">
        <f aca="false">IF(OR($C143=0,$L143=""),"-",CONCATENATE(E143&amp;".",IF(AND($A$5&gt;=2,$C143&gt;=2),F143&amp;".",""),IF(AND($A$5&gt;=3,$C143&gt;=3),G143&amp;".",""),IF(AND($A$5&gt;=4,$C143&gt;=4),H143&amp;".",""),IF($C143="S",I143&amp;".","")))</f>
        <v>1.41.</v>
      </c>
      <c r="P143" s="203" t="s">
        <v>780</v>
      </c>
      <c r="Q143" s="204"/>
      <c r="R143" s="205" t="str">
        <f aca="false">[4]PO!$B$170</f>
        <v>REGISTROS </v>
      </c>
      <c r="S143" s="206" t="str">
        <f aca="true">REFERENCIA.Unidade</f>
        <v>-</v>
      </c>
      <c r="T143" s="207" t="n">
        <f aca="true">OFFSET(CÁLCULO!H$15,ROW($T143)-ROW(T$15),0)</f>
        <v>0</v>
      </c>
      <c r="U143" s="208"/>
      <c r="V143" s="209" t="s">
        <v>690</v>
      </c>
      <c r="W143" s="207" t="n">
        <f aca="false">IF($C143="S",ROUND(IF(TIPOORCAMENTO="Proposto",ORÇAMENTO.CustoUnitario*(1+$AH143),ORÇAMENTO.PrecoUnitarioLicitado),15-13*$AF$10),0)</f>
        <v>0</v>
      </c>
      <c r="X143" s="210" t="n">
        <f aca="true" t="array" ref="X143:X143">IF($C143="S",IF(OR(Import.TipoArredondamento&lt;&gt;"TransfereGOV",ACOMPANHAMENTO="BM"),VTOTAL1,SUM(OFFSET(CÁLCULO!$AQ$15,ROW($X143)-ROW($X$15),1):OFFSET(CÁLCULO!$BR$15,ROW($X143)-ROW($X$15),-1))),IF($C143=0,0,ROUND(SomaAgrup,15-13*$AF$11)))</f>
        <v>22576</v>
      </c>
      <c r="Y143" s="211" t="s">
        <v>781</v>
      </c>
      <c r="Z143" s="1" t="str">
        <f aca="false">IF(AND($C143="S",$X143&gt;0),IF(ISBLANK($Y143),"RA",LEFT($Y143,2)),"")</f>
        <v/>
      </c>
      <c r="AA143" s="212" t="n">
        <f aca="true">IF($C143="S",IF($Z143="CP",$X143,IF($Z143="RA",(($X143)*QCI!$AA$3),0)),SomaAgrup)</f>
        <v>2505.51894367886</v>
      </c>
      <c r="AB143" s="213" t="n">
        <f aca="true">IF($C143="S",IF($Z143="OU",ROUND($X143,2),0),SomaAgrup)</f>
        <v>0</v>
      </c>
      <c r="AC143" s="214" t="e">
        <f aca="false" t="array" ref="AC143:AC143">IF($N143=""," ",
IF(AND($C143&lt;&gt;"S",OR($R143="",$R143="(digite a descrição aqui)")),"DESCRIÇÃO",
IF(AND($C143="S",OR($Q143&lt;&gt;"",$T143&gt;0,$U143&gt;0),$P143=""),"FONTE",
IF(AND($C143="S",$P143&lt;&gt;"",OR($T143&gt;0,$U143&gt;0),$Q143=""),"CÓDIGO",
IF(AND($C143="S",$P143&lt;&gt;"",$Q143&lt;&gt;"",$R143="(Código não identificado nas referências)"),"CÓDIGO N/ID",
IF(AND($C143="S",OR($R143="",$R143="(digite a descrição aqui)"),OR($Q143&lt;&gt;"",$T143&gt;0,$U143&gt;0)),"DESCRIÇÃO",
IF(AND($C143="S",$P143&lt;&gt;"",$Q143&lt;&gt;"",$S143=""),"UNIDADE",
IF(AND($C143="S",$P143&lt;&gt;"",$Q143&lt;&gt;"",$U143=0),"SEM CUSTO",
IF(AND(_xlfn.single(TIPOORCAMENTO)="Licitado",$AL143=0,$AN143&gt;0),"SEM PREÇO",
IF(AND($C143="S",$P143&lt;&gt;"",$Q143&lt;&gt;"",$U143&gt;0,$V143=0),"BDI",
IF(OR(AND(TIPOORCAMENTO="Proposto",LEFT($O$8,5)&lt;&gt;"(N/D:",$AG143&lt;&gt;"",ORÇAMENTO.CustoUnitario&gt;$AG143),AND(TIPOORCAMENTO="LICITADO",ORÇAMENTO.PrecoUnitarioLicitado&gt;$AN143)),"ACIMA REF.",
IF(AND($C143="S",$P143&lt;&gt;"",$Q143&lt;&gt;"",$T143=0,$U143&gt;0),"QUANT.",
IF(AND(Import.TipoArredondamento="TransfereGOV",$L143="F",$C143="S",LEN($Q143)&gt;13),"Código &gt;13",
IF(AND(Import.TipoArredondamento="TransfereGOV",$L143="F",$C143&lt;&gt;"S",LEN($R143)&gt;100),"Descrição &gt;100",
IF(AND(Import.TipoArredondamento="TransfereGOV",$L143="F",$C143="S",LEN($R143)&gt;500),"Descrição &gt;500",
IF(AND(Import.TipoArredondamento="TransfereGOV",$L143="F",$C143="S",LEFT(TRIM(UPPER($P143)),6)&lt;&gt;"SINAPI",ISNA(VLOOKUP(TRIM(UPPER($S143)),ListaTgov.Unidades,1,FALSE()))),"Unid. Não Disp",
" "))))))))))))))))</f>
        <v>#NAME?</v>
      </c>
      <c r="AD143" s="38" t="n">
        <f aca="true">IF(C143&lt;=CRONO.NivelExibicao,MAX($AD$15:OFFSET(AD143,-1,0))+IF($C143&lt;&gt;1,1,MAX(1,COUNTIF(QCI!$A$13:$A$15,OFFSET($E143,-1,0)))),"")</f>
        <v>42</v>
      </c>
      <c r="AE143" s="50" t="b">
        <f aca="false">IF(AND($C143="S",ORÇAMENTO.CodBarra&lt;&gt;""),IF(ORÇAMENTO.Fonte="",ORÇAMENTO.CodBarra,CONCATENATE(ORÇAMENTO.Fonte," ",ORÇAMENTO.CodBarra)))</f>
        <v>0</v>
      </c>
      <c r="AF143" s="65" t="str">
        <f aca="true">IF(ISERROR(INDIRECT(ORÇAMENTO.BancoRef)),"(abra o arquivo 'Referência "&amp;Excel_BuiltIn_Database&amp;".xlsm)",IF(OR($C143&lt;&gt;"S",ORÇAMENTO.CodBarra=""),"(Sem Código)",IF(ISERROR(MATCH($AE143,INDIRECT(ORÇAMENTO.BancoRef),0)),"(Código não identificado nas referências)",MATCH($AE143,INDIRECT(ORÇAMENTO.BancoRef),0))))</f>
        <v>(abra o arquivo 'Referência 07-2025.xlsm)</v>
      </c>
      <c r="AG143" s="215" t="n">
        <f aca="true">ROUND(IF(DESONERACAO="sim",REFERENCIA.Desonerado,REFERENCIA.NaoDesonerado),2)</f>
        <v>0</v>
      </c>
      <c r="AH143" s="216" t="n">
        <f aca="false">ROUND(IF(ISNUMBER(ORÇAMENTO.OpcaoBDI),ORÇAMENTO.OpcaoBDI,IF(LEFT(ORÇAMENTO.OpcaoBDI,3)="BDI",HLOOKUP(ORÇAMENTO.OpcaoBDI,$F$4:$H$5,2,FALSE()),0)),15-11*$AF$9)</f>
        <v>0.2904</v>
      </c>
      <c r="AJ143" s="217"/>
      <c r="AL143" s="218"/>
      <c r="AM143" s="219" t="n">
        <f aca="false">$X143</f>
        <v>22576</v>
      </c>
      <c r="AN143" s="220" t="n">
        <f aca="false">ROUND(ORÇAMENTO.CustoUnitario*(1+$AH143),2)</f>
        <v>0</v>
      </c>
    </row>
    <row r="144" customFormat="false" ht="35.05" hidden="false" customHeight="false" outlineLevel="0" collapsed="false">
      <c r="A144" s="1" t="str">
        <f aca="false">CHOOSE(1+LOG(1+2*(ORÇAMENTO.Nivel="Meta")+4*(ORÇAMENTO.Nivel="Nível 2")+8*(ORÇAMENTO.Nivel="Nível 3")+16*(ORÇAMENTO.Nivel="Nível 4")+32*(ORÇAMENTO.Nivel="Serviço"),2),0,1,2,3,4,"S")</f>
        <v>S</v>
      </c>
      <c r="B144" s="1" t="n">
        <f aca="true">IF(OR(C144="s",C144=0),OFFSET(B144,-1,0),C144)</f>
        <v>2</v>
      </c>
      <c r="C144" s="1" t="str">
        <f aca="true">IF(OFFSET(C144,-1,0)="L",1,IF(OFFSET(C144,-1,0)=1,2,IF(OR(A144="s",A144=0),"S",IF(AND(OFFSET(C144,-1,0)=2,A144=4),3,IF(AND(OR(OFFSET(C144,-1,0)="s",OFFSET(C144,-1,0)=0),A144&lt;&gt;"s",A144&gt;OFFSET(B144,-1,0)),OFFSET(B144,-1,0),A144)))))</f>
        <v>S</v>
      </c>
      <c r="D144" s="1" t="n">
        <f aca="false">IF(OR(C144="S",C144=0),0,IF(ISERROR(K144),J144,SMALL(J144:K144,1)))</f>
        <v>0</v>
      </c>
      <c r="E144" s="1" t="n">
        <f aca="true">IF($C144=1,OFFSET(E144,-1,0)+MAX(1,COUNTIF(QCI!$A$13:$A$15,OFFSET(ORÇAMENTO!E144,-1,0))),OFFSET(E144,-1,0))</f>
        <v>1</v>
      </c>
      <c r="F144" s="1" t="n">
        <f aca="true">IF($C144=1,0,IF($C144=2,OFFSET(F144,-1,0)+1,OFFSET(F144,-1,0)))</f>
        <v>41</v>
      </c>
      <c r="G144" s="1" t="n">
        <f aca="true">IF(AND($C144&lt;=2,$C144&lt;&gt;0),0,IF($C144=3,OFFSET(G144,-1,0)+1,OFFSET(G144,-1,0)))</f>
        <v>0</v>
      </c>
      <c r="H144" s="1" t="n">
        <f aca="true">IF(AND($C144&lt;=3,$C144&lt;&gt;0),0,IF($C144=4,OFFSET(H144,-1,0)+1,OFFSET(H144,-1,0)))</f>
        <v>0</v>
      </c>
      <c r="I144" s="1" t="n">
        <f aca="true">IF(AND($C144&lt;=4,$C144&lt;&gt;0),0,IF(AND($C144="S",$X144&gt;0),OFFSET(I144,-1,0)+1,OFFSET(I144,-1,0)))</f>
        <v>1</v>
      </c>
      <c r="J144" s="1" t="n">
        <f aca="true">IF(OR($C144="S",$C144=0),0,MATCH(0,OFFSET($D144,1,$C144,ROW($C$205)-ROW($C144)),0))</f>
        <v>0</v>
      </c>
      <c r="K144" s="1" t="n">
        <f aca="true">IF(OR($C144="S",$C144=0),0,MATCH(OFFSET($D144,0,$C144)+IF($C144&lt;&gt;1,1,COUNTIF(QCI!$A$13:$A$15,ORÇAMENTO!E144)),OFFSET($D144,1,$C144,ROW($C$205)-ROW($C144)),0))</f>
        <v>0</v>
      </c>
      <c r="L144" s="199" t="str">
        <f aca="false">IF(OR($X144&gt;0,$C144=1,$C144=2,$C144=3,$C144=4),"F","")</f>
        <v>F</v>
      </c>
      <c r="M144" s="200" t="s">
        <v>735</v>
      </c>
      <c r="N144" s="201" t="str">
        <f aca="false">CHOOSE(1+LOG(1+2*(C144=1)+4*(C144=2)+8*(C144=3)+16*(C144=4)+32*(C144="S"),2),"","Meta","Nível 2","Nível 3","Nível 4","Serviço")</f>
        <v>Serviço</v>
      </c>
      <c r="O144" s="202" t="str">
        <f aca="false">IF(OR($C144=0,$L144=""),"-",CONCATENATE(E144&amp;".",IF(AND($A$5&gt;=2,$C144&gt;=2),F144&amp;".",""),IF(AND($A$5&gt;=3,$C144&gt;=3),G144&amp;".",""),IF(AND($A$5&gt;=4,$C144&gt;=4),H144&amp;".",""),IF($C144="S",I144&amp;".","")))</f>
        <v>1.41.1.</v>
      </c>
      <c r="P144" s="203" t="s">
        <v>780</v>
      </c>
      <c r="Q144" s="204" t="n">
        <v>89985</v>
      </c>
      <c r="R144" s="205" t="str">
        <f aca="false">[4]PO!$D$171</f>
        <v>REGISTRO DE PRESSÃO BRUTO, LATÃO, ROSCÁVEL, 3/4", COM ACABAMENTO E CANOPLA CROMADOS - FORNECIMENTO E INSTALAÇÃO. AF_08/2021</v>
      </c>
      <c r="S144" s="206" t="s">
        <v>666</v>
      </c>
      <c r="T144" s="207" t="n">
        <f aca="true">OFFSET(CÁLCULO!H$15,ROW($T144)-ROW(T$15),0)</f>
        <v>25</v>
      </c>
      <c r="U144" s="208" t="n">
        <f aca="false">[2]PO!$G$171</f>
        <v>140.98</v>
      </c>
      <c r="V144" s="209" t="s">
        <v>690</v>
      </c>
      <c r="W144" s="207" t="n">
        <f aca="false">IF($C144="S",ROUND(IF(TIPOORCAMENTO="Proposto",ORÇAMENTO.CustoUnitario*(1+$AH144),ORÇAMENTO.PrecoUnitarioLicitado),15-13*$AF$10),0)</f>
        <v>181.92</v>
      </c>
      <c r="X144" s="210" t="n">
        <f aca="true" t="array" ref="X144:X144">IF($C144="S",IF(OR(Import.TipoArredondamento&lt;&gt;"TransfereGOV",ACOMPANHAMENTO="BM"),VTOTAL1,SUM(OFFSET(CÁLCULO!$AQ$15,ROW($X144)-ROW($X$15),1):OFFSET(CÁLCULO!$BR$15,ROW($X144)-ROW($X$15),-1))),IF($C144=0,0,ROUND(SomaAgrup,15-13*$AF$11)))</f>
        <v>4548</v>
      </c>
      <c r="Y144" s="211" t="s">
        <v>781</v>
      </c>
      <c r="Z144" s="1" t="str">
        <f aca="false">IF(AND($C144="S",$X144&gt;0),IF(ISBLANK($Y144),"RA",LEFT($Y144,2)),"")</f>
        <v>RA</v>
      </c>
      <c r="AA144" s="212" t="n">
        <f aca="true">IF($C144="S",IF($Z144="CP",$X144,IF($Z144="RA",(($X144)*QCI!$AA$3),0)),SomaAgrup)</f>
        <v>504.743982807028</v>
      </c>
      <c r="AB144" s="213" t="n">
        <f aca="true">IF($C144="S",IF($Z144="OU",ROUND($X144,2),0),SomaAgrup)</f>
        <v>0</v>
      </c>
      <c r="AC144" s="214" t="e">
        <f aca="false" t="array" ref="AC144:AC144">IF($N144=""," ",
IF(AND($C144&lt;&gt;"S",OR($R144="",$R144="(digite a descrição aqui)")),"DESCRIÇÃO",
IF(AND($C144="S",OR($Q144&lt;&gt;"",$T144&gt;0,$U144&gt;0),$P144=""),"FONTE",
IF(AND($C144="S",$P144&lt;&gt;"",OR($T144&gt;0,$U144&gt;0),$Q144=""),"CÓDIGO",
IF(AND($C144="S",$P144&lt;&gt;"",$Q144&lt;&gt;"",$R144="(Código não identificado nas referências)"),"CÓDIGO N/ID",
IF(AND($C144="S",OR($R144="",$R144="(digite a descrição aqui)"),OR($Q144&lt;&gt;"",$T144&gt;0,$U144&gt;0)),"DESCRIÇÃO",
IF(AND($C144="S",$P144&lt;&gt;"",$Q144&lt;&gt;"",$S144=""),"UNIDADE",
IF(AND($C144="S",$P144&lt;&gt;"",$Q144&lt;&gt;"",$U144=0),"SEM CUSTO",
IF(AND(_xlfn.single(TIPOORCAMENTO)="Licitado",$AL144=0,$AN144&gt;0),"SEM PREÇO",
IF(AND($C144="S",$P144&lt;&gt;"",$Q144&lt;&gt;"",$U144&gt;0,$V144=0),"BDI",
IF(OR(AND(TIPOORCAMENTO="Proposto",LEFT($O$8,5)&lt;&gt;"(N/D:",$AG144&lt;&gt;"",ORÇAMENTO.CustoUnitario&gt;$AG144),AND(TIPOORCAMENTO="LICITADO",ORÇAMENTO.PrecoUnitarioLicitado&gt;$AN144)),"ACIMA REF.",
IF(AND($C144="S",$P144&lt;&gt;"",$Q144&lt;&gt;"",$T144=0,$U144&gt;0),"QUANT.",
IF(AND(Import.TipoArredondamento="TransfereGOV",$L144="F",$C144="S",LEN($Q144)&gt;13),"Código &gt;13",
IF(AND(Import.TipoArredondamento="TransfereGOV",$L144="F",$C144&lt;&gt;"S",LEN($R144)&gt;100),"Descrição &gt;100",
IF(AND(Import.TipoArredondamento="TransfereGOV",$L144="F",$C144="S",LEN($R144)&gt;500),"Descrição &gt;500",
IF(AND(Import.TipoArredondamento="TransfereGOV",$L144="F",$C144="S",LEFT(TRIM(UPPER($P144)),6)&lt;&gt;"SINAPI",ISNA(VLOOKUP(TRIM(UPPER($S144)),ListaTgov.Unidades,1,FALSE()))),"Unid. Não Disp",
" "))))))))))))))))</f>
        <v>#NAME?</v>
      </c>
      <c r="AD144" s="1" t="str">
        <f aca="true">IF(C144&lt;=CRONO.NivelExibicao,MAX($AD$15:OFFSET(AD144,-1,0))+IF($C144&lt;&gt;1,1,MAX(1,COUNTIF(QCI!$A$13:$A$15,OFFSET($E144,-1,0)))),"")</f>
        <v/>
      </c>
      <c r="AE144" s="50" t="str">
        <f aca="false">IF(AND($C144="S",ORÇAMENTO.CodBarra&lt;&gt;""),IF(ORÇAMENTO.Fonte="",ORÇAMENTO.CodBarra,CONCATENATE(ORÇAMENTO.Fonte," ",ORÇAMENTO.CodBarra)))</f>
        <v>SINAPI 89985</v>
      </c>
      <c r="AF144" s="65" t="str">
        <f aca="true">IF(ISERROR(INDIRECT(ORÇAMENTO.BancoRef)),"(abra o arquivo 'Referência "&amp;Excel_BuiltIn_Database&amp;".xlsm)",IF(OR($C144&lt;&gt;"S",ORÇAMENTO.CodBarra=""),"(Sem Código)",IF(ISERROR(MATCH($AE144,INDIRECT(ORÇAMENTO.BancoRef),0)),"(Código não identificado nas referências)",MATCH($AE144,INDIRECT(ORÇAMENTO.BancoRef),0))))</f>
        <v>(abra o arquivo 'Referência 07-2025.xlsm)</v>
      </c>
      <c r="AG144" s="215" t="n">
        <f aca="true">ROUND(IF(DESONERACAO="sim",REFERENCIA.Desonerado,REFERENCIA.NaoDesonerado),2)</f>
        <v>0</v>
      </c>
      <c r="AH144" s="216" t="n">
        <f aca="false">ROUND(IF(ISNUMBER(ORÇAMENTO.OpcaoBDI),ORÇAMENTO.OpcaoBDI,IF(LEFT(ORÇAMENTO.OpcaoBDI,3)="BDI",HLOOKUP(ORÇAMENTO.OpcaoBDI,$F$4:$H$5,2,FALSE()),0)),15-11*$AF$9)</f>
        <v>0.2904</v>
      </c>
      <c r="AJ144" s="217"/>
      <c r="AL144" s="218"/>
      <c r="AM144" s="219" t="n">
        <f aca="false">$X144</f>
        <v>4548</v>
      </c>
      <c r="AN144" s="220" t="n">
        <f aca="false">ROUND(ORÇAMENTO.CustoUnitario*(1+$AH144),2)</f>
        <v>181.92</v>
      </c>
    </row>
    <row r="145" customFormat="false" ht="35.05" hidden="false" customHeight="false" outlineLevel="0" collapsed="false">
      <c r="A145" s="1" t="str">
        <f aca="false">CHOOSE(1+LOG(1+2*(ORÇAMENTO.Nivel="Meta")+4*(ORÇAMENTO.Nivel="Nível 2")+8*(ORÇAMENTO.Nivel="Nível 3")+16*(ORÇAMENTO.Nivel="Nível 4")+32*(ORÇAMENTO.Nivel="Serviço"),2),0,1,2,3,4,"S")</f>
        <v>S</v>
      </c>
      <c r="B145" s="1" t="n">
        <f aca="true">IF(OR(C145="s",C145=0),OFFSET(B145,-1,0),C145)</f>
        <v>2</v>
      </c>
      <c r="C145" s="1" t="str">
        <f aca="true">IF(OFFSET(C145,-1,0)="L",1,IF(OFFSET(C145,-1,0)=1,2,IF(OR(A145="s",A145=0),"S",IF(AND(OFFSET(C145,-1,0)=2,A145=4),3,IF(AND(OR(OFFSET(C145,-1,0)="s",OFFSET(C145,-1,0)=0),A145&lt;&gt;"s",A145&gt;OFFSET(B145,-1,0)),OFFSET(B145,-1,0),A145)))))</f>
        <v>S</v>
      </c>
      <c r="D145" s="1" t="n">
        <f aca="false">IF(OR(C145="S",C145=0),0,IF(ISERROR(K145),J145,SMALL(J145:K145,1)))</f>
        <v>0</v>
      </c>
      <c r="E145" s="1" t="n">
        <f aca="true">IF($C145=1,OFFSET(E145,-1,0)+MAX(1,COUNTIF(QCI!$A$13:$A$15,OFFSET(ORÇAMENTO!E145,-1,0))),OFFSET(E145,-1,0))</f>
        <v>1</v>
      </c>
      <c r="F145" s="1" t="n">
        <f aca="true">IF($C145=1,0,IF($C145=2,OFFSET(F145,-1,0)+1,OFFSET(F145,-1,0)))</f>
        <v>41</v>
      </c>
      <c r="G145" s="1" t="n">
        <f aca="true">IF(AND($C145&lt;=2,$C145&lt;&gt;0),0,IF($C145=3,OFFSET(G145,-1,0)+1,OFFSET(G145,-1,0)))</f>
        <v>0</v>
      </c>
      <c r="H145" s="1" t="n">
        <f aca="true">IF(AND($C145&lt;=3,$C145&lt;&gt;0),0,IF($C145=4,OFFSET(H145,-1,0)+1,OFFSET(H145,-1,0)))</f>
        <v>0</v>
      </c>
      <c r="I145" s="1" t="n">
        <f aca="true">IF(AND($C145&lt;=4,$C145&lt;&gt;0),0,IF(AND($C145="S",$X145&gt;0),OFFSET(I145,-1,0)+1,OFFSET(I145,-1,0)))</f>
        <v>2</v>
      </c>
      <c r="J145" s="1" t="n">
        <f aca="true">IF(OR($C145="S",$C145=0),0,MATCH(0,OFFSET($D145,1,$C145,ROW($C$205)-ROW($C145)),0))</f>
        <v>0</v>
      </c>
      <c r="K145" s="1" t="n">
        <f aca="true">IF(OR($C145="S",$C145=0),0,MATCH(OFFSET($D145,0,$C145)+IF($C145&lt;&gt;1,1,COUNTIF(QCI!$A$13:$A$15,ORÇAMENTO!E145)),OFFSET($D145,1,$C145,ROW($C$205)-ROW($C145)),0))</f>
        <v>0</v>
      </c>
      <c r="L145" s="199" t="str">
        <f aca="false">IF(OR($X145&gt;0,$C145=1,$C145=2,$C145=3,$C145=4),"F","")</f>
        <v>F</v>
      </c>
      <c r="M145" s="200" t="s">
        <v>735</v>
      </c>
      <c r="N145" s="201" t="str">
        <f aca="false">CHOOSE(1+LOG(1+2*(C145=1)+4*(C145=2)+8*(C145=3)+16*(C145=4)+32*(C145="S"),2),"","Meta","Nível 2","Nível 3","Nível 4","Serviço")</f>
        <v>Serviço</v>
      </c>
      <c r="O145" s="202" t="str">
        <f aca="false">IF(OR($C145=0,$L145=""),"-",CONCATENATE(E145&amp;".",IF(AND($A$5&gt;=2,$C145&gt;=2),F145&amp;".",""),IF(AND($A$5&gt;=3,$C145&gt;=3),G145&amp;".",""),IF(AND($A$5&gt;=4,$C145&gt;=4),H145&amp;".",""),IF($C145="S",I145&amp;".","")))</f>
        <v>1.41.2.</v>
      </c>
      <c r="P145" s="203" t="s">
        <v>780</v>
      </c>
      <c r="Q145" s="204" t="n">
        <v>89987</v>
      </c>
      <c r="R145" s="205" t="str">
        <f aca="false">[4]PO!$D$172</f>
        <v>REGISTRO DE GAVETA BRUTO, LATÃO, ROSCÁVEL, 3/4", COM ACABAMENTO E CANOPLA CROMADOS - FORNECIMENTO E INSTALAÇÃO. AF_08/2021</v>
      </c>
      <c r="S145" s="206" t="s">
        <v>666</v>
      </c>
      <c r="T145" s="207" t="n">
        <f aca="true">OFFSET(CÁLCULO!H$15,ROW($T145)-ROW(T$15),0)</f>
        <v>75</v>
      </c>
      <c r="U145" s="208" t="n">
        <f aca="false">[2]PO!$G$172</f>
        <v>148.79</v>
      </c>
      <c r="V145" s="209" t="s">
        <v>690</v>
      </c>
      <c r="W145" s="207" t="n">
        <f aca="false">IF($C145="S",ROUND(IF(TIPOORCAMENTO="Proposto",ORÇAMENTO.CustoUnitario*(1+$AH145),ORÇAMENTO.PrecoUnitarioLicitado),15-13*$AF$10),0)</f>
        <v>192</v>
      </c>
      <c r="X145" s="210" t="n">
        <f aca="true" t="array" ref="X145:X145">IF($C145="S",IF(OR(Import.TipoArredondamento&lt;&gt;"TransfereGOV",ACOMPANHAMENTO="BM"),VTOTAL1,SUM(OFFSET(CÁLCULO!$AQ$15,ROW($X145)-ROW($X$15),1):OFFSET(CÁLCULO!$BR$15,ROW($X145)-ROW($X$15),-1))),IF($C145=0,0,ROUND(SomaAgrup,15-13*$AF$11)))</f>
        <v>14400</v>
      </c>
      <c r="Y145" s="211" t="s">
        <v>781</v>
      </c>
      <c r="Z145" s="1" t="str">
        <f aca="false">IF(AND($C145="S",$X145&gt;0),IF(ISBLANK($Y145),"RA",LEFT($Y145,2)),"")</f>
        <v>RA</v>
      </c>
      <c r="AA145" s="212" t="n">
        <f aca="true">IF($C145="S",IF($Z145="CP",$X145,IF($Z145="RA",(($X145)*QCI!$AA$3),0)),SomaAgrup)</f>
        <v>1598.13398250246</v>
      </c>
      <c r="AB145" s="213" t="n">
        <f aca="true">IF($C145="S",IF($Z145="OU",ROUND($X145,2),0),SomaAgrup)</f>
        <v>0</v>
      </c>
      <c r="AC145" s="214" t="e">
        <f aca="false" t="array" ref="AC145:AC145">IF($N145=""," ",
IF(AND($C145&lt;&gt;"S",OR($R145="",$R145="(digite a descrição aqui)")),"DESCRIÇÃO",
IF(AND($C145="S",OR($Q145&lt;&gt;"",$T145&gt;0,$U145&gt;0),$P145=""),"FONTE",
IF(AND($C145="S",$P145&lt;&gt;"",OR($T145&gt;0,$U145&gt;0),$Q145=""),"CÓDIGO",
IF(AND($C145="S",$P145&lt;&gt;"",$Q145&lt;&gt;"",$R145="(Código não identificado nas referências)"),"CÓDIGO N/ID",
IF(AND($C145="S",OR($R145="",$R145="(digite a descrição aqui)"),OR($Q145&lt;&gt;"",$T145&gt;0,$U145&gt;0)),"DESCRIÇÃO",
IF(AND($C145="S",$P145&lt;&gt;"",$Q145&lt;&gt;"",$S145=""),"UNIDADE",
IF(AND($C145="S",$P145&lt;&gt;"",$Q145&lt;&gt;"",$U145=0),"SEM CUSTO",
IF(AND(_xlfn.single(TIPOORCAMENTO)="Licitado",$AL145=0,$AN145&gt;0),"SEM PREÇO",
IF(AND($C145="S",$P145&lt;&gt;"",$Q145&lt;&gt;"",$U145&gt;0,$V145=0),"BDI",
IF(OR(AND(TIPOORCAMENTO="Proposto",LEFT($O$8,5)&lt;&gt;"(N/D:",$AG145&lt;&gt;"",ORÇAMENTO.CustoUnitario&gt;$AG145),AND(TIPOORCAMENTO="LICITADO",ORÇAMENTO.PrecoUnitarioLicitado&gt;$AN145)),"ACIMA REF.",
IF(AND($C145="S",$P145&lt;&gt;"",$Q145&lt;&gt;"",$T145=0,$U145&gt;0),"QUANT.",
IF(AND(Import.TipoArredondamento="TransfereGOV",$L145="F",$C145="S",LEN($Q145)&gt;13),"Código &gt;13",
IF(AND(Import.TipoArredondamento="TransfereGOV",$L145="F",$C145&lt;&gt;"S",LEN($R145)&gt;100),"Descrição &gt;100",
IF(AND(Import.TipoArredondamento="TransfereGOV",$L145="F",$C145="S",LEN($R145)&gt;500),"Descrição &gt;500",
IF(AND(Import.TipoArredondamento="TransfereGOV",$L145="F",$C145="S",LEFT(TRIM(UPPER($P145)),6)&lt;&gt;"SINAPI",ISNA(VLOOKUP(TRIM(UPPER($S145)),ListaTgov.Unidades,1,FALSE()))),"Unid. Não Disp",
" "))))))))))))))))</f>
        <v>#NAME?</v>
      </c>
      <c r="AD145" s="1" t="str">
        <f aca="true">IF(C145&lt;=CRONO.NivelExibicao,MAX($AD$15:OFFSET(AD145,-1,0))+IF($C145&lt;&gt;1,1,MAX(1,COUNTIF(QCI!$A$13:$A$15,OFFSET($E145,-1,0)))),"")</f>
        <v/>
      </c>
      <c r="AE145" s="50" t="str">
        <f aca="false">IF(AND($C145="S",ORÇAMENTO.CodBarra&lt;&gt;""),IF(ORÇAMENTO.Fonte="",ORÇAMENTO.CodBarra,CONCATENATE(ORÇAMENTO.Fonte," ",ORÇAMENTO.CodBarra)))</f>
        <v>SINAPI 89987</v>
      </c>
      <c r="AF145" s="65" t="str">
        <f aca="true">IF(ISERROR(INDIRECT(ORÇAMENTO.BancoRef)),"(abra o arquivo 'Referência "&amp;Excel_BuiltIn_Database&amp;".xlsm)",IF(OR($C145&lt;&gt;"S",ORÇAMENTO.CodBarra=""),"(Sem Código)",IF(ISERROR(MATCH($AE145,INDIRECT(ORÇAMENTO.BancoRef),0)),"(Código não identificado nas referências)",MATCH($AE145,INDIRECT(ORÇAMENTO.BancoRef),0))))</f>
        <v>(abra o arquivo 'Referência 07-2025.xlsm)</v>
      </c>
      <c r="AG145" s="215" t="n">
        <f aca="true">ROUND(IF(DESONERACAO="sim",REFERENCIA.Desonerado,REFERENCIA.NaoDesonerado),2)</f>
        <v>0</v>
      </c>
      <c r="AH145" s="216" t="n">
        <f aca="false">ROUND(IF(ISNUMBER(ORÇAMENTO.OpcaoBDI),ORÇAMENTO.OpcaoBDI,IF(LEFT(ORÇAMENTO.OpcaoBDI,3)="BDI",HLOOKUP(ORÇAMENTO.OpcaoBDI,$F$4:$H$5,2,FALSE()),0)),15-11*$AF$9)</f>
        <v>0.2904</v>
      </c>
      <c r="AJ145" s="217"/>
      <c r="AL145" s="218"/>
      <c r="AM145" s="219" t="n">
        <f aca="false">$X145</f>
        <v>14400</v>
      </c>
      <c r="AN145" s="220" t="n">
        <f aca="false">ROUND(ORÇAMENTO.CustoUnitario*(1+$AH145),2)</f>
        <v>192</v>
      </c>
    </row>
    <row r="146" customFormat="false" ht="23.85" hidden="false" customHeight="false" outlineLevel="0" collapsed="false">
      <c r="A146" s="1" t="str">
        <f aca="false">CHOOSE(1+LOG(1+2*(ORÇAMENTO.Nivel="Meta")+4*(ORÇAMENTO.Nivel="Nível 2")+8*(ORÇAMENTO.Nivel="Nível 3")+16*(ORÇAMENTO.Nivel="Nível 4")+32*(ORÇAMENTO.Nivel="Serviço"),2),0,1,2,3,4,"S")</f>
        <v>S</v>
      </c>
      <c r="B146" s="1" t="n">
        <f aca="true">IF(OR(C146="s",C146=0),OFFSET(B146,-1,0),C146)</f>
        <v>2</v>
      </c>
      <c r="C146" s="1" t="str">
        <f aca="true">IF(OFFSET(C146,-1,0)="L",1,IF(OFFSET(C146,-1,0)=1,2,IF(OR(A146="s",A146=0),"S",IF(AND(OFFSET(C146,-1,0)=2,A146=4),3,IF(AND(OR(OFFSET(C146,-1,0)="s",OFFSET(C146,-1,0)=0),A146&lt;&gt;"s",A146&gt;OFFSET(B146,-1,0)),OFFSET(B146,-1,0),A146)))))</f>
        <v>S</v>
      </c>
      <c r="D146" s="1" t="n">
        <f aca="false">IF(OR(C146="S",C146=0),0,IF(ISERROR(K146),J146,SMALL(J146:K146,1)))</f>
        <v>0</v>
      </c>
      <c r="E146" s="1" t="n">
        <f aca="true">IF($C146=1,OFFSET(E146,-1,0)+MAX(1,COUNTIF(QCI!$A$13:$A$15,OFFSET(ORÇAMENTO!E146,-1,0))),OFFSET(E146,-1,0))</f>
        <v>1</v>
      </c>
      <c r="F146" s="1" t="n">
        <f aca="true">IF($C146=1,0,IF($C146=2,OFFSET(F146,-1,0)+1,OFFSET(F146,-1,0)))</f>
        <v>41</v>
      </c>
      <c r="G146" s="1" t="n">
        <f aca="true">IF(AND($C146&lt;=2,$C146&lt;&gt;0),0,IF($C146=3,OFFSET(G146,-1,0)+1,OFFSET(G146,-1,0)))</f>
        <v>0</v>
      </c>
      <c r="H146" s="1" t="n">
        <f aca="true">IF(AND($C146&lt;=3,$C146&lt;&gt;0),0,IF($C146=4,OFFSET(H146,-1,0)+1,OFFSET(H146,-1,0)))</f>
        <v>0</v>
      </c>
      <c r="I146" s="1" t="n">
        <f aca="true">IF(AND($C146&lt;=4,$C146&lt;&gt;0),0,IF(AND($C146="S",$X146&gt;0),OFFSET(I146,-1,0)+1,OFFSET(I146,-1,0)))</f>
        <v>3</v>
      </c>
      <c r="J146" s="1" t="n">
        <f aca="true">IF(OR($C146="S",$C146=0),0,MATCH(0,OFFSET($D146,1,$C146,ROW($C$205)-ROW($C146)),0))</f>
        <v>0</v>
      </c>
      <c r="K146" s="1" t="n">
        <f aca="true">IF(OR($C146="S",$C146=0),0,MATCH(OFFSET($D146,0,$C146)+IF($C146&lt;&gt;1,1,COUNTIF(QCI!$A$13:$A$15,ORÇAMENTO!E146)),OFFSET($D146,1,$C146,ROW($C$205)-ROW($C146)),0))</f>
        <v>0</v>
      </c>
      <c r="L146" s="199" t="str">
        <f aca="false">IF(OR($X146&gt;0,$C146=1,$C146=2,$C146=3,$C146=4),"F","")</f>
        <v>F</v>
      </c>
      <c r="M146" s="200" t="s">
        <v>735</v>
      </c>
      <c r="N146" s="201" t="str">
        <f aca="false">CHOOSE(1+LOG(1+2*(C146=1)+4*(C146=2)+8*(C146=3)+16*(C146=4)+32*(C146="S"),2),"","Meta","Nível 2","Nível 3","Nível 4","Serviço")</f>
        <v>Serviço</v>
      </c>
      <c r="O146" s="202" t="str">
        <f aca="false">IF(OR($C146=0,$L146=""),"-",CONCATENATE(E146&amp;".",IF(AND($A$5&gt;=2,$C146&gt;=2),F146&amp;".",""),IF(AND($A$5&gt;=3,$C146&gt;=3),G146&amp;".",""),IF(AND($A$5&gt;=4,$C146&gt;=4),H146&amp;".",""),IF($C146="S",I146&amp;".","")))</f>
        <v>1.41.3.</v>
      </c>
      <c r="P146" s="203" t="s">
        <v>780</v>
      </c>
      <c r="Q146" s="204" t="n">
        <v>94490</v>
      </c>
      <c r="R146" s="205" t="str">
        <f aca="false">[2]PO!$D$173</f>
        <v>REGISTRO DE ESFERA, PVC, SOLDÁVEL, COM VOLANTE, DN 32 MM - FORNECIMENTO E INSTALAÇÃO. AF_08/2021</v>
      </c>
      <c r="S146" s="206" t="s">
        <v>666</v>
      </c>
      <c r="T146" s="207" t="n">
        <f aca="true">OFFSET(CÁLCULO!H$15,ROW($T146)-ROW(T$15),0)</f>
        <v>50</v>
      </c>
      <c r="U146" s="208" t="n">
        <v>30.01</v>
      </c>
      <c r="V146" s="209" t="s">
        <v>690</v>
      </c>
      <c r="W146" s="207" t="n">
        <f aca="false">IF($C146="S",ROUND(IF(TIPOORCAMENTO="Proposto",ORÇAMENTO.CustoUnitario*(1+$AH146),ORÇAMENTO.PrecoUnitarioLicitado),15-13*$AF$10),0)</f>
        <v>38.72</v>
      </c>
      <c r="X146" s="210" t="n">
        <f aca="true" t="array" ref="X146:X146">IF($C146="S",IF(OR(Import.TipoArredondamento&lt;&gt;"TransfereGOV",ACOMPANHAMENTO="BM"),VTOTAL1,SUM(OFFSET(CÁLCULO!$AQ$15,ROW($X146)-ROW($X$15),1):OFFSET(CÁLCULO!$BR$15,ROW($X146)-ROW($X$15),-1))),IF($C146=0,0,ROUND(SomaAgrup,15-13*$AF$11)))</f>
        <v>1936</v>
      </c>
      <c r="Y146" s="211" t="s">
        <v>781</v>
      </c>
      <c r="Z146" s="1" t="str">
        <f aca="false">IF(AND($C146="S",$X146&gt;0),IF(ISBLANK($Y146),"RA",LEFT($Y146,2)),"")</f>
        <v>RA</v>
      </c>
      <c r="AA146" s="212" t="n">
        <f aca="true">IF($C146="S",IF($Z146="CP",$X146,IF($Z146="RA",(($X146)*QCI!$AA$3),0)),SomaAgrup)</f>
        <v>214.860235425331</v>
      </c>
      <c r="AB146" s="213" t="n">
        <f aca="true">IF($C146="S",IF($Z146="OU",ROUND($X146,2),0),SomaAgrup)</f>
        <v>0</v>
      </c>
      <c r="AC146" s="214" t="e">
        <f aca="false" t="array" ref="AC146:AC146">IF($N146=""," ",
IF(AND($C146&lt;&gt;"S",OR($R146="",$R146="(digite a descrição aqui)")),"DESCRIÇÃO",
IF(AND($C146="S",OR($Q146&lt;&gt;"",$T146&gt;0,$U146&gt;0),$P146=""),"FONTE",
IF(AND($C146="S",$P146&lt;&gt;"",OR($T146&gt;0,$U146&gt;0),$Q146=""),"CÓDIGO",
IF(AND($C146="S",$P146&lt;&gt;"",$Q146&lt;&gt;"",$R146="(Código não identificado nas referências)"),"CÓDIGO N/ID",
IF(AND($C146="S",OR($R146="",$R146="(digite a descrição aqui)"),OR($Q146&lt;&gt;"",$T146&gt;0,$U146&gt;0)),"DESCRIÇÃO",
IF(AND($C146="S",$P146&lt;&gt;"",$Q146&lt;&gt;"",$S146=""),"UNIDADE",
IF(AND($C146="S",$P146&lt;&gt;"",$Q146&lt;&gt;"",$U146=0),"SEM CUSTO",
IF(AND(_xlfn.single(TIPOORCAMENTO)="Licitado",$AL146=0,$AN146&gt;0),"SEM PREÇO",
IF(AND($C146="S",$P146&lt;&gt;"",$Q146&lt;&gt;"",$U146&gt;0,$V146=0),"BDI",
IF(OR(AND(TIPOORCAMENTO="Proposto",LEFT($O$8,5)&lt;&gt;"(N/D:",$AG146&lt;&gt;"",ORÇAMENTO.CustoUnitario&gt;$AG146),AND(TIPOORCAMENTO="LICITADO",ORÇAMENTO.PrecoUnitarioLicitado&gt;$AN146)),"ACIMA REF.",
IF(AND($C146="S",$P146&lt;&gt;"",$Q146&lt;&gt;"",$T146=0,$U146&gt;0),"QUANT.",
IF(AND(Import.TipoArredondamento="TransfereGOV",$L146="F",$C146="S",LEN($Q146)&gt;13),"Código &gt;13",
IF(AND(Import.TipoArredondamento="TransfereGOV",$L146="F",$C146&lt;&gt;"S",LEN($R146)&gt;100),"Descrição &gt;100",
IF(AND(Import.TipoArredondamento="TransfereGOV",$L146="F",$C146="S",LEN($R146)&gt;500),"Descrição &gt;500",
IF(AND(Import.TipoArredondamento="TransfereGOV",$L146="F",$C146="S",LEFT(TRIM(UPPER($P146)),6)&lt;&gt;"SINAPI",ISNA(VLOOKUP(TRIM(UPPER($S146)),ListaTgov.Unidades,1,FALSE()))),"Unid. Não Disp",
" "))))))))))))))))</f>
        <v>#NAME?</v>
      </c>
      <c r="AD146" s="1" t="str">
        <f aca="true">IF(C146&lt;=CRONO.NivelExibicao,MAX($AD$15:OFFSET(AD146,-1,0))+IF($C146&lt;&gt;1,1,MAX(1,COUNTIF(QCI!$A$13:$A$15,OFFSET($E146,-1,0)))),"")</f>
        <v/>
      </c>
      <c r="AE146" s="50" t="str">
        <f aca="false">IF(AND($C146="S",ORÇAMENTO.CodBarra&lt;&gt;""),IF(ORÇAMENTO.Fonte="",ORÇAMENTO.CodBarra,CONCATENATE(ORÇAMENTO.Fonte," ",ORÇAMENTO.CodBarra)))</f>
        <v>SINAPI 94490</v>
      </c>
      <c r="AF146" s="65" t="str">
        <f aca="true">IF(ISERROR(INDIRECT(ORÇAMENTO.BancoRef)),"(abra o arquivo 'Referência "&amp;Excel_BuiltIn_Database&amp;".xlsm)",IF(OR($C146&lt;&gt;"S",ORÇAMENTO.CodBarra=""),"(Sem Código)",IF(ISERROR(MATCH($AE146,INDIRECT(ORÇAMENTO.BancoRef),0)),"(Código não identificado nas referências)",MATCH($AE146,INDIRECT(ORÇAMENTO.BancoRef),0))))</f>
        <v>(abra o arquivo 'Referência 07-2025.xlsm)</v>
      </c>
      <c r="AG146" s="215" t="n">
        <f aca="true">ROUND(IF(DESONERACAO="sim",REFERENCIA.Desonerado,REFERENCIA.NaoDesonerado),2)</f>
        <v>0</v>
      </c>
      <c r="AH146" s="216" t="n">
        <f aca="false">ROUND(IF(ISNUMBER(ORÇAMENTO.OpcaoBDI),ORÇAMENTO.OpcaoBDI,IF(LEFT(ORÇAMENTO.OpcaoBDI,3)="BDI",HLOOKUP(ORÇAMENTO.OpcaoBDI,$F$4:$H$5,2,FALSE()),0)),15-11*$AF$9)</f>
        <v>0.2904</v>
      </c>
      <c r="AJ146" s="217"/>
      <c r="AL146" s="218"/>
      <c r="AM146" s="219" t="n">
        <f aca="false">$X146</f>
        <v>1936</v>
      </c>
      <c r="AN146" s="220" t="n">
        <f aca="false">ROUND(ORÇAMENTO.CustoUnitario*(1+$AH146),2)</f>
        <v>38.72</v>
      </c>
    </row>
    <row r="147" customFormat="false" ht="23.85" hidden="false" customHeight="false" outlineLevel="0" collapsed="false">
      <c r="A147" s="1" t="str">
        <f aca="false">CHOOSE(1+LOG(1+2*(ORÇAMENTO.Nivel="Meta")+4*(ORÇAMENTO.Nivel="Nível 2")+8*(ORÇAMENTO.Nivel="Nível 3")+16*(ORÇAMENTO.Nivel="Nível 4")+32*(ORÇAMENTO.Nivel="Serviço"),2),0,1,2,3,4,"S")</f>
        <v>S</v>
      </c>
      <c r="B147" s="1" t="n">
        <f aca="true">IF(OR(C147="s",C147=0),OFFSET(B147,-1,0),C147)</f>
        <v>2</v>
      </c>
      <c r="C147" s="1" t="str">
        <f aca="true">IF(OFFSET(C147,-1,0)="L",1,IF(OFFSET(C147,-1,0)=1,2,IF(OR(A147="s",A147=0),"S",IF(AND(OFFSET(C147,-1,0)=2,A147=4),3,IF(AND(OR(OFFSET(C147,-1,0)="s",OFFSET(C147,-1,0)=0),A147&lt;&gt;"s",A147&gt;OFFSET(B147,-1,0)),OFFSET(B147,-1,0),A147)))))</f>
        <v>S</v>
      </c>
      <c r="D147" s="1" t="n">
        <f aca="false">IF(OR(C147="S",C147=0),0,IF(ISERROR(K147),J147,SMALL(J147:K147,1)))</f>
        <v>0</v>
      </c>
      <c r="E147" s="1" t="n">
        <f aca="true">IF($C147=1,OFFSET(E147,-1,0)+MAX(1,COUNTIF(QCI!$A$13:$A$15,OFFSET(ORÇAMENTO!E147,-1,0))),OFFSET(E147,-1,0))</f>
        <v>1</v>
      </c>
      <c r="F147" s="1" t="n">
        <f aca="true">IF($C147=1,0,IF($C147=2,OFFSET(F147,-1,0)+1,OFFSET(F147,-1,0)))</f>
        <v>41</v>
      </c>
      <c r="G147" s="1" t="n">
        <f aca="true">IF(AND($C147&lt;=2,$C147&lt;&gt;0),0,IF($C147=3,OFFSET(G147,-1,0)+1,OFFSET(G147,-1,0)))</f>
        <v>0</v>
      </c>
      <c r="H147" s="1" t="n">
        <f aca="true">IF(AND($C147&lt;=3,$C147&lt;&gt;0),0,IF($C147=4,OFFSET(H147,-1,0)+1,OFFSET(H147,-1,0)))</f>
        <v>0</v>
      </c>
      <c r="I147" s="1" t="n">
        <f aca="true">IF(AND($C147&lt;=4,$C147&lt;&gt;0),0,IF(AND($C147="S",$X147&gt;0),OFFSET(I147,-1,0)+1,OFFSET(I147,-1,0)))</f>
        <v>4</v>
      </c>
      <c r="J147" s="1" t="n">
        <f aca="true">IF(OR($C147="S",$C147=0),0,MATCH(0,OFFSET($D147,1,$C147,ROW($C$205)-ROW($C147)),0))</f>
        <v>0</v>
      </c>
      <c r="K147" s="1" t="n">
        <f aca="true">IF(OR($C147="S",$C147=0),0,MATCH(OFFSET($D147,0,$C147)+IF($C147&lt;&gt;1,1,COUNTIF(QCI!$A$13:$A$15,ORÇAMENTO!E147)),OFFSET($D147,1,$C147,ROW($C$205)-ROW($C147)),0))</f>
        <v>0</v>
      </c>
      <c r="L147" s="199" t="str">
        <f aca="false">IF(OR($X147&gt;0,$C147=1,$C147=2,$C147=3,$C147=4),"F","")</f>
        <v>F</v>
      </c>
      <c r="M147" s="200" t="s">
        <v>735</v>
      </c>
      <c r="N147" s="201" t="str">
        <f aca="false">CHOOSE(1+LOG(1+2*(C147=1)+4*(C147=2)+8*(C147=3)+16*(C147=4)+32*(C147="S"),2),"","Meta","Nível 2","Nível 3","Nível 4","Serviço")</f>
        <v>Serviço</v>
      </c>
      <c r="O147" s="202" t="str">
        <f aca="false">IF(OR($C147=0,$L147=""),"-",CONCATENATE(E147&amp;".",IF(AND($A$5&gt;=2,$C147&gt;=2),F147&amp;".",""),IF(AND($A$5&gt;=3,$C147&gt;=3),G147&amp;".",""),IF(AND($A$5&gt;=4,$C147&gt;=4),H147&amp;".",""),IF($C147="S",I147&amp;".","")))</f>
        <v>1.41.4.</v>
      </c>
      <c r="P147" s="203" t="s">
        <v>780</v>
      </c>
      <c r="Q147" s="204" t="n">
        <v>86885</v>
      </c>
      <c r="R147" s="205" t="str">
        <f aca="false">[2]PO!$D$174</f>
        <v>ENGATE FLEXÍVEL EM PLÁSTICO BRANCO, 1/2" X 40CM - FORNECIMENTO E INSTALAÇÃO. AF_01/2020</v>
      </c>
      <c r="S147" s="206" t="s">
        <v>666</v>
      </c>
      <c r="T147" s="207" t="n">
        <f aca="true">OFFSET(CÁLCULO!H$15,ROW($T147)-ROW(T$15),0)</f>
        <v>100</v>
      </c>
      <c r="U147" s="208" t="n">
        <v>13.11</v>
      </c>
      <c r="V147" s="209" t="s">
        <v>690</v>
      </c>
      <c r="W147" s="207" t="n">
        <f aca="false">IF($C147="S",ROUND(IF(TIPOORCAMENTO="Proposto",ORÇAMENTO.CustoUnitario*(1+$AH147),ORÇAMENTO.PrecoUnitarioLicitado),15-13*$AF$10),0)</f>
        <v>16.92</v>
      </c>
      <c r="X147" s="210" t="n">
        <f aca="true" t="array" ref="X147:X147">IF($C147="S",IF(OR(Import.TipoArredondamento&lt;&gt;"TransfereGOV",ACOMPANHAMENTO="BM"),VTOTAL1,SUM(OFFSET(CÁLCULO!$AQ$15,ROW($X147)-ROW($X$15),1):OFFSET(CÁLCULO!$BR$15,ROW($X147)-ROW($X$15),-1))),IF($C147=0,0,ROUND(SomaAgrup,15-13*$AF$11)))</f>
        <v>1692</v>
      </c>
      <c r="Y147" s="211" t="s">
        <v>781</v>
      </c>
      <c r="Z147" s="1" t="str">
        <f aca="false">IF(AND($C147="S",$X147&gt;0),IF(ISBLANK($Y147),"RA",LEFT($Y147,2)),"")</f>
        <v>RA</v>
      </c>
      <c r="AA147" s="212" t="n">
        <f aca="true">IF($C147="S",IF($Z147="CP",$X147,IF($Z147="RA",(($X147)*QCI!$AA$3),0)),SomaAgrup)</f>
        <v>187.78074294404</v>
      </c>
      <c r="AB147" s="213" t="n">
        <f aca="true">IF($C147="S",IF($Z147="OU",ROUND($X147,2),0),SomaAgrup)</f>
        <v>0</v>
      </c>
      <c r="AC147" s="214" t="e">
        <f aca="false" t="array" ref="AC147:AC147">IF($N147=""," ",
IF(AND($C147&lt;&gt;"S",OR($R147="",$R147="(digite a descrição aqui)")),"DESCRIÇÃO",
IF(AND($C147="S",OR($Q147&lt;&gt;"",$T147&gt;0,$U147&gt;0),$P147=""),"FONTE",
IF(AND($C147="S",$P147&lt;&gt;"",OR($T147&gt;0,$U147&gt;0),$Q147=""),"CÓDIGO",
IF(AND($C147="S",$P147&lt;&gt;"",$Q147&lt;&gt;"",$R147="(Código não identificado nas referências)"),"CÓDIGO N/ID",
IF(AND($C147="S",OR($R147="",$R147="(digite a descrição aqui)"),OR($Q147&lt;&gt;"",$T147&gt;0,$U147&gt;0)),"DESCRIÇÃO",
IF(AND($C147="S",$P147&lt;&gt;"",$Q147&lt;&gt;"",$S147=""),"UNIDADE",
IF(AND($C147="S",$P147&lt;&gt;"",$Q147&lt;&gt;"",$U147=0),"SEM CUSTO",
IF(AND(_xlfn.single(TIPOORCAMENTO)="Licitado",$AL147=0,$AN147&gt;0),"SEM PREÇO",
IF(AND($C147="S",$P147&lt;&gt;"",$Q147&lt;&gt;"",$U147&gt;0,$V147=0),"BDI",
IF(OR(AND(TIPOORCAMENTO="Proposto",LEFT($O$8,5)&lt;&gt;"(N/D:",$AG147&lt;&gt;"",ORÇAMENTO.CustoUnitario&gt;$AG147),AND(TIPOORCAMENTO="LICITADO",ORÇAMENTO.PrecoUnitarioLicitado&gt;$AN147)),"ACIMA REF.",
IF(AND($C147="S",$P147&lt;&gt;"",$Q147&lt;&gt;"",$T147=0,$U147&gt;0),"QUANT.",
IF(AND(Import.TipoArredondamento="TransfereGOV",$L147="F",$C147="S",LEN($Q147)&gt;13),"Código &gt;13",
IF(AND(Import.TipoArredondamento="TransfereGOV",$L147="F",$C147&lt;&gt;"S",LEN($R147)&gt;100),"Descrição &gt;100",
IF(AND(Import.TipoArredondamento="TransfereGOV",$L147="F",$C147="S",LEN($R147)&gt;500),"Descrição &gt;500",
IF(AND(Import.TipoArredondamento="TransfereGOV",$L147="F",$C147="S",LEFT(TRIM(UPPER($P147)),6)&lt;&gt;"SINAPI",ISNA(VLOOKUP(TRIM(UPPER($S147)),ListaTgov.Unidades,1,FALSE()))),"Unid. Não Disp",
" "))))))))))))))))</f>
        <v>#NAME?</v>
      </c>
      <c r="AD147" s="1" t="str">
        <f aca="true">IF(C147&lt;=CRONO.NivelExibicao,MAX($AD$15:OFFSET(AD147,-1,0))+IF($C147&lt;&gt;1,1,MAX(1,COUNTIF(QCI!$A$13:$A$15,OFFSET($E147,-1,0)))),"")</f>
        <v/>
      </c>
      <c r="AE147" s="50" t="str">
        <f aca="false">IF(AND($C147="S",ORÇAMENTO.CodBarra&lt;&gt;""),IF(ORÇAMENTO.Fonte="",ORÇAMENTO.CodBarra,CONCATENATE(ORÇAMENTO.Fonte," ",ORÇAMENTO.CodBarra)))</f>
        <v>SINAPI 86885</v>
      </c>
      <c r="AF147" s="65" t="str">
        <f aca="true">IF(ISERROR(INDIRECT(ORÇAMENTO.BancoRef)),"(abra o arquivo 'Referência "&amp;Excel_BuiltIn_Database&amp;".xlsm)",IF(OR($C147&lt;&gt;"S",ORÇAMENTO.CodBarra=""),"(Sem Código)",IF(ISERROR(MATCH($AE147,INDIRECT(ORÇAMENTO.BancoRef),0)),"(Código não identificado nas referências)",MATCH($AE147,INDIRECT(ORÇAMENTO.BancoRef),0))))</f>
        <v>(abra o arquivo 'Referência 07-2025.xlsm)</v>
      </c>
      <c r="AG147" s="215" t="n">
        <f aca="true">ROUND(IF(DESONERACAO="sim",REFERENCIA.Desonerado,REFERENCIA.NaoDesonerado),2)</f>
        <v>0</v>
      </c>
      <c r="AH147" s="216" t="n">
        <f aca="false">ROUND(IF(ISNUMBER(ORÇAMENTO.OpcaoBDI),ORÇAMENTO.OpcaoBDI,IF(LEFT(ORÇAMENTO.OpcaoBDI,3)="BDI",HLOOKUP(ORÇAMENTO.OpcaoBDI,$F$4:$H$5,2,FALSE()),0)),15-11*$AF$9)</f>
        <v>0.2904</v>
      </c>
      <c r="AJ147" s="217"/>
      <c r="AL147" s="218"/>
      <c r="AM147" s="219" t="n">
        <f aca="false">$X147</f>
        <v>1692</v>
      </c>
      <c r="AN147" s="220" t="n">
        <f aca="false">ROUND(ORÇAMENTO.CustoUnitario*(1+$AH147),2)</f>
        <v>16.92</v>
      </c>
    </row>
    <row r="148" customFormat="false" ht="12.75" hidden="false" customHeight="false" outlineLevel="0" collapsed="false">
      <c r="A148" s="1" t="n">
        <f aca="false">CHOOSE(1+LOG(1+2*(ORÇAMENTO.Nivel="Meta")+4*(ORÇAMENTO.Nivel="Nível 2")+8*(ORÇAMENTO.Nivel="Nível 3")+16*(ORÇAMENTO.Nivel="Nível 4")+32*(ORÇAMENTO.Nivel="Serviço"),2),0,1,2,3,4,"S")</f>
        <v>2</v>
      </c>
      <c r="B148" s="1" t="n">
        <f aca="true">IF(OR(C148="s",C148=0),OFFSET(B148,-1,0),C148)</f>
        <v>2</v>
      </c>
      <c r="C148" s="1" t="n">
        <f aca="true">IF(OFFSET(C148,-1,0)="L",1,IF(OFFSET(C148,-1,0)=1,2,IF(OR(A148="s",A148=0),"S",IF(AND(OFFSET(C148,-1,0)=2,A148=4),3,IF(AND(OR(OFFSET(C148,-1,0)="s",OFFSET(C148,-1,0)=0),A148&lt;&gt;"s",A148&gt;OFFSET(B148,-1,0)),OFFSET(B148,-1,0),A148)))))</f>
        <v>2</v>
      </c>
      <c r="D148" s="1" t="n">
        <f aca="false">IF(OR(C148="S",C148=0),0,IF(ISERROR(K148),J148,SMALL(J148:K148,1)))</f>
        <v>8</v>
      </c>
      <c r="E148" s="1" t="n">
        <f aca="true">IF($C148=1,OFFSET(E148,-1,0)+MAX(1,COUNTIF(QCI!$A$13:$A$15,OFFSET(ORÇAMENTO!E148,-1,0))),OFFSET(E148,-1,0))</f>
        <v>1</v>
      </c>
      <c r="F148" s="1" t="n">
        <f aca="true">IF($C148=1,0,IF($C148=2,OFFSET(F148,-1,0)+1,OFFSET(F148,-1,0)))</f>
        <v>42</v>
      </c>
      <c r="G148" s="1" t="n">
        <f aca="true">IF(AND($C148&lt;=2,$C148&lt;&gt;0),0,IF($C148=3,OFFSET(G148,-1,0)+1,OFFSET(G148,-1,0)))</f>
        <v>0</v>
      </c>
      <c r="H148" s="1" t="n">
        <f aca="true">IF(AND($C148&lt;=3,$C148&lt;&gt;0),0,IF($C148=4,OFFSET(H148,-1,0)+1,OFFSET(H148,-1,0)))</f>
        <v>0</v>
      </c>
      <c r="I148" s="1" t="n">
        <f aca="true">IF(AND($C148&lt;=4,$C148&lt;&gt;0),0,IF(AND($C148="S",$X148&gt;0),OFFSET(I148,-1,0)+1,OFFSET(I148,-1,0)))</f>
        <v>0</v>
      </c>
      <c r="J148" s="1" t="n">
        <f aca="true">IF(OR($C148="S",$C148=0),0,MATCH(0,OFFSET($D148,1,$C148,ROW($C$205)-ROW($C148)),0))</f>
        <v>57</v>
      </c>
      <c r="K148" s="1" t="n">
        <f aca="true">IF(OR($C148="S",$C148=0),0,MATCH(OFFSET($D148,0,$C148)+IF($C148&lt;&gt;1,1,COUNTIF(QCI!$A$13:$A$15,ORÇAMENTO!E148)),OFFSET($D148,1,$C148,ROW($C$205)-ROW($C148)),0))</f>
        <v>8</v>
      </c>
      <c r="L148" s="199" t="str">
        <f aca="false">IF(OR($X148&gt;0,$C148=1,$C148=2,$C148=3,$C148=4),"F","")</f>
        <v>F</v>
      </c>
      <c r="M148" s="200" t="s">
        <v>732</v>
      </c>
      <c r="N148" s="201" t="str">
        <f aca="false">CHOOSE(1+LOG(1+2*(C148=1)+4*(C148=2)+8*(C148=3)+16*(C148=4)+32*(C148="S"),2),"","Meta","Nível 2","Nível 3","Nível 4","Serviço")</f>
        <v>Nível 2</v>
      </c>
      <c r="O148" s="202" t="str">
        <f aca="false">IF(OR($C148=0,$L148=""),"-",CONCATENATE(E148&amp;".",IF(AND($A$5&gt;=2,$C148&gt;=2),F148&amp;".",""),IF(AND($A$5&gt;=3,$C148&gt;=3),G148&amp;".",""),IF(AND($A$5&gt;=4,$C148&gt;=4),H148&amp;".",""),IF($C148="S",I148&amp;".","")))</f>
        <v>1.42.</v>
      </c>
      <c r="P148" s="203" t="s">
        <v>780</v>
      </c>
      <c r="Q148" s="204"/>
      <c r="R148" s="205" t="str">
        <f aca="false">[4]PO!$B$175</f>
        <v>ENTRADA / ALIMENTAÇÃO</v>
      </c>
      <c r="S148" s="206" t="str">
        <f aca="true">REFERENCIA.Unidade</f>
        <v>-</v>
      </c>
      <c r="T148" s="207" t="n">
        <f aca="true">OFFSET(CÁLCULO!H$15,ROW($T148)-ROW(T$15),0)</f>
        <v>0</v>
      </c>
      <c r="U148" s="208"/>
      <c r="V148" s="209" t="s">
        <v>690</v>
      </c>
      <c r="W148" s="207" t="n">
        <f aca="false">IF($C148="S",ROUND(IF(TIPOORCAMENTO="Proposto",ORÇAMENTO.CustoUnitario*(1+$AH148),ORÇAMENTO.PrecoUnitarioLicitado),15-13*$AF$10),0)</f>
        <v>0</v>
      </c>
      <c r="X148" s="210" t="n">
        <f aca="true" t="array" ref="X148:X148">IF($C148="S",IF(OR(Import.TipoArredondamento&lt;&gt;"TransfereGOV",ACOMPANHAMENTO="BM"),VTOTAL1,SUM(OFFSET(CÁLCULO!$AQ$15,ROW($X148)-ROW($X$15),1):OFFSET(CÁLCULO!$BR$15,ROW($X148)-ROW($X$15),-1))),IF($C148=0,0,ROUND(SomaAgrup,15-13*$AF$11)))</f>
        <v>17152</v>
      </c>
      <c r="Y148" s="211" t="s">
        <v>781</v>
      </c>
      <c r="Z148" s="1" t="str">
        <f aca="false">IF(AND($C148="S",$X148&gt;0),IF(ISBLANK($Y148),"RA",LEFT($Y148,2)),"")</f>
        <v/>
      </c>
      <c r="AA148" s="212" t="n">
        <f aca="true">IF($C148="S",IF($Z148="CP",$X148,IF($Z148="RA",(($X148)*QCI!$AA$3),0)),SomaAgrup)</f>
        <v>1903.55514360294</v>
      </c>
      <c r="AB148" s="213" t="n">
        <f aca="true">IF($C148="S",IF($Z148="OU",ROUND($X148,2),0),SomaAgrup)</f>
        <v>0</v>
      </c>
      <c r="AC148" s="214" t="e">
        <f aca="false" t="array" ref="AC148:AC148">IF($N148=""," ",
IF(AND($C148&lt;&gt;"S",OR($R148="",$R148="(digite a descrição aqui)")),"DESCRIÇÃO",
IF(AND($C148="S",OR($Q148&lt;&gt;"",$T148&gt;0,$U148&gt;0),$P148=""),"FONTE",
IF(AND($C148="S",$P148&lt;&gt;"",OR($T148&gt;0,$U148&gt;0),$Q148=""),"CÓDIGO",
IF(AND($C148="S",$P148&lt;&gt;"",$Q148&lt;&gt;"",$R148="(Código não identificado nas referências)"),"CÓDIGO N/ID",
IF(AND($C148="S",OR($R148="",$R148="(digite a descrição aqui)"),OR($Q148&lt;&gt;"",$T148&gt;0,$U148&gt;0)),"DESCRIÇÃO",
IF(AND($C148="S",$P148&lt;&gt;"",$Q148&lt;&gt;"",$S148=""),"UNIDADE",
IF(AND($C148="S",$P148&lt;&gt;"",$Q148&lt;&gt;"",$U148=0),"SEM CUSTO",
IF(AND(_xlfn.single(TIPOORCAMENTO)="Licitado",$AL148=0,$AN148&gt;0),"SEM PREÇO",
IF(AND($C148="S",$P148&lt;&gt;"",$Q148&lt;&gt;"",$U148&gt;0,$V148=0),"BDI",
IF(OR(AND(TIPOORCAMENTO="Proposto",LEFT($O$8,5)&lt;&gt;"(N/D:",$AG148&lt;&gt;"",ORÇAMENTO.CustoUnitario&gt;$AG148),AND(TIPOORCAMENTO="LICITADO",ORÇAMENTO.PrecoUnitarioLicitado&gt;$AN148)),"ACIMA REF.",
IF(AND($C148="S",$P148&lt;&gt;"",$Q148&lt;&gt;"",$T148=0,$U148&gt;0),"QUANT.",
IF(AND(Import.TipoArredondamento="TransfereGOV",$L148="F",$C148="S",LEN($Q148)&gt;13),"Código &gt;13",
IF(AND(Import.TipoArredondamento="TransfereGOV",$L148="F",$C148&lt;&gt;"S",LEN($R148)&gt;100),"Descrição &gt;100",
IF(AND(Import.TipoArredondamento="TransfereGOV",$L148="F",$C148="S",LEN($R148)&gt;500),"Descrição &gt;500",
IF(AND(Import.TipoArredondamento="TransfereGOV",$L148="F",$C148="S",LEFT(TRIM(UPPER($P148)),6)&lt;&gt;"SINAPI",ISNA(VLOOKUP(TRIM(UPPER($S148)),ListaTgov.Unidades,1,FALSE()))),"Unid. Não Disp",
" "))))))))))))))))</f>
        <v>#NAME?</v>
      </c>
      <c r="AD148" s="38" t="n">
        <f aca="true">IF(C148&lt;=CRONO.NivelExibicao,MAX($AD$15:OFFSET(AD148,-1,0))+IF($C148&lt;&gt;1,1,MAX(1,COUNTIF(QCI!$A$13:$A$15,OFFSET($E148,-1,0)))),"")</f>
        <v>43</v>
      </c>
      <c r="AE148" s="50" t="b">
        <f aca="false">IF(AND($C148="S",ORÇAMENTO.CodBarra&lt;&gt;""),IF(ORÇAMENTO.Fonte="",ORÇAMENTO.CodBarra,CONCATENATE(ORÇAMENTO.Fonte," ",ORÇAMENTO.CodBarra)))</f>
        <v>0</v>
      </c>
      <c r="AF148" s="65" t="str">
        <f aca="true">IF(ISERROR(INDIRECT(ORÇAMENTO.BancoRef)),"(abra o arquivo 'Referência "&amp;Excel_BuiltIn_Database&amp;".xlsm)",IF(OR($C148&lt;&gt;"S",ORÇAMENTO.CodBarra=""),"(Sem Código)",IF(ISERROR(MATCH($AE148,INDIRECT(ORÇAMENTO.BancoRef),0)),"(Código não identificado nas referências)",MATCH($AE148,INDIRECT(ORÇAMENTO.BancoRef),0))))</f>
        <v>(abra o arquivo 'Referência 07-2025.xlsm)</v>
      </c>
      <c r="AG148" s="215" t="n">
        <f aca="true">ROUND(IF(DESONERACAO="sim",REFERENCIA.Desonerado,REFERENCIA.NaoDesonerado),2)</f>
        <v>0</v>
      </c>
      <c r="AH148" s="216" t="n">
        <f aca="false">ROUND(IF(ISNUMBER(ORÇAMENTO.OpcaoBDI),ORÇAMENTO.OpcaoBDI,IF(LEFT(ORÇAMENTO.OpcaoBDI,3)="BDI",HLOOKUP(ORÇAMENTO.OpcaoBDI,$F$4:$H$5,2,FALSE()),0)),15-11*$AF$9)</f>
        <v>0.2904</v>
      </c>
      <c r="AJ148" s="217"/>
      <c r="AL148" s="218"/>
      <c r="AM148" s="219" t="n">
        <f aca="false">$X148</f>
        <v>17152</v>
      </c>
      <c r="AN148" s="220" t="n">
        <f aca="false">ROUND(ORÇAMENTO.CustoUnitario*(1+$AH148),2)</f>
        <v>0</v>
      </c>
    </row>
    <row r="149" customFormat="false" ht="35.05" hidden="false" customHeight="false" outlineLevel="0" collapsed="false">
      <c r="A149" s="1" t="str">
        <f aca="false">CHOOSE(1+LOG(1+2*(ORÇAMENTO.Nivel="Meta")+4*(ORÇAMENTO.Nivel="Nível 2")+8*(ORÇAMENTO.Nivel="Nível 3")+16*(ORÇAMENTO.Nivel="Nível 4")+32*(ORÇAMENTO.Nivel="Serviço"),2),0,1,2,3,4,"S")</f>
        <v>S</v>
      </c>
      <c r="B149" s="1" t="n">
        <f aca="true">IF(OR(C149="s",C149=0),OFFSET(B149,-1,0),C149)</f>
        <v>2</v>
      </c>
      <c r="C149" s="1" t="str">
        <f aca="true">IF(OFFSET(C149,-1,0)="L",1,IF(OFFSET(C149,-1,0)=1,2,IF(OR(A149="s",A149=0),"S",IF(AND(OFFSET(C149,-1,0)=2,A149=4),3,IF(AND(OR(OFFSET(C149,-1,0)="s",OFFSET(C149,-1,0)=0),A149&lt;&gt;"s",A149&gt;OFFSET(B149,-1,0)),OFFSET(B149,-1,0),A149)))))</f>
        <v>S</v>
      </c>
      <c r="D149" s="1" t="n">
        <f aca="false">IF(OR(C149="S",C149=0),0,IF(ISERROR(K149),J149,SMALL(J149:K149,1)))</f>
        <v>0</v>
      </c>
      <c r="E149" s="1" t="n">
        <f aca="true">IF($C149=1,OFFSET(E149,-1,0)+MAX(1,COUNTIF(QCI!$A$13:$A$15,OFFSET(ORÇAMENTO!E149,-1,0))),OFFSET(E149,-1,0))</f>
        <v>1</v>
      </c>
      <c r="F149" s="1" t="n">
        <f aca="true">IF($C149=1,0,IF($C149=2,OFFSET(F149,-1,0)+1,OFFSET(F149,-1,0)))</f>
        <v>42</v>
      </c>
      <c r="G149" s="1" t="n">
        <f aca="true">IF(AND($C149&lt;=2,$C149&lt;&gt;0),0,IF($C149=3,OFFSET(G149,-1,0)+1,OFFSET(G149,-1,0)))</f>
        <v>0</v>
      </c>
      <c r="H149" s="1" t="n">
        <f aca="true">IF(AND($C149&lt;=3,$C149&lt;&gt;0),0,IF($C149=4,OFFSET(H149,-1,0)+1,OFFSET(H149,-1,0)))</f>
        <v>0</v>
      </c>
      <c r="I149" s="1" t="n">
        <f aca="true">IF(AND($C149&lt;=4,$C149&lt;&gt;0),0,IF(AND($C149="S",$X149&gt;0),OFFSET(I149,-1,0)+1,OFFSET(I149,-1,0)))</f>
        <v>1</v>
      </c>
      <c r="J149" s="1" t="n">
        <f aca="true">IF(OR($C149="S",$C149=0),0,MATCH(0,OFFSET($D149,1,$C149,ROW($C$205)-ROW($C149)),0))</f>
        <v>0</v>
      </c>
      <c r="K149" s="1" t="n">
        <f aca="true">IF(OR($C149="S",$C149=0),0,MATCH(OFFSET($D149,0,$C149)+IF($C149&lt;&gt;1,1,COUNTIF(QCI!$A$13:$A$15,ORÇAMENTO!E149)),OFFSET($D149,1,$C149,ROW($C$205)-ROW($C149)),0))</f>
        <v>0</v>
      </c>
      <c r="L149" s="199" t="str">
        <f aca="false">IF(OR($X149&gt;0,$C149=1,$C149=2,$C149=3,$C149=4),"F","")</f>
        <v>F</v>
      </c>
      <c r="M149" s="200" t="s">
        <v>735</v>
      </c>
      <c r="N149" s="201" t="str">
        <f aca="false">CHOOSE(1+LOG(1+2*(C149=1)+4*(C149=2)+8*(C149=3)+16*(C149=4)+32*(C149="S"),2),"","Meta","Nível 2","Nível 3","Nível 4","Serviço")</f>
        <v>Serviço</v>
      </c>
      <c r="O149" s="202" t="str">
        <f aca="false">IF(OR($C149=0,$L149=""),"-",CONCATENATE(E149&amp;".",IF(AND($A$5&gt;=2,$C149&gt;=2),F149&amp;".",""),IF(AND($A$5&gt;=3,$C149&gt;=3),G149&amp;".",""),IF(AND($A$5&gt;=4,$C149&gt;=4),H149&amp;".",""),IF($C149="S",I149&amp;".","")))</f>
        <v>1.42.1.</v>
      </c>
      <c r="P149" s="203" t="s">
        <v>780</v>
      </c>
      <c r="Q149" s="204" t="n">
        <v>97741</v>
      </c>
      <c r="R149" s="205" t="str">
        <f aca="false">[4]PO!$D$176</f>
        <v>KIT CAVALETE PARA MEDIÇÃO DE ÁGUA - ENTRADA INDIVIDUALIZADA, EM PVC 25 MM (3/4"), PARA 1 MEDIDOR - FORNECIMENTO E INSTALAÇÃO (EXCLUSIVE HIDRÔMETRO). AF_03/2024</v>
      </c>
      <c r="S149" s="206" t="s">
        <v>666</v>
      </c>
      <c r="T149" s="207" t="n">
        <f aca="true">OFFSET(CÁLCULO!H$15,ROW($T149)-ROW(T$15),0)</f>
        <v>25</v>
      </c>
      <c r="U149" s="208" t="n">
        <f aca="false">[2]PO!$G$176</f>
        <v>188.03</v>
      </c>
      <c r="V149" s="209" t="s">
        <v>690</v>
      </c>
      <c r="W149" s="207" t="n">
        <f aca="false">IF($C149="S",ROUND(IF(TIPOORCAMENTO="Proposto",ORÇAMENTO.CustoUnitario*(1+$AH149),ORÇAMENTO.PrecoUnitarioLicitado),15-13*$AF$10),0)</f>
        <v>242.63</v>
      </c>
      <c r="X149" s="210" t="n">
        <f aca="true" t="array" ref="X149:X149">IF($C149="S",IF(OR(Import.TipoArredondamento&lt;&gt;"TransfereGOV",ACOMPANHAMENTO="BM"),VTOTAL1,SUM(OFFSET(CÁLCULO!$AQ$15,ROW($X149)-ROW($X$15),1):OFFSET(CÁLCULO!$BR$15,ROW($X149)-ROW($X$15),-1))),IF($C149=0,0,ROUND(SomaAgrup,15-13*$AF$11)))</f>
        <v>6065.75</v>
      </c>
      <c r="Y149" s="211" t="s">
        <v>781</v>
      </c>
      <c r="Z149" s="1" t="str">
        <f aca="false">IF(AND($C149="S",$X149&gt;0),IF(ISBLANK($Y149),"RA",LEFT($Y149,2)),"")</f>
        <v>RA</v>
      </c>
      <c r="AA149" s="212" t="n">
        <f aca="true">IF($C149="S",IF($Z149="CP",$X149,IF($Z149="RA",(($X149)*QCI!$AA$3),0)),SomaAgrup)</f>
        <v>673.186194747522</v>
      </c>
      <c r="AB149" s="213" t="n">
        <f aca="true">IF($C149="S",IF($Z149="OU",ROUND($X149,2),0),SomaAgrup)</f>
        <v>0</v>
      </c>
      <c r="AC149" s="214" t="e">
        <f aca="false" t="array" ref="AC149:AC149">IF($N149=""," ",
IF(AND($C149&lt;&gt;"S",OR($R149="",$R149="(digite a descrição aqui)")),"DESCRIÇÃO",
IF(AND($C149="S",OR($Q149&lt;&gt;"",$T149&gt;0,$U149&gt;0),$P149=""),"FONTE",
IF(AND($C149="S",$P149&lt;&gt;"",OR($T149&gt;0,$U149&gt;0),$Q149=""),"CÓDIGO",
IF(AND($C149="S",$P149&lt;&gt;"",$Q149&lt;&gt;"",$R149="(Código não identificado nas referências)"),"CÓDIGO N/ID",
IF(AND($C149="S",OR($R149="",$R149="(digite a descrição aqui)"),OR($Q149&lt;&gt;"",$T149&gt;0,$U149&gt;0)),"DESCRIÇÃO",
IF(AND($C149="S",$P149&lt;&gt;"",$Q149&lt;&gt;"",$S149=""),"UNIDADE",
IF(AND($C149="S",$P149&lt;&gt;"",$Q149&lt;&gt;"",$U149=0),"SEM CUSTO",
IF(AND(_xlfn.single(TIPOORCAMENTO)="Licitado",$AL149=0,$AN149&gt;0),"SEM PREÇO",
IF(AND($C149="S",$P149&lt;&gt;"",$Q149&lt;&gt;"",$U149&gt;0,$V149=0),"BDI",
IF(OR(AND(TIPOORCAMENTO="Proposto",LEFT($O$8,5)&lt;&gt;"(N/D:",$AG149&lt;&gt;"",ORÇAMENTO.CustoUnitario&gt;$AG149),AND(TIPOORCAMENTO="LICITADO",ORÇAMENTO.PrecoUnitarioLicitado&gt;$AN149)),"ACIMA REF.",
IF(AND($C149="S",$P149&lt;&gt;"",$Q149&lt;&gt;"",$T149=0,$U149&gt;0),"QUANT.",
IF(AND(Import.TipoArredondamento="TransfereGOV",$L149="F",$C149="S",LEN($Q149)&gt;13),"Código &gt;13",
IF(AND(Import.TipoArredondamento="TransfereGOV",$L149="F",$C149&lt;&gt;"S",LEN($R149)&gt;100),"Descrição &gt;100",
IF(AND(Import.TipoArredondamento="TransfereGOV",$L149="F",$C149="S",LEN($R149)&gt;500),"Descrição &gt;500",
IF(AND(Import.TipoArredondamento="TransfereGOV",$L149="F",$C149="S",LEFT(TRIM(UPPER($P149)),6)&lt;&gt;"SINAPI",ISNA(VLOOKUP(TRIM(UPPER($S149)),ListaTgov.Unidades,1,FALSE()))),"Unid. Não Disp",
" "))))))))))))))))</f>
        <v>#NAME?</v>
      </c>
      <c r="AD149" s="1" t="str">
        <f aca="true">IF(C149&lt;=CRONO.NivelExibicao,MAX($AD$15:OFFSET(AD149,-1,0))+IF($C149&lt;&gt;1,1,MAX(1,COUNTIF(QCI!$A$13:$A$15,OFFSET($E149,-1,0)))),"")</f>
        <v/>
      </c>
      <c r="AE149" s="50" t="str">
        <f aca="false">IF(AND($C149="S",ORÇAMENTO.CodBarra&lt;&gt;""),IF(ORÇAMENTO.Fonte="",ORÇAMENTO.CodBarra,CONCATENATE(ORÇAMENTO.Fonte," ",ORÇAMENTO.CodBarra)))</f>
        <v>SINAPI 97741</v>
      </c>
      <c r="AF149" s="65" t="str">
        <f aca="true">IF(ISERROR(INDIRECT(ORÇAMENTO.BancoRef)),"(abra o arquivo 'Referência "&amp;Excel_BuiltIn_Database&amp;".xlsm)",IF(OR($C149&lt;&gt;"S",ORÇAMENTO.CodBarra=""),"(Sem Código)",IF(ISERROR(MATCH($AE149,INDIRECT(ORÇAMENTO.BancoRef),0)),"(Código não identificado nas referências)",MATCH($AE149,INDIRECT(ORÇAMENTO.BancoRef),0))))</f>
        <v>(abra o arquivo 'Referência 07-2025.xlsm)</v>
      </c>
      <c r="AG149" s="215" t="n">
        <f aca="true">ROUND(IF(DESONERACAO="sim",REFERENCIA.Desonerado,REFERENCIA.NaoDesonerado),2)</f>
        <v>0</v>
      </c>
      <c r="AH149" s="216" t="n">
        <f aca="false">ROUND(IF(ISNUMBER(ORÇAMENTO.OpcaoBDI),ORÇAMENTO.OpcaoBDI,IF(LEFT(ORÇAMENTO.OpcaoBDI,3)="BDI",HLOOKUP(ORÇAMENTO.OpcaoBDI,$F$4:$H$5,2,FALSE()),0)),15-11*$AF$9)</f>
        <v>0.2904</v>
      </c>
      <c r="AJ149" s="217"/>
      <c r="AL149" s="218"/>
      <c r="AM149" s="219" t="n">
        <f aca="false">$X149</f>
        <v>6065.75</v>
      </c>
      <c r="AN149" s="220" t="n">
        <f aca="false">ROUND(ORÇAMENTO.CustoUnitario*(1+$AH149),2)</f>
        <v>242.63</v>
      </c>
    </row>
    <row r="150" customFormat="false" ht="35.05" hidden="false" customHeight="false" outlineLevel="0" collapsed="false">
      <c r="A150" s="1" t="str">
        <f aca="false">CHOOSE(1+LOG(1+2*(ORÇAMENTO.Nivel="Meta")+4*(ORÇAMENTO.Nivel="Nível 2")+8*(ORÇAMENTO.Nivel="Nível 3")+16*(ORÇAMENTO.Nivel="Nível 4")+32*(ORÇAMENTO.Nivel="Serviço"),2),0,1,2,3,4,"S")</f>
        <v>S</v>
      </c>
      <c r="B150" s="1" t="n">
        <f aca="true">IF(OR(C150="s",C150=0),OFFSET(B150,-1,0),C150)</f>
        <v>2</v>
      </c>
      <c r="C150" s="1" t="str">
        <f aca="true">IF(OFFSET(C150,-1,0)="L",1,IF(OFFSET(C150,-1,0)=1,2,IF(OR(A150="s",A150=0),"S",IF(AND(OFFSET(C150,-1,0)=2,A150=4),3,IF(AND(OR(OFFSET(C150,-1,0)="s",OFFSET(C150,-1,0)=0),A150&lt;&gt;"s",A150&gt;OFFSET(B150,-1,0)),OFFSET(B150,-1,0),A150)))))</f>
        <v>S</v>
      </c>
      <c r="D150" s="1" t="n">
        <f aca="false">IF(OR(C150="S",C150=0),0,IF(ISERROR(K150),J150,SMALL(J150:K150,1)))</f>
        <v>0</v>
      </c>
      <c r="E150" s="1" t="n">
        <f aca="true">IF($C150=1,OFFSET(E150,-1,0)+MAX(1,COUNTIF(QCI!$A$13:$A$15,OFFSET(ORÇAMENTO!E150,-1,0))),OFFSET(E150,-1,0))</f>
        <v>1</v>
      </c>
      <c r="F150" s="1" t="n">
        <f aca="true">IF($C150=1,0,IF($C150=2,OFFSET(F150,-1,0)+1,OFFSET(F150,-1,0)))</f>
        <v>42</v>
      </c>
      <c r="G150" s="1" t="n">
        <f aca="true">IF(AND($C150&lt;=2,$C150&lt;&gt;0),0,IF($C150=3,OFFSET(G150,-1,0)+1,OFFSET(G150,-1,0)))</f>
        <v>0</v>
      </c>
      <c r="H150" s="1" t="n">
        <f aca="true">IF(AND($C150&lt;=3,$C150&lt;&gt;0),0,IF($C150=4,OFFSET(H150,-1,0)+1,OFFSET(H150,-1,0)))</f>
        <v>0</v>
      </c>
      <c r="I150" s="1" t="n">
        <f aca="true">IF(AND($C150&lt;=4,$C150&lt;&gt;0),0,IF(AND($C150="S",$X150&gt;0),OFFSET(I150,-1,0)+1,OFFSET(I150,-1,0)))</f>
        <v>2</v>
      </c>
      <c r="J150" s="1" t="n">
        <f aca="true">IF(OR($C150="S",$C150=0),0,MATCH(0,OFFSET($D150,1,$C150,ROW($C$205)-ROW($C150)),0))</f>
        <v>0</v>
      </c>
      <c r="K150" s="1" t="n">
        <f aca="true">IF(OR($C150="S",$C150=0),0,MATCH(OFFSET($D150,0,$C150)+IF($C150&lt;&gt;1,1,COUNTIF(QCI!$A$13:$A$15,ORÇAMENTO!E150)),OFFSET($D150,1,$C150,ROW($C$205)-ROW($C150)),0))</f>
        <v>0</v>
      </c>
      <c r="L150" s="199" t="str">
        <f aca="false">IF(OR($X150&gt;0,$C150=1,$C150=2,$C150=3,$C150=4),"F","")</f>
        <v>F</v>
      </c>
      <c r="M150" s="200" t="s">
        <v>735</v>
      </c>
      <c r="N150" s="201" t="str">
        <f aca="false">CHOOSE(1+LOG(1+2*(C150=1)+4*(C150=2)+8*(C150=3)+16*(C150=4)+32*(C150="S"),2),"","Meta","Nível 2","Nível 3","Nível 4","Serviço")</f>
        <v>Serviço</v>
      </c>
      <c r="O150" s="202" t="str">
        <f aca="false">IF(OR($C150=0,$L150=""),"-",CONCATENATE(E150&amp;".",IF(AND($A$5&gt;=2,$C150&gt;=2),F150&amp;".",""),IF(AND($A$5&gt;=3,$C150&gt;=3),G150&amp;".",""),IF(AND($A$5&gt;=4,$C150&gt;=4),H150&amp;".",""),IF($C150="S",I150&amp;".","")))</f>
        <v>1.42.2.</v>
      </c>
      <c r="P150" s="203" t="s">
        <v>780</v>
      </c>
      <c r="Q150" s="204" t="s">
        <v>860</v>
      </c>
      <c r="R150" s="205" t="str">
        <f aca="false">[4]PO!$D$177</f>
        <v>CAIXA DE EMBUTIR EM POLICARBONATO PARA ABRIGO DE HIDRÔMETRO - FORNECIMENTO E INSTALAÇÃO (EXCLUSIVE HIDRÔMETRO).</v>
      </c>
      <c r="S150" s="206" t="s">
        <v>666</v>
      </c>
      <c r="T150" s="207" t="n">
        <f aca="true">OFFSET(CÁLCULO!H$15,ROW($T150)-ROW(T$15),0)</f>
        <v>25</v>
      </c>
      <c r="U150" s="208" t="n">
        <f aca="false">[2]PO!$G$177</f>
        <v>154.05</v>
      </c>
      <c r="V150" s="209" t="s">
        <v>690</v>
      </c>
      <c r="W150" s="207" t="n">
        <f aca="false">IF($C150="S",ROUND(IF(TIPOORCAMENTO="Proposto",ORÇAMENTO.CustoUnitario*(1+$AH150),ORÇAMENTO.PrecoUnitarioLicitado),15-13*$AF$10),0)</f>
        <v>198.79</v>
      </c>
      <c r="X150" s="210" t="n">
        <f aca="true" t="array" ref="X150:X150">IF($C150="S",IF(OR(Import.TipoArredondamento&lt;&gt;"TransfereGOV",ACOMPANHAMENTO="BM"),VTOTAL1,SUM(OFFSET(CÁLCULO!$AQ$15,ROW($X150)-ROW($X$15),1):OFFSET(CÁLCULO!$BR$15,ROW($X150)-ROW($X$15),-1))),IF($C150=0,0,ROUND(SomaAgrup,15-13*$AF$11)))</f>
        <v>4969.75</v>
      </c>
      <c r="Y150" s="211" t="s">
        <v>781</v>
      </c>
      <c r="Z150" s="1" t="str">
        <f aca="false">IF(AND($C150="S",$X150&gt;0),IF(ISBLANK($Y150),"RA",LEFT($Y150,2)),"")</f>
        <v>RA</v>
      </c>
      <c r="AA150" s="212" t="n">
        <f aca="true">IF($C150="S",IF($Z150="CP",$X150,IF($Z150="RA",(($X150)*QCI!$AA$3),0)),SomaAgrup)</f>
        <v>551.550441634835</v>
      </c>
      <c r="AB150" s="213" t="n">
        <f aca="true">IF($C150="S",IF($Z150="OU",ROUND($X150,2),0),SomaAgrup)</f>
        <v>0</v>
      </c>
      <c r="AC150" s="214" t="e">
        <f aca="false" t="array" ref="AC150:AC150">IF($N150=""," ",
IF(AND($C150&lt;&gt;"S",OR($R150="",$R150="(digite a descrição aqui)")),"DESCRIÇÃO",
IF(AND($C150="S",OR($Q150&lt;&gt;"",$T150&gt;0,$U150&gt;0),$P150=""),"FONTE",
IF(AND($C150="S",$P150&lt;&gt;"",OR($T150&gt;0,$U150&gt;0),$Q150=""),"CÓDIGO",
IF(AND($C150="S",$P150&lt;&gt;"",$Q150&lt;&gt;"",$R150="(Código não identificado nas referências)"),"CÓDIGO N/ID",
IF(AND($C150="S",OR($R150="",$R150="(digite a descrição aqui)"),OR($Q150&lt;&gt;"",$T150&gt;0,$U150&gt;0)),"DESCRIÇÃO",
IF(AND($C150="S",$P150&lt;&gt;"",$Q150&lt;&gt;"",$S150=""),"UNIDADE",
IF(AND($C150="S",$P150&lt;&gt;"",$Q150&lt;&gt;"",$U150=0),"SEM CUSTO",
IF(AND(_xlfn.single(TIPOORCAMENTO)="Licitado",$AL150=0,$AN150&gt;0),"SEM PREÇO",
IF(AND($C150="S",$P150&lt;&gt;"",$Q150&lt;&gt;"",$U150&gt;0,$V150=0),"BDI",
IF(OR(AND(TIPOORCAMENTO="Proposto",LEFT($O$8,5)&lt;&gt;"(N/D:",$AG150&lt;&gt;"",ORÇAMENTO.CustoUnitario&gt;$AG150),AND(TIPOORCAMENTO="LICITADO",ORÇAMENTO.PrecoUnitarioLicitado&gt;$AN150)),"ACIMA REF.",
IF(AND($C150="S",$P150&lt;&gt;"",$Q150&lt;&gt;"",$T150=0,$U150&gt;0),"QUANT.",
IF(AND(Import.TipoArredondamento="TransfereGOV",$L150="F",$C150="S",LEN($Q150)&gt;13),"Código &gt;13",
IF(AND(Import.TipoArredondamento="TransfereGOV",$L150="F",$C150&lt;&gt;"S",LEN($R150)&gt;100),"Descrição &gt;100",
IF(AND(Import.TipoArredondamento="TransfereGOV",$L150="F",$C150="S",LEN($R150)&gt;500),"Descrição &gt;500",
IF(AND(Import.TipoArredondamento="TransfereGOV",$L150="F",$C150="S",LEFT(TRIM(UPPER($P150)),6)&lt;&gt;"SINAPI",ISNA(VLOOKUP(TRIM(UPPER($S150)),ListaTgov.Unidades,1,FALSE()))),"Unid. Não Disp",
" "))))))))))))))))</f>
        <v>#NAME?</v>
      </c>
      <c r="AD150" s="1" t="str">
        <f aca="true">IF(C150&lt;=CRONO.NivelExibicao,MAX($AD$15:OFFSET(AD150,-1,0))+IF($C150&lt;&gt;1,1,MAX(1,COUNTIF(QCI!$A$13:$A$15,OFFSET($E150,-1,0)))),"")</f>
        <v/>
      </c>
      <c r="AE150" s="50" t="str">
        <f aca="false">IF(AND($C150="S",ORÇAMENTO.CodBarra&lt;&gt;""),IF(ORÇAMENTO.Fonte="",ORÇAMENTO.CodBarra,CONCATENATE(ORÇAMENTO.Fonte," ",ORÇAMENTO.CodBarra)))</f>
        <v>SINAPI 104994_ADP-01</v>
      </c>
      <c r="AF150" s="65" t="str">
        <f aca="true">IF(ISERROR(INDIRECT(ORÇAMENTO.BancoRef)),"(abra o arquivo 'Referência "&amp;Excel_BuiltIn_Database&amp;".xlsm)",IF(OR($C150&lt;&gt;"S",ORÇAMENTO.CodBarra=""),"(Sem Código)",IF(ISERROR(MATCH($AE150,INDIRECT(ORÇAMENTO.BancoRef),0)),"(Código não identificado nas referências)",MATCH($AE150,INDIRECT(ORÇAMENTO.BancoRef),0))))</f>
        <v>(abra o arquivo 'Referência 07-2025.xlsm)</v>
      </c>
      <c r="AG150" s="215" t="n">
        <f aca="true">ROUND(IF(DESONERACAO="sim",REFERENCIA.Desonerado,REFERENCIA.NaoDesonerado),2)</f>
        <v>0</v>
      </c>
      <c r="AH150" s="216" t="n">
        <f aca="false">ROUND(IF(ISNUMBER(ORÇAMENTO.OpcaoBDI),ORÇAMENTO.OpcaoBDI,IF(LEFT(ORÇAMENTO.OpcaoBDI,3)="BDI",HLOOKUP(ORÇAMENTO.OpcaoBDI,$F$4:$H$5,2,FALSE()),0)),15-11*$AF$9)</f>
        <v>0.2904</v>
      </c>
      <c r="AJ150" s="217"/>
      <c r="AL150" s="218"/>
      <c r="AM150" s="219" t="n">
        <f aca="false">$X150</f>
        <v>4969.75</v>
      </c>
      <c r="AN150" s="220" t="n">
        <f aca="false">ROUND(ORÇAMENTO.CustoUnitario*(1+$AH150),2)</f>
        <v>198.79</v>
      </c>
    </row>
    <row r="151" customFormat="false" ht="23.85" hidden="false" customHeight="false" outlineLevel="0" collapsed="false">
      <c r="A151" s="1" t="str">
        <f aca="false">CHOOSE(1+LOG(1+2*(ORÇAMENTO.Nivel="Meta")+4*(ORÇAMENTO.Nivel="Nível 2")+8*(ORÇAMENTO.Nivel="Nível 3")+16*(ORÇAMENTO.Nivel="Nível 4")+32*(ORÇAMENTO.Nivel="Serviço"),2),0,1,2,3,4,"S")</f>
        <v>S</v>
      </c>
      <c r="B151" s="1" t="n">
        <f aca="true">IF(OR(C151="s",C151=0),OFFSET(B151,-1,0),C151)</f>
        <v>2</v>
      </c>
      <c r="C151" s="1" t="str">
        <f aca="true">IF(OFFSET(C151,-1,0)="L",1,IF(OFFSET(C151,-1,0)=1,2,IF(OR(A151="s",A151=0),"S",IF(AND(OFFSET(C151,-1,0)=2,A151=4),3,IF(AND(OR(OFFSET(C151,-1,0)="s",OFFSET(C151,-1,0)=0),A151&lt;&gt;"s",A151&gt;OFFSET(B151,-1,0)),OFFSET(B151,-1,0),A151)))))</f>
        <v>S</v>
      </c>
      <c r="D151" s="1" t="n">
        <f aca="false">IF(OR(C151="S",C151=0),0,IF(ISERROR(K151),J151,SMALL(J151:K151,1)))</f>
        <v>0</v>
      </c>
      <c r="E151" s="1" t="n">
        <f aca="true">IF($C151=1,OFFSET(E151,-1,0)+MAX(1,COUNTIF(QCI!$A$13:$A$15,OFFSET(ORÇAMENTO!E151,-1,0))),OFFSET(E151,-1,0))</f>
        <v>1</v>
      </c>
      <c r="F151" s="1" t="n">
        <f aca="true">IF($C151=1,0,IF($C151=2,OFFSET(F151,-1,0)+1,OFFSET(F151,-1,0)))</f>
        <v>42</v>
      </c>
      <c r="G151" s="1" t="n">
        <f aca="true">IF(AND($C151&lt;=2,$C151&lt;&gt;0),0,IF($C151=3,OFFSET(G151,-1,0)+1,OFFSET(G151,-1,0)))</f>
        <v>0</v>
      </c>
      <c r="H151" s="1" t="n">
        <f aca="true">IF(AND($C151&lt;=3,$C151&lt;&gt;0),0,IF($C151=4,OFFSET(H151,-1,0)+1,OFFSET(H151,-1,0)))</f>
        <v>0</v>
      </c>
      <c r="I151" s="1" t="n">
        <f aca="true">IF(AND($C151&lt;=4,$C151&lt;&gt;0),0,IF(AND($C151="S",$X151&gt;0),OFFSET(I151,-1,0)+1,OFFSET(I151,-1,0)))</f>
        <v>3</v>
      </c>
      <c r="J151" s="1" t="n">
        <f aca="true">IF(OR($C151="S",$C151=0),0,MATCH(0,OFFSET($D151,1,$C151,ROW($C$205)-ROW($C151)),0))</f>
        <v>0</v>
      </c>
      <c r="K151" s="1" t="n">
        <f aca="true">IF(OR($C151="S",$C151=0),0,MATCH(OFFSET($D151,0,$C151)+IF($C151&lt;&gt;1,1,COUNTIF(QCI!$A$13:$A$15,ORÇAMENTO!E151)),OFFSET($D151,1,$C151,ROW($C$205)-ROW($C151)),0))</f>
        <v>0</v>
      </c>
      <c r="L151" s="199" t="str">
        <f aca="false">IF(OR($X151&gt;0,$C151=1,$C151=2,$C151=3,$C151=4),"F","")</f>
        <v>F</v>
      </c>
      <c r="M151" s="200" t="s">
        <v>735</v>
      </c>
      <c r="N151" s="201" t="str">
        <f aca="false">CHOOSE(1+LOG(1+2*(C151=1)+4*(C151=2)+8*(C151=3)+16*(C151=4)+32*(C151="S"),2),"","Meta","Nível 2","Nível 3","Nível 4","Serviço")</f>
        <v>Serviço</v>
      </c>
      <c r="O151" s="202" t="str">
        <f aca="false">IF(OR($C151=0,$L151=""),"-",CONCATENATE(E151&amp;".",IF(AND($A$5&gt;=2,$C151&gt;=2),F151&amp;".",""),IF(AND($A$5&gt;=3,$C151&gt;=3),G151&amp;".",""),IF(AND($A$5&gt;=4,$C151&gt;=4),H151&amp;".",""),IF($C151="S",I151&amp;".","")))</f>
        <v>1.42.3.</v>
      </c>
      <c r="P151" s="203" t="s">
        <v>780</v>
      </c>
      <c r="Q151" s="204" t="n">
        <v>89353</v>
      </c>
      <c r="R151" s="205" t="str">
        <f aca="false">[4]PO!$D$178</f>
        <v>REGISTRO DE GAVETA BRUTO, LATÃO, ROSCÁVEL, 3/4" - FORNECIMENTO E INSTALAÇÃO. AF_08/2021</v>
      </c>
      <c r="S151" s="206" t="s">
        <v>666</v>
      </c>
      <c r="T151" s="207" t="n">
        <f aca="true">OFFSET(CÁLCULO!H$15,ROW($T151)-ROW(T$15),0)</f>
        <v>25</v>
      </c>
      <c r="U151" s="208" t="n">
        <f aca="false">[2]PO!$G$178</f>
        <v>62.06</v>
      </c>
      <c r="V151" s="209" t="s">
        <v>690</v>
      </c>
      <c r="W151" s="207" t="n">
        <f aca="false">IF($C151="S",ROUND(IF(TIPOORCAMENTO="Proposto",ORÇAMENTO.CustoUnitario*(1+$AH151),ORÇAMENTO.PrecoUnitarioLicitado),15-13*$AF$10),0)</f>
        <v>80.08</v>
      </c>
      <c r="X151" s="210" t="n">
        <f aca="true" t="array" ref="X151:X151">IF($C151="S",IF(OR(Import.TipoArredondamento&lt;&gt;"TransfereGOV",ACOMPANHAMENTO="BM"),VTOTAL1,SUM(OFFSET(CÁLCULO!$AQ$15,ROW($X151)-ROW($X$15),1):OFFSET(CÁLCULO!$BR$15,ROW($X151)-ROW($X$15),-1))),IF($C151=0,0,ROUND(SomaAgrup,15-13*$AF$11)))</f>
        <v>2002</v>
      </c>
      <c r="Y151" s="211" t="s">
        <v>781</v>
      </c>
      <c r="Z151" s="1" t="str">
        <f aca="false">IF(AND($C151="S",$X151&gt;0),IF(ISBLANK($Y151),"RA",LEFT($Y151,2)),"")</f>
        <v>RA</v>
      </c>
      <c r="AA151" s="212" t="n">
        <f aca="true">IF($C151="S",IF($Z151="CP",$X151,IF($Z151="RA",(($X151)*QCI!$AA$3),0)),SomaAgrup)</f>
        <v>222.185016178468</v>
      </c>
      <c r="AB151" s="213" t="n">
        <f aca="true">IF($C151="S",IF($Z151="OU",ROUND($X151,2),0),SomaAgrup)</f>
        <v>0</v>
      </c>
      <c r="AC151" s="214" t="e">
        <f aca="false" t="array" ref="AC151:AC151">IF($N151=""," ",
IF(AND($C151&lt;&gt;"S",OR($R151="",$R151="(digite a descrição aqui)")),"DESCRIÇÃO",
IF(AND($C151="S",OR($Q151&lt;&gt;"",$T151&gt;0,$U151&gt;0),$P151=""),"FONTE",
IF(AND($C151="S",$P151&lt;&gt;"",OR($T151&gt;0,$U151&gt;0),$Q151=""),"CÓDIGO",
IF(AND($C151="S",$P151&lt;&gt;"",$Q151&lt;&gt;"",$R151="(Código não identificado nas referências)"),"CÓDIGO N/ID",
IF(AND($C151="S",OR($R151="",$R151="(digite a descrição aqui)"),OR($Q151&lt;&gt;"",$T151&gt;0,$U151&gt;0)),"DESCRIÇÃO",
IF(AND($C151="S",$P151&lt;&gt;"",$Q151&lt;&gt;"",$S151=""),"UNIDADE",
IF(AND($C151="S",$P151&lt;&gt;"",$Q151&lt;&gt;"",$U151=0),"SEM CUSTO",
IF(AND(_xlfn.single(TIPOORCAMENTO)="Licitado",$AL151=0,$AN151&gt;0),"SEM PREÇO",
IF(AND($C151="S",$P151&lt;&gt;"",$Q151&lt;&gt;"",$U151&gt;0,$V151=0),"BDI",
IF(OR(AND(TIPOORCAMENTO="Proposto",LEFT($O$8,5)&lt;&gt;"(N/D:",$AG151&lt;&gt;"",ORÇAMENTO.CustoUnitario&gt;$AG151),AND(TIPOORCAMENTO="LICITADO",ORÇAMENTO.PrecoUnitarioLicitado&gt;$AN151)),"ACIMA REF.",
IF(AND($C151="S",$P151&lt;&gt;"",$Q151&lt;&gt;"",$T151=0,$U151&gt;0),"QUANT.",
IF(AND(Import.TipoArredondamento="TransfereGOV",$L151="F",$C151="S",LEN($Q151)&gt;13),"Código &gt;13",
IF(AND(Import.TipoArredondamento="TransfereGOV",$L151="F",$C151&lt;&gt;"S",LEN($R151)&gt;100),"Descrição &gt;100",
IF(AND(Import.TipoArredondamento="TransfereGOV",$L151="F",$C151="S",LEN($R151)&gt;500),"Descrição &gt;500",
IF(AND(Import.TipoArredondamento="TransfereGOV",$L151="F",$C151="S",LEFT(TRIM(UPPER($P151)),6)&lt;&gt;"SINAPI",ISNA(VLOOKUP(TRIM(UPPER($S151)),ListaTgov.Unidades,1,FALSE()))),"Unid. Não Disp",
" "))))))))))))))))</f>
        <v>#NAME?</v>
      </c>
      <c r="AD151" s="1" t="str">
        <f aca="true">IF(C151&lt;=CRONO.NivelExibicao,MAX($AD$15:OFFSET(AD151,-1,0))+IF($C151&lt;&gt;1,1,MAX(1,COUNTIF(QCI!$A$13:$A$15,OFFSET($E151,-1,0)))),"")</f>
        <v/>
      </c>
      <c r="AE151" s="50" t="str">
        <f aca="false">IF(AND($C151="S",ORÇAMENTO.CodBarra&lt;&gt;""),IF(ORÇAMENTO.Fonte="",ORÇAMENTO.CodBarra,CONCATENATE(ORÇAMENTO.Fonte," ",ORÇAMENTO.CodBarra)))</f>
        <v>SINAPI 89353</v>
      </c>
      <c r="AF151" s="65" t="str">
        <f aca="true">IF(ISERROR(INDIRECT(ORÇAMENTO.BancoRef)),"(abra o arquivo 'Referência "&amp;Excel_BuiltIn_Database&amp;".xlsm)",IF(OR($C151&lt;&gt;"S",ORÇAMENTO.CodBarra=""),"(Sem Código)",IF(ISERROR(MATCH($AE151,INDIRECT(ORÇAMENTO.BancoRef),0)),"(Código não identificado nas referências)",MATCH($AE151,INDIRECT(ORÇAMENTO.BancoRef),0))))</f>
        <v>(abra o arquivo 'Referência 07-2025.xlsm)</v>
      </c>
      <c r="AG151" s="215" t="n">
        <f aca="true">ROUND(IF(DESONERACAO="sim",REFERENCIA.Desonerado,REFERENCIA.NaoDesonerado),2)</f>
        <v>0</v>
      </c>
      <c r="AH151" s="216" t="n">
        <f aca="false">ROUND(IF(ISNUMBER(ORÇAMENTO.OpcaoBDI),ORÇAMENTO.OpcaoBDI,IF(LEFT(ORÇAMENTO.OpcaoBDI,3)="BDI",HLOOKUP(ORÇAMENTO.OpcaoBDI,$F$4:$H$5,2,FALSE()),0)),15-11*$AF$9)</f>
        <v>0.2904</v>
      </c>
      <c r="AJ151" s="217"/>
      <c r="AL151" s="218"/>
      <c r="AM151" s="219" t="n">
        <f aca="false">$X151</f>
        <v>2002</v>
      </c>
      <c r="AN151" s="220" t="n">
        <f aca="false">ROUND(ORÇAMENTO.CustoUnitario*(1+$AH151),2)</f>
        <v>80.08</v>
      </c>
    </row>
    <row r="152" customFormat="false" ht="23.85" hidden="false" customHeight="false" outlineLevel="0" collapsed="false">
      <c r="A152" s="1" t="str">
        <f aca="false">CHOOSE(1+LOG(1+2*(ORÇAMENTO.Nivel="Meta")+4*(ORÇAMENTO.Nivel="Nível 2")+8*(ORÇAMENTO.Nivel="Nível 3")+16*(ORÇAMENTO.Nivel="Nível 4")+32*(ORÇAMENTO.Nivel="Serviço"),2),0,1,2,3,4,"S")</f>
        <v>S</v>
      </c>
      <c r="B152" s="1" t="n">
        <f aca="true">IF(OR(C152="s",C152=0),OFFSET(B152,-1,0),C152)</f>
        <v>2</v>
      </c>
      <c r="C152" s="1" t="str">
        <f aca="true">IF(OFFSET(C152,-1,0)="L",1,IF(OFFSET(C152,-1,0)=1,2,IF(OR(A152="s",A152=0),"S",IF(AND(OFFSET(C152,-1,0)=2,A152=4),3,IF(AND(OR(OFFSET(C152,-1,0)="s",OFFSET(C152,-1,0)=0),A152&lt;&gt;"s",A152&gt;OFFSET(B152,-1,0)),OFFSET(B152,-1,0),A152)))))</f>
        <v>S</v>
      </c>
      <c r="D152" s="1" t="n">
        <f aca="false">IF(OR(C152="S",C152=0),0,IF(ISERROR(K152),J152,SMALL(J152:K152,1)))</f>
        <v>0</v>
      </c>
      <c r="E152" s="1" t="n">
        <f aca="true">IF($C152=1,OFFSET(E152,-1,0)+MAX(1,COUNTIF(QCI!$A$13:$A$15,OFFSET(ORÇAMENTO!E152,-1,0))),OFFSET(E152,-1,0))</f>
        <v>1</v>
      </c>
      <c r="F152" s="1" t="n">
        <f aca="true">IF($C152=1,0,IF($C152=2,OFFSET(F152,-1,0)+1,OFFSET(F152,-1,0)))</f>
        <v>42</v>
      </c>
      <c r="G152" s="1" t="n">
        <f aca="true">IF(AND($C152&lt;=2,$C152&lt;&gt;0),0,IF($C152=3,OFFSET(G152,-1,0)+1,OFFSET(G152,-1,0)))</f>
        <v>0</v>
      </c>
      <c r="H152" s="1" t="n">
        <f aca="true">IF(AND($C152&lt;=3,$C152&lt;&gt;0),0,IF($C152=4,OFFSET(H152,-1,0)+1,OFFSET(H152,-1,0)))</f>
        <v>0</v>
      </c>
      <c r="I152" s="1" t="n">
        <f aca="true">IF(AND($C152&lt;=4,$C152&lt;&gt;0),0,IF(AND($C152="S",$X152&gt;0),OFFSET(I152,-1,0)+1,OFFSET(I152,-1,0)))</f>
        <v>4</v>
      </c>
      <c r="J152" s="1" t="n">
        <f aca="true">IF(OR($C152="S",$C152=0),0,MATCH(0,OFFSET($D152,1,$C152,ROW($C$205)-ROW($C152)),0))</f>
        <v>0</v>
      </c>
      <c r="K152" s="1" t="n">
        <f aca="true">IF(OR($C152="S",$C152=0),0,MATCH(OFFSET($D152,0,$C152)+IF($C152&lt;&gt;1,1,COUNTIF(QCI!$A$13:$A$15,ORÇAMENTO!E152)),OFFSET($D152,1,$C152,ROW($C$205)-ROW($C152)),0))</f>
        <v>0</v>
      </c>
      <c r="L152" s="199" t="str">
        <f aca="false">IF(OR($X152&gt;0,$C152=1,$C152=2,$C152=3,$C152=4),"F","")</f>
        <v>F</v>
      </c>
      <c r="M152" s="200" t="s">
        <v>735</v>
      </c>
      <c r="N152" s="201" t="str">
        <f aca="false">CHOOSE(1+LOG(1+2*(C152=1)+4*(C152=2)+8*(C152=3)+16*(C152=4)+32*(C152="S"),2),"","Meta","Nível 2","Nível 3","Nível 4","Serviço")</f>
        <v>Serviço</v>
      </c>
      <c r="O152" s="202" t="str">
        <f aca="false">IF(OR($C152=0,$L152=""),"-",CONCATENATE(E152&amp;".",IF(AND($A$5&gt;=2,$C152&gt;=2),F152&amp;".",""),IF(AND($A$5&gt;=3,$C152&gt;=3),G152&amp;".",""),IF(AND($A$5&gt;=4,$C152&gt;=4),H152&amp;".",""),IF($C152="S",I152&amp;".","")))</f>
        <v>1.42.4.</v>
      </c>
      <c r="P152" s="203" t="s">
        <v>780</v>
      </c>
      <c r="Q152" s="204" t="n">
        <v>89402</v>
      </c>
      <c r="R152" s="205" t="str">
        <f aca="false">[4]PO!$D$179</f>
        <v>TUBO, PVC, SOLDÁVEL, DE 25MM, INSTALADO EM RAMAL DE DISTRIBUIÇÃO DE ÁGUA - FORNECIMENTO E INSTALAÇÃO. AF_06/2022</v>
      </c>
      <c r="S152" s="206" t="s">
        <v>648</v>
      </c>
      <c r="T152" s="207" t="n">
        <f aca="true">OFFSET(CÁLCULO!H$15,ROW($T152)-ROW(T$15),0)</f>
        <v>168.75</v>
      </c>
      <c r="U152" s="208" t="n">
        <f aca="false">[2]PO!$G$179</f>
        <v>12.27</v>
      </c>
      <c r="V152" s="209" t="s">
        <v>690</v>
      </c>
      <c r="W152" s="207" t="n">
        <f aca="false">IF($C152="S",ROUND(IF(TIPOORCAMENTO="Proposto",ORÇAMENTO.CustoUnitario*(1+$AH152),ORÇAMENTO.PrecoUnitarioLicitado),15-13*$AF$10),0)</f>
        <v>15.83</v>
      </c>
      <c r="X152" s="210" t="n">
        <f aca="true" t="array" ref="X152:X152">IF($C152="S",IF(OR(Import.TipoArredondamento&lt;&gt;"TransfereGOV",ACOMPANHAMENTO="BM"),VTOTAL1,SUM(OFFSET(CÁLCULO!$AQ$15,ROW($X152)-ROW($X$15),1):OFFSET(CÁLCULO!$BR$15,ROW($X152)-ROW($X$15),-1))),IF($C152=0,0,ROUND(SomaAgrup,15-13*$AF$11)))</f>
        <v>2671.25</v>
      </c>
      <c r="Y152" s="211" t="s">
        <v>781</v>
      </c>
      <c r="Z152" s="1" t="str">
        <f aca="false">IF(AND($C152="S",$X152&gt;0),IF(ISBLANK($Y152),"RA",LEFT($Y152,2)),"")</f>
        <v>RA</v>
      </c>
      <c r="AA152" s="212" t="n">
        <f aca="true">IF($C152="S",IF($Z152="CP",$X152,IF($Z152="RA",(($X152)*QCI!$AA$3),0)),SomaAgrup)</f>
        <v>296.459402830535</v>
      </c>
      <c r="AB152" s="213" t="n">
        <f aca="true">IF($C152="S",IF($Z152="OU",ROUND($X152,2),0),SomaAgrup)</f>
        <v>0</v>
      </c>
      <c r="AC152" s="214" t="e">
        <f aca="false" t="array" ref="AC152:AC152">IF($N152=""," ",
IF(AND($C152&lt;&gt;"S",OR($R152="",$R152="(digite a descrição aqui)")),"DESCRIÇÃO",
IF(AND($C152="S",OR($Q152&lt;&gt;"",$T152&gt;0,$U152&gt;0),$P152=""),"FONTE",
IF(AND($C152="S",$P152&lt;&gt;"",OR($T152&gt;0,$U152&gt;0),$Q152=""),"CÓDIGO",
IF(AND($C152="S",$P152&lt;&gt;"",$Q152&lt;&gt;"",$R152="(Código não identificado nas referências)"),"CÓDIGO N/ID",
IF(AND($C152="S",OR($R152="",$R152="(digite a descrição aqui)"),OR($Q152&lt;&gt;"",$T152&gt;0,$U152&gt;0)),"DESCRIÇÃO",
IF(AND($C152="S",$P152&lt;&gt;"",$Q152&lt;&gt;"",$S152=""),"UNIDADE",
IF(AND($C152="S",$P152&lt;&gt;"",$Q152&lt;&gt;"",$U152=0),"SEM CUSTO",
IF(AND(_xlfn.single(TIPOORCAMENTO)="Licitado",$AL152=0,$AN152&gt;0),"SEM PREÇO",
IF(AND($C152="S",$P152&lt;&gt;"",$Q152&lt;&gt;"",$U152&gt;0,$V152=0),"BDI",
IF(OR(AND(TIPOORCAMENTO="Proposto",LEFT($O$8,5)&lt;&gt;"(N/D:",$AG152&lt;&gt;"",ORÇAMENTO.CustoUnitario&gt;$AG152),AND(TIPOORCAMENTO="LICITADO",ORÇAMENTO.PrecoUnitarioLicitado&gt;$AN152)),"ACIMA REF.",
IF(AND($C152="S",$P152&lt;&gt;"",$Q152&lt;&gt;"",$T152=0,$U152&gt;0),"QUANT.",
IF(AND(Import.TipoArredondamento="TransfereGOV",$L152="F",$C152="S",LEN($Q152)&gt;13),"Código &gt;13",
IF(AND(Import.TipoArredondamento="TransfereGOV",$L152="F",$C152&lt;&gt;"S",LEN($R152)&gt;100),"Descrição &gt;100",
IF(AND(Import.TipoArredondamento="TransfereGOV",$L152="F",$C152="S",LEN($R152)&gt;500),"Descrição &gt;500",
IF(AND(Import.TipoArredondamento="TransfereGOV",$L152="F",$C152="S",LEFT(TRIM(UPPER($P152)),6)&lt;&gt;"SINAPI",ISNA(VLOOKUP(TRIM(UPPER($S152)),ListaTgov.Unidades,1,FALSE()))),"Unid. Não Disp",
" "))))))))))))))))</f>
        <v>#NAME?</v>
      </c>
      <c r="AD152" s="1" t="str">
        <f aca="true">IF(C152&lt;=CRONO.NivelExibicao,MAX($AD$15:OFFSET(AD152,-1,0))+IF($C152&lt;&gt;1,1,MAX(1,COUNTIF(QCI!$A$13:$A$15,OFFSET($E152,-1,0)))),"")</f>
        <v/>
      </c>
      <c r="AE152" s="50" t="str">
        <f aca="false">IF(AND($C152="S",ORÇAMENTO.CodBarra&lt;&gt;""),IF(ORÇAMENTO.Fonte="",ORÇAMENTO.CodBarra,CONCATENATE(ORÇAMENTO.Fonte," ",ORÇAMENTO.CodBarra)))</f>
        <v>SINAPI 89402</v>
      </c>
      <c r="AF152" s="65" t="str">
        <f aca="true">IF(ISERROR(INDIRECT(ORÇAMENTO.BancoRef)),"(abra o arquivo 'Referência "&amp;Excel_BuiltIn_Database&amp;".xlsm)",IF(OR($C152&lt;&gt;"S",ORÇAMENTO.CodBarra=""),"(Sem Código)",IF(ISERROR(MATCH($AE152,INDIRECT(ORÇAMENTO.BancoRef),0)),"(Código não identificado nas referências)",MATCH($AE152,INDIRECT(ORÇAMENTO.BancoRef),0))))</f>
        <v>(abra o arquivo 'Referência 07-2025.xlsm)</v>
      </c>
      <c r="AG152" s="215" t="n">
        <f aca="true">ROUND(IF(DESONERACAO="sim",REFERENCIA.Desonerado,REFERENCIA.NaoDesonerado),2)</f>
        <v>0</v>
      </c>
      <c r="AH152" s="216" t="n">
        <f aca="false">ROUND(IF(ISNUMBER(ORÇAMENTO.OpcaoBDI),ORÇAMENTO.OpcaoBDI,IF(LEFT(ORÇAMENTO.OpcaoBDI,3)="BDI",HLOOKUP(ORÇAMENTO.OpcaoBDI,$F$4:$H$5,2,FALSE()),0)),15-11*$AF$9)</f>
        <v>0.2904</v>
      </c>
      <c r="AJ152" s="217"/>
      <c r="AL152" s="218"/>
      <c r="AM152" s="219" t="n">
        <f aca="false">$X152</f>
        <v>2671.25</v>
      </c>
      <c r="AN152" s="220" t="n">
        <f aca="false">ROUND(ORÇAMENTO.CustoUnitario*(1+$AH152),2)</f>
        <v>15.83</v>
      </c>
    </row>
    <row r="153" customFormat="false" ht="23.85" hidden="false" customHeight="false" outlineLevel="0" collapsed="false">
      <c r="A153" s="1" t="str">
        <f aca="false">CHOOSE(1+LOG(1+2*(ORÇAMENTO.Nivel="Meta")+4*(ORÇAMENTO.Nivel="Nível 2")+8*(ORÇAMENTO.Nivel="Nível 3")+16*(ORÇAMENTO.Nivel="Nível 4")+32*(ORÇAMENTO.Nivel="Serviço"),2),0,1,2,3,4,"S")</f>
        <v>S</v>
      </c>
      <c r="B153" s="1" t="n">
        <f aca="true">IF(OR(C153="s",C153=0),OFFSET(B153,-1,0),C153)</f>
        <v>2</v>
      </c>
      <c r="C153" s="1" t="str">
        <f aca="true">IF(OFFSET(C153,-1,0)="L",1,IF(OFFSET(C153,-1,0)=1,2,IF(OR(A153="s",A153=0),"S",IF(AND(OFFSET(C153,-1,0)=2,A153=4),3,IF(AND(OR(OFFSET(C153,-1,0)="s",OFFSET(C153,-1,0)=0),A153&lt;&gt;"s",A153&gt;OFFSET(B153,-1,0)),OFFSET(B153,-1,0),A153)))))</f>
        <v>S</v>
      </c>
      <c r="D153" s="1" t="n">
        <f aca="false">IF(OR(C153="S",C153=0),0,IF(ISERROR(K153),J153,SMALL(J153:K153,1)))</f>
        <v>0</v>
      </c>
      <c r="E153" s="1" t="n">
        <f aca="true">IF($C153=1,OFFSET(E153,-1,0)+MAX(1,COUNTIF(QCI!$A$13:$A$15,OFFSET(ORÇAMENTO!E153,-1,0))),OFFSET(E153,-1,0))</f>
        <v>1</v>
      </c>
      <c r="F153" s="1" t="n">
        <f aca="true">IF($C153=1,0,IF($C153=2,OFFSET(F153,-1,0)+1,OFFSET(F153,-1,0)))</f>
        <v>42</v>
      </c>
      <c r="G153" s="1" t="n">
        <f aca="true">IF(AND($C153&lt;=2,$C153&lt;&gt;0),0,IF($C153=3,OFFSET(G153,-1,0)+1,OFFSET(G153,-1,0)))</f>
        <v>0</v>
      </c>
      <c r="H153" s="1" t="n">
        <f aca="true">IF(AND($C153&lt;=3,$C153&lt;&gt;0),0,IF($C153=4,OFFSET(H153,-1,0)+1,OFFSET(H153,-1,0)))</f>
        <v>0</v>
      </c>
      <c r="I153" s="1" t="n">
        <f aca="true">IF(AND($C153&lt;=4,$C153&lt;&gt;0),0,IF(AND($C153="S",$X153&gt;0),OFFSET(I153,-1,0)+1,OFFSET(I153,-1,0)))</f>
        <v>5</v>
      </c>
      <c r="J153" s="1" t="n">
        <f aca="true">IF(OR($C153="S",$C153=0),0,MATCH(0,OFFSET($D153,1,$C153,ROW($C$205)-ROW($C153)),0))</f>
        <v>0</v>
      </c>
      <c r="K153" s="1" t="n">
        <f aca="true">IF(OR($C153="S",$C153=0),0,MATCH(OFFSET($D153,0,$C153)+IF($C153&lt;&gt;1,1,COUNTIF(QCI!$A$13:$A$15,ORÇAMENTO!E153)),OFFSET($D153,1,$C153,ROW($C$205)-ROW($C153)),0))</f>
        <v>0</v>
      </c>
      <c r="L153" s="199" t="str">
        <f aca="false">IF(OR($X153&gt;0,$C153=1,$C153=2,$C153=3,$C153=4),"F","")</f>
        <v>F</v>
      </c>
      <c r="M153" s="200" t="s">
        <v>735</v>
      </c>
      <c r="N153" s="201" t="str">
        <f aca="false">CHOOSE(1+LOG(1+2*(C153=1)+4*(C153=2)+8*(C153=3)+16*(C153=4)+32*(C153="S"),2),"","Meta","Nível 2","Nível 3","Nível 4","Serviço")</f>
        <v>Serviço</v>
      </c>
      <c r="O153" s="202" t="str">
        <f aca="false">IF(OR($C153=0,$L153=""),"-",CONCATENATE(E153&amp;".",IF(AND($A$5&gt;=2,$C153&gt;=2),F153&amp;".",""),IF(AND($A$5&gt;=3,$C153&gt;=3),G153&amp;".",""),IF(AND($A$5&gt;=4,$C153&gt;=4),H153&amp;".",""),IF($C153="S",I153&amp;".","")))</f>
        <v>1.42.5.</v>
      </c>
      <c r="P153" s="203" t="s">
        <v>780</v>
      </c>
      <c r="Q153" s="204" t="n">
        <v>89446</v>
      </c>
      <c r="R153" s="205" t="str">
        <f aca="false">[4]PO!$D$180</f>
        <v>TUBO, PVC, SOLDÁVEL, DE 25MM, INSTALADO EM PRUMADA DE ÁGUA - FORNECIMENTO E INSTALAÇÃO. AF_06/2022</v>
      </c>
      <c r="S153" s="206" t="s">
        <v>648</v>
      </c>
      <c r="T153" s="207" t="n">
        <f aca="true">OFFSET(CÁLCULO!H$15,ROW($T153)-ROW(T$15),0)</f>
        <v>75</v>
      </c>
      <c r="U153" s="208" t="n">
        <f aca="false">[2]PO!$G$180</f>
        <v>5.17</v>
      </c>
      <c r="V153" s="209" t="s">
        <v>690</v>
      </c>
      <c r="W153" s="207" t="n">
        <f aca="false">IF($C153="S",ROUND(IF(TIPOORCAMENTO="Proposto",ORÇAMENTO.CustoUnitario*(1+$AH153),ORÇAMENTO.PrecoUnitarioLicitado),15-13*$AF$10),0)</f>
        <v>6.67</v>
      </c>
      <c r="X153" s="210" t="n">
        <f aca="true" t="array" ref="X153:X153">IF($C153="S",IF(OR(Import.TipoArredondamento&lt;&gt;"TransfereGOV",ACOMPANHAMENTO="BM"),VTOTAL1,SUM(OFFSET(CÁLCULO!$AQ$15,ROW($X153)-ROW($X$15),1):OFFSET(CÁLCULO!$BR$15,ROW($X153)-ROW($X$15),-1))),IF($C153=0,0,ROUND(SomaAgrup,15-13*$AF$11)))</f>
        <v>500.25</v>
      </c>
      <c r="Y153" s="211" t="s">
        <v>781</v>
      </c>
      <c r="Z153" s="1" t="str">
        <f aca="false">IF(AND($C153="S",$X153&gt;0),IF(ISBLANK($Y153),"RA",LEFT($Y153,2)),"")</f>
        <v>RA</v>
      </c>
      <c r="AA153" s="212" t="n">
        <f aca="true">IF($C153="S",IF($Z153="CP",$X153,IF($Z153="RA",(($X153)*QCI!$AA$3),0)),SomaAgrup)</f>
        <v>55.5185086629762</v>
      </c>
      <c r="AB153" s="213" t="n">
        <f aca="true">IF($C153="S",IF($Z153="OU",ROUND($X153,2),0),SomaAgrup)</f>
        <v>0</v>
      </c>
      <c r="AC153" s="214" t="e">
        <f aca="false" t="array" ref="AC153:AC153">IF($N153=""," ",
IF(AND($C153&lt;&gt;"S",OR($R153="",$R153="(digite a descrição aqui)")),"DESCRIÇÃO",
IF(AND($C153="S",OR($Q153&lt;&gt;"",$T153&gt;0,$U153&gt;0),$P153=""),"FONTE",
IF(AND($C153="S",$P153&lt;&gt;"",OR($T153&gt;0,$U153&gt;0),$Q153=""),"CÓDIGO",
IF(AND($C153="S",$P153&lt;&gt;"",$Q153&lt;&gt;"",$R153="(Código não identificado nas referências)"),"CÓDIGO N/ID",
IF(AND($C153="S",OR($R153="",$R153="(digite a descrição aqui)"),OR($Q153&lt;&gt;"",$T153&gt;0,$U153&gt;0)),"DESCRIÇÃO",
IF(AND($C153="S",$P153&lt;&gt;"",$Q153&lt;&gt;"",$S153=""),"UNIDADE",
IF(AND($C153="S",$P153&lt;&gt;"",$Q153&lt;&gt;"",$U153=0),"SEM CUSTO",
IF(AND(_xlfn.single(TIPOORCAMENTO)="Licitado",$AL153=0,$AN153&gt;0),"SEM PREÇO",
IF(AND($C153="S",$P153&lt;&gt;"",$Q153&lt;&gt;"",$U153&gt;0,$V153=0),"BDI",
IF(OR(AND(TIPOORCAMENTO="Proposto",LEFT($O$8,5)&lt;&gt;"(N/D:",$AG153&lt;&gt;"",ORÇAMENTO.CustoUnitario&gt;$AG153),AND(TIPOORCAMENTO="LICITADO",ORÇAMENTO.PrecoUnitarioLicitado&gt;$AN153)),"ACIMA REF.",
IF(AND($C153="S",$P153&lt;&gt;"",$Q153&lt;&gt;"",$T153=0,$U153&gt;0),"QUANT.",
IF(AND(Import.TipoArredondamento="TransfereGOV",$L153="F",$C153="S",LEN($Q153)&gt;13),"Código &gt;13",
IF(AND(Import.TipoArredondamento="TransfereGOV",$L153="F",$C153&lt;&gt;"S",LEN($R153)&gt;100),"Descrição &gt;100",
IF(AND(Import.TipoArredondamento="TransfereGOV",$L153="F",$C153="S",LEN($R153)&gt;500),"Descrição &gt;500",
IF(AND(Import.TipoArredondamento="TransfereGOV",$L153="F",$C153="S",LEFT(TRIM(UPPER($P153)),6)&lt;&gt;"SINAPI",ISNA(VLOOKUP(TRIM(UPPER($S153)),ListaTgov.Unidades,1,FALSE()))),"Unid. Não Disp",
" "))))))))))))))))</f>
        <v>#NAME?</v>
      </c>
      <c r="AD153" s="1" t="str">
        <f aca="true">IF(C153&lt;=CRONO.NivelExibicao,MAX($AD$15:OFFSET(AD153,-1,0))+IF($C153&lt;&gt;1,1,MAX(1,COUNTIF(QCI!$A$13:$A$15,OFFSET($E153,-1,0)))),"")</f>
        <v/>
      </c>
      <c r="AE153" s="50" t="str">
        <f aca="false">IF(AND($C153="S",ORÇAMENTO.CodBarra&lt;&gt;""),IF(ORÇAMENTO.Fonte="",ORÇAMENTO.CodBarra,CONCATENATE(ORÇAMENTO.Fonte," ",ORÇAMENTO.CodBarra)))</f>
        <v>SINAPI 89446</v>
      </c>
      <c r="AF153" s="65" t="str">
        <f aca="true">IF(ISERROR(INDIRECT(ORÇAMENTO.BancoRef)),"(abra o arquivo 'Referência "&amp;Excel_BuiltIn_Database&amp;".xlsm)",IF(OR($C153&lt;&gt;"S",ORÇAMENTO.CodBarra=""),"(Sem Código)",IF(ISERROR(MATCH($AE153,INDIRECT(ORÇAMENTO.BancoRef),0)),"(Código não identificado nas referências)",MATCH($AE153,INDIRECT(ORÇAMENTO.BancoRef),0))))</f>
        <v>(abra o arquivo 'Referência 07-2025.xlsm)</v>
      </c>
      <c r="AG153" s="215" t="n">
        <f aca="true">ROUND(IF(DESONERACAO="sim",REFERENCIA.Desonerado,REFERENCIA.NaoDesonerado),2)</f>
        <v>0</v>
      </c>
      <c r="AH153" s="216" t="n">
        <f aca="false">ROUND(IF(ISNUMBER(ORÇAMENTO.OpcaoBDI),ORÇAMENTO.OpcaoBDI,IF(LEFT(ORÇAMENTO.OpcaoBDI,3)="BDI",HLOOKUP(ORÇAMENTO.OpcaoBDI,$F$4:$H$5,2,FALSE()),0)),15-11*$AF$9)</f>
        <v>0.2904</v>
      </c>
      <c r="AJ153" s="217"/>
      <c r="AL153" s="218"/>
      <c r="AM153" s="219" t="n">
        <f aca="false">$X153</f>
        <v>500.25</v>
      </c>
      <c r="AN153" s="220" t="n">
        <f aca="false">ROUND(ORÇAMENTO.CustoUnitario*(1+$AH153),2)</f>
        <v>6.67</v>
      </c>
    </row>
    <row r="154" customFormat="false" ht="35.05" hidden="false" customHeight="false" outlineLevel="0" collapsed="false">
      <c r="A154" s="1" t="str">
        <f aca="false">CHOOSE(1+LOG(1+2*(ORÇAMENTO.Nivel="Meta")+4*(ORÇAMENTO.Nivel="Nível 2")+8*(ORÇAMENTO.Nivel="Nível 3")+16*(ORÇAMENTO.Nivel="Nível 4")+32*(ORÇAMENTO.Nivel="Serviço"),2),0,1,2,3,4,"S")</f>
        <v>S</v>
      </c>
      <c r="B154" s="1" t="n">
        <f aca="true">IF(OR(C154="s",C154=0),OFFSET(B154,-1,0),C154)</f>
        <v>2</v>
      </c>
      <c r="C154" s="1" t="str">
        <f aca="true">IF(OFFSET(C154,-1,0)="L",1,IF(OFFSET(C154,-1,0)=1,2,IF(OR(A154="s",A154=0),"S",IF(AND(OFFSET(C154,-1,0)=2,A154=4),3,IF(AND(OR(OFFSET(C154,-1,0)="s",OFFSET(C154,-1,0)=0),A154&lt;&gt;"s",A154&gt;OFFSET(B154,-1,0)),OFFSET(B154,-1,0),A154)))))</f>
        <v>S</v>
      </c>
      <c r="D154" s="1" t="n">
        <f aca="false">IF(OR(C154="S",C154=0),0,IF(ISERROR(K154),J154,SMALL(J154:K154,1)))</f>
        <v>0</v>
      </c>
      <c r="E154" s="1" t="n">
        <f aca="true">IF($C154=1,OFFSET(E154,-1,0)+MAX(1,COUNTIF(QCI!$A$13:$A$15,OFFSET(ORÇAMENTO!E154,-1,0))),OFFSET(E154,-1,0))</f>
        <v>1</v>
      </c>
      <c r="F154" s="1" t="n">
        <f aca="true">IF($C154=1,0,IF($C154=2,OFFSET(F154,-1,0)+1,OFFSET(F154,-1,0)))</f>
        <v>42</v>
      </c>
      <c r="G154" s="1" t="n">
        <f aca="true">IF(AND($C154&lt;=2,$C154&lt;&gt;0),0,IF($C154=3,OFFSET(G154,-1,0)+1,OFFSET(G154,-1,0)))</f>
        <v>0</v>
      </c>
      <c r="H154" s="1" t="n">
        <f aca="true">IF(AND($C154&lt;=3,$C154&lt;&gt;0),0,IF($C154=4,OFFSET(H154,-1,0)+1,OFFSET(H154,-1,0)))</f>
        <v>0</v>
      </c>
      <c r="I154" s="1" t="n">
        <f aca="true">IF(AND($C154&lt;=4,$C154&lt;&gt;0),0,IF(AND($C154="S",$X154&gt;0),OFFSET(I154,-1,0)+1,OFFSET(I154,-1,0)))</f>
        <v>6</v>
      </c>
      <c r="J154" s="1" t="n">
        <f aca="true">IF(OR($C154="S",$C154=0),0,MATCH(0,OFFSET($D154,1,$C154,ROW($C$205)-ROW($C154)),0))</f>
        <v>0</v>
      </c>
      <c r="K154" s="1" t="n">
        <f aca="true">IF(OR($C154="S",$C154=0),0,MATCH(OFFSET($D154,0,$C154)+IF($C154&lt;&gt;1,1,COUNTIF(QCI!$A$13:$A$15,ORÇAMENTO!E154)),OFFSET($D154,1,$C154,ROW($C$205)-ROW($C154)),0))</f>
        <v>0</v>
      </c>
      <c r="L154" s="199" t="str">
        <f aca="false">IF(OR($X154&gt;0,$C154=1,$C154=2,$C154=3,$C154=4),"F","")</f>
        <v>F</v>
      </c>
      <c r="M154" s="200" t="s">
        <v>735</v>
      </c>
      <c r="N154" s="201" t="str">
        <f aca="false">CHOOSE(1+LOG(1+2*(C154=1)+4*(C154=2)+8*(C154=3)+16*(C154=4)+32*(C154="S"),2),"","Meta","Nível 2","Nível 3","Nível 4","Serviço")</f>
        <v>Serviço</v>
      </c>
      <c r="O154" s="202" t="str">
        <f aca="false">IF(OR($C154=0,$L154=""),"-",CONCATENATE(E154&amp;".",IF(AND($A$5&gt;=2,$C154&gt;=2),F154&amp;".",""),IF(AND($A$5&gt;=3,$C154&gt;=3),G154&amp;".",""),IF(AND($A$5&gt;=4,$C154&gt;=4),H154&amp;".",""),IF($C154="S",I154&amp;".","")))</f>
        <v>1.42.6.</v>
      </c>
      <c r="P154" s="203" t="s">
        <v>780</v>
      </c>
      <c r="Q154" s="204" t="n">
        <v>89408</v>
      </c>
      <c r="R154" s="205" t="str">
        <f aca="false">[4]PO!$D$181</f>
        <v>JOELHO 90 GRAUS, PVC, SOLDÁVEL, DN 25MM, INSTALADO EM RAMAL DE DISTRIBUIÇÃO DE ÁGUA - FORNECIMENTO E INSTALAÇÃO. AF_06/2022</v>
      </c>
      <c r="S154" s="206" t="s">
        <v>666</v>
      </c>
      <c r="T154" s="207" t="n">
        <f aca="true">OFFSET(CÁLCULO!H$15,ROW($T154)-ROW(T$15),0)</f>
        <v>50</v>
      </c>
      <c r="U154" s="208" t="n">
        <v>8.64</v>
      </c>
      <c r="V154" s="209" t="s">
        <v>690</v>
      </c>
      <c r="W154" s="207" t="n">
        <f aca="false">IF($C154="S",ROUND(IF(TIPOORCAMENTO="Proposto",ORÇAMENTO.CustoUnitario*(1+$AH154),ORÇAMENTO.PrecoUnitarioLicitado),15-13*$AF$10),0)</f>
        <v>11.15</v>
      </c>
      <c r="X154" s="210" t="n">
        <f aca="true" t="array" ref="X154:X154">IF($C154="S",IF(OR(Import.TipoArredondamento&lt;&gt;"TransfereGOV",ACOMPANHAMENTO="BM"),VTOTAL1,SUM(OFFSET(CÁLCULO!$AQ$15,ROW($X154)-ROW($X$15),1):OFFSET(CÁLCULO!$BR$15,ROW($X154)-ROW($X$15),-1))),IF($C154=0,0,ROUND(SomaAgrup,15-13*$AF$11)))</f>
        <v>557.5</v>
      </c>
      <c r="Y154" s="211" t="s">
        <v>781</v>
      </c>
      <c r="Z154" s="1" t="str">
        <f aca="false">IF(AND($C154="S",$X154&gt;0),IF(ISBLANK($Y154),"RA",LEFT($Y154,2)),"")</f>
        <v>RA</v>
      </c>
      <c r="AA154" s="212" t="n">
        <f aca="true">IF($C154="S",IF($Z154="CP",$X154,IF($Z154="RA",(($X154)*QCI!$AA$3),0)),SomaAgrup)</f>
        <v>61.8722010586892</v>
      </c>
      <c r="AB154" s="213" t="n">
        <f aca="true">IF($C154="S",IF($Z154="OU",ROUND($X154,2),0),SomaAgrup)</f>
        <v>0</v>
      </c>
      <c r="AC154" s="214" t="e">
        <f aca="false" t="array" ref="AC154:AC154">IF($N154=""," ",
IF(AND($C154&lt;&gt;"S",OR($R154="",$R154="(digite a descrição aqui)")),"DESCRIÇÃO",
IF(AND($C154="S",OR($Q154&lt;&gt;"",$T154&gt;0,$U154&gt;0),$P154=""),"FONTE",
IF(AND($C154="S",$P154&lt;&gt;"",OR($T154&gt;0,$U154&gt;0),$Q154=""),"CÓDIGO",
IF(AND($C154="S",$P154&lt;&gt;"",$Q154&lt;&gt;"",$R154="(Código não identificado nas referências)"),"CÓDIGO N/ID",
IF(AND($C154="S",OR($R154="",$R154="(digite a descrição aqui)"),OR($Q154&lt;&gt;"",$T154&gt;0,$U154&gt;0)),"DESCRIÇÃO",
IF(AND($C154="S",$P154&lt;&gt;"",$Q154&lt;&gt;"",$S154=""),"UNIDADE",
IF(AND($C154="S",$P154&lt;&gt;"",$Q154&lt;&gt;"",$U154=0),"SEM CUSTO",
IF(AND(_xlfn.single(TIPOORCAMENTO)="Licitado",$AL154=0,$AN154&gt;0),"SEM PREÇO",
IF(AND($C154="S",$P154&lt;&gt;"",$Q154&lt;&gt;"",$U154&gt;0,$V154=0),"BDI",
IF(OR(AND(TIPOORCAMENTO="Proposto",LEFT($O$8,5)&lt;&gt;"(N/D:",$AG154&lt;&gt;"",ORÇAMENTO.CustoUnitario&gt;$AG154),AND(TIPOORCAMENTO="LICITADO",ORÇAMENTO.PrecoUnitarioLicitado&gt;$AN154)),"ACIMA REF.",
IF(AND($C154="S",$P154&lt;&gt;"",$Q154&lt;&gt;"",$T154=0,$U154&gt;0),"QUANT.",
IF(AND(Import.TipoArredondamento="TransfereGOV",$L154="F",$C154="S",LEN($Q154)&gt;13),"Código &gt;13",
IF(AND(Import.TipoArredondamento="TransfereGOV",$L154="F",$C154&lt;&gt;"S",LEN($R154)&gt;100),"Descrição &gt;100",
IF(AND(Import.TipoArredondamento="TransfereGOV",$L154="F",$C154="S",LEN($R154)&gt;500),"Descrição &gt;500",
IF(AND(Import.TipoArredondamento="TransfereGOV",$L154="F",$C154="S",LEFT(TRIM(UPPER($P154)),6)&lt;&gt;"SINAPI",ISNA(VLOOKUP(TRIM(UPPER($S154)),ListaTgov.Unidades,1,FALSE()))),"Unid. Não Disp",
" "))))))))))))))))</f>
        <v>#NAME?</v>
      </c>
      <c r="AD154" s="1" t="str">
        <f aca="true">IF(C154&lt;=CRONO.NivelExibicao,MAX($AD$15:OFFSET(AD154,-1,0))+IF($C154&lt;&gt;1,1,MAX(1,COUNTIF(QCI!$A$13:$A$15,OFFSET($E154,-1,0)))),"")</f>
        <v/>
      </c>
      <c r="AE154" s="50" t="str">
        <f aca="false">IF(AND($C154="S",ORÇAMENTO.CodBarra&lt;&gt;""),IF(ORÇAMENTO.Fonte="",ORÇAMENTO.CodBarra,CONCATENATE(ORÇAMENTO.Fonte," ",ORÇAMENTO.CodBarra)))</f>
        <v>SINAPI 89408</v>
      </c>
      <c r="AF154" s="65" t="str">
        <f aca="true">IF(ISERROR(INDIRECT(ORÇAMENTO.BancoRef)),"(abra o arquivo 'Referência "&amp;Excel_BuiltIn_Database&amp;".xlsm)",IF(OR($C154&lt;&gt;"S",ORÇAMENTO.CodBarra=""),"(Sem Código)",IF(ISERROR(MATCH($AE154,INDIRECT(ORÇAMENTO.BancoRef),0)),"(Código não identificado nas referências)",MATCH($AE154,INDIRECT(ORÇAMENTO.BancoRef),0))))</f>
        <v>(abra o arquivo 'Referência 07-2025.xlsm)</v>
      </c>
      <c r="AG154" s="215" t="n">
        <f aca="true">ROUND(IF(DESONERACAO="sim",REFERENCIA.Desonerado,REFERENCIA.NaoDesonerado),2)</f>
        <v>0</v>
      </c>
      <c r="AH154" s="216" t="n">
        <f aca="false">ROUND(IF(ISNUMBER(ORÇAMENTO.OpcaoBDI),ORÇAMENTO.OpcaoBDI,IF(LEFT(ORÇAMENTO.OpcaoBDI,3)="BDI",HLOOKUP(ORÇAMENTO.OpcaoBDI,$F$4:$H$5,2,FALSE()),0)),15-11*$AF$9)</f>
        <v>0.2904</v>
      </c>
      <c r="AJ154" s="217"/>
      <c r="AL154" s="218"/>
      <c r="AM154" s="219" t="n">
        <f aca="false">$X154</f>
        <v>557.5</v>
      </c>
      <c r="AN154" s="220" t="n">
        <f aca="false">ROUND(ORÇAMENTO.CustoUnitario*(1+$AH154),2)</f>
        <v>11.15</v>
      </c>
    </row>
    <row r="155" customFormat="false" ht="23.85" hidden="false" customHeight="false" outlineLevel="0" collapsed="false">
      <c r="A155" s="1" t="str">
        <f aca="false">CHOOSE(1+LOG(1+2*(ORÇAMENTO.Nivel="Meta")+4*(ORÇAMENTO.Nivel="Nível 2")+8*(ORÇAMENTO.Nivel="Nível 3")+16*(ORÇAMENTO.Nivel="Nível 4")+32*(ORÇAMENTO.Nivel="Serviço"),2),0,1,2,3,4,"S")</f>
        <v>S</v>
      </c>
      <c r="B155" s="1" t="n">
        <f aca="true">IF(OR(C155="s",C155=0),OFFSET(B155,-1,0),C155)</f>
        <v>2</v>
      </c>
      <c r="C155" s="1" t="str">
        <f aca="true">IF(OFFSET(C155,-1,0)="L",1,IF(OFFSET(C155,-1,0)=1,2,IF(OR(A155="s",A155=0),"S",IF(AND(OFFSET(C155,-1,0)=2,A155=4),3,IF(AND(OR(OFFSET(C155,-1,0)="s",OFFSET(C155,-1,0)=0),A155&lt;&gt;"s",A155&gt;OFFSET(B155,-1,0)),OFFSET(B155,-1,0),A155)))))</f>
        <v>S</v>
      </c>
      <c r="D155" s="1" t="n">
        <f aca="false">IF(OR(C155="S",C155=0),0,IF(ISERROR(K155),J155,SMALL(J155:K155,1)))</f>
        <v>0</v>
      </c>
      <c r="E155" s="1" t="n">
        <f aca="true">IF($C155=1,OFFSET(E155,-1,0)+MAX(1,COUNTIF(QCI!$A$13:$A$15,OFFSET(ORÇAMENTO!E155,-1,0))),OFFSET(E155,-1,0))</f>
        <v>1</v>
      </c>
      <c r="F155" s="1" t="n">
        <f aca="true">IF($C155=1,0,IF($C155=2,OFFSET(F155,-1,0)+1,OFFSET(F155,-1,0)))</f>
        <v>42</v>
      </c>
      <c r="G155" s="1" t="n">
        <f aca="true">IF(AND($C155&lt;=2,$C155&lt;&gt;0),0,IF($C155=3,OFFSET(G155,-1,0)+1,OFFSET(G155,-1,0)))</f>
        <v>0</v>
      </c>
      <c r="H155" s="1" t="n">
        <f aca="true">IF(AND($C155&lt;=3,$C155&lt;&gt;0),0,IF($C155=4,OFFSET(H155,-1,0)+1,OFFSET(H155,-1,0)))</f>
        <v>0</v>
      </c>
      <c r="I155" s="1" t="n">
        <f aca="true">IF(AND($C155&lt;=4,$C155&lt;&gt;0),0,IF(AND($C155="S",$X155&gt;0),OFFSET(I155,-1,0)+1,OFFSET(I155,-1,0)))</f>
        <v>7</v>
      </c>
      <c r="J155" s="1" t="n">
        <f aca="true">IF(OR($C155="S",$C155=0),0,MATCH(0,OFFSET($D155,1,$C155,ROW($C$205)-ROW($C155)),0))</f>
        <v>0</v>
      </c>
      <c r="K155" s="1" t="n">
        <f aca="true">IF(OR($C155="S",$C155=0),0,MATCH(OFFSET($D155,0,$C155)+IF($C155&lt;&gt;1,1,COUNTIF(QCI!$A$13:$A$15,ORÇAMENTO!E155)),OFFSET($D155,1,$C155,ROW($C$205)-ROW($C155)),0))</f>
        <v>0</v>
      </c>
      <c r="L155" s="199" t="str">
        <f aca="false">IF(OR($X155&gt;0,$C155=1,$C155=2,$C155=3,$C155=4),"F","")</f>
        <v>F</v>
      </c>
      <c r="M155" s="200" t="s">
        <v>735</v>
      </c>
      <c r="N155" s="201" t="str">
        <f aca="false">CHOOSE(1+LOG(1+2*(C155=1)+4*(C155=2)+8*(C155=3)+16*(C155=4)+32*(C155="S"),2),"","Meta","Nível 2","Nível 3","Nível 4","Serviço")</f>
        <v>Serviço</v>
      </c>
      <c r="O155" s="202" t="str">
        <f aca="false">IF(OR($C155=0,$L155=""),"-",CONCATENATE(E155&amp;".",IF(AND($A$5&gt;=2,$C155&gt;=2),F155&amp;".",""),IF(AND($A$5&gt;=3,$C155&gt;=3),G155&amp;".",""),IF(AND($A$5&gt;=4,$C155&gt;=4),H155&amp;".",""),IF($C155="S",I155&amp;".","")))</f>
        <v>1.42.7.</v>
      </c>
      <c r="P155" s="203" t="s">
        <v>780</v>
      </c>
      <c r="Q155" s="204" t="n">
        <v>89440</v>
      </c>
      <c r="R155" s="205" t="str">
        <f aca="false">[4]PO!$D$182</f>
        <v>TE, PVC, SOLDÁVEL, DN 25MM, INSTALADO EM RAMAL DE DISTRIBUIÇÃO DE ÁGUA - FORNECIMENTO E INSTALAÇÃO. AF_06/2022</v>
      </c>
      <c r="S155" s="206" t="s">
        <v>666</v>
      </c>
      <c r="T155" s="207" t="n">
        <f aca="true">OFFSET(CÁLCULO!H$15,ROW($T155)-ROW(T$15),0)</f>
        <v>25</v>
      </c>
      <c r="U155" s="208" t="n">
        <f aca="false">[2]PO!$G$182</f>
        <v>11.95</v>
      </c>
      <c r="V155" s="209" t="s">
        <v>690</v>
      </c>
      <c r="W155" s="207" t="n">
        <f aca="false">IF($C155="S",ROUND(IF(TIPOORCAMENTO="Proposto",ORÇAMENTO.CustoUnitario*(1+$AH155),ORÇAMENTO.PrecoUnitarioLicitado),15-13*$AF$10),0)</f>
        <v>15.42</v>
      </c>
      <c r="X155" s="210" t="n">
        <f aca="true" t="array" ref="X155:X155">IF($C155="S",IF(OR(Import.TipoArredondamento&lt;&gt;"TransfereGOV",ACOMPANHAMENTO="BM"),VTOTAL1,SUM(OFFSET(CÁLCULO!$AQ$15,ROW($X155)-ROW($X$15),1):OFFSET(CÁLCULO!$BR$15,ROW($X155)-ROW($X$15),-1))),IF($C155=0,0,ROUND(SomaAgrup,15-13*$AF$11)))</f>
        <v>385.5</v>
      </c>
      <c r="Y155" s="211" t="s">
        <v>781</v>
      </c>
      <c r="Z155" s="1" t="str">
        <f aca="false">IF(AND($C155="S",$X155&gt;0),IF(ISBLANK($Y155),"RA",LEFT($Y155,2)),"")</f>
        <v>RA</v>
      </c>
      <c r="AA155" s="212" t="n">
        <f aca="true">IF($C155="S",IF($Z155="CP",$X155,IF($Z155="RA",(($X155)*QCI!$AA$3),0)),SomaAgrup)</f>
        <v>42.7833784899097</v>
      </c>
      <c r="AB155" s="213" t="n">
        <f aca="true">IF($C155="S",IF($Z155="OU",ROUND($X155,2),0),SomaAgrup)</f>
        <v>0</v>
      </c>
      <c r="AC155" s="214" t="e">
        <f aca="false" t="array" ref="AC155:AC155">IF($N155=""," ",
IF(AND($C155&lt;&gt;"S",OR($R155="",$R155="(digite a descrição aqui)")),"DESCRIÇÃO",
IF(AND($C155="S",OR($Q155&lt;&gt;"",$T155&gt;0,$U155&gt;0),$P155=""),"FONTE",
IF(AND($C155="S",$P155&lt;&gt;"",OR($T155&gt;0,$U155&gt;0),$Q155=""),"CÓDIGO",
IF(AND($C155="S",$P155&lt;&gt;"",$Q155&lt;&gt;"",$R155="(Código não identificado nas referências)"),"CÓDIGO N/ID",
IF(AND($C155="S",OR($R155="",$R155="(digite a descrição aqui)"),OR($Q155&lt;&gt;"",$T155&gt;0,$U155&gt;0)),"DESCRIÇÃO",
IF(AND($C155="S",$P155&lt;&gt;"",$Q155&lt;&gt;"",$S155=""),"UNIDADE",
IF(AND($C155="S",$P155&lt;&gt;"",$Q155&lt;&gt;"",$U155=0),"SEM CUSTO",
IF(AND(_xlfn.single(TIPOORCAMENTO)="Licitado",$AL155=0,$AN155&gt;0),"SEM PREÇO",
IF(AND($C155="S",$P155&lt;&gt;"",$Q155&lt;&gt;"",$U155&gt;0,$V155=0),"BDI",
IF(OR(AND(TIPOORCAMENTO="Proposto",LEFT($O$8,5)&lt;&gt;"(N/D:",$AG155&lt;&gt;"",ORÇAMENTO.CustoUnitario&gt;$AG155),AND(TIPOORCAMENTO="LICITADO",ORÇAMENTO.PrecoUnitarioLicitado&gt;$AN155)),"ACIMA REF.",
IF(AND($C155="S",$P155&lt;&gt;"",$Q155&lt;&gt;"",$T155=0,$U155&gt;0),"QUANT.",
IF(AND(Import.TipoArredondamento="TransfereGOV",$L155="F",$C155="S",LEN($Q155)&gt;13),"Código &gt;13",
IF(AND(Import.TipoArredondamento="TransfereGOV",$L155="F",$C155&lt;&gt;"S",LEN($R155)&gt;100),"Descrição &gt;100",
IF(AND(Import.TipoArredondamento="TransfereGOV",$L155="F",$C155="S",LEN($R155)&gt;500),"Descrição &gt;500",
IF(AND(Import.TipoArredondamento="TransfereGOV",$L155="F",$C155="S",LEFT(TRIM(UPPER($P155)),6)&lt;&gt;"SINAPI",ISNA(VLOOKUP(TRIM(UPPER($S155)),ListaTgov.Unidades,1,FALSE()))),"Unid. Não Disp",
" "))))))))))))))))</f>
        <v>#NAME?</v>
      </c>
      <c r="AD155" s="1" t="str">
        <f aca="true">IF(C155&lt;=CRONO.NivelExibicao,MAX($AD$15:OFFSET(AD155,-1,0))+IF($C155&lt;&gt;1,1,MAX(1,COUNTIF(QCI!$A$13:$A$15,OFFSET($E155,-1,0)))),"")</f>
        <v/>
      </c>
      <c r="AE155" s="50" t="str">
        <f aca="false">IF(AND($C155="S",ORÇAMENTO.CodBarra&lt;&gt;""),IF(ORÇAMENTO.Fonte="",ORÇAMENTO.CodBarra,CONCATENATE(ORÇAMENTO.Fonte," ",ORÇAMENTO.CodBarra)))</f>
        <v>SINAPI 89440</v>
      </c>
      <c r="AF155" s="65" t="str">
        <f aca="true">IF(ISERROR(INDIRECT(ORÇAMENTO.BancoRef)),"(abra o arquivo 'Referência "&amp;Excel_BuiltIn_Database&amp;".xlsm)",IF(OR($C155&lt;&gt;"S",ORÇAMENTO.CodBarra=""),"(Sem Código)",IF(ISERROR(MATCH($AE155,INDIRECT(ORÇAMENTO.BancoRef),0)),"(Código não identificado nas referências)",MATCH($AE155,INDIRECT(ORÇAMENTO.BancoRef),0))))</f>
        <v>(abra o arquivo 'Referência 07-2025.xlsm)</v>
      </c>
      <c r="AG155" s="215" t="n">
        <f aca="true">ROUND(IF(DESONERACAO="sim",REFERENCIA.Desonerado,REFERENCIA.NaoDesonerado),2)</f>
        <v>0</v>
      </c>
      <c r="AH155" s="216" t="n">
        <f aca="false">ROUND(IF(ISNUMBER(ORÇAMENTO.OpcaoBDI),ORÇAMENTO.OpcaoBDI,IF(LEFT(ORÇAMENTO.OpcaoBDI,3)="BDI",HLOOKUP(ORÇAMENTO.OpcaoBDI,$F$4:$H$5,2,FALSE()),0)),15-11*$AF$9)</f>
        <v>0.2904</v>
      </c>
      <c r="AJ155" s="217"/>
      <c r="AL155" s="218"/>
      <c r="AM155" s="219" t="n">
        <f aca="false">$X155</f>
        <v>385.5</v>
      </c>
      <c r="AN155" s="220" t="n">
        <f aca="false">ROUND(ORÇAMENTO.CustoUnitario*(1+$AH155),2)</f>
        <v>15.42</v>
      </c>
    </row>
    <row r="156" customFormat="false" ht="12.75" hidden="false" customHeight="false" outlineLevel="0" collapsed="false">
      <c r="A156" s="1" t="n">
        <f aca="false">CHOOSE(1+LOG(1+2*(ORÇAMENTO.Nivel="Meta")+4*(ORÇAMENTO.Nivel="Nível 2")+8*(ORÇAMENTO.Nivel="Nível 3")+16*(ORÇAMENTO.Nivel="Nível 4")+32*(ORÇAMENTO.Nivel="Serviço"),2),0,1,2,3,4,"S")</f>
        <v>2</v>
      </c>
      <c r="B156" s="1" t="n">
        <f aca="true">IF(OR(C156="s",C156=0),OFFSET(B156,-1,0),C156)</f>
        <v>2</v>
      </c>
      <c r="C156" s="1" t="n">
        <f aca="true">IF(OFFSET(C156,-1,0)="L",1,IF(OFFSET(C156,-1,0)=1,2,IF(OR(A156="s",A156=0),"S",IF(AND(OFFSET(C156,-1,0)=2,A156=4),3,IF(AND(OR(OFFSET(C156,-1,0)="s",OFFSET(C156,-1,0)=0),A156&lt;&gt;"s",A156&gt;OFFSET(B156,-1,0)),OFFSET(B156,-1,0),A156)))))</f>
        <v>2</v>
      </c>
      <c r="D156" s="1" t="n">
        <f aca="false">IF(OR(C156="S",C156=0),0,IF(ISERROR(K156),J156,SMALL(J156:K156,1)))</f>
        <v>15</v>
      </c>
      <c r="E156" s="1" t="n">
        <f aca="true">IF($C156=1,OFFSET(E156,-1,0)+MAX(1,COUNTIF(QCI!$A$13:$A$15,OFFSET(ORÇAMENTO!E156,-1,0))),OFFSET(E156,-1,0))</f>
        <v>1</v>
      </c>
      <c r="F156" s="1" t="n">
        <f aca="true">IF($C156=1,0,IF($C156=2,OFFSET(F156,-1,0)+1,OFFSET(F156,-1,0)))</f>
        <v>43</v>
      </c>
      <c r="G156" s="1" t="n">
        <f aca="true">IF(AND($C156&lt;=2,$C156&lt;&gt;0),0,IF($C156=3,OFFSET(G156,-1,0)+1,OFFSET(G156,-1,0)))</f>
        <v>0</v>
      </c>
      <c r="H156" s="1" t="n">
        <f aca="true">IF(AND($C156&lt;=3,$C156&lt;&gt;0),0,IF($C156=4,OFFSET(H156,-1,0)+1,OFFSET(H156,-1,0)))</f>
        <v>0</v>
      </c>
      <c r="I156" s="1" t="n">
        <f aca="true">IF(AND($C156&lt;=4,$C156&lt;&gt;0),0,IF(AND($C156="S",$X156&gt;0),OFFSET(I156,-1,0)+1,OFFSET(I156,-1,0)))</f>
        <v>0</v>
      </c>
      <c r="J156" s="1" t="n">
        <f aca="true">IF(OR($C156="S",$C156=0),0,MATCH(0,OFFSET($D156,1,$C156,ROW($C$205)-ROW($C156)),0))</f>
        <v>49</v>
      </c>
      <c r="K156" s="1" t="n">
        <f aca="true">IF(OR($C156="S",$C156=0),0,MATCH(OFFSET($D156,0,$C156)+IF($C156&lt;&gt;1,1,COUNTIF(QCI!$A$13:$A$15,ORÇAMENTO!E156)),OFFSET($D156,1,$C156,ROW($C$205)-ROW($C156)),0))</f>
        <v>15</v>
      </c>
      <c r="L156" s="199" t="str">
        <f aca="false">IF(OR($X156&gt;0,$C156=1,$C156=2,$C156=3,$C156=4),"F","")</f>
        <v>F</v>
      </c>
      <c r="M156" s="200" t="s">
        <v>732</v>
      </c>
      <c r="N156" s="201" t="str">
        <f aca="false">CHOOSE(1+LOG(1+2*(C156=1)+4*(C156=2)+8*(C156=3)+16*(C156=4)+32*(C156="S"),2),"","Meta","Nível 2","Nível 3","Nível 4","Serviço")</f>
        <v>Nível 2</v>
      </c>
      <c r="O156" s="202" t="str">
        <f aca="false">IF(OR($C156=0,$L156=""),"-",CONCATENATE(E156&amp;".",IF(AND($A$5&gt;=2,$C156&gt;=2),F156&amp;".",""),IF(AND($A$5&gt;=3,$C156&gt;=3),G156&amp;".",""),IF(AND($A$5&gt;=4,$C156&gt;=4),H156&amp;".",""),IF($C156="S",I156&amp;".","")))</f>
        <v>1.43.</v>
      </c>
      <c r="P156" s="203" t="s">
        <v>780</v>
      </c>
      <c r="Q156" s="204"/>
      <c r="R156" s="205" t="str">
        <f aca="false">[4]PO!$B$183</f>
        <v>CAIXA D'ÁGUA E BARRILETE</v>
      </c>
      <c r="S156" s="206" t="str">
        <f aca="true">REFERENCIA.Unidade</f>
        <v>-</v>
      </c>
      <c r="T156" s="207" t="n">
        <f aca="true">OFFSET(CÁLCULO!H$15,ROW($T156)-ROW(T$15),0)</f>
        <v>0</v>
      </c>
      <c r="U156" s="208"/>
      <c r="V156" s="209" t="s">
        <v>690</v>
      </c>
      <c r="W156" s="207" t="n">
        <f aca="false">IF($C156="S",ROUND(IF(TIPOORCAMENTO="Proposto",ORÇAMENTO.CustoUnitario*(1+$AH156),ORÇAMENTO.PrecoUnitarioLicitado),15-13*$AF$10),0)</f>
        <v>0</v>
      </c>
      <c r="X156" s="210" t="n">
        <f aca="true" t="array" ref="X156:X156">IF($C156="S",IF(OR(Import.TipoArredondamento&lt;&gt;"TransfereGOV",ACOMPANHAMENTO="BM"),VTOTAL1,SUM(OFFSET(CÁLCULO!$AQ$15,ROW($X156)-ROW($X$15),1):OFFSET(CÁLCULO!$BR$15,ROW($X156)-ROW($X$15),-1))),IF($C156=0,0,ROUND(SomaAgrup,15-13*$AF$11)))</f>
        <v>28628</v>
      </c>
      <c r="Y156" s="211" t="s">
        <v>781</v>
      </c>
      <c r="Z156" s="1" t="str">
        <f aca="false">IF(AND($C156="S",$X156&gt;0),IF(ISBLANK($Y156),"RA",LEFT($Y156,2)),"")</f>
        <v/>
      </c>
      <c r="AA156" s="212" t="n">
        <f aca="true">IF($C156="S",IF($Z156="CP",$X156,IF($Z156="RA",(($X156)*QCI!$AA$3),0)),SomaAgrup)</f>
        <v>3177.17914243615</v>
      </c>
      <c r="AB156" s="213" t="n">
        <f aca="true">IF($C156="S",IF($Z156="OU",ROUND($X156,2),0),SomaAgrup)</f>
        <v>0</v>
      </c>
      <c r="AC156" s="214" t="e">
        <f aca="false" t="array" ref="AC156:AC156">IF($N156=""," ",
IF(AND($C156&lt;&gt;"S",OR($R156="",$R156="(digite a descrição aqui)")),"DESCRIÇÃO",
IF(AND($C156="S",OR($Q156&lt;&gt;"",$T156&gt;0,$U156&gt;0),$P156=""),"FONTE",
IF(AND($C156="S",$P156&lt;&gt;"",OR($T156&gt;0,$U156&gt;0),$Q156=""),"CÓDIGO",
IF(AND($C156="S",$P156&lt;&gt;"",$Q156&lt;&gt;"",$R156="(Código não identificado nas referências)"),"CÓDIGO N/ID",
IF(AND($C156="S",OR($R156="",$R156="(digite a descrição aqui)"),OR($Q156&lt;&gt;"",$T156&gt;0,$U156&gt;0)),"DESCRIÇÃO",
IF(AND($C156="S",$P156&lt;&gt;"",$Q156&lt;&gt;"",$S156=""),"UNIDADE",
IF(AND($C156="S",$P156&lt;&gt;"",$Q156&lt;&gt;"",$U156=0),"SEM CUSTO",
IF(AND(_xlfn.single(TIPOORCAMENTO)="Licitado",$AL156=0,$AN156&gt;0),"SEM PREÇO",
IF(AND($C156="S",$P156&lt;&gt;"",$Q156&lt;&gt;"",$U156&gt;0,$V156=0),"BDI",
IF(OR(AND(TIPOORCAMENTO="Proposto",LEFT($O$8,5)&lt;&gt;"(N/D:",$AG156&lt;&gt;"",ORÇAMENTO.CustoUnitario&gt;$AG156),AND(TIPOORCAMENTO="LICITADO",ORÇAMENTO.PrecoUnitarioLicitado&gt;$AN156)),"ACIMA REF.",
IF(AND($C156="S",$P156&lt;&gt;"",$Q156&lt;&gt;"",$T156=0,$U156&gt;0),"QUANT.",
IF(AND(Import.TipoArredondamento="TransfereGOV",$L156="F",$C156="S",LEN($Q156)&gt;13),"Código &gt;13",
IF(AND(Import.TipoArredondamento="TransfereGOV",$L156="F",$C156&lt;&gt;"S",LEN($R156)&gt;100),"Descrição &gt;100",
IF(AND(Import.TipoArredondamento="TransfereGOV",$L156="F",$C156="S",LEN($R156)&gt;500),"Descrição &gt;500",
IF(AND(Import.TipoArredondamento="TransfereGOV",$L156="F",$C156="S",LEFT(TRIM(UPPER($P156)),6)&lt;&gt;"SINAPI",ISNA(VLOOKUP(TRIM(UPPER($S156)),ListaTgov.Unidades,1,FALSE()))),"Unid. Não Disp",
" "))))))))))))))))</f>
        <v>#NAME?</v>
      </c>
      <c r="AD156" s="38" t="n">
        <f aca="true">IF(C156&lt;=CRONO.NivelExibicao,MAX($AD$15:OFFSET(AD156,-1,0))+IF($C156&lt;&gt;1,1,MAX(1,COUNTIF(QCI!$A$13:$A$15,OFFSET($E156,-1,0)))),"")</f>
        <v>44</v>
      </c>
      <c r="AE156" s="50" t="b">
        <f aca="false">IF(AND($C156="S",ORÇAMENTO.CodBarra&lt;&gt;""),IF(ORÇAMENTO.Fonte="",ORÇAMENTO.CodBarra,CONCATENATE(ORÇAMENTO.Fonte," ",ORÇAMENTO.CodBarra)))</f>
        <v>0</v>
      </c>
      <c r="AF156" s="65" t="str">
        <f aca="true">IF(ISERROR(INDIRECT(ORÇAMENTO.BancoRef)),"(abra o arquivo 'Referência "&amp;Excel_BuiltIn_Database&amp;".xlsm)",IF(OR($C156&lt;&gt;"S",ORÇAMENTO.CodBarra=""),"(Sem Código)",IF(ISERROR(MATCH($AE156,INDIRECT(ORÇAMENTO.BancoRef),0)),"(Código não identificado nas referências)",MATCH($AE156,INDIRECT(ORÇAMENTO.BancoRef),0))))</f>
        <v>(abra o arquivo 'Referência 07-2025.xlsm)</v>
      </c>
      <c r="AG156" s="215" t="n">
        <f aca="true">ROUND(IF(DESONERACAO="sim",REFERENCIA.Desonerado,REFERENCIA.NaoDesonerado),2)</f>
        <v>0</v>
      </c>
      <c r="AH156" s="216" t="n">
        <f aca="false">ROUND(IF(ISNUMBER(ORÇAMENTO.OpcaoBDI),ORÇAMENTO.OpcaoBDI,IF(LEFT(ORÇAMENTO.OpcaoBDI,3)="BDI",HLOOKUP(ORÇAMENTO.OpcaoBDI,$F$4:$H$5,2,FALSE()),0)),15-11*$AF$9)</f>
        <v>0.2904</v>
      </c>
      <c r="AJ156" s="217"/>
      <c r="AL156" s="218"/>
      <c r="AM156" s="219" t="n">
        <f aca="false">$X156</f>
        <v>28628</v>
      </c>
      <c r="AN156" s="220" t="n">
        <f aca="false">ROUND(ORÇAMENTO.CustoUnitario*(1+$AH156),2)</f>
        <v>0</v>
      </c>
    </row>
    <row r="157" customFormat="false" ht="23.85" hidden="false" customHeight="false" outlineLevel="0" collapsed="false">
      <c r="A157" s="1" t="str">
        <f aca="false">CHOOSE(1+LOG(1+2*(ORÇAMENTO.Nivel="Meta")+4*(ORÇAMENTO.Nivel="Nível 2")+8*(ORÇAMENTO.Nivel="Nível 3")+16*(ORÇAMENTO.Nivel="Nível 4")+32*(ORÇAMENTO.Nivel="Serviço"),2),0,1,2,3,4,"S")</f>
        <v>S</v>
      </c>
      <c r="B157" s="1" t="n">
        <f aca="true">IF(OR(C157="s",C157=0),OFFSET(B157,-1,0),C157)</f>
        <v>2</v>
      </c>
      <c r="C157" s="1" t="str">
        <f aca="true">IF(OFFSET(C157,-1,0)="L",1,IF(OFFSET(C157,-1,0)=1,2,IF(OR(A157="s",A157=0),"S",IF(AND(OFFSET(C157,-1,0)=2,A157=4),3,IF(AND(OR(OFFSET(C157,-1,0)="s",OFFSET(C157,-1,0)=0),A157&lt;&gt;"s",A157&gt;OFFSET(B157,-1,0)),OFFSET(B157,-1,0),A157)))))</f>
        <v>S</v>
      </c>
      <c r="D157" s="1" t="n">
        <f aca="false">IF(OR(C157="S",C157=0),0,IF(ISERROR(K157),J157,SMALL(J157:K157,1)))</f>
        <v>0</v>
      </c>
      <c r="E157" s="1" t="n">
        <f aca="true">IF($C157=1,OFFSET(E157,-1,0)+MAX(1,COUNTIF(QCI!$A$13:$A$15,OFFSET(ORÇAMENTO!E157,-1,0))),OFFSET(E157,-1,0))</f>
        <v>1</v>
      </c>
      <c r="F157" s="1" t="n">
        <f aca="true">IF($C157=1,0,IF($C157=2,OFFSET(F157,-1,0)+1,OFFSET(F157,-1,0)))</f>
        <v>43</v>
      </c>
      <c r="G157" s="1" t="n">
        <f aca="true">IF(AND($C157&lt;=2,$C157&lt;&gt;0),0,IF($C157=3,OFFSET(G157,-1,0)+1,OFFSET(G157,-1,0)))</f>
        <v>0</v>
      </c>
      <c r="H157" s="1" t="n">
        <f aca="true">IF(AND($C157&lt;=3,$C157&lt;&gt;0),0,IF($C157=4,OFFSET(H157,-1,0)+1,OFFSET(H157,-1,0)))</f>
        <v>0</v>
      </c>
      <c r="I157" s="1" t="n">
        <f aca="true">IF(AND($C157&lt;=4,$C157&lt;&gt;0),0,IF(AND($C157="S",$X157&gt;0),OFFSET(I157,-1,0)+1,OFFSET(I157,-1,0)))</f>
        <v>1</v>
      </c>
      <c r="J157" s="1" t="n">
        <f aca="true">IF(OR($C157="S",$C157=0),0,MATCH(0,OFFSET($D157,1,$C157,ROW($C$205)-ROW($C157)),0))</f>
        <v>0</v>
      </c>
      <c r="K157" s="1" t="n">
        <f aca="true">IF(OR($C157="S",$C157=0),0,MATCH(OFFSET($D157,0,$C157)+IF($C157&lt;&gt;1,1,COUNTIF(QCI!$A$13:$A$15,ORÇAMENTO!E157)),OFFSET($D157,1,$C157,ROW($C$205)-ROW($C157)),0))</f>
        <v>0</v>
      </c>
      <c r="L157" s="199" t="str">
        <f aca="false">IF(OR($X157&gt;0,$C157=1,$C157=2,$C157=3,$C157=4),"F","")</f>
        <v>F</v>
      </c>
      <c r="M157" s="200" t="s">
        <v>735</v>
      </c>
      <c r="N157" s="201" t="str">
        <f aca="false">CHOOSE(1+LOG(1+2*(C157=1)+4*(C157=2)+8*(C157=3)+16*(C157=4)+32*(C157="S"),2),"","Meta","Nível 2","Nível 3","Nível 4","Serviço")</f>
        <v>Serviço</v>
      </c>
      <c r="O157" s="202" t="str">
        <f aca="false">IF(OR($C157=0,$L157=""),"-",CONCATENATE(E157&amp;".",IF(AND($A$5&gt;=2,$C157&gt;=2),F157&amp;".",""),IF(AND($A$5&gt;=3,$C157&gt;=3),G157&amp;".",""),IF(AND($A$5&gt;=4,$C157&gt;=4),H157&amp;".",""),IF($C157="S",I157&amp;".","")))</f>
        <v>1.43.1.</v>
      </c>
      <c r="P157" s="203" t="s">
        <v>780</v>
      </c>
      <c r="Q157" s="204" t="n">
        <v>102605</v>
      </c>
      <c r="R157" s="205" t="str">
        <f aca="false">[4]PO!$D$184</f>
        <v>CAIXA D´ÁGUA EM POLIETILENO, 500 LITROS - FORNECIMENTO E INSTALAÇÃO. AF_06/2021</v>
      </c>
      <c r="S157" s="206" t="s">
        <v>666</v>
      </c>
      <c r="T157" s="207" t="n">
        <f aca="true">OFFSET(CÁLCULO!H$15,ROW($T157)-ROW(T$15),0)</f>
        <v>25</v>
      </c>
      <c r="U157" s="208" t="n">
        <f aca="false">[2]PO!$G$184</f>
        <v>302.22</v>
      </c>
      <c r="V157" s="209" t="s">
        <v>690</v>
      </c>
      <c r="W157" s="207" t="n">
        <f aca="false">IF($C157="S",ROUND(IF(TIPOORCAMENTO="Proposto",ORÇAMENTO.CustoUnitario*(1+$AH157),ORÇAMENTO.PrecoUnitarioLicitado),15-13*$AF$10),0)</f>
        <v>389.98</v>
      </c>
      <c r="X157" s="210" t="n">
        <f aca="true" t="array" ref="X157:X157">IF($C157="S",IF(OR(Import.TipoArredondamento&lt;&gt;"TransfereGOV",ACOMPANHAMENTO="BM"),VTOTAL1,SUM(OFFSET(CÁLCULO!$AQ$15,ROW($X157)-ROW($X$15),1):OFFSET(CÁLCULO!$BR$15,ROW($X157)-ROW($X$15),-1))),IF($C157=0,0,ROUND(SomaAgrup,15-13*$AF$11)))</f>
        <v>9749.5</v>
      </c>
      <c r="Y157" s="211" t="s">
        <v>781</v>
      </c>
      <c r="Z157" s="1" t="str">
        <f aca="false">IF(AND($C157="S",$X157&gt;0),IF(ISBLANK($Y157),"RA",LEFT($Y157,2)),"")</f>
        <v>RA</v>
      </c>
      <c r="AA157" s="212" t="n">
        <f aca="true">IF($C157="S",IF($Z157="CP",$X157,IF($Z157="RA",(($X157)*QCI!$AA$3),0)),SomaAgrup)</f>
        <v>1082.01439322276</v>
      </c>
      <c r="AB157" s="213" t="n">
        <f aca="true">IF($C157="S",IF($Z157="OU",ROUND($X157,2),0),SomaAgrup)</f>
        <v>0</v>
      </c>
      <c r="AC157" s="214" t="e">
        <f aca="false" t="array" ref="AC157:AC157">IF($N157=""," ",
IF(AND($C157&lt;&gt;"S",OR($R157="",$R157="(digite a descrição aqui)")),"DESCRIÇÃO",
IF(AND($C157="S",OR($Q157&lt;&gt;"",$T157&gt;0,$U157&gt;0),$P157=""),"FONTE",
IF(AND($C157="S",$P157&lt;&gt;"",OR($T157&gt;0,$U157&gt;0),$Q157=""),"CÓDIGO",
IF(AND($C157="S",$P157&lt;&gt;"",$Q157&lt;&gt;"",$R157="(Código não identificado nas referências)"),"CÓDIGO N/ID",
IF(AND($C157="S",OR($R157="",$R157="(digite a descrição aqui)"),OR($Q157&lt;&gt;"",$T157&gt;0,$U157&gt;0)),"DESCRIÇÃO",
IF(AND($C157="S",$P157&lt;&gt;"",$Q157&lt;&gt;"",$S157=""),"UNIDADE",
IF(AND($C157="S",$P157&lt;&gt;"",$Q157&lt;&gt;"",$U157=0),"SEM CUSTO",
IF(AND(_xlfn.single(TIPOORCAMENTO)="Licitado",$AL157=0,$AN157&gt;0),"SEM PREÇO",
IF(AND($C157="S",$P157&lt;&gt;"",$Q157&lt;&gt;"",$U157&gt;0,$V157=0),"BDI",
IF(OR(AND(TIPOORCAMENTO="Proposto",LEFT($O$8,5)&lt;&gt;"(N/D:",$AG157&lt;&gt;"",ORÇAMENTO.CustoUnitario&gt;$AG157),AND(TIPOORCAMENTO="LICITADO",ORÇAMENTO.PrecoUnitarioLicitado&gt;$AN157)),"ACIMA REF.",
IF(AND($C157="S",$P157&lt;&gt;"",$Q157&lt;&gt;"",$T157=0,$U157&gt;0),"QUANT.",
IF(AND(Import.TipoArredondamento="TransfereGOV",$L157="F",$C157="S",LEN($Q157)&gt;13),"Código &gt;13",
IF(AND(Import.TipoArredondamento="TransfereGOV",$L157="F",$C157&lt;&gt;"S",LEN($R157)&gt;100),"Descrição &gt;100",
IF(AND(Import.TipoArredondamento="TransfereGOV",$L157="F",$C157="S",LEN($R157)&gt;500),"Descrição &gt;500",
IF(AND(Import.TipoArredondamento="TransfereGOV",$L157="F",$C157="S",LEFT(TRIM(UPPER($P157)),6)&lt;&gt;"SINAPI",ISNA(VLOOKUP(TRIM(UPPER($S157)),ListaTgov.Unidades,1,FALSE()))),"Unid. Não Disp",
" "))))))))))))))))</f>
        <v>#NAME?</v>
      </c>
      <c r="AD157" s="1" t="str">
        <f aca="true">IF(C157&lt;=CRONO.NivelExibicao,MAX($AD$15:OFFSET(AD157,-1,0))+IF($C157&lt;&gt;1,1,MAX(1,COUNTIF(QCI!$A$13:$A$15,OFFSET($E157,-1,0)))),"")</f>
        <v/>
      </c>
      <c r="AE157" s="50" t="str">
        <f aca="false">IF(AND($C157="S",ORÇAMENTO.CodBarra&lt;&gt;""),IF(ORÇAMENTO.Fonte="",ORÇAMENTO.CodBarra,CONCATENATE(ORÇAMENTO.Fonte," ",ORÇAMENTO.CodBarra)))</f>
        <v>SINAPI 102605</v>
      </c>
      <c r="AF157" s="65" t="str">
        <f aca="true">IF(ISERROR(INDIRECT(ORÇAMENTO.BancoRef)),"(abra o arquivo 'Referência "&amp;Excel_BuiltIn_Database&amp;".xlsm)",IF(OR($C157&lt;&gt;"S",ORÇAMENTO.CodBarra=""),"(Sem Código)",IF(ISERROR(MATCH($AE157,INDIRECT(ORÇAMENTO.BancoRef),0)),"(Código não identificado nas referências)",MATCH($AE157,INDIRECT(ORÇAMENTO.BancoRef),0))))</f>
        <v>(abra o arquivo 'Referência 07-2025.xlsm)</v>
      </c>
      <c r="AG157" s="215" t="n">
        <f aca="true">ROUND(IF(DESONERACAO="sim",REFERENCIA.Desonerado,REFERENCIA.NaoDesonerado),2)</f>
        <v>0</v>
      </c>
      <c r="AH157" s="216" t="n">
        <f aca="false">ROUND(IF(ISNUMBER(ORÇAMENTO.OpcaoBDI),ORÇAMENTO.OpcaoBDI,IF(LEFT(ORÇAMENTO.OpcaoBDI,3)="BDI",HLOOKUP(ORÇAMENTO.OpcaoBDI,$F$4:$H$5,2,FALSE()),0)),15-11*$AF$9)</f>
        <v>0.2904</v>
      </c>
      <c r="AJ157" s="217"/>
      <c r="AL157" s="218"/>
      <c r="AM157" s="219" t="n">
        <f aca="false">$X157</f>
        <v>9749.5</v>
      </c>
      <c r="AN157" s="220" t="n">
        <f aca="false">ROUND(ORÇAMENTO.CustoUnitario*(1+$AH157),2)</f>
        <v>389.98</v>
      </c>
    </row>
    <row r="158" customFormat="false" ht="23.85" hidden="false" customHeight="false" outlineLevel="0" collapsed="false">
      <c r="A158" s="1" t="str">
        <f aca="false">CHOOSE(1+LOG(1+2*(ORÇAMENTO.Nivel="Meta")+4*(ORÇAMENTO.Nivel="Nível 2")+8*(ORÇAMENTO.Nivel="Nível 3")+16*(ORÇAMENTO.Nivel="Nível 4")+32*(ORÇAMENTO.Nivel="Serviço"),2),0,1,2,3,4,"S")</f>
        <v>S</v>
      </c>
      <c r="B158" s="1" t="n">
        <f aca="true">IF(OR(C158="s",C158=0),OFFSET(B158,-1,0),C158)</f>
        <v>2</v>
      </c>
      <c r="C158" s="1" t="str">
        <f aca="true">IF(OFFSET(C158,-1,0)="L",1,IF(OFFSET(C158,-1,0)=1,2,IF(OR(A158="s",A158=0),"S",IF(AND(OFFSET(C158,-1,0)=2,A158=4),3,IF(AND(OR(OFFSET(C158,-1,0)="s",OFFSET(C158,-1,0)=0),A158&lt;&gt;"s",A158&gt;OFFSET(B158,-1,0)),OFFSET(B158,-1,0),A158)))))</f>
        <v>S</v>
      </c>
      <c r="D158" s="1" t="n">
        <f aca="false">IF(OR(C158="S",C158=0),0,IF(ISERROR(K158),J158,SMALL(J158:K158,1)))</f>
        <v>0</v>
      </c>
      <c r="E158" s="1" t="n">
        <f aca="true">IF($C158=1,OFFSET(E158,-1,0)+MAX(1,COUNTIF(QCI!$A$13:$A$15,OFFSET(ORÇAMENTO!E158,-1,0))),OFFSET(E158,-1,0))</f>
        <v>1</v>
      </c>
      <c r="F158" s="1" t="n">
        <f aca="true">IF($C158=1,0,IF($C158=2,OFFSET(F158,-1,0)+1,OFFSET(F158,-1,0)))</f>
        <v>43</v>
      </c>
      <c r="G158" s="1" t="n">
        <f aca="true">IF(AND($C158&lt;=2,$C158&lt;&gt;0),0,IF($C158=3,OFFSET(G158,-1,0)+1,OFFSET(G158,-1,0)))</f>
        <v>0</v>
      </c>
      <c r="H158" s="1" t="n">
        <f aca="true">IF(AND($C158&lt;=3,$C158&lt;&gt;0),0,IF($C158=4,OFFSET(H158,-1,0)+1,OFFSET(H158,-1,0)))</f>
        <v>0</v>
      </c>
      <c r="I158" s="1" t="n">
        <f aca="true">IF(AND($C158&lt;=4,$C158&lt;&gt;0),0,IF(AND($C158="S",$X158&gt;0),OFFSET(I158,-1,0)+1,OFFSET(I158,-1,0)))</f>
        <v>2</v>
      </c>
      <c r="J158" s="1" t="n">
        <f aca="true">IF(OR($C158="S",$C158=0),0,MATCH(0,OFFSET($D158,1,$C158,ROW($C$205)-ROW($C158)),0))</f>
        <v>0</v>
      </c>
      <c r="K158" s="1" t="n">
        <f aca="true">IF(OR($C158="S",$C158=0),0,MATCH(OFFSET($D158,0,$C158)+IF($C158&lt;&gt;1,1,COUNTIF(QCI!$A$13:$A$15,ORÇAMENTO!E158)),OFFSET($D158,1,$C158,ROW($C$205)-ROW($C158)),0))</f>
        <v>0</v>
      </c>
      <c r="L158" s="199" t="str">
        <f aca="false">IF(OR($X158&gt;0,$C158=1,$C158=2,$C158=3,$C158=4),"F","")</f>
        <v>F</v>
      </c>
      <c r="M158" s="200" t="s">
        <v>735</v>
      </c>
      <c r="N158" s="201" t="str">
        <f aca="false">CHOOSE(1+LOG(1+2*(C158=1)+4*(C158=2)+8*(C158=3)+16*(C158=4)+32*(C158="S"),2),"","Meta","Nível 2","Nível 3","Nível 4","Serviço")</f>
        <v>Serviço</v>
      </c>
      <c r="O158" s="202" t="str">
        <f aca="false">IF(OR($C158=0,$L158=""),"-",CONCATENATE(E158&amp;".",IF(AND($A$5&gt;=2,$C158&gt;=2),F158&amp;".",""),IF(AND($A$5&gt;=3,$C158&gt;=3),G158&amp;".",""),IF(AND($A$5&gt;=4,$C158&gt;=4),H158&amp;".",""),IF($C158="S",I158&amp;".","")))</f>
        <v>1.43.2.</v>
      </c>
      <c r="P158" s="203" t="s">
        <v>780</v>
      </c>
      <c r="Q158" s="204" t="n">
        <v>102591</v>
      </c>
      <c r="R158" s="205" t="str">
        <f aca="false">[4]PO!$D$185</f>
        <v>FURO EM CAIXA D'ÁGUA COM ESPESSURA DE 2 ATÉ 5 MM E DIÂMETRO DE 25 MM. AF_06/2021</v>
      </c>
      <c r="S158" s="206" t="s">
        <v>666</v>
      </c>
      <c r="T158" s="207" t="n">
        <f aca="true">OFFSET(CÁLCULO!H$15,ROW($T158)-ROW(T$15),0)</f>
        <v>25</v>
      </c>
      <c r="U158" s="208" t="n">
        <v>4.3</v>
      </c>
      <c r="V158" s="209" t="s">
        <v>690</v>
      </c>
      <c r="W158" s="207" t="n">
        <f aca="false">IF($C158="S",ROUND(IF(TIPOORCAMENTO="Proposto",ORÇAMENTO.CustoUnitario*(1+$AH158),ORÇAMENTO.PrecoUnitarioLicitado),15-13*$AF$10),0)</f>
        <v>5.55</v>
      </c>
      <c r="X158" s="210" t="n">
        <f aca="true" t="array" ref="X158:X158">IF($C158="S",IF(OR(Import.TipoArredondamento&lt;&gt;"TransfereGOV",ACOMPANHAMENTO="BM"),VTOTAL1,SUM(OFFSET(CÁLCULO!$AQ$15,ROW($X158)-ROW($X$15),1):OFFSET(CÁLCULO!$BR$15,ROW($X158)-ROW($X$15),-1))),IF($C158=0,0,ROUND(SomaAgrup,15-13*$AF$11)))</f>
        <v>138.75</v>
      </c>
      <c r="Y158" s="211" t="s">
        <v>781</v>
      </c>
      <c r="Z158" s="1" t="str">
        <f aca="false">IF(AND($C158="S",$X158&gt;0),IF(ISBLANK($Y158),"RA",LEFT($Y158,2)),"")</f>
        <v>RA</v>
      </c>
      <c r="AA158" s="212" t="n">
        <f aca="true">IF($C158="S",IF($Z158="CP",$X158,IF($Z158="RA",(($X158)*QCI!$AA$3),0)),SomaAgrup)</f>
        <v>15.3986868105706</v>
      </c>
      <c r="AB158" s="213" t="n">
        <f aca="true">IF($C158="S",IF($Z158="OU",ROUND($X158,2),0),SomaAgrup)</f>
        <v>0</v>
      </c>
      <c r="AC158" s="214" t="e">
        <f aca="false" t="array" ref="AC158:AC158">IF($N158=""," ",
IF(AND($C158&lt;&gt;"S",OR($R158="",$R158="(digite a descrição aqui)")),"DESCRIÇÃO",
IF(AND($C158="S",OR($Q158&lt;&gt;"",$T158&gt;0,$U158&gt;0),$P158=""),"FONTE",
IF(AND($C158="S",$P158&lt;&gt;"",OR($T158&gt;0,$U158&gt;0),$Q158=""),"CÓDIGO",
IF(AND($C158="S",$P158&lt;&gt;"",$Q158&lt;&gt;"",$R158="(Código não identificado nas referências)"),"CÓDIGO N/ID",
IF(AND($C158="S",OR($R158="",$R158="(digite a descrição aqui)"),OR($Q158&lt;&gt;"",$T158&gt;0,$U158&gt;0)),"DESCRIÇÃO",
IF(AND($C158="S",$P158&lt;&gt;"",$Q158&lt;&gt;"",$S158=""),"UNIDADE",
IF(AND($C158="S",$P158&lt;&gt;"",$Q158&lt;&gt;"",$U158=0),"SEM CUSTO",
IF(AND(_xlfn.single(TIPOORCAMENTO)="Licitado",$AL158=0,$AN158&gt;0),"SEM PREÇO",
IF(AND($C158="S",$P158&lt;&gt;"",$Q158&lt;&gt;"",$U158&gt;0,$V158=0),"BDI",
IF(OR(AND(TIPOORCAMENTO="Proposto",LEFT($O$8,5)&lt;&gt;"(N/D:",$AG158&lt;&gt;"",ORÇAMENTO.CustoUnitario&gt;$AG158),AND(TIPOORCAMENTO="LICITADO",ORÇAMENTO.PrecoUnitarioLicitado&gt;$AN158)),"ACIMA REF.",
IF(AND($C158="S",$P158&lt;&gt;"",$Q158&lt;&gt;"",$T158=0,$U158&gt;0),"QUANT.",
IF(AND(Import.TipoArredondamento="TransfereGOV",$L158="F",$C158="S",LEN($Q158)&gt;13),"Código &gt;13",
IF(AND(Import.TipoArredondamento="TransfereGOV",$L158="F",$C158&lt;&gt;"S",LEN($R158)&gt;100),"Descrição &gt;100",
IF(AND(Import.TipoArredondamento="TransfereGOV",$L158="F",$C158="S",LEN($R158)&gt;500),"Descrição &gt;500",
IF(AND(Import.TipoArredondamento="TransfereGOV",$L158="F",$C158="S",LEFT(TRIM(UPPER($P158)),6)&lt;&gt;"SINAPI",ISNA(VLOOKUP(TRIM(UPPER($S158)),ListaTgov.Unidades,1,FALSE()))),"Unid. Não Disp",
" "))))))))))))))))</f>
        <v>#NAME?</v>
      </c>
      <c r="AD158" s="1" t="str">
        <f aca="true">IF(C158&lt;=CRONO.NivelExibicao,MAX($AD$15:OFFSET(AD158,-1,0))+IF($C158&lt;&gt;1,1,MAX(1,COUNTIF(QCI!$A$13:$A$15,OFFSET($E158,-1,0)))),"")</f>
        <v/>
      </c>
      <c r="AE158" s="50" t="str">
        <f aca="false">IF(AND($C158="S",ORÇAMENTO.CodBarra&lt;&gt;""),IF(ORÇAMENTO.Fonte="",ORÇAMENTO.CodBarra,CONCATENATE(ORÇAMENTO.Fonte," ",ORÇAMENTO.CodBarra)))</f>
        <v>SINAPI 102591</v>
      </c>
      <c r="AF158" s="65" t="str">
        <f aca="true">IF(ISERROR(INDIRECT(ORÇAMENTO.BancoRef)),"(abra o arquivo 'Referência "&amp;Excel_BuiltIn_Database&amp;".xlsm)",IF(OR($C158&lt;&gt;"S",ORÇAMENTO.CodBarra=""),"(Sem Código)",IF(ISERROR(MATCH($AE158,INDIRECT(ORÇAMENTO.BancoRef),0)),"(Código não identificado nas referências)",MATCH($AE158,INDIRECT(ORÇAMENTO.BancoRef),0))))</f>
        <v>(abra o arquivo 'Referência 07-2025.xlsm)</v>
      </c>
      <c r="AG158" s="215" t="n">
        <f aca="true">ROUND(IF(DESONERACAO="sim",REFERENCIA.Desonerado,REFERENCIA.NaoDesonerado),2)</f>
        <v>0</v>
      </c>
      <c r="AH158" s="216" t="n">
        <f aca="false">ROUND(IF(ISNUMBER(ORÇAMENTO.OpcaoBDI),ORÇAMENTO.OpcaoBDI,IF(LEFT(ORÇAMENTO.OpcaoBDI,3)="BDI",HLOOKUP(ORÇAMENTO.OpcaoBDI,$F$4:$H$5,2,FALSE()),0)),15-11*$AF$9)</f>
        <v>0.2904</v>
      </c>
      <c r="AJ158" s="217"/>
      <c r="AL158" s="218"/>
      <c r="AM158" s="219" t="n">
        <f aca="false">$X158</f>
        <v>138.75</v>
      </c>
      <c r="AN158" s="220" t="n">
        <f aca="false">ROUND(ORÇAMENTO.CustoUnitario*(1+$AH158),2)</f>
        <v>5.55</v>
      </c>
    </row>
    <row r="159" customFormat="false" ht="23.85" hidden="false" customHeight="false" outlineLevel="0" collapsed="false">
      <c r="A159" s="1" t="str">
        <f aca="false">CHOOSE(1+LOG(1+2*(ORÇAMENTO.Nivel="Meta")+4*(ORÇAMENTO.Nivel="Nível 2")+8*(ORÇAMENTO.Nivel="Nível 3")+16*(ORÇAMENTO.Nivel="Nível 4")+32*(ORÇAMENTO.Nivel="Serviço"),2),0,1,2,3,4,"S")</f>
        <v>S</v>
      </c>
      <c r="B159" s="1" t="n">
        <f aca="true">IF(OR(C159="s",C159=0),OFFSET(B159,-1,0),C159)</f>
        <v>2</v>
      </c>
      <c r="C159" s="1" t="str">
        <f aca="true">IF(OFFSET(C159,-1,0)="L",1,IF(OFFSET(C159,-1,0)=1,2,IF(OR(A159="s",A159=0),"S",IF(AND(OFFSET(C159,-1,0)=2,A159=4),3,IF(AND(OR(OFFSET(C159,-1,0)="s",OFFSET(C159,-1,0)=0),A159&lt;&gt;"s",A159&gt;OFFSET(B159,-1,0)),OFFSET(B159,-1,0),A159)))))</f>
        <v>S</v>
      </c>
      <c r="D159" s="1" t="n">
        <f aca="false">IF(OR(C159="S",C159=0),0,IF(ISERROR(K159),J159,SMALL(J159:K159,1)))</f>
        <v>0</v>
      </c>
      <c r="E159" s="1" t="n">
        <f aca="true">IF($C159=1,OFFSET(E159,-1,0)+MAX(1,COUNTIF(QCI!$A$13:$A$15,OFFSET(ORÇAMENTO!E159,-1,0))),OFFSET(E159,-1,0))</f>
        <v>1</v>
      </c>
      <c r="F159" s="1" t="n">
        <f aca="true">IF($C159=1,0,IF($C159=2,OFFSET(F159,-1,0)+1,OFFSET(F159,-1,0)))</f>
        <v>43</v>
      </c>
      <c r="G159" s="1" t="n">
        <f aca="true">IF(AND($C159&lt;=2,$C159&lt;&gt;0),0,IF($C159=3,OFFSET(G159,-1,0)+1,OFFSET(G159,-1,0)))</f>
        <v>0</v>
      </c>
      <c r="H159" s="1" t="n">
        <f aca="true">IF(AND($C159&lt;=3,$C159&lt;&gt;0),0,IF($C159=4,OFFSET(H159,-1,0)+1,OFFSET(H159,-1,0)))</f>
        <v>0</v>
      </c>
      <c r="I159" s="1" t="n">
        <f aca="true">IF(AND($C159&lt;=4,$C159&lt;&gt;0),0,IF(AND($C159="S",$X159&gt;0),OFFSET(I159,-1,0)+1,OFFSET(I159,-1,0)))</f>
        <v>3</v>
      </c>
      <c r="J159" s="1" t="n">
        <f aca="true">IF(OR($C159="S",$C159=0),0,MATCH(0,OFFSET($D159,1,$C159,ROW($C$205)-ROW($C159)),0))</f>
        <v>0</v>
      </c>
      <c r="K159" s="1" t="n">
        <f aca="true">IF(OR($C159="S",$C159=0),0,MATCH(OFFSET($D159,0,$C159)+IF($C159&lt;&gt;1,1,COUNTIF(QCI!$A$13:$A$15,ORÇAMENTO!E159)),OFFSET($D159,1,$C159,ROW($C$205)-ROW($C159)),0))</f>
        <v>0</v>
      </c>
      <c r="L159" s="199" t="str">
        <f aca="false">IF(OR($X159&gt;0,$C159=1,$C159=2,$C159=3,$C159=4),"F","")</f>
        <v>F</v>
      </c>
      <c r="M159" s="200" t="s">
        <v>735</v>
      </c>
      <c r="N159" s="201" t="str">
        <f aca="false">CHOOSE(1+LOG(1+2*(C159=1)+4*(C159=2)+8*(C159=3)+16*(C159=4)+32*(C159="S"),2),"","Meta","Nível 2","Nível 3","Nível 4","Serviço")</f>
        <v>Serviço</v>
      </c>
      <c r="O159" s="202" t="str">
        <f aca="false">IF(OR($C159=0,$L159=""),"-",CONCATENATE(E159&amp;".",IF(AND($A$5&gt;=2,$C159&gt;=2),F159&amp;".",""),IF(AND($A$5&gt;=3,$C159&gt;=3),G159&amp;".",""),IF(AND($A$5&gt;=4,$C159&gt;=4),H159&amp;".",""),IF($C159="S",I159&amp;".","")))</f>
        <v>1.43.3.</v>
      </c>
      <c r="P159" s="203" t="s">
        <v>780</v>
      </c>
      <c r="Q159" s="204" t="n">
        <v>102593</v>
      </c>
      <c r="R159" s="205" t="str">
        <f aca="false">[4]PO!$D$186</f>
        <v>FURO EM CAIXA D'ÁGUA COM ESPESSURA DE 2 ATÉ 5 MM E DIÂMETRO DE 32 MM. AF_06/2021</v>
      </c>
      <c r="S159" s="206" t="s">
        <v>666</v>
      </c>
      <c r="T159" s="207" t="n">
        <f aca="true">OFFSET(CÁLCULO!H$15,ROW($T159)-ROW(T$15),0)</f>
        <v>50</v>
      </c>
      <c r="U159" s="208" t="n">
        <f aca="false">[2]PO!$G$186</f>
        <v>4.86</v>
      </c>
      <c r="V159" s="209" t="s">
        <v>690</v>
      </c>
      <c r="W159" s="207" t="n">
        <f aca="false">IF($C159="S",ROUND(IF(TIPOORCAMENTO="Proposto",ORÇAMENTO.CustoUnitario*(1+$AH159),ORÇAMENTO.PrecoUnitarioLicitado),15-13*$AF$10),0)</f>
        <v>6.27</v>
      </c>
      <c r="X159" s="210" t="n">
        <f aca="true" t="array" ref="X159:X159">IF($C159="S",IF(OR(Import.TipoArredondamento&lt;&gt;"TransfereGOV",ACOMPANHAMENTO="BM"),VTOTAL1,SUM(OFFSET(CÁLCULO!$AQ$15,ROW($X159)-ROW($X$15),1):OFFSET(CÁLCULO!$BR$15,ROW($X159)-ROW($X$15),-1))),IF($C159=0,0,ROUND(SomaAgrup,15-13*$AF$11)))</f>
        <v>313.5</v>
      </c>
      <c r="Y159" s="211" t="s">
        <v>781</v>
      </c>
      <c r="Z159" s="1" t="str">
        <f aca="false">IF(AND($C159="S",$X159&gt;0),IF(ISBLANK($Y159),"RA",LEFT($Y159,2)),"")</f>
        <v>RA</v>
      </c>
      <c r="AA159" s="212" t="n">
        <f aca="true">IF($C159="S",IF($Z159="CP",$X159,IF($Z159="RA",(($X159)*QCI!$AA$3),0)),SomaAgrup)</f>
        <v>34.7927085773974</v>
      </c>
      <c r="AB159" s="213" t="n">
        <f aca="true">IF($C159="S",IF($Z159="OU",ROUND($X159,2),0),SomaAgrup)</f>
        <v>0</v>
      </c>
      <c r="AC159" s="214" t="e">
        <f aca="false" t="array" ref="AC159:AC159">IF($N159=""," ",
IF(AND($C159&lt;&gt;"S",OR($R159="",$R159="(digite a descrição aqui)")),"DESCRIÇÃO",
IF(AND($C159="S",OR($Q159&lt;&gt;"",$T159&gt;0,$U159&gt;0),$P159=""),"FONTE",
IF(AND($C159="S",$P159&lt;&gt;"",OR($T159&gt;0,$U159&gt;0),$Q159=""),"CÓDIGO",
IF(AND($C159="S",$P159&lt;&gt;"",$Q159&lt;&gt;"",$R159="(Código não identificado nas referências)"),"CÓDIGO N/ID",
IF(AND($C159="S",OR($R159="",$R159="(digite a descrição aqui)"),OR($Q159&lt;&gt;"",$T159&gt;0,$U159&gt;0)),"DESCRIÇÃO",
IF(AND($C159="S",$P159&lt;&gt;"",$Q159&lt;&gt;"",$S159=""),"UNIDADE",
IF(AND($C159="S",$P159&lt;&gt;"",$Q159&lt;&gt;"",$U159=0),"SEM CUSTO",
IF(AND(_xlfn.single(TIPOORCAMENTO)="Licitado",$AL159=0,$AN159&gt;0),"SEM PREÇO",
IF(AND($C159="S",$P159&lt;&gt;"",$Q159&lt;&gt;"",$U159&gt;0,$V159=0),"BDI",
IF(OR(AND(TIPOORCAMENTO="Proposto",LEFT($O$8,5)&lt;&gt;"(N/D:",$AG159&lt;&gt;"",ORÇAMENTO.CustoUnitario&gt;$AG159),AND(TIPOORCAMENTO="LICITADO",ORÇAMENTO.PrecoUnitarioLicitado&gt;$AN159)),"ACIMA REF.",
IF(AND($C159="S",$P159&lt;&gt;"",$Q159&lt;&gt;"",$T159=0,$U159&gt;0),"QUANT.",
IF(AND(Import.TipoArredondamento="TransfereGOV",$L159="F",$C159="S",LEN($Q159)&gt;13),"Código &gt;13",
IF(AND(Import.TipoArredondamento="TransfereGOV",$L159="F",$C159&lt;&gt;"S",LEN($R159)&gt;100),"Descrição &gt;100",
IF(AND(Import.TipoArredondamento="TransfereGOV",$L159="F",$C159="S",LEN($R159)&gt;500),"Descrição &gt;500",
IF(AND(Import.TipoArredondamento="TransfereGOV",$L159="F",$C159="S",LEFT(TRIM(UPPER($P159)),6)&lt;&gt;"SINAPI",ISNA(VLOOKUP(TRIM(UPPER($S159)),ListaTgov.Unidades,1,FALSE()))),"Unid. Não Disp",
" "))))))))))))))))</f>
        <v>#NAME?</v>
      </c>
      <c r="AD159" s="1" t="str">
        <f aca="true">IF(C159&lt;=CRONO.NivelExibicao,MAX($AD$15:OFFSET(AD159,-1,0))+IF($C159&lt;&gt;1,1,MAX(1,COUNTIF(QCI!$A$13:$A$15,OFFSET($E159,-1,0)))),"")</f>
        <v/>
      </c>
      <c r="AE159" s="50" t="str">
        <f aca="false">IF(AND($C159="S",ORÇAMENTO.CodBarra&lt;&gt;""),IF(ORÇAMENTO.Fonte="",ORÇAMENTO.CodBarra,CONCATENATE(ORÇAMENTO.Fonte," ",ORÇAMENTO.CodBarra)))</f>
        <v>SINAPI 102593</v>
      </c>
      <c r="AF159" s="65" t="str">
        <f aca="true">IF(ISERROR(INDIRECT(ORÇAMENTO.BancoRef)),"(abra o arquivo 'Referência "&amp;Excel_BuiltIn_Database&amp;".xlsm)",IF(OR($C159&lt;&gt;"S",ORÇAMENTO.CodBarra=""),"(Sem Código)",IF(ISERROR(MATCH($AE159,INDIRECT(ORÇAMENTO.BancoRef),0)),"(Código não identificado nas referências)",MATCH($AE159,INDIRECT(ORÇAMENTO.BancoRef),0))))</f>
        <v>(abra o arquivo 'Referência 07-2025.xlsm)</v>
      </c>
      <c r="AG159" s="215" t="n">
        <f aca="true">ROUND(IF(DESONERACAO="sim",REFERENCIA.Desonerado,REFERENCIA.NaoDesonerado),2)</f>
        <v>0</v>
      </c>
      <c r="AH159" s="216" t="n">
        <f aca="false">ROUND(IF(ISNUMBER(ORÇAMENTO.OpcaoBDI),ORÇAMENTO.OpcaoBDI,IF(LEFT(ORÇAMENTO.OpcaoBDI,3)="BDI",HLOOKUP(ORÇAMENTO.OpcaoBDI,$F$4:$H$5,2,FALSE()),0)),15-11*$AF$9)</f>
        <v>0.2904</v>
      </c>
      <c r="AJ159" s="217"/>
      <c r="AL159" s="218"/>
      <c r="AM159" s="219" t="n">
        <f aca="false">$X159</f>
        <v>313.5</v>
      </c>
      <c r="AN159" s="220" t="n">
        <f aca="false">ROUND(ORÇAMENTO.CustoUnitario*(1+$AH159),2)</f>
        <v>6.27</v>
      </c>
    </row>
    <row r="160" customFormat="false" ht="35.05" hidden="false" customHeight="false" outlineLevel="0" collapsed="false">
      <c r="A160" s="1" t="str">
        <f aca="false">CHOOSE(1+LOG(1+2*(ORÇAMENTO.Nivel="Meta")+4*(ORÇAMENTO.Nivel="Nível 2")+8*(ORÇAMENTO.Nivel="Nível 3")+16*(ORÇAMENTO.Nivel="Nível 4")+32*(ORÇAMENTO.Nivel="Serviço"),2),0,1,2,3,4,"S")</f>
        <v>S</v>
      </c>
      <c r="B160" s="1" t="n">
        <f aca="true">IF(OR(C160="s",C160=0),OFFSET(B160,-1,0),C160)</f>
        <v>2</v>
      </c>
      <c r="C160" s="1" t="str">
        <f aca="true">IF(OFFSET(C160,-1,0)="L",1,IF(OFFSET(C160,-1,0)=1,2,IF(OR(A160="s",A160=0),"S",IF(AND(OFFSET(C160,-1,0)=2,A160=4),3,IF(AND(OR(OFFSET(C160,-1,0)="s",OFFSET(C160,-1,0)=0),A160&lt;&gt;"s",A160&gt;OFFSET(B160,-1,0)),OFFSET(B160,-1,0),A160)))))</f>
        <v>S</v>
      </c>
      <c r="D160" s="1" t="n">
        <f aca="false">IF(OR(C160="S",C160=0),0,IF(ISERROR(K160),J160,SMALL(J160:K160,1)))</f>
        <v>0</v>
      </c>
      <c r="E160" s="1" t="n">
        <f aca="true">IF($C160=1,OFFSET(E160,-1,0)+MAX(1,COUNTIF(QCI!$A$13:$A$15,OFFSET(ORÇAMENTO!E160,-1,0))),OFFSET(E160,-1,0))</f>
        <v>1</v>
      </c>
      <c r="F160" s="1" t="n">
        <f aca="true">IF($C160=1,0,IF($C160=2,OFFSET(F160,-1,0)+1,OFFSET(F160,-1,0)))</f>
        <v>43</v>
      </c>
      <c r="G160" s="1" t="n">
        <f aca="true">IF(AND($C160&lt;=2,$C160&lt;&gt;0),0,IF($C160=3,OFFSET(G160,-1,0)+1,OFFSET(G160,-1,0)))</f>
        <v>0</v>
      </c>
      <c r="H160" s="1" t="n">
        <f aca="true">IF(AND($C160&lt;=3,$C160&lt;&gt;0),0,IF($C160=4,OFFSET(H160,-1,0)+1,OFFSET(H160,-1,0)))</f>
        <v>0</v>
      </c>
      <c r="I160" s="1" t="n">
        <f aca="true">IF(AND($C160&lt;=4,$C160&lt;&gt;0),0,IF(AND($C160="S",$X160&gt;0),OFFSET(I160,-1,0)+1,OFFSET(I160,-1,0)))</f>
        <v>4</v>
      </c>
      <c r="J160" s="1" t="n">
        <f aca="true">IF(OR($C160="S",$C160=0),0,MATCH(0,OFFSET($D160,1,$C160,ROW($C$205)-ROW($C160)),0))</f>
        <v>0</v>
      </c>
      <c r="K160" s="1" t="n">
        <f aca="true">IF(OR($C160="S",$C160=0),0,MATCH(OFFSET($D160,0,$C160)+IF($C160&lt;&gt;1,1,COUNTIF(QCI!$A$13:$A$15,ORÇAMENTO!E160)),OFFSET($D160,1,$C160,ROW($C$205)-ROW($C160)),0))</f>
        <v>0</v>
      </c>
      <c r="L160" s="199" t="str">
        <f aca="false">IF(OR($X160&gt;0,$C160=1,$C160=2,$C160=3,$C160=4),"F","")</f>
        <v>F</v>
      </c>
      <c r="M160" s="200" t="s">
        <v>735</v>
      </c>
      <c r="N160" s="201" t="str">
        <f aca="false">CHOOSE(1+LOG(1+2*(C160=1)+4*(C160=2)+8*(C160=3)+16*(C160=4)+32*(C160="S"),2),"","Meta","Nível 2","Nível 3","Nível 4","Serviço")</f>
        <v>Serviço</v>
      </c>
      <c r="O160" s="202" t="str">
        <f aca="false">IF(OR($C160=0,$L160=""),"-",CONCATENATE(E160&amp;".",IF(AND($A$5&gt;=2,$C160&gt;=2),F160&amp;".",""),IF(AND($A$5&gt;=3,$C160&gt;=3),G160&amp;".",""),IF(AND($A$5&gt;=4,$C160&gt;=4),H160&amp;".",""),IF($C160="S",I160&amp;".","")))</f>
        <v>1.43.4.</v>
      </c>
      <c r="P160" s="203" t="s">
        <v>780</v>
      </c>
      <c r="Q160" s="204" t="n">
        <v>94703</v>
      </c>
      <c r="R160" s="205" t="str">
        <f aca="false">[4]PO!$D$187</f>
        <v>ADAPTADOR COM FLANGE E ANEL DE VEDAÇÃO, PVC, SOLDÁVEL, DN 25 MM X 3/4", INSTALADO EM RESERVAÇÃO PREDIAL DE ÁGUA - FORNECIMENTO E INSTALAÇÃO. AF_04/2024</v>
      </c>
      <c r="S160" s="206" t="s">
        <v>666</v>
      </c>
      <c r="T160" s="207" t="n">
        <f aca="true">OFFSET(CÁLCULO!H$15,ROW($T160)-ROW(T$15),0)</f>
        <v>25</v>
      </c>
      <c r="U160" s="208" t="n">
        <v>19.12</v>
      </c>
      <c r="V160" s="209" t="s">
        <v>690</v>
      </c>
      <c r="W160" s="207" t="n">
        <f aca="false">IF($C160="S",ROUND(IF(TIPOORCAMENTO="Proposto",ORÇAMENTO.CustoUnitario*(1+$AH160),ORÇAMENTO.PrecoUnitarioLicitado),15-13*$AF$10),0)</f>
        <v>24.67</v>
      </c>
      <c r="X160" s="210" t="n">
        <f aca="true" t="array" ref="X160:X160">IF($C160="S",IF(OR(Import.TipoArredondamento&lt;&gt;"TransfereGOV",ACOMPANHAMENTO="BM"),VTOTAL1,SUM(OFFSET(CÁLCULO!$AQ$15,ROW($X160)-ROW($X$15),1):OFFSET(CÁLCULO!$BR$15,ROW($X160)-ROW($X$15),-1))),IF($C160=0,0,ROUND(SomaAgrup,15-13*$AF$11)))</f>
        <v>616.75</v>
      </c>
      <c r="Y160" s="211" t="s">
        <v>781</v>
      </c>
      <c r="Z160" s="1" t="str">
        <f aca="false">IF(AND($C160="S",$X160&gt;0),IF(ISBLANK($Y160),"RA",LEFT($Y160,2)),"")</f>
        <v>RA</v>
      </c>
      <c r="AA160" s="212" t="n">
        <f aca="true">IF($C160="S",IF($Z160="CP",$X160,IF($Z160="RA",(($X160)*QCI!$AA$3),0)),SomaAgrup)</f>
        <v>68.4478565075274</v>
      </c>
      <c r="AB160" s="213" t="n">
        <f aca="true">IF($C160="S",IF($Z160="OU",ROUND($X160,2),0),SomaAgrup)</f>
        <v>0</v>
      </c>
      <c r="AC160" s="214" t="e">
        <f aca="false" t="array" ref="AC160:AC160">IF($N160=""," ",
IF(AND($C160&lt;&gt;"S",OR($R160="",$R160="(digite a descrição aqui)")),"DESCRIÇÃO",
IF(AND($C160="S",OR($Q160&lt;&gt;"",$T160&gt;0,$U160&gt;0),$P160=""),"FONTE",
IF(AND($C160="S",$P160&lt;&gt;"",OR($T160&gt;0,$U160&gt;0),$Q160=""),"CÓDIGO",
IF(AND($C160="S",$P160&lt;&gt;"",$Q160&lt;&gt;"",$R160="(Código não identificado nas referências)"),"CÓDIGO N/ID",
IF(AND($C160="S",OR($R160="",$R160="(digite a descrição aqui)"),OR($Q160&lt;&gt;"",$T160&gt;0,$U160&gt;0)),"DESCRIÇÃO",
IF(AND($C160="S",$P160&lt;&gt;"",$Q160&lt;&gt;"",$S160=""),"UNIDADE",
IF(AND($C160="S",$P160&lt;&gt;"",$Q160&lt;&gt;"",$U160=0),"SEM CUSTO",
IF(AND(_xlfn.single(TIPOORCAMENTO)="Licitado",$AL160=0,$AN160&gt;0),"SEM PREÇO",
IF(AND($C160="S",$P160&lt;&gt;"",$Q160&lt;&gt;"",$U160&gt;0,$V160=0),"BDI",
IF(OR(AND(TIPOORCAMENTO="Proposto",LEFT($O$8,5)&lt;&gt;"(N/D:",$AG160&lt;&gt;"",ORÇAMENTO.CustoUnitario&gt;$AG160),AND(TIPOORCAMENTO="LICITADO",ORÇAMENTO.PrecoUnitarioLicitado&gt;$AN160)),"ACIMA REF.",
IF(AND($C160="S",$P160&lt;&gt;"",$Q160&lt;&gt;"",$T160=0,$U160&gt;0),"QUANT.",
IF(AND(Import.TipoArredondamento="TransfereGOV",$L160="F",$C160="S",LEN($Q160)&gt;13),"Código &gt;13",
IF(AND(Import.TipoArredondamento="TransfereGOV",$L160="F",$C160&lt;&gt;"S",LEN($R160)&gt;100),"Descrição &gt;100",
IF(AND(Import.TipoArredondamento="TransfereGOV",$L160="F",$C160="S",LEN($R160)&gt;500),"Descrição &gt;500",
IF(AND(Import.TipoArredondamento="TransfereGOV",$L160="F",$C160="S",LEFT(TRIM(UPPER($P160)),6)&lt;&gt;"SINAPI",ISNA(VLOOKUP(TRIM(UPPER($S160)),ListaTgov.Unidades,1,FALSE()))),"Unid. Não Disp",
" "))))))))))))))))</f>
        <v>#NAME?</v>
      </c>
      <c r="AD160" s="1" t="str">
        <f aca="true">IF(C160&lt;=CRONO.NivelExibicao,MAX($AD$15:OFFSET(AD160,-1,0))+IF($C160&lt;&gt;1,1,MAX(1,COUNTIF(QCI!$A$13:$A$15,OFFSET($E160,-1,0)))),"")</f>
        <v/>
      </c>
      <c r="AE160" s="50" t="str">
        <f aca="false">IF(AND($C160="S",ORÇAMENTO.CodBarra&lt;&gt;""),IF(ORÇAMENTO.Fonte="",ORÇAMENTO.CodBarra,CONCATENATE(ORÇAMENTO.Fonte," ",ORÇAMENTO.CodBarra)))</f>
        <v>SINAPI 94703</v>
      </c>
      <c r="AF160" s="65" t="str">
        <f aca="true">IF(ISERROR(INDIRECT(ORÇAMENTO.BancoRef)),"(abra o arquivo 'Referência "&amp;Excel_BuiltIn_Database&amp;".xlsm)",IF(OR($C160&lt;&gt;"S",ORÇAMENTO.CodBarra=""),"(Sem Código)",IF(ISERROR(MATCH($AE160,INDIRECT(ORÇAMENTO.BancoRef),0)),"(Código não identificado nas referências)",MATCH($AE160,INDIRECT(ORÇAMENTO.BancoRef),0))))</f>
        <v>(abra o arquivo 'Referência 07-2025.xlsm)</v>
      </c>
      <c r="AG160" s="215" t="n">
        <f aca="true">ROUND(IF(DESONERACAO="sim",REFERENCIA.Desonerado,REFERENCIA.NaoDesonerado),2)</f>
        <v>0</v>
      </c>
      <c r="AH160" s="216" t="n">
        <f aca="false">ROUND(IF(ISNUMBER(ORÇAMENTO.OpcaoBDI),ORÇAMENTO.OpcaoBDI,IF(LEFT(ORÇAMENTO.OpcaoBDI,3)="BDI",HLOOKUP(ORÇAMENTO.OpcaoBDI,$F$4:$H$5,2,FALSE()),0)),15-11*$AF$9)</f>
        <v>0.2904</v>
      </c>
      <c r="AJ160" s="217"/>
      <c r="AL160" s="218"/>
      <c r="AM160" s="219" t="n">
        <f aca="false">$X160</f>
        <v>616.75</v>
      </c>
      <c r="AN160" s="220" t="n">
        <f aca="false">ROUND(ORÇAMENTO.CustoUnitario*(1+$AH160),2)</f>
        <v>24.67</v>
      </c>
    </row>
    <row r="161" customFormat="false" ht="35.05" hidden="false" customHeight="false" outlineLevel="0" collapsed="false">
      <c r="A161" s="1" t="str">
        <f aca="false">CHOOSE(1+LOG(1+2*(ORÇAMENTO.Nivel="Meta")+4*(ORÇAMENTO.Nivel="Nível 2")+8*(ORÇAMENTO.Nivel="Nível 3")+16*(ORÇAMENTO.Nivel="Nível 4")+32*(ORÇAMENTO.Nivel="Serviço"),2),0,1,2,3,4,"S")</f>
        <v>S</v>
      </c>
      <c r="B161" s="1" t="n">
        <f aca="true">IF(OR(C161="s",C161=0),OFFSET(B161,-1,0),C161)</f>
        <v>2</v>
      </c>
      <c r="C161" s="1" t="str">
        <f aca="true">IF(OFFSET(C161,-1,0)="L",1,IF(OFFSET(C161,-1,0)=1,2,IF(OR(A161="s",A161=0),"S",IF(AND(OFFSET(C161,-1,0)=2,A161=4),3,IF(AND(OR(OFFSET(C161,-1,0)="s",OFFSET(C161,-1,0)=0),A161&lt;&gt;"s",A161&gt;OFFSET(B161,-1,0)),OFFSET(B161,-1,0),A161)))))</f>
        <v>S</v>
      </c>
      <c r="D161" s="1" t="n">
        <f aca="false">IF(OR(C161="S",C161=0),0,IF(ISERROR(K161),J161,SMALL(J161:K161,1)))</f>
        <v>0</v>
      </c>
      <c r="E161" s="1" t="n">
        <f aca="true">IF($C161=1,OFFSET(E161,-1,0)+MAX(1,COUNTIF(QCI!$A$13:$A$15,OFFSET(ORÇAMENTO!E161,-1,0))),OFFSET(E161,-1,0))</f>
        <v>1</v>
      </c>
      <c r="F161" s="1" t="n">
        <f aca="true">IF($C161=1,0,IF($C161=2,OFFSET(F161,-1,0)+1,OFFSET(F161,-1,0)))</f>
        <v>43</v>
      </c>
      <c r="G161" s="1" t="n">
        <f aca="true">IF(AND($C161&lt;=2,$C161&lt;&gt;0),0,IF($C161=3,OFFSET(G161,-1,0)+1,OFFSET(G161,-1,0)))</f>
        <v>0</v>
      </c>
      <c r="H161" s="1" t="n">
        <f aca="true">IF(AND($C161&lt;=3,$C161&lt;&gt;0),0,IF($C161=4,OFFSET(H161,-1,0)+1,OFFSET(H161,-1,0)))</f>
        <v>0</v>
      </c>
      <c r="I161" s="1" t="n">
        <f aca="true">IF(AND($C161&lt;=4,$C161&lt;&gt;0),0,IF(AND($C161="S",$X161&gt;0),OFFSET(I161,-1,0)+1,OFFSET(I161,-1,0)))</f>
        <v>5</v>
      </c>
      <c r="J161" s="1" t="n">
        <f aca="true">IF(OR($C161="S",$C161=0),0,MATCH(0,OFFSET($D161,1,$C161,ROW($C$205)-ROW($C161)),0))</f>
        <v>0</v>
      </c>
      <c r="K161" s="1" t="n">
        <f aca="true">IF(OR($C161="S",$C161=0),0,MATCH(OFFSET($D161,0,$C161)+IF($C161&lt;&gt;1,1,COUNTIF(QCI!$A$13:$A$15,ORÇAMENTO!E161)),OFFSET($D161,1,$C161,ROW($C$205)-ROW($C161)),0))</f>
        <v>0</v>
      </c>
      <c r="L161" s="199" t="str">
        <f aca="false">IF(OR($X161&gt;0,$C161=1,$C161=2,$C161=3,$C161=4),"F","")</f>
        <v>F</v>
      </c>
      <c r="M161" s="200" t="s">
        <v>735</v>
      </c>
      <c r="N161" s="201" t="str">
        <f aca="false">CHOOSE(1+LOG(1+2*(C161=1)+4*(C161=2)+8*(C161=3)+16*(C161=4)+32*(C161="S"),2),"","Meta","Nível 2","Nível 3","Nível 4","Serviço")</f>
        <v>Serviço</v>
      </c>
      <c r="O161" s="202" t="str">
        <f aca="false">IF(OR($C161=0,$L161=""),"-",CONCATENATE(E161&amp;".",IF(AND($A$5&gt;=2,$C161&gt;=2),F161&amp;".",""),IF(AND($A$5&gt;=3,$C161&gt;=3),G161&amp;".",""),IF(AND($A$5&gt;=4,$C161&gt;=4),H161&amp;".",""),IF($C161="S",I161&amp;".","")))</f>
        <v>1.43.5.</v>
      </c>
      <c r="P161" s="203" t="s">
        <v>780</v>
      </c>
      <c r="Q161" s="204" t="n">
        <v>94704</v>
      </c>
      <c r="R161" s="205" t="str">
        <f aca="false">[4]PO!$D$188</f>
        <v>ADAPTADOR COM FLANGE E ANEL DE VEDAÇÃO, PVC, SOLDÁVEL, DN 32 MM X 1", INSTALADO EM RESERVAÇÃO PREDIAL DE ÁGUA - FORNECIMENTO E INSTALAÇÃO. AF_04/2024</v>
      </c>
      <c r="S161" s="206" t="s">
        <v>666</v>
      </c>
      <c r="T161" s="207" t="n">
        <f aca="true">OFFSET(CÁLCULO!H$15,ROW($T161)-ROW(T$15),0)</f>
        <v>50</v>
      </c>
      <c r="U161" s="208" t="n">
        <f aca="false">[2]PO!$G$188</f>
        <v>25.47</v>
      </c>
      <c r="V161" s="209" t="s">
        <v>690</v>
      </c>
      <c r="W161" s="207" t="n">
        <f aca="false">IF($C161="S",ROUND(IF(TIPOORCAMENTO="Proposto",ORÇAMENTO.CustoUnitario*(1+$AH161),ORÇAMENTO.PrecoUnitarioLicitado),15-13*$AF$10),0)</f>
        <v>32.87</v>
      </c>
      <c r="X161" s="210" t="n">
        <f aca="true" t="array" ref="X161:X161">IF($C161="S",IF(OR(Import.TipoArredondamento&lt;&gt;"TransfereGOV",ACOMPANHAMENTO="BM"),VTOTAL1,SUM(OFFSET(CÁLCULO!$AQ$15,ROW($X161)-ROW($X$15),1):OFFSET(CÁLCULO!$BR$15,ROW($X161)-ROW($X$15),-1))),IF($C161=0,0,ROUND(SomaAgrup,15-13*$AF$11)))</f>
        <v>1643.5</v>
      </c>
      <c r="Y161" s="211" t="s">
        <v>781</v>
      </c>
      <c r="Z161" s="1" t="str">
        <f aca="false">IF(AND($C161="S",$X161&gt;0),IF(ISBLANK($Y161),"RA",LEFT($Y161,2)),"")</f>
        <v>RA</v>
      </c>
      <c r="AA161" s="212" t="n">
        <f aca="true">IF($C161="S",IF($Z161="CP",$X161,IF($Z161="RA",(($X161)*QCI!$AA$3),0)),SomaAgrup)</f>
        <v>182.39813890575</v>
      </c>
      <c r="AB161" s="213" t="n">
        <f aca="true">IF($C161="S",IF($Z161="OU",ROUND($X161,2),0),SomaAgrup)</f>
        <v>0</v>
      </c>
      <c r="AC161" s="214" t="e">
        <f aca="false" t="array" ref="AC161:AC161">IF($N161=""," ",
IF(AND($C161&lt;&gt;"S",OR($R161="",$R161="(digite a descrição aqui)")),"DESCRIÇÃO",
IF(AND($C161="S",OR($Q161&lt;&gt;"",$T161&gt;0,$U161&gt;0),$P161=""),"FONTE",
IF(AND($C161="S",$P161&lt;&gt;"",OR($T161&gt;0,$U161&gt;0),$Q161=""),"CÓDIGO",
IF(AND($C161="S",$P161&lt;&gt;"",$Q161&lt;&gt;"",$R161="(Código não identificado nas referências)"),"CÓDIGO N/ID",
IF(AND($C161="S",OR($R161="",$R161="(digite a descrição aqui)"),OR($Q161&lt;&gt;"",$T161&gt;0,$U161&gt;0)),"DESCRIÇÃO",
IF(AND($C161="S",$P161&lt;&gt;"",$Q161&lt;&gt;"",$S161=""),"UNIDADE",
IF(AND($C161="S",$P161&lt;&gt;"",$Q161&lt;&gt;"",$U161=0),"SEM CUSTO",
IF(AND(_xlfn.single(TIPOORCAMENTO)="Licitado",$AL161=0,$AN161&gt;0),"SEM PREÇO",
IF(AND($C161="S",$P161&lt;&gt;"",$Q161&lt;&gt;"",$U161&gt;0,$V161=0),"BDI",
IF(OR(AND(TIPOORCAMENTO="Proposto",LEFT($O$8,5)&lt;&gt;"(N/D:",$AG161&lt;&gt;"",ORÇAMENTO.CustoUnitario&gt;$AG161),AND(TIPOORCAMENTO="LICITADO",ORÇAMENTO.PrecoUnitarioLicitado&gt;$AN161)),"ACIMA REF.",
IF(AND($C161="S",$P161&lt;&gt;"",$Q161&lt;&gt;"",$T161=0,$U161&gt;0),"QUANT.",
IF(AND(Import.TipoArredondamento="TransfereGOV",$L161="F",$C161="S",LEN($Q161)&gt;13),"Código &gt;13",
IF(AND(Import.TipoArredondamento="TransfereGOV",$L161="F",$C161&lt;&gt;"S",LEN($R161)&gt;100),"Descrição &gt;100",
IF(AND(Import.TipoArredondamento="TransfereGOV",$L161="F",$C161="S",LEN($R161)&gt;500),"Descrição &gt;500",
IF(AND(Import.TipoArredondamento="TransfereGOV",$L161="F",$C161="S",LEFT(TRIM(UPPER($P161)),6)&lt;&gt;"SINAPI",ISNA(VLOOKUP(TRIM(UPPER($S161)),ListaTgov.Unidades,1,FALSE()))),"Unid. Não Disp",
" "))))))))))))))))</f>
        <v>#NAME?</v>
      </c>
      <c r="AD161" s="1" t="str">
        <f aca="true">IF(C161&lt;=CRONO.NivelExibicao,MAX($AD$15:OFFSET(AD161,-1,0))+IF($C161&lt;&gt;1,1,MAX(1,COUNTIF(QCI!$A$13:$A$15,OFFSET($E161,-1,0)))),"")</f>
        <v/>
      </c>
      <c r="AE161" s="50" t="str">
        <f aca="false">IF(AND($C161="S",ORÇAMENTO.CodBarra&lt;&gt;""),IF(ORÇAMENTO.Fonte="",ORÇAMENTO.CodBarra,CONCATENATE(ORÇAMENTO.Fonte," ",ORÇAMENTO.CodBarra)))</f>
        <v>SINAPI 94704</v>
      </c>
      <c r="AF161" s="65" t="str">
        <f aca="true">IF(ISERROR(INDIRECT(ORÇAMENTO.BancoRef)),"(abra o arquivo 'Referência "&amp;Excel_BuiltIn_Database&amp;".xlsm)",IF(OR($C161&lt;&gt;"S",ORÇAMENTO.CodBarra=""),"(Sem Código)",IF(ISERROR(MATCH($AE161,INDIRECT(ORÇAMENTO.BancoRef),0)),"(Código não identificado nas referências)",MATCH($AE161,INDIRECT(ORÇAMENTO.BancoRef),0))))</f>
        <v>(abra o arquivo 'Referência 07-2025.xlsm)</v>
      </c>
      <c r="AG161" s="215" t="n">
        <f aca="true">ROUND(IF(DESONERACAO="sim",REFERENCIA.Desonerado,REFERENCIA.NaoDesonerado),2)</f>
        <v>0</v>
      </c>
      <c r="AH161" s="216" t="n">
        <f aca="false">ROUND(IF(ISNUMBER(ORÇAMENTO.OpcaoBDI),ORÇAMENTO.OpcaoBDI,IF(LEFT(ORÇAMENTO.OpcaoBDI,3)="BDI",HLOOKUP(ORÇAMENTO.OpcaoBDI,$F$4:$H$5,2,FALSE()),0)),15-11*$AF$9)</f>
        <v>0.2904</v>
      </c>
      <c r="AJ161" s="217"/>
      <c r="AL161" s="218"/>
      <c r="AM161" s="219" t="n">
        <f aca="false">$X161</f>
        <v>1643.5</v>
      </c>
      <c r="AN161" s="220" t="n">
        <f aca="false">ROUND(ORÇAMENTO.CustoUnitario*(1+$AH161),2)</f>
        <v>32.87</v>
      </c>
    </row>
    <row r="162" customFormat="false" ht="23.85" hidden="false" customHeight="false" outlineLevel="0" collapsed="false">
      <c r="A162" s="1" t="str">
        <f aca="false">CHOOSE(1+LOG(1+2*(ORÇAMENTO.Nivel="Meta")+4*(ORÇAMENTO.Nivel="Nível 2")+8*(ORÇAMENTO.Nivel="Nível 3")+16*(ORÇAMENTO.Nivel="Nível 4")+32*(ORÇAMENTO.Nivel="Serviço"),2),0,1,2,3,4,"S")</f>
        <v>S</v>
      </c>
      <c r="B162" s="1" t="n">
        <f aca="true">IF(OR(C162="s",C162=0),OFFSET(B162,-1,0),C162)</f>
        <v>2</v>
      </c>
      <c r="C162" s="1" t="str">
        <f aca="true">IF(OFFSET(C162,-1,0)="L",1,IF(OFFSET(C162,-1,0)=1,2,IF(OR(A162="s",A162=0),"S",IF(AND(OFFSET(C162,-1,0)=2,A162=4),3,IF(AND(OR(OFFSET(C162,-1,0)="s",OFFSET(C162,-1,0)=0),A162&lt;&gt;"s",A162&gt;OFFSET(B162,-1,0)),OFFSET(B162,-1,0),A162)))))</f>
        <v>S</v>
      </c>
      <c r="D162" s="1" t="n">
        <f aca="false">IF(OR(C162="S",C162=0),0,IF(ISERROR(K162),J162,SMALL(J162:K162,1)))</f>
        <v>0</v>
      </c>
      <c r="E162" s="1" t="n">
        <f aca="true">IF($C162=1,OFFSET(E162,-1,0)+MAX(1,COUNTIF(QCI!$A$13:$A$15,OFFSET(ORÇAMENTO!E162,-1,0))),OFFSET(E162,-1,0))</f>
        <v>1</v>
      </c>
      <c r="F162" s="1" t="n">
        <f aca="true">IF($C162=1,0,IF($C162=2,OFFSET(F162,-1,0)+1,OFFSET(F162,-1,0)))</f>
        <v>43</v>
      </c>
      <c r="G162" s="1" t="n">
        <f aca="true">IF(AND($C162&lt;=2,$C162&lt;&gt;0),0,IF($C162=3,OFFSET(G162,-1,0)+1,OFFSET(G162,-1,0)))</f>
        <v>0</v>
      </c>
      <c r="H162" s="1" t="n">
        <f aca="true">IF(AND($C162&lt;=3,$C162&lt;&gt;0),0,IF($C162=4,OFFSET(H162,-1,0)+1,OFFSET(H162,-1,0)))</f>
        <v>0</v>
      </c>
      <c r="I162" s="1" t="n">
        <f aca="true">IF(AND($C162&lt;=4,$C162&lt;&gt;0),0,IF(AND($C162="S",$X162&gt;0),OFFSET(I162,-1,0)+1,OFFSET(I162,-1,0)))</f>
        <v>6</v>
      </c>
      <c r="J162" s="1" t="n">
        <f aca="true">IF(OR($C162="S",$C162=0),0,MATCH(0,OFFSET($D162,1,$C162,ROW($C$205)-ROW($C162)),0))</f>
        <v>0</v>
      </c>
      <c r="K162" s="1" t="n">
        <f aca="true">IF(OR($C162="S",$C162=0),0,MATCH(OFFSET($D162,0,$C162)+IF($C162&lt;&gt;1,1,COUNTIF(QCI!$A$13:$A$15,ORÇAMENTO!E162)),OFFSET($D162,1,$C162,ROW($C$205)-ROW($C162)),0))</f>
        <v>0</v>
      </c>
      <c r="L162" s="199" t="str">
        <f aca="false">IF(OR($X162&gt;0,$C162=1,$C162=2,$C162=3,$C162=4),"F","")</f>
        <v>F</v>
      </c>
      <c r="M162" s="200" t="s">
        <v>735</v>
      </c>
      <c r="N162" s="201" t="str">
        <f aca="false">CHOOSE(1+LOG(1+2*(C162=1)+4*(C162=2)+8*(C162=3)+16*(C162=4)+32*(C162="S"),2),"","Meta","Nível 2","Nível 3","Nível 4","Serviço")</f>
        <v>Serviço</v>
      </c>
      <c r="O162" s="202" t="str">
        <f aca="false">IF(OR($C162=0,$L162=""),"-",CONCATENATE(E162&amp;".",IF(AND($A$5&gt;=2,$C162&gt;=2),F162&amp;".",""),IF(AND($A$5&gt;=3,$C162&gt;=3),G162&amp;".",""),IF(AND($A$5&gt;=4,$C162&gt;=4),H162&amp;".",""),IF($C162="S",I162&amp;".","")))</f>
        <v>1.43.6.</v>
      </c>
      <c r="P162" s="203" t="s">
        <v>780</v>
      </c>
      <c r="Q162" s="204" t="n">
        <v>94796</v>
      </c>
      <c r="R162" s="205" t="str">
        <f aca="false">[4]PO!$D$189</f>
        <v>TORNEIRA DE BOIA PARA CAIXA D'ÁGUA, ROSCÁVEL, 3/4" - FORNECIMENTO E INSTALAÇÃO. AF_08/2021</v>
      </c>
      <c r="S162" s="206" t="s">
        <v>666</v>
      </c>
      <c r="T162" s="207" t="n">
        <f aca="true">OFFSET(CÁLCULO!H$15,ROW($T162)-ROW(T$15),0)</f>
        <v>25</v>
      </c>
      <c r="U162" s="208" t="n">
        <v>36.36</v>
      </c>
      <c r="V162" s="209" t="s">
        <v>690</v>
      </c>
      <c r="W162" s="207" t="n">
        <f aca="false">IF($C162="S",ROUND(IF(TIPOORCAMENTO="Proposto",ORÇAMENTO.CustoUnitario*(1+$AH162),ORÇAMENTO.PrecoUnitarioLicitado),15-13*$AF$10),0)</f>
        <v>46.92</v>
      </c>
      <c r="X162" s="210" t="n">
        <f aca="true" t="array" ref="X162:X162">IF($C162="S",IF(OR(Import.TipoArredondamento&lt;&gt;"TransfereGOV",ACOMPANHAMENTO="BM"),VTOTAL1,SUM(OFFSET(CÁLCULO!$AQ$15,ROW($X162)-ROW($X$15),1):OFFSET(CÁLCULO!$BR$15,ROW($X162)-ROW($X$15),-1))),IF($C162=0,0,ROUND(SomaAgrup,15-13*$AF$11)))</f>
        <v>1173</v>
      </c>
      <c r="Y162" s="211" t="s">
        <v>781</v>
      </c>
      <c r="Z162" s="1" t="str">
        <f aca="false">IF(AND($C162="S",$X162&gt;0),IF(ISBLANK($Y162),"RA",LEFT($Y162,2)),"")</f>
        <v>RA</v>
      </c>
      <c r="AA162" s="212" t="n">
        <f aca="true">IF($C162="S",IF($Z162="CP",$X162,IF($Z162="RA",(($X162)*QCI!$AA$3),0)),SomaAgrup)</f>
        <v>130.181330658013</v>
      </c>
      <c r="AB162" s="213" t="n">
        <f aca="true">IF($C162="S",IF($Z162="OU",ROUND($X162,2),0),SomaAgrup)</f>
        <v>0</v>
      </c>
      <c r="AC162" s="214" t="e">
        <f aca="false" t="array" ref="AC162:AC162">IF($N162=""," ",
IF(AND($C162&lt;&gt;"S",OR($R162="",$R162="(digite a descrição aqui)")),"DESCRIÇÃO",
IF(AND($C162="S",OR($Q162&lt;&gt;"",$T162&gt;0,$U162&gt;0),$P162=""),"FONTE",
IF(AND($C162="S",$P162&lt;&gt;"",OR($T162&gt;0,$U162&gt;0),$Q162=""),"CÓDIGO",
IF(AND($C162="S",$P162&lt;&gt;"",$Q162&lt;&gt;"",$R162="(Código não identificado nas referências)"),"CÓDIGO N/ID",
IF(AND($C162="S",OR($R162="",$R162="(digite a descrição aqui)"),OR($Q162&lt;&gt;"",$T162&gt;0,$U162&gt;0)),"DESCRIÇÃO",
IF(AND($C162="S",$P162&lt;&gt;"",$Q162&lt;&gt;"",$S162=""),"UNIDADE",
IF(AND($C162="S",$P162&lt;&gt;"",$Q162&lt;&gt;"",$U162=0),"SEM CUSTO",
IF(AND(_xlfn.single(TIPOORCAMENTO)="Licitado",$AL162=0,$AN162&gt;0),"SEM PREÇO",
IF(AND($C162="S",$P162&lt;&gt;"",$Q162&lt;&gt;"",$U162&gt;0,$V162=0),"BDI",
IF(OR(AND(TIPOORCAMENTO="Proposto",LEFT($O$8,5)&lt;&gt;"(N/D:",$AG162&lt;&gt;"",ORÇAMENTO.CustoUnitario&gt;$AG162),AND(TIPOORCAMENTO="LICITADO",ORÇAMENTO.PrecoUnitarioLicitado&gt;$AN162)),"ACIMA REF.",
IF(AND($C162="S",$P162&lt;&gt;"",$Q162&lt;&gt;"",$T162=0,$U162&gt;0),"QUANT.",
IF(AND(Import.TipoArredondamento="TransfereGOV",$L162="F",$C162="S",LEN($Q162)&gt;13),"Código &gt;13",
IF(AND(Import.TipoArredondamento="TransfereGOV",$L162="F",$C162&lt;&gt;"S",LEN($R162)&gt;100),"Descrição &gt;100",
IF(AND(Import.TipoArredondamento="TransfereGOV",$L162="F",$C162="S",LEN($R162)&gt;500),"Descrição &gt;500",
IF(AND(Import.TipoArredondamento="TransfereGOV",$L162="F",$C162="S",LEFT(TRIM(UPPER($P162)),6)&lt;&gt;"SINAPI",ISNA(VLOOKUP(TRIM(UPPER($S162)),ListaTgov.Unidades,1,FALSE()))),"Unid. Não Disp",
" "))))))))))))))))</f>
        <v>#NAME?</v>
      </c>
      <c r="AD162" s="1" t="str">
        <f aca="true">IF(C162&lt;=CRONO.NivelExibicao,MAX($AD$15:OFFSET(AD162,-1,0))+IF($C162&lt;&gt;1,1,MAX(1,COUNTIF(QCI!$A$13:$A$15,OFFSET($E162,-1,0)))),"")</f>
        <v/>
      </c>
      <c r="AE162" s="50" t="str">
        <f aca="false">IF(AND($C162="S",ORÇAMENTO.CodBarra&lt;&gt;""),IF(ORÇAMENTO.Fonte="",ORÇAMENTO.CodBarra,CONCATENATE(ORÇAMENTO.Fonte," ",ORÇAMENTO.CodBarra)))</f>
        <v>SINAPI 94796</v>
      </c>
      <c r="AF162" s="65" t="str">
        <f aca="true">IF(ISERROR(INDIRECT(ORÇAMENTO.BancoRef)),"(abra o arquivo 'Referência "&amp;Excel_BuiltIn_Database&amp;".xlsm)",IF(OR($C162&lt;&gt;"S",ORÇAMENTO.CodBarra=""),"(Sem Código)",IF(ISERROR(MATCH($AE162,INDIRECT(ORÇAMENTO.BancoRef),0)),"(Código não identificado nas referências)",MATCH($AE162,INDIRECT(ORÇAMENTO.BancoRef),0))))</f>
        <v>(abra o arquivo 'Referência 07-2025.xlsm)</v>
      </c>
      <c r="AG162" s="215" t="n">
        <f aca="true">ROUND(IF(DESONERACAO="sim",REFERENCIA.Desonerado,REFERENCIA.NaoDesonerado),2)</f>
        <v>0</v>
      </c>
      <c r="AH162" s="216" t="n">
        <f aca="false">ROUND(IF(ISNUMBER(ORÇAMENTO.OpcaoBDI),ORÇAMENTO.OpcaoBDI,IF(LEFT(ORÇAMENTO.OpcaoBDI,3)="BDI",HLOOKUP(ORÇAMENTO.OpcaoBDI,$F$4:$H$5,2,FALSE()),0)),15-11*$AF$9)</f>
        <v>0.2904</v>
      </c>
      <c r="AJ162" s="217"/>
      <c r="AL162" s="218"/>
      <c r="AM162" s="219" t="n">
        <f aca="false">$X162</f>
        <v>1173</v>
      </c>
      <c r="AN162" s="220" t="n">
        <f aca="false">ROUND(ORÇAMENTO.CustoUnitario*(1+$AH162),2)</f>
        <v>46.92</v>
      </c>
    </row>
    <row r="163" customFormat="false" ht="35.05" hidden="false" customHeight="false" outlineLevel="0" collapsed="false">
      <c r="A163" s="1" t="str">
        <f aca="false">CHOOSE(1+LOG(1+2*(ORÇAMENTO.Nivel="Meta")+4*(ORÇAMENTO.Nivel="Nível 2")+8*(ORÇAMENTO.Nivel="Nível 3")+16*(ORÇAMENTO.Nivel="Nível 4")+32*(ORÇAMENTO.Nivel="Serviço"),2),0,1,2,3,4,"S")</f>
        <v>S</v>
      </c>
      <c r="B163" s="1" t="n">
        <f aca="true">IF(OR(C163="s",C163=0),OFFSET(B163,-1,0),C163)</f>
        <v>2</v>
      </c>
      <c r="C163" s="1" t="str">
        <f aca="true">IF(OFFSET(C163,-1,0)="L",1,IF(OFFSET(C163,-1,0)=1,2,IF(OR(A163="s",A163=0),"S",IF(AND(OFFSET(C163,-1,0)=2,A163=4),3,IF(AND(OR(OFFSET(C163,-1,0)="s",OFFSET(C163,-1,0)=0),A163&lt;&gt;"s",A163&gt;OFFSET(B163,-1,0)),OFFSET(B163,-1,0),A163)))))</f>
        <v>S</v>
      </c>
      <c r="D163" s="1" t="n">
        <f aca="false">IF(OR(C163="S",C163=0),0,IF(ISERROR(K163),J163,SMALL(J163:K163,1)))</f>
        <v>0</v>
      </c>
      <c r="E163" s="1" t="n">
        <f aca="true">IF($C163=1,OFFSET(E163,-1,0)+MAX(1,COUNTIF(QCI!$A$13:$A$15,OFFSET(ORÇAMENTO!E163,-1,0))),OFFSET(E163,-1,0))</f>
        <v>1</v>
      </c>
      <c r="F163" s="1" t="n">
        <f aca="true">IF($C163=1,0,IF($C163=2,OFFSET(F163,-1,0)+1,OFFSET(F163,-1,0)))</f>
        <v>43</v>
      </c>
      <c r="G163" s="1" t="n">
        <f aca="true">IF(AND($C163&lt;=2,$C163&lt;&gt;0),0,IF($C163=3,OFFSET(G163,-1,0)+1,OFFSET(G163,-1,0)))</f>
        <v>0</v>
      </c>
      <c r="H163" s="1" t="n">
        <f aca="true">IF(AND($C163&lt;=3,$C163&lt;&gt;0),0,IF($C163=4,OFFSET(H163,-1,0)+1,OFFSET(H163,-1,0)))</f>
        <v>0</v>
      </c>
      <c r="I163" s="1" t="n">
        <f aca="true">IF(AND($C163&lt;=4,$C163&lt;&gt;0),0,IF(AND($C163="S",$X163&gt;0),OFFSET(I163,-1,0)+1,OFFSET(I163,-1,0)))</f>
        <v>7</v>
      </c>
      <c r="J163" s="1" t="n">
        <f aca="true">IF(OR($C163="S",$C163=0),0,MATCH(0,OFFSET($D163,1,$C163,ROW($C$205)-ROW($C163)),0))</f>
        <v>0</v>
      </c>
      <c r="K163" s="1" t="n">
        <f aca="true">IF(OR($C163="S",$C163=0),0,MATCH(OFFSET($D163,0,$C163)+IF($C163&lt;&gt;1,1,COUNTIF(QCI!$A$13:$A$15,ORÇAMENTO!E163)),OFFSET($D163,1,$C163,ROW($C$205)-ROW($C163)),0))</f>
        <v>0</v>
      </c>
      <c r="L163" s="199" t="str">
        <f aca="false">IF(OR($X163&gt;0,$C163=1,$C163=2,$C163=3,$C163=4),"F","")</f>
        <v>F</v>
      </c>
      <c r="M163" s="200" t="s">
        <v>735</v>
      </c>
      <c r="N163" s="201" t="str">
        <f aca="false">CHOOSE(1+LOG(1+2*(C163=1)+4*(C163=2)+8*(C163=3)+16*(C163=4)+32*(C163="S"),2),"","Meta","Nível 2","Nível 3","Nível 4","Serviço")</f>
        <v>Serviço</v>
      </c>
      <c r="O163" s="202" t="str">
        <f aca="false">IF(OR($C163=0,$L163=""),"-",CONCATENATE(E163&amp;".",IF(AND($A$5&gt;=2,$C163&gt;=2),F163&amp;".",""),IF(AND($A$5&gt;=3,$C163&gt;=3),G163&amp;".",""),IF(AND($A$5&gt;=4,$C163&gt;=4),H163&amp;".",""),IF($C163="S",I163&amp;".","")))</f>
        <v>1.43.7.</v>
      </c>
      <c r="P163" s="203" t="s">
        <v>780</v>
      </c>
      <c r="Q163" s="204" t="n">
        <v>89408</v>
      </c>
      <c r="R163" s="205" t="str">
        <f aca="false">[4]PO!$D$190</f>
        <v>JOELHO 90 GRAUS, PVC, SOLDÁVEL, DN 25MM, INSTALADO EM RAMAL DE DISTRIBUIÇÃO DE ÁGUA - FORNECIMENTO E INSTALAÇÃO. AF_06/2022</v>
      </c>
      <c r="S163" s="206" t="s">
        <v>666</v>
      </c>
      <c r="T163" s="207" t="n">
        <f aca="true">OFFSET(CÁLCULO!H$15,ROW($T163)-ROW(T$15),0)</f>
        <v>200</v>
      </c>
      <c r="U163" s="208" t="n">
        <f aca="false">[2]PO!$G$190</f>
        <v>8.64</v>
      </c>
      <c r="V163" s="209" t="s">
        <v>690</v>
      </c>
      <c r="W163" s="207" t="n">
        <f aca="false">IF($C163="S",ROUND(IF(TIPOORCAMENTO="Proposto",ORÇAMENTO.CustoUnitario*(1+$AH163),ORÇAMENTO.PrecoUnitarioLicitado),15-13*$AF$10),0)</f>
        <v>11.15</v>
      </c>
      <c r="X163" s="210" t="n">
        <f aca="true" t="array" ref="X163:X163">IF($C163="S",IF(OR(Import.TipoArredondamento&lt;&gt;"TransfereGOV",ACOMPANHAMENTO="BM"),VTOTAL1,SUM(OFFSET(CÁLCULO!$AQ$15,ROW($X163)-ROW($X$15),1):OFFSET(CÁLCULO!$BR$15,ROW($X163)-ROW($X$15),-1))),IF($C163=0,0,ROUND(SomaAgrup,15-13*$AF$11)))</f>
        <v>2230</v>
      </c>
      <c r="Y163" s="211" t="s">
        <v>781</v>
      </c>
      <c r="Z163" s="1" t="str">
        <f aca="false">IF(AND($C163="S",$X163&gt;0),IF(ISBLANK($Y163),"RA",LEFT($Y163,2)),"")</f>
        <v>RA</v>
      </c>
      <c r="AA163" s="212" t="n">
        <f aca="true">IF($C163="S",IF($Z163="CP",$X163,IF($Z163="RA",(($X163)*QCI!$AA$3),0)),SomaAgrup)</f>
        <v>247.488804234757</v>
      </c>
      <c r="AB163" s="213" t="n">
        <f aca="true">IF($C163="S",IF($Z163="OU",ROUND($X163,2),0),SomaAgrup)</f>
        <v>0</v>
      </c>
      <c r="AC163" s="214" t="e">
        <f aca="false" t="array" ref="AC163:AC163">IF($N163=""," ",
IF(AND($C163&lt;&gt;"S",OR($R163="",$R163="(digite a descrição aqui)")),"DESCRIÇÃO",
IF(AND($C163="S",OR($Q163&lt;&gt;"",$T163&gt;0,$U163&gt;0),$P163=""),"FONTE",
IF(AND($C163="S",$P163&lt;&gt;"",OR($T163&gt;0,$U163&gt;0),$Q163=""),"CÓDIGO",
IF(AND($C163="S",$P163&lt;&gt;"",$Q163&lt;&gt;"",$R163="(Código não identificado nas referências)"),"CÓDIGO N/ID",
IF(AND($C163="S",OR($R163="",$R163="(digite a descrição aqui)"),OR($Q163&lt;&gt;"",$T163&gt;0,$U163&gt;0)),"DESCRIÇÃO",
IF(AND($C163="S",$P163&lt;&gt;"",$Q163&lt;&gt;"",$S163=""),"UNIDADE",
IF(AND($C163="S",$P163&lt;&gt;"",$Q163&lt;&gt;"",$U163=0),"SEM CUSTO",
IF(AND(_xlfn.single(TIPOORCAMENTO)="Licitado",$AL163=0,$AN163&gt;0),"SEM PREÇO",
IF(AND($C163="S",$P163&lt;&gt;"",$Q163&lt;&gt;"",$U163&gt;0,$V163=0),"BDI",
IF(OR(AND(TIPOORCAMENTO="Proposto",LEFT($O$8,5)&lt;&gt;"(N/D:",$AG163&lt;&gt;"",ORÇAMENTO.CustoUnitario&gt;$AG163),AND(TIPOORCAMENTO="LICITADO",ORÇAMENTO.PrecoUnitarioLicitado&gt;$AN163)),"ACIMA REF.",
IF(AND($C163="S",$P163&lt;&gt;"",$Q163&lt;&gt;"",$T163=0,$U163&gt;0),"QUANT.",
IF(AND(Import.TipoArredondamento="TransfereGOV",$L163="F",$C163="S",LEN($Q163)&gt;13),"Código &gt;13",
IF(AND(Import.TipoArredondamento="TransfereGOV",$L163="F",$C163&lt;&gt;"S",LEN($R163)&gt;100),"Descrição &gt;100",
IF(AND(Import.TipoArredondamento="TransfereGOV",$L163="F",$C163="S",LEN($R163)&gt;500),"Descrição &gt;500",
IF(AND(Import.TipoArredondamento="TransfereGOV",$L163="F",$C163="S",LEFT(TRIM(UPPER($P163)),6)&lt;&gt;"SINAPI",ISNA(VLOOKUP(TRIM(UPPER($S163)),ListaTgov.Unidades,1,FALSE()))),"Unid. Não Disp",
" "))))))))))))))))</f>
        <v>#NAME?</v>
      </c>
      <c r="AD163" s="1" t="str">
        <f aca="true">IF(C163&lt;=CRONO.NivelExibicao,MAX($AD$15:OFFSET(AD163,-1,0))+IF($C163&lt;&gt;1,1,MAX(1,COUNTIF(QCI!$A$13:$A$15,OFFSET($E163,-1,0)))),"")</f>
        <v/>
      </c>
      <c r="AE163" s="50" t="str">
        <f aca="false">IF(AND($C163="S",ORÇAMENTO.CodBarra&lt;&gt;""),IF(ORÇAMENTO.Fonte="",ORÇAMENTO.CodBarra,CONCATENATE(ORÇAMENTO.Fonte," ",ORÇAMENTO.CodBarra)))</f>
        <v>SINAPI 89408</v>
      </c>
      <c r="AF163" s="65" t="str">
        <f aca="true">IF(ISERROR(INDIRECT(ORÇAMENTO.BancoRef)),"(abra o arquivo 'Referência "&amp;Excel_BuiltIn_Database&amp;".xlsm)",IF(OR($C163&lt;&gt;"S",ORÇAMENTO.CodBarra=""),"(Sem Código)",IF(ISERROR(MATCH($AE163,INDIRECT(ORÇAMENTO.BancoRef),0)),"(Código não identificado nas referências)",MATCH($AE163,INDIRECT(ORÇAMENTO.BancoRef),0))))</f>
        <v>(abra o arquivo 'Referência 07-2025.xlsm)</v>
      </c>
      <c r="AG163" s="215" t="n">
        <f aca="true">ROUND(IF(DESONERACAO="sim",REFERENCIA.Desonerado,REFERENCIA.NaoDesonerado),2)</f>
        <v>0</v>
      </c>
      <c r="AH163" s="216" t="n">
        <f aca="false">ROUND(IF(ISNUMBER(ORÇAMENTO.OpcaoBDI),ORÇAMENTO.OpcaoBDI,IF(LEFT(ORÇAMENTO.OpcaoBDI,3)="BDI",HLOOKUP(ORÇAMENTO.OpcaoBDI,$F$4:$H$5,2,FALSE()),0)),15-11*$AF$9)</f>
        <v>0.2904</v>
      </c>
      <c r="AJ163" s="217"/>
      <c r="AL163" s="218"/>
      <c r="AM163" s="219" t="n">
        <f aca="false">$X163</f>
        <v>2230</v>
      </c>
      <c r="AN163" s="220" t="n">
        <f aca="false">ROUND(ORÇAMENTO.CustoUnitario*(1+$AH163),2)</f>
        <v>11.15</v>
      </c>
    </row>
    <row r="164" customFormat="false" ht="35.05" hidden="false" customHeight="false" outlineLevel="0" collapsed="false">
      <c r="A164" s="1" t="str">
        <f aca="false">CHOOSE(1+LOG(1+2*(ORÇAMENTO.Nivel="Meta")+4*(ORÇAMENTO.Nivel="Nível 2")+8*(ORÇAMENTO.Nivel="Nível 3")+16*(ORÇAMENTO.Nivel="Nível 4")+32*(ORÇAMENTO.Nivel="Serviço"),2),0,1,2,3,4,"S")</f>
        <v>S</v>
      </c>
      <c r="B164" s="1" t="n">
        <f aca="true">IF(OR(C164="s",C164=0),OFFSET(B164,-1,0),C164)</f>
        <v>2</v>
      </c>
      <c r="C164" s="1" t="str">
        <f aca="true">IF(OFFSET(C164,-1,0)="L",1,IF(OFFSET(C164,-1,0)=1,2,IF(OR(A164="s",A164=0),"S",IF(AND(OFFSET(C164,-1,0)=2,A164=4),3,IF(AND(OR(OFFSET(C164,-1,0)="s",OFFSET(C164,-1,0)=0),A164&lt;&gt;"s",A164&gt;OFFSET(B164,-1,0)),OFFSET(B164,-1,0),A164)))))</f>
        <v>S</v>
      </c>
      <c r="D164" s="1" t="n">
        <f aca="false">IF(OR(C164="S",C164=0),0,IF(ISERROR(K164),J164,SMALL(J164:K164,1)))</f>
        <v>0</v>
      </c>
      <c r="E164" s="1" t="n">
        <f aca="true">IF($C164=1,OFFSET(E164,-1,0)+MAX(1,COUNTIF(QCI!$A$13:$A$15,OFFSET(ORÇAMENTO!E164,-1,0))),OFFSET(E164,-1,0))</f>
        <v>1</v>
      </c>
      <c r="F164" s="1" t="n">
        <f aca="true">IF($C164=1,0,IF($C164=2,OFFSET(F164,-1,0)+1,OFFSET(F164,-1,0)))</f>
        <v>43</v>
      </c>
      <c r="G164" s="1" t="n">
        <f aca="true">IF(AND($C164&lt;=2,$C164&lt;&gt;0),0,IF($C164=3,OFFSET(G164,-1,0)+1,OFFSET(G164,-1,0)))</f>
        <v>0</v>
      </c>
      <c r="H164" s="1" t="n">
        <f aca="true">IF(AND($C164&lt;=3,$C164&lt;&gt;0),0,IF($C164=4,OFFSET(H164,-1,0)+1,OFFSET(H164,-1,0)))</f>
        <v>0</v>
      </c>
      <c r="I164" s="1" t="n">
        <f aca="true">IF(AND($C164&lt;=4,$C164&lt;&gt;0),0,IF(AND($C164="S",$X164&gt;0),OFFSET(I164,-1,0)+1,OFFSET(I164,-1,0)))</f>
        <v>8</v>
      </c>
      <c r="J164" s="1" t="n">
        <f aca="true">IF(OR($C164="S",$C164=0),0,MATCH(0,OFFSET($D164,1,$C164,ROW($C$205)-ROW($C164)),0))</f>
        <v>0</v>
      </c>
      <c r="K164" s="1" t="n">
        <f aca="true">IF(OR($C164="S",$C164=0),0,MATCH(OFFSET($D164,0,$C164)+IF($C164&lt;&gt;1,1,COUNTIF(QCI!$A$13:$A$15,ORÇAMENTO!E164)),OFFSET($D164,1,$C164,ROW($C$205)-ROW($C164)),0))</f>
        <v>0</v>
      </c>
      <c r="L164" s="199" t="str">
        <f aca="false">IF(OR($X164&gt;0,$C164=1,$C164=2,$C164=3,$C164=4),"F","")</f>
        <v>F</v>
      </c>
      <c r="M164" s="200" t="s">
        <v>735</v>
      </c>
      <c r="N164" s="201" t="str">
        <f aca="false">CHOOSE(1+LOG(1+2*(C164=1)+4*(C164=2)+8*(C164=3)+16*(C164=4)+32*(C164="S"),2),"","Meta","Nível 2","Nível 3","Nível 4","Serviço")</f>
        <v>Serviço</v>
      </c>
      <c r="O164" s="202" t="str">
        <f aca="false">IF(OR($C164=0,$L164=""),"-",CONCATENATE(E164&amp;".",IF(AND($A$5&gt;=2,$C164&gt;=2),F164&amp;".",""),IF(AND($A$5&gt;=3,$C164&gt;=3),G164&amp;".",""),IF(AND($A$5&gt;=4,$C164&gt;=4),H164&amp;".",""),IF($C164="S",I164&amp;".","")))</f>
        <v>1.43.8.</v>
      </c>
      <c r="P164" s="203" t="s">
        <v>780</v>
      </c>
      <c r="Q164" s="204" t="n">
        <v>89413</v>
      </c>
      <c r="R164" s="205" t="str">
        <f aca="false">[4]PO!$D$191</f>
        <v>JOELHO 90 GRAUS, PVC, SOLDÁVEL, DN 32MM, INSTALADO EM RAMAL DE DISTRIBUIÇÃO DE ÁGUA - FORNECIMENTO E INSTALAÇÃO. AF_06/2022</v>
      </c>
      <c r="S164" s="206" t="s">
        <v>666</v>
      </c>
      <c r="T164" s="207" t="n">
        <f aca="true">OFFSET(CÁLCULO!H$15,ROW($T164)-ROW(T$15),0)</f>
        <v>100</v>
      </c>
      <c r="U164" s="208" t="n">
        <v>11.98</v>
      </c>
      <c r="V164" s="209" t="s">
        <v>690</v>
      </c>
      <c r="W164" s="207" t="n">
        <f aca="false">IF($C164="S",ROUND(IF(TIPOORCAMENTO="Proposto",ORÇAMENTO.CustoUnitario*(1+$AH164),ORÇAMENTO.PrecoUnitarioLicitado),15-13*$AF$10),0)</f>
        <v>15.46</v>
      </c>
      <c r="X164" s="210" t="n">
        <f aca="true" t="array" ref="X164:X164">IF($C164="S",IF(OR(Import.TipoArredondamento&lt;&gt;"TransfereGOV",ACOMPANHAMENTO="BM"),VTOTAL1,SUM(OFFSET(CÁLCULO!$AQ$15,ROW($X164)-ROW($X$15),1):OFFSET(CÁLCULO!$BR$15,ROW($X164)-ROW($X$15),-1))),IF($C164=0,0,ROUND(SomaAgrup,15-13*$AF$11)))</f>
        <v>1546</v>
      </c>
      <c r="Y164" s="211" t="s">
        <v>781</v>
      </c>
      <c r="Z164" s="1" t="str">
        <f aca="false">IF(AND($C164="S",$X164&gt;0),IF(ISBLANK($Y164),"RA",LEFT($Y164,2)),"")</f>
        <v>RA</v>
      </c>
      <c r="AA164" s="212" t="n">
        <f aca="true">IF($C164="S",IF($Z164="CP",$X164,IF($Z164="RA",(($X164)*QCI!$AA$3),0)),SomaAgrup)</f>
        <v>171.57744006589</v>
      </c>
      <c r="AB164" s="213" t="n">
        <f aca="true">IF($C164="S",IF($Z164="OU",ROUND($X164,2),0),SomaAgrup)</f>
        <v>0</v>
      </c>
      <c r="AC164" s="214" t="e">
        <f aca="false" t="array" ref="AC164:AC164">IF($N164=""," ",
IF(AND($C164&lt;&gt;"S",OR($R164="",$R164="(digite a descrição aqui)")),"DESCRIÇÃO",
IF(AND($C164="S",OR($Q164&lt;&gt;"",$T164&gt;0,$U164&gt;0),$P164=""),"FONTE",
IF(AND($C164="S",$P164&lt;&gt;"",OR($T164&gt;0,$U164&gt;0),$Q164=""),"CÓDIGO",
IF(AND($C164="S",$P164&lt;&gt;"",$Q164&lt;&gt;"",$R164="(Código não identificado nas referências)"),"CÓDIGO N/ID",
IF(AND($C164="S",OR($R164="",$R164="(digite a descrição aqui)"),OR($Q164&lt;&gt;"",$T164&gt;0,$U164&gt;0)),"DESCRIÇÃO",
IF(AND($C164="S",$P164&lt;&gt;"",$Q164&lt;&gt;"",$S164=""),"UNIDADE",
IF(AND($C164="S",$P164&lt;&gt;"",$Q164&lt;&gt;"",$U164=0),"SEM CUSTO",
IF(AND(_xlfn.single(TIPOORCAMENTO)="Licitado",$AL164=0,$AN164&gt;0),"SEM PREÇO",
IF(AND($C164="S",$P164&lt;&gt;"",$Q164&lt;&gt;"",$U164&gt;0,$V164=0),"BDI",
IF(OR(AND(TIPOORCAMENTO="Proposto",LEFT($O$8,5)&lt;&gt;"(N/D:",$AG164&lt;&gt;"",ORÇAMENTO.CustoUnitario&gt;$AG164),AND(TIPOORCAMENTO="LICITADO",ORÇAMENTO.PrecoUnitarioLicitado&gt;$AN164)),"ACIMA REF.",
IF(AND($C164="S",$P164&lt;&gt;"",$Q164&lt;&gt;"",$T164=0,$U164&gt;0),"QUANT.",
IF(AND(Import.TipoArredondamento="TransfereGOV",$L164="F",$C164="S",LEN($Q164)&gt;13),"Código &gt;13",
IF(AND(Import.TipoArredondamento="TransfereGOV",$L164="F",$C164&lt;&gt;"S",LEN($R164)&gt;100),"Descrição &gt;100",
IF(AND(Import.TipoArredondamento="TransfereGOV",$L164="F",$C164="S",LEN($R164)&gt;500),"Descrição &gt;500",
IF(AND(Import.TipoArredondamento="TransfereGOV",$L164="F",$C164="S",LEFT(TRIM(UPPER($P164)),6)&lt;&gt;"SINAPI",ISNA(VLOOKUP(TRIM(UPPER($S164)),ListaTgov.Unidades,1,FALSE()))),"Unid. Não Disp",
" "))))))))))))))))</f>
        <v>#NAME?</v>
      </c>
      <c r="AD164" s="1" t="str">
        <f aca="true">IF(C164&lt;=CRONO.NivelExibicao,MAX($AD$15:OFFSET(AD164,-1,0))+IF($C164&lt;&gt;1,1,MAX(1,COUNTIF(QCI!$A$13:$A$15,OFFSET($E164,-1,0)))),"")</f>
        <v/>
      </c>
      <c r="AE164" s="50" t="str">
        <f aca="false">IF(AND($C164="S",ORÇAMENTO.CodBarra&lt;&gt;""),IF(ORÇAMENTO.Fonte="",ORÇAMENTO.CodBarra,CONCATENATE(ORÇAMENTO.Fonte," ",ORÇAMENTO.CodBarra)))</f>
        <v>SINAPI 89413</v>
      </c>
      <c r="AF164" s="65" t="str">
        <f aca="true">IF(ISERROR(INDIRECT(ORÇAMENTO.BancoRef)),"(abra o arquivo 'Referência "&amp;Excel_BuiltIn_Database&amp;".xlsm)",IF(OR($C164&lt;&gt;"S",ORÇAMENTO.CodBarra=""),"(Sem Código)",IF(ISERROR(MATCH($AE164,INDIRECT(ORÇAMENTO.BancoRef),0)),"(Código não identificado nas referências)",MATCH($AE164,INDIRECT(ORÇAMENTO.BancoRef),0))))</f>
        <v>(abra o arquivo 'Referência 07-2025.xlsm)</v>
      </c>
      <c r="AG164" s="215" t="n">
        <f aca="true">ROUND(IF(DESONERACAO="sim",REFERENCIA.Desonerado,REFERENCIA.NaoDesonerado),2)</f>
        <v>0</v>
      </c>
      <c r="AH164" s="216" t="n">
        <f aca="false">ROUND(IF(ISNUMBER(ORÇAMENTO.OpcaoBDI),ORÇAMENTO.OpcaoBDI,IF(LEFT(ORÇAMENTO.OpcaoBDI,3)="BDI",HLOOKUP(ORÇAMENTO.OpcaoBDI,$F$4:$H$5,2,FALSE()),0)),15-11*$AF$9)</f>
        <v>0.2904</v>
      </c>
      <c r="AJ164" s="217"/>
      <c r="AL164" s="218"/>
      <c r="AM164" s="219" t="n">
        <f aca="false">$X164</f>
        <v>1546</v>
      </c>
      <c r="AN164" s="220" t="n">
        <f aca="false">ROUND(ORÇAMENTO.CustoUnitario*(1+$AH164),2)</f>
        <v>15.46</v>
      </c>
    </row>
    <row r="165" customFormat="false" ht="35.05" hidden="false" customHeight="false" outlineLevel="0" collapsed="false">
      <c r="A165" s="1" t="str">
        <f aca="false">CHOOSE(1+LOG(1+2*(ORÇAMENTO.Nivel="Meta")+4*(ORÇAMENTO.Nivel="Nível 2")+8*(ORÇAMENTO.Nivel="Nível 3")+16*(ORÇAMENTO.Nivel="Nível 4")+32*(ORÇAMENTO.Nivel="Serviço"),2),0,1,2,3,4,"S")</f>
        <v>S</v>
      </c>
      <c r="B165" s="1" t="n">
        <f aca="true">IF(OR(C165="s",C165=0),OFFSET(B165,-1,0),C165)</f>
        <v>2</v>
      </c>
      <c r="C165" s="1" t="str">
        <f aca="true">IF(OFFSET(C165,-1,0)="L",1,IF(OFFSET(C165,-1,0)=1,2,IF(OR(A165="s",A165=0),"S",IF(AND(OFFSET(C165,-1,0)=2,A165=4),3,IF(AND(OR(OFFSET(C165,-1,0)="s",OFFSET(C165,-1,0)=0),A165&lt;&gt;"s",A165&gt;OFFSET(B165,-1,0)),OFFSET(B165,-1,0),A165)))))</f>
        <v>S</v>
      </c>
      <c r="D165" s="1" t="n">
        <f aca="false">IF(OR(C165="S",C165=0),0,IF(ISERROR(K165),J165,SMALL(J165:K165,1)))</f>
        <v>0</v>
      </c>
      <c r="E165" s="1" t="n">
        <f aca="true">IF($C165=1,OFFSET(E165,-1,0)+MAX(1,COUNTIF(QCI!$A$13:$A$15,OFFSET(ORÇAMENTO!E165,-1,0))),OFFSET(E165,-1,0))</f>
        <v>1</v>
      </c>
      <c r="F165" s="1" t="n">
        <f aca="true">IF($C165=1,0,IF($C165=2,OFFSET(F165,-1,0)+1,OFFSET(F165,-1,0)))</f>
        <v>43</v>
      </c>
      <c r="G165" s="1" t="n">
        <f aca="true">IF(AND($C165&lt;=2,$C165&lt;&gt;0),0,IF($C165=3,OFFSET(G165,-1,0)+1,OFFSET(G165,-1,0)))</f>
        <v>0</v>
      </c>
      <c r="H165" s="1" t="n">
        <f aca="true">IF(AND($C165&lt;=3,$C165&lt;&gt;0),0,IF($C165=4,OFFSET(H165,-1,0)+1,OFFSET(H165,-1,0)))</f>
        <v>0</v>
      </c>
      <c r="I165" s="1" t="n">
        <f aca="true">IF(AND($C165&lt;=4,$C165&lt;&gt;0),0,IF(AND($C165="S",$X165&gt;0),OFFSET(I165,-1,0)+1,OFFSET(I165,-1,0)))</f>
        <v>9</v>
      </c>
      <c r="J165" s="1" t="n">
        <f aca="true">IF(OR($C165="S",$C165=0),0,MATCH(0,OFFSET($D165,1,$C165,ROW($C$205)-ROW($C165)),0))</f>
        <v>0</v>
      </c>
      <c r="K165" s="1" t="n">
        <f aca="true">IF(OR($C165="S",$C165=0),0,MATCH(OFFSET($D165,0,$C165)+IF($C165&lt;&gt;1,1,COUNTIF(QCI!$A$13:$A$15,ORÇAMENTO!E165)),OFFSET($D165,1,$C165,ROW($C$205)-ROW($C165)),0))</f>
        <v>0</v>
      </c>
      <c r="L165" s="199" t="str">
        <f aca="false">IF(OR($X165&gt;0,$C165=1,$C165=2,$C165=3,$C165=4),"F","")</f>
        <v>F</v>
      </c>
      <c r="M165" s="200" t="s">
        <v>735</v>
      </c>
      <c r="N165" s="201" t="str">
        <f aca="false">CHOOSE(1+LOG(1+2*(C165=1)+4*(C165=2)+8*(C165=3)+16*(C165=4)+32*(C165="S"),2),"","Meta","Nível 2","Nível 3","Nível 4","Serviço")</f>
        <v>Serviço</v>
      </c>
      <c r="O165" s="202" t="str">
        <f aca="false">IF(OR($C165=0,$L165=""),"-",CONCATENATE(E165&amp;".",IF(AND($A$5&gt;=2,$C165&gt;=2),F165&amp;".",""),IF(AND($A$5&gt;=3,$C165&gt;=3),G165&amp;".",""),IF(AND($A$5&gt;=4,$C165&gt;=4),H165&amp;".",""),IF($C165="S",I165&amp;".","")))</f>
        <v>1.43.9.</v>
      </c>
      <c r="P165" s="203" t="s">
        <v>780</v>
      </c>
      <c r="Q165" s="204" t="n">
        <v>89414</v>
      </c>
      <c r="R165" s="205" t="str">
        <f aca="false">[4]PO!$D$192</f>
        <v>JOELHO 45 GRAUS, PVC, SOLDÁVEL, DN 32MM, INSTALADO EM RAMAL DE DISTRIBUIÇÃO DE ÁGUA - FORNECIMENTO E INSTALAÇÃO. AF_06/2022</v>
      </c>
      <c r="S165" s="206" t="s">
        <v>666</v>
      </c>
      <c r="T165" s="207" t="n">
        <f aca="true">OFFSET(CÁLCULO!H$15,ROW($T165)-ROW(T$15),0)</f>
        <v>25</v>
      </c>
      <c r="U165" s="208" t="n">
        <f aca="false">[2]PO!$G$192</f>
        <v>13.64</v>
      </c>
      <c r="V165" s="209" t="s">
        <v>690</v>
      </c>
      <c r="W165" s="207" t="n">
        <f aca="false">IF($C165="S",ROUND(IF(TIPOORCAMENTO="Proposto",ORÇAMENTO.CustoUnitario*(1+$AH165),ORÇAMENTO.PrecoUnitarioLicitado),15-13*$AF$10),0)</f>
        <v>17.6</v>
      </c>
      <c r="X165" s="210" t="n">
        <f aca="true" t="array" ref="X165:X165">IF($C165="S",IF(OR(Import.TipoArredondamento&lt;&gt;"TransfereGOV",ACOMPANHAMENTO="BM"),VTOTAL1,SUM(OFFSET(CÁLCULO!$AQ$15,ROW($X165)-ROW($X$15),1):OFFSET(CÁLCULO!$BR$15,ROW($X165)-ROW($X$15),-1))),IF($C165=0,0,ROUND(SomaAgrup,15-13*$AF$11)))</f>
        <v>440</v>
      </c>
      <c r="Y165" s="211" t="s">
        <v>781</v>
      </c>
      <c r="Z165" s="1" t="str">
        <f aca="false">IF(AND($C165="S",$X165&gt;0),IF(ISBLANK($Y165),"RA",LEFT($Y165,2)),"")</f>
        <v>RA</v>
      </c>
      <c r="AA165" s="212" t="n">
        <f aca="true">IF($C165="S",IF($Z165="CP",$X165,IF($Z165="RA",(($X165)*QCI!$AA$3),0)),SomaAgrup)</f>
        <v>48.8318716875753</v>
      </c>
      <c r="AB165" s="213" t="n">
        <f aca="true">IF($C165="S",IF($Z165="OU",ROUND($X165,2),0),SomaAgrup)</f>
        <v>0</v>
      </c>
      <c r="AC165" s="214" t="e">
        <f aca="false" t="array" ref="AC165:AC165">IF($N165=""," ",
IF(AND($C165&lt;&gt;"S",OR($R165="",$R165="(digite a descrição aqui)")),"DESCRIÇÃO",
IF(AND($C165="S",OR($Q165&lt;&gt;"",$T165&gt;0,$U165&gt;0),$P165=""),"FONTE",
IF(AND($C165="S",$P165&lt;&gt;"",OR($T165&gt;0,$U165&gt;0),$Q165=""),"CÓDIGO",
IF(AND($C165="S",$P165&lt;&gt;"",$Q165&lt;&gt;"",$R165="(Código não identificado nas referências)"),"CÓDIGO N/ID",
IF(AND($C165="S",OR($R165="",$R165="(digite a descrição aqui)"),OR($Q165&lt;&gt;"",$T165&gt;0,$U165&gt;0)),"DESCRIÇÃO",
IF(AND($C165="S",$P165&lt;&gt;"",$Q165&lt;&gt;"",$S165=""),"UNIDADE",
IF(AND($C165="S",$P165&lt;&gt;"",$Q165&lt;&gt;"",$U165=0),"SEM CUSTO",
IF(AND(_xlfn.single(TIPOORCAMENTO)="Licitado",$AL165=0,$AN165&gt;0),"SEM PREÇO",
IF(AND($C165="S",$P165&lt;&gt;"",$Q165&lt;&gt;"",$U165&gt;0,$V165=0),"BDI",
IF(OR(AND(TIPOORCAMENTO="Proposto",LEFT($O$8,5)&lt;&gt;"(N/D:",$AG165&lt;&gt;"",ORÇAMENTO.CustoUnitario&gt;$AG165),AND(TIPOORCAMENTO="LICITADO",ORÇAMENTO.PrecoUnitarioLicitado&gt;$AN165)),"ACIMA REF.",
IF(AND($C165="S",$P165&lt;&gt;"",$Q165&lt;&gt;"",$T165=0,$U165&gt;0),"QUANT.",
IF(AND(Import.TipoArredondamento="TransfereGOV",$L165="F",$C165="S",LEN($Q165)&gt;13),"Código &gt;13",
IF(AND(Import.TipoArredondamento="TransfereGOV",$L165="F",$C165&lt;&gt;"S",LEN($R165)&gt;100),"Descrição &gt;100",
IF(AND(Import.TipoArredondamento="TransfereGOV",$L165="F",$C165="S",LEN($R165)&gt;500),"Descrição &gt;500",
IF(AND(Import.TipoArredondamento="TransfereGOV",$L165="F",$C165="S",LEFT(TRIM(UPPER($P165)),6)&lt;&gt;"SINAPI",ISNA(VLOOKUP(TRIM(UPPER($S165)),ListaTgov.Unidades,1,FALSE()))),"Unid. Não Disp",
" "))))))))))))))))</f>
        <v>#NAME?</v>
      </c>
      <c r="AD165" s="1" t="str">
        <f aca="true">IF(C165&lt;=CRONO.NivelExibicao,MAX($AD$15:OFFSET(AD165,-1,0))+IF($C165&lt;&gt;1,1,MAX(1,COUNTIF(QCI!$A$13:$A$15,OFFSET($E165,-1,0)))),"")</f>
        <v/>
      </c>
      <c r="AE165" s="50" t="str">
        <f aca="false">IF(AND($C165="S",ORÇAMENTO.CodBarra&lt;&gt;""),IF(ORÇAMENTO.Fonte="",ORÇAMENTO.CodBarra,CONCATENATE(ORÇAMENTO.Fonte," ",ORÇAMENTO.CodBarra)))</f>
        <v>SINAPI 89414</v>
      </c>
      <c r="AF165" s="65" t="str">
        <f aca="true">IF(ISERROR(INDIRECT(ORÇAMENTO.BancoRef)),"(abra o arquivo 'Referência "&amp;Excel_BuiltIn_Database&amp;".xlsm)",IF(OR($C165&lt;&gt;"S",ORÇAMENTO.CodBarra=""),"(Sem Código)",IF(ISERROR(MATCH($AE165,INDIRECT(ORÇAMENTO.BancoRef),0)),"(Código não identificado nas referências)",MATCH($AE165,INDIRECT(ORÇAMENTO.BancoRef),0))))</f>
        <v>(abra o arquivo 'Referência 07-2025.xlsm)</v>
      </c>
      <c r="AG165" s="215" t="n">
        <f aca="true">ROUND(IF(DESONERACAO="sim",REFERENCIA.Desonerado,REFERENCIA.NaoDesonerado),2)</f>
        <v>0</v>
      </c>
      <c r="AH165" s="216" t="n">
        <f aca="false">ROUND(IF(ISNUMBER(ORÇAMENTO.OpcaoBDI),ORÇAMENTO.OpcaoBDI,IF(LEFT(ORÇAMENTO.OpcaoBDI,3)="BDI",HLOOKUP(ORÇAMENTO.OpcaoBDI,$F$4:$H$5,2,FALSE()),0)),15-11*$AF$9)</f>
        <v>0.2904</v>
      </c>
      <c r="AJ165" s="217"/>
      <c r="AL165" s="218"/>
      <c r="AM165" s="219" t="n">
        <f aca="false">$X165</f>
        <v>440</v>
      </c>
      <c r="AN165" s="220" t="n">
        <f aca="false">ROUND(ORÇAMENTO.CustoUnitario*(1+$AH165),2)</f>
        <v>17.6</v>
      </c>
    </row>
    <row r="166" customFormat="false" ht="35.05" hidden="false" customHeight="false" outlineLevel="0" collapsed="false">
      <c r="A166" s="1" t="str">
        <f aca="false">CHOOSE(1+LOG(1+2*(ORÇAMENTO.Nivel="Meta")+4*(ORÇAMENTO.Nivel="Nível 2")+8*(ORÇAMENTO.Nivel="Nível 3")+16*(ORÇAMENTO.Nivel="Nível 4")+32*(ORÇAMENTO.Nivel="Serviço"),2),0,1,2,3,4,"S")</f>
        <v>S</v>
      </c>
      <c r="B166" s="1" t="n">
        <f aca="true">IF(OR(C166="s",C166=0),OFFSET(B166,-1,0),C166)</f>
        <v>2</v>
      </c>
      <c r="C166" s="1" t="str">
        <f aca="true">IF(OFFSET(C166,-1,0)="L",1,IF(OFFSET(C166,-1,0)=1,2,IF(OR(A166="s",A166=0),"S",IF(AND(OFFSET(C166,-1,0)=2,A166=4),3,IF(AND(OR(OFFSET(C166,-1,0)="s",OFFSET(C166,-1,0)=0),A166&lt;&gt;"s",A166&gt;OFFSET(B166,-1,0)),OFFSET(B166,-1,0),A166)))))</f>
        <v>S</v>
      </c>
      <c r="D166" s="1" t="n">
        <f aca="false">IF(OR(C166="S",C166=0),0,IF(ISERROR(K166),J166,SMALL(J166:K166,1)))</f>
        <v>0</v>
      </c>
      <c r="E166" s="1" t="n">
        <f aca="true">IF($C166=1,OFFSET(E166,-1,0)+MAX(1,COUNTIF(QCI!$A$13:$A$15,OFFSET(ORÇAMENTO!E166,-1,0))),OFFSET(E166,-1,0))</f>
        <v>1</v>
      </c>
      <c r="F166" s="1" t="n">
        <f aca="true">IF($C166=1,0,IF($C166=2,OFFSET(F166,-1,0)+1,OFFSET(F166,-1,0)))</f>
        <v>43</v>
      </c>
      <c r="G166" s="1" t="n">
        <f aca="true">IF(AND($C166&lt;=2,$C166&lt;&gt;0),0,IF($C166=3,OFFSET(G166,-1,0)+1,OFFSET(G166,-1,0)))</f>
        <v>0</v>
      </c>
      <c r="H166" s="1" t="n">
        <f aca="true">IF(AND($C166&lt;=3,$C166&lt;&gt;0),0,IF($C166=4,OFFSET(H166,-1,0)+1,OFFSET(H166,-1,0)))</f>
        <v>0</v>
      </c>
      <c r="I166" s="1" t="n">
        <f aca="true">IF(AND($C166&lt;=4,$C166&lt;&gt;0),0,IF(AND($C166="S",$X166&gt;0),OFFSET(I166,-1,0)+1,OFFSET(I166,-1,0)))</f>
        <v>10</v>
      </c>
      <c r="J166" s="1" t="n">
        <f aca="true">IF(OR($C166="S",$C166=0),0,MATCH(0,OFFSET($D166,1,$C166,ROW($C$205)-ROW($C166)),0))</f>
        <v>0</v>
      </c>
      <c r="K166" s="1" t="n">
        <f aca="true">IF(OR($C166="S",$C166=0),0,MATCH(OFFSET($D166,0,$C166)+IF($C166&lt;&gt;1,1,COUNTIF(QCI!$A$13:$A$15,ORÇAMENTO!E166)),OFFSET($D166,1,$C166,ROW($C$205)-ROW($C166)),0))</f>
        <v>0</v>
      </c>
      <c r="L166" s="199" t="str">
        <f aca="false">IF(OR($X166&gt;0,$C166=1,$C166=2,$C166=3,$C166=4),"F","")</f>
        <v>F</v>
      </c>
      <c r="M166" s="200" t="s">
        <v>735</v>
      </c>
      <c r="N166" s="201" t="str">
        <f aca="false">CHOOSE(1+LOG(1+2*(C166=1)+4*(C166=2)+8*(C166=3)+16*(C166=4)+32*(C166="S"),2),"","Meta","Nível 2","Nível 3","Nível 4","Serviço")</f>
        <v>Serviço</v>
      </c>
      <c r="O166" s="202" t="str">
        <f aca="false">IF(OR($C166=0,$L166=""),"-",CONCATENATE(E166&amp;".",IF(AND($A$5&gt;=2,$C166&gt;=2),F166&amp;".",""),IF(AND($A$5&gt;=3,$C166&gt;=3),G166&amp;".",""),IF(AND($A$5&gt;=4,$C166&gt;=4),H166&amp;".",""),IF($C166="S",I166&amp;".","")))</f>
        <v>1.43.10.</v>
      </c>
      <c r="P166" s="203" t="s">
        <v>780</v>
      </c>
      <c r="Q166" s="204" t="n">
        <v>103953</v>
      </c>
      <c r="R166" s="205" t="str">
        <f aca="false">[4]PO!$D$193</f>
        <v>BUCHA DE REDUÇÃO, CURTA, PVC, SOLDÁVEL, DN 32 X 25 MM, INSTALADO EM RAMAL DE DISTRIBUIÇÃO DE ÁGUA - FORNECIMENTO E INSTALAÇÃO. AF_06/2022</v>
      </c>
      <c r="S166" s="206" t="s">
        <v>830</v>
      </c>
      <c r="T166" s="207" t="n">
        <f aca="true">OFFSET(CÁLCULO!H$15,ROW($T166)-ROW(T$15),0)</f>
        <v>50</v>
      </c>
      <c r="U166" s="208" t="n">
        <v>7.21</v>
      </c>
      <c r="V166" s="209" t="s">
        <v>690</v>
      </c>
      <c r="W166" s="207" t="n">
        <f aca="false">IF($C166="S",ROUND(IF(TIPOORCAMENTO="Proposto",ORÇAMENTO.CustoUnitario*(1+$AH166),ORÇAMENTO.PrecoUnitarioLicitado),15-13*$AF$10),0)</f>
        <v>9.3</v>
      </c>
      <c r="X166" s="210" t="n">
        <f aca="true" t="array" ref="X166:X166">IF($C166="S",IF(OR(Import.TipoArredondamento&lt;&gt;"TransfereGOV",ACOMPANHAMENTO="BM"),VTOTAL1,SUM(OFFSET(CÁLCULO!$AQ$15,ROW($X166)-ROW($X$15),1):OFFSET(CÁLCULO!$BR$15,ROW($X166)-ROW($X$15),-1))),IF($C166=0,0,ROUND(SomaAgrup,15-13*$AF$11)))</f>
        <v>465</v>
      </c>
      <c r="Y166" s="211" t="s">
        <v>781</v>
      </c>
      <c r="Z166" s="1" t="str">
        <f aca="false">IF(AND($C166="S",$X166&gt;0),IF(ISBLANK($Y166),"RA",LEFT($Y166,2)),"")</f>
        <v>RA</v>
      </c>
      <c r="AA166" s="212" t="n">
        <f aca="true">IF($C166="S",IF($Z166="CP",$X166,IF($Z166="RA",(($X166)*QCI!$AA$3),0)),SomaAgrup)</f>
        <v>51.6064098516421</v>
      </c>
      <c r="AB166" s="213" t="n">
        <f aca="true">IF($C166="S",IF($Z166="OU",ROUND($X166,2),0),SomaAgrup)</f>
        <v>0</v>
      </c>
      <c r="AC166" s="214" t="e">
        <f aca="false" t="array" ref="AC166:AC166">IF($N166=""," ",
IF(AND($C166&lt;&gt;"S",OR($R166="",$R166="(digite a descrição aqui)")),"DESCRIÇÃO",
IF(AND($C166="S",OR($Q166&lt;&gt;"",$T166&gt;0,$U166&gt;0),$P166=""),"FONTE",
IF(AND($C166="S",$P166&lt;&gt;"",OR($T166&gt;0,$U166&gt;0),$Q166=""),"CÓDIGO",
IF(AND($C166="S",$P166&lt;&gt;"",$Q166&lt;&gt;"",$R166="(Código não identificado nas referências)"),"CÓDIGO N/ID",
IF(AND($C166="S",OR($R166="",$R166="(digite a descrição aqui)"),OR($Q166&lt;&gt;"",$T166&gt;0,$U166&gt;0)),"DESCRIÇÃO",
IF(AND($C166="S",$P166&lt;&gt;"",$Q166&lt;&gt;"",$S166=""),"UNIDADE",
IF(AND($C166="S",$P166&lt;&gt;"",$Q166&lt;&gt;"",$U166=0),"SEM CUSTO",
IF(AND(_xlfn.single(TIPOORCAMENTO)="Licitado",$AL166=0,$AN166&gt;0),"SEM PREÇO",
IF(AND($C166="S",$P166&lt;&gt;"",$Q166&lt;&gt;"",$U166&gt;0,$V166=0),"BDI",
IF(OR(AND(TIPOORCAMENTO="Proposto",LEFT($O$8,5)&lt;&gt;"(N/D:",$AG166&lt;&gt;"",ORÇAMENTO.CustoUnitario&gt;$AG166),AND(TIPOORCAMENTO="LICITADO",ORÇAMENTO.PrecoUnitarioLicitado&gt;$AN166)),"ACIMA REF.",
IF(AND($C166="S",$P166&lt;&gt;"",$Q166&lt;&gt;"",$T166=0,$U166&gt;0),"QUANT.",
IF(AND(Import.TipoArredondamento="TransfereGOV",$L166="F",$C166="S",LEN($Q166)&gt;13),"Código &gt;13",
IF(AND(Import.TipoArredondamento="TransfereGOV",$L166="F",$C166&lt;&gt;"S",LEN($R166)&gt;100),"Descrição &gt;100",
IF(AND(Import.TipoArredondamento="TransfereGOV",$L166="F",$C166="S",LEN($R166)&gt;500),"Descrição &gt;500",
IF(AND(Import.TipoArredondamento="TransfereGOV",$L166="F",$C166="S",LEFT(TRIM(UPPER($P166)),6)&lt;&gt;"SINAPI",ISNA(VLOOKUP(TRIM(UPPER($S166)),ListaTgov.Unidades,1,FALSE()))),"Unid. Não Disp",
" "))))))))))))))))</f>
        <v>#NAME?</v>
      </c>
      <c r="AD166" s="1" t="str">
        <f aca="true">IF(C166&lt;=CRONO.NivelExibicao,MAX($AD$15:OFFSET(AD166,-1,0))+IF($C166&lt;&gt;1,1,MAX(1,COUNTIF(QCI!$A$13:$A$15,OFFSET($E166,-1,0)))),"")</f>
        <v/>
      </c>
      <c r="AE166" s="50" t="str">
        <f aca="false">IF(AND($C166="S",ORÇAMENTO.CodBarra&lt;&gt;""),IF(ORÇAMENTO.Fonte="",ORÇAMENTO.CodBarra,CONCATENATE(ORÇAMENTO.Fonte," ",ORÇAMENTO.CodBarra)))</f>
        <v>SINAPI 103953</v>
      </c>
      <c r="AF166" s="65" t="str">
        <f aca="true">IF(ISERROR(INDIRECT(ORÇAMENTO.BancoRef)),"(abra o arquivo 'Referência "&amp;Excel_BuiltIn_Database&amp;".xlsm)",IF(OR($C166&lt;&gt;"S",ORÇAMENTO.CodBarra=""),"(Sem Código)",IF(ISERROR(MATCH($AE166,INDIRECT(ORÇAMENTO.BancoRef),0)),"(Código não identificado nas referências)",MATCH($AE166,INDIRECT(ORÇAMENTO.BancoRef),0))))</f>
        <v>(abra o arquivo 'Referência 07-2025.xlsm)</v>
      </c>
      <c r="AG166" s="215" t="n">
        <f aca="true">ROUND(IF(DESONERACAO="sim",REFERENCIA.Desonerado,REFERENCIA.NaoDesonerado),2)</f>
        <v>0</v>
      </c>
      <c r="AH166" s="216" t="n">
        <f aca="false">ROUND(IF(ISNUMBER(ORÇAMENTO.OpcaoBDI),ORÇAMENTO.OpcaoBDI,IF(LEFT(ORÇAMENTO.OpcaoBDI,3)="BDI",HLOOKUP(ORÇAMENTO.OpcaoBDI,$F$4:$H$5,2,FALSE()),0)),15-11*$AF$9)</f>
        <v>0.2904</v>
      </c>
      <c r="AJ166" s="217"/>
      <c r="AL166" s="218"/>
      <c r="AM166" s="219" t="n">
        <f aca="false">$X166</f>
        <v>465</v>
      </c>
      <c r="AN166" s="220" t="n">
        <f aca="false">ROUND(ORÇAMENTO.CustoUnitario*(1+$AH166),2)</f>
        <v>9.3</v>
      </c>
    </row>
    <row r="167" customFormat="false" ht="23.85" hidden="false" customHeight="false" outlineLevel="0" collapsed="false">
      <c r="A167" s="1" t="str">
        <f aca="false">CHOOSE(1+LOG(1+2*(ORÇAMENTO.Nivel="Meta")+4*(ORÇAMENTO.Nivel="Nível 2")+8*(ORÇAMENTO.Nivel="Nível 3")+16*(ORÇAMENTO.Nivel="Nível 4")+32*(ORÇAMENTO.Nivel="Serviço"),2),0,1,2,3,4,"S")</f>
        <v>S</v>
      </c>
      <c r="B167" s="1" t="n">
        <f aca="true">IF(OR(C167="s",C167=0),OFFSET(B167,-1,0),C167)</f>
        <v>2</v>
      </c>
      <c r="C167" s="1" t="str">
        <f aca="true">IF(OFFSET(C167,-1,0)="L",1,IF(OFFSET(C167,-1,0)=1,2,IF(OR(A167="s",A167=0),"S",IF(AND(OFFSET(C167,-1,0)=2,A167=4),3,IF(AND(OR(OFFSET(C167,-1,0)="s",OFFSET(C167,-1,0)=0),A167&lt;&gt;"s",A167&gt;OFFSET(B167,-1,0)),OFFSET(B167,-1,0),A167)))))</f>
        <v>S</v>
      </c>
      <c r="D167" s="1" t="n">
        <f aca="false">IF(OR(C167="S",C167=0),0,IF(ISERROR(K167),J167,SMALL(J167:K167,1)))</f>
        <v>0</v>
      </c>
      <c r="E167" s="1" t="n">
        <f aca="true">IF($C167=1,OFFSET(E167,-1,0)+MAX(1,COUNTIF(QCI!$A$13:$A$15,OFFSET(ORÇAMENTO!E167,-1,0))),OFFSET(E167,-1,0))</f>
        <v>1</v>
      </c>
      <c r="F167" s="1" t="n">
        <f aca="true">IF($C167=1,0,IF($C167=2,OFFSET(F167,-1,0)+1,OFFSET(F167,-1,0)))</f>
        <v>43</v>
      </c>
      <c r="G167" s="1" t="n">
        <f aca="true">IF(AND($C167&lt;=2,$C167&lt;&gt;0),0,IF($C167=3,OFFSET(G167,-1,0)+1,OFFSET(G167,-1,0)))</f>
        <v>0</v>
      </c>
      <c r="H167" s="1" t="n">
        <f aca="true">IF(AND($C167&lt;=3,$C167&lt;&gt;0),0,IF($C167=4,OFFSET(H167,-1,0)+1,OFFSET(H167,-1,0)))</f>
        <v>0</v>
      </c>
      <c r="I167" s="1" t="n">
        <f aca="true">IF(AND($C167&lt;=4,$C167&lt;&gt;0),0,IF(AND($C167="S",$X167&gt;0),OFFSET(I167,-1,0)+1,OFFSET(I167,-1,0)))</f>
        <v>11</v>
      </c>
      <c r="J167" s="1" t="n">
        <f aca="true">IF(OR($C167="S",$C167=0),0,MATCH(0,OFFSET($D167,1,$C167,ROW($C$205)-ROW($C167)),0))</f>
        <v>0</v>
      </c>
      <c r="K167" s="1" t="n">
        <f aca="true">IF(OR($C167="S",$C167=0),0,MATCH(OFFSET($D167,0,$C167)+IF($C167&lt;&gt;1,1,COUNTIF(QCI!$A$13:$A$15,ORÇAMENTO!E167)),OFFSET($D167,1,$C167,ROW($C$205)-ROW($C167)),0))</f>
        <v>0</v>
      </c>
      <c r="L167" s="199" t="str">
        <f aca="false">IF(OR($X167&gt;0,$C167=1,$C167=2,$C167=3,$C167=4),"F","")</f>
        <v>F</v>
      </c>
      <c r="M167" s="200" t="s">
        <v>735</v>
      </c>
      <c r="N167" s="201" t="str">
        <f aca="false">CHOOSE(1+LOG(1+2*(C167=1)+4*(C167=2)+8*(C167=3)+16*(C167=4)+32*(C167="S"),2),"","Meta","Nível 2","Nível 3","Nível 4","Serviço")</f>
        <v>Serviço</v>
      </c>
      <c r="O167" s="202" t="str">
        <f aca="false">IF(OR($C167=0,$L167=""),"-",CONCATENATE(E167&amp;".",IF(AND($A$5&gt;=2,$C167&gt;=2),F167&amp;".",""),IF(AND($A$5&gt;=3,$C167&gt;=3),G167&amp;".",""),IF(AND($A$5&gt;=4,$C167&gt;=4),H167&amp;".",""),IF($C167="S",I167&amp;".","")))</f>
        <v>1.43.11.</v>
      </c>
      <c r="P167" s="203" t="s">
        <v>780</v>
      </c>
      <c r="Q167" s="204" t="n">
        <v>89443</v>
      </c>
      <c r="R167" s="205" t="str">
        <f aca="false">[4]PO!$D$194</f>
        <v>TE, PVC, SOLDÁVEL, DN 32MM, INSTALADO EM RAMAL DE DISTRIBUIÇÃO DE ÁGUA - FORNECIMENTO E INSTALAÇÃO. AF_06/2022</v>
      </c>
      <c r="S167" s="206" t="s">
        <v>666</v>
      </c>
      <c r="T167" s="207" t="n">
        <f aca="true">OFFSET(CÁLCULO!H$15,ROW($T167)-ROW(T$15),0)</f>
        <v>75</v>
      </c>
      <c r="U167" s="208" t="n">
        <f aca="false">[2]PO!$G$194</f>
        <v>16.75</v>
      </c>
      <c r="V167" s="209" t="s">
        <v>690</v>
      </c>
      <c r="W167" s="207" t="n">
        <f aca="false">IF($C167="S",ROUND(IF(TIPOORCAMENTO="Proposto",ORÇAMENTO.CustoUnitario*(1+$AH167),ORÇAMENTO.PrecoUnitarioLicitado),15-13*$AF$10),0)</f>
        <v>21.61</v>
      </c>
      <c r="X167" s="210" t="n">
        <f aca="true" t="array" ref="X167:X167">IF($C167="S",IF(OR(Import.TipoArredondamento&lt;&gt;"TransfereGOV",ACOMPANHAMENTO="BM"),VTOTAL1,SUM(OFFSET(CÁLCULO!$AQ$15,ROW($X167)-ROW($X$15),1):OFFSET(CÁLCULO!$BR$15,ROW($X167)-ROW($X$15),-1))),IF($C167=0,0,ROUND(SomaAgrup,15-13*$AF$11)))</f>
        <v>1620.75</v>
      </c>
      <c r="Y167" s="211" t="s">
        <v>781</v>
      </c>
      <c r="Z167" s="1" t="str">
        <f aca="false">IF(AND($C167="S",$X167&gt;0),IF(ISBLANK($Y167),"RA",LEFT($Y167,2)),"")</f>
        <v>RA</v>
      </c>
      <c r="AA167" s="212" t="n">
        <f aca="true">IF($C167="S",IF($Z167="CP",$X167,IF($Z167="RA",(($X167)*QCI!$AA$3),0)),SomaAgrup)</f>
        <v>179.873309176449</v>
      </c>
      <c r="AB167" s="213" t="n">
        <f aca="true">IF($C167="S",IF($Z167="OU",ROUND($X167,2),0),SomaAgrup)</f>
        <v>0</v>
      </c>
      <c r="AC167" s="214" t="e">
        <f aca="false" t="array" ref="AC167:AC167">IF($N167=""," ",
IF(AND($C167&lt;&gt;"S",OR($R167="",$R167="(digite a descrição aqui)")),"DESCRIÇÃO",
IF(AND($C167="S",OR($Q167&lt;&gt;"",$T167&gt;0,$U167&gt;0),$P167=""),"FONTE",
IF(AND($C167="S",$P167&lt;&gt;"",OR($T167&gt;0,$U167&gt;0),$Q167=""),"CÓDIGO",
IF(AND($C167="S",$P167&lt;&gt;"",$Q167&lt;&gt;"",$R167="(Código não identificado nas referências)"),"CÓDIGO N/ID",
IF(AND($C167="S",OR($R167="",$R167="(digite a descrição aqui)"),OR($Q167&lt;&gt;"",$T167&gt;0,$U167&gt;0)),"DESCRIÇÃO",
IF(AND($C167="S",$P167&lt;&gt;"",$Q167&lt;&gt;"",$S167=""),"UNIDADE",
IF(AND($C167="S",$P167&lt;&gt;"",$Q167&lt;&gt;"",$U167=0),"SEM CUSTO",
IF(AND(_xlfn.single(TIPOORCAMENTO)="Licitado",$AL167=0,$AN167&gt;0),"SEM PREÇO",
IF(AND($C167="S",$P167&lt;&gt;"",$Q167&lt;&gt;"",$U167&gt;0,$V167=0),"BDI",
IF(OR(AND(TIPOORCAMENTO="Proposto",LEFT($O$8,5)&lt;&gt;"(N/D:",$AG167&lt;&gt;"",ORÇAMENTO.CustoUnitario&gt;$AG167),AND(TIPOORCAMENTO="LICITADO",ORÇAMENTO.PrecoUnitarioLicitado&gt;$AN167)),"ACIMA REF.",
IF(AND($C167="S",$P167&lt;&gt;"",$Q167&lt;&gt;"",$T167=0,$U167&gt;0),"QUANT.",
IF(AND(Import.TipoArredondamento="TransfereGOV",$L167="F",$C167="S",LEN($Q167)&gt;13),"Código &gt;13",
IF(AND(Import.TipoArredondamento="TransfereGOV",$L167="F",$C167&lt;&gt;"S",LEN($R167)&gt;100),"Descrição &gt;100",
IF(AND(Import.TipoArredondamento="TransfereGOV",$L167="F",$C167="S",LEN($R167)&gt;500),"Descrição &gt;500",
IF(AND(Import.TipoArredondamento="TransfereGOV",$L167="F",$C167="S",LEFT(TRIM(UPPER($P167)),6)&lt;&gt;"SINAPI",ISNA(VLOOKUP(TRIM(UPPER($S167)),ListaTgov.Unidades,1,FALSE()))),"Unid. Não Disp",
" "))))))))))))))))</f>
        <v>#NAME?</v>
      </c>
      <c r="AD167" s="1" t="str">
        <f aca="true">IF(C167&lt;=CRONO.NivelExibicao,MAX($AD$15:OFFSET(AD167,-1,0))+IF($C167&lt;&gt;1,1,MAX(1,COUNTIF(QCI!$A$13:$A$15,OFFSET($E167,-1,0)))),"")</f>
        <v/>
      </c>
      <c r="AE167" s="50" t="str">
        <f aca="false">IF(AND($C167="S",ORÇAMENTO.CodBarra&lt;&gt;""),IF(ORÇAMENTO.Fonte="",ORÇAMENTO.CodBarra,CONCATENATE(ORÇAMENTO.Fonte," ",ORÇAMENTO.CodBarra)))</f>
        <v>SINAPI 89443</v>
      </c>
      <c r="AF167" s="65" t="str">
        <f aca="true">IF(ISERROR(INDIRECT(ORÇAMENTO.BancoRef)),"(abra o arquivo 'Referência "&amp;Excel_BuiltIn_Database&amp;".xlsm)",IF(OR($C167&lt;&gt;"S",ORÇAMENTO.CodBarra=""),"(Sem Código)",IF(ISERROR(MATCH($AE167,INDIRECT(ORÇAMENTO.BancoRef),0)),"(Código não identificado nas referências)",MATCH($AE167,INDIRECT(ORÇAMENTO.BancoRef),0))))</f>
        <v>(abra o arquivo 'Referência 07-2025.xlsm)</v>
      </c>
      <c r="AG167" s="215" t="n">
        <f aca="true">ROUND(IF(DESONERACAO="sim",REFERENCIA.Desonerado,REFERENCIA.NaoDesonerado),2)</f>
        <v>0</v>
      </c>
      <c r="AH167" s="216" t="n">
        <f aca="false">ROUND(IF(ISNUMBER(ORÇAMENTO.OpcaoBDI),ORÇAMENTO.OpcaoBDI,IF(LEFT(ORÇAMENTO.OpcaoBDI,3)="BDI",HLOOKUP(ORÇAMENTO.OpcaoBDI,$F$4:$H$5,2,FALSE()),0)),15-11*$AF$9)</f>
        <v>0.2904</v>
      </c>
      <c r="AJ167" s="217"/>
      <c r="AL167" s="218"/>
      <c r="AM167" s="219" t="n">
        <f aca="false">$X167</f>
        <v>1620.75</v>
      </c>
      <c r="AN167" s="220" t="n">
        <f aca="false">ROUND(ORÇAMENTO.CustoUnitario*(1+$AH167),2)</f>
        <v>21.61</v>
      </c>
    </row>
    <row r="168" customFormat="false" ht="35.05" hidden="false" customHeight="false" outlineLevel="0" collapsed="false">
      <c r="A168" s="1" t="str">
        <f aca="false">CHOOSE(1+LOG(1+2*(ORÇAMENTO.Nivel="Meta")+4*(ORÇAMENTO.Nivel="Nível 2")+8*(ORÇAMENTO.Nivel="Nível 3")+16*(ORÇAMENTO.Nivel="Nível 4")+32*(ORÇAMENTO.Nivel="Serviço"),2),0,1,2,3,4,"S")</f>
        <v>S</v>
      </c>
      <c r="B168" s="1" t="n">
        <f aca="true">IF(OR(C168="s",C168=0),OFFSET(B168,-1,0),C168)</f>
        <v>2</v>
      </c>
      <c r="C168" s="1" t="str">
        <f aca="true">IF(OFFSET(C168,-1,0)="L",1,IF(OFFSET(C168,-1,0)=1,2,IF(OR(A168="s",A168=0),"S",IF(AND(OFFSET(C168,-1,0)=2,A168=4),3,IF(AND(OR(OFFSET(C168,-1,0)="s",OFFSET(C168,-1,0)=0),A168&lt;&gt;"s",A168&gt;OFFSET(B168,-1,0)),OFFSET(B168,-1,0),A168)))))</f>
        <v>S</v>
      </c>
      <c r="D168" s="1" t="n">
        <f aca="false">IF(OR(C168="S",C168=0),0,IF(ISERROR(K168),J168,SMALL(J168:K168,1)))</f>
        <v>0</v>
      </c>
      <c r="E168" s="1" t="n">
        <f aca="true">IF($C168=1,OFFSET(E168,-1,0)+MAX(1,COUNTIF(QCI!$A$13:$A$15,OFFSET(ORÇAMENTO!E168,-1,0))),OFFSET(E168,-1,0))</f>
        <v>1</v>
      </c>
      <c r="F168" s="1" t="n">
        <f aca="true">IF($C168=1,0,IF($C168=2,OFFSET(F168,-1,0)+1,OFFSET(F168,-1,0)))</f>
        <v>43</v>
      </c>
      <c r="G168" s="1" t="n">
        <f aca="true">IF(AND($C168&lt;=2,$C168&lt;&gt;0),0,IF($C168=3,OFFSET(G168,-1,0)+1,OFFSET(G168,-1,0)))</f>
        <v>0</v>
      </c>
      <c r="H168" s="1" t="n">
        <f aca="true">IF(AND($C168&lt;=3,$C168&lt;&gt;0),0,IF($C168=4,OFFSET(H168,-1,0)+1,OFFSET(H168,-1,0)))</f>
        <v>0</v>
      </c>
      <c r="I168" s="1" t="n">
        <f aca="true">IF(AND($C168&lt;=4,$C168&lt;&gt;0),0,IF(AND($C168="S",$X168&gt;0),OFFSET(I168,-1,0)+1,OFFSET(I168,-1,0)))</f>
        <v>12</v>
      </c>
      <c r="J168" s="1" t="n">
        <f aca="true">IF(OR($C168="S",$C168=0),0,MATCH(0,OFFSET($D168,1,$C168,ROW($C$205)-ROW($C168)),0))</f>
        <v>0</v>
      </c>
      <c r="K168" s="1" t="n">
        <f aca="true">IF(OR($C168="S",$C168=0),0,MATCH(OFFSET($D168,0,$C168)+IF($C168&lt;&gt;1,1,COUNTIF(QCI!$A$13:$A$15,ORÇAMENTO!E168)),OFFSET($D168,1,$C168,ROW($C$205)-ROW($C168)),0))</f>
        <v>0</v>
      </c>
      <c r="L168" s="199" t="str">
        <f aca="false">IF(OR($X168&gt;0,$C168=1,$C168=2,$C168=3,$C168=4),"F","")</f>
        <v>F</v>
      </c>
      <c r="M168" s="200" t="s">
        <v>735</v>
      </c>
      <c r="N168" s="201" t="str">
        <f aca="false">CHOOSE(1+LOG(1+2*(C168=1)+4*(C168=2)+8*(C168=3)+16*(C168=4)+32*(C168="S"),2),"","Meta","Nível 2","Nível 3","Nível 4","Serviço")</f>
        <v>Serviço</v>
      </c>
      <c r="O168" s="202" t="str">
        <f aca="false">IF(OR($C168=0,$L168=""),"-",CONCATENATE(E168&amp;".",IF(AND($A$5&gt;=2,$C168&gt;=2),F168&amp;".",""),IF(AND($A$5&gt;=3,$C168&gt;=3),G168&amp;".",""),IF(AND($A$5&gt;=4,$C168&gt;=4),H168&amp;".",""),IF($C168="S",I168&amp;".","")))</f>
        <v>1.43.12.</v>
      </c>
      <c r="P168" s="203" t="s">
        <v>780</v>
      </c>
      <c r="Q168" s="204" t="n">
        <v>89445</v>
      </c>
      <c r="R168" s="205" t="str">
        <f aca="false">[4]PO!$D$195</f>
        <v>TÊ DE REDUÇÃO, PVC, SOLDÁVEL, DN 32MM X 25MM, INSTALADO EM RAMAL DE DISTRIBUIÇÃO DE ÁGUA - FORNECIMENTO E INSTALAÇÃO. AF_06/2022</v>
      </c>
      <c r="S168" s="206" t="s">
        <v>666</v>
      </c>
      <c r="T168" s="207" t="n">
        <f aca="true">OFFSET(CÁLCULO!H$15,ROW($T168)-ROW(T$15),0)</f>
        <v>25</v>
      </c>
      <c r="U168" s="208" t="n">
        <v>18.4</v>
      </c>
      <c r="V168" s="209" t="s">
        <v>690</v>
      </c>
      <c r="W168" s="207" t="n">
        <f aca="false">IF($C168="S",ROUND(IF(TIPOORCAMENTO="Proposto",ORÇAMENTO.CustoUnitario*(1+$AH168),ORÇAMENTO.PrecoUnitarioLicitado),15-13*$AF$10),0)</f>
        <v>23.74</v>
      </c>
      <c r="X168" s="210" t="n">
        <f aca="true" t="array" ref="X168:X168">IF($C168="S",IF(OR(Import.TipoArredondamento&lt;&gt;"TransfereGOV",ACOMPANHAMENTO="BM"),VTOTAL1,SUM(OFFSET(CÁLCULO!$AQ$15,ROW($X168)-ROW($X$15),1):OFFSET(CÁLCULO!$BR$15,ROW($X168)-ROW($X$15),-1))),IF($C168=0,0,ROUND(SomaAgrup,15-13*$AF$11)))</f>
        <v>593.5</v>
      </c>
      <c r="Y168" s="211" t="s">
        <v>781</v>
      </c>
      <c r="Z168" s="1" t="str">
        <f aca="false">IF(AND($C168="S",$X168&gt;0),IF(ISBLANK($Y168),"RA",LEFT($Y168,2)),"")</f>
        <v>RA</v>
      </c>
      <c r="AA168" s="212" t="n">
        <f aca="true">IF($C168="S",IF($Z168="CP",$X168,IF($Z168="RA",(($X168)*QCI!$AA$3),0)),SomaAgrup)</f>
        <v>65.8675360149453</v>
      </c>
      <c r="AB168" s="213" t="n">
        <f aca="true">IF($C168="S",IF($Z168="OU",ROUND($X168,2),0),SomaAgrup)</f>
        <v>0</v>
      </c>
      <c r="AC168" s="214" t="e">
        <f aca="false" t="array" ref="AC168:AC168">IF($N168=""," ",
IF(AND($C168&lt;&gt;"S",OR($R168="",$R168="(digite a descrição aqui)")),"DESCRIÇÃO",
IF(AND($C168="S",OR($Q168&lt;&gt;"",$T168&gt;0,$U168&gt;0),$P168=""),"FONTE",
IF(AND($C168="S",$P168&lt;&gt;"",OR($T168&gt;0,$U168&gt;0),$Q168=""),"CÓDIGO",
IF(AND($C168="S",$P168&lt;&gt;"",$Q168&lt;&gt;"",$R168="(Código não identificado nas referências)"),"CÓDIGO N/ID",
IF(AND($C168="S",OR($R168="",$R168="(digite a descrição aqui)"),OR($Q168&lt;&gt;"",$T168&gt;0,$U168&gt;0)),"DESCRIÇÃO",
IF(AND($C168="S",$P168&lt;&gt;"",$Q168&lt;&gt;"",$S168=""),"UNIDADE",
IF(AND($C168="S",$P168&lt;&gt;"",$Q168&lt;&gt;"",$U168=0),"SEM CUSTO",
IF(AND(_xlfn.single(TIPOORCAMENTO)="Licitado",$AL168=0,$AN168&gt;0),"SEM PREÇO",
IF(AND($C168="S",$P168&lt;&gt;"",$Q168&lt;&gt;"",$U168&gt;0,$V168=0),"BDI",
IF(OR(AND(TIPOORCAMENTO="Proposto",LEFT($O$8,5)&lt;&gt;"(N/D:",$AG168&lt;&gt;"",ORÇAMENTO.CustoUnitario&gt;$AG168),AND(TIPOORCAMENTO="LICITADO",ORÇAMENTO.PrecoUnitarioLicitado&gt;$AN168)),"ACIMA REF.",
IF(AND($C168="S",$P168&lt;&gt;"",$Q168&lt;&gt;"",$T168=0,$U168&gt;0),"QUANT.",
IF(AND(Import.TipoArredondamento="TransfereGOV",$L168="F",$C168="S",LEN($Q168)&gt;13),"Código &gt;13",
IF(AND(Import.TipoArredondamento="TransfereGOV",$L168="F",$C168&lt;&gt;"S",LEN($R168)&gt;100),"Descrição &gt;100",
IF(AND(Import.TipoArredondamento="TransfereGOV",$L168="F",$C168="S",LEN($R168)&gt;500),"Descrição &gt;500",
IF(AND(Import.TipoArredondamento="TransfereGOV",$L168="F",$C168="S",LEFT(TRIM(UPPER($P168)),6)&lt;&gt;"SINAPI",ISNA(VLOOKUP(TRIM(UPPER($S168)),ListaTgov.Unidades,1,FALSE()))),"Unid. Não Disp",
" "))))))))))))))))</f>
        <v>#NAME?</v>
      </c>
      <c r="AD168" s="1" t="str">
        <f aca="true">IF(C168&lt;=CRONO.NivelExibicao,MAX($AD$15:OFFSET(AD168,-1,0))+IF($C168&lt;&gt;1,1,MAX(1,COUNTIF(QCI!$A$13:$A$15,OFFSET($E168,-1,0)))),"")</f>
        <v/>
      </c>
      <c r="AE168" s="50" t="str">
        <f aca="false">IF(AND($C168="S",ORÇAMENTO.CodBarra&lt;&gt;""),IF(ORÇAMENTO.Fonte="",ORÇAMENTO.CodBarra,CONCATENATE(ORÇAMENTO.Fonte," ",ORÇAMENTO.CodBarra)))</f>
        <v>SINAPI 89445</v>
      </c>
      <c r="AF168" s="65" t="str">
        <f aca="true">IF(ISERROR(INDIRECT(ORÇAMENTO.BancoRef)),"(abra o arquivo 'Referência "&amp;Excel_BuiltIn_Database&amp;".xlsm)",IF(OR($C168&lt;&gt;"S",ORÇAMENTO.CodBarra=""),"(Sem Código)",IF(ISERROR(MATCH($AE168,INDIRECT(ORÇAMENTO.BancoRef),0)),"(Código não identificado nas referências)",MATCH($AE168,INDIRECT(ORÇAMENTO.BancoRef),0))))</f>
        <v>(abra o arquivo 'Referência 07-2025.xlsm)</v>
      </c>
      <c r="AG168" s="215" t="n">
        <f aca="true">ROUND(IF(DESONERACAO="sim",REFERENCIA.Desonerado,REFERENCIA.NaoDesonerado),2)</f>
        <v>0</v>
      </c>
      <c r="AH168" s="216" t="n">
        <f aca="false">ROUND(IF(ISNUMBER(ORÇAMENTO.OpcaoBDI),ORÇAMENTO.OpcaoBDI,IF(LEFT(ORÇAMENTO.OpcaoBDI,3)="BDI",HLOOKUP(ORÇAMENTO.OpcaoBDI,$F$4:$H$5,2,FALSE()),0)),15-11*$AF$9)</f>
        <v>0.2904</v>
      </c>
      <c r="AJ168" s="217"/>
      <c r="AL168" s="218"/>
      <c r="AM168" s="219" t="n">
        <f aca="false">$X168</f>
        <v>593.5</v>
      </c>
      <c r="AN168" s="220" t="n">
        <f aca="false">ROUND(ORÇAMENTO.CustoUnitario*(1+$AH168),2)</f>
        <v>23.74</v>
      </c>
    </row>
    <row r="169" customFormat="false" ht="23.85" hidden="false" customHeight="false" outlineLevel="0" collapsed="false">
      <c r="A169" s="1" t="str">
        <f aca="false">CHOOSE(1+LOG(1+2*(ORÇAMENTO.Nivel="Meta")+4*(ORÇAMENTO.Nivel="Nível 2")+8*(ORÇAMENTO.Nivel="Nível 3")+16*(ORÇAMENTO.Nivel="Nível 4")+32*(ORÇAMENTO.Nivel="Serviço"),2),0,1,2,3,4,"S")</f>
        <v>S</v>
      </c>
      <c r="B169" s="1" t="n">
        <f aca="true">IF(OR(C169="s",C169=0),OFFSET(B169,-1,0),C169)</f>
        <v>2</v>
      </c>
      <c r="C169" s="1" t="str">
        <f aca="true">IF(OFFSET(C169,-1,0)="L",1,IF(OFFSET(C169,-1,0)=1,2,IF(OR(A169="s",A169=0),"S",IF(AND(OFFSET(C169,-1,0)=2,A169=4),3,IF(AND(OR(OFFSET(C169,-1,0)="s",OFFSET(C169,-1,0)=0),A169&lt;&gt;"s",A169&gt;OFFSET(B169,-1,0)),OFFSET(B169,-1,0),A169)))))</f>
        <v>S</v>
      </c>
      <c r="D169" s="1" t="n">
        <f aca="false">IF(OR(C169="S",C169=0),0,IF(ISERROR(K169),J169,SMALL(J169:K169,1)))</f>
        <v>0</v>
      </c>
      <c r="E169" s="1" t="n">
        <f aca="true">IF($C169=1,OFFSET(E169,-1,0)+MAX(1,COUNTIF(QCI!$A$13:$A$15,OFFSET(ORÇAMENTO!E169,-1,0))),OFFSET(E169,-1,0))</f>
        <v>1</v>
      </c>
      <c r="F169" s="1" t="n">
        <f aca="true">IF($C169=1,0,IF($C169=2,OFFSET(F169,-1,0)+1,OFFSET(F169,-1,0)))</f>
        <v>43</v>
      </c>
      <c r="G169" s="1" t="n">
        <f aca="true">IF(AND($C169&lt;=2,$C169&lt;&gt;0),0,IF($C169=3,OFFSET(G169,-1,0)+1,OFFSET(G169,-1,0)))</f>
        <v>0</v>
      </c>
      <c r="H169" s="1" t="n">
        <f aca="true">IF(AND($C169&lt;=3,$C169&lt;&gt;0),0,IF($C169=4,OFFSET(H169,-1,0)+1,OFFSET(H169,-1,0)))</f>
        <v>0</v>
      </c>
      <c r="I169" s="1" t="n">
        <f aca="true">IF(AND($C169&lt;=4,$C169&lt;&gt;0),0,IF(AND($C169="S",$X169&gt;0),OFFSET(I169,-1,0)+1,OFFSET(I169,-1,0)))</f>
        <v>13</v>
      </c>
      <c r="J169" s="1" t="n">
        <f aca="true">IF(OR($C169="S",$C169=0),0,MATCH(0,OFFSET($D169,1,$C169,ROW($C$205)-ROW($C169)),0))</f>
        <v>0</v>
      </c>
      <c r="K169" s="1" t="n">
        <f aca="true">IF(OR($C169="S",$C169=0),0,MATCH(OFFSET($D169,0,$C169)+IF($C169&lt;&gt;1,1,COUNTIF(QCI!$A$13:$A$15,ORÇAMENTO!E169)),OFFSET($D169,1,$C169,ROW($C$205)-ROW($C169)),0))</f>
        <v>0</v>
      </c>
      <c r="L169" s="199" t="str">
        <f aca="false">IF(OR($X169&gt;0,$C169=1,$C169=2,$C169=3,$C169=4),"F","")</f>
        <v>F</v>
      </c>
      <c r="M169" s="200" t="s">
        <v>735</v>
      </c>
      <c r="N169" s="201" t="str">
        <f aca="false">CHOOSE(1+LOG(1+2*(C169=1)+4*(C169=2)+8*(C169=3)+16*(C169=4)+32*(C169="S"),2),"","Meta","Nível 2","Nível 3","Nível 4","Serviço")</f>
        <v>Serviço</v>
      </c>
      <c r="O169" s="202" t="str">
        <f aca="false">IF(OR($C169=0,$L169=""),"-",CONCATENATE(E169&amp;".",IF(AND($A$5&gt;=2,$C169&gt;=2),F169&amp;".",""),IF(AND($A$5&gt;=3,$C169&gt;=3),G169&amp;".",""),IF(AND($A$5&gt;=4,$C169&gt;=4),H169&amp;".",""),IF($C169="S",I169&amp;".","")))</f>
        <v>1.43.13.</v>
      </c>
      <c r="P169" s="203" t="s">
        <v>780</v>
      </c>
      <c r="Q169" s="204" t="n">
        <v>89402</v>
      </c>
      <c r="R169" s="205" t="str">
        <f aca="false">[4]PO!$D$196</f>
        <v>TUBO, PVC, SOLDÁVEL, DE 25MM, INSTALADO EM RAMAL DE DISTRIBUIÇÃO DE ÁGUA - FORNECIMENTO E INSTALAÇÃO. AF_06/2022</v>
      </c>
      <c r="S169" s="206" t="s">
        <v>648</v>
      </c>
      <c r="T169" s="207" t="n">
        <f aca="true">OFFSET(CÁLCULO!H$15,ROW($T169)-ROW(T$15),0)</f>
        <v>110</v>
      </c>
      <c r="U169" s="208" t="n">
        <f aca="false">[2]PO!$G$196</f>
        <v>12.27</v>
      </c>
      <c r="V169" s="209" t="s">
        <v>690</v>
      </c>
      <c r="W169" s="207" t="n">
        <f aca="false">IF($C169="S",ROUND(IF(TIPOORCAMENTO="Proposto",ORÇAMENTO.CustoUnitario*(1+$AH169),ORÇAMENTO.PrecoUnitarioLicitado),15-13*$AF$10),0)</f>
        <v>15.83</v>
      </c>
      <c r="X169" s="210" t="n">
        <f aca="true" t="array" ref="X169:X169">IF($C169="S",IF(OR(Import.TipoArredondamento&lt;&gt;"TransfereGOV",ACOMPANHAMENTO="BM"),VTOTAL1,SUM(OFFSET(CÁLCULO!$AQ$15,ROW($X169)-ROW($X$15),1):OFFSET(CÁLCULO!$BR$15,ROW($X169)-ROW($X$15),-1))),IF($C169=0,0,ROUND(SomaAgrup,15-13*$AF$11)))</f>
        <v>1741.25</v>
      </c>
      <c r="Y169" s="211" t="s">
        <v>781</v>
      </c>
      <c r="Z169" s="1" t="str">
        <f aca="false">IF(AND($C169="S",$X169&gt;0),IF(ISBLANK($Y169),"RA",LEFT($Y169,2)),"")</f>
        <v>RA</v>
      </c>
      <c r="AA169" s="212" t="n">
        <f aca="true">IF($C169="S",IF($Z169="CP",$X169,IF($Z169="RA",(($X169)*QCI!$AA$3),0)),SomaAgrup)</f>
        <v>193.246583127251</v>
      </c>
      <c r="AB169" s="213" t="n">
        <f aca="true">IF($C169="S",IF($Z169="OU",ROUND($X169,2),0),SomaAgrup)</f>
        <v>0</v>
      </c>
      <c r="AC169" s="214" t="e">
        <f aca="false" t="array" ref="AC169:AC169">IF($N169=""," ",
IF(AND($C169&lt;&gt;"S",OR($R169="",$R169="(digite a descrição aqui)")),"DESCRIÇÃO",
IF(AND($C169="S",OR($Q169&lt;&gt;"",$T169&gt;0,$U169&gt;0),$P169=""),"FONTE",
IF(AND($C169="S",$P169&lt;&gt;"",OR($T169&gt;0,$U169&gt;0),$Q169=""),"CÓDIGO",
IF(AND($C169="S",$P169&lt;&gt;"",$Q169&lt;&gt;"",$R169="(Código não identificado nas referências)"),"CÓDIGO N/ID",
IF(AND($C169="S",OR($R169="",$R169="(digite a descrição aqui)"),OR($Q169&lt;&gt;"",$T169&gt;0,$U169&gt;0)),"DESCRIÇÃO",
IF(AND($C169="S",$P169&lt;&gt;"",$Q169&lt;&gt;"",$S169=""),"UNIDADE",
IF(AND($C169="S",$P169&lt;&gt;"",$Q169&lt;&gt;"",$U169=0),"SEM CUSTO",
IF(AND(_xlfn.single(TIPOORCAMENTO)="Licitado",$AL169=0,$AN169&gt;0),"SEM PREÇO",
IF(AND($C169="S",$P169&lt;&gt;"",$Q169&lt;&gt;"",$U169&gt;0,$V169=0),"BDI",
IF(OR(AND(TIPOORCAMENTO="Proposto",LEFT($O$8,5)&lt;&gt;"(N/D:",$AG169&lt;&gt;"",ORÇAMENTO.CustoUnitario&gt;$AG169),AND(TIPOORCAMENTO="LICITADO",ORÇAMENTO.PrecoUnitarioLicitado&gt;$AN169)),"ACIMA REF.",
IF(AND($C169="S",$P169&lt;&gt;"",$Q169&lt;&gt;"",$T169=0,$U169&gt;0),"QUANT.",
IF(AND(Import.TipoArredondamento="TransfereGOV",$L169="F",$C169="S",LEN($Q169)&gt;13),"Código &gt;13",
IF(AND(Import.TipoArredondamento="TransfereGOV",$L169="F",$C169&lt;&gt;"S",LEN($R169)&gt;100),"Descrição &gt;100",
IF(AND(Import.TipoArredondamento="TransfereGOV",$L169="F",$C169="S",LEN($R169)&gt;500),"Descrição &gt;500",
IF(AND(Import.TipoArredondamento="TransfereGOV",$L169="F",$C169="S",LEFT(TRIM(UPPER($P169)),6)&lt;&gt;"SINAPI",ISNA(VLOOKUP(TRIM(UPPER($S169)),ListaTgov.Unidades,1,FALSE()))),"Unid. Não Disp",
" "))))))))))))))))</f>
        <v>#NAME?</v>
      </c>
      <c r="AD169" s="1" t="str">
        <f aca="true">IF(C169&lt;=CRONO.NivelExibicao,MAX($AD$15:OFFSET(AD169,-1,0))+IF($C169&lt;&gt;1,1,MAX(1,COUNTIF(QCI!$A$13:$A$15,OFFSET($E169,-1,0)))),"")</f>
        <v/>
      </c>
      <c r="AE169" s="50" t="str">
        <f aca="false">IF(AND($C169="S",ORÇAMENTO.CodBarra&lt;&gt;""),IF(ORÇAMENTO.Fonte="",ORÇAMENTO.CodBarra,CONCATENATE(ORÇAMENTO.Fonte," ",ORÇAMENTO.CodBarra)))</f>
        <v>SINAPI 89402</v>
      </c>
      <c r="AF169" s="65" t="str">
        <f aca="true">IF(ISERROR(INDIRECT(ORÇAMENTO.BancoRef)),"(abra o arquivo 'Referência "&amp;Excel_BuiltIn_Database&amp;".xlsm)",IF(OR($C169&lt;&gt;"S",ORÇAMENTO.CodBarra=""),"(Sem Código)",IF(ISERROR(MATCH($AE169,INDIRECT(ORÇAMENTO.BancoRef),0)),"(Código não identificado nas referências)",MATCH($AE169,INDIRECT(ORÇAMENTO.BancoRef),0))))</f>
        <v>(abra o arquivo 'Referência 07-2025.xlsm)</v>
      </c>
      <c r="AG169" s="215" t="n">
        <f aca="true">ROUND(IF(DESONERACAO="sim",REFERENCIA.Desonerado,REFERENCIA.NaoDesonerado),2)</f>
        <v>0</v>
      </c>
      <c r="AH169" s="216" t="n">
        <f aca="false">ROUND(IF(ISNUMBER(ORÇAMENTO.OpcaoBDI),ORÇAMENTO.OpcaoBDI,IF(LEFT(ORÇAMENTO.OpcaoBDI,3)="BDI",HLOOKUP(ORÇAMENTO.OpcaoBDI,$F$4:$H$5,2,FALSE()),0)),15-11*$AF$9)</f>
        <v>0.2904</v>
      </c>
      <c r="AJ169" s="217"/>
      <c r="AL169" s="218"/>
      <c r="AM169" s="219" t="n">
        <f aca="false">$X169</f>
        <v>1741.25</v>
      </c>
      <c r="AN169" s="220" t="n">
        <f aca="false">ROUND(ORÇAMENTO.CustoUnitario*(1+$AH169),2)</f>
        <v>15.83</v>
      </c>
    </row>
    <row r="170" customFormat="false" ht="23.85" hidden="false" customHeight="false" outlineLevel="0" collapsed="false">
      <c r="A170" s="1" t="str">
        <f aca="false">CHOOSE(1+LOG(1+2*(ORÇAMENTO.Nivel="Meta")+4*(ORÇAMENTO.Nivel="Nível 2")+8*(ORÇAMENTO.Nivel="Nível 3")+16*(ORÇAMENTO.Nivel="Nível 4")+32*(ORÇAMENTO.Nivel="Serviço"),2),0,1,2,3,4,"S")</f>
        <v>S</v>
      </c>
      <c r="B170" s="1" t="n">
        <f aca="true">IF(OR(C170="s",C170=0),OFFSET(B170,-1,0),C170)</f>
        <v>2</v>
      </c>
      <c r="C170" s="1" t="str">
        <f aca="true">IF(OFFSET(C170,-1,0)="L",1,IF(OFFSET(C170,-1,0)=1,2,IF(OR(A170="s",A170=0),"S",IF(AND(OFFSET(C170,-1,0)=2,A170=4),3,IF(AND(OR(OFFSET(C170,-1,0)="s",OFFSET(C170,-1,0)=0),A170&lt;&gt;"s",A170&gt;OFFSET(B170,-1,0)),OFFSET(B170,-1,0),A170)))))</f>
        <v>S</v>
      </c>
      <c r="D170" s="1" t="n">
        <f aca="false">IF(OR(C170="S",C170=0),0,IF(ISERROR(K170),J170,SMALL(J170:K170,1)))</f>
        <v>0</v>
      </c>
      <c r="E170" s="1" t="n">
        <f aca="true">IF($C170=1,OFFSET(E170,-1,0)+MAX(1,COUNTIF(QCI!$A$13:$A$15,OFFSET(ORÇAMENTO!E170,-1,0))),OFFSET(E170,-1,0))</f>
        <v>1</v>
      </c>
      <c r="F170" s="1" t="n">
        <f aca="true">IF($C170=1,0,IF($C170=2,OFFSET(F170,-1,0)+1,OFFSET(F170,-1,0)))</f>
        <v>43</v>
      </c>
      <c r="G170" s="1" t="n">
        <f aca="true">IF(AND($C170&lt;=2,$C170&lt;&gt;0),0,IF($C170=3,OFFSET(G170,-1,0)+1,OFFSET(G170,-1,0)))</f>
        <v>0</v>
      </c>
      <c r="H170" s="1" t="n">
        <f aca="true">IF(AND($C170&lt;=3,$C170&lt;&gt;0),0,IF($C170=4,OFFSET(H170,-1,0)+1,OFFSET(H170,-1,0)))</f>
        <v>0</v>
      </c>
      <c r="I170" s="1" t="n">
        <f aca="true">IF(AND($C170&lt;=4,$C170&lt;&gt;0),0,IF(AND($C170="S",$X170&gt;0),OFFSET(I170,-1,0)+1,OFFSET(I170,-1,0)))</f>
        <v>14</v>
      </c>
      <c r="J170" s="1" t="n">
        <f aca="true">IF(OR($C170="S",$C170=0),0,MATCH(0,OFFSET($D170,1,$C170,ROW($C$205)-ROW($C170)),0))</f>
        <v>0</v>
      </c>
      <c r="K170" s="1" t="n">
        <f aca="true">IF(OR($C170="S",$C170=0),0,MATCH(OFFSET($D170,0,$C170)+IF($C170&lt;&gt;1,1,COUNTIF(QCI!$A$13:$A$15,ORÇAMENTO!E170)),OFFSET($D170,1,$C170,ROW($C$205)-ROW($C170)),0))</f>
        <v>0</v>
      </c>
      <c r="L170" s="199" t="str">
        <f aca="false">IF(OR($X170&gt;0,$C170=1,$C170=2,$C170=3,$C170=4),"F","")</f>
        <v>F</v>
      </c>
      <c r="M170" s="200" t="s">
        <v>735</v>
      </c>
      <c r="N170" s="201" t="str">
        <f aca="false">CHOOSE(1+LOG(1+2*(C170=1)+4*(C170=2)+8*(C170=3)+16*(C170=4)+32*(C170="S"),2),"","Meta","Nível 2","Nível 3","Nível 4","Serviço")</f>
        <v>Serviço</v>
      </c>
      <c r="O170" s="202" t="str">
        <f aca="false">IF(OR($C170=0,$L170=""),"-",CONCATENATE(E170&amp;".",IF(AND($A$5&gt;=2,$C170&gt;=2),F170&amp;".",""),IF(AND($A$5&gt;=3,$C170&gt;=3),G170&amp;".",""),IF(AND($A$5&gt;=4,$C170&gt;=4),H170&amp;".",""),IF($C170="S",I170&amp;".","")))</f>
        <v>1.43.14.</v>
      </c>
      <c r="P170" s="203" t="s">
        <v>780</v>
      </c>
      <c r="Q170" s="204" t="n">
        <v>89403</v>
      </c>
      <c r="R170" s="205" t="str">
        <f aca="false">[4]PO!$D$197</f>
        <v>TUBO, PVC, SOLDÁVEL, DE 32MM, INSTALADO EM RAMAL DE DISTRIBUIÇÃO DE ÁGUA - FORNECIMENTO E INSTALAÇÃO. AF_06/2022</v>
      </c>
      <c r="S170" s="206" t="s">
        <v>648</v>
      </c>
      <c r="T170" s="207" t="n">
        <f aca="true">OFFSET(CÁLCULO!H$15,ROW($T170)-ROW(T$15),0)</f>
        <v>263.75</v>
      </c>
      <c r="U170" s="208" t="n">
        <v>18.68</v>
      </c>
      <c r="V170" s="209" t="s">
        <v>690</v>
      </c>
      <c r="W170" s="207" t="n">
        <f aca="false">IF($C170="S",ROUND(IF(TIPOORCAMENTO="Proposto",ORÇAMENTO.CustoUnitario*(1+$AH170),ORÇAMENTO.PrecoUnitarioLicitado),15-13*$AF$10),0)</f>
        <v>24.1</v>
      </c>
      <c r="X170" s="210" t="n">
        <f aca="true" t="array" ref="X170:X170">IF($C170="S",IF(OR(Import.TipoArredondamento&lt;&gt;"TransfereGOV",ACOMPANHAMENTO="BM"),VTOTAL1,SUM(OFFSET(CÁLCULO!$AQ$15,ROW($X170)-ROW($X$15),1):OFFSET(CÁLCULO!$BR$15,ROW($X170)-ROW($X$15),-1))),IF($C170=0,0,ROUND(SomaAgrup,15-13*$AF$11)))</f>
        <v>6356.5</v>
      </c>
      <c r="Y170" s="211" t="s">
        <v>781</v>
      </c>
      <c r="Z170" s="1" t="str">
        <f aca="false">IF(AND($C170="S",$X170&gt;0),IF(ISBLANK($Y170),"RA",LEFT($Y170,2)),"")</f>
        <v>RA</v>
      </c>
      <c r="AA170" s="212" t="n">
        <f aca="true">IF($C170="S",IF($Z170="CP",$X170,IF($Z170="RA",(($X170)*QCI!$AA$3),0)),SomaAgrup)</f>
        <v>705.454073595619</v>
      </c>
      <c r="AB170" s="213" t="n">
        <f aca="true">IF($C170="S",IF($Z170="OU",ROUND($X170,2),0),SomaAgrup)</f>
        <v>0</v>
      </c>
      <c r="AC170" s="214" t="e">
        <f aca="false" t="array" ref="AC170:AC170">IF($N170=""," ",
IF(AND($C170&lt;&gt;"S",OR($R170="",$R170="(digite a descrição aqui)")),"DESCRIÇÃO",
IF(AND($C170="S",OR($Q170&lt;&gt;"",$T170&gt;0,$U170&gt;0),$P170=""),"FONTE",
IF(AND($C170="S",$P170&lt;&gt;"",OR($T170&gt;0,$U170&gt;0),$Q170=""),"CÓDIGO",
IF(AND($C170="S",$P170&lt;&gt;"",$Q170&lt;&gt;"",$R170="(Código não identificado nas referências)"),"CÓDIGO N/ID",
IF(AND($C170="S",OR($R170="",$R170="(digite a descrição aqui)"),OR($Q170&lt;&gt;"",$T170&gt;0,$U170&gt;0)),"DESCRIÇÃO",
IF(AND($C170="S",$P170&lt;&gt;"",$Q170&lt;&gt;"",$S170=""),"UNIDADE",
IF(AND($C170="S",$P170&lt;&gt;"",$Q170&lt;&gt;"",$U170=0),"SEM CUSTO",
IF(AND(_xlfn.single(TIPOORCAMENTO)="Licitado",$AL170=0,$AN170&gt;0),"SEM PREÇO",
IF(AND($C170="S",$P170&lt;&gt;"",$Q170&lt;&gt;"",$U170&gt;0,$V170=0),"BDI",
IF(OR(AND(TIPOORCAMENTO="Proposto",LEFT($O$8,5)&lt;&gt;"(N/D:",$AG170&lt;&gt;"",ORÇAMENTO.CustoUnitario&gt;$AG170),AND(TIPOORCAMENTO="LICITADO",ORÇAMENTO.PrecoUnitarioLicitado&gt;$AN170)),"ACIMA REF.",
IF(AND($C170="S",$P170&lt;&gt;"",$Q170&lt;&gt;"",$T170=0,$U170&gt;0),"QUANT.",
IF(AND(Import.TipoArredondamento="TransfereGOV",$L170="F",$C170="S",LEN($Q170)&gt;13),"Código &gt;13",
IF(AND(Import.TipoArredondamento="TransfereGOV",$L170="F",$C170&lt;&gt;"S",LEN($R170)&gt;100),"Descrição &gt;100",
IF(AND(Import.TipoArredondamento="TransfereGOV",$L170="F",$C170="S",LEN($R170)&gt;500),"Descrição &gt;500",
IF(AND(Import.TipoArredondamento="TransfereGOV",$L170="F",$C170="S",LEFT(TRIM(UPPER($P170)),6)&lt;&gt;"SINAPI",ISNA(VLOOKUP(TRIM(UPPER($S170)),ListaTgov.Unidades,1,FALSE()))),"Unid. Não Disp",
" "))))))))))))))))</f>
        <v>#NAME?</v>
      </c>
      <c r="AD170" s="1" t="str">
        <f aca="true">IF(C170&lt;=CRONO.NivelExibicao,MAX($AD$15:OFFSET(AD170,-1,0))+IF($C170&lt;&gt;1,1,MAX(1,COUNTIF(QCI!$A$13:$A$15,OFFSET($E170,-1,0)))),"")</f>
        <v/>
      </c>
      <c r="AE170" s="50" t="str">
        <f aca="false">IF(AND($C170="S",ORÇAMENTO.CodBarra&lt;&gt;""),IF(ORÇAMENTO.Fonte="",ORÇAMENTO.CodBarra,CONCATENATE(ORÇAMENTO.Fonte," ",ORÇAMENTO.CodBarra)))</f>
        <v>SINAPI 89403</v>
      </c>
      <c r="AF170" s="65" t="str">
        <f aca="true">IF(ISERROR(INDIRECT(ORÇAMENTO.BancoRef)),"(abra o arquivo 'Referência "&amp;Excel_BuiltIn_Database&amp;".xlsm)",IF(OR($C170&lt;&gt;"S",ORÇAMENTO.CodBarra=""),"(Sem Código)",IF(ISERROR(MATCH($AE170,INDIRECT(ORÇAMENTO.BancoRef),0)),"(Código não identificado nas referências)",MATCH($AE170,INDIRECT(ORÇAMENTO.BancoRef),0))))</f>
        <v>(abra o arquivo 'Referência 07-2025.xlsm)</v>
      </c>
      <c r="AG170" s="215" t="n">
        <f aca="true">ROUND(IF(DESONERACAO="sim",REFERENCIA.Desonerado,REFERENCIA.NaoDesonerado),2)</f>
        <v>0</v>
      </c>
      <c r="AH170" s="216" t="n">
        <f aca="false">ROUND(IF(ISNUMBER(ORÇAMENTO.OpcaoBDI),ORÇAMENTO.OpcaoBDI,IF(LEFT(ORÇAMENTO.OpcaoBDI,3)="BDI",HLOOKUP(ORÇAMENTO.OpcaoBDI,$F$4:$H$5,2,FALSE()),0)),15-11*$AF$9)</f>
        <v>0.2904</v>
      </c>
      <c r="AJ170" s="217"/>
      <c r="AL170" s="218"/>
      <c r="AM170" s="219" t="n">
        <f aca="false">$X170</f>
        <v>6356.5</v>
      </c>
      <c r="AN170" s="220" t="n">
        <f aca="false">ROUND(ORÇAMENTO.CustoUnitario*(1+$AH170),2)</f>
        <v>24.1</v>
      </c>
    </row>
    <row r="171" customFormat="false" ht="12.75" hidden="false" customHeight="false" outlineLevel="0" collapsed="false">
      <c r="A171" s="1" t="n">
        <f aca="false">CHOOSE(1+LOG(1+2*(ORÇAMENTO.Nivel="Meta")+4*(ORÇAMENTO.Nivel="Nível 2")+8*(ORÇAMENTO.Nivel="Nível 3")+16*(ORÇAMENTO.Nivel="Nível 4")+32*(ORÇAMENTO.Nivel="Serviço"),2),0,1,2,3,4,"S")</f>
        <v>2</v>
      </c>
      <c r="B171" s="1" t="n">
        <f aca="true">IF(OR(C171="s",C171=0),OFFSET(B171,-1,0),C171)</f>
        <v>2</v>
      </c>
      <c r="C171" s="1" t="n">
        <f aca="true">IF(OFFSET(C171,-1,0)="L",1,IF(OFFSET(C171,-1,0)=1,2,IF(OR(A171="s",A171=0),"S",IF(AND(OFFSET(C171,-1,0)=2,A171=4),3,IF(AND(OR(OFFSET(C171,-1,0)="s",OFFSET(C171,-1,0)=0),A171&lt;&gt;"s",A171&gt;OFFSET(B171,-1,0)),OFFSET(B171,-1,0),A171)))))</f>
        <v>2</v>
      </c>
      <c r="D171" s="1" t="n">
        <f aca="false">IF(OR(C171="S",C171=0),0,IF(ISERROR(K171),J171,SMALL(J171:K171,1)))</f>
        <v>1</v>
      </c>
      <c r="E171" s="1" t="n">
        <f aca="true">IF($C171=1,OFFSET(E171,-1,0)+MAX(1,COUNTIF(QCI!$A$13:$A$15,OFFSET(ORÇAMENTO!E171,-1,0))),OFFSET(E171,-1,0))</f>
        <v>1</v>
      </c>
      <c r="F171" s="1" t="n">
        <f aca="true">IF($C171=1,0,IF($C171=2,OFFSET(F171,-1,0)+1,OFFSET(F171,-1,0)))</f>
        <v>44</v>
      </c>
      <c r="G171" s="1" t="n">
        <f aca="true">IF(AND($C171&lt;=2,$C171&lt;&gt;0),0,IF($C171=3,OFFSET(G171,-1,0)+1,OFFSET(G171,-1,0)))</f>
        <v>0</v>
      </c>
      <c r="H171" s="1" t="n">
        <f aca="true">IF(AND($C171&lt;=3,$C171&lt;&gt;0),0,IF($C171=4,OFFSET(H171,-1,0)+1,OFFSET(H171,-1,0)))</f>
        <v>0</v>
      </c>
      <c r="I171" s="1" t="n">
        <f aca="true">IF(AND($C171&lt;=4,$C171&lt;&gt;0),0,IF(AND($C171="S",$X171&gt;0),OFFSET(I171,-1,0)+1,OFFSET(I171,-1,0)))</f>
        <v>0</v>
      </c>
      <c r="J171" s="1" t="n">
        <f aca="true">IF(OR($C171="S",$C171=0),0,MATCH(0,OFFSET($D171,1,$C171,ROW($C$205)-ROW($C171)),0))</f>
        <v>34</v>
      </c>
      <c r="K171" s="1" t="n">
        <f aca="true">IF(OR($C171="S",$C171=0),0,MATCH(OFFSET($D171,0,$C171)+IF($C171&lt;&gt;1,1,COUNTIF(QCI!$A$13:$A$15,ORÇAMENTO!E171)),OFFSET($D171,1,$C171,ROW($C$205)-ROW($C171)),0))</f>
        <v>1</v>
      </c>
      <c r="L171" s="199" t="str">
        <f aca="false">IF(OR($X171&gt;0,$C171=1,$C171=2,$C171=3,$C171=4),"F","")</f>
        <v>F</v>
      </c>
      <c r="M171" s="200" t="s">
        <v>732</v>
      </c>
      <c r="N171" s="201" t="str">
        <f aca="false">CHOOSE(1+LOG(1+2*(C171=1)+4*(C171=2)+8*(C171=3)+16*(C171=4)+32*(C171="S"),2),"","Meta","Nível 2","Nível 3","Nível 4","Serviço")</f>
        <v>Nível 2</v>
      </c>
      <c r="O171" s="202" t="str">
        <f aca="false">IF(OR($C171=0,$L171=""),"-",CONCATENATE(E171&amp;".",IF(AND($A$5&gt;=2,$C171&gt;=2),F171&amp;".",""),IF(AND($A$5&gt;=3,$C171&gt;=3),G171&amp;".",""),IF(AND($A$5&gt;=4,$C171&gt;=4),H171&amp;".",""),IF($C171="S",I171&amp;".","")))</f>
        <v>1.44.</v>
      </c>
      <c r="P171" s="203" t="s">
        <v>780</v>
      </c>
      <c r="Q171" s="204"/>
      <c r="R171" s="205" t="str">
        <f aca="false">[4]PO!$B$198</f>
        <v>SANITÁRIAS / PLUVIAL</v>
      </c>
      <c r="S171" s="206" t="str">
        <f aca="true">REFERENCIA.Unidade</f>
        <v>-</v>
      </c>
      <c r="T171" s="207" t="n">
        <f aca="true">OFFSET(CÁLCULO!H$15,ROW($T171)-ROW(T$15),0)</f>
        <v>0</v>
      </c>
      <c r="U171" s="208"/>
      <c r="V171" s="209" t="s">
        <v>690</v>
      </c>
      <c r="W171" s="207" t="n">
        <f aca="false">IF($C171="S",ROUND(IF(TIPOORCAMENTO="Proposto",ORÇAMENTO.CustoUnitario*(1+$AH171),ORÇAMENTO.PrecoUnitarioLicitado),15-13*$AF$10),0)</f>
        <v>0</v>
      </c>
      <c r="X171" s="210" t="n">
        <f aca="true" t="array" ref="X171:X171">IF($C171="S",IF(OR(Import.TipoArredondamento&lt;&gt;"TransfereGOV",ACOMPANHAMENTO="BM"),VTOTAL1,SUM(OFFSET(CÁLCULO!$AQ$15,ROW($X171)-ROW($X$15),1):OFFSET(CÁLCULO!$BR$15,ROW($X171)-ROW($X$15),-1))),IF($C171=0,0,ROUND(SomaAgrup,15-13*$AF$11)))</f>
        <v>0</v>
      </c>
      <c r="Y171" s="211" t="s">
        <v>781</v>
      </c>
      <c r="Z171" s="1" t="str">
        <f aca="false">IF(AND($C171="S",$X171&gt;0),IF(ISBLANK($Y171),"RA",LEFT($Y171,2)),"")</f>
        <v/>
      </c>
      <c r="AA171" s="212" t="n">
        <f aca="true">IF($C171="S",IF($Z171="CP",$X171,IF($Z171="RA",(($X171)*QCI!$AA$3),0)),SomaAgrup)</f>
        <v>0</v>
      </c>
      <c r="AB171" s="213" t="n">
        <f aca="true">IF($C171="S",IF($Z171="OU",ROUND($X171,2),0),SomaAgrup)</f>
        <v>0</v>
      </c>
      <c r="AC171" s="214" t="e">
        <f aca="false" t="array" ref="AC171:AC171">IF($N171=""," ",
IF(AND($C171&lt;&gt;"S",OR($R171="",$R171="(digite a descrição aqui)")),"DESCRIÇÃO",
IF(AND($C171="S",OR($Q171&lt;&gt;"",$T171&gt;0,$U171&gt;0),$P171=""),"FONTE",
IF(AND($C171="S",$P171&lt;&gt;"",OR($T171&gt;0,$U171&gt;0),$Q171=""),"CÓDIGO",
IF(AND($C171="S",$P171&lt;&gt;"",$Q171&lt;&gt;"",$R171="(Código não identificado nas referências)"),"CÓDIGO N/ID",
IF(AND($C171="S",OR($R171="",$R171="(digite a descrição aqui)"),OR($Q171&lt;&gt;"",$T171&gt;0,$U171&gt;0)),"DESCRIÇÃO",
IF(AND($C171="S",$P171&lt;&gt;"",$Q171&lt;&gt;"",$S171=""),"UNIDADE",
IF(AND($C171="S",$P171&lt;&gt;"",$Q171&lt;&gt;"",$U171=0),"SEM CUSTO",
IF(AND(_xlfn.single(TIPOORCAMENTO)="Licitado",$AL171=0,$AN171&gt;0),"SEM PREÇO",
IF(AND($C171="S",$P171&lt;&gt;"",$Q171&lt;&gt;"",$U171&gt;0,$V171=0),"BDI",
IF(OR(AND(TIPOORCAMENTO="Proposto",LEFT($O$8,5)&lt;&gt;"(N/D:",$AG171&lt;&gt;"",ORÇAMENTO.CustoUnitario&gt;$AG171),AND(TIPOORCAMENTO="LICITADO",ORÇAMENTO.PrecoUnitarioLicitado&gt;$AN171)),"ACIMA REF.",
IF(AND($C171="S",$P171&lt;&gt;"",$Q171&lt;&gt;"",$T171=0,$U171&gt;0),"QUANT.",
IF(AND(Import.TipoArredondamento="TransfereGOV",$L171="F",$C171="S",LEN($Q171)&gt;13),"Código &gt;13",
IF(AND(Import.TipoArredondamento="TransfereGOV",$L171="F",$C171&lt;&gt;"S",LEN($R171)&gt;100),"Descrição &gt;100",
IF(AND(Import.TipoArredondamento="TransfereGOV",$L171="F",$C171="S",LEN($R171)&gt;500),"Descrição &gt;500",
IF(AND(Import.TipoArredondamento="TransfereGOV",$L171="F",$C171="S",LEFT(TRIM(UPPER($P171)),6)&lt;&gt;"SINAPI",ISNA(VLOOKUP(TRIM(UPPER($S171)),ListaTgov.Unidades,1,FALSE()))),"Unid. Não Disp",
" "))))))))))))))))</f>
        <v>#NAME?</v>
      </c>
      <c r="AD171" s="38" t="n">
        <f aca="true">IF(C171&lt;=CRONO.NivelExibicao,MAX($AD$15:OFFSET(AD171,-1,0))+IF($C171&lt;&gt;1,1,MAX(1,COUNTIF(QCI!$A$13:$A$15,OFFSET($E171,-1,0)))),"")</f>
        <v>45</v>
      </c>
      <c r="AE171" s="50" t="b">
        <f aca="false">IF(AND($C171="S",ORÇAMENTO.CodBarra&lt;&gt;""),IF(ORÇAMENTO.Fonte="",ORÇAMENTO.CodBarra,CONCATENATE(ORÇAMENTO.Fonte," ",ORÇAMENTO.CodBarra)))</f>
        <v>0</v>
      </c>
      <c r="AF171" s="65" t="str">
        <f aca="true">IF(ISERROR(INDIRECT(ORÇAMENTO.BancoRef)),"(abra o arquivo 'Referência "&amp;Excel_BuiltIn_Database&amp;".xlsm)",IF(OR($C171&lt;&gt;"S",ORÇAMENTO.CodBarra=""),"(Sem Código)",IF(ISERROR(MATCH($AE171,INDIRECT(ORÇAMENTO.BancoRef),0)),"(Código não identificado nas referências)",MATCH($AE171,INDIRECT(ORÇAMENTO.BancoRef),0))))</f>
        <v>(abra o arquivo 'Referência 07-2025.xlsm)</v>
      </c>
      <c r="AG171" s="215" t="n">
        <f aca="true">ROUND(IF(DESONERACAO="sim",REFERENCIA.Desonerado,REFERENCIA.NaoDesonerado),2)</f>
        <v>0</v>
      </c>
      <c r="AH171" s="216" t="n">
        <f aca="false">ROUND(IF(ISNUMBER(ORÇAMENTO.OpcaoBDI),ORÇAMENTO.OpcaoBDI,IF(LEFT(ORÇAMENTO.OpcaoBDI,3)="BDI",HLOOKUP(ORÇAMENTO.OpcaoBDI,$F$4:$H$5,2,FALSE()),0)),15-11*$AF$9)</f>
        <v>0.2904</v>
      </c>
      <c r="AJ171" s="217"/>
      <c r="AL171" s="218"/>
      <c r="AM171" s="219" t="n">
        <f aca="false">$X171</f>
        <v>0</v>
      </c>
      <c r="AN171" s="220" t="n">
        <f aca="false">ROUND(ORÇAMENTO.CustoUnitario*(1+$AH171),2)</f>
        <v>0</v>
      </c>
    </row>
    <row r="172" customFormat="false" ht="12.75" hidden="false" customHeight="false" outlineLevel="0" collapsed="false">
      <c r="A172" s="1" t="n">
        <f aca="false">CHOOSE(1+LOG(1+2*(ORÇAMENTO.Nivel="Meta")+4*(ORÇAMENTO.Nivel="Nível 2")+8*(ORÇAMENTO.Nivel="Nível 3")+16*(ORÇAMENTO.Nivel="Nível 4")+32*(ORÇAMENTO.Nivel="Serviço"),2),0,1,2,3,4,"S")</f>
        <v>2</v>
      </c>
      <c r="B172" s="1" t="n">
        <f aca="true">IF(OR(C172="s",C172=0),OFFSET(B172,-1,0),C172)</f>
        <v>2</v>
      </c>
      <c r="C172" s="1" t="n">
        <f aca="true">IF(OFFSET(C172,-1,0)="L",1,IF(OFFSET(C172,-1,0)=1,2,IF(OR(A172="s",A172=0),"S",IF(AND(OFFSET(C172,-1,0)=2,A172=4),3,IF(AND(OR(OFFSET(C172,-1,0)="s",OFFSET(C172,-1,0)=0),A172&lt;&gt;"s",A172&gt;OFFSET(B172,-1,0)),OFFSET(B172,-1,0),A172)))))</f>
        <v>2</v>
      </c>
      <c r="D172" s="1" t="n">
        <f aca="false">IF(OR(C172="S",C172=0),0,IF(ISERROR(K172),J172,SMALL(J172:K172,1)))</f>
        <v>13</v>
      </c>
      <c r="E172" s="1" t="n">
        <f aca="true">IF($C172=1,OFFSET(E172,-1,0)+MAX(1,COUNTIF(QCI!$A$13:$A$15,OFFSET(ORÇAMENTO!E172,-1,0))),OFFSET(E172,-1,0))</f>
        <v>1</v>
      </c>
      <c r="F172" s="1" t="n">
        <f aca="true">IF($C172=1,0,IF($C172=2,OFFSET(F172,-1,0)+1,OFFSET(F172,-1,0)))</f>
        <v>45</v>
      </c>
      <c r="G172" s="1" t="n">
        <f aca="true">IF(AND($C172&lt;=2,$C172&lt;&gt;0),0,IF($C172=3,OFFSET(G172,-1,0)+1,OFFSET(G172,-1,0)))</f>
        <v>0</v>
      </c>
      <c r="H172" s="1" t="n">
        <f aca="true">IF(AND($C172&lt;=3,$C172&lt;&gt;0),0,IF($C172=4,OFFSET(H172,-1,0)+1,OFFSET(H172,-1,0)))</f>
        <v>0</v>
      </c>
      <c r="I172" s="1" t="n">
        <f aca="true">IF(AND($C172&lt;=4,$C172&lt;&gt;0),0,IF(AND($C172="S",$X172&gt;0),OFFSET(I172,-1,0)+1,OFFSET(I172,-1,0)))</f>
        <v>0</v>
      </c>
      <c r="J172" s="1" t="n">
        <f aca="true">IF(OR($C172="S",$C172=0),0,MATCH(0,OFFSET($D172,1,$C172,ROW($C$205)-ROW($C172)),0))</f>
        <v>33</v>
      </c>
      <c r="K172" s="1" t="n">
        <f aca="true">IF(OR($C172="S",$C172=0),0,MATCH(OFFSET($D172,0,$C172)+IF($C172&lt;&gt;1,1,COUNTIF(QCI!$A$13:$A$15,ORÇAMENTO!E172)),OFFSET($D172,1,$C172,ROW($C$205)-ROW($C172)),0))</f>
        <v>13</v>
      </c>
      <c r="L172" s="199" t="str">
        <f aca="false">IF(OR($X172&gt;0,$C172=1,$C172=2,$C172=3,$C172=4),"F","")</f>
        <v>F</v>
      </c>
      <c r="M172" s="200" t="s">
        <v>732</v>
      </c>
      <c r="N172" s="201" t="str">
        <f aca="false">CHOOSE(1+LOG(1+2*(C172=1)+4*(C172=2)+8*(C172=3)+16*(C172=4)+32*(C172="S"),2),"","Meta","Nível 2","Nível 3","Nível 4","Serviço")</f>
        <v>Nível 2</v>
      </c>
      <c r="O172" s="202" t="str">
        <f aca="false">IF(OR($C172=0,$L172=""),"-",CONCATENATE(E172&amp;".",IF(AND($A$5&gt;=2,$C172&gt;=2),F172&amp;".",""),IF(AND($A$5&gt;=3,$C172&gt;=3),G172&amp;".",""),IF(AND($A$5&gt;=4,$C172&gt;=4),H172&amp;".",""),IF($C172="S",I172&amp;".","")))</f>
        <v>1.45.</v>
      </c>
      <c r="P172" s="203" t="s">
        <v>780</v>
      </c>
      <c r="Q172" s="204"/>
      <c r="R172" s="205" t="str">
        <f aca="false">[4]PO!$B$199</f>
        <v>TUBULAÇÕES E CONEXÕES</v>
      </c>
      <c r="S172" s="206" t="str">
        <f aca="true">REFERENCIA.Unidade</f>
        <v>-</v>
      </c>
      <c r="T172" s="207" t="n">
        <f aca="true">OFFSET(CÁLCULO!H$15,ROW($T172)-ROW(T$15),0)</f>
        <v>0</v>
      </c>
      <c r="U172" s="208"/>
      <c r="V172" s="209" t="s">
        <v>690</v>
      </c>
      <c r="W172" s="207" t="n">
        <f aca="false">IF($C172="S",ROUND(IF(TIPOORCAMENTO="Proposto",ORÇAMENTO.CustoUnitario*(1+$AH172),ORÇAMENTO.PrecoUnitarioLicitado),15-13*$AF$10),0)</f>
        <v>0</v>
      </c>
      <c r="X172" s="210" t="n">
        <f aca="true" t="array" ref="X172:X172">IF($C172="S",IF(OR(Import.TipoArredondamento&lt;&gt;"TransfereGOV",ACOMPANHAMENTO="BM"),VTOTAL1,SUM(OFFSET(CÁLCULO!$AQ$15,ROW($X172)-ROW($X$15),1):OFFSET(CÁLCULO!$BR$15,ROW($X172)-ROW($X$15),-1))),IF($C172=0,0,ROUND(SomaAgrup,15-13*$AF$11)))</f>
        <v>43092.25</v>
      </c>
      <c r="Y172" s="211" t="s">
        <v>781</v>
      </c>
      <c r="Z172" s="1" t="str">
        <f aca="false">IF(AND($C172="S",$X172&gt;0),IF(ISBLANK($Y172),"RA",LEFT($Y172,2)),"")</f>
        <v/>
      </c>
      <c r="AA172" s="212" t="n">
        <f aca="true">IF($C172="S",IF($Z172="CP",$X172,IF($Z172="RA",(($X172)*QCI!$AA$3),0)),SomaAgrup)</f>
        <v>4782.44368802027</v>
      </c>
      <c r="AB172" s="213" t="n">
        <f aca="true">IF($C172="S",IF($Z172="OU",ROUND($X172,2),0),SomaAgrup)</f>
        <v>0</v>
      </c>
      <c r="AC172" s="214" t="e">
        <f aca="false" t="array" ref="AC172:AC172">IF($N172=""," ",
IF(AND($C172&lt;&gt;"S",OR($R172="",$R172="(digite a descrição aqui)")),"DESCRIÇÃO",
IF(AND($C172="S",OR($Q172&lt;&gt;"",$T172&gt;0,$U172&gt;0),$P172=""),"FONTE",
IF(AND($C172="S",$P172&lt;&gt;"",OR($T172&gt;0,$U172&gt;0),$Q172=""),"CÓDIGO",
IF(AND($C172="S",$P172&lt;&gt;"",$Q172&lt;&gt;"",$R172="(Código não identificado nas referências)"),"CÓDIGO N/ID",
IF(AND($C172="S",OR($R172="",$R172="(digite a descrição aqui)"),OR($Q172&lt;&gt;"",$T172&gt;0,$U172&gt;0)),"DESCRIÇÃO",
IF(AND($C172="S",$P172&lt;&gt;"",$Q172&lt;&gt;"",$S172=""),"UNIDADE",
IF(AND($C172="S",$P172&lt;&gt;"",$Q172&lt;&gt;"",$U172=0),"SEM CUSTO",
IF(AND(_xlfn.single(TIPOORCAMENTO)="Licitado",$AL172=0,$AN172&gt;0),"SEM PREÇO",
IF(AND($C172="S",$P172&lt;&gt;"",$Q172&lt;&gt;"",$U172&gt;0,$V172=0),"BDI",
IF(OR(AND(TIPOORCAMENTO="Proposto",LEFT($O$8,5)&lt;&gt;"(N/D:",$AG172&lt;&gt;"",ORÇAMENTO.CustoUnitario&gt;$AG172),AND(TIPOORCAMENTO="LICITADO",ORÇAMENTO.PrecoUnitarioLicitado&gt;$AN172)),"ACIMA REF.",
IF(AND($C172="S",$P172&lt;&gt;"",$Q172&lt;&gt;"",$T172=0,$U172&gt;0),"QUANT.",
IF(AND(Import.TipoArredondamento="TransfereGOV",$L172="F",$C172="S",LEN($Q172)&gt;13),"Código &gt;13",
IF(AND(Import.TipoArredondamento="TransfereGOV",$L172="F",$C172&lt;&gt;"S",LEN($R172)&gt;100),"Descrição &gt;100",
IF(AND(Import.TipoArredondamento="TransfereGOV",$L172="F",$C172="S",LEN($R172)&gt;500),"Descrição &gt;500",
IF(AND(Import.TipoArredondamento="TransfereGOV",$L172="F",$C172="S",LEFT(TRIM(UPPER($P172)),6)&lt;&gt;"SINAPI",ISNA(VLOOKUP(TRIM(UPPER($S172)),ListaTgov.Unidades,1,FALSE()))),"Unid. Não Disp",
" "))))))))))))))))</f>
        <v>#NAME?</v>
      </c>
      <c r="AD172" s="38" t="n">
        <f aca="true">IF(C172&lt;=CRONO.NivelExibicao,MAX($AD$15:OFFSET(AD172,-1,0))+IF($C172&lt;&gt;1,1,MAX(1,COUNTIF(QCI!$A$13:$A$15,OFFSET($E172,-1,0)))),"")</f>
        <v>46</v>
      </c>
      <c r="AE172" s="50" t="b">
        <f aca="false">IF(AND($C172="S",ORÇAMENTO.CodBarra&lt;&gt;""),IF(ORÇAMENTO.Fonte="",ORÇAMENTO.CodBarra,CONCATENATE(ORÇAMENTO.Fonte," ",ORÇAMENTO.CodBarra)))</f>
        <v>0</v>
      </c>
      <c r="AF172" s="65" t="str">
        <f aca="true">IF(ISERROR(INDIRECT(ORÇAMENTO.BancoRef)),"(abra o arquivo 'Referência "&amp;Excel_BuiltIn_Database&amp;".xlsm)",IF(OR($C172&lt;&gt;"S",ORÇAMENTO.CodBarra=""),"(Sem Código)",IF(ISERROR(MATCH($AE172,INDIRECT(ORÇAMENTO.BancoRef),0)),"(Código não identificado nas referências)",MATCH($AE172,INDIRECT(ORÇAMENTO.BancoRef),0))))</f>
        <v>(abra o arquivo 'Referência 07-2025.xlsm)</v>
      </c>
      <c r="AG172" s="215" t="n">
        <f aca="true">ROUND(IF(DESONERACAO="sim",REFERENCIA.Desonerado,REFERENCIA.NaoDesonerado),2)</f>
        <v>0</v>
      </c>
      <c r="AH172" s="216" t="n">
        <f aca="false">ROUND(IF(ISNUMBER(ORÇAMENTO.OpcaoBDI),ORÇAMENTO.OpcaoBDI,IF(LEFT(ORÇAMENTO.OpcaoBDI,3)="BDI",HLOOKUP(ORÇAMENTO.OpcaoBDI,$F$4:$H$5,2,FALSE()),0)),15-11*$AF$9)</f>
        <v>0.2904</v>
      </c>
      <c r="AJ172" s="217"/>
      <c r="AL172" s="218"/>
      <c r="AM172" s="219" t="n">
        <f aca="false">$X172</f>
        <v>43092.25</v>
      </c>
      <c r="AN172" s="220" t="n">
        <f aca="false">ROUND(ORÇAMENTO.CustoUnitario*(1+$AH172),2)</f>
        <v>0</v>
      </c>
    </row>
    <row r="173" customFormat="false" ht="35.05" hidden="false" customHeight="false" outlineLevel="0" collapsed="false">
      <c r="A173" s="1" t="str">
        <f aca="false">CHOOSE(1+LOG(1+2*(ORÇAMENTO.Nivel="Meta")+4*(ORÇAMENTO.Nivel="Nível 2")+8*(ORÇAMENTO.Nivel="Nível 3")+16*(ORÇAMENTO.Nivel="Nível 4")+32*(ORÇAMENTO.Nivel="Serviço"),2),0,1,2,3,4,"S")</f>
        <v>S</v>
      </c>
      <c r="B173" s="1" t="n">
        <f aca="true">IF(OR(C173="s",C173=0),OFFSET(B173,-1,0),C173)</f>
        <v>2</v>
      </c>
      <c r="C173" s="1" t="str">
        <f aca="true">IF(OFFSET(C173,-1,0)="L",1,IF(OFFSET(C173,-1,0)=1,2,IF(OR(A173="s",A173=0),"S",IF(AND(OFFSET(C173,-1,0)=2,A173=4),3,IF(AND(OR(OFFSET(C173,-1,0)="s",OFFSET(C173,-1,0)=0),A173&lt;&gt;"s",A173&gt;OFFSET(B173,-1,0)),OFFSET(B173,-1,0),A173)))))</f>
        <v>S</v>
      </c>
      <c r="D173" s="1" t="n">
        <f aca="false">IF(OR(C173="S",C173=0),0,IF(ISERROR(K173),J173,SMALL(J173:K173,1)))</f>
        <v>0</v>
      </c>
      <c r="E173" s="1" t="n">
        <f aca="true">IF($C173=1,OFFSET(E173,-1,0)+MAX(1,COUNTIF(QCI!$A$13:$A$15,OFFSET(ORÇAMENTO!E173,-1,0))),OFFSET(E173,-1,0))</f>
        <v>1</v>
      </c>
      <c r="F173" s="1" t="n">
        <f aca="true">IF($C173=1,0,IF($C173=2,OFFSET(F173,-1,0)+1,OFFSET(F173,-1,0)))</f>
        <v>45</v>
      </c>
      <c r="G173" s="1" t="n">
        <f aca="true">IF(AND($C173&lt;=2,$C173&lt;&gt;0),0,IF($C173=3,OFFSET(G173,-1,0)+1,OFFSET(G173,-1,0)))</f>
        <v>0</v>
      </c>
      <c r="H173" s="1" t="n">
        <f aca="true">IF(AND($C173&lt;=3,$C173&lt;&gt;0),0,IF($C173=4,OFFSET(H173,-1,0)+1,OFFSET(H173,-1,0)))</f>
        <v>0</v>
      </c>
      <c r="I173" s="1" t="n">
        <f aca="true">IF(AND($C173&lt;=4,$C173&lt;&gt;0),0,IF(AND($C173="S",$X173&gt;0),OFFSET(I173,-1,0)+1,OFFSET(I173,-1,0)))</f>
        <v>1</v>
      </c>
      <c r="J173" s="1" t="n">
        <f aca="true">IF(OR($C173="S",$C173=0),0,MATCH(0,OFFSET($D173,1,$C173,ROW($C$205)-ROW($C173)),0))</f>
        <v>0</v>
      </c>
      <c r="K173" s="1" t="n">
        <f aca="true">IF(OR($C173="S",$C173=0),0,MATCH(OFFSET($D173,0,$C173)+IF($C173&lt;&gt;1,1,COUNTIF(QCI!$A$13:$A$15,ORÇAMENTO!E173)),OFFSET($D173,1,$C173,ROW($C$205)-ROW($C173)),0))</f>
        <v>0</v>
      </c>
      <c r="L173" s="199" t="str">
        <f aca="false">IF(OR($X173&gt;0,$C173=1,$C173=2,$C173=3,$C173=4),"F","")</f>
        <v>F</v>
      </c>
      <c r="M173" s="200" t="s">
        <v>735</v>
      </c>
      <c r="N173" s="201" t="str">
        <f aca="false">CHOOSE(1+LOG(1+2*(C173=1)+4*(C173=2)+8*(C173=3)+16*(C173=4)+32*(C173="S"),2),"","Meta","Nível 2","Nível 3","Nível 4","Serviço")</f>
        <v>Serviço</v>
      </c>
      <c r="O173" s="202" t="str">
        <f aca="false">IF(OR($C173=0,$L173=""),"-",CONCATENATE(E173&amp;".",IF(AND($A$5&gt;=2,$C173&gt;=2),F173&amp;".",""),IF(AND($A$5&gt;=3,$C173&gt;=3),G173&amp;".",""),IF(AND($A$5&gt;=4,$C173&gt;=4),H173&amp;".",""),IF($C173="S",I173&amp;".","")))</f>
        <v>1.45.1.</v>
      </c>
      <c r="P173" s="203" t="s">
        <v>780</v>
      </c>
      <c r="Q173" s="204" t="n">
        <v>89726</v>
      </c>
      <c r="R173" s="205" t="str">
        <f aca="false">[4]PO!$D$200</f>
        <v>JOELHO 45 GRAUS, PVC, SERIE NORMAL, ESGOTO PREDIAL, DN 40 MM, JUNTA SOLDÁVEL, FORNECIDO E INSTALADO EM RAMAL DE DESCARGA OU RAMAL DE ESGOTO SANITÁRIO. AF_08/2022</v>
      </c>
      <c r="S173" s="206" t="s">
        <v>666</v>
      </c>
      <c r="T173" s="207" t="n">
        <f aca="true">OFFSET(CÁLCULO!H$15,ROW($T173)-ROW(T$15),0)</f>
        <v>75</v>
      </c>
      <c r="U173" s="208" t="n">
        <v>10.43</v>
      </c>
      <c r="V173" s="209" t="s">
        <v>690</v>
      </c>
      <c r="W173" s="207" t="n">
        <f aca="false">IF($C173="S",ROUND(IF(TIPOORCAMENTO="Proposto",ORÇAMENTO.CustoUnitario*(1+$AH173),ORÇAMENTO.PrecoUnitarioLicitado),15-13*$AF$10),0)</f>
        <v>13.46</v>
      </c>
      <c r="X173" s="210" t="n">
        <f aca="true" t="array" ref="X173:X173">IF($C173="S",IF(OR(Import.TipoArredondamento&lt;&gt;"TransfereGOV",ACOMPANHAMENTO="BM"),VTOTAL1,SUM(OFFSET(CÁLCULO!$AQ$15,ROW($X173)-ROW($X$15),1):OFFSET(CÁLCULO!$BR$15,ROW($X173)-ROW($X$15),-1))),IF($C173=0,0,ROUND(SomaAgrup,15-13*$AF$11)))</f>
        <v>1009.5</v>
      </c>
      <c r="Y173" s="211" t="s">
        <v>781</v>
      </c>
      <c r="Z173" s="1" t="str">
        <f aca="false">IF(AND($C173="S",$X173&gt;0),IF(ISBLANK($Y173),"RA",LEFT($Y173,2)),"")</f>
        <v>RA</v>
      </c>
      <c r="AA173" s="212" t="n">
        <f aca="true">IF($C173="S",IF($Z173="CP",$X173,IF($Z173="RA",(($X173)*QCI!$AA$3),0)),SomaAgrup)</f>
        <v>112.035851065017</v>
      </c>
      <c r="AB173" s="213" t="n">
        <f aca="true">IF($C173="S",IF($Z173="OU",ROUND($X173,2),0),SomaAgrup)</f>
        <v>0</v>
      </c>
      <c r="AC173" s="214" t="e">
        <f aca="false" t="array" ref="AC173:AC173">IF($N173=""," ",
IF(AND($C173&lt;&gt;"S",OR($R173="",$R173="(digite a descrição aqui)")),"DESCRIÇÃO",
IF(AND($C173="S",OR($Q173&lt;&gt;"",$T173&gt;0,$U173&gt;0),$P173=""),"FONTE",
IF(AND($C173="S",$P173&lt;&gt;"",OR($T173&gt;0,$U173&gt;0),$Q173=""),"CÓDIGO",
IF(AND($C173="S",$P173&lt;&gt;"",$Q173&lt;&gt;"",$R173="(Código não identificado nas referências)"),"CÓDIGO N/ID",
IF(AND($C173="S",OR($R173="",$R173="(digite a descrição aqui)"),OR($Q173&lt;&gt;"",$T173&gt;0,$U173&gt;0)),"DESCRIÇÃO",
IF(AND($C173="S",$P173&lt;&gt;"",$Q173&lt;&gt;"",$S173=""),"UNIDADE",
IF(AND($C173="S",$P173&lt;&gt;"",$Q173&lt;&gt;"",$U173=0),"SEM CUSTO",
IF(AND(_xlfn.single(TIPOORCAMENTO)="Licitado",$AL173=0,$AN173&gt;0),"SEM PREÇO",
IF(AND($C173="S",$P173&lt;&gt;"",$Q173&lt;&gt;"",$U173&gt;0,$V173=0),"BDI",
IF(OR(AND(TIPOORCAMENTO="Proposto",LEFT($O$8,5)&lt;&gt;"(N/D:",$AG173&lt;&gt;"",ORÇAMENTO.CustoUnitario&gt;$AG173),AND(TIPOORCAMENTO="LICITADO",ORÇAMENTO.PrecoUnitarioLicitado&gt;$AN173)),"ACIMA REF.",
IF(AND($C173="S",$P173&lt;&gt;"",$Q173&lt;&gt;"",$T173=0,$U173&gt;0),"QUANT.",
IF(AND(Import.TipoArredondamento="TransfereGOV",$L173="F",$C173="S",LEN($Q173)&gt;13),"Código &gt;13",
IF(AND(Import.TipoArredondamento="TransfereGOV",$L173="F",$C173&lt;&gt;"S",LEN($R173)&gt;100),"Descrição &gt;100",
IF(AND(Import.TipoArredondamento="TransfereGOV",$L173="F",$C173="S",LEN($R173)&gt;500),"Descrição &gt;500",
IF(AND(Import.TipoArredondamento="TransfereGOV",$L173="F",$C173="S",LEFT(TRIM(UPPER($P173)),6)&lt;&gt;"SINAPI",ISNA(VLOOKUP(TRIM(UPPER($S173)),ListaTgov.Unidades,1,FALSE()))),"Unid. Não Disp",
" "))))))))))))))))</f>
        <v>#NAME?</v>
      </c>
      <c r="AD173" s="1" t="str">
        <f aca="true">IF(C173&lt;=CRONO.NivelExibicao,MAX($AD$15:OFFSET(AD173,-1,0))+IF($C173&lt;&gt;1,1,MAX(1,COUNTIF(QCI!$A$13:$A$15,OFFSET($E173,-1,0)))),"")</f>
        <v/>
      </c>
      <c r="AE173" s="50" t="str">
        <f aca="false">IF(AND($C173="S",ORÇAMENTO.CodBarra&lt;&gt;""),IF(ORÇAMENTO.Fonte="",ORÇAMENTO.CodBarra,CONCATENATE(ORÇAMENTO.Fonte," ",ORÇAMENTO.CodBarra)))</f>
        <v>SINAPI 89726</v>
      </c>
      <c r="AF173" s="65" t="str">
        <f aca="true">IF(ISERROR(INDIRECT(ORÇAMENTO.BancoRef)),"(abra o arquivo 'Referência "&amp;Excel_BuiltIn_Database&amp;".xlsm)",IF(OR($C173&lt;&gt;"S",ORÇAMENTO.CodBarra=""),"(Sem Código)",IF(ISERROR(MATCH($AE173,INDIRECT(ORÇAMENTO.BancoRef),0)),"(Código não identificado nas referências)",MATCH($AE173,INDIRECT(ORÇAMENTO.BancoRef),0))))</f>
        <v>(abra o arquivo 'Referência 07-2025.xlsm)</v>
      </c>
      <c r="AG173" s="215" t="n">
        <f aca="true">ROUND(IF(DESONERACAO="sim",REFERENCIA.Desonerado,REFERENCIA.NaoDesonerado),2)</f>
        <v>0</v>
      </c>
      <c r="AH173" s="216" t="n">
        <f aca="false">ROUND(IF(ISNUMBER(ORÇAMENTO.OpcaoBDI),ORÇAMENTO.OpcaoBDI,IF(LEFT(ORÇAMENTO.OpcaoBDI,3)="BDI",HLOOKUP(ORÇAMENTO.OpcaoBDI,$F$4:$H$5,2,FALSE()),0)),15-11*$AF$9)</f>
        <v>0.2904</v>
      </c>
      <c r="AJ173" s="217"/>
      <c r="AL173" s="218"/>
      <c r="AM173" s="219" t="n">
        <f aca="false">$X173</f>
        <v>1009.5</v>
      </c>
      <c r="AN173" s="220" t="n">
        <f aca="false">ROUND(ORÇAMENTO.CustoUnitario*(1+$AH173),2)</f>
        <v>13.46</v>
      </c>
    </row>
    <row r="174" customFormat="false" ht="35.05" hidden="false" customHeight="false" outlineLevel="0" collapsed="false">
      <c r="A174" s="1" t="str">
        <f aca="false">CHOOSE(1+LOG(1+2*(ORÇAMENTO.Nivel="Meta")+4*(ORÇAMENTO.Nivel="Nível 2")+8*(ORÇAMENTO.Nivel="Nível 3")+16*(ORÇAMENTO.Nivel="Nível 4")+32*(ORÇAMENTO.Nivel="Serviço"),2),0,1,2,3,4,"S")</f>
        <v>S</v>
      </c>
      <c r="B174" s="1" t="n">
        <f aca="true">IF(OR(C174="s",C174=0),OFFSET(B174,-1,0),C174)</f>
        <v>2</v>
      </c>
      <c r="C174" s="1" t="str">
        <f aca="true">IF(OFFSET(C174,-1,0)="L",1,IF(OFFSET(C174,-1,0)=1,2,IF(OR(A174="s",A174=0),"S",IF(AND(OFFSET(C174,-1,0)=2,A174=4),3,IF(AND(OR(OFFSET(C174,-1,0)="s",OFFSET(C174,-1,0)=0),A174&lt;&gt;"s",A174&gt;OFFSET(B174,-1,0)),OFFSET(B174,-1,0),A174)))))</f>
        <v>S</v>
      </c>
      <c r="D174" s="1" t="n">
        <f aca="false">IF(OR(C174="S",C174=0),0,IF(ISERROR(K174),J174,SMALL(J174:K174,1)))</f>
        <v>0</v>
      </c>
      <c r="E174" s="1" t="n">
        <f aca="true">IF($C174=1,OFFSET(E174,-1,0)+MAX(1,COUNTIF(QCI!$A$13:$A$15,OFFSET(ORÇAMENTO!E174,-1,0))),OFFSET(E174,-1,0))</f>
        <v>1</v>
      </c>
      <c r="F174" s="1" t="n">
        <f aca="true">IF($C174=1,0,IF($C174=2,OFFSET(F174,-1,0)+1,OFFSET(F174,-1,0)))</f>
        <v>45</v>
      </c>
      <c r="G174" s="1" t="n">
        <f aca="true">IF(AND($C174&lt;=2,$C174&lt;&gt;0),0,IF($C174=3,OFFSET(G174,-1,0)+1,OFFSET(G174,-1,0)))</f>
        <v>0</v>
      </c>
      <c r="H174" s="1" t="n">
        <f aca="true">IF(AND($C174&lt;=3,$C174&lt;&gt;0),0,IF($C174=4,OFFSET(H174,-1,0)+1,OFFSET(H174,-1,0)))</f>
        <v>0</v>
      </c>
      <c r="I174" s="1" t="n">
        <f aca="true">IF(AND($C174&lt;=4,$C174&lt;&gt;0),0,IF(AND($C174="S",$X174&gt;0),OFFSET(I174,-1,0)+1,OFFSET(I174,-1,0)))</f>
        <v>2</v>
      </c>
      <c r="J174" s="1" t="n">
        <f aca="true">IF(OR($C174="S",$C174=0),0,MATCH(0,OFFSET($D174,1,$C174,ROW($C$205)-ROW($C174)),0))</f>
        <v>0</v>
      </c>
      <c r="K174" s="1" t="n">
        <f aca="true">IF(OR($C174="S",$C174=0),0,MATCH(OFFSET($D174,0,$C174)+IF($C174&lt;&gt;1,1,COUNTIF(QCI!$A$13:$A$15,ORÇAMENTO!E174)),OFFSET($D174,1,$C174,ROW($C$205)-ROW($C174)),0))</f>
        <v>0</v>
      </c>
      <c r="L174" s="199" t="str">
        <f aca="false">IF(OR($X174&gt;0,$C174=1,$C174=2,$C174=3,$C174=4),"F","")</f>
        <v>F</v>
      </c>
      <c r="M174" s="200" t="s">
        <v>735</v>
      </c>
      <c r="N174" s="201" t="str">
        <f aca="false">CHOOSE(1+LOG(1+2*(C174=1)+4*(C174=2)+8*(C174=3)+16*(C174=4)+32*(C174="S"),2),"","Meta","Nível 2","Nível 3","Nível 4","Serviço")</f>
        <v>Serviço</v>
      </c>
      <c r="O174" s="202" t="str">
        <f aca="false">IF(OR($C174=0,$L174=""),"-",CONCATENATE(E174&amp;".",IF(AND($A$5&gt;=2,$C174&gt;=2),F174&amp;".",""),IF(AND($A$5&gt;=3,$C174&gt;=3),G174&amp;".",""),IF(AND($A$5&gt;=4,$C174&gt;=4),H174&amp;".",""),IF($C174="S",I174&amp;".","")))</f>
        <v>1.45.2.</v>
      </c>
      <c r="P174" s="203" t="s">
        <v>780</v>
      </c>
      <c r="Q174" s="204" t="n">
        <v>89732</v>
      </c>
      <c r="R174" s="205" t="str">
        <f aca="false">[4]PO!$D$201</f>
        <v>JOELHO 45 GRAUS, PVC, SERIE NORMAL, ESGOTO PREDIAL, DN 50 MM, JUNTA ELÁSTICA, FORNECIDO E INSTALADO EM RAMAL DE DESCARGA OU RAMAL DE ESGOTO SANITÁRIO. AF_08/2022</v>
      </c>
      <c r="S174" s="206" t="s">
        <v>666</v>
      </c>
      <c r="T174" s="207" t="n">
        <f aca="true">OFFSET(CÁLCULO!H$15,ROW($T174)-ROW(T$15),0)</f>
        <v>50</v>
      </c>
      <c r="U174" s="208" t="n">
        <f aca="false">[2]PO!$G$201</f>
        <v>15.29</v>
      </c>
      <c r="V174" s="209" t="s">
        <v>690</v>
      </c>
      <c r="W174" s="207" t="n">
        <f aca="false">IF($C174="S",ROUND(IF(TIPOORCAMENTO="Proposto",ORÇAMENTO.CustoUnitario*(1+$AH174),ORÇAMENTO.PrecoUnitarioLicitado),15-13*$AF$10),0)</f>
        <v>19.73</v>
      </c>
      <c r="X174" s="210" t="n">
        <f aca="true" t="array" ref="X174:X174">IF($C174="S",IF(OR(Import.TipoArredondamento&lt;&gt;"TransfereGOV",ACOMPANHAMENTO="BM"),VTOTAL1,SUM(OFFSET(CÁLCULO!$AQ$15,ROW($X174)-ROW($X$15),1):OFFSET(CÁLCULO!$BR$15,ROW($X174)-ROW($X$15),-1))),IF($C174=0,0,ROUND(SomaAgrup,15-13*$AF$11)))</f>
        <v>986.5</v>
      </c>
      <c r="Y174" s="211" t="s">
        <v>781</v>
      </c>
      <c r="Z174" s="1" t="str">
        <f aca="false">IF(AND($C174="S",$X174&gt;0),IF(ISBLANK($Y174),"RA",LEFT($Y174,2)),"")</f>
        <v>RA</v>
      </c>
      <c r="AA174" s="212" t="n">
        <f aca="true">IF($C174="S",IF($Z174="CP",$X174,IF($Z174="RA",(($X174)*QCI!$AA$3),0)),SomaAgrup)</f>
        <v>109.483275954075</v>
      </c>
      <c r="AB174" s="213" t="n">
        <f aca="true">IF($C174="S",IF($Z174="OU",ROUND($X174,2),0),SomaAgrup)</f>
        <v>0</v>
      </c>
      <c r="AC174" s="214" t="e">
        <f aca="false" t="array" ref="AC174:AC174">IF($N174=""," ",
IF(AND($C174&lt;&gt;"S",OR($R174="",$R174="(digite a descrição aqui)")),"DESCRIÇÃO",
IF(AND($C174="S",OR($Q174&lt;&gt;"",$T174&gt;0,$U174&gt;0),$P174=""),"FONTE",
IF(AND($C174="S",$P174&lt;&gt;"",OR($T174&gt;0,$U174&gt;0),$Q174=""),"CÓDIGO",
IF(AND($C174="S",$P174&lt;&gt;"",$Q174&lt;&gt;"",$R174="(Código não identificado nas referências)"),"CÓDIGO N/ID",
IF(AND($C174="S",OR($R174="",$R174="(digite a descrição aqui)"),OR($Q174&lt;&gt;"",$T174&gt;0,$U174&gt;0)),"DESCRIÇÃO",
IF(AND($C174="S",$P174&lt;&gt;"",$Q174&lt;&gt;"",$S174=""),"UNIDADE",
IF(AND($C174="S",$P174&lt;&gt;"",$Q174&lt;&gt;"",$U174=0),"SEM CUSTO",
IF(AND(_xlfn.single(TIPOORCAMENTO)="Licitado",$AL174=0,$AN174&gt;0),"SEM PREÇO",
IF(AND($C174="S",$P174&lt;&gt;"",$Q174&lt;&gt;"",$U174&gt;0,$V174=0),"BDI",
IF(OR(AND(TIPOORCAMENTO="Proposto",LEFT($O$8,5)&lt;&gt;"(N/D:",$AG174&lt;&gt;"",ORÇAMENTO.CustoUnitario&gt;$AG174),AND(TIPOORCAMENTO="LICITADO",ORÇAMENTO.PrecoUnitarioLicitado&gt;$AN174)),"ACIMA REF.",
IF(AND($C174="S",$P174&lt;&gt;"",$Q174&lt;&gt;"",$T174=0,$U174&gt;0),"QUANT.",
IF(AND(Import.TipoArredondamento="TransfereGOV",$L174="F",$C174="S",LEN($Q174)&gt;13),"Código &gt;13",
IF(AND(Import.TipoArredondamento="TransfereGOV",$L174="F",$C174&lt;&gt;"S",LEN($R174)&gt;100),"Descrição &gt;100",
IF(AND(Import.TipoArredondamento="TransfereGOV",$L174="F",$C174="S",LEN($R174)&gt;500),"Descrição &gt;500",
IF(AND(Import.TipoArredondamento="TransfereGOV",$L174="F",$C174="S",LEFT(TRIM(UPPER($P174)),6)&lt;&gt;"SINAPI",ISNA(VLOOKUP(TRIM(UPPER($S174)),ListaTgov.Unidades,1,FALSE()))),"Unid. Não Disp",
" "))))))))))))))))</f>
        <v>#NAME?</v>
      </c>
      <c r="AD174" s="1" t="str">
        <f aca="true">IF(C174&lt;=CRONO.NivelExibicao,MAX($AD$15:OFFSET(AD174,-1,0))+IF($C174&lt;&gt;1,1,MAX(1,COUNTIF(QCI!$A$13:$A$15,OFFSET($E174,-1,0)))),"")</f>
        <v/>
      </c>
      <c r="AE174" s="50" t="str">
        <f aca="false">IF(AND($C174="S",ORÇAMENTO.CodBarra&lt;&gt;""),IF(ORÇAMENTO.Fonte="",ORÇAMENTO.CodBarra,CONCATENATE(ORÇAMENTO.Fonte," ",ORÇAMENTO.CodBarra)))</f>
        <v>SINAPI 89732</v>
      </c>
      <c r="AF174" s="65" t="str">
        <f aca="true">IF(ISERROR(INDIRECT(ORÇAMENTO.BancoRef)),"(abra o arquivo 'Referência "&amp;Excel_BuiltIn_Database&amp;".xlsm)",IF(OR($C174&lt;&gt;"S",ORÇAMENTO.CodBarra=""),"(Sem Código)",IF(ISERROR(MATCH($AE174,INDIRECT(ORÇAMENTO.BancoRef),0)),"(Código não identificado nas referências)",MATCH($AE174,INDIRECT(ORÇAMENTO.BancoRef),0))))</f>
        <v>(abra o arquivo 'Referência 07-2025.xlsm)</v>
      </c>
      <c r="AG174" s="215" t="n">
        <f aca="true">ROUND(IF(DESONERACAO="sim",REFERENCIA.Desonerado,REFERENCIA.NaoDesonerado),2)</f>
        <v>0</v>
      </c>
      <c r="AH174" s="216" t="n">
        <f aca="false">ROUND(IF(ISNUMBER(ORÇAMENTO.OpcaoBDI),ORÇAMENTO.OpcaoBDI,IF(LEFT(ORÇAMENTO.OpcaoBDI,3)="BDI",HLOOKUP(ORÇAMENTO.OpcaoBDI,$F$4:$H$5,2,FALSE()),0)),15-11*$AF$9)</f>
        <v>0.2904</v>
      </c>
      <c r="AJ174" s="217"/>
      <c r="AL174" s="218"/>
      <c r="AM174" s="219" t="n">
        <f aca="false">$X174</f>
        <v>986.5</v>
      </c>
      <c r="AN174" s="220" t="n">
        <f aca="false">ROUND(ORÇAMENTO.CustoUnitario*(1+$AH174),2)</f>
        <v>19.73</v>
      </c>
    </row>
    <row r="175" customFormat="false" ht="35.05" hidden="false" customHeight="false" outlineLevel="0" collapsed="false">
      <c r="A175" s="1" t="str">
        <f aca="false">CHOOSE(1+LOG(1+2*(ORÇAMENTO.Nivel="Meta")+4*(ORÇAMENTO.Nivel="Nível 2")+8*(ORÇAMENTO.Nivel="Nível 3")+16*(ORÇAMENTO.Nivel="Nível 4")+32*(ORÇAMENTO.Nivel="Serviço"),2),0,1,2,3,4,"S")</f>
        <v>S</v>
      </c>
      <c r="B175" s="1" t="n">
        <f aca="true">IF(OR(C175="s",C175=0),OFFSET(B175,-1,0),C175)</f>
        <v>2</v>
      </c>
      <c r="C175" s="1" t="str">
        <f aca="true">IF(OFFSET(C175,-1,0)="L",1,IF(OFFSET(C175,-1,0)=1,2,IF(OR(A175="s",A175=0),"S",IF(AND(OFFSET(C175,-1,0)=2,A175=4),3,IF(AND(OR(OFFSET(C175,-1,0)="s",OFFSET(C175,-1,0)=0),A175&lt;&gt;"s",A175&gt;OFFSET(B175,-1,0)),OFFSET(B175,-1,0),A175)))))</f>
        <v>S</v>
      </c>
      <c r="D175" s="1" t="n">
        <f aca="false">IF(OR(C175="S",C175=0),0,IF(ISERROR(K175),J175,SMALL(J175:K175,1)))</f>
        <v>0</v>
      </c>
      <c r="E175" s="1" t="n">
        <f aca="true">IF($C175=1,OFFSET(E175,-1,0)+MAX(1,COUNTIF(QCI!$A$13:$A$15,OFFSET(ORÇAMENTO!E175,-1,0))),OFFSET(E175,-1,0))</f>
        <v>1</v>
      </c>
      <c r="F175" s="1" t="n">
        <f aca="true">IF($C175=1,0,IF($C175=2,OFFSET(F175,-1,0)+1,OFFSET(F175,-1,0)))</f>
        <v>45</v>
      </c>
      <c r="G175" s="1" t="n">
        <f aca="true">IF(AND($C175&lt;=2,$C175&lt;&gt;0),0,IF($C175=3,OFFSET(G175,-1,0)+1,OFFSET(G175,-1,0)))</f>
        <v>0</v>
      </c>
      <c r="H175" s="1" t="n">
        <f aca="true">IF(AND($C175&lt;=3,$C175&lt;&gt;0),0,IF($C175=4,OFFSET(H175,-1,0)+1,OFFSET(H175,-1,0)))</f>
        <v>0</v>
      </c>
      <c r="I175" s="1" t="n">
        <f aca="true">IF(AND($C175&lt;=4,$C175&lt;&gt;0),0,IF(AND($C175="S",$X175&gt;0),OFFSET(I175,-1,0)+1,OFFSET(I175,-1,0)))</f>
        <v>3</v>
      </c>
      <c r="J175" s="1" t="n">
        <f aca="true">IF(OR($C175="S",$C175=0),0,MATCH(0,OFFSET($D175,1,$C175,ROW($C$205)-ROW($C175)),0))</f>
        <v>0</v>
      </c>
      <c r="K175" s="1" t="n">
        <f aca="true">IF(OR($C175="S",$C175=0),0,MATCH(OFFSET($D175,0,$C175)+IF($C175&lt;&gt;1,1,COUNTIF(QCI!$A$13:$A$15,ORÇAMENTO!E175)),OFFSET($D175,1,$C175,ROW($C$205)-ROW($C175)),0))</f>
        <v>0</v>
      </c>
      <c r="L175" s="199" t="str">
        <f aca="false">IF(OR($X175&gt;0,$C175=1,$C175=2,$C175=3,$C175=4),"F","")</f>
        <v>F</v>
      </c>
      <c r="M175" s="200" t="s">
        <v>735</v>
      </c>
      <c r="N175" s="201" t="str">
        <f aca="false">CHOOSE(1+LOG(1+2*(C175=1)+4*(C175=2)+8*(C175=3)+16*(C175=4)+32*(C175="S"),2),"","Meta","Nível 2","Nível 3","Nível 4","Serviço")</f>
        <v>Serviço</v>
      </c>
      <c r="O175" s="202" t="str">
        <f aca="false">IF(OR($C175=0,$L175=""),"-",CONCATENATE(E175&amp;".",IF(AND($A$5&gt;=2,$C175&gt;=2),F175&amp;".",""),IF(AND($A$5&gt;=3,$C175&gt;=3),G175&amp;".",""),IF(AND($A$5&gt;=4,$C175&gt;=4),H175&amp;".",""),IF($C175="S",I175&amp;".","")))</f>
        <v>1.45.3.</v>
      </c>
      <c r="P175" s="203" t="s">
        <v>780</v>
      </c>
      <c r="Q175" s="204" t="n">
        <v>89724</v>
      </c>
      <c r="R175" s="205" t="str">
        <f aca="false">[4]PO!$D$202</f>
        <v>JOELHO 90 GRAUS, PVC, SERIE NORMAL, ESGOTO PREDIAL, DN 40 MM, JUNTA SOLDÁVEL, FORNECIDO E INSTALADO EM RAMAL DE DESCARGA OU RAMAL DE ESGOTO SANITÁRIO. AF_08/2022</v>
      </c>
      <c r="S175" s="206" t="s">
        <v>666</v>
      </c>
      <c r="T175" s="207" t="n">
        <f aca="true">OFFSET(CÁLCULO!H$15,ROW($T175)-ROW(T$15),0)</f>
        <v>50</v>
      </c>
      <c r="U175" s="208" t="n">
        <v>10.21</v>
      </c>
      <c r="V175" s="209" t="s">
        <v>690</v>
      </c>
      <c r="W175" s="207" t="n">
        <f aca="false">IF($C175="S",ROUND(IF(TIPOORCAMENTO="Proposto",ORÇAMENTO.CustoUnitario*(1+$AH175),ORÇAMENTO.PrecoUnitarioLicitado),15-13*$AF$10),0)</f>
        <v>13.17</v>
      </c>
      <c r="X175" s="210" t="n">
        <f aca="true" t="array" ref="X175:X175">IF($C175="S",IF(OR(Import.TipoArredondamento&lt;&gt;"TransfereGOV",ACOMPANHAMENTO="BM"),VTOTAL1,SUM(OFFSET(CÁLCULO!$AQ$15,ROW($X175)-ROW($X$15),1):OFFSET(CÁLCULO!$BR$15,ROW($X175)-ROW($X$15),-1))),IF($C175=0,0,ROUND(SomaAgrup,15-13*$AF$11)))</f>
        <v>658.5</v>
      </c>
      <c r="Y175" s="211" t="s">
        <v>781</v>
      </c>
      <c r="Z175" s="1" t="str">
        <f aca="false">IF(AND($C175="S",$X175&gt;0),IF(ISBLANK($Y175),"RA",LEFT($Y175,2)),"")</f>
        <v>RA</v>
      </c>
      <c r="AA175" s="212" t="n">
        <f aca="true">IF($C175="S",IF($Z175="CP",$X175,IF($Z175="RA",(($X175)*QCI!$AA$3),0)),SomaAgrup)</f>
        <v>73.0813352415189</v>
      </c>
      <c r="AB175" s="213" t="n">
        <f aca="true">IF($C175="S",IF($Z175="OU",ROUND($X175,2),0),SomaAgrup)</f>
        <v>0</v>
      </c>
      <c r="AC175" s="214" t="e">
        <f aca="false" t="array" ref="AC175:AC175">IF($N175=""," ",
IF(AND($C175&lt;&gt;"S",OR($R175="",$R175="(digite a descrição aqui)")),"DESCRIÇÃO",
IF(AND($C175="S",OR($Q175&lt;&gt;"",$T175&gt;0,$U175&gt;0),$P175=""),"FONTE",
IF(AND($C175="S",$P175&lt;&gt;"",OR($T175&gt;0,$U175&gt;0),$Q175=""),"CÓDIGO",
IF(AND($C175="S",$P175&lt;&gt;"",$Q175&lt;&gt;"",$R175="(Código não identificado nas referências)"),"CÓDIGO N/ID",
IF(AND($C175="S",OR($R175="",$R175="(digite a descrição aqui)"),OR($Q175&lt;&gt;"",$T175&gt;0,$U175&gt;0)),"DESCRIÇÃO",
IF(AND($C175="S",$P175&lt;&gt;"",$Q175&lt;&gt;"",$S175=""),"UNIDADE",
IF(AND($C175="S",$P175&lt;&gt;"",$Q175&lt;&gt;"",$U175=0),"SEM CUSTO",
IF(AND(_xlfn.single(TIPOORCAMENTO)="Licitado",$AL175=0,$AN175&gt;0),"SEM PREÇO",
IF(AND($C175="S",$P175&lt;&gt;"",$Q175&lt;&gt;"",$U175&gt;0,$V175=0),"BDI",
IF(OR(AND(TIPOORCAMENTO="Proposto",LEFT($O$8,5)&lt;&gt;"(N/D:",$AG175&lt;&gt;"",ORÇAMENTO.CustoUnitario&gt;$AG175),AND(TIPOORCAMENTO="LICITADO",ORÇAMENTO.PrecoUnitarioLicitado&gt;$AN175)),"ACIMA REF.",
IF(AND($C175="S",$P175&lt;&gt;"",$Q175&lt;&gt;"",$T175=0,$U175&gt;0),"QUANT.",
IF(AND(Import.TipoArredondamento="TransfereGOV",$L175="F",$C175="S",LEN($Q175)&gt;13),"Código &gt;13",
IF(AND(Import.TipoArredondamento="TransfereGOV",$L175="F",$C175&lt;&gt;"S",LEN($R175)&gt;100),"Descrição &gt;100",
IF(AND(Import.TipoArredondamento="TransfereGOV",$L175="F",$C175="S",LEN($R175)&gt;500),"Descrição &gt;500",
IF(AND(Import.TipoArredondamento="TransfereGOV",$L175="F",$C175="S",LEFT(TRIM(UPPER($P175)),6)&lt;&gt;"SINAPI",ISNA(VLOOKUP(TRIM(UPPER($S175)),ListaTgov.Unidades,1,FALSE()))),"Unid. Não Disp",
" "))))))))))))))))</f>
        <v>#NAME?</v>
      </c>
      <c r="AD175" s="1" t="str">
        <f aca="true">IF(C175&lt;=CRONO.NivelExibicao,MAX($AD$15:OFFSET(AD175,-1,0))+IF($C175&lt;&gt;1,1,MAX(1,COUNTIF(QCI!$A$13:$A$15,OFFSET($E175,-1,0)))),"")</f>
        <v/>
      </c>
      <c r="AE175" s="50" t="str">
        <f aca="false">IF(AND($C175="S",ORÇAMENTO.CodBarra&lt;&gt;""),IF(ORÇAMENTO.Fonte="",ORÇAMENTO.CodBarra,CONCATENATE(ORÇAMENTO.Fonte," ",ORÇAMENTO.CodBarra)))</f>
        <v>SINAPI 89724</v>
      </c>
      <c r="AF175" s="65" t="str">
        <f aca="true">IF(ISERROR(INDIRECT(ORÇAMENTO.BancoRef)),"(abra o arquivo 'Referência "&amp;Excel_BuiltIn_Database&amp;".xlsm)",IF(OR($C175&lt;&gt;"S",ORÇAMENTO.CodBarra=""),"(Sem Código)",IF(ISERROR(MATCH($AE175,INDIRECT(ORÇAMENTO.BancoRef),0)),"(Código não identificado nas referências)",MATCH($AE175,INDIRECT(ORÇAMENTO.BancoRef),0))))</f>
        <v>(abra o arquivo 'Referência 07-2025.xlsm)</v>
      </c>
      <c r="AG175" s="215" t="n">
        <f aca="true">ROUND(IF(DESONERACAO="sim",REFERENCIA.Desonerado,REFERENCIA.NaoDesonerado),2)</f>
        <v>0</v>
      </c>
      <c r="AH175" s="216" t="n">
        <f aca="false">ROUND(IF(ISNUMBER(ORÇAMENTO.OpcaoBDI),ORÇAMENTO.OpcaoBDI,IF(LEFT(ORÇAMENTO.OpcaoBDI,3)="BDI",HLOOKUP(ORÇAMENTO.OpcaoBDI,$F$4:$H$5,2,FALSE()),0)),15-11*$AF$9)</f>
        <v>0.2904</v>
      </c>
      <c r="AJ175" s="217"/>
      <c r="AL175" s="218"/>
      <c r="AM175" s="219" t="n">
        <f aca="false">$X175</f>
        <v>658.5</v>
      </c>
      <c r="AN175" s="220" t="n">
        <f aca="false">ROUND(ORÇAMENTO.CustoUnitario*(1+$AH175),2)</f>
        <v>13.17</v>
      </c>
    </row>
    <row r="176" customFormat="false" ht="35.05" hidden="false" customHeight="false" outlineLevel="0" collapsed="false">
      <c r="A176" s="1" t="str">
        <f aca="false">CHOOSE(1+LOG(1+2*(ORÇAMENTO.Nivel="Meta")+4*(ORÇAMENTO.Nivel="Nível 2")+8*(ORÇAMENTO.Nivel="Nível 3")+16*(ORÇAMENTO.Nivel="Nível 4")+32*(ORÇAMENTO.Nivel="Serviço"),2),0,1,2,3,4,"S")</f>
        <v>S</v>
      </c>
      <c r="B176" s="1" t="n">
        <f aca="true">IF(OR(C176="s",C176=0),OFFSET(B176,-1,0),C176)</f>
        <v>2</v>
      </c>
      <c r="C176" s="1" t="str">
        <f aca="true">IF(OFFSET(C176,-1,0)="L",1,IF(OFFSET(C176,-1,0)=1,2,IF(OR(A176="s",A176=0),"S",IF(AND(OFFSET(C176,-1,0)=2,A176=4),3,IF(AND(OR(OFFSET(C176,-1,0)="s",OFFSET(C176,-1,0)=0),A176&lt;&gt;"s",A176&gt;OFFSET(B176,-1,0)),OFFSET(B176,-1,0),A176)))))</f>
        <v>S</v>
      </c>
      <c r="D176" s="1" t="n">
        <f aca="false">IF(OR(C176="S",C176=0),0,IF(ISERROR(K176),J176,SMALL(J176:K176,1)))</f>
        <v>0</v>
      </c>
      <c r="E176" s="1" t="n">
        <f aca="true">IF($C176=1,OFFSET(E176,-1,0)+MAX(1,COUNTIF(QCI!$A$13:$A$15,OFFSET(ORÇAMENTO!E176,-1,0))),OFFSET(E176,-1,0))</f>
        <v>1</v>
      </c>
      <c r="F176" s="1" t="n">
        <f aca="true">IF($C176=1,0,IF($C176=2,OFFSET(F176,-1,0)+1,OFFSET(F176,-1,0)))</f>
        <v>45</v>
      </c>
      <c r="G176" s="1" t="n">
        <f aca="true">IF(AND($C176&lt;=2,$C176&lt;&gt;0),0,IF($C176=3,OFFSET(G176,-1,0)+1,OFFSET(G176,-1,0)))</f>
        <v>0</v>
      </c>
      <c r="H176" s="1" t="n">
        <f aca="true">IF(AND($C176&lt;=3,$C176&lt;&gt;0),0,IF($C176=4,OFFSET(H176,-1,0)+1,OFFSET(H176,-1,0)))</f>
        <v>0</v>
      </c>
      <c r="I176" s="1" t="n">
        <f aca="true">IF(AND($C176&lt;=4,$C176&lt;&gt;0),0,IF(AND($C176="S",$X176&gt;0),OFFSET(I176,-1,0)+1,OFFSET(I176,-1,0)))</f>
        <v>4</v>
      </c>
      <c r="J176" s="1" t="n">
        <f aca="true">IF(OR($C176="S",$C176=0),0,MATCH(0,OFFSET($D176,1,$C176,ROW($C$205)-ROW($C176)),0))</f>
        <v>0</v>
      </c>
      <c r="K176" s="1" t="n">
        <f aca="true">IF(OR($C176="S",$C176=0),0,MATCH(OFFSET($D176,0,$C176)+IF($C176&lt;&gt;1,1,COUNTIF(QCI!$A$13:$A$15,ORÇAMENTO!E176)),OFFSET($D176,1,$C176,ROW($C$205)-ROW($C176)),0))</f>
        <v>0</v>
      </c>
      <c r="L176" s="199" t="str">
        <f aca="false">IF(OR($X176&gt;0,$C176=1,$C176=2,$C176=3,$C176=4),"F","")</f>
        <v>F</v>
      </c>
      <c r="M176" s="200" t="s">
        <v>735</v>
      </c>
      <c r="N176" s="201" t="str">
        <f aca="false">CHOOSE(1+LOG(1+2*(C176=1)+4*(C176=2)+8*(C176=3)+16*(C176=4)+32*(C176="S"),2),"","Meta","Nível 2","Nível 3","Nível 4","Serviço")</f>
        <v>Serviço</v>
      </c>
      <c r="O176" s="202" t="str">
        <f aca="false">IF(OR($C176=0,$L176=""),"-",CONCATENATE(E176&amp;".",IF(AND($A$5&gt;=2,$C176&gt;=2),F176&amp;".",""),IF(AND($A$5&gt;=3,$C176&gt;=3),G176&amp;".",""),IF(AND($A$5&gt;=4,$C176&gt;=4),H176&amp;".",""),IF($C176="S",I176&amp;".","")))</f>
        <v>1.45.4.</v>
      </c>
      <c r="P176" s="203" t="s">
        <v>780</v>
      </c>
      <c r="Q176" s="204" t="n">
        <v>89731</v>
      </c>
      <c r="R176" s="205" t="str">
        <f aca="false">[4]PO!$D$203</f>
        <v>JOELHO 90 GRAUS, PVC, SERIE NORMAL, ESGOTO PREDIAL, DN 50 MM, JUNTA ELÁSTICA, FORNECIDO E INSTALADO EM RAMAL DE DESCARGA OU RAMAL DE ESGOTO SANITÁRIO. AF_08/2022</v>
      </c>
      <c r="S176" s="206" t="s">
        <v>666</v>
      </c>
      <c r="T176" s="207" t="n">
        <f aca="true">OFFSET(CÁLCULO!H$15,ROW($T176)-ROW(T$15),0)</f>
        <v>225</v>
      </c>
      <c r="U176" s="208" t="n">
        <f aca="false">[2]PO!$G$203</f>
        <v>14.57</v>
      </c>
      <c r="V176" s="209" t="s">
        <v>690</v>
      </c>
      <c r="W176" s="207" t="n">
        <f aca="false">IF($C176="S",ROUND(IF(TIPOORCAMENTO="Proposto",ORÇAMENTO.CustoUnitario*(1+$AH176),ORÇAMENTO.PrecoUnitarioLicitado),15-13*$AF$10),0)</f>
        <v>18.8</v>
      </c>
      <c r="X176" s="210" t="n">
        <f aca="true" t="array" ref="X176:X176">IF($C176="S",IF(OR(Import.TipoArredondamento&lt;&gt;"TransfereGOV",ACOMPANHAMENTO="BM"),VTOTAL1,SUM(OFFSET(CÁLCULO!$AQ$15,ROW($X176)-ROW($X$15),1):OFFSET(CÁLCULO!$BR$15,ROW($X176)-ROW($X$15),-1))),IF($C176=0,0,ROUND(SomaAgrup,15-13*$AF$11)))</f>
        <v>4230</v>
      </c>
      <c r="Y176" s="211" t="s">
        <v>781</v>
      </c>
      <c r="Z176" s="1" t="str">
        <f aca="false">IF(AND($C176="S",$X176&gt;0),IF(ISBLANK($Y176),"RA",LEFT($Y176,2)),"")</f>
        <v>RA</v>
      </c>
      <c r="AA176" s="212" t="n">
        <f aca="true">IF($C176="S",IF($Z176="CP",$X176,IF($Z176="RA",(($X176)*QCI!$AA$3),0)),SomaAgrup)</f>
        <v>469.451857360099</v>
      </c>
      <c r="AB176" s="213" t="n">
        <f aca="true">IF($C176="S",IF($Z176="OU",ROUND($X176,2),0),SomaAgrup)</f>
        <v>0</v>
      </c>
      <c r="AC176" s="214" t="e">
        <f aca="false" t="array" ref="AC176:AC176">IF($N176=""," ",
IF(AND($C176&lt;&gt;"S",OR($R176="",$R176="(digite a descrição aqui)")),"DESCRIÇÃO",
IF(AND($C176="S",OR($Q176&lt;&gt;"",$T176&gt;0,$U176&gt;0),$P176=""),"FONTE",
IF(AND($C176="S",$P176&lt;&gt;"",OR($T176&gt;0,$U176&gt;0),$Q176=""),"CÓDIGO",
IF(AND($C176="S",$P176&lt;&gt;"",$Q176&lt;&gt;"",$R176="(Código não identificado nas referências)"),"CÓDIGO N/ID",
IF(AND($C176="S",OR($R176="",$R176="(digite a descrição aqui)"),OR($Q176&lt;&gt;"",$T176&gt;0,$U176&gt;0)),"DESCRIÇÃO",
IF(AND($C176="S",$P176&lt;&gt;"",$Q176&lt;&gt;"",$S176=""),"UNIDADE",
IF(AND($C176="S",$P176&lt;&gt;"",$Q176&lt;&gt;"",$U176=0),"SEM CUSTO",
IF(AND(_xlfn.single(TIPOORCAMENTO)="Licitado",$AL176=0,$AN176&gt;0),"SEM PREÇO",
IF(AND($C176="S",$P176&lt;&gt;"",$Q176&lt;&gt;"",$U176&gt;0,$V176=0),"BDI",
IF(OR(AND(TIPOORCAMENTO="Proposto",LEFT($O$8,5)&lt;&gt;"(N/D:",$AG176&lt;&gt;"",ORÇAMENTO.CustoUnitario&gt;$AG176),AND(TIPOORCAMENTO="LICITADO",ORÇAMENTO.PrecoUnitarioLicitado&gt;$AN176)),"ACIMA REF.",
IF(AND($C176="S",$P176&lt;&gt;"",$Q176&lt;&gt;"",$T176=0,$U176&gt;0),"QUANT.",
IF(AND(Import.TipoArredondamento="TransfereGOV",$L176="F",$C176="S",LEN($Q176)&gt;13),"Código &gt;13",
IF(AND(Import.TipoArredondamento="TransfereGOV",$L176="F",$C176&lt;&gt;"S",LEN($R176)&gt;100),"Descrição &gt;100",
IF(AND(Import.TipoArredondamento="TransfereGOV",$L176="F",$C176="S",LEN($R176)&gt;500),"Descrição &gt;500",
IF(AND(Import.TipoArredondamento="TransfereGOV",$L176="F",$C176="S",LEFT(TRIM(UPPER($P176)),6)&lt;&gt;"SINAPI",ISNA(VLOOKUP(TRIM(UPPER($S176)),ListaTgov.Unidades,1,FALSE()))),"Unid. Não Disp",
" "))))))))))))))))</f>
        <v>#NAME?</v>
      </c>
      <c r="AD176" s="1" t="str">
        <f aca="true">IF(C176&lt;=CRONO.NivelExibicao,MAX($AD$15:OFFSET(AD176,-1,0))+IF($C176&lt;&gt;1,1,MAX(1,COUNTIF(QCI!$A$13:$A$15,OFFSET($E176,-1,0)))),"")</f>
        <v/>
      </c>
      <c r="AE176" s="50" t="str">
        <f aca="false">IF(AND($C176="S",ORÇAMENTO.CodBarra&lt;&gt;""),IF(ORÇAMENTO.Fonte="",ORÇAMENTO.CodBarra,CONCATENATE(ORÇAMENTO.Fonte," ",ORÇAMENTO.CodBarra)))</f>
        <v>SINAPI 89731</v>
      </c>
      <c r="AF176" s="65" t="str">
        <f aca="true">IF(ISERROR(INDIRECT(ORÇAMENTO.BancoRef)),"(abra o arquivo 'Referência "&amp;Excel_BuiltIn_Database&amp;".xlsm)",IF(OR($C176&lt;&gt;"S",ORÇAMENTO.CodBarra=""),"(Sem Código)",IF(ISERROR(MATCH($AE176,INDIRECT(ORÇAMENTO.BancoRef),0)),"(Código não identificado nas referências)",MATCH($AE176,INDIRECT(ORÇAMENTO.BancoRef),0))))</f>
        <v>(abra o arquivo 'Referência 07-2025.xlsm)</v>
      </c>
      <c r="AG176" s="215" t="n">
        <f aca="true">ROUND(IF(DESONERACAO="sim",REFERENCIA.Desonerado,REFERENCIA.NaoDesonerado),2)</f>
        <v>0</v>
      </c>
      <c r="AH176" s="216" t="n">
        <f aca="false">ROUND(IF(ISNUMBER(ORÇAMENTO.OpcaoBDI),ORÇAMENTO.OpcaoBDI,IF(LEFT(ORÇAMENTO.OpcaoBDI,3)="BDI",HLOOKUP(ORÇAMENTO.OpcaoBDI,$F$4:$H$5,2,FALSE()),0)),15-11*$AF$9)</f>
        <v>0.2904</v>
      </c>
      <c r="AJ176" s="217"/>
      <c r="AL176" s="218"/>
      <c r="AM176" s="219" t="n">
        <f aca="false">$X176</f>
        <v>4230</v>
      </c>
      <c r="AN176" s="220" t="n">
        <f aca="false">ROUND(ORÇAMENTO.CustoUnitario*(1+$AH176),2)</f>
        <v>18.8</v>
      </c>
    </row>
    <row r="177" customFormat="false" ht="35.05" hidden="false" customHeight="false" outlineLevel="0" collapsed="false">
      <c r="A177" s="1" t="str">
        <f aca="false">CHOOSE(1+LOG(1+2*(ORÇAMENTO.Nivel="Meta")+4*(ORÇAMENTO.Nivel="Nível 2")+8*(ORÇAMENTO.Nivel="Nível 3")+16*(ORÇAMENTO.Nivel="Nível 4")+32*(ORÇAMENTO.Nivel="Serviço"),2),0,1,2,3,4,"S")</f>
        <v>S</v>
      </c>
      <c r="B177" s="1" t="n">
        <f aca="true">IF(OR(C177="s",C177=0),OFFSET(B177,-1,0),C177)</f>
        <v>2</v>
      </c>
      <c r="C177" s="1" t="str">
        <f aca="true">IF(OFFSET(C177,-1,0)="L",1,IF(OFFSET(C177,-1,0)=1,2,IF(OR(A177="s",A177=0),"S",IF(AND(OFFSET(C177,-1,0)=2,A177=4),3,IF(AND(OR(OFFSET(C177,-1,0)="s",OFFSET(C177,-1,0)=0),A177&lt;&gt;"s",A177&gt;OFFSET(B177,-1,0)),OFFSET(B177,-1,0),A177)))))</f>
        <v>S</v>
      </c>
      <c r="D177" s="1" t="n">
        <f aca="false">IF(OR(C177="S",C177=0),0,IF(ISERROR(K177),J177,SMALL(J177:K177,1)))</f>
        <v>0</v>
      </c>
      <c r="E177" s="1" t="n">
        <f aca="true">IF($C177=1,OFFSET(E177,-1,0)+MAX(1,COUNTIF(QCI!$A$13:$A$15,OFFSET(ORÇAMENTO!E177,-1,0))),OFFSET(E177,-1,0))</f>
        <v>1</v>
      </c>
      <c r="F177" s="1" t="n">
        <f aca="true">IF($C177=1,0,IF($C177=2,OFFSET(F177,-1,0)+1,OFFSET(F177,-1,0)))</f>
        <v>45</v>
      </c>
      <c r="G177" s="1" t="n">
        <f aca="true">IF(AND($C177&lt;=2,$C177&lt;&gt;0),0,IF($C177=3,OFFSET(G177,-1,0)+1,OFFSET(G177,-1,0)))</f>
        <v>0</v>
      </c>
      <c r="H177" s="1" t="n">
        <f aca="true">IF(AND($C177&lt;=3,$C177&lt;&gt;0),0,IF($C177=4,OFFSET(H177,-1,0)+1,OFFSET(H177,-1,0)))</f>
        <v>0</v>
      </c>
      <c r="I177" s="1" t="n">
        <f aca="true">IF(AND($C177&lt;=4,$C177&lt;&gt;0),0,IF(AND($C177="S",$X177&gt;0),OFFSET(I177,-1,0)+1,OFFSET(I177,-1,0)))</f>
        <v>5</v>
      </c>
      <c r="J177" s="1" t="n">
        <f aca="true">IF(OR($C177="S",$C177=0),0,MATCH(0,OFFSET($D177,1,$C177,ROW($C$205)-ROW($C177)),0))</f>
        <v>0</v>
      </c>
      <c r="K177" s="1" t="n">
        <f aca="true">IF(OR($C177="S",$C177=0),0,MATCH(OFFSET($D177,0,$C177)+IF($C177&lt;&gt;1,1,COUNTIF(QCI!$A$13:$A$15,ORÇAMENTO!E177)),OFFSET($D177,1,$C177,ROW($C$205)-ROW($C177)),0))</f>
        <v>0</v>
      </c>
      <c r="L177" s="199" t="str">
        <f aca="false">IF(OR($X177&gt;0,$C177=1,$C177=2,$C177=3,$C177=4),"F","")</f>
        <v>F</v>
      </c>
      <c r="M177" s="200" t="s">
        <v>735</v>
      </c>
      <c r="N177" s="201" t="str">
        <f aca="false">CHOOSE(1+LOG(1+2*(C177=1)+4*(C177=2)+8*(C177=3)+16*(C177=4)+32*(C177="S"),2),"","Meta","Nível 2","Nível 3","Nível 4","Serviço")</f>
        <v>Serviço</v>
      </c>
      <c r="O177" s="202" t="str">
        <f aca="false">IF(OR($C177=0,$L177=""),"-",CONCATENATE(E177&amp;".",IF(AND($A$5&gt;=2,$C177&gt;=2),F177&amp;".",""),IF(AND($A$5&gt;=3,$C177&gt;=3),G177&amp;".",""),IF(AND($A$5&gt;=4,$C177&gt;=4),H177&amp;".",""),IF($C177="S",I177&amp;".","")))</f>
        <v>1.45.5.</v>
      </c>
      <c r="P177" s="203" t="s">
        <v>780</v>
      </c>
      <c r="Q177" s="204" t="n">
        <v>89744</v>
      </c>
      <c r="R177" s="205" t="str">
        <f aca="false">[4]PO!$D$204</f>
        <v>JOELHO 90 GRAUS, PVC, SERIE NORMAL, ESGOTO PREDIAL, DN 100 MM, JUNTA ELÁSTICA, FORNECIDO E INSTALADO EM RAMAL DE DESCARGA OU RAMAL DE ESGOTO SANITÁRIO. AF_08/2022</v>
      </c>
      <c r="S177" s="206" t="s">
        <v>666</v>
      </c>
      <c r="T177" s="207" t="n">
        <f aca="true">OFFSET(CÁLCULO!H$15,ROW($T177)-ROW(T$15),0)</f>
        <v>25</v>
      </c>
      <c r="U177" s="208" t="n">
        <v>26.78</v>
      </c>
      <c r="V177" s="209" t="s">
        <v>690</v>
      </c>
      <c r="W177" s="207" t="n">
        <f aca="false">IF($C177="S",ROUND(IF(TIPOORCAMENTO="Proposto",ORÇAMENTO.CustoUnitario*(1+$AH177),ORÇAMENTO.PrecoUnitarioLicitado),15-13*$AF$10),0)</f>
        <v>34.56</v>
      </c>
      <c r="X177" s="210" t="n">
        <f aca="true" t="array" ref="X177:X177">IF($C177="S",IF(OR(Import.TipoArredondamento&lt;&gt;"TransfereGOV",ACOMPANHAMENTO="BM"),VTOTAL1,SUM(OFFSET(CÁLCULO!$AQ$15,ROW($X177)-ROW($X$15),1):OFFSET(CÁLCULO!$BR$15,ROW($X177)-ROW($X$15),-1))),IF($C177=0,0,ROUND(SomaAgrup,15-13*$AF$11)))</f>
        <v>864</v>
      </c>
      <c r="Y177" s="211" t="s">
        <v>781</v>
      </c>
      <c r="Z177" s="1" t="str">
        <f aca="false">IF(AND($C177="S",$X177&gt;0),IF(ISBLANK($Y177),"RA",LEFT($Y177,2)),"")</f>
        <v>RA</v>
      </c>
      <c r="AA177" s="212" t="n">
        <f aca="true">IF($C177="S",IF($Z177="CP",$X177,IF($Z177="RA",(($X177)*QCI!$AA$3),0)),SomaAgrup)</f>
        <v>95.8880389501479</v>
      </c>
      <c r="AB177" s="213" t="n">
        <f aca="true">IF($C177="S",IF($Z177="OU",ROUND($X177,2),0),SomaAgrup)</f>
        <v>0</v>
      </c>
      <c r="AC177" s="214" t="e">
        <f aca="false" t="array" ref="AC177:AC177">IF($N177=""," ",
IF(AND($C177&lt;&gt;"S",OR($R177="",$R177="(digite a descrição aqui)")),"DESCRIÇÃO",
IF(AND($C177="S",OR($Q177&lt;&gt;"",$T177&gt;0,$U177&gt;0),$P177=""),"FONTE",
IF(AND($C177="S",$P177&lt;&gt;"",OR($T177&gt;0,$U177&gt;0),$Q177=""),"CÓDIGO",
IF(AND($C177="S",$P177&lt;&gt;"",$Q177&lt;&gt;"",$R177="(Código não identificado nas referências)"),"CÓDIGO N/ID",
IF(AND($C177="S",OR($R177="",$R177="(digite a descrição aqui)"),OR($Q177&lt;&gt;"",$T177&gt;0,$U177&gt;0)),"DESCRIÇÃO",
IF(AND($C177="S",$P177&lt;&gt;"",$Q177&lt;&gt;"",$S177=""),"UNIDADE",
IF(AND($C177="S",$P177&lt;&gt;"",$Q177&lt;&gt;"",$U177=0),"SEM CUSTO",
IF(AND(_xlfn.single(TIPOORCAMENTO)="Licitado",$AL177=0,$AN177&gt;0),"SEM PREÇO",
IF(AND($C177="S",$P177&lt;&gt;"",$Q177&lt;&gt;"",$U177&gt;0,$V177=0),"BDI",
IF(OR(AND(TIPOORCAMENTO="Proposto",LEFT($O$8,5)&lt;&gt;"(N/D:",$AG177&lt;&gt;"",ORÇAMENTO.CustoUnitario&gt;$AG177),AND(TIPOORCAMENTO="LICITADO",ORÇAMENTO.PrecoUnitarioLicitado&gt;$AN177)),"ACIMA REF.",
IF(AND($C177="S",$P177&lt;&gt;"",$Q177&lt;&gt;"",$T177=0,$U177&gt;0),"QUANT.",
IF(AND(Import.TipoArredondamento="TransfereGOV",$L177="F",$C177="S",LEN($Q177)&gt;13),"Código &gt;13",
IF(AND(Import.TipoArredondamento="TransfereGOV",$L177="F",$C177&lt;&gt;"S",LEN($R177)&gt;100),"Descrição &gt;100",
IF(AND(Import.TipoArredondamento="TransfereGOV",$L177="F",$C177="S",LEN($R177)&gt;500),"Descrição &gt;500",
IF(AND(Import.TipoArredondamento="TransfereGOV",$L177="F",$C177="S",LEFT(TRIM(UPPER($P177)),6)&lt;&gt;"SINAPI",ISNA(VLOOKUP(TRIM(UPPER($S177)),ListaTgov.Unidades,1,FALSE()))),"Unid. Não Disp",
" "))))))))))))))))</f>
        <v>#NAME?</v>
      </c>
      <c r="AD177" s="1" t="str">
        <f aca="true">IF(C177&lt;=CRONO.NivelExibicao,MAX($AD$15:OFFSET(AD177,-1,0))+IF($C177&lt;&gt;1,1,MAX(1,COUNTIF(QCI!$A$13:$A$15,OFFSET($E177,-1,0)))),"")</f>
        <v/>
      </c>
      <c r="AE177" s="50" t="str">
        <f aca="false">IF(AND($C177="S",ORÇAMENTO.CodBarra&lt;&gt;""),IF(ORÇAMENTO.Fonte="",ORÇAMENTO.CodBarra,CONCATENATE(ORÇAMENTO.Fonte," ",ORÇAMENTO.CodBarra)))</f>
        <v>SINAPI 89744</v>
      </c>
      <c r="AF177" s="65" t="str">
        <f aca="true">IF(ISERROR(INDIRECT(ORÇAMENTO.BancoRef)),"(abra o arquivo 'Referência "&amp;Excel_BuiltIn_Database&amp;".xlsm)",IF(OR($C177&lt;&gt;"S",ORÇAMENTO.CodBarra=""),"(Sem Código)",IF(ISERROR(MATCH($AE177,INDIRECT(ORÇAMENTO.BancoRef),0)),"(Código não identificado nas referências)",MATCH($AE177,INDIRECT(ORÇAMENTO.BancoRef),0))))</f>
        <v>(abra o arquivo 'Referência 07-2025.xlsm)</v>
      </c>
      <c r="AG177" s="215" t="n">
        <f aca="true">ROUND(IF(DESONERACAO="sim",REFERENCIA.Desonerado,REFERENCIA.NaoDesonerado),2)</f>
        <v>0</v>
      </c>
      <c r="AH177" s="216" t="n">
        <f aca="false">ROUND(IF(ISNUMBER(ORÇAMENTO.OpcaoBDI),ORÇAMENTO.OpcaoBDI,IF(LEFT(ORÇAMENTO.OpcaoBDI,3)="BDI",HLOOKUP(ORÇAMENTO.OpcaoBDI,$F$4:$H$5,2,FALSE()),0)),15-11*$AF$9)</f>
        <v>0.2904</v>
      </c>
      <c r="AJ177" s="217"/>
      <c r="AL177" s="218"/>
      <c r="AM177" s="219" t="n">
        <f aca="false">$X177</f>
        <v>864</v>
      </c>
      <c r="AN177" s="220" t="n">
        <f aca="false">ROUND(ORÇAMENTO.CustoUnitario*(1+$AH177),2)</f>
        <v>34.56</v>
      </c>
    </row>
    <row r="178" customFormat="false" ht="35.05" hidden="false" customHeight="false" outlineLevel="0" collapsed="false">
      <c r="A178" s="1" t="str">
        <f aca="false">CHOOSE(1+LOG(1+2*(ORÇAMENTO.Nivel="Meta")+4*(ORÇAMENTO.Nivel="Nível 2")+8*(ORÇAMENTO.Nivel="Nível 3")+16*(ORÇAMENTO.Nivel="Nível 4")+32*(ORÇAMENTO.Nivel="Serviço"),2),0,1,2,3,4,"S")</f>
        <v>S</v>
      </c>
      <c r="B178" s="1" t="n">
        <f aca="true">IF(OR(C178="s",C178=0),OFFSET(B178,-1,0),C178)</f>
        <v>2</v>
      </c>
      <c r="C178" s="1" t="str">
        <f aca="true">IF(OFFSET(C178,-1,0)="L",1,IF(OFFSET(C178,-1,0)=1,2,IF(OR(A178="s",A178=0),"S",IF(AND(OFFSET(C178,-1,0)=2,A178=4),3,IF(AND(OR(OFFSET(C178,-1,0)="s",OFFSET(C178,-1,0)=0),A178&lt;&gt;"s",A178&gt;OFFSET(B178,-1,0)),OFFSET(B178,-1,0),A178)))))</f>
        <v>S</v>
      </c>
      <c r="D178" s="1" t="n">
        <f aca="false">IF(OR(C178="S",C178=0),0,IF(ISERROR(K178),J178,SMALL(J178:K178,1)))</f>
        <v>0</v>
      </c>
      <c r="E178" s="1" t="n">
        <f aca="true">IF($C178=1,OFFSET(E178,-1,0)+MAX(1,COUNTIF(QCI!$A$13:$A$15,OFFSET(ORÇAMENTO!E178,-1,0))),OFFSET(E178,-1,0))</f>
        <v>1</v>
      </c>
      <c r="F178" s="1" t="n">
        <f aca="true">IF($C178=1,0,IF($C178=2,OFFSET(F178,-1,0)+1,OFFSET(F178,-1,0)))</f>
        <v>45</v>
      </c>
      <c r="G178" s="1" t="n">
        <f aca="true">IF(AND($C178&lt;=2,$C178&lt;&gt;0),0,IF($C178=3,OFFSET(G178,-1,0)+1,OFFSET(G178,-1,0)))</f>
        <v>0</v>
      </c>
      <c r="H178" s="1" t="n">
        <f aca="true">IF(AND($C178&lt;=3,$C178&lt;&gt;0),0,IF($C178=4,OFFSET(H178,-1,0)+1,OFFSET(H178,-1,0)))</f>
        <v>0</v>
      </c>
      <c r="I178" s="1" t="n">
        <f aca="true">IF(AND($C178&lt;=4,$C178&lt;&gt;0),0,IF(AND($C178="S",$X178&gt;0),OFFSET(I178,-1,0)+1,OFFSET(I178,-1,0)))</f>
        <v>6</v>
      </c>
      <c r="J178" s="1" t="n">
        <f aca="true">IF(OR($C178="S",$C178=0),0,MATCH(0,OFFSET($D178,1,$C178,ROW($C$205)-ROW($C178)),0))</f>
        <v>0</v>
      </c>
      <c r="K178" s="1" t="n">
        <f aca="true">IF(OR($C178="S",$C178=0),0,MATCH(OFFSET($D178,0,$C178)+IF($C178&lt;&gt;1,1,COUNTIF(QCI!$A$13:$A$15,ORÇAMENTO!E178)),OFFSET($D178,1,$C178,ROW($C$205)-ROW($C178)),0))</f>
        <v>0</v>
      </c>
      <c r="L178" s="199" t="str">
        <f aca="false">IF(OR($X178&gt;0,$C178=1,$C178=2,$C178=3,$C178=4),"F","")</f>
        <v>F</v>
      </c>
      <c r="M178" s="200" t="s">
        <v>735</v>
      </c>
      <c r="N178" s="201" t="str">
        <f aca="false">CHOOSE(1+LOG(1+2*(C178=1)+4*(C178=2)+8*(C178=3)+16*(C178=4)+32*(C178="S"),2),"","Meta","Nível 2","Nível 3","Nível 4","Serviço")</f>
        <v>Serviço</v>
      </c>
      <c r="O178" s="202" t="str">
        <f aca="false">IF(OR($C178=0,$L178=""),"-",CONCATENATE(E178&amp;".",IF(AND($A$5&gt;=2,$C178&gt;=2),F178&amp;".",""),IF(AND($A$5&gt;=3,$C178&gt;=3),G178&amp;".",""),IF(AND($A$5&gt;=4,$C178&gt;=4),H178&amp;".",""),IF($C178="S",I178&amp;".","")))</f>
        <v>1.45.6.</v>
      </c>
      <c r="P178" s="203" t="s">
        <v>780</v>
      </c>
      <c r="Q178" s="204" t="n">
        <v>89784</v>
      </c>
      <c r="R178" s="205" t="str">
        <f aca="false">[4]PO!$D$205</f>
        <v>TE, PVC, SERIE NORMAL, ESGOTO PREDIAL, DN 50 X 50 MM, JUNTA ELÁSTICA, FORNECIDO E INSTALADO EM RAMAL DE DESCARGA OU RAMAL DE ESGOTO SANITÁRIO. AF_08/2022</v>
      </c>
      <c r="S178" s="206" t="s">
        <v>666</v>
      </c>
      <c r="T178" s="207" t="n">
        <f aca="true">OFFSET(CÁLCULO!H$15,ROW($T178)-ROW(T$15),0)</f>
        <v>25</v>
      </c>
      <c r="U178" s="208" t="n">
        <f aca="false">[2]PO!$G$205</f>
        <v>23.59</v>
      </c>
      <c r="V178" s="209" t="s">
        <v>690</v>
      </c>
      <c r="W178" s="207" t="n">
        <f aca="false">IF($C178="S",ROUND(IF(TIPOORCAMENTO="Proposto",ORÇAMENTO.CustoUnitario*(1+$AH178),ORÇAMENTO.PrecoUnitarioLicitado),15-13*$AF$10),0)</f>
        <v>30.44</v>
      </c>
      <c r="X178" s="210" t="n">
        <f aca="true" t="array" ref="X178:X178">IF($C178="S",IF(OR(Import.TipoArredondamento&lt;&gt;"TransfereGOV",ACOMPANHAMENTO="BM"),VTOTAL1,SUM(OFFSET(CÁLCULO!$AQ$15,ROW($X178)-ROW($X$15),1):OFFSET(CÁLCULO!$BR$15,ROW($X178)-ROW($X$15),-1))),IF($C178=0,0,ROUND(SomaAgrup,15-13*$AF$11)))</f>
        <v>761</v>
      </c>
      <c r="Y178" s="211" t="s">
        <v>781</v>
      </c>
      <c r="Z178" s="1" t="str">
        <f aca="false">IF(AND($C178="S",$X178&gt;0),IF(ISBLANK($Y178),"RA",LEFT($Y178,2)),"")</f>
        <v>RA</v>
      </c>
      <c r="AA178" s="212" t="n">
        <f aca="true">IF($C178="S",IF($Z178="CP",$X178,IF($Z178="RA",(($X178)*QCI!$AA$3),0)),SomaAgrup)</f>
        <v>84.4569417141928</v>
      </c>
      <c r="AB178" s="213" t="n">
        <f aca="true">IF($C178="S",IF($Z178="OU",ROUND($X178,2),0),SomaAgrup)</f>
        <v>0</v>
      </c>
      <c r="AC178" s="214" t="e">
        <f aca="false" t="array" ref="AC178:AC178">IF($N178=""," ",
IF(AND($C178&lt;&gt;"S",OR($R178="",$R178="(digite a descrição aqui)")),"DESCRIÇÃO",
IF(AND($C178="S",OR($Q178&lt;&gt;"",$T178&gt;0,$U178&gt;0),$P178=""),"FONTE",
IF(AND($C178="S",$P178&lt;&gt;"",OR($T178&gt;0,$U178&gt;0),$Q178=""),"CÓDIGO",
IF(AND($C178="S",$P178&lt;&gt;"",$Q178&lt;&gt;"",$R178="(Código não identificado nas referências)"),"CÓDIGO N/ID",
IF(AND($C178="S",OR($R178="",$R178="(digite a descrição aqui)"),OR($Q178&lt;&gt;"",$T178&gt;0,$U178&gt;0)),"DESCRIÇÃO",
IF(AND($C178="S",$P178&lt;&gt;"",$Q178&lt;&gt;"",$S178=""),"UNIDADE",
IF(AND($C178="S",$P178&lt;&gt;"",$Q178&lt;&gt;"",$U178=0),"SEM CUSTO",
IF(AND(_xlfn.single(TIPOORCAMENTO)="Licitado",$AL178=0,$AN178&gt;0),"SEM PREÇO",
IF(AND($C178="S",$P178&lt;&gt;"",$Q178&lt;&gt;"",$U178&gt;0,$V178=0),"BDI",
IF(OR(AND(TIPOORCAMENTO="Proposto",LEFT($O$8,5)&lt;&gt;"(N/D:",$AG178&lt;&gt;"",ORÇAMENTO.CustoUnitario&gt;$AG178),AND(TIPOORCAMENTO="LICITADO",ORÇAMENTO.PrecoUnitarioLicitado&gt;$AN178)),"ACIMA REF.",
IF(AND($C178="S",$P178&lt;&gt;"",$Q178&lt;&gt;"",$T178=0,$U178&gt;0),"QUANT.",
IF(AND(Import.TipoArredondamento="TransfereGOV",$L178="F",$C178="S",LEN($Q178)&gt;13),"Código &gt;13",
IF(AND(Import.TipoArredondamento="TransfereGOV",$L178="F",$C178&lt;&gt;"S",LEN($R178)&gt;100),"Descrição &gt;100",
IF(AND(Import.TipoArredondamento="TransfereGOV",$L178="F",$C178="S",LEN($R178)&gt;500),"Descrição &gt;500",
IF(AND(Import.TipoArredondamento="TransfereGOV",$L178="F",$C178="S",LEFT(TRIM(UPPER($P178)),6)&lt;&gt;"SINAPI",ISNA(VLOOKUP(TRIM(UPPER($S178)),ListaTgov.Unidades,1,FALSE()))),"Unid. Não Disp",
" "))))))))))))))))</f>
        <v>#NAME?</v>
      </c>
      <c r="AD178" s="1" t="str">
        <f aca="true">IF(C178&lt;=CRONO.NivelExibicao,MAX($AD$15:OFFSET(AD178,-1,0))+IF($C178&lt;&gt;1,1,MAX(1,COUNTIF(QCI!$A$13:$A$15,OFFSET($E178,-1,0)))),"")</f>
        <v/>
      </c>
      <c r="AE178" s="50" t="str">
        <f aca="false">IF(AND($C178="S",ORÇAMENTO.CodBarra&lt;&gt;""),IF(ORÇAMENTO.Fonte="",ORÇAMENTO.CodBarra,CONCATENATE(ORÇAMENTO.Fonte," ",ORÇAMENTO.CodBarra)))</f>
        <v>SINAPI 89784</v>
      </c>
      <c r="AF178" s="65" t="str">
        <f aca="true">IF(ISERROR(INDIRECT(ORÇAMENTO.BancoRef)),"(abra o arquivo 'Referência "&amp;Excel_BuiltIn_Database&amp;".xlsm)",IF(OR($C178&lt;&gt;"S",ORÇAMENTO.CodBarra=""),"(Sem Código)",IF(ISERROR(MATCH($AE178,INDIRECT(ORÇAMENTO.BancoRef),0)),"(Código não identificado nas referências)",MATCH($AE178,INDIRECT(ORÇAMENTO.BancoRef),0))))</f>
        <v>(abra o arquivo 'Referência 07-2025.xlsm)</v>
      </c>
      <c r="AG178" s="215" t="n">
        <f aca="true">ROUND(IF(DESONERACAO="sim",REFERENCIA.Desonerado,REFERENCIA.NaoDesonerado),2)</f>
        <v>0</v>
      </c>
      <c r="AH178" s="216" t="n">
        <f aca="false">ROUND(IF(ISNUMBER(ORÇAMENTO.OpcaoBDI),ORÇAMENTO.OpcaoBDI,IF(LEFT(ORÇAMENTO.OpcaoBDI,3)="BDI",HLOOKUP(ORÇAMENTO.OpcaoBDI,$F$4:$H$5,2,FALSE()),0)),15-11*$AF$9)</f>
        <v>0.2904</v>
      </c>
      <c r="AJ178" s="217"/>
      <c r="AL178" s="218"/>
      <c r="AM178" s="219" t="n">
        <f aca="false">$X178</f>
        <v>761</v>
      </c>
      <c r="AN178" s="220" t="n">
        <f aca="false">ROUND(ORÇAMENTO.CustoUnitario*(1+$AH178),2)</f>
        <v>30.44</v>
      </c>
    </row>
    <row r="179" customFormat="false" ht="46.25" hidden="false" customHeight="false" outlineLevel="0" collapsed="false">
      <c r="A179" s="1" t="str">
        <f aca="false">CHOOSE(1+LOG(1+2*(ORÇAMENTO.Nivel="Meta")+4*(ORÇAMENTO.Nivel="Nível 2")+8*(ORÇAMENTO.Nivel="Nível 3")+16*(ORÇAMENTO.Nivel="Nível 4")+32*(ORÇAMENTO.Nivel="Serviço"),2),0,1,2,3,4,"S")</f>
        <v>S</v>
      </c>
      <c r="B179" s="1" t="n">
        <f aca="true">IF(OR(C179="s",C179=0),OFFSET(B179,-1,0),C179)</f>
        <v>2</v>
      </c>
      <c r="C179" s="1" t="str">
        <f aca="true">IF(OFFSET(C179,-1,0)="L",1,IF(OFFSET(C179,-1,0)=1,2,IF(OR(A179="s",A179=0),"S",IF(AND(OFFSET(C179,-1,0)=2,A179=4),3,IF(AND(OR(OFFSET(C179,-1,0)="s",OFFSET(C179,-1,0)=0),A179&lt;&gt;"s",A179&gt;OFFSET(B179,-1,0)),OFFSET(B179,-1,0),A179)))))</f>
        <v>S</v>
      </c>
      <c r="D179" s="1" t="n">
        <f aca="false">IF(OR(C179="S",C179=0),0,IF(ISERROR(K179),J179,SMALL(J179:K179,1)))</f>
        <v>0</v>
      </c>
      <c r="E179" s="1" t="n">
        <f aca="true">IF($C179=1,OFFSET(E179,-1,0)+MAX(1,COUNTIF(QCI!$A$13:$A$15,OFFSET(ORÇAMENTO!E179,-1,0))),OFFSET(E179,-1,0))</f>
        <v>1</v>
      </c>
      <c r="F179" s="1" t="n">
        <f aca="true">IF($C179=1,0,IF($C179=2,OFFSET(F179,-1,0)+1,OFFSET(F179,-1,0)))</f>
        <v>45</v>
      </c>
      <c r="G179" s="1" t="n">
        <f aca="true">IF(AND($C179&lt;=2,$C179&lt;&gt;0),0,IF($C179=3,OFFSET(G179,-1,0)+1,OFFSET(G179,-1,0)))</f>
        <v>0</v>
      </c>
      <c r="H179" s="1" t="n">
        <f aca="true">IF(AND($C179&lt;=3,$C179&lt;&gt;0),0,IF($C179=4,OFFSET(H179,-1,0)+1,OFFSET(H179,-1,0)))</f>
        <v>0</v>
      </c>
      <c r="I179" s="1" t="n">
        <f aca="true">IF(AND($C179&lt;=4,$C179&lt;&gt;0),0,IF(AND($C179="S",$X179&gt;0),OFFSET(I179,-1,0)+1,OFFSET(I179,-1,0)))</f>
        <v>7</v>
      </c>
      <c r="J179" s="1" t="n">
        <f aca="true">IF(OR($C179="S",$C179=0),0,MATCH(0,OFFSET($D179,1,$C179,ROW($C$205)-ROW($C179)),0))</f>
        <v>0</v>
      </c>
      <c r="K179" s="1" t="n">
        <f aca="true">IF(OR($C179="S",$C179=0),0,MATCH(OFFSET($D179,0,$C179)+IF($C179&lt;&gt;1,1,COUNTIF(QCI!$A$13:$A$15,ORÇAMENTO!E179)),OFFSET($D179,1,$C179,ROW($C$205)-ROW($C179)),0))</f>
        <v>0</v>
      </c>
      <c r="L179" s="199" t="str">
        <f aca="false">IF(OR($X179&gt;0,$C179=1,$C179=2,$C179=3,$C179=4),"F","")</f>
        <v>F</v>
      </c>
      <c r="M179" s="200" t="s">
        <v>735</v>
      </c>
      <c r="N179" s="201" t="str">
        <f aca="false">CHOOSE(1+LOG(1+2*(C179=1)+4*(C179=2)+8*(C179=3)+16*(C179=4)+32*(C179="S"),2),"","Meta","Nível 2","Nível 3","Nível 4","Serviço")</f>
        <v>Serviço</v>
      </c>
      <c r="O179" s="202" t="str">
        <f aca="false">IF(OR($C179=0,$L179=""),"-",CONCATENATE(E179&amp;".",IF(AND($A$5&gt;=2,$C179&gt;=2),F179&amp;".",""),IF(AND($A$5&gt;=3,$C179&gt;=3),G179&amp;".",""),IF(AND($A$5&gt;=4,$C179&gt;=4),H179&amp;".",""),IF($C179="S",I179&amp;".","")))</f>
        <v>1.45.7.</v>
      </c>
      <c r="P179" s="203" t="s">
        <v>780</v>
      </c>
      <c r="Q179" s="204" t="n">
        <v>104345</v>
      </c>
      <c r="R179" s="205" t="str">
        <f aca="false">[4]PO!$D$206</f>
        <v>JUNÇÃO DE REDUÇÃO INVERTIDA, PVC, SÉRIE NORMAL, ESGOTO PREDIAL, DN 100 X 50 MM, JUNTA ELÁSTICA, FORNECIDO E INSTALADO EM RAMAL DE DESCARGA OU RAMAL DE ESGOTO SANITÁRIO. AF_08/2022</v>
      </c>
      <c r="S179" s="206" t="s">
        <v>666</v>
      </c>
      <c r="T179" s="207" t="n">
        <f aca="true">OFFSET(CÁLCULO!H$15,ROW($T179)-ROW(T$15),0)</f>
        <v>25</v>
      </c>
      <c r="U179" s="208" t="n">
        <v>41.71</v>
      </c>
      <c r="V179" s="209" t="s">
        <v>690</v>
      </c>
      <c r="W179" s="207" t="n">
        <f aca="false">IF($C179="S",ROUND(IF(TIPOORCAMENTO="Proposto",ORÇAMENTO.CustoUnitario*(1+$AH179),ORÇAMENTO.PrecoUnitarioLicitado),15-13*$AF$10),0)</f>
        <v>53.82</v>
      </c>
      <c r="X179" s="210" t="n">
        <f aca="true" t="array" ref="X179:X179">IF($C179="S",IF(OR(Import.TipoArredondamento&lt;&gt;"TransfereGOV",ACOMPANHAMENTO="BM"),VTOTAL1,SUM(OFFSET(CÁLCULO!$AQ$15,ROW($X179)-ROW($X$15),1):OFFSET(CÁLCULO!$BR$15,ROW($X179)-ROW($X$15),-1))),IF($C179=0,0,ROUND(SomaAgrup,15-13*$AF$11)))</f>
        <v>1345.5</v>
      </c>
      <c r="Y179" s="211" t="s">
        <v>781</v>
      </c>
      <c r="Z179" s="1" t="str">
        <f aca="false">IF(AND($C179="S",$X179&gt;0),IF(ISBLANK($Y179),"RA",LEFT($Y179,2)),"")</f>
        <v>RA</v>
      </c>
      <c r="AA179" s="212" t="n">
        <f aca="true">IF($C179="S",IF($Z179="CP",$X179,IF($Z179="RA",(($X179)*QCI!$AA$3),0)),SomaAgrup)</f>
        <v>149.325643990074</v>
      </c>
      <c r="AB179" s="213" t="n">
        <f aca="true">IF($C179="S",IF($Z179="OU",ROUND($X179,2),0),SomaAgrup)</f>
        <v>0</v>
      </c>
      <c r="AC179" s="214" t="e">
        <f aca="false" t="array" ref="AC179:AC179">IF($N179=""," ",
IF(AND($C179&lt;&gt;"S",OR($R179="",$R179="(digite a descrição aqui)")),"DESCRIÇÃO",
IF(AND($C179="S",OR($Q179&lt;&gt;"",$T179&gt;0,$U179&gt;0),$P179=""),"FONTE",
IF(AND($C179="S",$P179&lt;&gt;"",OR($T179&gt;0,$U179&gt;0),$Q179=""),"CÓDIGO",
IF(AND($C179="S",$P179&lt;&gt;"",$Q179&lt;&gt;"",$R179="(Código não identificado nas referências)"),"CÓDIGO N/ID",
IF(AND($C179="S",OR($R179="",$R179="(digite a descrição aqui)"),OR($Q179&lt;&gt;"",$T179&gt;0,$U179&gt;0)),"DESCRIÇÃO",
IF(AND($C179="S",$P179&lt;&gt;"",$Q179&lt;&gt;"",$S179=""),"UNIDADE",
IF(AND($C179="S",$P179&lt;&gt;"",$Q179&lt;&gt;"",$U179=0),"SEM CUSTO",
IF(AND(_xlfn.single(TIPOORCAMENTO)="Licitado",$AL179=0,$AN179&gt;0),"SEM PREÇO",
IF(AND($C179="S",$P179&lt;&gt;"",$Q179&lt;&gt;"",$U179&gt;0,$V179=0),"BDI",
IF(OR(AND(TIPOORCAMENTO="Proposto",LEFT($O$8,5)&lt;&gt;"(N/D:",$AG179&lt;&gt;"",ORÇAMENTO.CustoUnitario&gt;$AG179),AND(TIPOORCAMENTO="LICITADO",ORÇAMENTO.PrecoUnitarioLicitado&gt;$AN179)),"ACIMA REF.",
IF(AND($C179="S",$P179&lt;&gt;"",$Q179&lt;&gt;"",$T179=0,$U179&gt;0),"QUANT.",
IF(AND(Import.TipoArredondamento="TransfereGOV",$L179="F",$C179="S",LEN($Q179)&gt;13),"Código &gt;13",
IF(AND(Import.TipoArredondamento="TransfereGOV",$L179="F",$C179&lt;&gt;"S",LEN($R179)&gt;100),"Descrição &gt;100",
IF(AND(Import.TipoArredondamento="TransfereGOV",$L179="F",$C179="S",LEN($R179)&gt;500),"Descrição &gt;500",
IF(AND(Import.TipoArredondamento="TransfereGOV",$L179="F",$C179="S",LEFT(TRIM(UPPER($P179)),6)&lt;&gt;"SINAPI",ISNA(VLOOKUP(TRIM(UPPER($S179)),ListaTgov.Unidades,1,FALSE()))),"Unid. Não Disp",
" "))))))))))))))))</f>
        <v>#NAME?</v>
      </c>
      <c r="AD179" s="1" t="str">
        <f aca="true">IF(C179&lt;=CRONO.NivelExibicao,MAX($AD$15:OFFSET(AD179,-1,0))+IF($C179&lt;&gt;1,1,MAX(1,COUNTIF(QCI!$A$13:$A$15,OFFSET($E179,-1,0)))),"")</f>
        <v/>
      </c>
      <c r="AE179" s="50" t="str">
        <f aca="false">IF(AND($C179="S",ORÇAMENTO.CodBarra&lt;&gt;""),IF(ORÇAMENTO.Fonte="",ORÇAMENTO.CodBarra,CONCATENATE(ORÇAMENTO.Fonte," ",ORÇAMENTO.CodBarra)))</f>
        <v>SINAPI 104345</v>
      </c>
      <c r="AF179" s="65" t="str">
        <f aca="true">IF(ISERROR(INDIRECT(ORÇAMENTO.BancoRef)),"(abra o arquivo 'Referência "&amp;Excel_BuiltIn_Database&amp;".xlsm)",IF(OR($C179&lt;&gt;"S",ORÇAMENTO.CodBarra=""),"(Sem Código)",IF(ISERROR(MATCH($AE179,INDIRECT(ORÇAMENTO.BancoRef),0)),"(Código não identificado nas referências)",MATCH($AE179,INDIRECT(ORÇAMENTO.BancoRef),0))))</f>
        <v>(abra o arquivo 'Referência 07-2025.xlsm)</v>
      </c>
      <c r="AG179" s="215" t="n">
        <f aca="true">ROUND(IF(DESONERACAO="sim",REFERENCIA.Desonerado,REFERENCIA.NaoDesonerado),2)</f>
        <v>0</v>
      </c>
      <c r="AH179" s="216" t="n">
        <f aca="false">ROUND(IF(ISNUMBER(ORÇAMENTO.OpcaoBDI),ORÇAMENTO.OpcaoBDI,IF(LEFT(ORÇAMENTO.OpcaoBDI,3)="BDI",HLOOKUP(ORÇAMENTO.OpcaoBDI,$F$4:$H$5,2,FALSE()),0)),15-11*$AF$9)</f>
        <v>0.2904</v>
      </c>
      <c r="AJ179" s="217"/>
      <c r="AL179" s="218"/>
      <c r="AM179" s="219" t="n">
        <f aca="false">$X179</f>
        <v>1345.5</v>
      </c>
      <c r="AN179" s="220" t="n">
        <f aca="false">ROUND(ORÇAMENTO.CustoUnitario*(1+$AH179),2)</f>
        <v>53.82</v>
      </c>
    </row>
    <row r="180" customFormat="false" ht="35.05" hidden="false" customHeight="false" outlineLevel="0" collapsed="false">
      <c r="A180" s="1" t="str">
        <f aca="false">CHOOSE(1+LOG(1+2*(ORÇAMENTO.Nivel="Meta")+4*(ORÇAMENTO.Nivel="Nível 2")+8*(ORÇAMENTO.Nivel="Nível 3")+16*(ORÇAMENTO.Nivel="Nível 4")+32*(ORÇAMENTO.Nivel="Serviço"),2),0,1,2,3,4,"S")</f>
        <v>S</v>
      </c>
      <c r="B180" s="1" t="n">
        <f aca="true">IF(OR(C180="s",C180=0),OFFSET(B180,-1,0),C180)</f>
        <v>2</v>
      </c>
      <c r="C180" s="1" t="str">
        <f aca="true">IF(OFFSET(C180,-1,0)="L",1,IF(OFFSET(C180,-1,0)=1,2,IF(OR(A180="s",A180=0),"S",IF(AND(OFFSET(C180,-1,0)=2,A180=4),3,IF(AND(OR(OFFSET(C180,-1,0)="s",OFFSET(C180,-1,0)=0),A180&lt;&gt;"s",A180&gt;OFFSET(B180,-1,0)),OFFSET(B180,-1,0),A180)))))</f>
        <v>S</v>
      </c>
      <c r="D180" s="1" t="n">
        <f aca="false">IF(OR(C180="S",C180=0),0,IF(ISERROR(K180),J180,SMALL(J180:K180,1)))</f>
        <v>0</v>
      </c>
      <c r="E180" s="1" t="n">
        <f aca="true">IF($C180=1,OFFSET(E180,-1,0)+MAX(1,COUNTIF(QCI!$A$13:$A$15,OFFSET(ORÇAMENTO!E180,-1,0))),OFFSET(E180,-1,0))</f>
        <v>1</v>
      </c>
      <c r="F180" s="1" t="n">
        <f aca="true">IF($C180=1,0,IF($C180=2,OFFSET(F180,-1,0)+1,OFFSET(F180,-1,0)))</f>
        <v>45</v>
      </c>
      <c r="G180" s="1" t="n">
        <f aca="true">IF(AND($C180&lt;=2,$C180&lt;&gt;0),0,IF($C180=3,OFFSET(G180,-1,0)+1,OFFSET(G180,-1,0)))</f>
        <v>0</v>
      </c>
      <c r="H180" s="1" t="n">
        <f aca="true">IF(AND($C180&lt;=3,$C180&lt;&gt;0),0,IF($C180=4,OFFSET(H180,-1,0)+1,OFFSET(H180,-1,0)))</f>
        <v>0</v>
      </c>
      <c r="I180" s="1" t="n">
        <f aca="true">IF(AND($C180&lt;=4,$C180&lt;&gt;0),0,IF(AND($C180="S",$X180&gt;0),OFFSET(I180,-1,0)+1,OFFSET(I180,-1,0)))</f>
        <v>8</v>
      </c>
      <c r="J180" s="1" t="n">
        <f aca="true">IF(OR($C180="S",$C180=0),0,MATCH(0,OFFSET($D180,1,$C180,ROW($C$205)-ROW($C180)),0))</f>
        <v>0</v>
      </c>
      <c r="K180" s="1" t="n">
        <f aca="true">IF(OR($C180="S",$C180=0),0,MATCH(OFFSET($D180,0,$C180)+IF($C180&lt;&gt;1,1,COUNTIF(QCI!$A$13:$A$15,ORÇAMENTO!E180)),OFFSET($D180,1,$C180,ROW($C$205)-ROW($C180)),0))</f>
        <v>0</v>
      </c>
      <c r="L180" s="199" t="str">
        <f aca="false">IF(OR($X180&gt;0,$C180=1,$C180=2,$C180=3,$C180=4),"F","")</f>
        <v>F</v>
      </c>
      <c r="M180" s="200" t="s">
        <v>735</v>
      </c>
      <c r="N180" s="201" t="str">
        <f aca="false">CHOOSE(1+LOG(1+2*(C180=1)+4*(C180=2)+8*(C180=3)+16*(C180=4)+32*(C180="S"),2),"","Meta","Nível 2","Nível 3","Nível 4","Serviço")</f>
        <v>Serviço</v>
      </c>
      <c r="O180" s="202" t="str">
        <f aca="false">IF(OR($C180=0,$L180=""),"-",CONCATENATE(E180&amp;".",IF(AND($A$5&gt;=2,$C180&gt;=2),F180&amp;".",""),IF(AND($A$5&gt;=3,$C180&gt;=3),G180&amp;".",""),IF(AND($A$5&gt;=4,$C180&gt;=4),H180&amp;".",""),IF($C180="S",I180&amp;".","")))</f>
        <v>1.45.8.</v>
      </c>
      <c r="P180" s="203" t="s">
        <v>780</v>
      </c>
      <c r="Q180" s="204" t="n">
        <v>104348</v>
      </c>
      <c r="R180" s="205" t="str">
        <f aca="false">[4]PO!$D$207</f>
        <v>TERMINAL DE VENTILAÇÃO, PVC, SÉRIE NORMAL, ESGOTO PREDIAL, DN 50 MM, JUNTA SOLDÁVEL, FORNECIDO E INSTALADO EM PRUMADA DE ESGOTO SANITÁRIO OU VENTILAÇÃO. AF_08/2022</v>
      </c>
      <c r="S180" s="206" t="s">
        <v>666</v>
      </c>
      <c r="T180" s="207" t="n">
        <f aca="true">OFFSET(CÁLCULO!H$15,ROW($T180)-ROW(T$15),0)</f>
        <v>25</v>
      </c>
      <c r="U180" s="208" t="n">
        <f aca="false">[2]PO!$H$207</f>
        <v>10.82</v>
      </c>
      <c r="V180" s="209" t="s">
        <v>690</v>
      </c>
      <c r="W180" s="207" t="n">
        <f aca="false">IF($C180="S",ROUND(IF(TIPOORCAMENTO="Proposto",ORÇAMENTO.CustoUnitario*(1+$AH180),ORÇAMENTO.PrecoUnitarioLicitado),15-13*$AF$10),0)</f>
        <v>13.96</v>
      </c>
      <c r="X180" s="210" t="n">
        <f aca="true" t="array" ref="X180:X180">IF($C180="S",IF(OR(Import.TipoArredondamento&lt;&gt;"TransfereGOV",ACOMPANHAMENTO="BM"),VTOTAL1,SUM(OFFSET(CÁLCULO!$AQ$15,ROW($X180)-ROW($X$15),1):OFFSET(CÁLCULO!$BR$15,ROW($X180)-ROW($X$15),-1))),IF($C180=0,0,ROUND(SomaAgrup,15-13*$AF$11)))</f>
        <v>349</v>
      </c>
      <c r="Y180" s="211" t="s">
        <v>781</v>
      </c>
      <c r="Z180" s="1" t="str">
        <f aca="false">IF(AND($C180="S",$X180&gt;0),IF(ISBLANK($Y180),"RA",LEFT($Y180,2)),"")</f>
        <v>RA</v>
      </c>
      <c r="AA180" s="212" t="n">
        <f aca="true">IF($C180="S",IF($Z180="CP",$X180,IF($Z180="RA",(($X180)*QCI!$AA$3),0)),SomaAgrup)</f>
        <v>38.7325527703722</v>
      </c>
      <c r="AB180" s="213" t="n">
        <f aca="true">IF($C180="S",IF($Z180="OU",ROUND($X180,2),0),SomaAgrup)</f>
        <v>0</v>
      </c>
      <c r="AC180" s="214" t="e">
        <f aca="false" t="array" ref="AC180:AC180">IF($N180=""," ",
IF(AND($C180&lt;&gt;"S",OR($R180="",$R180="(digite a descrição aqui)")),"DESCRIÇÃO",
IF(AND($C180="S",OR($Q180&lt;&gt;"",$T180&gt;0,$U180&gt;0),$P180=""),"FONTE",
IF(AND($C180="S",$P180&lt;&gt;"",OR($T180&gt;0,$U180&gt;0),$Q180=""),"CÓDIGO",
IF(AND($C180="S",$P180&lt;&gt;"",$Q180&lt;&gt;"",$R180="(Código não identificado nas referências)"),"CÓDIGO N/ID",
IF(AND($C180="S",OR($R180="",$R180="(digite a descrição aqui)"),OR($Q180&lt;&gt;"",$T180&gt;0,$U180&gt;0)),"DESCRIÇÃO",
IF(AND($C180="S",$P180&lt;&gt;"",$Q180&lt;&gt;"",$S180=""),"UNIDADE",
IF(AND($C180="S",$P180&lt;&gt;"",$Q180&lt;&gt;"",$U180=0),"SEM CUSTO",
IF(AND(_xlfn.single(TIPOORCAMENTO)="Licitado",$AL180=0,$AN180&gt;0),"SEM PREÇO",
IF(AND($C180="S",$P180&lt;&gt;"",$Q180&lt;&gt;"",$U180&gt;0,$V180=0),"BDI",
IF(OR(AND(TIPOORCAMENTO="Proposto",LEFT($O$8,5)&lt;&gt;"(N/D:",$AG180&lt;&gt;"",ORÇAMENTO.CustoUnitario&gt;$AG180),AND(TIPOORCAMENTO="LICITADO",ORÇAMENTO.PrecoUnitarioLicitado&gt;$AN180)),"ACIMA REF.",
IF(AND($C180="S",$P180&lt;&gt;"",$Q180&lt;&gt;"",$T180=0,$U180&gt;0),"QUANT.",
IF(AND(Import.TipoArredondamento="TransfereGOV",$L180="F",$C180="S",LEN($Q180)&gt;13),"Código &gt;13",
IF(AND(Import.TipoArredondamento="TransfereGOV",$L180="F",$C180&lt;&gt;"S",LEN($R180)&gt;100),"Descrição &gt;100",
IF(AND(Import.TipoArredondamento="TransfereGOV",$L180="F",$C180="S",LEN($R180)&gt;500),"Descrição &gt;500",
IF(AND(Import.TipoArredondamento="TransfereGOV",$L180="F",$C180="S",LEFT(TRIM(UPPER($P180)),6)&lt;&gt;"SINAPI",ISNA(VLOOKUP(TRIM(UPPER($S180)),ListaTgov.Unidades,1,FALSE()))),"Unid. Não Disp",
" "))))))))))))))))</f>
        <v>#NAME?</v>
      </c>
      <c r="AD180" s="1" t="str">
        <f aca="true">IF(C180&lt;=CRONO.NivelExibicao,MAX($AD$15:OFFSET(AD180,-1,0))+IF($C180&lt;&gt;1,1,MAX(1,COUNTIF(QCI!$A$13:$A$15,OFFSET($E180,-1,0)))),"")</f>
        <v/>
      </c>
      <c r="AE180" s="50" t="str">
        <f aca="false">IF(AND($C180="S",ORÇAMENTO.CodBarra&lt;&gt;""),IF(ORÇAMENTO.Fonte="",ORÇAMENTO.CodBarra,CONCATENATE(ORÇAMENTO.Fonte," ",ORÇAMENTO.CodBarra)))</f>
        <v>SINAPI 104348</v>
      </c>
      <c r="AF180" s="65" t="str">
        <f aca="true">IF(ISERROR(INDIRECT(ORÇAMENTO.BancoRef)),"(abra o arquivo 'Referência "&amp;Excel_BuiltIn_Database&amp;".xlsm)",IF(OR($C180&lt;&gt;"S",ORÇAMENTO.CodBarra=""),"(Sem Código)",IF(ISERROR(MATCH($AE180,INDIRECT(ORÇAMENTO.BancoRef),0)),"(Código não identificado nas referências)",MATCH($AE180,INDIRECT(ORÇAMENTO.BancoRef),0))))</f>
        <v>(abra o arquivo 'Referência 07-2025.xlsm)</v>
      </c>
      <c r="AG180" s="215" t="n">
        <f aca="true">ROUND(IF(DESONERACAO="sim",REFERENCIA.Desonerado,REFERENCIA.NaoDesonerado),2)</f>
        <v>0</v>
      </c>
      <c r="AH180" s="216" t="n">
        <f aca="false">ROUND(IF(ISNUMBER(ORÇAMENTO.OpcaoBDI),ORÇAMENTO.OpcaoBDI,IF(LEFT(ORÇAMENTO.OpcaoBDI,3)="BDI",HLOOKUP(ORÇAMENTO.OpcaoBDI,$F$4:$H$5,2,FALSE()),0)),15-11*$AF$9)</f>
        <v>0.2904</v>
      </c>
      <c r="AJ180" s="217"/>
      <c r="AL180" s="218"/>
      <c r="AM180" s="219" t="n">
        <f aca="false">$X180</f>
        <v>349</v>
      </c>
      <c r="AN180" s="220" t="n">
        <f aca="false">ROUND(ORÇAMENTO.CustoUnitario*(1+$AH180),2)</f>
        <v>13.96</v>
      </c>
    </row>
    <row r="181" customFormat="false" ht="35.05" hidden="false" customHeight="false" outlineLevel="0" collapsed="false">
      <c r="A181" s="1" t="str">
        <f aca="false">CHOOSE(1+LOG(1+2*(ORÇAMENTO.Nivel="Meta")+4*(ORÇAMENTO.Nivel="Nível 2")+8*(ORÇAMENTO.Nivel="Nível 3")+16*(ORÇAMENTO.Nivel="Nível 4")+32*(ORÇAMENTO.Nivel="Serviço"),2),0,1,2,3,4,"S")</f>
        <v>S</v>
      </c>
      <c r="B181" s="1" t="n">
        <f aca="true">IF(OR(C181="s",C181=0),OFFSET(B181,-1,0),C181)</f>
        <v>2</v>
      </c>
      <c r="C181" s="1" t="str">
        <f aca="true">IF(OFFSET(C181,-1,0)="L",1,IF(OFFSET(C181,-1,0)=1,2,IF(OR(A181="s",A181=0),"S",IF(AND(OFFSET(C181,-1,0)=2,A181=4),3,IF(AND(OR(OFFSET(C181,-1,0)="s",OFFSET(C181,-1,0)=0),A181&lt;&gt;"s",A181&gt;OFFSET(B181,-1,0)),OFFSET(B181,-1,0),A181)))))</f>
        <v>S</v>
      </c>
      <c r="D181" s="1" t="n">
        <f aca="false">IF(OR(C181="S",C181=0),0,IF(ISERROR(K181),J181,SMALL(J181:K181,1)))</f>
        <v>0</v>
      </c>
      <c r="E181" s="1" t="n">
        <f aca="true">IF($C181=1,OFFSET(E181,-1,0)+MAX(1,COUNTIF(QCI!$A$13:$A$15,OFFSET(ORÇAMENTO!E181,-1,0))),OFFSET(E181,-1,0))</f>
        <v>1</v>
      </c>
      <c r="F181" s="1" t="n">
        <f aca="true">IF($C181=1,0,IF($C181=2,OFFSET(F181,-1,0)+1,OFFSET(F181,-1,0)))</f>
        <v>45</v>
      </c>
      <c r="G181" s="1" t="n">
        <f aca="true">IF(AND($C181&lt;=2,$C181&lt;&gt;0),0,IF($C181=3,OFFSET(G181,-1,0)+1,OFFSET(G181,-1,0)))</f>
        <v>0</v>
      </c>
      <c r="H181" s="1" t="n">
        <f aca="true">IF(AND($C181&lt;=3,$C181&lt;&gt;0),0,IF($C181=4,OFFSET(H181,-1,0)+1,OFFSET(H181,-1,0)))</f>
        <v>0</v>
      </c>
      <c r="I181" s="1" t="n">
        <f aca="true">IF(AND($C181&lt;=4,$C181&lt;&gt;0),0,IF(AND($C181="S",$X181&gt;0),OFFSET(I181,-1,0)+1,OFFSET(I181,-1,0)))</f>
        <v>9</v>
      </c>
      <c r="J181" s="1" t="n">
        <f aca="true">IF(OR($C181="S",$C181=0),0,MATCH(0,OFFSET($D181,1,$C181,ROW($C$205)-ROW($C181)),0))</f>
        <v>0</v>
      </c>
      <c r="K181" s="1" t="n">
        <f aca="true">IF(OR($C181="S",$C181=0),0,MATCH(OFFSET($D181,0,$C181)+IF($C181&lt;&gt;1,1,COUNTIF(QCI!$A$13:$A$15,ORÇAMENTO!E181)),OFFSET($D181,1,$C181,ROW($C$205)-ROW($C181)),0))</f>
        <v>0</v>
      </c>
      <c r="L181" s="199" t="str">
        <f aca="false">IF(OR($X181&gt;0,$C181=1,$C181=2,$C181=3,$C181=4),"F","")</f>
        <v>F</v>
      </c>
      <c r="M181" s="200" t="s">
        <v>735</v>
      </c>
      <c r="N181" s="201" t="str">
        <f aca="false">CHOOSE(1+LOG(1+2*(C181=1)+4*(C181=2)+8*(C181=3)+16*(C181=4)+32*(C181="S"),2),"","Meta","Nível 2","Nível 3","Nível 4","Serviço")</f>
        <v>Serviço</v>
      </c>
      <c r="O181" s="202" t="str">
        <f aca="false">IF(OR($C181=0,$L181=""),"-",CONCATENATE(E181&amp;".",IF(AND($A$5&gt;=2,$C181&gt;=2),F181&amp;".",""),IF(AND($A$5&gt;=3,$C181&gt;=3),G181&amp;".",""),IF(AND($A$5&gt;=4,$C181&gt;=4),H181&amp;".",""),IF($C181="S",I181&amp;".","")))</f>
        <v>1.45.9.</v>
      </c>
      <c r="P181" s="203" t="s">
        <v>780</v>
      </c>
      <c r="Q181" s="204" t="n">
        <v>89711</v>
      </c>
      <c r="R181" s="205" t="str">
        <f aca="false">[4]PO!$D$208</f>
        <v>TUBO PVC, SERIE NORMAL, ESGOTO PREDIAL, DN 40 MM, FORNECIDO E INSTALADO EM RAMAL DE DESCARGA OU RAMAL DE ESGOTO SANITÁRIO. AF_08/2022</v>
      </c>
      <c r="S181" s="206" t="s">
        <v>648</v>
      </c>
      <c r="T181" s="207" t="n">
        <f aca="true">OFFSET(CÁLCULO!H$15,ROW($T181)-ROW(T$15),0)</f>
        <v>83.75</v>
      </c>
      <c r="U181" s="208" t="n">
        <v>21.55</v>
      </c>
      <c r="V181" s="209" t="s">
        <v>690</v>
      </c>
      <c r="W181" s="207" t="n">
        <f aca="false">IF($C181="S",ROUND(IF(TIPOORCAMENTO="Proposto",ORÇAMENTO.CustoUnitario*(1+$AH181),ORÇAMENTO.PrecoUnitarioLicitado),15-13*$AF$10),0)</f>
        <v>27.81</v>
      </c>
      <c r="X181" s="210" t="n">
        <f aca="true" t="array" ref="X181:X181">IF($C181="S",IF(OR(Import.TipoArredondamento&lt;&gt;"TransfereGOV",ACOMPANHAMENTO="BM"),VTOTAL1,SUM(OFFSET(CÁLCULO!$AQ$15,ROW($X181)-ROW($X$15),1):OFFSET(CÁLCULO!$BR$15,ROW($X181)-ROW($X$15),-1))),IF($C181=0,0,ROUND(SomaAgrup,15-13*$AF$11)))</f>
        <v>2329</v>
      </c>
      <c r="Y181" s="211" t="s">
        <v>781</v>
      </c>
      <c r="Z181" s="1" t="str">
        <f aca="false">IF(AND($C181="S",$X181&gt;0),IF(ISBLANK($Y181),"RA",LEFT($Y181,2)),"")</f>
        <v>RA</v>
      </c>
      <c r="AA181" s="212" t="n">
        <f aca="true">IF($C181="S",IF($Z181="CP",$X181,IF($Z181="RA",(($X181)*QCI!$AA$3),0)),SomaAgrup)</f>
        <v>258.475975364461</v>
      </c>
      <c r="AB181" s="213" t="n">
        <f aca="true">IF($C181="S",IF($Z181="OU",ROUND($X181,2),0),SomaAgrup)</f>
        <v>0</v>
      </c>
      <c r="AC181" s="214" t="e">
        <f aca="false" t="array" ref="AC181:AC181">IF($N181=""," ",
IF(AND($C181&lt;&gt;"S",OR($R181="",$R181="(digite a descrição aqui)")),"DESCRIÇÃO",
IF(AND($C181="S",OR($Q181&lt;&gt;"",$T181&gt;0,$U181&gt;0),$P181=""),"FONTE",
IF(AND($C181="S",$P181&lt;&gt;"",OR($T181&gt;0,$U181&gt;0),$Q181=""),"CÓDIGO",
IF(AND($C181="S",$P181&lt;&gt;"",$Q181&lt;&gt;"",$R181="(Código não identificado nas referências)"),"CÓDIGO N/ID",
IF(AND($C181="S",OR($R181="",$R181="(digite a descrição aqui)"),OR($Q181&lt;&gt;"",$T181&gt;0,$U181&gt;0)),"DESCRIÇÃO",
IF(AND($C181="S",$P181&lt;&gt;"",$Q181&lt;&gt;"",$S181=""),"UNIDADE",
IF(AND($C181="S",$P181&lt;&gt;"",$Q181&lt;&gt;"",$U181=0),"SEM CUSTO",
IF(AND(_xlfn.single(TIPOORCAMENTO)="Licitado",$AL181=0,$AN181&gt;0),"SEM PREÇO",
IF(AND($C181="S",$P181&lt;&gt;"",$Q181&lt;&gt;"",$U181&gt;0,$V181=0),"BDI",
IF(OR(AND(TIPOORCAMENTO="Proposto",LEFT($O$8,5)&lt;&gt;"(N/D:",$AG181&lt;&gt;"",ORÇAMENTO.CustoUnitario&gt;$AG181),AND(TIPOORCAMENTO="LICITADO",ORÇAMENTO.PrecoUnitarioLicitado&gt;$AN181)),"ACIMA REF.",
IF(AND($C181="S",$P181&lt;&gt;"",$Q181&lt;&gt;"",$T181=0,$U181&gt;0),"QUANT.",
IF(AND(Import.TipoArredondamento="TransfereGOV",$L181="F",$C181="S",LEN($Q181)&gt;13),"Código &gt;13",
IF(AND(Import.TipoArredondamento="TransfereGOV",$L181="F",$C181&lt;&gt;"S",LEN($R181)&gt;100),"Descrição &gt;100",
IF(AND(Import.TipoArredondamento="TransfereGOV",$L181="F",$C181="S",LEN($R181)&gt;500),"Descrição &gt;500",
IF(AND(Import.TipoArredondamento="TransfereGOV",$L181="F",$C181="S",LEFT(TRIM(UPPER($P181)),6)&lt;&gt;"SINAPI",ISNA(VLOOKUP(TRIM(UPPER($S181)),ListaTgov.Unidades,1,FALSE()))),"Unid. Não Disp",
" "))))))))))))))))</f>
        <v>#NAME?</v>
      </c>
      <c r="AD181" s="1" t="str">
        <f aca="true">IF(C181&lt;=CRONO.NivelExibicao,MAX($AD$15:OFFSET(AD181,-1,0))+IF($C181&lt;&gt;1,1,MAX(1,COUNTIF(QCI!$A$13:$A$15,OFFSET($E181,-1,0)))),"")</f>
        <v/>
      </c>
      <c r="AE181" s="50" t="str">
        <f aca="false">IF(AND($C181="S",ORÇAMENTO.CodBarra&lt;&gt;""),IF(ORÇAMENTO.Fonte="",ORÇAMENTO.CodBarra,CONCATENATE(ORÇAMENTO.Fonte," ",ORÇAMENTO.CodBarra)))</f>
        <v>SINAPI 89711</v>
      </c>
      <c r="AF181" s="65" t="str">
        <f aca="true">IF(ISERROR(INDIRECT(ORÇAMENTO.BancoRef)),"(abra o arquivo 'Referência "&amp;Excel_BuiltIn_Database&amp;".xlsm)",IF(OR($C181&lt;&gt;"S",ORÇAMENTO.CodBarra=""),"(Sem Código)",IF(ISERROR(MATCH($AE181,INDIRECT(ORÇAMENTO.BancoRef),0)),"(Código não identificado nas referências)",MATCH($AE181,INDIRECT(ORÇAMENTO.BancoRef),0))))</f>
        <v>(abra o arquivo 'Referência 07-2025.xlsm)</v>
      </c>
      <c r="AG181" s="215" t="n">
        <f aca="true">ROUND(IF(DESONERACAO="sim",REFERENCIA.Desonerado,REFERENCIA.NaoDesonerado),2)</f>
        <v>0</v>
      </c>
      <c r="AH181" s="216" t="n">
        <f aca="false">ROUND(IF(ISNUMBER(ORÇAMENTO.OpcaoBDI),ORÇAMENTO.OpcaoBDI,IF(LEFT(ORÇAMENTO.OpcaoBDI,3)="BDI",HLOOKUP(ORÇAMENTO.OpcaoBDI,$F$4:$H$5,2,FALSE()),0)),15-11*$AF$9)</f>
        <v>0.2904</v>
      </c>
      <c r="AJ181" s="217"/>
      <c r="AL181" s="218"/>
      <c r="AM181" s="219" t="n">
        <f aca="false">$X181</f>
        <v>2329</v>
      </c>
      <c r="AN181" s="220" t="n">
        <f aca="false">ROUND(ORÇAMENTO.CustoUnitario*(1+$AH181),2)</f>
        <v>27.81</v>
      </c>
    </row>
    <row r="182" customFormat="false" ht="35.05" hidden="false" customHeight="false" outlineLevel="0" collapsed="false">
      <c r="A182" s="1" t="str">
        <f aca="false">CHOOSE(1+LOG(1+2*(ORÇAMENTO.Nivel="Meta")+4*(ORÇAMENTO.Nivel="Nível 2")+8*(ORÇAMENTO.Nivel="Nível 3")+16*(ORÇAMENTO.Nivel="Nível 4")+32*(ORÇAMENTO.Nivel="Serviço"),2),0,1,2,3,4,"S")</f>
        <v>S</v>
      </c>
      <c r="B182" s="1" t="n">
        <f aca="true">IF(OR(C182="s",C182=0),OFFSET(B182,-1,0),C182)</f>
        <v>2</v>
      </c>
      <c r="C182" s="1" t="str">
        <f aca="true">IF(OFFSET(C182,-1,0)="L",1,IF(OFFSET(C182,-1,0)=1,2,IF(OR(A182="s",A182=0),"S",IF(AND(OFFSET(C182,-1,0)=2,A182=4),3,IF(AND(OR(OFFSET(C182,-1,0)="s",OFFSET(C182,-1,0)=0),A182&lt;&gt;"s",A182&gt;OFFSET(B182,-1,0)),OFFSET(B182,-1,0),A182)))))</f>
        <v>S</v>
      </c>
      <c r="D182" s="1" t="n">
        <f aca="false">IF(OR(C182="S",C182=0),0,IF(ISERROR(K182),J182,SMALL(J182:K182,1)))</f>
        <v>0</v>
      </c>
      <c r="E182" s="1" t="n">
        <f aca="true">IF($C182=1,OFFSET(E182,-1,0)+MAX(1,COUNTIF(QCI!$A$13:$A$15,OFFSET(ORÇAMENTO!E182,-1,0))),OFFSET(E182,-1,0))</f>
        <v>1</v>
      </c>
      <c r="F182" s="1" t="n">
        <f aca="true">IF($C182=1,0,IF($C182=2,OFFSET(F182,-1,0)+1,OFFSET(F182,-1,0)))</f>
        <v>45</v>
      </c>
      <c r="G182" s="1" t="n">
        <f aca="true">IF(AND($C182&lt;=2,$C182&lt;&gt;0),0,IF($C182=3,OFFSET(G182,-1,0)+1,OFFSET(G182,-1,0)))</f>
        <v>0</v>
      </c>
      <c r="H182" s="1" t="n">
        <f aca="true">IF(AND($C182&lt;=3,$C182&lt;&gt;0),0,IF($C182=4,OFFSET(H182,-1,0)+1,OFFSET(H182,-1,0)))</f>
        <v>0</v>
      </c>
      <c r="I182" s="1" t="n">
        <f aca="true">IF(AND($C182&lt;=4,$C182&lt;&gt;0),0,IF(AND($C182="S",$X182&gt;0),OFFSET(I182,-1,0)+1,OFFSET(I182,-1,0)))</f>
        <v>10</v>
      </c>
      <c r="J182" s="1" t="n">
        <f aca="true">IF(OR($C182="S",$C182=0),0,MATCH(0,OFFSET($D182,1,$C182,ROW($C$205)-ROW($C182)),0))</f>
        <v>0</v>
      </c>
      <c r="K182" s="1" t="n">
        <f aca="true">IF(OR($C182="S",$C182=0),0,MATCH(OFFSET($D182,0,$C182)+IF($C182&lt;&gt;1,1,COUNTIF(QCI!$A$13:$A$15,ORÇAMENTO!E182)),OFFSET($D182,1,$C182,ROW($C$205)-ROW($C182)),0))</f>
        <v>0</v>
      </c>
      <c r="L182" s="199" t="str">
        <f aca="false">IF(OR($X182&gt;0,$C182=1,$C182=2,$C182=3,$C182=4),"F","")</f>
        <v>F</v>
      </c>
      <c r="M182" s="200" t="s">
        <v>735</v>
      </c>
      <c r="N182" s="201" t="str">
        <f aca="false">CHOOSE(1+LOG(1+2*(C182=1)+4*(C182=2)+8*(C182=3)+16*(C182=4)+32*(C182="S"),2),"","Meta","Nível 2","Nível 3","Nível 4","Serviço")</f>
        <v>Serviço</v>
      </c>
      <c r="O182" s="202" t="str">
        <f aca="false">IF(OR($C182=0,$L182=""),"-",CONCATENATE(E182&amp;".",IF(AND($A$5&gt;=2,$C182&gt;=2),F182&amp;".",""),IF(AND($A$5&gt;=3,$C182&gt;=3),G182&amp;".",""),IF(AND($A$5&gt;=4,$C182&gt;=4),H182&amp;".",""),IF($C182="S",I182&amp;".","")))</f>
        <v>1.45.10.</v>
      </c>
      <c r="P182" s="203" t="s">
        <v>780</v>
      </c>
      <c r="Q182" s="204" t="n">
        <v>89712</v>
      </c>
      <c r="R182" s="205" t="str">
        <f aca="false">[4]PO!$D$209</f>
        <v>TUBO PVC, SERIE NORMAL, ESGOTO PREDIAL, DN 50 MM, FORNECIDO E INSTALADO EM RAMAL DE DESCARGA OU RAMAL DE ESGOTO SANITÁRIO. AF_08/2022</v>
      </c>
      <c r="S182" s="206" t="s">
        <v>648</v>
      </c>
      <c r="T182" s="207" t="n">
        <f aca="true">OFFSET(CÁLCULO!H$15,ROW($T182)-ROW(T$15),0)</f>
        <v>255.25</v>
      </c>
      <c r="U182" s="208" t="n">
        <v>27.23</v>
      </c>
      <c r="V182" s="209" t="s">
        <v>690</v>
      </c>
      <c r="W182" s="207" t="n">
        <f aca="false">IF($C182="S",ROUND(IF(TIPOORCAMENTO="Proposto",ORÇAMENTO.CustoUnitario*(1+$AH182),ORÇAMENTO.PrecoUnitarioLicitado),15-13*$AF$10),0)</f>
        <v>35.14</v>
      </c>
      <c r="X182" s="210" t="n">
        <f aca="true" t="array" ref="X182:X182">IF($C182="S",IF(OR(Import.TipoArredondamento&lt;&gt;"TransfereGOV",ACOMPANHAMENTO="BM"),VTOTAL1,SUM(OFFSET(CÁLCULO!$AQ$15,ROW($X182)-ROW($X$15),1):OFFSET(CÁLCULO!$BR$15,ROW($X182)-ROW($X$15),-1))),IF($C182=0,0,ROUND(SomaAgrup,15-13*$AF$11)))</f>
        <v>8969.5</v>
      </c>
      <c r="Y182" s="211" t="s">
        <v>781</v>
      </c>
      <c r="Z182" s="1" t="str">
        <f aca="false">IF(AND($C182="S",$X182&gt;0),IF(ISBLANK($Y182),"RA",LEFT($Y182,2)),"")</f>
        <v>RA</v>
      </c>
      <c r="AA182" s="212" t="n">
        <f aca="true">IF($C182="S",IF($Z182="CP",$X182,IF($Z182="RA",(($X182)*QCI!$AA$3),0)),SomaAgrup)</f>
        <v>995.448802503879</v>
      </c>
      <c r="AB182" s="213" t="n">
        <f aca="true">IF($C182="S",IF($Z182="OU",ROUND($X182,2),0),SomaAgrup)</f>
        <v>0</v>
      </c>
      <c r="AC182" s="214" t="e">
        <f aca="false" t="array" ref="AC182:AC182">IF($N182=""," ",
IF(AND($C182&lt;&gt;"S",OR($R182="",$R182="(digite a descrição aqui)")),"DESCRIÇÃO",
IF(AND($C182="S",OR($Q182&lt;&gt;"",$T182&gt;0,$U182&gt;0),$P182=""),"FONTE",
IF(AND($C182="S",$P182&lt;&gt;"",OR($T182&gt;0,$U182&gt;0),$Q182=""),"CÓDIGO",
IF(AND($C182="S",$P182&lt;&gt;"",$Q182&lt;&gt;"",$R182="(Código não identificado nas referências)"),"CÓDIGO N/ID",
IF(AND($C182="S",OR($R182="",$R182="(digite a descrição aqui)"),OR($Q182&lt;&gt;"",$T182&gt;0,$U182&gt;0)),"DESCRIÇÃO",
IF(AND($C182="S",$P182&lt;&gt;"",$Q182&lt;&gt;"",$S182=""),"UNIDADE",
IF(AND($C182="S",$P182&lt;&gt;"",$Q182&lt;&gt;"",$U182=0),"SEM CUSTO",
IF(AND(_xlfn.single(TIPOORCAMENTO)="Licitado",$AL182=0,$AN182&gt;0),"SEM PREÇO",
IF(AND($C182="S",$P182&lt;&gt;"",$Q182&lt;&gt;"",$U182&gt;0,$V182=0),"BDI",
IF(OR(AND(TIPOORCAMENTO="Proposto",LEFT($O$8,5)&lt;&gt;"(N/D:",$AG182&lt;&gt;"",ORÇAMENTO.CustoUnitario&gt;$AG182),AND(TIPOORCAMENTO="LICITADO",ORÇAMENTO.PrecoUnitarioLicitado&gt;$AN182)),"ACIMA REF.",
IF(AND($C182="S",$P182&lt;&gt;"",$Q182&lt;&gt;"",$T182=0,$U182&gt;0),"QUANT.",
IF(AND(Import.TipoArredondamento="TransfereGOV",$L182="F",$C182="S",LEN($Q182)&gt;13),"Código &gt;13",
IF(AND(Import.TipoArredondamento="TransfereGOV",$L182="F",$C182&lt;&gt;"S",LEN($R182)&gt;100),"Descrição &gt;100",
IF(AND(Import.TipoArredondamento="TransfereGOV",$L182="F",$C182="S",LEN($R182)&gt;500),"Descrição &gt;500",
IF(AND(Import.TipoArredondamento="TransfereGOV",$L182="F",$C182="S",LEFT(TRIM(UPPER($P182)),6)&lt;&gt;"SINAPI",ISNA(VLOOKUP(TRIM(UPPER($S182)),ListaTgov.Unidades,1,FALSE()))),"Unid. Não Disp",
" "))))))))))))))))</f>
        <v>#NAME?</v>
      </c>
      <c r="AD182" s="1" t="str">
        <f aca="true">IF(C182&lt;=CRONO.NivelExibicao,MAX($AD$15:OFFSET(AD182,-1,0))+IF($C182&lt;&gt;1,1,MAX(1,COUNTIF(QCI!$A$13:$A$15,OFFSET($E182,-1,0)))),"")</f>
        <v/>
      </c>
      <c r="AE182" s="50" t="str">
        <f aca="false">IF(AND($C182="S",ORÇAMENTO.CodBarra&lt;&gt;""),IF(ORÇAMENTO.Fonte="",ORÇAMENTO.CodBarra,CONCATENATE(ORÇAMENTO.Fonte," ",ORÇAMENTO.CodBarra)))</f>
        <v>SINAPI 89712</v>
      </c>
      <c r="AF182" s="65" t="str">
        <f aca="true">IF(ISERROR(INDIRECT(ORÇAMENTO.BancoRef)),"(abra o arquivo 'Referência "&amp;Excel_BuiltIn_Database&amp;".xlsm)",IF(OR($C182&lt;&gt;"S",ORÇAMENTO.CodBarra=""),"(Sem Código)",IF(ISERROR(MATCH($AE182,INDIRECT(ORÇAMENTO.BancoRef),0)),"(Código não identificado nas referências)",MATCH($AE182,INDIRECT(ORÇAMENTO.BancoRef),0))))</f>
        <v>(abra o arquivo 'Referência 07-2025.xlsm)</v>
      </c>
      <c r="AG182" s="215" t="n">
        <f aca="true">ROUND(IF(DESONERACAO="sim",REFERENCIA.Desonerado,REFERENCIA.NaoDesonerado),2)</f>
        <v>0</v>
      </c>
      <c r="AH182" s="216" t="n">
        <f aca="false">ROUND(IF(ISNUMBER(ORÇAMENTO.OpcaoBDI),ORÇAMENTO.OpcaoBDI,IF(LEFT(ORÇAMENTO.OpcaoBDI,3)="BDI",HLOOKUP(ORÇAMENTO.OpcaoBDI,$F$4:$H$5,2,FALSE()),0)),15-11*$AF$9)</f>
        <v>0.2904</v>
      </c>
      <c r="AJ182" s="217"/>
      <c r="AL182" s="218"/>
      <c r="AM182" s="219" t="n">
        <f aca="false">$X182</f>
        <v>8969.5</v>
      </c>
      <c r="AN182" s="220" t="n">
        <f aca="false">ROUND(ORÇAMENTO.CustoUnitario*(1+$AH182),2)</f>
        <v>35.14</v>
      </c>
    </row>
    <row r="183" customFormat="false" ht="35.05" hidden="false" customHeight="false" outlineLevel="0" collapsed="false">
      <c r="A183" s="1" t="str">
        <f aca="false">CHOOSE(1+LOG(1+2*(ORÇAMENTO.Nivel="Meta")+4*(ORÇAMENTO.Nivel="Nível 2")+8*(ORÇAMENTO.Nivel="Nível 3")+16*(ORÇAMENTO.Nivel="Nível 4")+32*(ORÇAMENTO.Nivel="Serviço"),2),0,1,2,3,4,"S")</f>
        <v>S</v>
      </c>
      <c r="B183" s="1" t="n">
        <f aca="true">IF(OR(C183="s",C183=0),OFFSET(B183,-1,0),C183)</f>
        <v>2</v>
      </c>
      <c r="C183" s="1" t="str">
        <f aca="true">IF(OFFSET(C183,-1,0)="L",1,IF(OFFSET(C183,-1,0)=1,2,IF(OR(A183="s",A183=0),"S",IF(AND(OFFSET(C183,-1,0)=2,A183=4),3,IF(AND(OR(OFFSET(C183,-1,0)="s",OFFSET(C183,-1,0)=0),A183&lt;&gt;"s",A183&gt;OFFSET(B183,-1,0)),OFFSET(B183,-1,0),A183)))))</f>
        <v>S</v>
      </c>
      <c r="D183" s="1" t="n">
        <f aca="false">IF(OR(C183="S",C183=0),0,IF(ISERROR(K183),J183,SMALL(J183:K183,1)))</f>
        <v>0</v>
      </c>
      <c r="E183" s="1" t="n">
        <f aca="true">IF($C183=1,OFFSET(E183,-1,0)+MAX(1,COUNTIF(QCI!$A$13:$A$15,OFFSET(ORÇAMENTO!E183,-1,0))),OFFSET(E183,-1,0))</f>
        <v>1</v>
      </c>
      <c r="F183" s="1" t="n">
        <f aca="true">IF($C183=1,0,IF($C183=2,OFFSET(F183,-1,0)+1,OFFSET(F183,-1,0)))</f>
        <v>45</v>
      </c>
      <c r="G183" s="1" t="n">
        <f aca="true">IF(AND($C183&lt;=2,$C183&lt;&gt;0),0,IF($C183=3,OFFSET(G183,-1,0)+1,OFFSET(G183,-1,0)))</f>
        <v>0</v>
      </c>
      <c r="H183" s="1" t="n">
        <f aca="true">IF(AND($C183&lt;=3,$C183&lt;&gt;0),0,IF($C183=4,OFFSET(H183,-1,0)+1,OFFSET(H183,-1,0)))</f>
        <v>0</v>
      </c>
      <c r="I183" s="1" t="n">
        <f aca="true">IF(AND($C183&lt;=4,$C183&lt;&gt;0),0,IF(AND($C183="S",$X183&gt;0),OFFSET(I183,-1,0)+1,OFFSET(I183,-1,0)))</f>
        <v>11</v>
      </c>
      <c r="J183" s="1" t="n">
        <f aca="true">IF(OR($C183="S",$C183=0),0,MATCH(0,OFFSET($D183,1,$C183,ROW($C$205)-ROW($C183)),0))</f>
        <v>0</v>
      </c>
      <c r="K183" s="1" t="n">
        <f aca="true">IF(OR($C183="S",$C183=0),0,MATCH(OFFSET($D183,0,$C183)+IF($C183&lt;&gt;1,1,COUNTIF(QCI!$A$13:$A$15,ORÇAMENTO!E183)),OFFSET($D183,1,$C183,ROW($C$205)-ROW($C183)),0))</f>
        <v>0</v>
      </c>
      <c r="L183" s="199" t="str">
        <f aca="false">IF(OR($X183&gt;0,$C183=1,$C183=2,$C183=3,$C183=4),"F","")</f>
        <v>F</v>
      </c>
      <c r="M183" s="200" t="s">
        <v>735</v>
      </c>
      <c r="N183" s="201" t="str">
        <f aca="false">CHOOSE(1+LOG(1+2*(C183=1)+4*(C183=2)+8*(C183=3)+16*(C183=4)+32*(C183="S"),2),"","Meta","Nível 2","Nível 3","Nível 4","Serviço")</f>
        <v>Serviço</v>
      </c>
      <c r="O183" s="202" t="str">
        <f aca="false">IF(OR($C183=0,$L183=""),"-",CONCATENATE(E183&amp;".",IF(AND($A$5&gt;=2,$C183&gt;=2),F183&amp;".",""),IF(AND($A$5&gt;=3,$C183&gt;=3),G183&amp;".",""),IF(AND($A$5&gt;=4,$C183&gt;=4),H183&amp;".",""),IF($C183="S",I183&amp;".","")))</f>
        <v>1.45.11.</v>
      </c>
      <c r="P183" s="203" t="s">
        <v>780</v>
      </c>
      <c r="Q183" s="204" t="n">
        <v>89798</v>
      </c>
      <c r="R183" s="205" t="str">
        <f aca="false">[4]PO!$D$210</f>
        <v>TUBO PVC, SERIE NORMAL, ESGOTO PREDIAL, DN 50 MM, FORNECIDO E INSTALADO EM PRUMADA DE ESGOTO SANITÁRIO OU VENTILAÇÃO. AF_08/2022</v>
      </c>
      <c r="S183" s="206" t="s">
        <v>648</v>
      </c>
      <c r="T183" s="207" t="n">
        <f aca="true">OFFSET(CÁLCULO!H$15,ROW($T183)-ROW(T$15),0)</f>
        <v>100</v>
      </c>
      <c r="U183" s="208" t="n">
        <v>13.3</v>
      </c>
      <c r="V183" s="209" t="s">
        <v>690</v>
      </c>
      <c r="W183" s="207" t="n">
        <f aca="false">IF($C183="S",ROUND(IF(TIPOORCAMENTO="Proposto",ORÇAMENTO.CustoUnitario*(1+$AH183),ORÇAMENTO.PrecoUnitarioLicitado),15-13*$AF$10),0)</f>
        <v>17.16</v>
      </c>
      <c r="X183" s="210" t="n">
        <f aca="true" t="array" ref="X183:X183">IF($C183="S",IF(OR(Import.TipoArredondamento&lt;&gt;"TransfereGOV",ACOMPANHAMENTO="BM"),VTOTAL1,SUM(OFFSET(CÁLCULO!$AQ$15,ROW($X183)-ROW($X$15),1):OFFSET(CÁLCULO!$BR$15,ROW($X183)-ROW($X$15),-1))),IF($C183=0,0,ROUND(SomaAgrup,15-13*$AF$11)))</f>
        <v>1716</v>
      </c>
      <c r="Y183" s="211" t="s">
        <v>781</v>
      </c>
      <c r="Z183" s="1" t="str">
        <f aca="false">IF(AND($C183="S",$X183&gt;0),IF(ISBLANK($Y183),"RA",LEFT($Y183,2)),"")</f>
        <v>RA</v>
      </c>
      <c r="AA183" s="212" t="n">
        <f aca="true">IF($C183="S",IF($Z183="CP",$X183,IF($Z183="RA",(($X183)*QCI!$AA$3),0)),SomaAgrup)</f>
        <v>190.444299581544</v>
      </c>
      <c r="AB183" s="213" t="n">
        <f aca="true">IF($C183="S",IF($Z183="OU",ROUND($X183,2),0),SomaAgrup)</f>
        <v>0</v>
      </c>
      <c r="AC183" s="214" t="e">
        <f aca="false" t="array" ref="AC183:AC183">IF($N183=""," ",
IF(AND($C183&lt;&gt;"S",OR($R183="",$R183="(digite a descrição aqui)")),"DESCRIÇÃO",
IF(AND($C183="S",OR($Q183&lt;&gt;"",$T183&gt;0,$U183&gt;0),$P183=""),"FONTE",
IF(AND($C183="S",$P183&lt;&gt;"",OR($T183&gt;0,$U183&gt;0),$Q183=""),"CÓDIGO",
IF(AND($C183="S",$P183&lt;&gt;"",$Q183&lt;&gt;"",$R183="(Código não identificado nas referências)"),"CÓDIGO N/ID",
IF(AND($C183="S",OR($R183="",$R183="(digite a descrição aqui)"),OR($Q183&lt;&gt;"",$T183&gt;0,$U183&gt;0)),"DESCRIÇÃO",
IF(AND($C183="S",$P183&lt;&gt;"",$Q183&lt;&gt;"",$S183=""),"UNIDADE",
IF(AND($C183="S",$P183&lt;&gt;"",$Q183&lt;&gt;"",$U183=0),"SEM CUSTO",
IF(AND(_xlfn.single(TIPOORCAMENTO)="Licitado",$AL183=0,$AN183&gt;0),"SEM PREÇO",
IF(AND($C183="S",$P183&lt;&gt;"",$Q183&lt;&gt;"",$U183&gt;0,$V183=0),"BDI",
IF(OR(AND(TIPOORCAMENTO="Proposto",LEFT($O$8,5)&lt;&gt;"(N/D:",$AG183&lt;&gt;"",ORÇAMENTO.CustoUnitario&gt;$AG183),AND(TIPOORCAMENTO="LICITADO",ORÇAMENTO.PrecoUnitarioLicitado&gt;$AN183)),"ACIMA REF.",
IF(AND($C183="S",$P183&lt;&gt;"",$Q183&lt;&gt;"",$T183=0,$U183&gt;0),"QUANT.",
IF(AND(Import.TipoArredondamento="TransfereGOV",$L183="F",$C183="S",LEN($Q183)&gt;13),"Código &gt;13",
IF(AND(Import.TipoArredondamento="TransfereGOV",$L183="F",$C183&lt;&gt;"S",LEN($R183)&gt;100),"Descrição &gt;100",
IF(AND(Import.TipoArredondamento="TransfereGOV",$L183="F",$C183="S",LEN($R183)&gt;500),"Descrição &gt;500",
IF(AND(Import.TipoArredondamento="TransfereGOV",$L183="F",$C183="S",LEFT(TRIM(UPPER($P183)),6)&lt;&gt;"SINAPI",ISNA(VLOOKUP(TRIM(UPPER($S183)),ListaTgov.Unidades,1,FALSE()))),"Unid. Não Disp",
" "))))))))))))))))</f>
        <v>#NAME?</v>
      </c>
      <c r="AD183" s="1" t="str">
        <f aca="true">IF(C183&lt;=CRONO.NivelExibicao,MAX($AD$15:OFFSET(AD183,-1,0))+IF($C183&lt;&gt;1,1,MAX(1,COUNTIF(QCI!$A$13:$A$15,OFFSET($E183,-1,0)))),"")</f>
        <v/>
      </c>
      <c r="AE183" s="50" t="str">
        <f aca="false">IF(AND($C183="S",ORÇAMENTO.CodBarra&lt;&gt;""),IF(ORÇAMENTO.Fonte="",ORÇAMENTO.CodBarra,CONCATENATE(ORÇAMENTO.Fonte," ",ORÇAMENTO.CodBarra)))</f>
        <v>SINAPI 89798</v>
      </c>
      <c r="AF183" s="65" t="str">
        <f aca="true">IF(ISERROR(INDIRECT(ORÇAMENTO.BancoRef)),"(abra o arquivo 'Referência "&amp;Excel_BuiltIn_Database&amp;".xlsm)",IF(OR($C183&lt;&gt;"S",ORÇAMENTO.CodBarra=""),"(Sem Código)",IF(ISERROR(MATCH($AE183,INDIRECT(ORÇAMENTO.BancoRef),0)),"(Código não identificado nas referências)",MATCH($AE183,INDIRECT(ORÇAMENTO.BancoRef),0))))</f>
        <v>(abra o arquivo 'Referência 07-2025.xlsm)</v>
      </c>
      <c r="AG183" s="215" t="n">
        <f aca="true">ROUND(IF(DESONERACAO="sim",REFERENCIA.Desonerado,REFERENCIA.NaoDesonerado),2)</f>
        <v>0</v>
      </c>
      <c r="AH183" s="216" t="n">
        <f aca="false">ROUND(IF(ISNUMBER(ORÇAMENTO.OpcaoBDI),ORÇAMENTO.OpcaoBDI,IF(LEFT(ORÇAMENTO.OpcaoBDI,3)="BDI",HLOOKUP(ORÇAMENTO.OpcaoBDI,$F$4:$H$5,2,FALSE()),0)),15-11*$AF$9)</f>
        <v>0.2904</v>
      </c>
      <c r="AJ183" s="217"/>
      <c r="AL183" s="218"/>
      <c r="AM183" s="219" t="n">
        <f aca="false">$X183</f>
        <v>1716</v>
      </c>
      <c r="AN183" s="220" t="n">
        <f aca="false">ROUND(ORÇAMENTO.CustoUnitario*(1+$AH183),2)</f>
        <v>17.16</v>
      </c>
    </row>
    <row r="184" customFormat="false" ht="35.05" hidden="false" customHeight="false" outlineLevel="0" collapsed="false">
      <c r="A184" s="1" t="str">
        <f aca="false">CHOOSE(1+LOG(1+2*(ORÇAMENTO.Nivel="Meta")+4*(ORÇAMENTO.Nivel="Nível 2")+8*(ORÇAMENTO.Nivel="Nível 3")+16*(ORÇAMENTO.Nivel="Nível 4")+32*(ORÇAMENTO.Nivel="Serviço"),2),0,1,2,3,4,"S")</f>
        <v>S</v>
      </c>
      <c r="B184" s="1" t="n">
        <f aca="true">IF(OR(C184="s",C184=0),OFFSET(B184,-1,0),C184)</f>
        <v>2</v>
      </c>
      <c r="C184" s="1" t="str">
        <f aca="true">IF(OFFSET(C184,-1,0)="L",1,IF(OFFSET(C184,-1,0)=1,2,IF(OR(A184="s",A184=0),"S",IF(AND(OFFSET(C184,-1,0)=2,A184=4),3,IF(AND(OR(OFFSET(C184,-1,0)="s",OFFSET(C184,-1,0)=0),A184&lt;&gt;"s",A184&gt;OFFSET(B184,-1,0)),OFFSET(B184,-1,0),A184)))))</f>
        <v>S</v>
      </c>
      <c r="D184" s="1" t="n">
        <f aca="false">IF(OR(C184="S",C184=0),0,IF(ISERROR(K184),J184,SMALL(J184:K184,1)))</f>
        <v>0</v>
      </c>
      <c r="E184" s="1" t="n">
        <f aca="true">IF($C184=1,OFFSET(E184,-1,0)+MAX(1,COUNTIF(QCI!$A$13:$A$15,OFFSET(ORÇAMENTO!E184,-1,0))),OFFSET(E184,-1,0))</f>
        <v>1</v>
      </c>
      <c r="F184" s="1" t="n">
        <f aca="true">IF($C184=1,0,IF($C184=2,OFFSET(F184,-1,0)+1,OFFSET(F184,-1,0)))</f>
        <v>45</v>
      </c>
      <c r="G184" s="1" t="n">
        <f aca="true">IF(AND($C184&lt;=2,$C184&lt;&gt;0),0,IF($C184=3,OFFSET(G184,-1,0)+1,OFFSET(G184,-1,0)))</f>
        <v>0</v>
      </c>
      <c r="H184" s="1" t="n">
        <f aca="true">IF(AND($C184&lt;=3,$C184&lt;&gt;0),0,IF($C184=4,OFFSET(H184,-1,0)+1,OFFSET(H184,-1,0)))</f>
        <v>0</v>
      </c>
      <c r="I184" s="1" t="n">
        <f aca="true">IF(AND($C184&lt;=4,$C184&lt;&gt;0),0,IF(AND($C184="S",$X184&gt;0),OFFSET(I184,-1,0)+1,OFFSET(I184,-1,0)))</f>
        <v>12</v>
      </c>
      <c r="J184" s="1" t="n">
        <f aca="true">IF(OR($C184="S",$C184=0),0,MATCH(0,OFFSET($D184,1,$C184,ROW($C$205)-ROW($C184)),0))</f>
        <v>0</v>
      </c>
      <c r="K184" s="1" t="n">
        <f aca="true">IF(OR($C184="S",$C184=0),0,MATCH(OFFSET($D184,0,$C184)+IF($C184&lt;&gt;1,1,COUNTIF(QCI!$A$13:$A$15,ORÇAMENTO!E184)),OFFSET($D184,1,$C184,ROW($C$205)-ROW($C184)),0))</f>
        <v>0</v>
      </c>
      <c r="L184" s="199" t="str">
        <f aca="false">IF(OR($X184&gt;0,$C184=1,$C184=2,$C184=3,$C184=4),"F","")</f>
        <v>F</v>
      </c>
      <c r="M184" s="200" t="s">
        <v>735</v>
      </c>
      <c r="N184" s="201" t="str">
        <f aca="false">CHOOSE(1+LOG(1+2*(C184=1)+4*(C184=2)+8*(C184=3)+16*(C184=4)+32*(C184="S"),2),"","Meta","Nível 2","Nível 3","Nível 4","Serviço")</f>
        <v>Serviço</v>
      </c>
      <c r="O184" s="202" t="str">
        <f aca="false">IF(OR($C184=0,$L184=""),"-",CONCATENATE(E184&amp;".",IF(AND($A$5&gt;=2,$C184&gt;=2),F184&amp;".",""),IF(AND($A$5&gt;=3,$C184&gt;=3),G184&amp;".",""),IF(AND($A$5&gt;=4,$C184&gt;=4),H184&amp;".",""),IF($C184="S",I184&amp;".","")))</f>
        <v>1.45.12.</v>
      </c>
      <c r="P184" s="203" t="s">
        <v>780</v>
      </c>
      <c r="Q184" s="204" t="n">
        <v>89714</v>
      </c>
      <c r="R184" s="205" t="str">
        <f aca="false">[4]PO!$D$211</f>
        <v>TUBO PVC, SERIE NORMAL, ESGOTO PREDIAL, DN 100 MM, FORNECIDO E INSTALADO EM RAMAL DE DESCARGA OU RAMAL DE ESGOTO SANITÁRIO. AF_08/2022</v>
      </c>
      <c r="S184" s="206" t="s">
        <v>648</v>
      </c>
      <c r="T184" s="207" t="n">
        <f aca="true">OFFSET(CÁLCULO!H$15,ROW($T184)-ROW(T$15),0)</f>
        <v>406.25</v>
      </c>
      <c r="U184" s="208" t="n">
        <v>37.91</v>
      </c>
      <c r="V184" s="209" t="s">
        <v>690</v>
      </c>
      <c r="W184" s="207" t="n">
        <f aca="false">IF($C184="S",ROUND(IF(TIPOORCAMENTO="Proposto",ORÇAMENTO.CustoUnitario*(1+$AH184),ORÇAMENTO.PrecoUnitarioLicitado),15-13*$AF$10),0)</f>
        <v>48.92</v>
      </c>
      <c r="X184" s="210" t="n">
        <f aca="true" t="array" ref="X184:X184">IF($C184="S",IF(OR(Import.TipoArredondamento&lt;&gt;"TransfereGOV",ACOMPANHAMENTO="BM"),VTOTAL1,SUM(OFFSET(CÁLCULO!$AQ$15,ROW($X184)-ROW($X$15),1):OFFSET(CÁLCULO!$BR$15,ROW($X184)-ROW($X$15),-1))),IF($C184=0,0,ROUND(SomaAgrup,15-13*$AF$11)))</f>
        <v>19873.75</v>
      </c>
      <c r="Y184" s="211" t="s">
        <v>781</v>
      </c>
      <c r="Z184" s="1" t="str">
        <f aca="false">IF(AND($C184="S",$X184&gt;0),IF(ISBLANK($Y184),"RA",LEFT($Y184,2)),"")</f>
        <v>RA</v>
      </c>
      <c r="AA184" s="212" t="n">
        <f aca="true">IF($C184="S",IF($Z184="CP",$X184,IF($Z184="RA",(($X184)*QCI!$AA$3),0)),SomaAgrup)</f>
        <v>2205.61911352489</v>
      </c>
      <c r="AB184" s="213" t="n">
        <f aca="true">IF($C184="S",IF($Z184="OU",ROUND($X184,2),0),SomaAgrup)</f>
        <v>0</v>
      </c>
      <c r="AC184" s="214" t="e">
        <f aca="false" t="array" ref="AC184:AC184">IF($N184=""," ",
IF(AND($C184&lt;&gt;"S",OR($R184="",$R184="(digite a descrição aqui)")),"DESCRIÇÃO",
IF(AND($C184="S",OR($Q184&lt;&gt;"",$T184&gt;0,$U184&gt;0),$P184=""),"FONTE",
IF(AND($C184="S",$P184&lt;&gt;"",OR($T184&gt;0,$U184&gt;0),$Q184=""),"CÓDIGO",
IF(AND($C184="S",$P184&lt;&gt;"",$Q184&lt;&gt;"",$R184="(Código não identificado nas referências)"),"CÓDIGO N/ID",
IF(AND($C184="S",OR($R184="",$R184="(digite a descrição aqui)"),OR($Q184&lt;&gt;"",$T184&gt;0,$U184&gt;0)),"DESCRIÇÃO",
IF(AND($C184="S",$P184&lt;&gt;"",$Q184&lt;&gt;"",$S184=""),"UNIDADE",
IF(AND($C184="S",$P184&lt;&gt;"",$Q184&lt;&gt;"",$U184=0),"SEM CUSTO",
IF(AND(_xlfn.single(TIPOORCAMENTO)="Licitado",$AL184=0,$AN184&gt;0),"SEM PREÇO",
IF(AND($C184="S",$P184&lt;&gt;"",$Q184&lt;&gt;"",$U184&gt;0,$V184=0),"BDI",
IF(OR(AND(TIPOORCAMENTO="Proposto",LEFT($O$8,5)&lt;&gt;"(N/D:",$AG184&lt;&gt;"",ORÇAMENTO.CustoUnitario&gt;$AG184),AND(TIPOORCAMENTO="LICITADO",ORÇAMENTO.PrecoUnitarioLicitado&gt;$AN184)),"ACIMA REF.",
IF(AND($C184="S",$P184&lt;&gt;"",$Q184&lt;&gt;"",$T184=0,$U184&gt;0),"QUANT.",
IF(AND(Import.TipoArredondamento="TransfereGOV",$L184="F",$C184="S",LEN($Q184)&gt;13),"Código &gt;13",
IF(AND(Import.TipoArredondamento="TransfereGOV",$L184="F",$C184&lt;&gt;"S",LEN($R184)&gt;100),"Descrição &gt;100",
IF(AND(Import.TipoArredondamento="TransfereGOV",$L184="F",$C184="S",LEN($R184)&gt;500),"Descrição &gt;500",
IF(AND(Import.TipoArredondamento="TransfereGOV",$L184="F",$C184="S",LEFT(TRIM(UPPER($P184)),6)&lt;&gt;"SINAPI",ISNA(VLOOKUP(TRIM(UPPER($S184)),ListaTgov.Unidades,1,FALSE()))),"Unid. Não Disp",
" "))))))))))))))))</f>
        <v>#NAME?</v>
      </c>
      <c r="AD184" s="1" t="str">
        <f aca="true">IF(C184&lt;=CRONO.NivelExibicao,MAX($AD$15:OFFSET(AD184,-1,0))+IF($C184&lt;&gt;1,1,MAX(1,COUNTIF(QCI!$A$13:$A$15,OFFSET($E184,-1,0)))),"")</f>
        <v/>
      </c>
      <c r="AE184" s="50" t="str">
        <f aca="false">IF(AND($C184="S",ORÇAMENTO.CodBarra&lt;&gt;""),IF(ORÇAMENTO.Fonte="",ORÇAMENTO.CodBarra,CONCATENATE(ORÇAMENTO.Fonte," ",ORÇAMENTO.CodBarra)))</f>
        <v>SINAPI 89714</v>
      </c>
      <c r="AF184" s="65" t="str">
        <f aca="true">IF(ISERROR(INDIRECT(ORÇAMENTO.BancoRef)),"(abra o arquivo 'Referência "&amp;Excel_BuiltIn_Database&amp;".xlsm)",IF(OR($C184&lt;&gt;"S",ORÇAMENTO.CodBarra=""),"(Sem Código)",IF(ISERROR(MATCH($AE184,INDIRECT(ORÇAMENTO.BancoRef),0)),"(Código não identificado nas referências)",MATCH($AE184,INDIRECT(ORÇAMENTO.BancoRef),0))))</f>
        <v>(abra o arquivo 'Referência 07-2025.xlsm)</v>
      </c>
      <c r="AG184" s="215" t="n">
        <f aca="true">ROUND(IF(DESONERACAO="sim",REFERENCIA.Desonerado,REFERENCIA.NaoDesonerado),2)</f>
        <v>0</v>
      </c>
      <c r="AH184" s="216" t="n">
        <f aca="false">ROUND(IF(ISNUMBER(ORÇAMENTO.OpcaoBDI),ORÇAMENTO.OpcaoBDI,IF(LEFT(ORÇAMENTO.OpcaoBDI,3)="BDI",HLOOKUP(ORÇAMENTO.OpcaoBDI,$F$4:$H$5,2,FALSE()),0)),15-11*$AF$9)</f>
        <v>0.2904</v>
      </c>
      <c r="AJ184" s="217"/>
      <c r="AL184" s="218"/>
      <c r="AM184" s="219" t="n">
        <f aca="false">$X184</f>
        <v>19873.75</v>
      </c>
      <c r="AN184" s="220" t="n">
        <f aca="false">ROUND(ORÇAMENTO.CustoUnitario*(1+$AH184),2)</f>
        <v>48.92</v>
      </c>
    </row>
    <row r="185" customFormat="false" ht="12.75" hidden="false" customHeight="false" outlineLevel="0" collapsed="false">
      <c r="A185" s="1" t="n">
        <f aca="false">CHOOSE(1+LOG(1+2*(ORÇAMENTO.Nivel="Meta")+4*(ORÇAMENTO.Nivel="Nível 2")+8*(ORÇAMENTO.Nivel="Nível 3")+16*(ORÇAMENTO.Nivel="Nível 4")+32*(ORÇAMENTO.Nivel="Serviço"),2),0,1,2,3,4,"S")</f>
        <v>2</v>
      </c>
      <c r="B185" s="1" t="n">
        <f aca="true">IF(OR(C185="s",C185=0),OFFSET(B185,-1,0),C185)</f>
        <v>2</v>
      </c>
      <c r="C185" s="1" t="n">
        <f aca="true">IF(OFFSET(C185,-1,0)="L",1,IF(OFFSET(C185,-1,0)=1,2,IF(OR(A185="s",A185=0),"S",IF(AND(OFFSET(C185,-1,0)=2,A185=4),3,IF(AND(OR(OFFSET(C185,-1,0)="s",OFFSET(C185,-1,0)=0),A185&lt;&gt;"s",A185&gt;OFFSET(B185,-1,0)),OFFSET(B185,-1,0),A185)))))</f>
        <v>2</v>
      </c>
      <c r="D185" s="1" t="n">
        <f aca="false">IF(OR(C185="S",C185=0),0,IF(ISERROR(K185),J185,SMALL(J185:K185,1)))</f>
        <v>4</v>
      </c>
      <c r="E185" s="1" t="n">
        <f aca="true">IF($C185=1,OFFSET(E185,-1,0)+MAX(1,COUNTIF(QCI!$A$13:$A$15,OFFSET(ORÇAMENTO!E185,-1,0))),OFFSET(E185,-1,0))</f>
        <v>1</v>
      </c>
      <c r="F185" s="1" t="n">
        <f aca="true">IF($C185=1,0,IF($C185=2,OFFSET(F185,-1,0)+1,OFFSET(F185,-1,0)))</f>
        <v>46</v>
      </c>
      <c r="G185" s="1" t="n">
        <f aca="true">IF(AND($C185&lt;=2,$C185&lt;&gt;0),0,IF($C185=3,OFFSET(G185,-1,0)+1,OFFSET(G185,-1,0)))</f>
        <v>0</v>
      </c>
      <c r="H185" s="1" t="n">
        <f aca="true">IF(AND($C185&lt;=3,$C185&lt;&gt;0),0,IF($C185=4,OFFSET(H185,-1,0)+1,OFFSET(H185,-1,0)))</f>
        <v>0</v>
      </c>
      <c r="I185" s="1" t="n">
        <f aca="true">IF(AND($C185&lt;=4,$C185&lt;&gt;0),0,IF(AND($C185="S",$X185&gt;0),OFFSET(I185,-1,0)+1,OFFSET(I185,-1,0)))</f>
        <v>0</v>
      </c>
      <c r="J185" s="1" t="n">
        <f aca="true">IF(OR($C185="S",$C185=0),0,MATCH(0,OFFSET($D185,1,$C185,ROW($C$205)-ROW($C185)),0))</f>
        <v>20</v>
      </c>
      <c r="K185" s="1" t="n">
        <f aca="true">IF(OR($C185="S",$C185=0),0,MATCH(OFFSET($D185,0,$C185)+IF($C185&lt;&gt;1,1,COUNTIF(QCI!$A$13:$A$15,ORÇAMENTO!E185)),OFFSET($D185,1,$C185,ROW($C$205)-ROW($C185)),0))</f>
        <v>4</v>
      </c>
      <c r="L185" s="199" t="str">
        <f aca="false">IF(OR($X185&gt;0,$C185=1,$C185=2,$C185=3,$C185=4),"F","")</f>
        <v>F</v>
      </c>
      <c r="M185" s="200" t="s">
        <v>732</v>
      </c>
      <c r="N185" s="201" t="str">
        <f aca="false">CHOOSE(1+LOG(1+2*(C185=1)+4*(C185=2)+8*(C185=3)+16*(C185=4)+32*(C185="S"),2),"","Meta","Nível 2","Nível 3","Nível 4","Serviço")</f>
        <v>Nível 2</v>
      </c>
      <c r="O185" s="202" t="str">
        <f aca="false">IF(OR($C185=0,$L185=""),"-",CONCATENATE(E185&amp;".",IF(AND($A$5&gt;=2,$C185&gt;=2),F185&amp;".",""),IF(AND($A$5&gt;=3,$C185&gt;=3),G185&amp;".",""),IF(AND($A$5&gt;=4,$C185&gt;=4),H185&amp;".",""),IF($C185="S",I185&amp;".","")))</f>
        <v>1.46.</v>
      </c>
      <c r="P185" s="203" t="s">
        <v>780</v>
      </c>
      <c r="Q185" s="204"/>
      <c r="R185" s="205" t="str">
        <f aca="false">[4]PO!$B$212</f>
        <v>ACESSÓRIOS/CAIXAS</v>
      </c>
      <c r="S185" s="206" t="str">
        <f aca="true">REFERENCIA.Unidade</f>
        <v>-</v>
      </c>
      <c r="T185" s="207" t="n">
        <f aca="true">OFFSET(CÁLCULO!H$15,ROW($T185)-ROW(T$15),0)</f>
        <v>0</v>
      </c>
      <c r="U185" s="208"/>
      <c r="V185" s="209" t="s">
        <v>690</v>
      </c>
      <c r="W185" s="207" t="n">
        <f aca="false">IF($C185="S",ROUND(IF(TIPOORCAMENTO="Proposto",ORÇAMENTO.CustoUnitario*(1+$AH185),ORÇAMENTO.PrecoUnitarioLicitado),15-13*$AF$10),0)</f>
        <v>0</v>
      </c>
      <c r="X185" s="210" t="n">
        <f aca="true" t="array" ref="X185:X185">IF($C185="S",IF(OR(Import.TipoArredondamento&lt;&gt;"TransfereGOV",ACOMPANHAMENTO="BM"),VTOTAL1,SUM(OFFSET(CÁLCULO!$AQ$15,ROW($X185)-ROW($X$15),1):OFFSET(CÁLCULO!$BR$15,ROW($X185)-ROW($X$15),-1))),IF($C185=0,0,ROUND(SomaAgrup,15-13*$AF$11)))</f>
        <v>13832.5</v>
      </c>
      <c r="Y185" s="211" t="s">
        <v>781</v>
      </c>
      <c r="Z185" s="1" t="str">
        <f aca="false">IF(AND($C185="S",$X185&gt;0),IF(ISBLANK($Y185),"RA",LEFT($Y185,2)),"")</f>
        <v/>
      </c>
      <c r="AA185" s="212" t="n">
        <f aca="true">IF($C185="S",IF($Z185="CP",$X185,IF($Z185="RA",(($X185)*QCI!$AA$3),0)),SomaAgrup)</f>
        <v>1535.15196617815</v>
      </c>
      <c r="AB185" s="213" t="n">
        <f aca="true">IF($C185="S",IF($Z185="OU",ROUND($X185,2),0),SomaAgrup)</f>
        <v>0</v>
      </c>
      <c r="AC185" s="214" t="e">
        <f aca="false" t="array" ref="AC185:AC185">IF($N185=""," ",
IF(AND($C185&lt;&gt;"S",OR($R185="",$R185="(digite a descrição aqui)")),"DESCRIÇÃO",
IF(AND($C185="S",OR($Q185&lt;&gt;"",$T185&gt;0,$U185&gt;0),$P185=""),"FONTE",
IF(AND($C185="S",$P185&lt;&gt;"",OR($T185&gt;0,$U185&gt;0),$Q185=""),"CÓDIGO",
IF(AND($C185="S",$P185&lt;&gt;"",$Q185&lt;&gt;"",$R185="(Código não identificado nas referências)"),"CÓDIGO N/ID",
IF(AND($C185="S",OR($R185="",$R185="(digite a descrição aqui)"),OR($Q185&lt;&gt;"",$T185&gt;0,$U185&gt;0)),"DESCRIÇÃO",
IF(AND($C185="S",$P185&lt;&gt;"",$Q185&lt;&gt;"",$S185=""),"UNIDADE",
IF(AND($C185="S",$P185&lt;&gt;"",$Q185&lt;&gt;"",$U185=0),"SEM CUSTO",
IF(AND(_xlfn.single(TIPOORCAMENTO)="Licitado",$AL185=0,$AN185&gt;0),"SEM PREÇO",
IF(AND($C185="S",$P185&lt;&gt;"",$Q185&lt;&gt;"",$U185&gt;0,$V185=0),"BDI",
IF(OR(AND(TIPOORCAMENTO="Proposto",LEFT($O$8,5)&lt;&gt;"(N/D:",$AG185&lt;&gt;"",ORÇAMENTO.CustoUnitario&gt;$AG185),AND(TIPOORCAMENTO="LICITADO",ORÇAMENTO.PrecoUnitarioLicitado&gt;$AN185)),"ACIMA REF.",
IF(AND($C185="S",$P185&lt;&gt;"",$Q185&lt;&gt;"",$T185=0,$U185&gt;0),"QUANT.",
IF(AND(Import.TipoArredondamento="TransfereGOV",$L185="F",$C185="S",LEN($Q185)&gt;13),"Código &gt;13",
IF(AND(Import.TipoArredondamento="TransfereGOV",$L185="F",$C185&lt;&gt;"S",LEN($R185)&gt;100),"Descrição &gt;100",
IF(AND(Import.TipoArredondamento="TransfereGOV",$L185="F",$C185="S",LEN($R185)&gt;500),"Descrição &gt;500",
IF(AND(Import.TipoArredondamento="TransfereGOV",$L185="F",$C185="S",LEFT(TRIM(UPPER($P185)),6)&lt;&gt;"SINAPI",ISNA(VLOOKUP(TRIM(UPPER($S185)),ListaTgov.Unidades,1,FALSE()))),"Unid. Não Disp",
" "))))))))))))))))</f>
        <v>#NAME?</v>
      </c>
      <c r="AD185" s="38" t="n">
        <f aca="true">IF(C185&lt;=CRONO.NivelExibicao,MAX($AD$15:OFFSET(AD185,-1,0))+IF($C185&lt;&gt;1,1,MAX(1,COUNTIF(QCI!$A$13:$A$15,OFFSET($E185,-1,0)))),"")</f>
        <v>47</v>
      </c>
      <c r="AE185" s="50" t="b">
        <f aca="false">IF(AND($C185="S",ORÇAMENTO.CodBarra&lt;&gt;""),IF(ORÇAMENTO.Fonte="",ORÇAMENTO.CodBarra,CONCATENATE(ORÇAMENTO.Fonte," ",ORÇAMENTO.CodBarra)))</f>
        <v>0</v>
      </c>
      <c r="AF185" s="65" t="str">
        <f aca="true">IF(ISERROR(INDIRECT(ORÇAMENTO.BancoRef)),"(abra o arquivo 'Referência "&amp;Excel_BuiltIn_Database&amp;".xlsm)",IF(OR($C185&lt;&gt;"S",ORÇAMENTO.CodBarra=""),"(Sem Código)",IF(ISERROR(MATCH($AE185,INDIRECT(ORÇAMENTO.BancoRef),0)),"(Código não identificado nas referências)",MATCH($AE185,INDIRECT(ORÇAMENTO.BancoRef),0))))</f>
        <v>(abra o arquivo 'Referência 07-2025.xlsm)</v>
      </c>
      <c r="AG185" s="215" t="n">
        <f aca="true">ROUND(IF(DESONERACAO="sim",REFERENCIA.Desonerado,REFERENCIA.NaoDesonerado),2)</f>
        <v>0</v>
      </c>
      <c r="AH185" s="216" t="n">
        <f aca="false">ROUND(IF(ISNUMBER(ORÇAMENTO.OpcaoBDI),ORÇAMENTO.OpcaoBDI,IF(LEFT(ORÇAMENTO.OpcaoBDI,3)="BDI",HLOOKUP(ORÇAMENTO.OpcaoBDI,$F$4:$H$5,2,FALSE()),0)),15-11*$AF$9)</f>
        <v>0.2904</v>
      </c>
      <c r="AJ185" s="217"/>
      <c r="AL185" s="218"/>
      <c r="AM185" s="219" t="n">
        <f aca="false">$X185</f>
        <v>13832.5</v>
      </c>
      <c r="AN185" s="220" t="n">
        <f aca="false">ROUND(ORÇAMENTO.CustoUnitario*(1+$AH185),2)</f>
        <v>0</v>
      </c>
    </row>
    <row r="186" customFormat="false" ht="35.05" hidden="false" customHeight="false" outlineLevel="0" collapsed="false">
      <c r="A186" s="1" t="str">
        <f aca="false">CHOOSE(1+LOG(1+2*(ORÇAMENTO.Nivel="Meta")+4*(ORÇAMENTO.Nivel="Nível 2")+8*(ORÇAMENTO.Nivel="Nível 3")+16*(ORÇAMENTO.Nivel="Nível 4")+32*(ORÇAMENTO.Nivel="Serviço"),2),0,1,2,3,4,"S")</f>
        <v>S</v>
      </c>
      <c r="B186" s="1" t="n">
        <f aca="true">IF(OR(C186="s",C186=0),OFFSET(B186,-1,0),C186)</f>
        <v>2</v>
      </c>
      <c r="C186" s="1" t="str">
        <f aca="true">IF(OFFSET(C186,-1,0)="L",1,IF(OFFSET(C186,-1,0)=1,2,IF(OR(A186="s",A186=0),"S",IF(AND(OFFSET(C186,-1,0)=2,A186=4),3,IF(AND(OR(OFFSET(C186,-1,0)="s",OFFSET(C186,-1,0)=0),A186&lt;&gt;"s",A186&gt;OFFSET(B186,-1,0)),OFFSET(B186,-1,0),A186)))))</f>
        <v>S</v>
      </c>
      <c r="D186" s="1" t="n">
        <f aca="false">IF(OR(C186="S",C186=0),0,IF(ISERROR(K186),J186,SMALL(J186:K186,1)))</f>
        <v>0</v>
      </c>
      <c r="E186" s="1" t="n">
        <f aca="true">IF($C186=1,OFFSET(E186,-1,0)+MAX(1,COUNTIF(QCI!$A$13:$A$15,OFFSET(ORÇAMENTO!E186,-1,0))),OFFSET(E186,-1,0))</f>
        <v>1</v>
      </c>
      <c r="F186" s="1" t="n">
        <f aca="true">IF($C186=1,0,IF($C186=2,OFFSET(F186,-1,0)+1,OFFSET(F186,-1,0)))</f>
        <v>46</v>
      </c>
      <c r="G186" s="1" t="n">
        <f aca="true">IF(AND($C186&lt;=2,$C186&lt;&gt;0),0,IF($C186=3,OFFSET(G186,-1,0)+1,OFFSET(G186,-1,0)))</f>
        <v>0</v>
      </c>
      <c r="H186" s="1" t="n">
        <f aca="true">IF(AND($C186&lt;=3,$C186&lt;&gt;0),0,IF($C186=4,OFFSET(H186,-1,0)+1,OFFSET(H186,-1,0)))</f>
        <v>0</v>
      </c>
      <c r="I186" s="1" t="n">
        <f aca="true">IF(AND($C186&lt;=4,$C186&lt;&gt;0),0,IF(AND($C186="S",$X186&gt;0),OFFSET(I186,-1,0)+1,OFFSET(I186,-1,0)))</f>
        <v>1</v>
      </c>
      <c r="J186" s="1" t="n">
        <f aca="true">IF(OR($C186="S",$C186=0),0,MATCH(0,OFFSET($D186,1,$C186,ROW($C$205)-ROW($C186)),0))</f>
        <v>0</v>
      </c>
      <c r="K186" s="1" t="n">
        <f aca="true">IF(OR($C186="S",$C186=0),0,MATCH(OFFSET($D186,0,$C186)+IF($C186&lt;&gt;1,1,COUNTIF(QCI!$A$13:$A$15,ORÇAMENTO!E186)),OFFSET($D186,1,$C186,ROW($C$205)-ROW($C186)),0))</f>
        <v>0</v>
      </c>
      <c r="L186" s="199" t="str">
        <f aca="false">IF(OR($X186&gt;0,$C186=1,$C186=2,$C186=3,$C186=4),"F","")</f>
        <v>F</v>
      </c>
      <c r="M186" s="200" t="s">
        <v>735</v>
      </c>
      <c r="N186" s="201" t="str">
        <f aca="false">CHOOSE(1+LOG(1+2*(C186=1)+4*(C186=2)+8*(C186=3)+16*(C186=4)+32*(C186="S"),2),"","Meta","Nível 2","Nível 3","Nível 4","Serviço")</f>
        <v>Serviço</v>
      </c>
      <c r="O186" s="202" t="str">
        <f aca="false">IF(OR($C186=0,$L186=""),"-",CONCATENATE(E186&amp;".",IF(AND($A$5&gt;=2,$C186&gt;=2),F186&amp;".",""),IF(AND($A$5&gt;=3,$C186&gt;=3),G186&amp;".",""),IF(AND($A$5&gt;=4,$C186&gt;=4),H186&amp;".",""),IF($C186="S",I186&amp;".","")))</f>
        <v>1.46.1.</v>
      </c>
      <c r="P186" s="203" t="s">
        <v>780</v>
      </c>
      <c r="Q186" s="204" t="n">
        <v>89707</v>
      </c>
      <c r="R186" s="205" t="str">
        <f aca="false">[4]PO!$D$214</f>
        <v>CAIXA SIFONADA, PVC, DN 100 X 100 X 50 MM, JUNTA ELÁSTICA, FORNECIDA E INSTALADA EM RAMAL DE DESCARGA OU EM RAMAL DE ESGOTO SANITÁRIO. AF_08/2022</v>
      </c>
      <c r="S186" s="206" t="s">
        <v>666</v>
      </c>
      <c r="T186" s="207" t="n">
        <f aca="true">OFFSET(CÁLCULO!H$15,ROW($T186)-ROW(T$15),0)</f>
        <v>25</v>
      </c>
      <c r="U186" s="208" t="n">
        <v>46.51</v>
      </c>
      <c r="V186" s="209" t="s">
        <v>690</v>
      </c>
      <c r="W186" s="207" t="n">
        <f aca="false">IF($C186="S",ROUND(IF(TIPOORCAMENTO="Proposto",ORÇAMENTO.CustoUnitario*(1+$AH186),ORÇAMENTO.PrecoUnitarioLicitado),15-13*$AF$10),0)</f>
        <v>60.02</v>
      </c>
      <c r="X186" s="210" t="n">
        <f aca="true" t="array" ref="X186:X186">IF($C186="S",IF(OR(Import.TipoArredondamento&lt;&gt;"TransfereGOV",ACOMPANHAMENTO="BM"),VTOTAL1,SUM(OFFSET(CÁLCULO!$AQ$15,ROW($X186)-ROW($X$15),1):OFFSET(CÁLCULO!$BR$15,ROW($X186)-ROW($X$15),-1))),IF($C186=0,0,ROUND(SomaAgrup,15-13*$AF$11)))</f>
        <v>1500.5</v>
      </c>
      <c r="Y186" s="211" t="s">
        <v>781</v>
      </c>
      <c r="Z186" s="1" t="str">
        <f aca="false">IF(AND($C186="S",$X186&gt;0),IF(ISBLANK($Y186),"RA",LEFT($Y186,2)),"")</f>
        <v>RA</v>
      </c>
      <c r="AA186" s="212" t="n">
        <f aca="true">IF($C186="S",IF($Z186="CP",$X186,IF($Z186="RA",(($X186)*QCI!$AA$3),0)),SomaAgrup)</f>
        <v>166.527780607288</v>
      </c>
      <c r="AB186" s="213" t="n">
        <f aca="true">IF($C186="S",IF($Z186="OU",ROUND($X186,2),0),SomaAgrup)</f>
        <v>0</v>
      </c>
      <c r="AC186" s="214" t="e">
        <f aca="false" t="array" ref="AC186:AC186">IF($N186=""," ",
IF(AND($C186&lt;&gt;"S",OR($R186="",$R186="(digite a descrição aqui)")),"DESCRIÇÃO",
IF(AND($C186="S",OR($Q186&lt;&gt;"",$T186&gt;0,$U186&gt;0),$P186=""),"FONTE",
IF(AND($C186="S",$P186&lt;&gt;"",OR($T186&gt;0,$U186&gt;0),$Q186=""),"CÓDIGO",
IF(AND($C186="S",$P186&lt;&gt;"",$Q186&lt;&gt;"",$R186="(Código não identificado nas referências)"),"CÓDIGO N/ID",
IF(AND($C186="S",OR($R186="",$R186="(digite a descrição aqui)"),OR($Q186&lt;&gt;"",$T186&gt;0,$U186&gt;0)),"DESCRIÇÃO",
IF(AND($C186="S",$P186&lt;&gt;"",$Q186&lt;&gt;"",$S186=""),"UNIDADE",
IF(AND($C186="S",$P186&lt;&gt;"",$Q186&lt;&gt;"",$U186=0),"SEM CUSTO",
IF(AND(_xlfn.single(TIPOORCAMENTO)="Licitado",$AL186=0,$AN186&gt;0),"SEM PREÇO",
IF(AND($C186="S",$P186&lt;&gt;"",$Q186&lt;&gt;"",$U186&gt;0,$V186=0),"BDI",
IF(OR(AND(TIPOORCAMENTO="Proposto",LEFT($O$8,5)&lt;&gt;"(N/D:",$AG186&lt;&gt;"",ORÇAMENTO.CustoUnitario&gt;$AG186),AND(TIPOORCAMENTO="LICITADO",ORÇAMENTO.PrecoUnitarioLicitado&gt;$AN186)),"ACIMA REF.",
IF(AND($C186="S",$P186&lt;&gt;"",$Q186&lt;&gt;"",$T186=0,$U186&gt;0),"QUANT.",
IF(AND(Import.TipoArredondamento="TransfereGOV",$L186="F",$C186="S",LEN($Q186)&gt;13),"Código &gt;13",
IF(AND(Import.TipoArredondamento="TransfereGOV",$L186="F",$C186&lt;&gt;"S",LEN($R186)&gt;100),"Descrição &gt;100",
IF(AND(Import.TipoArredondamento="TransfereGOV",$L186="F",$C186="S",LEN($R186)&gt;500),"Descrição &gt;500",
IF(AND(Import.TipoArredondamento="TransfereGOV",$L186="F",$C186="S",LEFT(TRIM(UPPER($P186)),6)&lt;&gt;"SINAPI",ISNA(VLOOKUP(TRIM(UPPER($S186)),ListaTgov.Unidades,1,FALSE()))),"Unid. Não Disp",
" "))))))))))))))))</f>
        <v>#NAME?</v>
      </c>
      <c r="AD186" s="1" t="str">
        <f aca="true">IF(C186&lt;=CRONO.NivelExibicao,MAX($AD$15:OFFSET(AD186,-1,0))+IF($C186&lt;&gt;1,1,MAX(1,COUNTIF(QCI!$A$13:$A$15,OFFSET($E186,-1,0)))),"")</f>
        <v/>
      </c>
      <c r="AE186" s="50" t="str">
        <f aca="false">IF(AND($C186="S",ORÇAMENTO.CodBarra&lt;&gt;""),IF(ORÇAMENTO.Fonte="",ORÇAMENTO.CodBarra,CONCATENATE(ORÇAMENTO.Fonte," ",ORÇAMENTO.CodBarra)))</f>
        <v>SINAPI 89707</v>
      </c>
      <c r="AF186" s="65" t="str">
        <f aca="true">IF(ISERROR(INDIRECT(ORÇAMENTO.BancoRef)),"(abra o arquivo 'Referência "&amp;Excel_BuiltIn_Database&amp;".xlsm)",IF(OR($C186&lt;&gt;"S",ORÇAMENTO.CodBarra=""),"(Sem Código)",IF(ISERROR(MATCH($AE186,INDIRECT(ORÇAMENTO.BancoRef),0)),"(Código não identificado nas referências)",MATCH($AE186,INDIRECT(ORÇAMENTO.BancoRef),0))))</f>
        <v>(abra o arquivo 'Referência 07-2025.xlsm)</v>
      </c>
      <c r="AG186" s="215" t="n">
        <f aca="true">ROUND(IF(DESONERACAO="sim",REFERENCIA.Desonerado,REFERENCIA.NaoDesonerado),2)</f>
        <v>0</v>
      </c>
      <c r="AH186" s="216" t="n">
        <f aca="false">ROUND(IF(ISNUMBER(ORÇAMENTO.OpcaoBDI),ORÇAMENTO.OpcaoBDI,IF(LEFT(ORÇAMENTO.OpcaoBDI,3)="BDI",HLOOKUP(ORÇAMENTO.OpcaoBDI,$F$4:$H$5,2,FALSE()),0)),15-11*$AF$9)</f>
        <v>0.2904</v>
      </c>
      <c r="AJ186" s="217"/>
      <c r="AL186" s="218"/>
      <c r="AM186" s="219" t="n">
        <f aca="false">$X186</f>
        <v>1500.5</v>
      </c>
      <c r="AN186" s="220" t="n">
        <f aca="false">ROUND(ORÇAMENTO.CustoUnitario*(1+$AH186),2)</f>
        <v>60.02</v>
      </c>
    </row>
    <row r="187" customFormat="false" ht="35.05" hidden="false" customHeight="false" outlineLevel="0" collapsed="false">
      <c r="A187" s="1" t="str">
        <f aca="false">CHOOSE(1+LOG(1+2*(ORÇAMENTO.Nivel="Meta")+4*(ORÇAMENTO.Nivel="Nível 2")+8*(ORÇAMENTO.Nivel="Nível 3")+16*(ORÇAMENTO.Nivel="Nível 4")+32*(ORÇAMENTO.Nivel="Serviço"),2),0,1,2,3,4,"S")</f>
        <v>S</v>
      </c>
      <c r="B187" s="1" t="n">
        <f aca="true">IF(OR(C187="s",C187=0),OFFSET(B187,-1,0),C187)</f>
        <v>2</v>
      </c>
      <c r="C187" s="1" t="str">
        <f aca="true">IF(OFFSET(C187,-1,0)="L",1,IF(OFFSET(C187,-1,0)=1,2,IF(OR(A187="s",A187=0),"S",IF(AND(OFFSET(C187,-1,0)=2,A187=4),3,IF(AND(OR(OFFSET(C187,-1,0)="s",OFFSET(C187,-1,0)=0),A187&lt;&gt;"s",A187&gt;OFFSET(B187,-1,0)),OFFSET(B187,-1,0),A187)))))</f>
        <v>S</v>
      </c>
      <c r="D187" s="1" t="n">
        <f aca="false">IF(OR(C187="S",C187=0),0,IF(ISERROR(K187),J187,SMALL(J187:K187,1)))</f>
        <v>0</v>
      </c>
      <c r="E187" s="1" t="n">
        <f aca="true">IF($C187=1,OFFSET(E187,-1,0)+MAX(1,COUNTIF(QCI!$A$13:$A$15,OFFSET(ORÇAMENTO!E187,-1,0))),OFFSET(E187,-1,0))</f>
        <v>1</v>
      </c>
      <c r="F187" s="1" t="n">
        <f aca="true">IF($C187=1,0,IF($C187=2,OFFSET(F187,-1,0)+1,OFFSET(F187,-1,0)))</f>
        <v>46</v>
      </c>
      <c r="G187" s="1" t="n">
        <f aca="true">IF(AND($C187&lt;=2,$C187&lt;&gt;0),0,IF($C187=3,OFFSET(G187,-1,0)+1,OFFSET(G187,-1,0)))</f>
        <v>0</v>
      </c>
      <c r="H187" s="1" t="n">
        <f aca="true">IF(AND($C187&lt;=3,$C187&lt;&gt;0),0,IF($C187=4,OFFSET(H187,-1,0)+1,OFFSET(H187,-1,0)))</f>
        <v>0</v>
      </c>
      <c r="I187" s="1" t="n">
        <f aca="true">IF(AND($C187&lt;=4,$C187&lt;&gt;0),0,IF(AND($C187="S",$X187&gt;0),OFFSET(I187,-1,0)+1,OFFSET(I187,-1,0)))</f>
        <v>2</v>
      </c>
      <c r="J187" s="1" t="n">
        <f aca="true">IF(OR($C187="S",$C187=0),0,MATCH(0,OFFSET($D187,1,$C187,ROW($C$205)-ROW($C187)),0))</f>
        <v>0</v>
      </c>
      <c r="K187" s="1" t="n">
        <f aca="true">IF(OR($C187="S",$C187=0),0,MATCH(OFFSET($D187,0,$C187)+IF($C187&lt;&gt;1,1,COUNTIF(QCI!$A$13:$A$15,ORÇAMENTO!E187)),OFFSET($D187,1,$C187,ROW($C$205)-ROW($C187)),0))</f>
        <v>0</v>
      </c>
      <c r="L187" s="199" t="str">
        <f aca="false">IF(OR($X187&gt;0,$C187=1,$C187=2,$C187=3,$C187=4),"F","")</f>
        <v>F</v>
      </c>
      <c r="M187" s="200" t="s">
        <v>735</v>
      </c>
      <c r="N187" s="201" t="str">
        <f aca="false">CHOOSE(1+LOG(1+2*(C187=1)+4*(C187=2)+8*(C187=3)+16*(C187=4)+32*(C187="S"),2),"","Meta","Nível 2","Nível 3","Nível 4","Serviço")</f>
        <v>Serviço</v>
      </c>
      <c r="O187" s="202" t="str">
        <f aca="false">IF(OR($C187=0,$L187=""),"-",CONCATENATE(E187&amp;".",IF(AND($A$5&gt;=2,$C187&gt;=2),F187&amp;".",""),IF(AND($A$5&gt;=3,$C187&gt;=3),G187&amp;".",""),IF(AND($A$5&gt;=4,$C187&gt;=4),H187&amp;".",""),IF($C187="S",I187&amp;".","")))</f>
        <v>1.46.2.</v>
      </c>
      <c r="P187" s="203" t="s">
        <v>780</v>
      </c>
      <c r="Q187" s="204" t="n">
        <v>104327</v>
      </c>
      <c r="R187" s="205" t="str">
        <f aca="false">[2]PO!$D$215</f>
        <v>RALO SIFONADO REDONDO, PVC, DN 100 X 40 MM, JUNTA SOLDÁVEL, FORNECIDO E INSTALADO EM RAMAL DE DESCARGA OU EM RAMAL DE ESGOTO SANITÁRIO. AF_08/2022</v>
      </c>
      <c r="S187" s="206" t="s">
        <v>666</v>
      </c>
      <c r="T187" s="207" t="n">
        <f aca="true">OFFSET(CÁLCULO!H$15,ROW($T187)-ROW(T$15),0)</f>
        <v>25</v>
      </c>
      <c r="U187" s="208" t="n">
        <f aca="false">[2]PO!$G$215</f>
        <v>18.24</v>
      </c>
      <c r="V187" s="209" t="s">
        <v>690</v>
      </c>
      <c r="W187" s="207" t="n">
        <f aca="false">IF($C187="S",ROUND(IF(TIPOORCAMENTO="Proposto",ORÇAMENTO.CustoUnitario*(1+$AH187),ORÇAMENTO.PrecoUnitarioLicitado),15-13*$AF$10),0)</f>
        <v>23.54</v>
      </c>
      <c r="X187" s="210" t="n">
        <f aca="true" t="array" ref="X187:X187">IF($C187="S",IF(OR(Import.TipoArredondamento&lt;&gt;"TransfereGOV",ACOMPANHAMENTO="BM"),VTOTAL1,SUM(OFFSET(CÁLCULO!$AQ$15,ROW($X187)-ROW($X$15),1):OFFSET(CÁLCULO!$BR$15,ROW($X187)-ROW($X$15),-1))),IF($C187=0,0,ROUND(SomaAgrup,15-13*$AF$11)))</f>
        <v>588.5</v>
      </c>
      <c r="Y187" s="211" t="s">
        <v>781</v>
      </c>
      <c r="Z187" s="1" t="str">
        <f aca="false">IF(AND($C187="S",$X187&gt;0),IF(ISBLANK($Y187),"RA",LEFT($Y187,2)),"")</f>
        <v>RA</v>
      </c>
      <c r="AA187" s="212" t="n">
        <f aca="true">IF($C187="S",IF($Z187="CP",$X187,IF($Z187="RA",(($X187)*QCI!$AA$3),0)),SomaAgrup)</f>
        <v>65.312628382132</v>
      </c>
      <c r="AB187" s="213" t="n">
        <f aca="true">IF($C187="S",IF($Z187="OU",ROUND($X187,2),0),SomaAgrup)</f>
        <v>0</v>
      </c>
      <c r="AC187" s="214" t="e">
        <f aca="false" t="array" ref="AC187:AC187">IF($N187=""," ",
IF(AND($C187&lt;&gt;"S",OR($R187="",$R187="(digite a descrição aqui)")),"DESCRIÇÃO",
IF(AND($C187="S",OR($Q187&lt;&gt;"",$T187&gt;0,$U187&gt;0),$P187=""),"FONTE",
IF(AND($C187="S",$P187&lt;&gt;"",OR($T187&gt;0,$U187&gt;0),$Q187=""),"CÓDIGO",
IF(AND($C187="S",$P187&lt;&gt;"",$Q187&lt;&gt;"",$R187="(Código não identificado nas referências)"),"CÓDIGO N/ID",
IF(AND($C187="S",OR($R187="",$R187="(digite a descrição aqui)"),OR($Q187&lt;&gt;"",$T187&gt;0,$U187&gt;0)),"DESCRIÇÃO",
IF(AND($C187="S",$P187&lt;&gt;"",$Q187&lt;&gt;"",$S187=""),"UNIDADE",
IF(AND($C187="S",$P187&lt;&gt;"",$Q187&lt;&gt;"",$U187=0),"SEM CUSTO",
IF(AND(_xlfn.single(TIPOORCAMENTO)="Licitado",$AL187=0,$AN187&gt;0),"SEM PREÇO",
IF(AND($C187="S",$P187&lt;&gt;"",$Q187&lt;&gt;"",$U187&gt;0,$V187=0),"BDI",
IF(OR(AND(TIPOORCAMENTO="Proposto",LEFT($O$8,5)&lt;&gt;"(N/D:",$AG187&lt;&gt;"",ORÇAMENTO.CustoUnitario&gt;$AG187),AND(TIPOORCAMENTO="LICITADO",ORÇAMENTO.PrecoUnitarioLicitado&gt;$AN187)),"ACIMA REF.",
IF(AND($C187="S",$P187&lt;&gt;"",$Q187&lt;&gt;"",$T187=0,$U187&gt;0),"QUANT.",
IF(AND(Import.TipoArredondamento="TransfereGOV",$L187="F",$C187="S",LEN($Q187)&gt;13),"Código &gt;13",
IF(AND(Import.TipoArredondamento="TransfereGOV",$L187="F",$C187&lt;&gt;"S",LEN($R187)&gt;100),"Descrição &gt;100",
IF(AND(Import.TipoArredondamento="TransfereGOV",$L187="F",$C187="S",LEN($R187)&gt;500),"Descrição &gt;500",
IF(AND(Import.TipoArredondamento="TransfereGOV",$L187="F",$C187="S",LEFT(TRIM(UPPER($P187)),6)&lt;&gt;"SINAPI",ISNA(VLOOKUP(TRIM(UPPER($S187)),ListaTgov.Unidades,1,FALSE()))),"Unid. Não Disp",
" "))))))))))))))))</f>
        <v>#NAME?</v>
      </c>
      <c r="AD187" s="1" t="str">
        <f aca="true">IF(C187&lt;=CRONO.NivelExibicao,MAX($AD$15:OFFSET(AD187,-1,0))+IF($C187&lt;&gt;1,1,MAX(1,COUNTIF(QCI!$A$13:$A$15,OFFSET($E187,-1,0)))),"")</f>
        <v/>
      </c>
      <c r="AE187" s="50" t="str">
        <f aca="false">IF(AND($C187="S",ORÇAMENTO.CodBarra&lt;&gt;""),IF(ORÇAMENTO.Fonte="",ORÇAMENTO.CodBarra,CONCATENATE(ORÇAMENTO.Fonte," ",ORÇAMENTO.CodBarra)))</f>
        <v>SINAPI 104327</v>
      </c>
      <c r="AF187" s="65" t="str">
        <f aca="true">IF(ISERROR(INDIRECT(ORÇAMENTO.BancoRef)),"(abra o arquivo 'Referência "&amp;Excel_BuiltIn_Database&amp;".xlsm)",IF(OR($C187&lt;&gt;"S",ORÇAMENTO.CodBarra=""),"(Sem Código)",IF(ISERROR(MATCH($AE187,INDIRECT(ORÇAMENTO.BancoRef),0)),"(Código não identificado nas referências)",MATCH($AE187,INDIRECT(ORÇAMENTO.BancoRef),0))))</f>
        <v>(abra o arquivo 'Referência 07-2025.xlsm)</v>
      </c>
      <c r="AG187" s="215" t="n">
        <f aca="true">ROUND(IF(DESONERACAO="sim",REFERENCIA.Desonerado,REFERENCIA.NaoDesonerado),2)</f>
        <v>0</v>
      </c>
      <c r="AH187" s="216" t="n">
        <f aca="false">ROUND(IF(ISNUMBER(ORÇAMENTO.OpcaoBDI),ORÇAMENTO.OpcaoBDI,IF(LEFT(ORÇAMENTO.OpcaoBDI,3)="BDI",HLOOKUP(ORÇAMENTO.OpcaoBDI,$F$4:$H$5,2,FALSE()),0)),15-11*$AF$9)</f>
        <v>0.2904</v>
      </c>
      <c r="AJ187" s="217"/>
      <c r="AL187" s="218"/>
      <c r="AM187" s="219" t="n">
        <f aca="false">$X187</f>
        <v>588.5</v>
      </c>
      <c r="AN187" s="220" t="n">
        <f aca="false">ROUND(ORÇAMENTO.CustoUnitario*(1+$AH187),2)</f>
        <v>23.54</v>
      </c>
    </row>
    <row r="188" customFormat="false" ht="35.05" hidden="false" customHeight="false" outlineLevel="0" collapsed="false">
      <c r="A188" s="1" t="str">
        <f aca="false">CHOOSE(1+LOG(1+2*(ORÇAMENTO.Nivel="Meta")+4*(ORÇAMENTO.Nivel="Nível 2")+8*(ORÇAMENTO.Nivel="Nível 3")+16*(ORÇAMENTO.Nivel="Nível 4")+32*(ORÇAMENTO.Nivel="Serviço"),2),0,1,2,3,4,"S")</f>
        <v>S</v>
      </c>
      <c r="B188" s="1" t="n">
        <f aca="true">IF(OR(C188="s",C188=0),OFFSET(B188,-1,0),C188)</f>
        <v>2</v>
      </c>
      <c r="C188" s="1" t="str">
        <f aca="true">IF(OFFSET(C188,-1,0)="L",1,IF(OFFSET(C188,-1,0)=1,2,IF(OR(A188="s",A188=0),"S",IF(AND(OFFSET(C188,-1,0)=2,A188=4),3,IF(AND(OR(OFFSET(C188,-1,0)="s",OFFSET(C188,-1,0)=0),A188&lt;&gt;"s",A188&gt;OFFSET(B188,-1,0)),OFFSET(B188,-1,0),A188)))))</f>
        <v>S</v>
      </c>
      <c r="D188" s="1" t="n">
        <f aca="false">IF(OR(C188="S",C188=0),0,IF(ISERROR(K188),J188,SMALL(J188:K188,1)))</f>
        <v>0</v>
      </c>
      <c r="E188" s="1" t="n">
        <f aca="true">IF($C188=1,OFFSET(E188,-1,0)+MAX(1,COUNTIF(QCI!$A$13:$A$15,OFFSET(ORÇAMENTO!E188,-1,0))),OFFSET(E188,-1,0))</f>
        <v>1</v>
      </c>
      <c r="F188" s="1" t="n">
        <f aca="true">IF($C188=1,0,IF($C188=2,OFFSET(F188,-1,0)+1,OFFSET(F188,-1,0)))</f>
        <v>46</v>
      </c>
      <c r="G188" s="1" t="n">
        <f aca="true">IF(AND($C188&lt;=2,$C188&lt;&gt;0),0,IF($C188=3,OFFSET(G188,-1,0)+1,OFFSET(G188,-1,0)))</f>
        <v>0</v>
      </c>
      <c r="H188" s="1" t="n">
        <f aca="true">IF(AND($C188&lt;=3,$C188&lt;&gt;0),0,IF($C188=4,OFFSET(H188,-1,0)+1,OFFSET(H188,-1,0)))</f>
        <v>0</v>
      </c>
      <c r="I188" s="1" t="n">
        <f aca="true">IF(AND($C188&lt;=4,$C188&lt;&gt;0),0,IF(AND($C188="S",$X188&gt;0),OFFSET(I188,-1,0)+1,OFFSET(I188,-1,0)))</f>
        <v>3</v>
      </c>
      <c r="J188" s="1" t="n">
        <f aca="true">IF(OR($C188="S",$C188=0),0,MATCH(0,OFFSET($D188,1,$C188,ROW($C$205)-ROW($C188)),0))</f>
        <v>0</v>
      </c>
      <c r="K188" s="1" t="n">
        <f aca="true">IF(OR($C188="S",$C188=0),0,MATCH(OFFSET($D188,0,$C188)+IF($C188&lt;&gt;1,1,COUNTIF(QCI!$A$13:$A$15,ORÇAMENTO!E188)),OFFSET($D188,1,$C188,ROW($C$205)-ROW($C188)),0))</f>
        <v>0</v>
      </c>
      <c r="L188" s="199" t="str">
        <f aca="false">IF(OR($X188&gt;0,$C188=1,$C188=2,$C188=3,$C188=4),"F","")</f>
        <v>F</v>
      </c>
      <c r="M188" s="200" t="s">
        <v>735</v>
      </c>
      <c r="N188" s="201" t="str">
        <f aca="false">CHOOSE(1+LOG(1+2*(C188=1)+4*(C188=2)+8*(C188=3)+16*(C188=4)+32*(C188="S"),2),"","Meta","Nível 2","Nível 3","Nível 4","Serviço")</f>
        <v>Serviço</v>
      </c>
      <c r="O188" s="202" t="str">
        <f aca="false">IF(OR($C188=0,$L188=""),"-",CONCATENATE(E188&amp;".",IF(AND($A$5&gt;=2,$C188&gt;=2),F188&amp;".",""),IF(AND($A$5&gt;=3,$C188&gt;=3),G188&amp;".",""),IF(AND($A$5&gt;=4,$C188&gt;=4),H188&amp;".",""),IF($C188="S",I188&amp;".","")))</f>
        <v>1.46.3.</v>
      </c>
      <c r="P188" s="203" t="s">
        <v>780</v>
      </c>
      <c r="Q188" s="204" t="n">
        <v>98104</v>
      </c>
      <c r="R188" s="205" t="str">
        <f aca="false">[4]PO!$D$217</f>
        <v>CAIXA DE GORDURA SIMPLES (CAPACIDADE: 36L), RETANGULAR, EM ALVENARIA COM TIJOLOS CERÂMICOS MACIÇOS, DIMENSÕES INTERNAS = 0,2X0,4 M, ALTURA INTERNA = 0,8 M. AF_12/2020</v>
      </c>
      <c r="S188" s="206" t="s">
        <v>666</v>
      </c>
      <c r="T188" s="207" t="n">
        <f aca="true">OFFSET(CÁLCULO!H$15,ROW($T188)-ROW(T$15),0)</f>
        <v>25</v>
      </c>
      <c r="U188" s="208" t="n">
        <f aca="false">[2]PO!$G$217</f>
        <v>364.03</v>
      </c>
      <c r="V188" s="209" t="s">
        <v>690</v>
      </c>
      <c r="W188" s="207" t="n">
        <f aca="false">IF($C188="S",ROUND(IF(TIPOORCAMENTO="Proposto",ORÇAMENTO.CustoUnitario*(1+$AH188),ORÇAMENTO.PrecoUnitarioLicitado),15-13*$AF$10),0)</f>
        <v>469.74</v>
      </c>
      <c r="X188" s="210" t="n">
        <f aca="true" t="array" ref="X188:X188">IF($C188="S",IF(OR(Import.TipoArredondamento&lt;&gt;"TransfereGOV",ACOMPANHAMENTO="BM"),VTOTAL1,SUM(OFFSET(CÁLCULO!$AQ$15,ROW($X188)-ROW($X$15),1):OFFSET(CÁLCULO!$BR$15,ROW($X188)-ROW($X$15),-1))),IF($C188=0,0,ROUND(SomaAgrup,15-13*$AF$11)))</f>
        <v>11743.5</v>
      </c>
      <c r="Y188" s="211" t="s">
        <v>781</v>
      </c>
      <c r="Z188" s="1" t="str">
        <f aca="false">IF(AND($C188="S",$X188&gt;0),IF(ISBLANK($Y188),"RA",LEFT($Y188,2)),"")</f>
        <v>RA</v>
      </c>
      <c r="AA188" s="212" t="n">
        <f aca="true">IF($C188="S",IF($Z188="CP",$X188,IF($Z188="RA",(($X188)*QCI!$AA$3),0)),SomaAgrup)</f>
        <v>1303.31155718873</v>
      </c>
      <c r="AB188" s="213" t="n">
        <f aca="true">IF($C188="S",IF($Z188="OU",ROUND($X188,2),0),SomaAgrup)</f>
        <v>0</v>
      </c>
      <c r="AC188" s="214" t="e">
        <f aca="false" t="array" ref="AC188:AC188">IF($N188=""," ",
IF(AND($C188&lt;&gt;"S",OR($R188="",$R188="(digite a descrição aqui)")),"DESCRIÇÃO",
IF(AND($C188="S",OR($Q188&lt;&gt;"",$T188&gt;0,$U188&gt;0),$P188=""),"FONTE",
IF(AND($C188="S",$P188&lt;&gt;"",OR($T188&gt;0,$U188&gt;0),$Q188=""),"CÓDIGO",
IF(AND($C188="S",$P188&lt;&gt;"",$Q188&lt;&gt;"",$R188="(Código não identificado nas referências)"),"CÓDIGO N/ID",
IF(AND($C188="S",OR($R188="",$R188="(digite a descrição aqui)"),OR($Q188&lt;&gt;"",$T188&gt;0,$U188&gt;0)),"DESCRIÇÃO",
IF(AND($C188="S",$P188&lt;&gt;"",$Q188&lt;&gt;"",$S188=""),"UNIDADE",
IF(AND($C188="S",$P188&lt;&gt;"",$Q188&lt;&gt;"",$U188=0),"SEM CUSTO",
IF(AND(_xlfn.single(TIPOORCAMENTO)="Licitado",$AL188=0,$AN188&gt;0),"SEM PREÇO",
IF(AND($C188="S",$P188&lt;&gt;"",$Q188&lt;&gt;"",$U188&gt;0,$V188=0),"BDI",
IF(OR(AND(TIPOORCAMENTO="Proposto",LEFT($O$8,5)&lt;&gt;"(N/D:",$AG188&lt;&gt;"",ORÇAMENTO.CustoUnitario&gt;$AG188),AND(TIPOORCAMENTO="LICITADO",ORÇAMENTO.PrecoUnitarioLicitado&gt;$AN188)),"ACIMA REF.",
IF(AND($C188="S",$P188&lt;&gt;"",$Q188&lt;&gt;"",$T188=0,$U188&gt;0),"QUANT.",
IF(AND(Import.TipoArredondamento="TransfereGOV",$L188="F",$C188="S",LEN($Q188)&gt;13),"Código &gt;13",
IF(AND(Import.TipoArredondamento="TransfereGOV",$L188="F",$C188&lt;&gt;"S",LEN($R188)&gt;100),"Descrição &gt;100",
IF(AND(Import.TipoArredondamento="TransfereGOV",$L188="F",$C188="S",LEN($R188)&gt;500),"Descrição &gt;500",
IF(AND(Import.TipoArredondamento="TransfereGOV",$L188="F",$C188="S",LEFT(TRIM(UPPER($P188)),6)&lt;&gt;"SINAPI",ISNA(VLOOKUP(TRIM(UPPER($S188)),ListaTgov.Unidades,1,FALSE()))),"Unid. Não Disp",
" "))))))))))))))))</f>
        <v>#NAME?</v>
      </c>
      <c r="AD188" s="1" t="str">
        <f aca="true">IF(C188&lt;=CRONO.NivelExibicao,MAX($AD$15:OFFSET(AD188,-1,0))+IF($C188&lt;&gt;1,1,MAX(1,COUNTIF(QCI!$A$13:$A$15,OFFSET($E188,-1,0)))),"")</f>
        <v/>
      </c>
      <c r="AE188" s="50" t="str">
        <f aca="false">IF(AND($C188="S",ORÇAMENTO.CodBarra&lt;&gt;""),IF(ORÇAMENTO.Fonte="",ORÇAMENTO.CodBarra,CONCATENATE(ORÇAMENTO.Fonte," ",ORÇAMENTO.CodBarra)))</f>
        <v>SINAPI 98104</v>
      </c>
      <c r="AF188" s="65" t="str">
        <f aca="true">IF(ISERROR(INDIRECT(ORÇAMENTO.BancoRef)),"(abra o arquivo 'Referência "&amp;Excel_BuiltIn_Database&amp;".xlsm)",IF(OR($C188&lt;&gt;"S",ORÇAMENTO.CodBarra=""),"(Sem Código)",IF(ISERROR(MATCH($AE188,INDIRECT(ORÇAMENTO.BancoRef),0)),"(Código não identificado nas referências)",MATCH($AE188,INDIRECT(ORÇAMENTO.BancoRef),0))))</f>
        <v>(abra o arquivo 'Referência 07-2025.xlsm)</v>
      </c>
      <c r="AG188" s="215" t="n">
        <f aca="true">ROUND(IF(DESONERACAO="sim",REFERENCIA.Desonerado,REFERENCIA.NaoDesonerado),2)</f>
        <v>0</v>
      </c>
      <c r="AH188" s="216" t="n">
        <f aca="false">ROUND(IF(ISNUMBER(ORÇAMENTO.OpcaoBDI),ORÇAMENTO.OpcaoBDI,IF(LEFT(ORÇAMENTO.OpcaoBDI,3)="BDI",HLOOKUP(ORÇAMENTO.OpcaoBDI,$F$4:$H$5,2,FALSE()),0)),15-11*$AF$9)</f>
        <v>0.2904</v>
      </c>
      <c r="AJ188" s="217"/>
      <c r="AL188" s="218"/>
      <c r="AM188" s="219" t="n">
        <f aca="false">$X188</f>
        <v>11743.5</v>
      </c>
      <c r="AN188" s="220" t="n">
        <f aca="false">ROUND(ORÇAMENTO.CustoUnitario*(1+$AH188),2)</f>
        <v>469.74</v>
      </c>
    </row>
    <row r="189" customFormat="false" ht="12.75" hidden="false" customHeight="false" outlineLevel="0" collapsed="false">
      <c r="A189" s="1" t="n">
        <f aca="false">CHOOSE(1+LOG(1+2*(ORÇAMENTO.Nivel="Meta")+4*(ORÇAMENTO.Nivel="Nível 2")+8*(ORÇAMENTO.Nivel="Nível 3")+16*(ORÇAMENTO.Nivel="Nível 4")+32*(ORÇAMENTO.Nivel="Serviço"),2),0,1,2,3,4,"S")</f>
        <v>2</v>
      </c>
      <c r="B189" s="1" t="n">
        <f aca="true">IF(OR(C189="s",C189=0),OFFSET(B189,-1,0),C189)</f>
        <v>2</v>
      </c>
      <c r="C189" s="1" t="n">
        <f aca="true">IF(OFFSET(C189,-1,0)="L",1,IF(OFFSET(C189,-1,0)=1,2,IF(OR(A189="s",A189=0),"S",IF(AND(OFFSET(C189,-1,0)=2,A189=4),3,IF(AND(OR(OFFSET(C189,-1,0)="s",OFFSET(C189,-1,0)=0),A189&lt;&gt;"s",A189&gt;OFFSET(B189,-1,0)),OFFSET(B189,-1,0),A189)))))</f>
        <v>2</v>
      </c>
      <c r="D189" s="1" t="n">
        <f aca="false">IF(OR(C189="S",C189=0),0,IF(ISERROR(K189),J189,SMALL(J189:K189,1)))</f>
        <v>7</v>
      </c>
      <c r="E189" s="1" t="n">
        <f aca="true">IF($C189=1,OFFSET(E189,-1,0)+MAX(1,COUNTIF(QCI!$A$13:$A$15,OFFSET(ORÇAMENTO!E189,-1,0))),OFFSET(E189,-1,0))</f>
        <v>1</v>
      </c>
      <c r="F189" s="1" t="n">
        <f aca="true">IF($C189=1,0,IF($C189=2,OFFSET(F189,-1,0)+1,OFFSET(F189,-1,0)))</f>
        <v>47</v>
      </c>
      <c r="G189" s="1" t="n">
        <f aca="true">IF(AND($C189&lt;=2,$C189&lt;&gt;0),0,IF($C189=3,OFFSET(G189,-1,0)+1,OFFSET(G189,-1,0)))</f>
        <v>0</v>
      </c>
      <c r="H189" s="1" t="n">
        <f aca="true">IF(AND($C189&lt;=3,$C189&lt;&gt;0),0,IF($C189=4,OFFSET(H189,-1,0)+1,OFFSET(H189,-1,0)))</f>
        <v>0</v>
      </c>
      <c r="I189" s="1" t="n">
        <f aca="true">IF(AND($C189&lt;=4,$C189&lt;&gt;0),0,IF(AND($C189="S",$X189&gt;0),OFFSET(I189,-1,0)+1,OFFSET(I189,-1,0)))</f>
        <v>0</v>
      </c>
      <c r="J189" s="1" t="n">
        <f aca="true">IF(OR($C189="S",$C189=0),0,MATCH(0,OFFSET($D189,1,$C189,ROW($C$205)-ROW($C189)),0))</f>
        <v>16</v>
      </c>
      <c r="K189" s="1" t="n">
        <f aca="true">IF(OR($C189="S",$C189=0),0,MATCH(OFFSET($D189,0,$C189)+IF($C189&lt;&gt;1,1,COUNTIF(QCI!$A$13:$A$15,ORÇAMENTO!E189)),OFFSET($D189,1,$C189,ROW($C$205)-ROW($C189)),0))</f>
        <v>7</v>
      </c>
      <c r="L189" s="199" t="str">
        <f aca="false">IF(OR($X189&gt;0,$C189=1,$C189=2,$C189=3,$C189=4),"F","")</f>
        <v>F</v>
      </c>
      <c r="M189" s="200" t="s">
        <v>732</v>
      </c>
      <c r="N189" s="201" t="str">
        <f aca="false">CHOOSE(1+LOG(1+2*(C189=1)+4*(C189=2)+8*(C189=3)+16*(C189=4)+32*(C189="S"),2),"","Meta","Nível 2","Nível 3","Nível 4","Serviço")</f>
        <v>Nível 2</v>
      </c>
      <c r="O189" s="202" t="str">
        <f aca="false">IF(OR($C189=0,$L189=""),"-",CONCATENATE(E189&amp;".",IF(AND($A$5&gt;=2,$C189&gt;=2),F189&amp;".",""),IF(AND($A$5&gt;=3,$C189&gt;=3),G189&amp;".",""),IF(AND($A$5&gt;=4,$C189&gt;=4),H189&amp;".",""),IF($C189="S",I189&amp;".","")))</f>
        <v>1.47.</v>
      </c>
      <c r="P189" s="203" t="s">
        <v>780</v>
      </c>
      <c r="Q189" s="204"/>
      <c r="R189" s="205" t="str">
        <f aca="false">[4]PO!$B$218</f>
        <v>APARELHOS, METAIS E BANCADAS</v>
      </c>
      <c r="S189" s="206" t="s">
        <v>648</v>
      </c>
      <c r="T189" s="207" t="n">
        <f aca="true">OFFSET(CÁLCULO!H$15,ROW($T189)-ROW(T$15),0)</f>
        <v>0</v>
      </c>
      <c r="U189" s="208"/>
      <c r="V189" s="209" t="s">
        <v>690</v>
      </c>
      <c r="W189" s="207" t="n">
        <f aca="false">IF($C189="S",ROUND(IF(TIPOORCAMENTO="Proposto",ORÇAMENTO.CustoUnitario*(1+$AH189),ORÇAMENTO.PrecoUnitarioLicitado),15-13*$AF$10),0)</f>
        <v>0</v>
      </c>
      <c r="X189" s="210" t="n">
        <f aca="true" t="array" ref="X189:X189">IF($C189="S",IF(OR(Import.TipoArredondamento&lt;&gt;"TransfereGOV",ACOMPANHAMENTO="BM"),VTOTAL1,SUM(OFFSET(CÁLCULO!$AQ$15,ROW($X189)-ROW($X$15),1):OFFSET(CÁLCULO!$BR$15,ROW($X189)-ROW($X$15),-1))),IF($C189=0,0,ROUND(SomaAgrup,15-13*$AF$11)))</f>
        <v>70970.5</v>
      </c>
      <c r="Y189" s="211" t="s">
        <v>781</v>
      </c>
      <c r="Z189" s="1" t="str">
        <f aca="false">IF(AND($C189="S",$X189&gt;0),IF(ISBLANK($Y189),"RA",LEFT($Y189,2)),"")</f>
        <v/>
      </c>
      <c r="AA189" s="212" t="n">
        <f aca="true">IF($C189="S",IF($Z189="CP",$X189,IF($Z189="RA",(($X189)*QCI!$AA$3),0)),SomaAgrup)</f>
        <v>7876.41443091605</v>
      </c>
      <c r="AB189" s="213" t="n">
        <f aca="true">IF($C189="S",IF($Z189="OU",ROUND($X189,2),0),SomaAgrup)</f>
        <v>0</v>
      </c>
      <c r="AC189" s="214" t="e">
        <f aca="false" t="array" ref="AC189:AC189">IF($N189=""," ",
IF(AND($C189&lt;&gt;"S",OR($R189="",$R189="(digite a descrição aqui)")),"DESCRIÇÃO",
IF(AND($C189="S",OR($Q189&lt;&gt;"",$T189&gt;0,$U189&gt;0),$P189=""),"FONTE",
IF(AND($C189="S",$P189&lt;&gt;"",OR($T189&gt;0,$U189&gt;0),$Q189=""),"CÓDIGO",
IF(AND($C189="S",$P189&lt;&gt;"",$Q189&lt;&gt;"",$R189="(Código não identificado nas referências)"),"CÓDIGO N/ID",
IF(AND($C189="S",OR($R189="",$R189="(digite a descrição aqui)"),OR($Q189&lt;&gt;"",$T189&gt;0,$U189&gt;0)),"DESCRIÇÃO",
IF(AND($C189="S",$P189&lt;&gt;"",$Q189&lt;&gt;"",$S189=""),"UNIDADE",
IF(AND($C189="S",$P189&lt;&gt;"",$Q189&lt;&gt;"",$U189=0),"SEM CUSTO",
IF(AND(_xlfn.single(TIPOORCAMENTO)="Licitado",$AL189=0,$AN189&gt;0),"SEM PREÇO",
IF(AND($C189="S",$P189&lt;&gt;"",$Q189&lt;&gt;"",$U189&gt;0,$V189=0),"BDI",
IF(OR(AND(TIPOORCAMENTO="Proposto",LEFT($O$8,5)&lt;&gt;"(N/D:",$AG189&lt;&gt;"",ORÇAMENTO.CustoUnitario&gt;$AG189),AND(TIPOORCAMENTO="LICITADO",ORÇAMENTO.PrecoUnitarioLicitado&gt;$AN189)),"ACIMA REF.",
IF(AND($C189="S",$P189&lt;&gt;"",$Q189&lt;&gt;"",$T189=0,$U189&gt;0),"QUANT.",
IF(AND(Import.TipoArredondamento="TransfereGOV",$L189="F",$C189="S",LEN($Q189)&gt;13),"Código &gt;13",
IF(AND(Import.TipoArredondamento="TransfereGOV",$L189="F",$C189&lt;&gt;"S",LEN($R189)&gt;100),"Descrição &gt;100",
IF(AND(Import.TipoArredondamento="TransfereGOV",$L189="F",$C189="S",LEN($R189)&gt;500),"Descrição &gt;500",
IF(AND(Import.TipoArredondamento="TransfereGOV",$L189="F",$C189="S",LEFT(TRIM(UPPER($P189)),6)&lt;&gt;"SINAPI",ISNA(VLOOKUP(TRIM(UPPER($S189)),ListaTgov.Unidades,1,FALSE()))),"Unid. Não Disp",
" "))))))))))))))))</f>
        <v>#NAME?</v>
      </c>
      <c r="AD189" s="38" t="n">
        <f aca="true">IF(C189&lt;=CRONO.NivelExibicao,MAX($AD$15:OFFSET(AD189,-1,0))+IF($C189&lt;&gt;1,1,MAX(1,COUNTIF(QCI!$A$13:$A$15,OFFSET($E189,-1,0)))),"")</f>
        <v>48</v>
      </c>
      <c r="AE189" s="50" t="b">
        <f aca="false">IF(AND($C189="S",ORÇAMENTO.CodBarra&lt;&gt;""),IF(ORÇAMENTO.Fonte="",ORÇAMENTO.CodBarra,CONCATENATE(ORÇAMENTO.Fonte," ",ORÇAMENTO.CodBarra)))</f>
        <v>0</v>
      </c>
      <c r="AF189" s="65" t="str">
        <f aca="true">IF(ISERROR(INDIRECT(ORÇAMENTO.BancoRef)),"(abra o arquivo 'Referência "&amp;Excel_BuiltIn_Database&amp;".xlsm)",IF(OR($C189&lt;&gt;"S",ORÇAMENTO.CodBarra=""),"(Sem Código)",IF(ISERROR(MATCH($AE189,INDIRECT(ORÇAMENTO.BancoRef),0)),"(Código não identificado nas referências)",MATCH($AE189,INDIRECT(ORÇAMENTO.BancoRef),0))))</f>
        <v>(abra o arquivo 'Referência 07-2025.xlsm)</v>
      </c>
      <c r="AG189" s="215" t="n">
        <f aca="true">ROUND(IF(DESONERACAO="sim",REFERENCIA.Desonerado,REFERENCIA.NaoDesonerado),2)</f>
        <v>0</v>
      </c>
      <c r="AH189" s="216" t="n">
        <f aca="false">ROUND(IF(ISNUMBER(ORÇAMENTO.OpcaoBDI),ORÇAMENTO.OpcaoBDI,IF(LEFT(ORÇAMENTO.OpcaoBDI,3)="BDI",HLOOKUP(ORÇAMENTO.OpcaoBDI,$F$4:$H$5,2,FALSE()),0)),15-11*$AF$9)</f>
        <v>0.2904</v>
      </c>
      <c r="AJ189" s="217"/>
      <c r="AL189" s="218"/>
      <c r="AM189" s="219" t="n">
        <f aca="false">$X189</f>
        <v>70970.5</v>
      </c>
      <c r="AN189" s="220" t="n">
        <f aca="false">ROUND(ORÇAMENTO.CustoUnitario*(1+$AH189),2)</f>
        <v>0</v>
      </c>
    </row>
    <row r="190" customFormat="false" ht="35.05" hidden="false" customHeight="false" outlineLevel="0" collapsed="false">
      <c r="A190" s="1" t="str">
        <f aca="false">CHOOSE(1+LOG(1+2*(ORÇAMENTO.Nivel="Meta")+4*(ORÇAMENTO.Nivel="Nível 2")+8*(ORÇAMENTO.Nivel="Nível 3")+16*(ORÇAMENTO.Nivel="Nível 4")+32*(ORÇAMENTO.Nivel="Serviço"),2),0,1,2,3,4,"S")</f>
        <v>S</v>
      </c>
      <c r="B190" s="1" t="n">
        <f aca="true">IF(OR(C190="s",C190=0),OFFSET(B190,-1,0),C190)</f>
        <v>2</v>
      </c>
      <c r="C190" s="1" t="str">
        <f aca="true">IF(OFFSET(C190,-1,0)="L",1,IF(OFFSET(C190,-1,0)=1,2,IF(OR(A190="s",A190=0),"S",IF(AND(OFFSET(C190,-1,0)=2,A190=4),3,IF(AND(OR(OFFSET(C190,-1,0)="s",OFFSET(C190,-1,0)=0),A190&lt;&gt;"s",A190&gt;OFFSET(B190,-1,0)),OFFSET(B190,-1,0),A190)))))</f>
        <v>S</v>
      </c>
      <c r="D190" s="1" t="n">
        <f aca="false">IF(OR(C190="S",C190=0),0,IF(ISERROR(K190),J190,SMALL(J190:K190,1)))</f>
        <v>0</v>
      </c>
      <c r="E190" s="1" t="n">
        <f aca="true">IF($C190=1,OFFSET(E190,-1,0)+MAX(1,COUNTIF(QCI!$A$13:$A$15,OFFSET(ORÇAMENTO!E190,-1,0))),OFFSET(E190,-1,0))</f>
        <v>1</v>
      </c>
      <c r="F190" s="1" t="n">
        <f aca="true">IF($C190=1,0,IF($C190=2,OFFSET(F190,-1,0)+1,OFFSET(F190,-1,0)))</f>
        <v>47</v>
      </c>
      <c r="G190" s="1" t="n">
        <f aca="true">IF(AND($C190&lt;=2,$C190&lt;&gt;0),0,IF($C190=3,OFFSET(G190,-1,0)+1,OFFSET(G190,-1,0)))</f>
        <v>0</v>
      </c>
      <c r="H190" s="1" t="n">
        <f aca="true">IF(AND($C190&lt;=3,$C190&lt;&gt;0),0,IF($C190=4,OFFSET(H190,-1,0)+1,OFFSET(H190,-1,0)))</f>
        <v>0</v>
      </c>
      <c r="I190" s="1" t="n">
        <f aca="true">IF(AND($C190&lt;=4,$C190&lt;&gt;0),0,IF(AND($C190="S",$X190&gt;0),OFFSET(I190,-1,0)+1,OFFSET(I190,-1,0)))</f>
        <v>1</v>
      </c>
      <c r="J190" s="1" t="n">
        <f aca="true">IF(OR($C190="S",$C190=0),0,MATCH(0,OFFSET($D190,1,$C190,ROW($C$205)-ROW($C190)),0))</f>
        <v>0</v>
      </c>
      <c r="K190" s="1" t="n">
        <f aca="true">IF(OR($C190="S",$C190=0),0,MATCH(OFFSET($D190,0,$C190)+IF($C190&lt;&gt;1,1,COUNTIF(QCI!$A$13:$A$15,ORÇAMENTO!E190)),OFFSET($D190,1,$C190,ROW($C$205)-ROW($C190)),0))</f>
        <v>0</v>
      </c>
      <c r="L190" s="199" t="str">
        <f aca="false">IF(OR($X190&gt;0,$C190=1,$C190=2,$C190=3,$C190=4),"F","")</f>
        <v>F</v>
      </c>
      <c r="M190" s="200" t="s">
        <v>735</v>
      </c>
      <c r="N190" s="201" t="str">
        <f aca="false">CHOOSE(1+LOG(1+2*(C190=1)+4*(C190=2)+8*(C190=3)+16*(C190=4)+32*(C190="S"),2),"","Meta","Nível 2","Nível 3","Nível 4","Serviço")</f>
        <v>Serviço</v>
      </c>
      <c r="O190" s="202" t="str">
        <f aca="false">IF(OR($C190=0,$L190=""),"-",CONCATENATE(E190&amp;".",IF(AND($A$5&gt;=2,$C190&gt;=2),F190&amp;".",""),IF(AND($A$5&gt;=3,$C190&gt;=3),G190&amp;".",""),IF(AND($A$5&gt;=4,$C190&gt;=4),H190&amp;".",""),IF($C190="S",I190&amp;".","")))</f>
        <v>1.47.1.</v>
      </c>
      <c r="P190" s="203" t="s">
        <v>780</v>
      </c>
      <c r="Q190" s="204" t="n">
        <v>86931</v>
      </c>
      <c r="R190" s="205" t="str">
        <f aca="false">[4]PO!$D$219</f>
        <v>VASO SANITÁRIO SIFONADO COM CAIXA ACOPLADA LOUÇA BRANCA, INCLUSO ENGATE FLEXÍVEL EM PLÁSTICO BRANCO, 1/2 X 40CM - FORNECIMENTO E INSTALAÇÃO. AF_01/2020</v>
      </c>
      <c r="S190" s="206" t="s">
        <v>666</v>
      </c>
      <c r="T190" s="207" t="n">
        <f aca="true">OFFSET(CÁLCULO!H$15,ROW($T190)-ROW(T$15),0)</f>
        <v>25</v>
      </c>
      <c r="U190" s="208" t="n">
        <f aca="false">[2]PO!$G$219</f>
        <v>564.1</v>
      </c>
      <c r="V190" s="209" t="s">
        <v>690</v>
      </c>
      <c r="W190" s="207" t="n">
        <f aca="false">IF($C190="S",ROUND(IF(TIPOORCAMENTO="Proposto",ORÇAMENTO.CustoUnitario*(1+$AH190),ORÇAMENTO.PrecoUnitarioLicitado),15-13*$AF$10),0)</f>
        <v>727.91</v>
      </c>
      <c r="X190" s="210" t="n">
        <f aca="true" t="array" ref="X190:X190">IF($C190="S",IF(OR(Import.TipoArredondamento&lt;&gt;"TransfereGOV",ACOMPANHAMENTO="BM"),VTOTAL1,SUM(OFFSET(CÁLCULO!$AQ$15,ROW($X190)-ROW($X$15),1):OFFSET(CÁLCULO!$BR$15,ROW($X190)-ROW($X$15),-1))),IF($C190=0,0,ROUND(SomaAgrup,15-13*$AF$11)))</f>
        <v>18197.75</v>
      </c>
      <c r="Y190" s="211" t="s">
        <v>781</v>
      </c>
      <c r="Z190" s="1" t="str">
        <f aca="false">IF(AND($C190="S",$X190&gt;0),IF(ISBLANK($Y190),"RA",LEFT($Y190,2)),"")</f>
        <v>RA</v>
      </c>
      <c r="AA190" s="212" t="n">
        <f aca="true">IF($C190="S",IF($Z190="CP",$X190,IF($Z190="RA",(($X190)*QCI!$AA$3),0)),SomaAgrup)</f>
        <v>2019.61407500585</v>
      </c>
      <c r="AB190" s="213" t="n">
        <f aca="true">IF($C190="S",IF($Z190="OU",ROUND($X190,2),0),SomaAgrup)</f>
        <v>0</v>
      </c>
      <c r="AC190" s="214" t="e">
        <f aca="false" t="array" ref="AC190:AC190">IF($N190=""," ",
IF(AND($C190&lt;&gt;"S",OR($R190="",$R190="(digite a descrição aqui)")),"DESCRIÇÃO",
IF(AND($C190="S",OR($Q190&lt;&gt;"",$T190&gt;0,$U190&gt;0),$P190=""),"FONTE",
IF(AND($C190="S",$P190&lt;&gt;"",OR($T190&gt;0,$U190&gt;0),$Q190=""),"CÓDIGO",
IF(AND($C190="S",$P190&lt;&gt;"",$Q190&lt;&gt;"",$R190="(Código não identificado nas referências)"),"CÓDIGO N/ID",
IF(AND($C190="S",OR($R190="",$R190="(digite a descrição aqui)"),OR($Q190&lt;&gt;"",$T190&gt;0,$U190&gt;0)),"DESCRIÇÃO",
IF(AND($C190="S",$P190&lt;&gt;"",$Q190&lt;&gt;"",$S190=""),"UNIDADE",
IF(AND($C190="S",$P190&lt;&gt;"",$Q190&lt;&gt;"",$U190=0),"SEM CUSTO",
IF(AND(_xlfn.single(TIPOORCAMENTO)="Licitado",$AL190=0,$AN190&gt;0),"SEM PREÇO",
IF(AND($C190="S",$P190&lt;&gt;"",$Q190&lt;&gt;"",$U190&gt;0,$V190=0),"BDI",
IF(OR(AND(TIPOORCAMENTO="Proposto",LEFT($O$8,5)&lt;&gt;"(N/D:",$AG190&lt;&gt;"",ORÇAMENTO.CustoUnitario&gt;$AG190),AND(TIPOORCAMENTO="LICITADO",ORÇAMENTO.PrecoUnitarioLicitado&gt;$AN190)),"ACIMA REF.",
IF(AND($C190="S",$P190&lt;&gt;"",$Q190&lt;&gt;"",$T190=0,$U190&gt;0),"QUANT.",
IF(AND(Import.TipoArredondamento="TransfereGOV",$L190="F",$C190="S",LEN($Q190)&gt;13),"Código &gt;13",
IF(AND(Import.TipoArredondamento="TransfereGOV",$L190="F",$C190&lt;&gt;"S",LEN($R190)&gt;100),"Descrição &gt;100",
IF(AND(Import.TipoArredondamento="TransfereGOV",$L190="F",$C190="S",LEN($R190)&gt;500),"Descrição &gt;500",
IF(AND(Import.TipoArredondamento="TransfereGOV",$L190="F",$C190="S",LEFT(TRIM(UPPER($P190)),6)&lt;&gt;"SINAPI",ISNA(VLOOKUP(TRIM(UPPER($S190)),ListaTgov.Unidades,1,FALSE()))),"Unid. Não Disp",
" "))))))))))))))))</f>
        <v>#NAME?</v>
      </c>
      <c r="AD190" s="1" t="str">
        <f aca="true">IF(C190&lt;=CRONO.NivelExibicao,MAX($AD$15:OFFSET(AD190,-1,0))+IF($C190&lt;&gt;1,1,MAX(1,COUNTIF(QCI!$A$13:$A$15,OFFSET($E190,-1,0)))),"")</f>
        <v/>
      </c>
      <c r="AE190" s="50" t="str">
        <f aca="false">IF(AND($C190="S",ORÇAMENTO.CodBarra&lt;&gt;""),IF(ORÇAMENTO.Fonte="",ORÇAMENTO.CodBarra,CONCATENATE(ORÇAMENTO.Fonte," ",ORÇAMENTO.CodBarra)))</f>
        <v>SINAPI 86931</v>
      </c>
      <c r="AF190" s="65" t="str">
        <f aca="true">IF(ISERROR(INDIRECT(ORÇAMENTO.BancoRef)),"(abra o arquivo 'Referência "&amp;Excel_BuiltIn_Database&amp;".xlsm)",IF(OR($C190&lt;&gt;"S",ORÇAMENTO.CodBarra=""),"(Sem Código)",IF(ISERROR(MATCH($AE190,INDIRECT(ORÇAMENTO.BancoRef),0)),"(Código não identificado nas referências)",MATCH($AE190,INDIRECT(ORÇAMENTO.BancoRef),0))))</f>
        <v>(abra o arquivo 'Referência 07-2025.xlsm)</v>
      </c>
      <c r="AG190" s="215" t="n">
        <f aca="true">ROUND(IF(DESONERACAO="sim",REFERENCIA.Desonerado,REFERENCIA.NaoDesonerado),2)</f>
        <v>0</v>
      </c>
      <c r="AH190" s="216" t="n">
        <f aca="false">ROUND(IF(ISNUMBER(ORÇAMENTO.OpcaoBDI),ORÇAMENTO.OpcaoBDI,IF(LEFT(ORÇAMENTO.OpcaoBDI,3)="BDI",HLOOKUP(ORÇAMENTO.OpcaoBDI,$F$4:$H$5,2,FALSE()),0)),15-11*$AF$9)</f>
        <v>0.2904</v>
      </c>
      <c r="AJ190" s="217"/>
      <c r="AL190" s="218"/>
      <c r="AM190" s="219" t="n">
        <f aca="false">$X190</f>
        <v>18197.75</v>
      </c>
      <c r="AN190" s="220" t="n">
        <f aca="false">ROUND(ORÇAMENTO.CustoUnitario*(1+$AH190),2)</f>
        <v>727.91</v>
      </c>
    </row>
    <row r="191" customFormat="false" ht="46.25" hidden="false" customHeight="false" outlineLevel="0" collapsed="false">
      <c r="A191" s="1" t="str">
        <f aca="false">CHOOSE(1+LOG(1+2*(ORÇAMENTO.Nivel="Meta")+4*(ORÇAMENTO.Nivel="Nível 2")+8*(ORÇAMENTO.Nivel="Nível 3")+16*(ORÇAMENTO.Nivel="Nível 4")+32*(ORÇAMENTO.Nivel="Serviço"),2),0,1,2,3,4,"S")</f>
        <v>S</v>
      </c>
      <c r="B191" s="1" t="n">
        <f aca="true">IF(OR(C191="s",C191=0),OFFSET(B191,-1,0),C191)</f>
        <v>2</v>
      </c>
      <c r="C191" s="1" t="str">
        <f aca="true">IF(OFFSET(C191,-1,0)="L",1,IF(OFFSET(C191,-1,0)=1,2,IF(OR(A191="s",A191=0),"S",IF(AND(OFFSET(C191,-1,0)=2,A191=4),3,IF(AND(OR(OFFSET(C191,-1,0)="s",OFFSET(C191,-1,0)=0),A191&lt;&gt;"s",A191&gt;OFFSET(B191,-1,0)),OFFSET(B191,-1,0),A191)))))</f>
        <v>S</v>
      </c>
      <c r="D191" s="1" t="n">
        <f aca="false">IF(OR(C191="S",C191=0),0,IF(ISERROR(K191),J191,SMALL(J191:K191,1)))</f>
        <v>0</v>
      </c>
      <c r="E191" s="1" t="n">
        <f aca="true">IF($C191=1,OFFSET(E191,-1,0)+MAX(1,COUNTIF(QCI!$A$13:$A$15,OFFSET(ORÇAMENTO!E191,-1,0))),OFFSET(E191,-1,0))</f>
        <v>1</v>
      </c>
      <c r="F191" s="1" t="n">
        <f aca="true">IF($C191=1,0,IF($C191=2,OFFSET(F191,-1,0)+1,OFFSET(F191,-1,0)))</f>
        <v>47</v>
      </c>
      <c r="G191" s="1" t="n">
        <f aca="true">IF(AND($C191&lt;=2,$C191&lt;&gt;0),0,IF($C191=3,OFFSET(G191,-1,0)+1,OFFSET(G191,-1,0)))</f>
        <v>0</v>
      </c>
      <c r="H191" s="1" t="n">
        <f aca="true">IF(AND($C191&lt;=3,$C191&lt;&gt;0),0,IF($C191=4,OFFSET(H191,-1,0)+1,OFFSET(H191,-1,0)))</f>
        <v>0</v>
      </c>
      <c r="I191" s="1" t="n">
        <f aca="true">IF(AND($C191&lt;=4,$C191&lt;&gt;0),0,IF(AND($C191="S",$X191&gt;0),OFFSET(I191,-1,0)+1,OFFSET(I191,-1,0)))</f>
        <v>2</v>
      </c>
      <c r="J191" s="1" t="n">
        <f aca="true">IF(OR($C191="S",$C191=0),0,MATCH(0,OFFSET($D191,1,$C191,ROW($C$205)-ROW($C191)),0))</f>
        <v>0</v>
      </c>
      <c r="K191" s="1" t="n">
        <f aca="true">IF(OR($C191="S",$C191=0),0,MATCH(OFFSET($D191,0,$C191)+IF($C191&lt;&gt;1,1,COUNTIF(QCI!$A$13:$A$15,ORÇAMENTO!E191)),OFFSET($D191,1,$C191,ROW($C$205)-ROW($C191)),0))</f>
        <v>0</v>
      </c>
      <c r="L191" s="199" t="str">
        <f aca="false">IF(OR($X191&gt;0,$C191=1,$C191=2,$C191=3,$C191=4),"F","")</f>
        <v>F</v>
      </c>
      <c r="M191" s="200" t="s">
        <v>735</v>
      </c>
      <c r="N191" s="201" t="str">
        <f aca="false">CHOOSE(1+LOG(1+2*(C191=1)+4*(C191=2)+8*(C191=3)+16*(C191=4)+32*(C191="S"),2),"","Meta","Nível 2","Nível 3","Nível 4","Serviço")</f>
        <v>Serviço</v>
      </c>
      <c r="O191" s="202" t="str">
        <f aca="false">IF(OR($C191=0,$L191=""),"-",CONCATENATE(E191&amp;".",IF(AND($A$5&gt;=2,$C191&gt;=2),F191&amp;".",""),IF(AND($A$5&gt;=3,$C191&gt;=3),G191&amp;".",""),IF(AND($A$5&gt;=4,$C191&gt;=4),H191&amp;".",""),IF($C191="S",I191&amp;".","")))</f>
        <v>1.47.2.</v>
      </c>
      <c r="P191" s="203" t="s">
        <v>780</v>
      </c>
      <c r="Q191" s="204" t="n">
        <v>86943</v>
      </c>
      <c r="R191" s="205" t="str">
        <f aca="false">[4]PO!$D$220</f>
        <v>LAVATÓRIO LOUÇA BRANCA SUSPENSO, 29,5 X 39CM OU EQUIVALENTE, PADRÃO POPULAR, INCLUSO SIFÃO FLEXÍVEL EM PVC, VÁLVULA E ENGATE FLEXÍVEL 30CM EM PLÁSTICO E TORNEIRA CROMADA DE MESA, PADRÃO POPULAR - FORNECIMENTO E INSTALAÇÃO. AF_01/2020</v>
      </c>
      <c r="S191" s="206" t="s">
        <v>830</v>
      </c>
      <c r="T191" s="207" t="n">
        <f aca="true">OFFSET(CÁLCULO!H$15,ROW($T191)-ROW(T$15),0)</f>
        <v>25</v>
      </c>
      <c r="U191" s="208" t="n">
        <f aca="false">[2]PO!$G$220</f>
        <v>276.51</v>
      </c>
      <c r="V191" s="209" t="s">
        <v>690</v>
      </c>
      <c r="W191" s="207" t="n">
        <f aca="false">IF($C191="S",ROUND(IF(TIPOORCAMENTO="Proposto",ORÇAMENTO.CustoUnitario*(1+$AH191),ORÇAMENTO.PrecoUnitarioLicitado),15-13*$AF$10),0)</f>
        <v>356.81</v>
      </c>
      <c r="X191" s="210" t="n">
        <f aca="true" t="array" ref="X191:X191">IF($C191="S",IF(OR(Import.TipoArredondamento&lt;&gt;"TransfereGOV",ACOMPANHAMENTO="BM"),VTOTAL1,SUM(OFFSET(CÁLCULO!$AQ$15,ROW($X191)-ROW($X$15),1):OFFSET(CÁLCULO!$BR$15,ROW($X191)-ROW($X$15),-1))),IF($C191=0,0,ROUND(SomaAgrup,15-13*$AF$11)))</f>
        <v>8920.25</v>
      </c>
      <c r="Y191" s="211" t="s">
        <v>781</v>
      </c>
      <c r="Z191" s="1" t="str">
        <f aca="false">IF(AND($C191="S",$X191&gt;0),IF(ISBLANK($Y191),"RA",LEFT($Y191,2)),"")</f>
        <v>RA</v>
      </c>
      <c r="AA191" s="212" t="n">
        <f aca="true">IF($C191="S",IF($Z191="CP",$X191,IF($Z191="RA",(($X191)*QCI!$AA$3),0)),SomaAgrup)</f>
        <v>989.982962320667</v>
      </c>
      <c r="AB191" s="213" t="n">
        <f aca="true">IF($C191="S",IF($Z191="OU",ROUND($X191,2),0),SomaAgrup)</f>
        <v>0</v>
      </c>
      <c r="AC191" s="214" t="e">
        <f aca="false" t="array" ref="AC191:AC191">IF($N191=""," ",
IF(AND($C191&lt;&gt;"S",OR($R191="",$R191="(digite a descrição aqui)")),"DESCRIÇÃO",
IF(AND($C191="S",OR($Q191&lt;&gt;"",$T191&gt;0,$U191&gt;0),$P191=""),"FONTE",
IF(AND($C191="S",$P191&lt;&gt;"",OR($T191&gt;0,$U191&gt;0),$Q191=""),"CÓDIGO",
IF(AND($C191="S",$P191&lt;&gt;"",$Q191&lt;&gt;"",$R191="(Código não identificado nas referências)"),"CÓDIGO N/ID",
IF(AND($C191="S",OR($R191="",$R191="(digite a descrição aqui)"),OR($Q191&lt;&gt;"",$T191&gt;0,$U191&gt;0)),"DESCRIÇÃO",
IF(AND($C191="S",$P191&lt;&gt;"",$Q191&lt;&gt;"",$S191=""),"UNIDADE",
IF(AND($C191="S",$P191&lt;&gt;"",$Q191&lt;&gt;"",$U191=0),"SEM CUSTO",
IF(AND(_xlfn.single(TIPOORCAMENTO)="Licitado",$AL191=0,$AN191&gt;0),"SEM PREÇO",
IF(AND($C191="S",$P191&lt;&gt;"",$Q191&lt;&gt;"",$U191&gt;0,$V191=0),"BDI",
IF(OR(AND(TIPOORCAMENTO="Proposto",LEFT($O$8,5)&lt;&gt;"(N/D:",$AG191&lt;&gt;"",ORÇAMENTO.CustoUnitario&gt;$AG191),AND(TIPOORCAMENTO="LICITADO",ORÇAMENTO.PrecoUnitarioLicitado&gt;$AN191)),"ACIMA REF.",
IF(AND($C191="S",$P191&lt;&gt;"",$Q191&lt;&gt;"",$T191=0,$U191&gt;0),"QUANT.",
IF(AND(Import.TipoArredondamento="TransfereGOV",$L191="F",$C191="S",LEN($Q191)&gt;13),"Código &gt;13",
IF(AND(Import.TipoArredondamento="TransfereGOV",$L191="F",$C191&lt;&gt;"S",LEN($R191)&gt;100),"Descrição &gt;100",
IF(AND(Import.TipoArredondamento="TransfereGOV",$L191="F",$C191="S",LEN($R191)&gt;500),"Descrição &gt;500",
IF(AND(Import.TipoArredondamento="TransfereGOV",$L191="F",$C191="S",LEFT(TRIM(UPPER($P191)),6)&lt;&gt;"SINAPI",ISNA(VLOOKUP(TRIM(UPPER($S191)),ListaTgov.Unidades,1,FALSE()))),"Unid. Não Disp",
" "))))))))))))))))</f>
        <v>#NAME?</v>
      </c>
      <c r="AD191" s="1" t="str">
        <f aca="true">IF(C191&lt;=CRONO.NivelExibicao,MAX($AD$15:OFFSET(AD191,-1,0))+IF($C191&lt;&gt;1,1,MAX(1,COUNTIF(QCI!$A$13:$A$15,OFFSET($E191,-1,0)))),"")</f>
        <v/>
      </c>
      <c r="AE191" s="50" t="str">
        <f aca="false">IF(AND($C191="S",ORÇAMENTO.CodBarra&lt;&gt;""),IF(ORÇAMENTO.Fonte="",ORÇAMENTO.CodBarra,CONCATENATE(ORÇAMENTO.Fonte," ",ORÇAMENTO.CodBarra)))</f>
        <v>SINAPI 86943</v>
      </c>
      <c r="AF191" s="65" t="str">
        <f aca="true">IF(ISERROR(INDIRECT(ORÇAMENTO.BancoRef)),"(abra o arquivo 'Referência "&amp;Excel_BuiltIn_Database&amp;".xlsm)",IF(OR($C191&lt;&gt;"S",ORÇAMENTO.CodBarra=""),"(Sem Código)",IF(ISERROR(MATCH($AE191,INDIRECT(ORÇAMENTO.BancoRef),0)),"(Código não identificado nas referências)",MATCH($AE191,INDIRECT(ORÇAMENTO.BancoRef),0))))</f>
        <v>(abra o arquivo 'Referência 07-2025.xlsm)</v>
      </c>
      <c r="AG191" s="215" t="n">
        <f aca="true">ROUND(IF(DESONERACAO="sim",REFERENCIA.Desonerado,REFERENCIA.NaoDesonerado),2)</f>
        <v>0</v>
      </c>
      <c r="AH191" s="216" t="n">
        <f aca="false">ROUND(IF(ISNUMBER(ORÇAMENTO.OpcaoBDI),ORÇAMENTO.OpcaoBDI,IF(LEFT(ORÇAMENTO.OpcaoBDI,3)="BDI",HLOOKUP(ORÇAMENTO.OpcaoBDI,$F$4:$H$5,2,FALSE()),0)),15-11*$AF$9)</f>
        <v>0.2904</v>
      </c>
      <c r="AJ191" s="217"/>
      <c r="AL191" s="218"/>
      <c r="AM191" s="219" t="n">
        <f aca="false">$X191</f>
        <v>8920.25</v>
      </c>
      <c r="AN191" s="220" t="n">
        <f aca="false">ROUND(ORÇAMENTO.CustoUnitario*(1+$AH191),2)</f>
        <v>356.81</v>
      </c>
    </row>
    <row r="192" customFormat="false" ht="57.45" hidden="false" customHeight="false" outlineLevel="0" collapsed="false">
      <c r="A192" s="1" t="str">
        <f aca="false">CHOOSE(1+LOG(1+2*(ORÇAMENTO.Nivel="Meta")+4*(ORÇAMENTO.Nivel="Nível 2")+8*(ORÇAMENTO.Nivel="Nível 3")+16*(ORÇAMENTO.Nivel="Nível 4")+32*(ORÇAMENTO.Nivel="Serviço"),2),0,1,2,3,4,"S")</f>
        <v>S</v>
      </c>
      <c r="B192" s="1" t="n">
        <f aca="true">IF(OR(C192="s",C192=0),OFFSET(B192,-1,0),C192)</f>
        <v>2</v>
      </c>
      <c r="C192" s="1" t="str">
        <f aca="true">IF(OFFSET(C192,-1,0)="L",1,IF(OFFSET(C192,-1,0)=1,2,IF(OR(A192="s",A192=0),"S",IF(AND(OFFSET(C192,-1,0)=2,A192=4),3,IF(AND(OR(OFFSET(C192,-1,0)="s",OFFSET(C192,-1,0)=0),A192&lt;&gt;"s",A192&gt;OFFSET(B192,-1,0)),OFFSET(B192,-1,0),A192)))))</f>
        <v>S</v>
      </c>
      <c r="D192" s="1" t="n">
        <f aca="false">IF(OR(C192="S",C192=0),0,IF(ISERROR(K192),J192,SMALL(J192:K192,1)))</f>
        <v>0</v>
      </c>
      <c r="E192" s="1" t="n">
        <f aca="true">IF($C192=1,OFFSET(E192,-1,0)+MAX(1,COUNTIF(QCI!$A$13:$A$15,OFFSET(ORÇAMENTO!E192,-1,0))),OFFSET(E192,-1,0))</f>
        <v>1</v>
      </c>
      <c r="F192" s="1" t="n">
        <f aca="true">IF($C192=1,0,IF($C192=2,OFFSET(F192,-1,0)+1,OFFSET(F192,-1,0)))</f>
        <v>47</v>
      </c>
      <c r="G192" s="1" t="n">
        <f aca="true">IF(AND($C192&lt;=2,$C192&lt;&gt;0),0,IF($C192=3,OFFSET(G192,-1,0)+1,OFFSET(G192,-1,0)))</f>
        <v>0</v>
      </c>
      <c r="H192" s="1" t="n">
        <f aca="true">IF(AND($C192&lt;=3,$C192&lt;&gt;0),0,IF($C192=4,OFFSET(H192,-1,0)+1,OFFSET(H192,-1,0)))</f>
        <v>0</v>
      </c>
      <c r="I192" s="1" t="n">
        <f aca="true">IF(AND($C192&lt;=4,$C192&lt;&gt;0),0,IF(AND($C192="S",$X192&gt;0),OFFSET(I192,-1,0)+1,OFFSET(I192,-1,0)))</f>
        <v>3</v>
      </c>
      <c r="J192" s="1" t="n">
        <f aca="true">IF(OR($C192="S",$C192=0),0,MATCH(0,OFFSET($D192,1,$C192,ROW($C$205)-ROW($C192)),0))</f>
        <v>0</v>
      </c>
      <c r="K192" s="1" t="n">
        <f aca="true">IF(OR($C192="S",$C192=0),0,MATCH(OFFSET($D192,0,$C192)+IF($C192&lt;&gt;1,1,COUNTIF(QCI!$A$13:$A$15,ORÇAMENTO!E192)),OFFSET($D192,1,$C192,ROW($C$205)-ROW($C192)),0))</f>
        <v>0</v>
      </c>
      <c r="L192" s="199" t="str">
        <f aca="false">IF(OR($X192&gt;0,$C192=1,$C192=2,$C192=3,$C192=4),"F","")</f>
        <v>F</v>
      </c>
      <c r="M192" s="200" t="s">
        <v>735</v>
      </c>
      <c r="N192" s="201" t="str">
        <f aca="false">CHOOSE(1+LOG(1+2*(C192=1)+4*(C192=2)+8*(C192=3)+16*(C192=4)+32*(C192="S"),2),"","Meta","Nível 2","Nível 3","Nível 4","Serviço")</f>
        <v>Serviço</v>
      </c>
      <c r="O192" s="202" t="str">
        <f aca="false">IF(OR($C192=0,$L192=""),"-",CONCATENATE(E192&amp;".",IF(AND($A$5&gt;=2,$C192&gt;=2),F192&amp;".",""),IF(AND($A$5&gt;=3,$C192&gt;=3),G192&amp;".",""),IF(AND($A$5&gt;=4,$C192&gt;=4),H192&amp;".",""),IF($C192="S",I192&amp;".","")))</f>
        <v>1.47.3.</v>
      </c>
      <c r="P192" s="203" t="s">
        <v>780</v>
      </c>
      <c r="Q192" s="204" t="n">
        <v>86934</v>
      </c>
      <c r="R192" s="205" t="str">
        <f aca="false">[4]PO!$D$221</f>
        <v>BANCADA DE MÁRMORE SINTÉTICO 120 X 60CM, COM CUBA INTEGRADA, INCLUSO SIFÃO TIPO FLEXÍVEL EM PVC, VÁLVULA EM PLÁSTICO CROMADO TIPO AMERICANA E TORNEIRA CROMADA LONGA, DE PAREDE, PADRÃO POPULAR - FORNECIMENTO E INSTALAÇÃO. AF_01/2020</v>
      </c>
      <c r="S192" s="206" t="s">
        <v>666</v>
      </c>
      <c r="T192" s="207" t="n">
        <f aca="true">OFFSET(CÁLCULO!H$15,ROW($T192)-ROW(T$15),0)</f>
        <v>25</v>
      </c>
      <c r="U192" s="208" t="n">
        <f aca="false">[2]PO!$G$221</f>
        <v>443.4</v>
      </c>
      <c r="V192" s="209" t="s">
        <v>690</v>
      </c>
      <c r="W192" s="207" t="n">
        <f aca="false">IF($C192="S",ROUND(IF(TIPOORCAMENTO="Proposto",ORÇAMENTO.CustoUnitario*(1+$AH192),ORÇAMENTO.PrecoUnitarioLicitado),15-13*$AF$10),0)</f>
        <v>572.16</v>
      </c>
      <c r="X192" s="210" t="n">
        <f aca="true" t="array" ref="X192:X192">IF($C192="S",IF(OR(Import.TipoArredondamento&lt;&gt;"TransfereGOV",ACOMPANHAMENTO="BM"),VTOTAL1,SUM(OFFSET(CÁLCULO!$AQ$15,ROW($X192)-ROW($X$15),1):OFFSET(CÁLCULO!$BR$15,ROW($X192)-ROW($X$15),-1))),IF($C192=0,0,ROUND(SomaAgrup,15-13*$AF$11)))</f>
        <v>14304</v>
      </c>
      <c r="Y192" s="211" t="s">
        <v>781</v>
      </c>
      <c r="Z192" s="1" t="str">
        <f aca="false">IF(AND($C192="S",$X192&gt;0),IF(ISBLANK($Y192),"RA",LEFT($Y192,2)),"")</f>
        <v>RA</v>
      </c>
      <c r="AA192" s="212" t="n">
        <f aca="true">IF($C192="S",IF($Z192="CP",$X192,IF($Z192="RA",(($X192)*QCI!$AA$3),0)),SomaAgrup)</f>
        <v>1587.47975595245</v>
      </c>
      <c r="AB192" s="213" t="n">
        <f aca="true">IF($C192="S",IF($Z192="OU",ROUND($X192,2),0),SomaAgrup)</f>
        <v>0</v>
      </c>
      <c r="AC192" s="214" t="e">
        <f aca="false" t="array" ref="AC192:AC192">IF($N192=""," ",
IF(AND($C192&lt;&gt;"S",OR($R192="",$R192="(digite a descrição aqui)")),"DESCRIÇÃO",
IF(AND($C192="S",OR($Q192&lt;&gt;"",$T192&gt;0,$U192&gt;0),$P192=""),"FONTE",
IF(AND($C192="S",$P192&lt;&gt;"",OR($T192&gt;0,$U192&gt;0),$Q192=""),"CÓDIGO",
IF(AND($C192="S",$P192&lt;&gt;"",$Q192&lt;&gt;"",$R192="(Código não identificado nas referências)"),"CÓDIGO N/ID",
IF(AND($C192="S",OR($R192="",$R192="(digite a descrição aqui)"),OR($Q192&lt;&gt;"",$T192&gt;0,$U192&gt;0)),"DESCRIÇÃO",
IF(AND($C192="S",$P192&lt;&gt;"",$Q192&lt;&gt;"",$S192=""),"UNIDADE",
IF(AND($C192="S",$P192&lt;&gt;"",$Q192&lt;&gt;"",$U192=0),"SEM CUSTO",
IF(AND(_xlfn.single(TIPOORCAMENTO)="Licitado",$AL192=0,$AN192&gt;0),"SEM PREÇO",
IF(AND($C192="S",$P192&lt;&gt;"",$Q192&lt;&gt;"",$U192&gt;0,$V192=0),"BDI",
IF(OR(AND(TIPOORCAMENTO="Proposto",LEFT($O$8,5)&lt;&gt;"(N/D:",$AG192&lt;&gt;"",ORÇAMENTO.CustoUnitario&gt;$AG192),AND(TIPOORCAMENTO="LICITADO",ORÇAMENTO.PrecoUnitarioLicitado&gt;$AN192)),"ACIMA REF.",
IF(AND($C192="S",$P192&lt;&gt;"",$Q192&lt;&gt;"",$T192=0,$U192&gt;0),"QUANT.",
IF(AND(Import.TipoArredondamento="TransfereGOV",$L192="F",$C192="S",LEN($Q192)&gt;13),"Código &gt;13",
IF(AND(Import.TipoArredondamento="TransfereGOV",$L192="F",$C192&lt;&gt;"S",LEN($R192)&gt;100),"Descrição &gt;100",
IF(AND(Import.TipoArredondamento="TransfereGOV",$L192="F",$C192="S",LEN($R192)&gt;500),"Descrição &gt;500",
IF(AND(Import.TipoArredondamento="TransfereGOV",$L192="F",$C192="S",LEFT(TRIM(UPPER($P192)),6)&lt;&gt;"SINAPI",ISNA(VLOOKUP(TRIM(UPPER($S192)),ListaTgov.Unidades,1,FALSE()))),"Unid. Não Disp",
" "))))))))))))))))</f>
        <v>#NAME?</v>
      </c>
      <c r="AD192" s="1" t="str">
        <f aca="true">IF(C192&lt;=CRONO.NivelExibicao,MAX($AD$15:OFFSET(AD192,-1,0))+IF($C192&lt;&gt;1,1,MAX(1,COUNTIF(QCI!$A$13:$A$15,OFFSET($E192,-1,0)))),"")</f>
        <v/>
      </c>
      <c r="AE192" s="50" t="str">
        <f aca="false">IF(AND($C192="S",ORÇAMENTO.CodBarra&lt;&gt;""),IF(ORÇAMENTO.Fonte="",ORÇAMENTO.CodBarra,CONCATENATE(ORÇAMENTO.Fonte," ",ORÇAMENTO.CodBarra)))</f>
        <v>SINAPI 86934</v>
      </c>
      <c r="AF192" s="65" t="str">
        <f aca="true">IF(ISERROR(INDIRECT(ORÇAMENTO.BancoRef)),"(abra o arquivo 'Referência "&amp;Excel_BuiltIn_Database&amp;".xlsm)",IF(OR($C192&lt;&gt;"S",ORÇAMENTO.CodBarra=""),"(Sem Código)",IF(ISERROR(MATCH($AE192,INDIRECT(ORÇAMENTO.BancoRef),0)),"(Código não identificado nas referências)",MATCH($AE192,INDIRECT(ORÇAMENTO.BancoRef),0))))</f>
        <v>(abra o arquivo 'Referência 07-2025.xlsm)</v>
      </c>
      <c r="AG192" s="215" t="n">
        <f aca="true">ROUND(IF(DESONERACAO="sim",REFERENCIA.Desonerado,REFERENCIA.NaoDesonerado),2)</f>
        <v>0</v>
      </c>
      <c r="AH192" s="216" t="n">
        <f aca="false">ROUND(IF(ISNUMBER(ORÇAMENTO.OpcaoBDI),ORÇAMENTO.OpcaoBDI,IF(LEFT(ORÇAMENTO.OpcaoBDI,3)="BDI",HLOOKUP(ORÇAMENTO.OpcaoBDI,$F$4:$H$5,2,FALSE()),0)),15-11*$AF$9)</f>
        <v>0.2904</v>
      </c>
      <c r="AJ192" s="217"/>
      <c r="AL192" s="218"/>
      <c r="AM192" s="219" t="n">
        <f aca="false">$X192</f>
        <v>14304</v>
      </c>
      <c r="AN192" s="220" t="n">
        <f aca="false">ROUND(ORÇAMENTO.CustoUnitario*(1+$AH192),2)</f>
        <v>572.16</v>
      </c>
    </row>
    <row r="193" customFormat="false" ht="46.25" hidden="false" customHeight="false" outlineLevel="0" collapsed="false">
      <c r="A193" s="1" t="str">
        <f aca="false">CHOOSE(1+LOG(1+2*(ORÇAMENTO.Nivel="Meta")+4*(ORÇAMENTO.Nivel="Nível 2")+8*(ORÇAMENTO.Nivel="Nível 3")+16*(ORÇAMENTO.Nivel="Nível 4")+32*(ORÇAMENTO.Nivel="Serviço"),2),0,1,2,3,4,"S")</f>
        <v>S</v>
      </c>
      <c r="B193" s="1" t="n">
        <f aca="true">IF(OR(C193="s",C193=0),OFFSET(B193,-1,0),C193)</f>
        <v>2</v>
      </c>
      <c r="C193" s="1" t="str">
        <f aca="true">IF(OFFSET(C193,-1,0)="L",1,IF(OFFSET(C193,-1,0)=1,2,IF(OR(A193="s",A193=0),"S",IF(AND(OFFSET(C193,-1,0)=2,A193=4),3,IF(AND(OR(OFFSET(C193,-1,0)="s",OFFSET(C193,-1,0)=0),A193&lt;&gt;"s",A193&gt;OFFSET(B193,-1,0)),OFFSET(B193,-1,0),A193)))))</f>
        <v>S</v>
      </c>
      <c r="D193" s="1" t="n">
        <f aca="false">IF(OR(C193="S",C193=0),0,IF(ISERROR(K193),J193,SMALL(J193:K193,1)))</f>
        <v>0</v>
      </c>
      <c r="E193" s="1" t="n">
        <f aca="true">IF($C193=1,OFFSET(E193,-1,0)+MAX(1,COUNTIF(QCI!$A$13:$A$15,OFFSET(ORÇAMENTO!E193,-1,0))),OFFSET(E193,-1,0))</f>
        <v>1</v>
      </c>
      <c r="F193" s="1" t="n">
        <f aca="true">IF($C193=1,0,IF($C193=2,OFFSET(F193,-1,0)+1,OFFSET(F193,-1,0)))</f>
        <v>47</v>
      </c>
      <c r="G193" s="1" t="n">
        <f aca="true">IF(AND($C193&lt;=2,$C193&lt;&gt;0),0,IF($C193=3,OFFSET(G193,-1,0)+1,OFFSET(G193,-1,0)))</f>
        <v>0</v>
      </c>
      <c r="H193" s="1" t="n">
        <f aca="true">IF(AND($C193&lt;=3,$C193&lt;&gt;0),0,IF($C193=4,OFFSET(H193,-1,0)+1,OFFSET(H193,-1,0)))</f>
        <v>0</v>
      </c>
      <c r="I193" s="1" t="n">
        <f aca="true">IF(AND($C193&lt;=4,$C193&lt;&gt;0),0,IF(AND($C193="S",$X193&gt;0),OFFSET(I193,-1,0)+1,OFFSET(I193,-1,0)))</f>
        <v>4</v>
      </c>
      <c r="J193" s="1" t="n">
        <f aca="true">IF(OR($C193="S",$C193=0),0,MATCH(0,OFFSET($D193,1,$C193,ROW($C$205)-ROW($C193)),0))</f>
        <v>0</v>
      </c>
      <c r="K193" s="1" t="n">
        <f aca="true">IF(OR($C193="S",$C193=0),0,MATCH(OFFSET($D193,0,$C193)+IF($C193&lt;&gt;1,1,COUNTIF(QCI!$A$13:$A$15,ORÇAMENTO!E193)),OFFSET($D193,1,$C193,ROW($C$205)-ROW($C193)),0))</f>
        <v>0</v>
      </c>
      <c r="L193" s="199" t="str">
        <f aca="false">IF(OR($X193&gt;0,$C193=1,$C193=2,$C193=3,$C193=4),"F","")</f>
        <v>F</v>
      </c>
      <c r="M193" s="200" t="s">
        <v>735</v>
      </c>
      <c r="N193" s="201" t="str">
        <f aca="false">CHOOSE(1+LOG(1+2*(C193=1)+4*(C193=2)+8*(C193=3)+16*(C193=4)+32*(C193="S"),2),"","Meta","Nível 2","Nível 3","Nível 4","Serviço")</f>
        <v>Serviço</v>
      </c>
      <c r="O193" s="202" t="str">
        <f aca="false">IF(OR($C193=0,$L193=""),"-",CONCATENATE(E193&amp;".",IF(AND($A$5&gt;=2,$C193&gt;=2),F193&amp;".",""),IF(AND($A$5&gt;=3,$C193&gt;=3),G193&amp;".",""),IF(AND($A$5&gt;=4,$C193&gt;=4),H193&amp;".",""),IF($C193="S",I193&amp;".","")))</f>
        <v>1.47.4.</v>
      </c>
      <c r="P193" s="203" t="s">
        <v>780</v>
      </c>
      <c r="Q193" s="204" t="n">
        <v>86925</v>
      </c>
      <c r="R193" s="205" t="str">
        <f aca="false">[4]PO!$D$222</f>
        <v>TANQUE DE MÁRMORE SINTÉTICO COM COLUNA, 22L OU EQUIVALENTE, INCLUSO SIFÃO FLEXÍVEL EM PVC, VÁLVULA PLÁSTICA E TORNEIRA DE METAL CROMADO PADRÃO POPULAR - FORNECIMENTO E INSTALAÇÃO. AF_01/2020</v>
      </c>
      <c r="S193" s="206" t="s">
        <v>666</v>
      </c>
      <c r="T193" s="207" t="n">
        <f aca="true">OFFSET(CÁLCULO!H$15,ROW($T193)-ROW(T$15),0)</f>
        <v>25</v>
      </c>
      <c r="U193" s="208" t="n">
        <f aca="false">[2]PO!$G$222</f>
        <v>667.01</v>
      </c>
      <c r="V193" s="209" t="s">
        <v>690</v>
      </c>
      <c r="W193" s="207" t="n">
        <f aca="false">IF($C193="S",ROUND(IF(TIPOORCAMENTO="Proposto",ORÇAMENTO.CustoUnitario*(1+$AH193),ORÇAMENTO.PrecoUnitarioLicitado),15-13*$AF$10),0)</f>
        <v>860.71</v>
      </c>
      <c r="X193" s="210" t="n">
        <f aca="true" t="array" ref="X193:X193">IF($C193="S",IF(OR(Import.TipoArredondamento&lt;&gt;"TransfereGOV",ACOMPANHAMENTO="BM"),VTOTAL1,SUM(OFFSET(CÁLCULO!$AQ$15,ROW($X193)-ROW($X$15),1):OFFSET(CÁLCULO!$BR$15,ROW($X193)-ROW($X$15),-1))),IF($C193=0,0,ROUND(SomaAgrup,15-13*$AF$11)))</f>
        <v>21517.75</v>
      </c>
      <c r="Y193" s="211" t="s">
        <v>781</v>
      </c>
      <c r="Z193" s="1" t="str">
        <f aca="false">IF(AND($C193="S",$X193&gt;0),IF(ISBLANK($Y193),"RA",LEFT($Y193,2)),"")</f>
        <v>RA</v>
      </c>
      <c r="AA193" s="212" t="n">
        <f aca="true">IF($C193="S",IF($Z193="CP",$X193,IF($Z193="RA",(($X193)*QCI!$AA$3),0)),SomaAgrup)</f>
        <v>2388.07274319392</v>
      </c>
      <c r="AB193" s="213" t="n">
        <f aca="true">IF($C193="S",IF($Z193="OU",ROUND($X193,2),0),SomaAgrup)</f>
        <v>0</v>
      </c>
      <c r="AC193" s="214" t="e">
        <f aca="false" t="array" ref="AC193:AC193">IF($N193=""," ",
IF(AND($C193&lt;&gt;"S",OR($R193="",$R193="(digite a descrição aqui)")),"DESCRIÇÃO",
IF(AND($C193="S",OR($Q193&lt;&gt;"",$T193&gt;0,$U193&gt;0),$P193=""),"FONTE",
IF(AND($C193="S",$P193&lt;&gt;"",OR($T193&gt;0,$U193&gt;0),$Q193=""),"CÓDIGO",
IF(AND($C193="S",$P193&lt;&gt;"",$Q193&lt;&gt;"",$R193="(Código não identificado nas referências)"),"CÓDIGO N/ID",
IF(AND($C193="S",OR($R193="",$R193="(digite a descrição aqui)"),OR($Q193&lt;&gt;"",$T193&gt;0,$U193&gt;0)),"DESCRIÇÃO",
IF(AND($C193="S",$P193&lt;&gt;"",$Q193&lt;&gt;"",$S193=""),"UNIDADE",
IF(AND($C193="S",$P193&lt;&gt;"",$Q193&lt;&gt;"",$U193=0),"SEM CUSTO",
IF(AND(_xlfn.single(TIPOORCAMENTO)="Licitado",$AL193=0,$AN193&gt;0),"SEM PREÇO",
IF(AND($C193="S",$P193&lt;&gt;"",$Q193&lt;&gt;"",$U193&gt;0,$V193=0),"BDI",
IF(OR(AND(TIPOORCAMENTO="Proposto",LEFT($O$8,5)&lt;&gt;"(N/D:",$AG193&lt;&gt;"",ORÇAMENTO.CustoUnitario&gt;$AG193),AND(TIPOORCAMENTO="LICITADO",ORÇAMENTO.PrecoUnitarioLicitado&gt;$AN193)),"ACIMA REF.",
IF(AND($C193="S",$P193&lt;&gt;"",$Q193&lt;&gt;"",$T193=0,$U193&gt;0),"QUANT.",
IF(AND(Import.TipoArredondamento="TransfereGOV",$L193="F",$C193="S",LEN($Q193)&gt;13),"Código &gt;13",
IF(AND(Import.TipoArredondamento="TransfereGOV",$L193="F",$C193&lt;&gt;"S",LEN($R193)&gt;100),"Descrição &gt;100",
IF(AND(Import.TipoArredondamento="TransfereGOV",$L193="F",$C193="S",LEN($R193)&gt;500),"Descrição &gt;500",
IF(AND(Import.TipoArredondamento="TransfereGOV",$L193="F",$C193="S",LEFT(TRIM(UPPER($P193)),6)&lt;&gt;"SINAPI",ISNA(VLOOKUP(TRIM(UPPER($S193)),ListaTgov.Unidades,1,FALSE()))),"Unid. Não Disp",
" "))))))))))))))))</f>
        <v>#NAME?</v>
      </c>
      <c r="AD193" s="1" t="str">
        <f aca="true">IF(C193&lt;=CRONO.NivelExibicao,MAX($AD$15:OFFSET(AD193,-1,0))+IF($C193&lt;&gt;1,1,MAX(1,COUNTIF(QCI!$A$13:$A$15,OFFSET($E193,-1,0)))),"")</f>
        <v/>
      </c>
      <c r="AE193" s="50" t="str">
        <f aca="false">IF(AND($C193="S",ORÇAMENTO.CodBarra&lt;&gt;""),IF(ORÇAMENTO.Fonte="",ORÇAMENTO.CodBarra,CONCATENATE(ORÇAMENTO.Fonte," ",ORÇAMENTO.CodBarra)))</f>
        <v>SINAPI 86925</v>
      </c>
      <c r="AF193" s="65" t="str">
        <f aca="true">IF(ISERROR(INDIRECT(ORÇAMENTO.BancoRef)),"(abra o arquivo 'Referência "&amp;Excel_BuiltIn_Database&amp;".xlsm)",IF(OR($C193&lt;&gt;"S",ORÇAMENTO.CodBarra=""),"(Sem Código)",IF(ISERROR(MATCH($AE193,INDIRECT(ORÇAMENTO.BancoRef),0)),"(Código não identificado nas referências)",MATCH($AE193,INDIRECT(ORÇAMENTO.BancoRef),0))))</f>
        <v>(abra o arquivo 'Referência 07-2025.xlsm)</v>
      </c>
      <c r="AG193" s="215" t="n">
        <f aca="true">ROUND(IF(DESONERACAO="sim",REFERENCIA.Desonerado,REFERENCIA.NaoDesonerado),2)</f>
        <v>0</v>
      </c>
      <c r="AH193" s="216" t="n">
        <f aca="false">ROUND(IF(ISNUMBER(ORÇAMENTO.OpcaoBDI),ORÇAMENTO.OpcaoBDI,IF(LEFT(ORÇAMENTO.OpcaoBDI,3)="BDI",HLOOKUP(ORÇAMENTO.OpcaoBDI,$F$4:$H$5,2,FALSE()),0)),15-11*$AF$9)</f>
        <v>0.2904</v>
      </c>
      <c r="AJ193" s="217"/>
      <c r="AL193" s="218"/>
      <c r="AM193" s="219" t="n">
        <f aca="false">$X193</f>
        <v>21517.75</v>
      </c>
      <c r="AN193" s="220" t="n">
        <f aca="false">ROUND(ORÇAMENTO.CustoUnitario*(1+$AH193),2)</f>
        <v>860.71</v>
      </c>
    </row>
    <row r="194" customFormat="false" ht="23.85" hidden="false" customHeight="false" outlineLevel="0" collapsed="false">
      <c r="A194" s="1" t="str">
        <f aca="false">CHOOSE(1+LOG(1+2*(ORÇAMENTO.Nivel="Meta")+4*(ORÇAMENTO.Nivel="Nível 2")+8*(ORÇAMENTO.Nivel="Nível 3")+16*(ORÇAMENTO.Nivel="Nível 4")+32*(ORÇAMENTO.Nivel="Serviço"),2),0,1,2,3,4,"S")</f>
        <v>S</v>
      </c>
      <c r="B194" s="1" t="n">
        <f aca="true">IF(OR(C194="s",C194=0),OFFSET(B194,-1,0),C194)</f>
        <v>2</v>
      </c>
      <c r="C194" s="1" t="str">
        <f aca="true">IF(OFFSET(C194,-1,0)="L",1,IF(OFFSET(C194,-1,0)=1,2,IF(OR(A194="s",A194=0),"S",IF(AND(OFFSET(C194,-1,0)=2,A194=4),3,IF(AND(OR(OFFSET(C194,-1,0)="s",OFFSET(C194,-1,0)=0),A194&lt;&gt;"s",A194&gt;OFFSET(B194,-1,0)),OFFSET(B194,-1,0),A194)))))</f>
        <v>S</v>
      </c>
      <c r="D194" s="1" t="n">
        <f aca="false">IF(OR(C194="S",C194=0),0,IF(ISERROR(K194),J194,SMALL(J194:K194,1)))</f>
        <v>0</v>
      </c>
      <c r="E194" s="1" t="n">
        <f aca="true">IF($C194=1,OFFSET(E194,-1,0)+MAX(1,COUNTIF(QCI!$A$13:$A$15,OFFSET(ORÇAMENTO!E194,-1,0))),OFFSET(E194,-1,0))</f>
        <v>1</v>
      </c>
      <c r="F194" s="1" t="n">
        <f aca="true">IF($C194=1,0,IF($C194=2,OFFSET(F194,-1,0)+1,OFFSET(F194,-1,0)))</f>
        <v>47</v>
      </c>
      <c r="G194" s="1" t="n">
        <f aca="true">IF(AND($C194&lt;=2,$C194&lt;&gt;0),0,IF($C194=3,OFFSET(G194,-1,0)+1,OFFSET(G194,-1,0)))</f>
        <v>0</v>
      </c>
      <c r="H194" s="1" t="n">
        <f aca="true">IF(AND($C194&lt;=3,$C194&lt;&gt;0),0,IF($C194=4,OFFSET(H194,-1,0)+1,OFFSET(H194,-1,0)))</f>
        <v>0</v>
      </c>
      <c r="I194" s="1" t="n">
        <f aca="true">IF(AND($C194&lt;=4,$C194&lt;&gt;0),0,IF(AND($C194="S",$X194&gt;0),OFFSET(I194,-1,0)+1,OFFSET(I194,-1,0)))</f>
        <v>5</v>
      </c>
      <c r="J194" s="1" t="n">
        <f aca="true">IF(OR($C194="S",$C194=0),0,MATCH(0,OFFSET($D194,1,$C194,ROW($C$205)-ROW($C194)),0))</f>
        <v>0</v>
      </c>
      <c r="K194" s="1" t="n">
        <f aca="true">IF(OR($C194="S",$C194=0),0,MATCH(OFFSET($D194,0,$C194)+IF($C194&lt;&gt;1,1,COUNTIF(QCI!$A$13:$A$15,ORÇAMENTO!E194)),OFFSET($D194,1,$C194,ROW($C$205)-ROW($C194)),0))</f>
        <v>0</v>
      </c>
      <c r="L194" s="199" t="str">
        <f aca="false">IF(OR($X194&gt;0,$C194=1,$C194=2,$C194=3,$C194=4),"F","")</f>
        <v>F</v>
      </c>
      <c r="M194" s="200" t="s">
        <v>735</v>
      </c>
      <c r="N194" s="201" t="str">
        <f aca="false">CHOOSE(1+LOG(1+2*(C194=1)+4*(C194=2)+8*(C194=3)+16*(C194=4)+32*(C194="S"),2),"","Meta","Nível 2","Nível 3","Nível 4","Serviço")</f>
        <v>Serviço</v>
      </c>
      <c r="O194" s="202" t="str">
        <f aca="false">IF(OR($C194=0,$L194=""),"-",CONCATENATE(E194&amp;".",IF(AND($A$5&gt;=2,$C194&gt;=2),F194&amp;".",""),IF(AND($A$5&gt;=3,$C194&gt;=3),G194&amp;".",""),IF(AND($A$5&gt;=4,$C194&gt;=4),H194&amp;".",""),IF($C194="S",I194&amp;".","")))</f>
        <v>1.47.5.</v>
      </c>
      <c r="P194" s="203" t="s">
        <v>780</v>
      </c>
      <c r="Q194" s="204" t="n">
        <v>100860</v>
      </c>
      <c r="R194" s="205" t="str">
        <f aca="false">[4]PO!$D$223</f>
        <v>CHUVEIRO ELÉTRICO COMUM CORPO PLÁSTICO, TIPO DUCHA - FORNECIMENTO E INSTALAÇÃO. AF_01/2020</v>
      </c>
      <c r="S194" s="206" t="s">
        <v>666</v>
      </c>
      <c r="T194" s="207" t="n">
        <f aca="true">OFFSET(CÁLCULO!H$15,ROW($T194)-ROW(T$15),0)</f>
        <v>25</v>
      </c>
      <c r="U194" s="208" t="n">
        <f aca="false">[2]PO!$G$223</f>
        <v>104.47</v>
      </c>
      <c r="V194" s="209" t="s">
        <v>690</v>
      </c>
      <c r="W194" s="207" t="n">
        <f aca="false">IF($C194="S",ROUND(IF(TIPOORCAMENTO="Proposto",ORÇAMENTO.CustoUnitario*(1+$AH194),ORÇAMENTO.PrecoUnitarioLicitado),15-13*$AF$10),0)</f>
        <v>134.81</v>
      </c>
      <c r="X194" s="210" t="n">
        <f aca="true" t="array" ref="X194:X194">IF($C194="S",IF(OR(Import.TipoArredondamento&lt;&gt;"TransfereGOV",ACOMPANHAMENTO="BM"),VTOTAL1,SUM(OFFSET(CÁLCULO!$AQ$15,ROW($X194)-ROW($X$15),1):OFFSET(CÁLCULO!$BR$15,ROW($X194)-ROW($X$15),-1))),IF($C194=0,0,ROUND(SomaAgrup,15-13*$AF$11)))</f>
        <v>3370.25</v>
      </c>
      <c r="Y194" s="211" t="s">
        <v>781</v>
      </c>
      <c r="Z194" s="1" t="str">
        <f aca="false">IF(AND($C194="S",$X194&gt;0),IF(ISBLANK($Y194),"RA",LEFT($Y194,2)),"")</f>
        <v>RA</v>
      </c>
      <c r="AA194" s="212" t="n">
        <f aca="true">IF($C194="S",IF($Z194="CP",$X194,IF($Z194="RA",(($X194)*QCI!$AA$3),0)),SomaAgrup)</f>
        <v>374.035489897842</v>
      </c>
      <c r="AB194" s="213" t="n">
        <f aca="true">IF($C194="S",IF($Z194="OU",ROUND($X194,2),0),SomaAgrup)</f>
        <v>0</v>
      </c>
      <c r="AC194" s="214" t="e">
        <f aca="false" t="array" ref="AC194:AC194">IF($N194=""," ",
IF(AND($C194&lt;&gt;"S",OR($R194="",$R194="(digite a descrição aqui)")),"DESCRIÇÃO",
IF(AND($C194="S",OR($Q194&lt;&gt;"",$T194&gt;0,$U194&gt;0),$P194=""),"FONTE",
IF(AND($C194="S",$P194&lt;&gt;"",OR($T194&gt;0,$U194&gt;0),$Q194=""),"CÓDIGO",
IF(AND($C194="S",$P194&lt;&gt;"",$Q194&lt;&gt;"",$R194="(Código não identificado nas referências)"),"CÓDIGO N/ID",
IF(AND($C194="S",OR($R194="",$R194="(digite a descrição aqui)"),OR($Q194&lt;&gt;"",$T194&gt;0,$U194&gt;0)),"DESCRIÇÃO",
IF(AND($C194="S",$P194&lt;&gt;"",$Q194&lt;&gt;"",$S194=""),"UNIDADE",
IF(AND($C194="S",$P194&lt;&gt;"",$Q194&lt;&gt;"",$U194=0),"SEM CUSTO",
IF(AND(_xlfn.single(TIPOORCAMENTO)="Licitado",$AL194=0,$AN194&gt;0),"SEM PREÇO",
IF(AND($C194="S",$P194&lt;&gt;"",$Q194&lt;&gt;"",$U194&gt;0,$V194=0),"BDI",
IF(OR(AND(TIPOORCAMENTO="Proposto",LEFT($O$8,5)&lt;&gt;"(N/D:",$AG194&lt;&gt;"",ORÇAMENTO.CustoUnitario&gt;$AG194),AND(TIPOORCAMENTO="LICITADO",ORÇAMENTO.PrecoUnitarioLicitado&gt;$AN194)),"ACIMA REF.",
IF(AND($C194="S",$P194&lt;&gt;"",$Q194&lt;&gt;"",$T194=0,$U194&gt;0),"QUANT.",
IF(AND(Import.TipoArredondamento="TransfereGOV",$L194="F",$C194="S",LEN($Q194)&gt;13),"Código &gt;13",
IF(AND(Import.TipoArredondamento="TransfereGOV",$L194="F",$C194&lt;&gt;"S",LEN($R194)&gt;100),"Descrição &gt;100",
IF(AND(Import.TipoArredondamento="TransfereGOV",$L194="F",$C194="S",LEN($R194)&gt;500),"Descrição &gt;500",
IF(AND(Import.TipoArredondamento="TransfereGOV",$L194="F",$C194="S",LEFT(TRIM(UPPER($P194)),6)&lt;&gt;"SINAPI",ISNA(VLOOKUP(TRIM(UPPER($S194)),ListaTgov.Unidades,1,FALSE()))),"Unid. Não Disp",
" "))))))))))))))))</f>
        <v>#NAME?</v>
      </c>
      <c r="AD194" s="1" t="str">
        <f aca="true">IF(C194&lt;=CRONO.NivelExibicao,MAX($AD$15:OFFSET(AD194,-1,0))+IF($C194&lt;&gt;1,1,MAX(1,COUNTIF(QCI!$A$13:$A$15,OFFSET($E194,-1,0)))),"")</f>
        <v/>
      </c>
      <c r="AE194" s="50" t="str">
        <f aca="false">IF(AND($C194="S",ORÇAMENTO.CodBarra&lt;&gt;""),IF(ORÇAMENTO.Fonte="",ORÇAMENTO.CodBarra,CONCATENATE(ORÇAMENTO.Fonte," ",ORÇAMENTO.CodBarra)))</f>
        <v>SINAPI 100860</v>
      </c>
      <c r="AF194" s="65" t="str">
        <f aca="true">IF(ISERROR(INDIRECT(ORÇAMENTO.BancoRef)),"(abra o arquivo 'Referência "&amp;Excel_BuiltIn_Database&amp;".xlsm)",IF(OR($C194&lt;&gt;"S",ORÇAMENTO.CodBarra=""),"(Sem Código)",IF(ISERROR(MATCH($AE194,INDIRECT(ORÇAMENTO.BancoRef),0)),"(Código não identificado nas referências)",MATCH($AE194,INDIRECT(ORÇAMENTO.BancoRef),0))))</f>
        <v>(abra o arquivo 'Referência 07-2025.xlsm)</v>
      </c>
      <c r="AG194" s="215" t="n">
        <f aca="true">ROUND(IF(DESONERACAO="sim",REFERENCIA.Desonerado,REFERENCIA.NaoDesonerado),2)</f>
        <v>0</v>
      </c>
      <c r="AH194" s="216" t="n">
        <f aca="false">ROUND(IF(ISNUMBER(ORÇAMENTO.OpcaoBDI),ORÇAMENTO.OpcaoBDI,IF(LEFT(ORÇAMENTO.OpcaoBDI,3)="BDI",HLOOKUP(ORÇAMENTO.OpcaoBDI,$F$4:$H$5,2,FALSE()),0)),15-11*$AF$9)</f>
        <v>0.2904</v>
      </c>
      <c r="AJ194" s="217"/>
      <c r="AL194" s="218"/>
      <c r="AM194" s="219" t="n">
        <f aca="false">$X194</f>
        <v>3370.25</v>
      </c>
      <c r="AN194" s="220" t="n">
        <f aca="false">ROUND(ORÇAMENTO.CustoUnitario*(1+$AH194),2)</f>
        <v>134.81</v>
      </c>
    </row>
    <row r="195" customFormat="false" ht="23.85" hidden="false" customHeight="false" outlineLevel="0" collapsed="false">
      <c r="A195" s="1" t="str">
        <f aca="false">CHOOSE(1+LOG(1+2*(ORÇAMENTO.Nivel="Meta")+4*(ORÇAMENTO.Nivel="Nível 2")+8*(ORÇAMENTO.Nivel="Nível 3")+16*(ORÇAMENTO.Nivel="Nível 4")+32*(ORÇAMENTO.Nivel="Serviço"),2),0,1,2,3,4,"S")</f>
        <v>S</v>
      </c>
      <c r="B195" s="1" t="n">
        <f aca="true">IF(OR(C195="s",C195=0),OFFSET(B195,-1,0),C195)</f>
        <v>2</v>
      </c>
      <c r="C195" s="1" t="str">
        <f aca="true">IF(OFFSET(C195,-1,0)="L",1,IF(OFFSET(C195,-1,0)=1,2,IF(OR(A195="s",A195=0),"S",IF(AND(OFFSET(C195,-1,0)=2,A195=4),3,IF(AND(OR(OFFSET(C195,-1,0)="s",OFFSET(C195,-1,0)=0),A195&lt;&gt;"s",A195&gt;OFFSET(B195,-1,0)),OFFSET(B195,-1,0),A195)))))</f>
        <v>S</v>
      </c>
      <c r="D195" s="1" t="n">
        <f aca="false">IF(OR(C195="S",C195=0),0,IF(ISERROR(K195),J195,SMALL(J195:K195,1)))</f>
        <v>0</v>
      </c>
      <c r="E195" s="1" t="n">
        <f aca="true">IF($C195=1,OFFSET(E195,-1,0)+MAX(1,COUNTIF(QCI!$A$13:$A$15,OFFSET(ORÇAMENTO!E195,-1,0))),OFFSET(E195,-1,0))</f>
        <v>1</v>
      </c>
      <c r="F195" s="1" t="n">
        <f aca="true">IF($C195=1,0,IF($C195=2,OFFSET(F195,-1,0)+1,OFFSET(F195,-1,0)))</f>
        <v>47</v>
      </c>
      <c r="G195" s="1" t="n">
        <f aca="true">IF(AND($C195&lt;=2,$C195&lt;&gt;0),0,IF($C195=3,OFFSET(G195,-1,0)+1,OFFSET(G195,-1,0)))</f>
        <v>0</v>
      </c>
      <c r="H195" s="1" t="n">
        <f aca="true">IF(AND($C195&lt;=3,$C195&lt;&gt;0),0,IF($C195=4,OFFSET(H195,-1,0)+1,OFFSET(H195,-1,0)))</f>
        <v>0</v>
      </c>
      <c r="I195" s="1" t="n">
        <f aca="true">IF(AND($C195&lt;=4,$C195&lt;&gt;0),0,IF(AND($C195="S",$X195&gt;0),OFFSET(I195,-1,0)+1,OFFSET(I195,-1,0)))</f>
        <v>6</v>
      </c>
      <c r="J195" s="1" t="n">
        <f aca="true">IF(OR($C195="S",$C195=0),0,MATCH(0,OFFSET($D195,1,$C195,ROW($C$205)-ROW($C195)),0))</f>
        <v>0</v>
      </c>
      <c r="K195" s="1" t="n">
        <f aca="true">IF(OR($C195="S",$C195=0),0,MATCH(OFFSET($D195,0,$C195)+IF($C195&lt;&gt;1,1,COUNTIF(QCI!$A$13:$A$15,ORÇAMENTO!E195)),OFFSET($D195,1,$C195,ROW($C$205)-ROW($C195)),0))</f>
        <v>0</v>
      </c>
      <c r="L195" s="199" t="str">
        <f aca="false">IF(OR($X195&gt;0,$C195=1,$C195=2,$C195=3,$C195=4),"F","")</f>
        <v>F</v>
      </c>
      <c r="M195" s="200" t="s">
        <v>735</v>
      </c>
      <c r="N195" s="201" t="str">
        <f aca="false">CHOOSE(1+LOG(1+2*(C195=1)+4*(C195=2)+8*(C195=3)+16*(C195=4)+32*(C195="S"),2),"","Meta","Nível 2","Nível 3","Nível 4","Serviço")</f>
        <v>Serviço</v>
      </c>
      <c r="O195" s="202" t="str">
        <f aca="false">IF(OR($C195=0,$L195=""),"-",CONCATENATE(E195&amp;".",IF(AND($A$5&gt;=2,$C195&gt;=2),F195&amp;".",""),IF(AND($A$5&gt;=3,$C195&gt;=3),G195&amp;".",""),IF(AND($A$5&gt;=4,$C195&gt;=4),H195&amp;".",""),IF($C195="S",I195&amp;".","")))</f>
        <v>1.47.6.</v>
      </c>
      <c r="P195" s="203" t="s">
        <v>780</v>
      </c>
      <c r="Q195" s="204" t="n">
        <v>95546</v>
      </c>
      <c r="R195" s="205" t="str">
        <f aca="false">[4]PO!$D$224</f>
        <v>KIT DE ACESSORIOS PARA BANHEIRO EM METAL CROMADO, 5 PECAS, INCLUSO FIXAÇÃO. AF_01/2020</v>
      </c>
      <c r="S195" s="206" t="s">
        <v>666</v>
      </c>
      <c r="T195" s="207" t="n">
        <f aca="true">OFFSET(CÁLCULO!H$15,ROW($T195)-ROW(T$15),0)</f>
        <v>25</v>
      </c>
      <c r="U195" s="208" t="n">
        <f aca="false">[2]PO!$G$224</f>
        <v>144.47</v>
      </c>
      <c r="V195" s="209" t="s">
        <v>690</v>
      </c>
      <c r="W195" s="207" t="n">
        <f aca="false">IF($C195="S",ROUND(IF(TIPOORCAMENTO="Proposto",ORÇAMENTO.CustoUnitario*(1+$AH195),ORÇAMENTO.PrecoUnitarioLicitado),15-13*$AF$10),0)</f>
        <v>186.42</v>
      </c>
      <c r="X195" s="210" t="n">
        <f aca="true" t="array" ref="X195:X195">IF($C195="S",IF(OR(Import.TipoArredondamento&lt;&gt;"TransfereGOV",ACOMPANHAMENTO="BM"),VTOTAL1,SUM(OFFSET(CÁLCULO!$AQ$15,ROW($X195)-ROW($X$15),1):OFFSET(CÁLCULO!$BR$15,ROW($X195)-ROW($X$15),-1))),IF($C195=0,0,ROUND(SomaAgrup,15-13*$AF$11)))</f>
        <v>4660.5</v>
      </c>
      <c r="Y195" s="211" t="s">
        <v>781</v>
      </c>
      <c r="Z195" s="1" t="str">
        <f aca="false">IF(AND($C195="S",$X195&gt;0),IF(ISBLANK($Y195),"RA",LEFT($Y195,2)),"")</f>
        <v>RA</v>
      </c>
      <c r="AA195" s="212" t="n">
        <f aca="true">IF($C195="S",IF($Z195="CP",$X195,IF($Z195="RA",(($X195)*QCI!$AA$3),0)),SomaAgrup)</f>
        <v>517.229404545329</v>
      </c>
      <c r="AB195" s="213" t="n">
        <f aca="true">IF($C195="S",IF($Z195="OU",ROUND($X195,2),0),SomaAgrup)</f>
        <v>0</v>
      </c>
      <c r="AC195" s="214" t="e">
        <f aca="false" t="array" ref="AC195:AC195">IF($N195=""," ",
IF(AND($C195&lt;&gt;"S",OR($R195="",$R195="(digite a descrição aqui)")),"DESCRIÇÃO",
IF(AND($C195="S",OR($Q195&lt;&gt;"",$T195&gt;0,$U195&gt;0),$P195=""),"FONTE",
IF(AND($C195="S",$P195&lt;&gt;"",OR($T195&gt;0,$U195&gt;0),$Q195=""),"CÓDIGO",
IF(AND($C195="S",$P195&lt;&gt;"",$Q195&lt;&gt;"",$R195="(Código não identificado nas referências)"),"CÓDIGO N/ID",
IF(AND($C195="S",OR($R195="",$R195="(digite a descrição aqui)"),OR($Q195&lt;&gt;"",$T195&gt;0,$U195&gt;0)),"DESCRIÇÃO",
IF(AND($C195="S",$P195&lt;&gt;"",$Q195&lt;&gt;"",$S195=""),"UNIDADE",
IF(AND($C195="S",$P195&lt;&gt;"",$Q195&lt;&gt;"",$U195=0),"SEM CUSTO",
IF(AND(_xlfn.single(TIPOORCAMENTO)="Licitado",$AL195=0,$AN195&gt;0),"SEM PREÇO",
IF(AND($C195="S",$P195&lt;&gt;"",$Q195&lt;&gt;"",$U195&gt;0,$V195=0),"BDI",
IF(OR(AND(TIPOORCAMENTO="Proposto",LEFT($O$8,5)&lt;&gt;"(N/D:",$AG195&lt;&gt;"",ORÇAMENTO.CustoUnitario&gt;$AG195),AND(TIPOORCAMENTO="LICITADO",ORÇAMENTO.PrecoUnitarioLicitado&gt;$AN195)),"ACIMA REF.",
IF(AND($C195="S",$P195&lt;&gt;"",$Q195&lt;&gt;"",$T195=0,$U195&gt;0),"QUANT.",
IF(AND(Import.TipoArredondamento="TransfereGOV",$L195="F",$C195="S",LEN($Q195)&gt;13),"Código &gt;13",
IF(AND(Import.TipoArredondamento="TransfereGOV",$L195="F",$C195&lt;&gt;"S",LEN($R195)&gt;100),"Descrição &gt;100",
IF(AND(Import.TipoArredondamento="TransfereGOV",$L195="F",$C195="S",LEN($R195)&gt;500),"Descrição &gt;500",
IF(AND(Import.TipoArredondamento="TransfereGOV",$L195="F",$C195="S",LEFT(TRIM(UPPER($P195)),6)&lt;&gt;"SINAPI",ISNA(VLOOKUP(TRIM(UPPER($S195)),ListaTgov.Unidades,1,FALSE()))),"Unid. Não Disp",
" "))))))))))))))))</f>
        <v>#NAME?</v>
      </c>
      <c r="AD195" s="1" t="str">
        <f aca="true">IF(C195&lt;=CRONO.NivelExibicao,MAX($AD$15:OFFSET(AD195,-1,0))+IF($C195&lt;&gt;1,1,MAX(1,COUNTIF(QCI!$A$13:$A$15,OFFSET($E195,-1,0)))),"")</f>
        <v/>
      </c>
      <c r="AE195" s="50" t="str">
        <f aca="false">IF(AND($C195="S",ORÇAMENTO.CodBarra&lt;&gt;""),IF(ORÇAMENTO.Fonte="",ORÇAMENTO.CodBarra,CONCATENATE(ORÇAMENTO.Fonte," ",ORÇAMENTO.CodBarra)))</f>
        <v>SINAPI 95546</v>
      </c>
      <c r="AF195" s="65" t="str">
        <f aca="true">IF(ISERROR(INDIRECT(ORÇAMENTO.BancoRef)),"(abra o arquivo 'Referência "&amp;Excel_BuiltIn_Database&amp;".xlsm)",IF(OR($C195&lt;&gt;"S",ORÇAMENTO.CodBarra=""),"(Sem Código)",IF(ISERROR(MATCH($AE195,INDIRECT(ORÇAMENTO.BancoRef),0)),"(Código não identificado nas referências)",MATCH($AE195,INDIRECT(ORÇAMENTO.BancoRef),0))))</f>
        <v>(abra o arquivo 'Referência 07-2025.xlsm)</v>
      </c>
      <c r="AG195" s="215" t="n">
        <f aca="true">ROUND(IF(DESONERACAO="sim",REFERENCIA.Desonerado,REFERENCIA.NaoDesonerado),2)</f>
        <v>0</v>
      </c>
      <c r="AH195" s="216" t="n">
        <f aca="false">ROUND(IF(ISNUMBER(ORÇAMENTO.OpcaoBDI),ORÇAMENTO.OpcaoBDI,IF(LEFT(ORÇAMENTO.OpcaoBDI,3)="BDI",HLOOKUP(ORÇAMENTO.OpcaoBDI,$F$4:$H$5,2,FALSE()),0)),15-11*$AF$9)</f>
        <v>0.2904</v>
      </c>
      <c r="AJ195" s="217"/>
      <c r="AL195" s="218"/>
      <c r="AM195" s="219" t="n">
        <f aca="false">$X195</f>
        <v>4660.5</v>
      </c>
      <c r="AN195" s="220" t="n">
        <f aca="false">ROUND(ORÇAMENTO.CustoUnitario*(1+$AH195),2)</f>
        <v>186.42</v>
      </c>
    </row>
    <row r="196" customFormat="false" ht="12.75" hidden="false" customHeight="false" outlineLevel="0" collapsed="false">
      <c r="A196" s="1" t="n">
        <f aca="false">CHOOSE(1+LOG(1+2*(ORÇAMENTO.Nivel="Meta")+4*(ORÇAMENTO.Nivel="Nível 2")+8*(ORÇAMENTO.Nivel="Nível 3")+16*(ORÇAMENTO.Nivel="Nível 4")+32*(ORÇAMENTO.Nivel="Serviço"),2),0,1,2,3,4,"S")</f>
        <v>2</v>
      </c>
      <c r="B196" s="1" t="n">
        <f aca="true">IF(OR(C196="s",C196=0),OFFSET(B196,-1,0),C196)</f>
        <v>2</v>
      </c>
      <c r="C196" s="1" t="n">
        <f aca="true">IF(OFFSET(C196,-1,0)="L",1,IF(OFFSET(C196,-1,0)=1,2,IF(OR(A196="s",A196=0),"S",IF(AND(OFFSET(C196,-1,0)=2,A196=4),3,IF(AND(OR(OFFSET(C196,-1,0)="s",OFFSET(C196,-1,0)=0),A196&lt;&gt;"s",A196&gt;OFFSET(B196,-1,0)),OFFSET(B196,-1,0),A196)))))</f>
        <v>2</v>
      </c>
      <c r="D196" s="1" t="n">
        <f aca="false">IF(OR(C196="S",C196=0),0,IF(ISERROR(K196),J196,SMALL(J196:K196,1)))</f>
        <v>1</v>
      </c>
      <c r="E196" s="1" t="n">
        <f aca="true">IF($C196=1,OFFSET(E196,-1,0)+MAX(1,COUNTIF(QCI!$A$13:$A$15,OFFSET(ORÇAMENTO!E196,-1,0))),OFFSET(E196,-1,0))</f>
        <v>1</v>
      </c>
      <c r="F196" s="1" t="n">
        <f aca="true">IF($C196=1,0,IF($C196=2,OFFSET(F196,-1,0)+1,OFFSET(F196,-1,0)))</f>
        <v>48</v>
      </c>
      <c r="G196" s="1" t="n">
        <f aca="true">IF(AND($C196&lt;=2,$C196&lt;&gt;0),0,IF($C196=3,OFFSET(G196,-1,0)+1,OFFSET(G196,-1,0)))</f>
        <v>0</v>
      </c>
      <c r="H196" s="1" t="n">
        <f aca="true">IF(AND($C196&lt;=3,$C196&lt;&gt;0),0,IF($C196=4,OFFSET(H196,-1,0)+1,OFFSET(H196,-1,0)))</f>
        <v>0</v>
      </c>
      <c r="I196" s="1" t="n">
        <f aca="true">IF(AND($C196&lt;=4,$C196&lt;&gt;0),0,IF(AND($C196="S",$X196&gt;0),OFFSET(I196,-1,0)+1,OFFSET(I196,-1,0)))</f>
        <v>0</v>
      </c>
      <c r="J196" s="1" t="n">
        <f aca="true">IF(OR($C196="S",$C196=0),0,MATCH(0,OFFSET($D196,1,$C196,ROW($C$205)-ROW($C196)),0))</f>
        <v>9</v>
      </c>
      <c r="K196" s="1" t="n">
        <f aca="true">IF(OR($C196="S",$C196=0),0,MATCH(OFFSET($D196,0,$C196)+IF($C196&lt;&gt;1,1,COUNTIF(QCI!$A$13:$A$15,ORÇAMENTO!E196)),OFFSET($D196,1,$C196,ROW($C$205)-ROW($C196)),0))</f>
        <v>1</v>
      </c>
      <c r="L196" s="199" t="str">
        <f aca="false">IF(OR($X196&gt;0,$C196=1,$C196=2,$C196=3,$C196=4),"F","")</f>
        <v>F</v>
      </c>
      <c r="M196" s="200" t="s">
        <v>732</v>
      </c>
      <c r="N196" s="201" t="str">
        <f aca="false">CHOOSE(1+LOG(1+2*(C196=1)+4*(C196=2)+8*(C196=3)+16*(C196=4)+32*(C196="S"),2),"","Meta","Nível 2","Nível 3","Nível 4","Serviço")</f>
        <v>Nível 2</v>
      </c>
      <c r="O196" s="202" t="str">
        <f aca="false">IF(OR($C196=0,$L196=""),"-",CONCATENATE(E196&amp;".",IF(AND($A$5&gt;=2,$C196&gt;=2),F196&amp;".",""),IF(AND($A$5&gt;=3,$C196&gt;=3),G196&amp;".",""),IF(AND($A$5&gt;=4,$C196&gt;=4),H196&amp;".",""),IF($C196="S",I196&amp;".","")))</f>
        <v>1.48.</v>
      </c>
      <c r="P196" s="203" t="s">
        <v>780</v>
      </c>
      <c r="Q196" s="204"/>
      <c r="R196" s="205" t="str">
        <f aca="false">[4]PO!$B$225</f>
        <v>ELEVADORES / BOMBAS</v>
      </c>
      <c r="S196" s="206" t="str">
        <f aca="true">REFERENCIA.Unidade</f>
        <v>-</v>
      </c>
      <c r="T196" s="207" t="n">
        <f aca="true">OFFSET(CÁLCULO!H$15,ROW($T196)-ROW(T$15),0)</f>
        <v>0</v>
      </c>
      <c r="U196" s="208"/>
      <c r="V196" s="209" t="s">
        <v>690</v>
      </c>
      <c r="W196" s="207" t="n">
        <f aca="false">IF($C196="S",ROUND(IF(TIPOORCAMENTO="Proposto",ORÇAMENTO.CustoUnitario*(1+$AH196),ORÇAMENTO.PrecoUnitarioLicitado),15-13*$AF$10),0)</f>
        <v>0</v>
      </c>
      <c r="X196" s="210" t="n">
        <f aca="true" t="array" ref="X196:X196">IF($C196="S",IF(OR(Import.TipoArredondamento&lt;&gt;"TransfereGOV",ACOMPANHAMENTO="BM"),VTOTAL1,SUM(OFFSET(CÁLCULO!$AQ$15,ROW($X196)-ROW($X$15),1):OFFSET(CÁLCULO!$BR$15,ROW($X196)-ROW($X$15),-1))),IF($C196=0,0,ROUND(SomaAgrup,15-13*$AF$11)))</f>
        <v>0</v>
      </c>
      <c r="Y196" s="211" t="s">
        <v>781</v>
      </c>
      <c r="Z196" s="1" t="str">
        <f aca="false">IF(AND($C196="S",$X196&gt;0),IF(ISBLANK($Y196),"RA",LEFT($Y196,2)),"")</f>
        <v/>
      </c>
      <c r="AA196" s="212" t="n">
        <f aca="true">IF($C196="S",IF($Z196="CP",$X196,IF($Z196="RA",(($X196)*QCI!$AA$3),0)),SomaAgrup)</f>
        <v>0</v>
      </c>
      <c r="AB196" s="213" t="n">
        <f aca="true">IF($C196="S",IF($Z196="OU",ROUND($X196,2),0),SomaAgrup)</f>
        <v>0</v>
      </c>
      <c r="AC196" s="214" t="e">
        <f aca="false" t="array" ref="AC196:AC196">IF($N196=""," ",
IF(AND($C196&lt;&gt;"S",OR($R196="",$R196="(digite a descrição aqui)")),"DESCRIÇÃO",
IF(AND($C196="S",OR($Q196&lt;&gt;"",$T196&gt;0,$U196&gt;0),$P196=""),"FONTE",
IF(AND($C196="S",$P196&lt;&gt;"",OR($T196&gt;0,$U196&gt;0),$Q196=""),"CÓDIGO",
IF(AND($C196="S",$P196&lt;&gt;"",$Q196&lt;&gt;"",$R196="(Código não identificado nas referências)"),"CÓDIGO N/ID",
IF(AND($C196="S",OR($R196="",$R196="(digite a descrição aqui)"),OR($Q196&lt;&gt;"",$T196&gt;0,$U196&gt;0)),"DESCRIÇÃO",
IF(AND($C196="S",$P196&lt;&gt;"",$Q196&lt;&gt;"",$S196=""),"UNIDADE",
IF(AND($C196="S",$P196&lt;&gt;"",$Q196&lt;&gt;"",$U196=0),"SEM CUSTO",
IF(AND(_xlfn.single(TIPOORCAMENTO)="Licitado",$AL196=0,$AN196&gt;0),"SEM PREÇO",
IF(AND($C196="S",$P196&lt;&gt;"",$Q196&lt;&gt;"",$U196&gt;0,$V196=0),"BDI",
IF(OR(AND(TIPOORCAMENTO="Proposto",LEFT($O$8,5)&lt;&gt;"(N/D:",$AG196&lt;&gt;"",ORÇAMENTO.CustoUnitario&gt;$AG196),AND(TIPOORCAMENTO="LICITADO",ORÇAMENTO.PrecoUnitarioLicitado&gt;$AN196)),"ACIMA REF.",
IF(AND($C196="S",$P196&lt;&gt;"",$Q196&lt;&gt;"",$T196=0,$U196&gt;0),"QUANT.",
IF(AND(Import.TipoArredondamento="TransfereGOV",$L196="F",$C196="S",LEN($Q196)&gt;13),"Código &gt;13",
IF(AND(Import.TipoArredondamento="TransfereGOV",$L196="F",$C196&lt;&gt;"S",LEN($R196)&gt;100),"Descrição &gt;100",
IF(AND(Import.TipoArredondamento="TransfereGOV",$L196="F",$C196="S",LEN($R196)&gt;500),"Descrição &gt;500",
IF(AND(Import.TipoArredondamento="TransfereGOV",$L196="F",$C196="S",LEFT(TRIM(UPPER($P196)),6)&lt;&gt;"SINAPI",ISNA(VLOOKUP(TRIM(UPPER($S196)),ListaTgov.Unidades,1,FALSE()))),"Unid. Não Disp",
" "))))))))))))))))</f>
        <v>#NAME?</v>
      </c>
      <c r="AD196" s="38" t="n">
        <f aca="true">IF(C196&lt;=CRONO.NivelExibicao,MAX($AD$15:OFFSET(AD196,-1,0))+IF($C196&lt;&gt;1,1,MAX(1,COUNTIF(QCI!$A$13:$A$15,OFFSET($E196,-1,0)))),"")</f>
        <v>49</v>
      </c>
      <c r="AE196" s="50" t="b">
        <f aca="false">IF(AND($C196="S",ORÇAMENTO.CodBarra&lt;&gt;""),IF(ORÇAMENTO.Fonte="",ORÇAMENTO.CodBarra,CONCATENATE(ORÇAMENTO.Fonte," ",ORÇAMENTO.CodBarra)))</f>
        <v>0</v>
      </c>
      <c r="AF196" s="65" t="str">
        <f aca="true">IF(ISERROR(INDIRECT(ORÇAMENTO.BancoRef)),"(abra o arquivo 'Referência "&amp;Excel_BuiltIn_Database&amp;".xlsm)",IF(OR($C196&lt;&gt;"S",ORÇAMENTO.CodBarra=""),"(Sem Código)",IF(ISERROR(MATCH($AE196,INDIRECT(ORÇAMENTO.BancoRef),0)),"(Código não identificado nas referências)",MATCH($AE196,INDIRECT(ORÇAMENTO.BancoRef),0))))</f>
        <v>(abra o arquivo 'Referência 07-2025.xlsm)</v>
      </c>
      <c r="AG196" s="215" t="n">
        <f aca="true">ROUND(IF(DESONERACAO="sim",REFERENCIA.Desonerado,REFERENCIA.NaoDesonerado),2)</f>
        <v>0</v>
      </c>
      <c r="AH196" s="216" t="n">
        <f aca="false">ROUND(IF(ISNUMBER(ORÇAMENTO.OpcaoBDI),ORÇAMENTO.OpcaoBDI,IF(LEFT(ORÇAMENTO.OpcaoBDI,3)="BDI",HLOOKUP(ORÇAMENTO.OpcaoBDI,$F$4:$H$5,2,FALSE()),0)),15-11*$AF$9)</f>
        <v>0.2904</v>
      </c>
      <c r="AJ196" s="217"/>
      <c r="AL196" s="218"/>
      <c r="AM196" s="219" t="n">
        <f aca="false">$X196</f>
        <v>0</v>
      </c>
      <c r="AN196" s="220" t="n">
        <f aca="false">ROUND(ORÇAMENTO.CustoUnitario*(1+$AH196),2)</f>
        <v>0</v>
      </c>
    </row>
    <row r="197" customFormat="false" ht="12.75" hidden="false" customHeight="false" outlineLevel="0" collapsed="false">
      <c r="A197" s="1" t="n">
        <f aca="false">CHOOSE(1+LOG(1+2*(ORÇAMENTO.Nivel="Meta")+4*(ORÇAMENTO.Nivel="Nível 2")+8*(ORÇAMENTO.Nivel="Nível 3")+16*(ORÇAMENTO.Nivel="Nível 4")+32*(ORÇAMENTO.Nivel="Serviço"),2),0,1,2,3,4,"S")</f>
        <v>2</v>
      </c>
      <c r="B197" s="1" t="n">
        <f aca="true">IF(OR(C197="s",C197=0),OFFSET(B197,-1,0),C197)</f>
        <v>2</v>
      </c>
      <c r="C197" s="1" t="n">
        <f aca="true">IF(OFFSET(C197,-1,0)="L",1,IF(OFFSET(C197,-1,0)=1,2,IF(OR(A197="s",A197=0),"S",IF(AND(OFFSET(C197,-1,0)=2,A197=4),3,IF(AND(OR(OFFSET(C197,-1,0)="s",OFFSET(C197,-1,0)=0),A197&lt;&gt;"s",A197&gt;OFFSET(B197,-1,0)),OFFSET(B197,-1,0),A197)))))</f>
        <v>2</v>
      </c>
      <c r="D197" s="1" t="n">
        <f aca="false">IF(OR(C197="S",C197=0),0,IF(ISERROR(K197),J197,SMALL(J197:K197,1)))</f>
        <v>1</v>
      </c>
      <c r="E197" s="1" t="n">
        <f aca="true">IF($C197=1,OFFSET(E197,-1,0)+MAX(1,COUNTIF(QCI!$A$13:$A$15,OFFSET(ORÇAMENTO!E197,-1,0))),OFFSET(E197,-1,0))</f>
        <v>1</v>
      </c>
      <c r="F197" s="1" t="n">
        <f aca="true">IF($C197=1,0,IF($C197=2,OFFSET(F197,-1,0)+1,OFFSET(F197,-1,0)))</f>
        <v>49</v>
      </c>
      <c r="G197" s="1" t="n">
        <f aca="true">IF(AND($C197&lt;=2,$C197&lt;&gt;0),0,IF($C197=3,OFFSET(G197,-1,0)+1,OFFSET(G197,-1,0)))</f>
        <v>0</v>
      </c>
      <c r="H197" s="1" t="n">
        <f aca="true">IF(AND($C197&lt;=3,$C197&lt;&gt;0),0,IF($C197=4,OFFSET(H197,-1,0)+1,OFFSET(H197,-1,0)))</f>
        <v>0</v>
      </c>
      <c r="I197" s="1" t="n">
        <f aca="true">IF(AND($C197&lt;=4,$C197&lt;&gt;0),0,IF(AND($C197="S",$X197&gt;0),OFFSET(I197,-1,0)+1,OFFSET(I197,-1,0)))</f>
        <v>0</v>
      </c>
      <c r="J197" s="1" t="n">
        <f aca="true">IF(OR($C197="S",$C197=0),0,MATCH(0,OFFSET($D197,1,$C197,ROW($C$205)-ROW($C197)),0))</f>
        <v>8</v>
      </c>
      <c r="K197" s="1" t="n">
        <f aca="true">IF(OR($C197="S",$C197=0),0,MATCH(OFFSET($D197,0,$C197)+IF($C197&lt;&gt;1,1,COUNTIF(QCI!$A$13:$A$15,ORÇAMENTO!E197)),OFFSET($D197,1,$C197,ROW($C$205)-ROW($C197)),0))</f>
        <v>1</v>
      </c>
      <c r="L197" s="199" t="str">
        <f aca="false">IF(OR($X197&gt;0,$C197=1,$C197=2,$C197=3,$C197=4),"F","")</f>
        <v>F</v>
      </c>
      <c r="M197" s="200" t="s">
        <v>732</v>
      </c>
      <c r="N197" s="201" t="str">
        <f aca="false">CHOOSE(1+LOG(1+2*(C197=1)+4*(C197=2)+8*(C197=3)+16*(C197=4)+32*(C197="S"),2),"","Meta","Nível 2","Nível 3","Nível 4","Serviço")</f>
        <v>Nível 2</v>
      </c>
      <c r="O197" s="202" t="str">
        <f aca="false">IF(OR($C197=0,$L197=""),"-",CONCATENATE(E197&amp;".",IF(AND($A$5&gt;=2,$C197&gt;=2),F197&amp;".",""),IF(AND($A$5&gt;=3,$C197&gt;=3),G197&amp;".",""),IF(AND($A$5&gt;=4,$C197&gt;=4),H197&amp;".",""),IF($C197="S",I197&amp;".","")))</f>
        <v>1.49.</v>
      </c>
      <c r="P197" s="203" t="s">
        <v>780</v>
      </c>
      <c r="Q197" s="204"/>
      <c r="R197" s="205" t="str">
        <f aca="false">[4]PO!$B$226</f>
        <v>CLIMATIZAÇÃO</v>
      </c>
      <c r="S197" s="206" t="str">
        <f aca="true">REFERENCIA.Unidade</f>
        <v>-</v>
      </c>
      <c r="T197" s="207" t="n">
        <f aca="true">OFFSET(CÁLCULO!H$15,ROW($T197)-ROW(T$15),0)</f>
        <v>0</v>
      </c>
      <c r="U197" s="208"/>
      <c r="V197" s="209" t="s">
        <v>690</v>
      </c>
      <c r="W197" s="207" t="n">
        <f aca="false">IF($C197="S",ROUND(IF(TIPOORCAMENTO="Proposto",ORÇAMENTO.CustoUnitario*(1+$AH197),ORÇAMENTO.PrecoUnitarioLicitado),15-13*$AF$10),0)</f>
        <v>0</v>
      </c>
      <c r="X197" s="210" t="n">
        <f aca="true" t="array" ref="X197:X197">IF($C197="S",IF(OR(Import.TipoArredondamento&lt;&gt;"TransfereGOV",ACOMPANHAMENTO="BM"),VTOTAL1,SUM(OFFSET(CÁLCULO!$AQ$15,ROW($X197)-ROW($X$15),1):OFFSET(CÁLCULO!$BR$15,ROW($X197)-ROW($X$15),-1))),IF($C197=0,0,ROUND(SomaAgrup,15-13*$AF$11)))</f>
        <v>0</v>
      </c>
      <c r="Y197" s="211" t="s">
        <v>781</v>
      </c>
      <c r="Z197" s="1" t="str">
        <f aca="false">IF(AND($C197="S",$X197&gt;0),IF(ISBLANK($Y197),"RA",LEFT($Y197,2)),"")</f>
        <v/>
      </c>
      <c r="AA197" s="212" t="n">
        <f aca="true">IF($C197="S",IF($Z197="CP",$X197,IF($Z197="RA",(($X197)*QCI!$AA$3),0)),SomaAgrup)</f>
        <v>0</v>
      </c>
      <c r="AB197" s="213" t="n">
        <f aca="true">IF($C197="S",IF($Z197="OU",ROUND($X197,2),0),SomaAgrup)</f>
        <v>0</v>
      </c>
      <c r="AC197" s="214" t="e">
        <f aca="false" t="array" ref="AC197:AC197">IF($N197=""," ",
IF(AND($C197&lt;&gt;"S",OR($R197="",$R197="(digite a descrição aqui)")),"DESCRIÇÃO",
IF(AND($C197="S",OR($Q197&lt;&gt;"",$T197&gt;0,$U197&gt;0),$P197=""),"FONTE",
IF(AND($C197="S",$P197&lt;&gt;"",OR($T197&gt;0,$U197&gt;0),$Q197=""),"CÓDIGO",
IF(AND($C197="S",$P197&lt;&gt;"",$Q197&lt;&gt;"",$R197="(Código não identificado nas referências)"),"CÓDIGO N/ID",
IF(AND($C197="S",OR($R197="",$R197="(digite a descrição aqui)"),OR($Q197&lt;&gt;"",$T197&gt;0,$U197&gt;0)),"DESCRIÇÃO",
IF(AND($C197="S",$P197&lt;&gt;"",$Q197&lt;&gt;"",$S197=""),"UNIDADE",
IF(AND($C197="S",$P197&lt;&gt;"",$Q197&lt;&gt;"",$U197=0),"SEM CUSTO",
IF(AND(_xlfn.single(TIPOORCAMENTO)="Licitado",$AL197=0,$AN197&gt;0),"SEM PREÇO",
IF(AND($C197="S",$P197&lt;&gt;"",$Q197&lt;&gt;"",$U197&gt;0,$V197=0),"BDI",
IF(OR(AND(TIPOORCAMENTO="Proposto",LEFT($O$8,5)&lt;&gt;"(N/D:",$AG197&lt;&gt;"",ORÇAMENTO.CustoUnitario&gt;$AG197),AND(TIPOORCAMENTO="LICITADO",ORÇAMENTO.PrecoUnitarioLicitado&gt;$AN197)),"ACIMA REF.",
IF(AND($C197="S",$P197&lt;&gt;"",$Q197&lt;&gt;"",$T197=0,$U197&gt;0),"QUANT.",
IF(AND(Import.TipoArredondamento="TransfereGOV",$L197="F",$C197="S",LEN($Q197)&gt;13),"Código &gt;13",
IF(AND(Import.TipoArredondamento="TransfereGOV",$L197="F",$C197&lt;&gt;"S",LEN($R197)&gt;100),"Descrição &gt;100",
IF(AND(Import.TipoArredondamento="TransfereGOV",$L197="F",$C197="S",LEN($R197)&gt;500),"Descrição &gt;500",
IF(AND(Import.TipoArredondamento="TransfereGOV",$L197="F",$C197="S",LEFT(TRIM(UPPER($P197)),6)&lt;&gt;"SINAPI",ISNA(VLOOKUP(TRIM(UPPER($S197)),ListaTgov.Unidades,1,FALSE()))),"Unid. Não Disp",
" "))))))))))))))))</f>
        <v>#NAME?</v>
      </c>
      <c r="AD197" s="38" t="n">
        <f aca="true">IF(C197&lt;=CRONO.NivelExibicao,MAX($AD$15:OFFSET(AD197,-1,0))+IF($C197&lt;&gt;1,1,MAX(1,COUNTIF(QCI!$A$13:$A$15,OFFSET($E197,-1,0)))),"")</f>
        <v>50</v>
      </c>
      <c r="AE197" s="50" t="b">
        <f aca="false">IF(AND($C197="S",ORÇAMENTO.CodBarra&lt;&gt;""),IF(ORÇAMENTO.Fonte="",ORÇAMENTO.CodBarra,CONCATENATE(ORÇAMENTO.Fonte," ",ORÇAMENTO.CodBarra)))</f>
        <v>0</v>
      </c>
      <c r="AF197" s="65" t="str">
        <f aca="true">IF(ISERROR(INDIRECT(ORÇAMENTO.BancoRef)),"(abra o arquivo 'Referência "&amp;Excel_BuiltIn_Database&amp;".xlsm)",IF(OR($C197&lt;&gt;"S",ORÇAMENTO.CodBarra=""),"(Sem Código)",IF(ISERROR(MATCH($AE197,INDIRECT(ORÇAMENTO.BancoRef),0)),"(Código não identificado nas referências)",MATCH($AE197,INDIRECT(ORÇAMENTO.BancoRef),0))))</f>
        <v>(abra o arquivo 'Referência 07-2025.xlsm)</v>
      </c>
      <c r="AG197" s="215" t="n">
        <f aca="true">ROUND(IF(DESONERACAO="sim",REFERENCIA.Desonerado,REFERENCIA.NaoDesonerado),2)</f>
        <v>0</v>
      </c>
      <c r="AH197" s="216" t="n">
        <f aca="false">ROUND(IF(ISNUMBER(ORÇAMENTO.OpcaoBDI),ORÇAMENTO.OpcaoBDI,IF(LEFT(ORÇAMENTO.OpcaoBDI,3)="BDI",HLOOKUP(ORÇAMENTO.OpcaoBDI,$F$4:$H$5,2,FALSE()),0)),15-11*$AF$9)</f>
        <v>0.2904</v>
      </c>
      <c r="AJ197" s="217"/>
      <c r="AL197" s="218"/>
      <c r="AM197" s="219" t="n">
        <f aca="false">$X197</f>
        <v>0</v>
      </c>
      <c r="AN197" s="220" t="n">
        <f aca="false">ROUND(ORÇAMENTO.CustoUnitario*(1+$AH197),2)</f>
        <v>0</v>
      </c>
    </row>
    <row r="198" customFormat="false" ht="12.75" hidden="false" customHeight="false" outlineLevel="0" collapsed="false">
      <c r="A198" s="1" t="n">
        <f aca="false">CHOOSE(1+LOG(1+2*(ORÇAMENTO.Nivel="Meta")+4*(ORÇAMENTO.Nivel="Nível 2")+8*(ORÇAMENTO.Nivel="Nível 3")+16*(ORÇAMENTO.Nivel="Nível 4")+32*(ORÇAMENTO.Nivel="Serviço"),2),0,1,2,3,4,"S")</f>
        <v>2</v>
      </c>
      <c r="B198" s="1" t="n">
        <f aca="true">IF(OR(C198="s",C198=0),OFFSET(B198,-1,0),C198)</f>
        <v>2</v>
      </c>
      <c r="C198" s="1" t="n">
        <f aca="true">IF(OFFSET(C198,-1,0)="L",1,IF(OFFSET(C198,-1,0)=1,2,IF(OR(A198="s",A198=0),"S",IF(AND(OFFSET(C198,-1,0)=2,A198=4),3,IF(AND(OR(OFFSET(C198,-1,0)="s",OFFSET(C198,-1,0)=0),A198&lt;&gt;"s",A198&gt;OFFSET(B198,-1,0)),OFFSET(B198,-1,0),A198)))))</f>
        <v>2</v>
      </c>
      <c r="D198" s="1" t="n">
        <f aca="false">IF(OR(C198="S",C198=0),0,IF(ISERROR(K198),J198,SMALL(J198:K198,1)))</f>
        <v>1</v>
      </c>
      <c r="E198" s="1" t="n">
        <f aca="true">IF($C198=1,OFFSET(E198,-1,0)+MAX(1,COUNTIF(QCI!$A$13:$A$15,OFFSET(ORÇAMENTO!E198,-1,0))),OFFSET(E198,-1,0))</f>
        <v>1</v>
      </c>
      <c r="F198" s="1" t="n">
        <f aca="true">IF($C198=1,0,IF($C198=2,OFFSET(F198,-1,0)+1,OFFSET(F198,-1,0)))</f>
        <v>50</v>
      </c>
      <c r="G198" s="1" t="n">
        <f aca="true">IF(AND($C198&lt;=2,$C198&lt;&gt;0),0,IF($C198=3,OFFSET(G198,-1,0)+1,OFFSET(G198,-1,0)))</f>
        <v>0</v>
      </c>
      <c r="H198" s="1" t="n">
        <f aca="true">IF(AND($C198&lt;=3,$C198&lt;&gt;0),0,IF($C198=4,OFFSET(H198,-1,0)+1,OFFSET(H198,-1,0)))</f>
        <v>0</v>
      </c>
      <c r="I198" s="1" t="n">
        <f aca="true">IF(AND($C198&lt;=4,$C198&lt;&gt;0),0,IF(AND($C198="S",$X198&gt;0),OFFSET(I198,-1,0)+1,OFFSET(I198,-1,0)))</f>
        <v>0</v>
      </c>
      <c r="J198" s="1" t="n">
        <f aca="true">IF(OR($C198="S",$C198=0),0,MATCH(0,OFFSET($D198,1,$C198,ROW($C$205)-ROW($C198)),0))</f>
        <v>7</v>
      </c>
      <c r="K198" s="1" t="n">
        <f aca="true">IF(OR($C198="S",$C198=0),0,MATCH(OFFSET($D198,0,$C198)+IF($C198&lt;&gt;1,1,COUNTIF(QCI!$A$13:$A$15,ORÇAMENTO!E198)),OFFSET($D198,1,$C198,ROW($C$205)-ROW($C198)),0))</f>
        <v>1</v>
      </c>
      <c r="L198" s="199" t="str">
        <f aca="false">IF(OR($X198&gt;0,$C198=1,$C198=2,$C198=3,$C198=4),"F","")</f>
        <v>F</v>
      </c>
      <c r="M198" s="200" t="s">
        <v>732</v>
      </c>
      <c r="N198" s="201" t="str">
        <f aca="false">CHOOSE(1+LOG(1+2*(C198=1)+4*(C198=2)+8*(C198=3)+16*(C198=4)+32*(C198="S"),2),"","Meta","Nível 2","Nível 3","Nível 4","Serviço")</f>
        <v>Nível 2</v>
      </c>
      <c r="O198" s="202" t="str">
        <f aca="false">IF(OR($C198=0,$L198=""),"-",CONCATENATE(E198&amp;".",IF(AND($A$5&gt;=2,$C198&gt;=2),F198&amp;".",""),IF(AND($A$5&gt;=3,$C198&gt;=3),G198&amp;".",""),IF(AND($A$5&gt;=4,$C198&gt;=4),H198&amp;".",""),IF($C198="S",I198&amp;".","")))</f>
        <v>1.50.</v>
      </c>
      <c r="P198" s="203" t="s">
        <v>780</v>
      </c>
      <c r="Q198" s="204"/>
      <c r="R198" s="205" t="str">
        <f aca="false">[4]PO!$B$227</f>
        <v>LÓGICA</v>
      </c>
      <c r="S198" s="206" t="str">
        <f aca="true">REFERENCIA.Unidade</f>
        <v>-</v>
      </c>
      <c r="T198" s="207" t="n">
        <f aca="true">OFFSET(CÁLCULO!H$15,ROW($T198)-ROW(T$15),0)</f>
        <v>0</v>
      </c>
      <c r="U198" s="208"/>
      <c r="V198" s="209" t="s">
        <v>690</v>
      </c>
      <c r="W198" s="207" t="n">
        <f aca="false">IF($C198="S",ROUND(IF(TIPOORCAMENTO="Proposto",ORÇAMENTO.CustoUnitario*(1+$AH198),ORÇAMENTO.PrecoUnitarioLicitado),15-13*$AF$10),0)</f>
        <v>0</v>
      </c>
      <c r="X198" s="210" t="n">
        <f aca="true" t="array" ref="X198:X198">IF($C198="S",IF(OR(Import.TipoArredondamento&lt;&gt;"TransfereGOV",ACOMPANHAMENTO="BM"),VTOTAL1,SUM(OFFSET(CÁLCULO!$AQ$15,ROW($X198)-ROW($X$15),1):OFFSET(CÁLCULO!$BR$15,ROW($X198)-ROW($X$15),-1))),IF($C198=0,0,ROUND(SomaAgrup,15-13*$AF$11)))</f>
        <v>0</v>
      </c>
      <c r="Y198" s="211" t="s">
        <v>781</v>
      </c>
      <c r="Z198" s="1" t="str">
        <f aca="false">IF(AND($C198="S",$X198&gt;0),IF(ISBLANK($Y198),"RA",LEFT($Y198,2)),"")</f>
        <v/>
      </c>
      <c r="AA198" s="212" t="n">
        <f aca="true">IF($C198="S",IF($Z198="CP",$X198,IF($Z198="RA",(($X198)*QCI!$AA$3),0)),SomaAgrup)</f>
        <v>0</v>
      </c>
      <c r="AB198" s="213" t="n">
        <f aca="true">IF($C198="S",IF($Z198="OU",ROUND($X198,2),0),SomaAgrup)</f>
        <v>0</v>
      </c>
      <c r="AC198" s="214" t="e">
        <f aca="false" t="array" ref="AC198:AC198">IF($N198=""," ",
IF(AND($C198&lt;&gt;"S",OR($R198="",$R198="(digite a descrição aqui)")),"DESCRIÇÃO",
IF(AND($C198="S",OR($Q198&lt;&gt;"",$T198&gt;0,$U198&gt;0),$P198=""),"FONTE",
IF(AND($C198="S",$P198&lt;&gt;"",OR($T198&gt;0,$U198&gt;0),$Q198=""),"CÓDIGO",
IF(AND($C198="S",$P198&lt;&gt;"",$Q198&lt;&gt;"",$R198="(Código não identificado nas referências)"),"CÓDIGO N/ID",
IF(AND($C198="S",OR($R198="",$R198="(digite a descrição aqui)"),OR($Q198&lt;&gt;"",$T198&gt;0,$U198&gt;0)),"DESCRIÇÃO",
IF(AND($C198="S",$P198&lt;&gt;"",$Q198&lt;&gt;"",$S198=""),"UNIDADE",
IF(AND($C198="S",$P198&lt;&gt;"",$Q198&lt;&gt;"",$U198=0),"SEM CUSTO",
IF(AND(_xlfn.single(TIPOORCAMENTO)="Licitado",$AL198=0,$AN198&gt;0),"SEM PREÇO",
IF(AND($C198="S",$P198&lt;&gt;"",$Q198&lt;&gt;"",$U198&gt;0,$V198=0),"BDI",
IF(OR(AND(TIPOORCAMENTO="Proposto",LEFT($O$8,5)&lt;&gt;"(N/D:",$AG198&lt;&gt;"",ORÇAMENTO.CustoUnitario&gt;$AG198),AND(TIPOORCAMENTO="LICITADO",ORÇAMENTO.PrecoUnitarioLicitado&gt;$AN198)),"ACIMA REF.",
IF(AND($C198="S",$P198&lt;&gt;"",$Q198&lt;&gt;"",$T198=0,$U198&gt;0),"QUANT.",
IF(AND(Import.TipoArredondamento="TransfereGOV",$L198="F",$C198="S",LEN($Q198)&gt;13),"Código &gt;13",
IF(AND(Import.TipoArredondamento="TransfereGOV",$L198="F",$C198&lt;&gt;"S",LEN($R198)&gt;100),"Descrição &gt;100",
IF(AND(Import.TipoArredondamento="TransfereGOV",$L198="F",$C198="S",LEN($R198)&gt;500),"Descrição &gt;500",
IF(AND(Import.TipoArredondamento="TransfereGOV",$L198="F",$C198="S",LEFT(TRIM(UPPER($P198)),6)&lt;&gt;"SINAPI",ISNA(VLOOKUP(TRIM(UPPER($S198)),ListaTgov.Unidades,1,FALSE()))),"Unid. Não Disp",
" "))))))))))))))))</f>
        <v>#NAME?</v>
      </c>
      <c r="AD198" s="38" t="n">
        <f aca="true">IF(C198&lt;=CRONO.NivelExibicao,MAX($AD$15:OFFSET(AD198,-1,0))+IF($C198&lt;&gt;1,1,MAX(1,COUNTIF(QCI!$A$13:$A$15,OFFSET($E198,-1,0)))),"")</f>
        <v>51</v>
      </c>
      <c r="AE198" s="50" t="b">
        <f aca="false">IF(AND($C198="S",ORÇAMENTO.CodBarra&lt;&gt;""),IF(ORÇAMENTO.Fonte="",ORÇAMENTO.CodBarra,CONCATENATE(ORÇAMENTO.Fonte," ",ORÇAMENTO.CodBarra)))</f>
        <v>0</v>
      </c>
      <c r="AF198" s="65" t="str">
        <f aca="true">IF(ISERROR(INDIRECT(ORÇAMENTO.BancoRef)),"(abra o arquivo 'Referência "&amp;Excel_BuiltIn_Database&amp;".xlsm)",IF(OR($C198&lt;&gt;"S",ORÇAMENTO.CodBarra=""),"(Sem Código)",IF(ISERROR(MATCH($AE198,INDIRECT(ORÇAMENTO.BancoRef),0)),"(Código não identificado nas referências)",MATCH($AE198,INDIRECT(ORÇAMENTO.BancoRef),0))))</f>
        <v>(abra o arquivo 'Referência 07-2025.xlsm)</v>
      </c>
      <c r="AG198" s="215" t="n">
        <f aca="true">ROUND(IF(DESONERACAO="sim",REFERENCIA.Desonerado,REFERENCIA.NaoDesonerado),2)</f>
        <v>0</v>
      </c>
      <c r="AH198" s="216" t="n">
        <f aca="false">ROUND(IF(ISNUMBER(ORÇAMENTO.OpcaoBDI),ORÇAMENTO.OpcaoBDI,IF(LEFT(ORÇAMENTO.OpcaoBDI,3)="BDI",HLOOKUP(ORÇAMENTO.OpcaoBDI,$F$4:$H$5,2,FALSE()),0)),15-11*$AF$9)</f>
        <v>0.2904</v>
      </c>
      <c r="AJ198" s="217"/>
      <c r="AL198" s="218"/>
      <c r="AM198" s="219" t="n">
        <f aca="false">$X198</f>
        <v>0</v>
      </c>
      <c r="AN198" s="220" t="n">
        <f aca="false">ROUND(ORÇAMENTO.CustoUnitario*(1+$AH198),2)</f>
        <v>0</v>
      </c>
    </row>
    <row r="199" customFormat="false" ht="12.75" hidden="false" customHeight="false" outlineLevel="0" collapsed="false">
      <c r="A199" s="1" t="n">
        <f aca="false">CHOOSE(1+LOG(1+2*(ORÇAMENTO.Nivel="Meta")+4*(ORÇAMENTO.Nivel="Nível 2")+8*(ORÇAMENTO.Nivel="Nível 3")+16*(ORÇAMENTO.Nivel="Nível 4")+32*(ORÇAMENTO.Nivel="Serviço"),2),0,1,2,3,4,"S")</f>
        <v>2</v>
      </c>
      <c r="B199" s="1" t="n">
        <f aca="true">IF(OR(C199="s",C199=0),OFFSET(B199,-1,0),C199)</f>
        <v>2</v>
      </c>
      <c r="C199" s="1" t="n">
        <f aca="true">IF(OFFSET(C199,-1,0)="L",1,IF(OFFSET(C199,-1,0)=1,2,IF(OR(A199="s",A199=0),"S",IF(AND(OFFSET(C199,-1,0)=2,A199=4),3,IF(AND(OR(OFFSET(C199,-1,0)="s",OFFSET(C199,-1,0)=0),A199&lt;&gt;"s",A199&gt;OFFSET(B199,-1,0)),OFFSET(B199,-1,0),A199)))))</f>
        <v>2</v>
      </c>
      <c r="D199" s="1" t="n">
        <f aca="false">IF(OR(C199="S",C199=0),0,IF(ISERROR(K199),J199,SMALL(J199:K199,1)))</f>
        <v>1</v>
      </c>
      <c r="E199" s="1" t="n">
        <f aca="true">IF($C199=1,OFFSET(E199,-1,0)+MAX(1,COUNTIF(QCI!$A$13:$A$15,OFFSET(ORÇAMENTO!E199,-1,0))),OFFSET(E199,-1,0))</f>
        <v>1</v>
      </c>
      <c r="F199" s="1" t="n">
        <f aca="true">IF($C199=1,0,IF($C199=2,OFFSET(F199,-1,0)+1,OFFSET(F199,-1,0)))</f>
        <v>51</v>
      </c>
      <c r="G199" s="1" t="n">
        <f aca="true">IF(AND($C199&lt;=2,$C199&lt;&gt;0),0,IF($C199=3,OFFSET(G199,-1,0)+1,OFFSET(G199,-1,0)))</f>
        <v>0</v>
      </c>
      <c r="H199" s="1" t="n">
        <f aca="true">IF(AND($C199&lt;=3,$C199&lt;&gt;0),0,IF($C199=4,OFFSET(H199,-1,0)+1,OFFSET(H199,-1,0)))</f>
        <v>0</v>
      </c>
      <c r="I199" s="1" t="n">
        <f aca="true">IF(AND($C199&lt;=4,$C199&lt;&gt;0),0,IF(AND($C199="S",$X199&gt;0),OFFSET(I199,-1,0)+1,OFFSET(I199,-1,0)))</f>
        <v>0</v>
      </c>
      <c r="J199" s="1" t="n">
        <f aca="true">IF(OR($C199="S",$C199=0),0,MATCH(0,OFFSET($D199,1,$C199,ROW($C$205)-ROW($C199)),0))</f>
        <v>6</v>
      </c>
      <c r="K199" s="1" t="n">
        <f aca="true">IF(OR($C199="S",$C199=0),0,MATCH(OFFSET($D199,0,$C199)+IF($C199&lt;&gt;1,1,COUNTIF(QCI!$A$13:$A$15,ORÇAMENTO!E199)),OFFSET($D199,1,$C199,ROW($C$205)-ROW($C199)),0))</f>
        <v>1</v>
      </c>
      <c r="L199" s="199" t="str">
        <f aca="false">IF(OR($X199&gt;0,$C199=1,$C199=2,$C199=3,$C199=4),"F","")</f>
        <v>F</v>
      </c>
      <c r="M199" s="200" t="s">
        <v>732</v>
      </c>
      <c r="N199" s="201" t="str">
        <f aca="false">CHOOSE(1+LOG(1+2*(C199=1)+4*(C199=2)+8*(C199=3)+16*(C199=4)+32*(C199="S"),2),"","Meta","Nível 2","Nível 3","Nível 4","Serviço")</f>
        <v>Nível 2</v>
      </c>
      <c r="O199" s="202" t="str">
        <f aca="false">IF(OR($C199=0,$L199=""),"-",CONCATENATE(E199&amp;".",IF(AND($A$5&gt;=2,$C199&gt;=2),F199&amp;".",""),IF(AND($A$5&gt;=3,$C199&gt;=3),G199&amp;".",""),IF(AND($A$5&gt;=4,$C199&gt;=4),H199&amp;".",""),IF($C199="S",I199&amp;".","")))</f>
        <v>1.51.</v>
      </c>
      <c r="P199" s="203" t="s">
        <v>780</v>
      </c>
      <c r="Q199" s="204"/>
      <c r="R199" s="205" t="str">
        <f aca="false">[4]PO!$B$228</f>
        <v>ESPECIAIS</v>
      </c>
      <c r="S199" s="206" t="str">
        <f aca="true">REFERENCIA.Unidade</f>
        <v>-</v>
      </c>
      <c r="T199" s="207" t="n">
        <f aca="true">OFFSET(CÁLCULO!H$15,ROW($T199)-ROW(T$15),0)</f>
        <v>0</v>
      </c>
      <c r="U199" s="208"/>
      <c r="V199" s="209" t="s">
        <v>690</v>
      </c>
      <c r="W199" s="207" t="n">
        <f aca="false">IF($C199="S",ROUND(IF(TIPOORCAMENTO="Proposto",ORÇAMENTO.CustoUnitario*(1+$AH199),ORÇAMENTO.PrecoUnitarioLicitado),15-13*$AF$10),0)</f>
        <v>0</v>
      </c>
      <c r="X199" s="210" t="n">
        <f aca="true" t="array" ref="X199:X199">IF($C199="S",IF(OR(Import.TipoArredondamento&lt;&gt;"TransfereGOV",ACOMPANHAMENTO="BM"),VTOTAL1,SUM(OFFSET(CÁLCULO!$AQ$15,ROW($X199)-ROW($X$15),1):OFFSET(CÁLCULO!$BR$15,ROW($X199)-ROW($X$15),-1))),IF($C199=0,0,ROUND(SomaAgrup,15-13*$AF$11)))</f>
        <v>0</v>
      </c>
      <c r="Y199" s="211" t="s">
        <v>781</v>
      </c>
      <c r="Z199" s="1" t="str">
        <f aca="false">IF(AND($C199="S",$X199&gt;0),IF(ISBLANK($Y199),"RA",LEFT($Y199,2)),"")</f>
        <v/>
      </c>
      <c r="AA199" s="212" t="n">
        <f aca="true">IF($C199="S",IF($Z199="CP",$X199,IF($Z199="RA",(($X199)*QCI!$AA$3),0)),SomaAgrup)</f>
        <v>0</v>
      </c>
      <c r="AB199" s="213" t="n">
        <f aca="true">IF($C199="S",IF($Z199="OU",ROUND($X199,2),0),SomaAgrup)</f>
        <v>0</v>
      </c>
      <c r="AC199" s="214" t="e">
        <f aca="false" t="array" ref="AC199:AC199">IF($N199=""," ",
IF(AND($C199&lt;&gt;"S",OR($R199="",$R199="(digite a descrição aqui)")),"DESCRIÇÃO",
IF(AND($C199="S",OR($Q199&lt;&gt;"",$T199&gt;0,$U199&gt;0),$P199=""),"FONTE",
IF(AND($C199="S",$P199&lt;&gt;"",OR($T199&gt;0,$U199&gt;0),$Q199=""),"CÓDIGO",
IF(AND($C199="S",$P199&lt;&gt;"",$Q199&lt;&gt;"",$R199="(Código não identificado nas referências)"),"CÓDIGO N/ID",
IF(AND($C199="S",OR($R199="",$R199="(digite a descrição aqui)"),OR($Q199&lt;&gt;"",$T199&gt;0,$U199&gt;0)),"DESCRIÇÃO",
IF(AND($C199="S",$P199&lt;&gt;"",$Q199&lt;&gt;"",$S199=""),"UNIDADE",
IF(AND($C199="S",$P199&lt;&gt;"",$Q199&lt;&gt;"",$U199=0),"SEM CUSTO",
IF(AND(_xlfn.single(TIPOORCAMENTO)="Licitado",$AL199=0,$AN199&gt;0),"SEM PREÇO",
IF(AND($C199="S",$P199&lt;&gt;"",$Q199&lt;&gt;"",$U199&gt;0,$V199=0),"BDI",
IF(OR(AND(TIPOORCAMENTO="Proposto",LEFT($O$8,5)&lt;&gt;"(N/D:",$AG199&lt;&gt;"",ORÇAMENTO.CustoUnitario&gt;$AG199),AND(TIPOORCAMENTO="LICITADO",ORÇAMENTO.PrecoUnitarioLicitado&gt;$AN199)),"ACIMA REF.",
IF(AND($C199="S",$P199&lt;&gt;"",$Q199&lt;&gt;"",$T199=0,$U199&gt;0),"QUANT.",
IF(AND(Import.TipoArredondamento="TransfereGOV",$L199="F",$C199="S",LEN($Q199)&gt;13),"Código &gt;13",
IF(AND(Import.TipoArredondamento="TransfereGOV",$L199="F",$C199&lt;&gt;"S",LEN($R199)&gt;100),"Descrição &gt;100",
IF(AND(Import.TipoArredondamento="TransfereGOV",$L199="F",$C199="S",LEN($R199)&gt;500),"Descrição &gt;500",
IF(AND(Import.TipoArredondamento="TransfereGOV",$L199="F",$C199="S",LEFT(TRIM(UPPER($P199)),6)&lt;&gt;"SINAPI",ISNA(VLOOKUP(TRIM(UPPER($S199)),ListaTgov.Unidades,1,FALSE()))),"Unid. Não Disp",
" "))))))))))))))))</f>
        <v>#NAME?</v>
      </c>
      <c r="AD199" s="38" t="n">
        <f aca="true">IF(C199&lt;=CRONO.NivelExibicao,MAX($AD$15:OFFSET(AD199,-1,0))+IF($C199&lt;&gt;1,1,MAX(1,COUNTIF(QCI!$A$13:$A$15,OFFSET($E199,-1,0)))),"")</f>
        <v>52</v>
      </c>
      <c r="AE199" s="50" t="b">
        <f aca="false">IF(AND($C199="S",ORÇAMENTO.CodBarra&lt;&gt;""),IF(ORÇAMENTO.Fonte="",ORÇAMENTO.CodBarra,CONCATENATE(ORÇAMENTO.Fonte," ",ORÇAMENTO.CodBarra)))</f>
        <v>0</v>
      </c>
      <c r="AF199" s="65" t="str">
        <f aca="true">IF(ISERROR(INDIRECT(ORÇAMENTO.BancoRef)),"(abra o arquivo 'Referência "&amp;Excel_BuiltIn_Database&amp;".xlsm)",IF(OR($C199&lt;&gt;"S",ORÇAMENTO.CodBarra=""),"(Sem Código)",IF(ISERROR(MATCH($AE199,INDIRECT(ORÇAMENTO.BancoRef),0)),"(Código não identificado nas referências)",MATCH($AE199,INDIRECT(ORÇAMENTO.BancoRef),0))))</f>
        <v>(abra o arquivo 'Referência 07-2025.xlsm)</v>
      </c>
      <c r="AG199" s="215" t="n">
        <f aca="true">ROUND(IF(DESONERACAO="sim",REFERENCIA.Desonerado,REFERENCIA.NaoDesonerado),2)</f>
        <v>0</v>
      </c>
      <c r="AH199" s="216" t="n">
        <f aca="false">ROUND(IF(ISNUMBER(ORÇAMENTO.OpcaoBDI),ORÇAMENTO.OpcaoBDI,IF(LEFT(ORÇAMENTO.OpcaoBDI,3)="BDI",HLOOKUP(ORÇAMENTO.OpcaoBDI,$F$4:$H$5,2,FALSE()),0)),15-11*$AF$9)</f>
        <v>0.2904</v>
      </c>
      <c r="AJ199" s="217"/>
      <c r="AL199" s="218"/>
      <c r="AM199" s="219" t="n">
        <f aca="false">$X199</f>
        <v>0</v>
      </c>
      <c r="AN199" s="220" t="n">
        <f aca="false">ROUND(ORÇAMENTO.CustoUnitario*(1+$AH199),2)</f>
        <v>0</v>
      </c>
    </row>
    <row r="200" customFormat="false" ht="12.75" hidden="false" customHeight="false" outlineLevel="0" collapsed="false">
      <c r="A200" s="1" t="n">
        <f aca="false">CHOOSE(1+LOG(1+2*(ORÇAMENTO.Nivel="Meta")+4*(ORÇAMENTO.Nivel="Nível 2")+8*(ORÇAMENTO.Nivel="Nível 3")+16*(ORÇAMENTO.Nivel="Nível 4")+32*(ORÇAMENTO.Nivel="Serviço"),2),0,1,2,3,4,"S")</f>
        <v>2</v>
      </c>
      <c r="B200" s="1" t="n">
        <f aca="true">IF(OR(C200="s",C200=0),OFFSET(B200,-1,0),C200)</f>
        <v>2</v>
      </c>
      <c r="C200" s="1" t="n">
        <f aca="true">IF(OFFSET(C200,-1,0)="L",1,IF(OFFSET(C200,-1,0)=1,2,IF(OR(A200="s",A200=0),"S",IF(AND(OFFSET(C200,-1,0)=2,A200=4),3,IF(AND(OR(OFFSET(C200,-1,0)="s",OFFSET(C200,-1,0)=0),A200&lt;&gt;"s",A200&gt;OFFSET(B200,-1,0)),OFFSET(B200,-1,0),A200)))))</f>
        <v>2</v>
      </c>
      <c r="D200" s="1" t="n">
        <f aca="false">IF(OR(C200="S",C200=0),0,IF(ISERROR(K200),J200,SMALL(J200:K200,1)))</f>
        <v>1</v>
      </c>
      <c r="E200" s="1" t="n">
        <f aca="true">IF($C200=1,OFFSET(E200,-1,0)+MAX(1,COUNTIF(QCI!$A$13:$A$15,OFFSET(ORÇAMENTO!E200,-1,0))),OFFSET(E200,-1,0))</f>
        <v>1</v>
      </c>
      <c r="F200" s="1" t="n">
        <f aca="true">IF($C200=1,0,IF($C200=2,OFFSET(F200,-1,0)+1,OFFSET(F200,-1,0)))</f>
        <v>52</v>
      </c>
      <c r="G200" s="1" t="n">
        <f aca="true">IF(AND($C200&lt;=2,$C200&lt;&gt;0),0,IF($C200=3,OFFSET(G200,-1,0)+1,OFFSET(G200,-1,0)))</f>
        <v>0</v>
      </c>
      <c r="H200" s="1" t="n">
        <f aca="true">IF(AND($C200&lt;=3,$C200&lt;&gt;0),0,IF($C200=4,OFFSET(H200,-1,0)+1,OFFSET(H200,-1,0)))</f>
        <v>0</v>
      </c>
      <c r="I200" s="1" t="n">
        <f aca="true">IF(AND($C200&lt;=4,$C200&lt;&gt;0),0,IF(AND($C200="S",$X200&gt;0),OFFSET(I200,-1,0)+1,OFFSET(I200,-1,0)))</f>
        <v>0</v>
      </c>
      <c r="J200" s="1" t="n">
        <f aca="true">IF(OR($C200="S",$C200=0),0,MATCH(0,OFFSET($D200,1,$C200,ROW($C$205)-ROW($C200)),0))</f>
        <v>5</v>
      </c>
      <c r="K200" s="1" t="n">
        <f aca="true">IF(OR($C200="S",$C200=0),0,MATCH(OFFSET($D200,0,$C200)+IF($C200&lt;&gt;1,1,COUNTIF(QCI!$A$13:$A$15,ORÇAMENTO!E200)),OFFSET($D200,1,$C200,ROW($C$205)-ROW($C200)),0))</f>
        <v>1</v>
      </c>
      <c r="L200" s="199" t="str">
        <f aca="false">IF(OR($X200&gt;0,$C200=1,$C200=2,$C200=3,$C200=4),"F","")</f>
        <v>F</v>
      </c>
      <c r="M200" s="200" t="s">
        <v>732</v>
      </c>
      <c r="N200" s="201" t="str">
        <f aca="false">CHOOSE(1+LOG(1+2*(C200=1)+4*(C200=2)+8*(C200=3)+16*(C200=4)+32*(C200="S"),2),"","Meta","Nível 2","Nível 3","Nível 4","Serviço")</f>
        <v>Nível 2</v>
      </c>
      <c r="O200" s="202" t="str">
        <f aca="false">IF(OR($C200=0,$L200=""),"-",CONCATENATE(E200&amp;".",IF(AND($A$5&gt;=2,$C200&gt;=2),F200&amp;".",""),IF(AND($A$5&gt;=3,$C200&gt;=3),G200&amp;".",""),IF(AND($A$5&gt;=4,$C200&gt;=4),H200&amp;".",""),IF($C200="S",I200&amp;".","")))</f>
        <v>1.52.</v>
      </c>
      <c r="P200" s="203" t="s">
        <v>780</v>
      </c>
      <c r="Q200" s="204"/>
      <c r="R200" s="205" t="str">
        <f aca="false">[4]PO!$B$229</f>
        <v>COMPLEMENTAÇÕES</v>
      </c>
      <c r="S200" s="206" t="str">
        <f aca="true">REFERENCIA.Unidade</f>
        <v>-</v>
      </c>
      <c r="T200" s="207" t="n">
        <f aca="true">OFFSET(CÁLCULO!H$15,ROW($T200)-ROW(T$15),0)</f>
        <v>0</v>
      </c>
      <c r="U200" s="208"/>
      <c r="V200" s="209" t="s">
        <v>690</v>
      </c>
      <c r="W200" s="207" t="n">
        <f aca="false">IF($C200="S",ROUND(IF(TIPOORCAMENTO="Proposto",ORÇAMENTO.CustoUnitario*(1+$AH200),ORÇAMENTO.PrecoUnitarioLicitado),15-13*$AF$10),0)</f>
        <v>0</v>
      </c>
      <c r="X200" s="210" t="n">
        <f aca="true" t="array" ref="X200:X200">IF($C200="S",IF(OR(Import.TipoArredondamento&lt;&gt;"TransfereGOV",ACOMPANHAMENTO="BM"),VTOTAL1,SUM(OFFSET(CÁLCULO!$AQ$15,ROW($X200)-ROW($X$15),1):OFFSET(CÁLCULO!$BR$15,ROW($X200)-ROW($X$15),-1))),IF($C200=0,0,ROUND(SomaAgrup,15-13*$AF$11)))</f>
        <v>0</v>
      </c>
      <c r="Y200" s="211" t="s">
        <v>781</v>
      </c>
      <c r="Z200" s="1" t="str">
        <f aca="false">IF(AND($C200="S",$X200&gt;0),IF(ISBLANK($Y200),"RA",LEFT($Y200,2)),"")</f>
        <v/>
      </c>
      <c r="AA200" s="212" t="n">
        <f aca="true">IF($C200="S",IF($Z200="CP",$X200,IF($Z200="RA",(($X200)*QCI!$AA$3),0)),SomaAgrup)</f>
        <v>0</v>
      </c>
      <c r="AB200" s="213" t="n">
        <f aca="true">IF($C200="S",IF($Z200="OU",ROUND($X200,2),0),SomaAgrup)</f>
        <v>0</v>
      </c>
      <c r="AC200" s="214" t="e">
        <f aca="false" t="array" ref="AC200:AC200">IF($N200=""," ",
IF(AND($C200&lt;&gt;"S",OR($R200="",$R200="(digite a descrição aqui)")),"DESCRIÇÃO",
IF(AND($C200="S",OR($Q200&lt;&gt;"",$T200&gt;0,$U200&gt;0),$P200=""),"FONTE",
IF(AND($C200="S",$P200&lt;&gt;"",OR($T200&gt;0,$U200&gt;0),$Q200=""),"CÓDIGO",
IF(AND($C200="S",$P200&lt;&gt;"",$Q200&lt;&gt;"",$R200="(Código não identificado nas referências)"),"CÓDIGO N/ID",
IF(AND($C200="S",OR($R200="",$R200="(digite a descrição aqui)"),OR($Q200&lt;&gt;"",$T200&gt;0,$U200&gt;0)),"DESCRIÇÃO",
IF(AND($C200="S",$P200&lt;&gt;"",$Q200&lt;&gt;"",$S200=""),"UNIDADE",
IF(AND($C200="S",$P200&lt;&gt;"",$Q200&lt;&gt;"",$U200=0),"SEM CUSTO",
IF(AND(_xlfn.single(TIPOORCAMENTO)="Licitado",$AL200=0,$AN200&gt;0),"SEM PREÇO",
IF(AND($C200="S",$P200&lt;&gt;"",$Q200&lt;&gt;"",$U200&gt;0,$V200=0),"BDI",
IF(OR(AND(TIPOORCAMENTO="Proposto",LEFT($O$8,5)&lt;&gt;"(N/D:",$AG200&lt;&gt;"",ORÇAMENTO.CustoUnitario&gt;$AG200),AND(TIPOORCAMENTO="LICITADO",ORÇAMENTO.PrecoUnitarioLicitado&gt;$AN200)),"ACIMA REF.",
IF(AND($C200="S",$P200&lt;&gt;"",$Q200&lt;&gt;"",$T200=0,$U200&gt;0),"QUANT.",
IF(AND(Import.TipoArredondamento="TransfereGOV",$L200="F",$C200="S",LEN($Q200)&gt;13),"Código &gt;13",
IF(AND(Import.TipoArredondamento="TransfereGOV",$L200="F",$C200&lt;&gt;"S",LEN($R200)&gt;100),"Descrição &gt;100",
IF(AND(Import.TipoArredondamento="TransfereGOV",$L200="F",$C200="S",LEN($R200)&gt;500),"Descrição &gt;500",
IF(AND(Import.TipoArredondamento="TransfereGOV",$L200="F",$C200="S",LEFT(TRIM(UPPER($P200)),6)&lt;&gt;"SINAPI",ISNA(VLOOKUP(TRIM(UPPER($S200)),ListaTgov.Unidades,1,FALSE()))),"Unid. Não Disp",
" "))))))))))))))))</f>
        <v>#NAME?</v>
      </c>
      <c r="AD200" s="38" t="n">
        <f aca="true">IF(C200&lt;=CRONO.NivelExibicao,MAX($AD$15:OFFSET(AD200,-1,0))+IF($C200&lt;&gt;1,1,MAX(1,COUNTIF(QCI!$A$13:$A$15,OFFSET($E200,-1,0)))),"")</f>
        <v>53</v>
      </c>
      <c r="AE200" s="50" t="b">
        <f aca="false">IF(AND($C200="S",ORÇAMENTO.CodBarra&lt;&gt;""),IF(ORÇAMENTO.Fonte="",ORÇAMENTO.CodBarra,CONCATENATE(ORÇAMENTO.Fonte," ",ORÇAMENTO.CodBarra)))</f>
        <v>0</v>
      </c>
      <c r="AF200" s="65" t="str">
        <f aca="true">IF(ISERROR(INDIRECT(ORÇAMENTO.BancoRef)),"(abra o arquivo 'Referência "&amp;Excel_BuiltIn_Database&amp;".xlsm)",IF(OR($C200&lt;&gt;"S",ORÇAMENTO.CodBarra=""),"(Sem Código)",IF(ISERROR(MATCH($AE200,INDIRECT(ORÇAMENTO.BancoRef),0)),"(Código não identificado nas referências)",MATCH($AE200,INDIRECT(ORÇAMENTO.BancoRef),0))))</f>
        <v>(abra o arquivo 'Referência 07-2025.xlsm)</v>
      </c>
      <c r="AG200" s="215" t="n">
        <f aca="true">ROUND(IF(DESONERACAO="sim",REFERENCIA.Desonerado,REFERENCIA.NaoDesonerado),2)</f>
        <v>0</v>
      </c>
      <c r="AH200" s="216" t="n">
        <f aca="false">ROUND(IF(ISNUMBER(ORÇAMENTO.OpcaoBDI),ORÇAMENTO.OpcaoBDI,IF(LEFT(ORÇAMENTO.OpcaoBDI,3)="BDI",HLOOKUP(ORÇAMENTO.OpcaoBDI,$F$4:$H$5,2,FALSE()),0)),15-11*$AF$9)</f>
        <v>0.2904</v>
      </c>
      <c r="AJ200" s="217"/>
      <c r="AL200" s="218"/>
      <c r="AM200" s="219" t="n">
        <f aca="false">$X200</f>
        <v>0</v>
      </c>
      <c r="AN200" s="220" t="n">
        <f aca="false">ROUND(ORÇAMENTO.CustoUnitario*(1+$AH200),2)</f>
        <v>0</v>
      </c>
    </row>
    <row r="201" customFormat="false" ht="12.75" hidden="false" customHeight="false" outlineLevel="0" collapsed="false">
      <c r="A201" s="1" t="n">
        <f aca="false">CHOOSE(1+LOG(1+2*(ORÇAMENTO.Nivel="Meta")+4*(ORÇAMENTO.Nivel="Nível 2")+8*(ORÇAMENTO.Nivel="Nível 3")+16*(ORÇAMENTO.Nivel="Nível 4")+32*(ORÇAMENTO.Nivel="Serviço"),2),0,1,2,3,4,"S")</f>
        <v>2</v>
      </c>
      <c r="B201" s="1" t="n">
        <f aca="true">IF(OR(C201="s",C201=0),OFFSET(B201,-1,0),C201)</f>
        <v>2</v>
      </c>
      <c r="C201" s="1" t="n">
        <f aca="true">IF(OFFSET(C201,-1,0)="L",1,IF(OFFSET(C201,-1,0)=1,2,IF(OR(A201="s",A201=0),"S",IF(AND(OFFSET(C201,-1,0)=2,A201=4),3,IF(AND(OR(OFFSET(C201,-1,0)="s",OFFSET(C201,-1,0)=0),A201&lt;&gt;"s",A201&gt;OFFSET(B201,-1,0)),OFFSET(B201,-1,0),A201)))))</f>
        <v>2</v>
      </c>
      <c r="D201" s="1" t="n">
        <f aca="false">IF(OR(C201="S",C201=0),0,IF(ISERROR(K201),J201,SMALL(J201:K201,1)))</f>
        <v>2</v>
      </c>
      <c r="E201" s="1" t="n">
        <f aca="true">IF($C201=1,OFFSET(E201,-1,0)+MAX(1,COUNTIF(QCI!$A$13:$A$15,OFFSET(ORÇAMENTO!E201,-1,0))),OFFSET(E201,-1,0))</f>
        <v>1</v>
      </c>
      <c r="F201" s="1" t="n">
        <f aca="true">IF($C201=1,0,IF($C201=2,OFFSET(F201,-1,0)+1,OFFSET(F201,-1,0)))</f>
        <v>53</v>
      </c>
      <c r="G201" s="1" t="n">
        <f aca="true">IF(AND($C201&lt;=2,$C201&lt;&gt;0),0,IF($C201=3,OFFSET(G201,-1,0)+1,OFFSET(G201,-1,0)))</f>
        <v>0</v>
      </c>
      <c r="H201" s="1" t="n">
        <f aca="true">IF(AND($C201&lt;=3,$C201&lt;&gt;0),0,IF($C201=4,OFFSET(H201,-1,0)+1,OFFSET(H201,-1,0)))</f>
        <v>0</v>
      </c>
      <c r="I201" s="1" t="n">
        <f aca="true">IF(AND($C201&lt;=4,$C201&lt;&gt;0),0,IF(AND($C201="S",$X201&gt;0),OFFSET(I201,-1,0)+1,OFFSET(I201,-1,0)))</f>
        <v>0</v>
      </c>
      <c r="J201" s="1" t="n">
        <f aca="true">IF(OR($C201="S",$C201=0),0,MATCH(0,OFFSET($D201,1,$C201,ROW($C$205)-ROW($C201)),0))</f>
        <v>4</v>
      </c>
      <c r="K201" s="1" t="n">
        <f aca="true">IF(OR($C201="S",$C201=0),0,MATCH(OFFSET($D201,0,$C201)+IF($C201&lt;&gt;1,1,COUNTIF(QCI!$A$13:$A$15,ORÇAMENTO!E201)),OFFSET($D201,1,$C201,ROW($C$205)-ROW($C201)),0))</f>
        <v>2</v>
      </c>
      <c r="L201" s="199" t="str">
        <f aca="false">IF(OR($X201&gt;0,$C201=1,$C201=2,$C201=3,$C201=4),"F","")</f>
        <v>F</v>
      </c>
      <c r="M201" s="200" t="s">
        <v>732</v>
      </c>
      <c r="N201" s="201" t="str">
        <f aca="false">CHOOSE(1+LOG(1+2*(C201=1)+4*(C201=2)+8*(C201=3)+16*(C201=4)+32*(C201="S"),2),"","Meta","Nível 2","Nível 3","Nível 4","Serviço")</f>
        <v>Nível 2</v>
      </c>
      <c r="O201" s="202" t="str">
        <f aca="false">IF(OR($C201=0,$L201=""),"-",CONCATENATE(E201&amp;".",IF(AND($A$5&gt;=2,$C201&gt;=2),F201&amp;".",""),IF(AND($A$5&gt;=3,$C201&gt;=3),G201&amp;".",""),IF(AND($A$5&gt;=4,$C201&gt;=4),H201&amp;".",""),IF($C201="S",I201&amp;".","")))</f>
        <v>1.53.</v>
      </c>
      <c r="P201" s="203" t="s">
        <v>780</v>
      </c>
      <c r="Q201" s="204"/>
      <c r="R201" s="205" t="str">
        <f aca="false">[4]PO!$B$230</f>
        <v>CALAFETE / LIMPEZA</v>
      </c>
      <c r="S201" s="206" t="str">
        <f aca="true">REFERENCIA.Unidade</f>
        <v>-</v>
      </c>
      <c r="T201" s="207" t="n">
        <f aca="true">OFFSET(CÁLCULO!H$15,ROW($T201)-ROW(T$15),0)</f>
        <v>0</v>
      </c>
      <c r="U201" s="208"/>
      <c r="V201" s="209" t="s">
        <v>690</v>
      </c>
      <c r="W201" s="207" t="n">
        <f aca="false">IF($C201="S",ROUND(IF(TIPOORCAMENTO="Proposto",ORÇAMENTO.CustoUnitario*(1+$AH201),ORÇAMENTO.PrecoUnitarioLicitado),15-13*$AF$10),0)</f>
        <v>0</v>
      </c>
      <c r="X201" s="210" t="n">
        <f aca="true" t="array" ref="X201:X201">IF($C201="S",IF(OR(Import.TipoArredondamento&lt;&gt;"TransfereGOV",ACOMPANHAMENTO="BM"),VTOTAL1,SUM(OFFSET(CÁLCULO!$AQ$15,ROW($X201)-ROW($X$15),1):OFFSET(CÁLCULO!$BR$15,ROW($X201)-ROW($X$15),-1))),IF($C201=0,0,ROUND(SomaAgrup,15-13*$AF$11)))</f>
        <v>13446</v>
      </c>
      <c r="Y201" s="211" t="s">
        <v>781</v>
      </c>
      <c r="Z201" s="1" t="str">
        <f aca="false">IF(AND($C201="S",$X201&gt;0),IF(ISBLANK($Y201),"RA",LEFT($Y201,2)),"")</f>
        <v/>
      </c>
      <c r="AA201" s="212" t="n">
        <f aca="true">IF($C201="S",IF($Z201="CP",$X201,IF($Z201="RA",(($X201)*QCI!$AA$3),0)),SomaAgrup)</f>
        <v>1492.25760616168</v>
      </c>
      <c r="AB201" s="213" t="n">
        <f aca="true">IF($C201="S",IF($Z201="OU",ROUND($X201,2),0),SomaAgrup)</f>
        <v>0</v>
      </c>
      <c r="AC201" s="214" t="e">
        <f aca="false" t="array" ref="AC201:AC201">IF($N201=""," ",
IF(AND($C201&lt;&gt;"S",OR($R201="",$R201="(digite a descrição aqui)")),"DESCRIÇÃO",
IF(AND($C201="S",OR($Q201&lt;&gt;"",$T201&gt;0,$U201&gt;0),$P201=""),"FONTE",
IF(AND($C201="S",$P201&lt;&gt;"",OR($T201&gt;0,$U201&gt;0),$Q201=""),"CÓDIGO",
IF(AND($C201="S",$P201&lt;&gt;"",$Q201&lt;&gt;"",$R201="(Código não identificado nas referências)"),"CÓDIGO N/ID",
IF(AND($C201="S",OR($R201="",$R201="(digite a descrição aqui)"),OR($Q201&lt;&gt;"",$T201&gt;0,$U201&gt;0)),"DESCRIÇÃO",
IF(AND($C201="S",$P201&lt;&gt;"",$Q201&lt;&gt;"",$S201=""),"UNIDADE",
IF(AND($C201="S",$P201&lt;&gt;"",$Q201&lt;&gt;"",$U201=0),"SEM CUSTO",
IF(AND(_xlfn.single(TIPOORCAMENTO)="Licitado",$AL201=0,$AN201&gt;0),"SEM PREÇO",
IF(AND($C201="S",$P201&lt;&gt;"",$Q201&lt;&gt;"",$U201&gt;0,$V201=0),"BDI",
IF(OR(AND(TIPOORCAMENTO="Proposto",LEFT($O$8,5)&lt;&gt;"(N/D:",$AG201&lt;&gt;"",ORÇAMENTO.CustoUnitario&gt;$AG201),AND(TIPOORCAMENTO="LICITADO",ORÇAMENTO.PrecoUnitarioLicitado&gt;$AN201)),"ACIMA REF.",
IF(AND($C201="S",$P201&lt;&gt;"",$Q201&lt;&gt;"",$T201=0,$U201&gt;0),"QUANT.",
IF(AND(Import.TipoArredondamento="TransfereGOV",$L201="F",$C201="S",LEN($Q201)&gt;13),"Código &gt;13",
IF(AND(Import.TipoArredondamento="TransfereGOV",$L201="F",$C201&lt;&gt;"S",LEN($R201)&gt;100),"Descrição &gt;100",
IF(AND(Import.TipoArredondamento="TransfereGOV",$L201="F",$C201="S",LEN($R201)&gt;500),"Descrição &gt;500",
IF(AND(Import.TipoArredondamento="TransfereGOV",$L201="F",$C201="S",LEFT(TRIM(UPPER($P201)),6)&lt;&gt;"SINAPI",ISNA(VLOOKUP(TRIM(UPPER($S201)),ListaTgov.Unidades,1,FALSE()))),"Unid. Não Disp",
" "))))))))))))))))</f>
        <v>#NAME?</v>
      </c>
      <c r="AD201" s="38" t="n">
        <f aca="true">IF(C201&lt;=CRONO.NivelExibicao,MAX($AD$15:OFFSET(AD201,-1,0))+IF($C201&lt;&gt;1,1,MAX(1,COUNTIF(QCI!$A$13:$A$15,OFFSET($E201,-1,0)))),"")</f>
        <v>54</v>
      </c>
      <c r="AE201" s="50" t="b">
        <f aca="false">IF(AND($C201="S",ORÇAMENTO.CodBarra&lt;&gt;""),IF(ORÇAMENTO.Fonte="",ORÇAMENTO.CodBarra,CONCATENATE(ORÇAMENTO.Fonte," ",ORÇAMENTO.CodBarra)))</f>
        <v>0</v>
      </c>
      <c r="AF201" s="65" t="str">
        <f aca="true">IF(ISERROR(INDIRECT(ORÇAMENTO.BancoRef)),"(abra o arquivo 'Referência "&amp;Excel_BuiltIn_Database&amp;".xlsm)",IF(OR($C201&lt;&gt;"S",ORÇAMENTO.CodBarra=""),"(Sem Código)",IF(ISERROR(MATCH($AE201,INDIRECT(ORÇAMENTO.BancoRef),0)),"(Código não identificado nas referências)",MATCH($AE201,INDIRECT(ORÇAMENTO.BancoRef),0))))</f>
        <v>(abra o arquivo 'Referência 07-2025.xlsm)</v>
      </c>
      <c r="AG201" s="215" t="n">
        <f aca="true">ROUND(IF(DESONERACAO="sim",REFERENCIA.Desonerado,REFERENCIA.NaoDesonerado),2)</f>
        <v>0</v>
      </c>
      <c r="AH201" s="216" t="n">
        <f aca="false">ROUND(IF(ISNUMBER(ORÇAMENTO.OpcaoBDI),ORÇAMENTO.OpcaoBDI,IF(LEFT(ORÇAMENTO.OpcaoBDI,3)="BDI",HLOOKUP(ORÇAMENTO.OpcaoBDI,$F$4:$H$5,2,FALSE()),0)),15-11*$AF$9)</f>
        <v>0.2904</v>
      </c>
      <c r="AJ201" s="217"/>
      <c r="AL201" s="218"/>
      <c r="AM201" s="219" t="n">
        <f aca="false">$X201</f>
        <v>13446</v>
      </c>
      <c r="AN201" s="220" t="n">
        <f aca="false">ROUND(ORÇAMENTO.CustoUnitario*(1+$AH201),2)</f>
        <v>0</v>
      </c>
    </row>
    <row r="202" customFormat="false" ht="12.75" hidden="false" customHeight="false" outlineLevel="0" collapsed="false">
      <c r="A202" s="1" t="str">
        <f aca="false">CHOOSE(1+LOG(1+2*(ORÇAMENTO.Nivel="Meta")+4*(ORÇAMENTO.Nivel="Nível 2")+8*(ORÇAMENTO.Nivel="Nível 3")+16*(ORÇAMENTO.Nivel="Nível 4")+32*(ORÇAMENTO.Nivel="Serviço"),2),0,1,2,3,4,"S")</f>
        <v>S</v>
      </c>
      <c r="B202" s="1" t="n">
        <f aca="true">IF(OR(C202="s",C202=0),OFFSET(B202,-1,0),C202)</f>
        <v>2</v>
      </c>
      <c r="C202" s="1" t="str">
        <f aca="true">IF(OFFSET(C202,-1,0)="L",1,IF(OFFSET(C202,-1,0)=1,2,IF(OR(A202="s",A202=0),"S",IF(AND(OFFSET(C202,-1,0)=2,A202=4),3,IF(AND(OR(OFFSET(C202,-1,0)="s",OFFSET(C202,-1,0)=0),A202&lt;&gt;"s",A202&gt;OFFSET(B202,-1,0)),OFFSET(B202,-1,0),A202)))))</f>
        <v>S</v>
      </c>
      <c r="D202" s="1" t="n">
        <f aca="false">IF(OR(C202="S",C202=0),0,IF(ISERROR(K202),J202,SMALL(J202:K202,1)))</f>
        <v>0</v>
      </c>
      <c r="E202" s="1" t="n">
        <f aca="true">IF($C202=1,OFFSET(E202,-1,0)+MAX(1,COUNTIF(QCI!$A$13:$A$15,OFFSET(ORÇAMENTO!E202,-1,0))),OFFSET(E202,-1,0))</f>
        <v>1</v>
      </c>
      <c r="F202" s="1" t="n">
        <f aca="true">IF($C202=1,0,IF($C202=2,OFFSET(F202,-1,0)+1,OFFSET(F202,-1,0)))</f>
        <v>53</v>
      </c>
      <c r="G202" s="1" t="n">
        <f aca="true">IF(AND($C202&lt;=2,$C202&lt;&gt;0),0,IF($C202=3,OFFSET(G202,-1,0)+1,OFFSET(G202,-1,0)))</f>
        <v>0</v>
      </c>
      <c r="H202" s="1" t="n">
        <f aca="true">IF(AND($C202&lt;=3,$C202&lt;&gt;0),0,IF($C202=4,OFFSET(H202,-1,0)+1,OFFSET(H202,-1,0)))</f>
        <v>0</v>
      </c>
      <c r="I202" s="1" t="n">
        <f aca="true">IF(AND($C202&lt;=4,$C202&lt;&gt;0),0,IF(AND($C202="S",$X202&gt;0),OFFSET(I202,-1,0)+1,OFFSET(I202,-1,0)))</f>
        <v>1</v>
      </c>
      <c r="J202" s="1" t="n">
        <f aca="true">IF(OR($C202="S",$C202=0),0,MATCH(0,OFFSET($D202,1,$C202,ROW($C$205)-ROW($C202)),0))</f>
        <v>0</v>
      </c>
      <c r="K202" s="1" t="n">
        <f aca="true">IF(OR($C202="S",$C202=0),0,MATCH(OFFSET($D202,0,$C202)+IF($C202&lt;&gt;1,1,COUNTIF(QCI!$A$13:$A$15,ORÇAMENTO!E202)),OFFSET($D202,1,$C202,ROW($C$205)-ROW($C202)),0))</f>
        <v>0</v>
      </c>
      <c r="L202" s="199" t="str">
        <f aca="false">IF(OR($X202&gt;0,$C202=1,$C202=2,$C202=3,$C202=4),"F","")</f>
        <v>F</v>
      </c>
      <c r="M202" s="200" t="s">
        <v>735</v>
      </c>
      <c r="N202" s="201" t="str">
        <f aca="false">CHOOSE(1+LOG(1+2*(C202=1)+4*(C202=2)+8*(C202=3)+16*(C202=4)+32*(C202="S"),2),"","Meta","Nível 2","Nível 3","Nível 4","Serviço")</f>
        <v>Serviço</v>
      </c>
      <c r="O202" s="202" t="str">
        <f aca="false">IF(OR($C202=0,$L202=""),"-",CONCATENATE(E202&amp;".",IF(AND($A$5&gt;=2,$C202&gt;=2),F202&amp;".",""),IF(AND($A$5&gt;=3,$C202&gt;=3),G202&amp;".",""),IF(AND($A$5&gt;=4,$C202&gt;=4),H202&amp;".",""),IF($C202="S",I202&amp;".","")))</f>
        <v>1.53.1.</v>
      </c>
      <c r="P202" s="203" t="s">
        <v>789</v>
      </c>
      <c r="Q202" s="204" t="s">
        <v>846</v>
      </c>
      <c r="R202" s="205" t="str">
        <f aca="false">[3]ORÇAMENTO!$R$108</f>
        <v>LIMPEZA FINAL DE OBRA</v>
      </c>
      <c r="S202" s="206" t="s">
        <v>650</v>
      </c>
      <c r="T202" s="207" t="n">
        <f aca="true">OFFSET(CÁLCULO!H$15,ROW($T202)-ROW(T$15),0)</f>
        <v>1350</v>
      </c>
      <c r="U202" s="208" t="n">
        <v>7.72</v>
      </c>
      <c r="V202" s="209" t="s">
        <v>690</v>
      </c>
      <c r="W202" s="207" t="n">
        <f aca="false">IF($C202="S",ROUND(IF(TIPOORCAMENTO="Proposto",ORÇAMENTO.CustoUnitario*(1+$AH202),ORÇAMENTO.PrecoUnitarioLicitado),15-13*$AF$10),0)</f>
        <v>9.96</v>
      </c>
      <c r="X202" s="210" t="n">
        <f aca="true" t="array" ref="X202:X202">IF($C202="S",IF(OR(Import.TipoArredondamento&lt;&gt;"TransfereGOV",ACOMPANHAMENTO="BM"),VTOTAL1,SUM(OFFSET(CÁLCULO!$AQ$15,ROW($X202)-ROW($X$15),1):OFFSET(CÁLCULO!$BR$15,ROW($X202)-ROW($X$15),-1))),IF($C202=0,0,ROUND(SomaAgrup,15-13*$AF$11)))</f>
        <v>13446</v>
      </c>
      <c r="Y202" s="211" t="s">
        <v>781</v>
      </c>
      <c r="Z202" s="1" t="str">
        <f aca="false">IF(AND($C202="S",$X202&gt;0),IF(ISBLANK($Y202),"RA",LEFT($Y202,2)),"")</f>
        <v>RA</v>
      </c>
      <c r="AA202" s="212" t="n">
        <f aca="true">IF($C202="S",IF($Z202="CP",$X202,IF($Z202="RA",(($X202)*QCI!$AA$3),0)),SomaAgrup)</f>
        <v>1492.25760616168</v>
      </c>
      <c r="AB202" s="213" t="n">
        <f aca="true">IF($C202="S",IF($Z202="OU",ROUND($X202,2),0),SomaAgrup)</f>
        <v>0</v>
      </c>
      <c r="AC202" s="214" t="e">
        <f aca="false" t="array" ref="AC202:AC202">IF($N202=""," ",
IF(AND($C202&lt;&gt;"S",OR($R202="",$R202="(digite a descrição aqui)")),"DESCRIÇÃO",
IF(AND($C202="S",OR($Q202&lt;&gt;"",$T202&gt;0,$U202&gt;0),$P202=""),"FONTE",
IF(AND($C202="S",$P202&lt;&gt;"",OR($T202&gt;0,$U202&gt;0),$Q202=""),"CÓDIGO",
IF(AND($C202="S",$P202&lt;&gt;"",$Q202&lt;&gt;"",$R202="(Código não identificado nas referências)"),"CÓDIGO N/ID",
IF(AND($C202="S",OR($R202="",$R202="(digite a descrição aqui)"),OR($Q202&lt;&gt;"",$T202&gt;0,$U202&gt;0)),"DESCRIÇÃO",
IF(AND($C202="S",$P202&lt;&gt;"",$Q202&lt;&gt;"",$S202=""),"UNIDADE",
IF(AND($C202="S",$P202&lt;&gt;"",$Q202&lt;&gt;"",$U202=0),"SEM CUSTO",
IF(AND(_xlfn.single(TIPOORCAMENTO)="Licitado",$AL202=0,$AN202&gt;0),"SEM PREÇO",
IF(AND($C202="S",$P202&lt;&gt;"",$Q202&lt;&gt;"",$U202&gt;0,$V202=0),"BDI",
IF(OR(AND(TIPOORCAMENTO="Proposto",LEFT($O$8,5)&lt;&gt;"(N/D:",$AG202&lt;&gt;"",ORÇAMENTO.CustoUnitario&gt;$AG202),AND(TIPOORCAMENTO="LICITADO",ORÇAMENTO.PrecoUnitarioLicitado&gt;$AN202)),"ACIMA REF.",
IF(AND($C202="S",$P202&lt;&gt;"",$Q202&lt;&gt;"",$T202=0,$U202&gt;0),"QUANT.",
IF(AND(Import.TipoArredondamento="TransfereGOV",$L202="F",$C202="S",LEN($Q202)&gt;13),"Código &gt;13",
IF(AND(Import.TipoArredondamento="TransfereGOV",$L202="F",$C202&lt;&gt;"S",LEN($R202)&gt;100),"Descrição &gt;100",
IF(AND(Import.TipoArredondamento="TransfereGOV",$L202="F",$C202="S",LEN($R202)&gt;500),"Descrição &gt;500",
IF(AND(Import.TipoArredondamento="TransfereGOV",$L202="F",$C202="S",LEFT(TRIM(UPPER($P202)),6)&lt;&gt;"SINAPI",ISNA(VLOOKUP(TRIM(UPPER($S202)),ListaTgov.Unidades,1,FALSE()))),"Unid. Não Disp",
" "))))))))))))))))</f>
        <v>#NAME?</v>
      </c>
      <c r="AD202" s="1" t="str">
        <f aca="true">IF(C202&lt;=CRONO.NivelExibicao,MAX($AD$15:OFFSET(AD202,-1,0))+IF($C202&lt;&gt;1,1,MAX(1,COUNTIF(QCI!$A$13:$A$15,OFFSET($E202,-1,0)))),"")</f>
        <v/>
      </c>
      <c r="AE202" s="50" t="str">
        <f aca="false">IF(AND($C202="S",ORÇAMENTO.CodBarra&lt;&gt;""),IF(ORÇAMENTO.Fonte="",ORÇAMENTO.CodBarra,CONCATENATE(ORÇAMENTO.Fonte," ",ORÇAMENTO.CodBarra)))</f>
        <v>SICRO ED-50266</v>
      </c>
      <c r="AF202" s="65" t="str">
        <f aca="true">IF(ISERROR(INDIRECT(ORÇAMENTO.BancoRef)),"(abra o arquivo 'Referência "&amp;Excel_BuiltIn_Database&amp;".xlsm)",IF(OR($C202&lt;&gt;"S",ORÇAMENTO.CodBarra=""),"(Sem Código)",IF(ISERROR(MATCH($AE202,INDIRECT(ORÇAMENTO.BancoRef),0)),"(Código não identificado nas referências)",MATCH($AE202,INDIRECT(ORÇAMENTO.BancoRef),0))))</f>
        <v>(abra o arquivo 'Referência 07-2025.xlsm)</v>
      </c>
      <c r="AG202" s="215" t="n">
        <f aca="true">ROUND(IF(DESONERACAO="sim",REFERENCIA.Desonerado,REFERENCIA.NaoDesonerado),2)</f>
        <v>0</v>
      </c>
      <c r="AH202" s="216" t="n">
        <f aca="false">ROUND(IF(ISNUMBER(ORÇAMENTO.OpcaoBDI),ORÇAMENTO.OpcaoBDI,IF(LEFT(ORÇAMENTO.OpcaoBDI,3)="BDI",HLOOKUP(ORÇAMENTO.OpcaoBDI,$F$4:$H$5,2,FALSE()),0)),15-11*$AF$9)</f>
        <v>0.2904</v>
      </c>
      <c r="AJ202" s="217"/>
      <c r="AL202" s="218"/>
      <c r="AM202" s="219" t="n">
        <f aca="false">$X202</f>
        <v>13446</v>
      </c>
      <c r="AN202" s="220" t="n">
        <f aca="false">ROUND(ORÇAMENTO.CustoUnitario*(1+$AH202),2)</f>
        <v>9.96</v>
      </c>
    </row>
    <row r="203" customFormat="false" ht="12.75" hidden="false" customHeight="false" outlineLevel="0" collapsed="false">
      <c r="A203" s="1" t="n">
        <f aca="false">CHOOSE(1+LOG(1+2*(ORÇAMENTO.Nivel="Meta")+4*(ORÇAMENTO.Nivel="Nível 2")+8*(ORÇAMENTO.Nivel="Nível 3")+16*(ORÇAMENTO.Nivel="Nível 4")+32*(ORÇAMENTO.Nivel="Serviço"),2),0,1,2,3,4,"S")</f>
        <v>2</v>
      </c>
      <c r="B203" s="1" t="n">
        <f aca="true">IF(OR(C203="s",C203=0),OFFSET(B203,-1,0),C203)</f>
        <v>2</v>
      </c>
      <c r="C203" s="1" t="n">
        <f aca="true">IF(OFFSET(C203,-1,0)="L",1,IF(OFFSET(C203,-1,0)=1,2,IF(OR(A203="s",A203=0),"S",IF(AND(OFFSET(C203,-1,0)=2,A203=4),3,IF(AND(OR(OFFSET(C203,-1,0)="s",OFFSET(C203,-1,0)=0),A203&lt;&gt;"s",A203&gt;OFFSET(B203,-1,0)),OFFSET(B203,-1,0),A203)))))</f>
        <v>2</v>
      </c>
      <c r="D203" s="1" t="n">
        <f aca="false">IF(OR(C203="S",C203=0),0,IF(ISERROR(K203),J203,SMALL(J203:K203,1)))</f>
        <v>1</v>
      </c>
      <c r="E203" s="1" t="n">
        <f aca="true">IF($C203=1,OFFSET(E203,-1,0)+MAX(1,COUNTIF(QCI!$A$13:$A$15,OFFSET(ORÇAMENTO!E203,-1,0))),OFFSET(E203,-1,0))</f>
        <v>1</v>
      </c>
      <c r="F203" s="1" t="n">
        <f aca="true">IF($C203=1,0,IF($C203=2,OFFSET(F203,-1,0)+1,OFFSET(F203,-1,0)))</f>
        <v>54</v>
      </c>
      <c r="G203" s="1" t="n">
        <f aca="true">IF(AND($C203&lt;=2,$C203&lt;&gt;0),0,IF($C203=3,OFFSET(G203,-1,0)+1,OFFSET(G203,-1,0)))</f>
        <v>0</v>
      </c>
      <c r="H203" s="1" t="n">
        <f aca="true">IF(AND($C203&lt;=3,$C203&lt;&gt;0),0,IF($C203=4,OFFSET(H203,-1,0)+1,OFFSET(H203,-1,0)))</f>
        <v>0</v>
      </c>
      <c r="I203" s="1" t="n">
        <f aca="true">IF(AND($C203&lt;=4,$C203&lt;&gt;0),0,IF(AND($C203="S",$X203&gt;0),OFFSET(I203,-1,0)+1,OFFSET(I203,-1,0)))</f>
        <v>0</v>
      </c>
      <c r="J203" s="1" t="n">
        <f aca="true">IF(OR($C203="S",$C203=0),0,MATCH(0,OFFSET($D203,1,$C203,ROW($C$205)-ROW($C203)),0))</f>
        <v>2</v>
      </c>
      <c r="K203" s="1" t="n">
        <f aca="true">IF(OR($C203="S",$C203=0),0,MATCH(OFFSET($D203,0,$C203)+IF($C203&lt;&gt;1,1,COUNTIF(QCI!$A$13:$A$15,ORÇAMENTO!E203)),OFFSET($D203,1,$C203,ROW($C$205)-ROW($C203)),0))</f>
        <v>1</v>
      </c>
      <c r="L203" s="199" t="str">
        <f aca="false">IF(OR($X203&gt;0,$C203=1,$C203=2,$C203=3,$C203=4),"F","")</f>
        <v>F</v>
      </c>
      <c r="M203" s="200" t="s">
        <v>732</v>
      </c>
      <c r="N203" s="201" t="str">
        <f aca="false">CHOOSE(1+LOG(1+2*(C203=1)+4*(C203=2)+8*(C203=3)+16*(C203=4)+32*(C203="S"),2),"","Meta","Nível 2","Nível 3","Nível 4","Serviço")</f>
        <v>Nível 2</v>
      </c>
      <c r="O203" s="202" t="str">
        <f aca="false">IF(OR($C203=0,$L203=""),"-",CONCATENATE(E203&amp;".",IF(AND($A$5&gt;=2,$C203&gt;=2),F203&amp;".",""),IF(AND($A$5&gt;=3,$C203&gt;=3),G203&amp;".",""),IF(AND($A$5&gt;=4,$C203&gt;=4),H203&amp;".",""),IF($C203="S",I203&amp;".","")))</f>
        <v>1.54.</v>
      </c>
      <c r="P203" s="203" t="s">
        <v>780</v>
      </c>
      <c r="Q203" s="204"/>
      <c r="R203" s="205" t="str">
        <f aca="false">[4]PO!$B$240</f>
        <v>LIGAÇÕES DEFINITIVAS</v>
      </c>
      <c r="S203" s="206" t="str">
        <f aca="true">REFERENCIA.Unidade</f>
        <v>-</v>
      </c>
      <c r="T203" s="207" t="n">
        <f aca="true">OFFSET(CÁLCULO!H$15,ROW($T203)-ROW(T$15),0)</f>
        <v>0</v>
      </c>
      <c r="U203" s="208"/>
      <c r="V203" s="209" t="s">
        <v>690</v>
      </c>
      <c r="W203" s="207" t="n">
        <f aca="false">IF($C203="S",ROUND(IF(TIPOORCAMENTO="Proposto",ORÇAMENTO.CustoUnitario*(1+$AH203),ORÇAMENTO.PrecoUnitarioLicitado),15-13*$AF$10),0)</f>
        <v>0</v>
      </c>
      <c r="X203" s="210" t="n">
        <f aca="true" t="array" ref="X203:X203">IF($C203="S",IF(OR(Import.TipoArredondamento&lt;&gt;"TransfereGOV",ACOMPANHAMENTO="BM"),VTOTAL1,SUM(OFFSET(CÁLCULO!$AQ$15,ROW($X203)-ROW($X$15),1):OFFSET(CÁLCULO!$BR$15,ROW($X203)-ROW($X$15),-1))),IF($C203=0,0,ROUND(SomaAgrup,15-13*$AF$11)))</f>
        <v>0</v>
      </c>
      <c r="Y203" s="211" t="s">
        <v>781</v>
      </c>
      <c r="Z203" s="1" t="str">
        <f aca="false">IF(AND($C203="S",$X203&gt;0),IF(ISBLANK($Y203),"RA",LEFT($Y203,2)),"")</f>
        <v/>
      </c>
      <c r="AA203" s="212" t="n">
        <f aca="true">IF($C203="S",IF($Z203="CP",$X203,IF($Z203="RA",(($X203)*QCI!$AA$3),0)),SomaAgrup)</f>
        <v>0</v>
      </c>
      <c r="AB203" s="213" t="n">
        <f aca="true">IF($C203="S",IF($Z203="OU",ROUND($X203,2),0),SomaAgrup)</f>
        <v>0</v>
      </c>
      <c r="AC203" s="214" t="e">
        <f aca="false" t="array" ref="AC203:AC203">IF($N203=""," ",
IF(AND($C203&lt;&gt;"S",OR($R203="",$R203="(digite a descrição aqui)")),"DESCRIÇÃO",
IF(AND($C203="S",OR($Q203&lt;&gt;"",$T203&gt;0,$U203&gt;0),$P203=""),"FONTE",
IF(AND($C203="S",$P203&lt;&gt;"",OR($T203&gt;0,$U203&gt;0),$Q203=""),"CÓDIGO",
IF(AND($C203="S",$P203&lt;&gt;"",$Q203&lt;&gt;"",$R203="(Código não identificado nas referências)"),"CÓDIGO N/ID",
IF(AND($C203="S",OR($R203="",$R203="(digite a descrição aqui)"),OR($Q203&lt;&gt;"",$T203&gt;0,$U203&gt;0)),"DESCRIÇÃO",
IF(AND($C203="S",$P203&lt;&gt;"",$Q203&lt;&gt;"",$S203=""),"UNIDADE",
IF(AND($C203="S",$P203&lt;&gt;"",$Q203&lt;&gt;"",$U203=0),"SEM CUSTO",
IF(AND(_xlfn.single(TIPOORCAMENTO)="Licitado",$AL203=0,$AN203&gt;0),"SEM PREÇO",
IF(AND($C203="S",$P203&lt;&gt;"",$Q203&lt;&gt;"",$U203&gt;0,$V203=0),"BDI",
IF(OR(AND(TIPOORCAMENTO="Proposto",LEFT($O$8,5)&lt;&gt;"(N/D:",$AG203&lt;&gt;"",ORÇAMENTO.CustoUnitario&gt;$AG203),AND(TIPOORCAMENTO="LICITADO",ORÇAMENTO.PrecoUnitarioLicitado&gt;$AN203)),"ACIMA REF.",
IF(AND($C203="S",$P203&lt;&gt;"",$Q203&lt;&gt;"",$T203=0,$U203&gt;0),"QUANT.",
IF(AND(Import.TipoArredondamento="TransfereGOV",$L203="F",$C203="S",LEN($Q203)&gt;13),"Código &gt;13",
IF(AND(Import.TipoArredondamento="TransfereGOV",$L203="F",$C203&lt;&gt;"S",LEN($R203)&gt;100),"Descrição &gt;100",
IF(AND(Import.TipoArredondamento="TransfereGOV",$L203="F",$C203="S",LEN($R203)&gt;500),"Descrição &gt;500",
IF(AND(Import.TipoArredondamento="TransfereGOV",$L203="F",$C203="S",LEFT(TRIM(UPPER($P203)),6)&lt;&gt;"SINAPI",ISNA(VLOOKUP(TRIM(UPPER($S203)),ListaTgov.Unidades,1,FALSE()))),"Unid. Não Disp",
" "))))))))))))))))</f>
        <v>#NAME?</v>
      </c>
      <c r="AD203" s="38" t="n">
        <f aca="true">IF(C203&lt;=CRONO.NivelExibicao,MAX($AD$15:OFFSET(AD203,-1,0))+IF($C203&lt;&gt;1,1,MAX(1,COUNTIF(QCI!$A$13:$A$15,OFFSET($E203,-1,0)))),"")</f>
        <v>55</v>
      </c>
      <c r="AE203" s="50" t="b">
        <f aca="false">IF(AND($C203="S",ORÇAMENTO.CodBarra&lt;&gt;""),IF(ORÇAMENTO.Fonte="",ORÇAMENTO.CodBarra,CONCATENATE(ORÇAMENTO.Fonte," ",ORÇAMENTO.CodBarra)))</f>
        <v>0</v>
      </c>
      <c r="AF203" s="65" t="str">
        <f aca="true">IF(ISERROR(INDIRECT(ORÇAMENTO.BancoRef)),"(abra o arquivo 'Referência "&amp;Excel_BuiltIn_Database&amp;".xlsm)",IF(OR($C203&lt;&gt;"S",ORÇAMENTO.CodBarra=""),"(Sem Código)",IF(ISERROR(MATCH($AE203,INDIRECT(ORÇAMENTO.BancoRef),0)),"(Código não identificado nas referências)",MATCH($AE203,INDIRECT(ORÇAMENTO.BancoRef),0))))</f>
        <v>(abra o arquivo 'Referência 07-2025.xlsm)</v>
      </c>
      <c r="AG203" s="215" t="n">
        <f aca="true">ROUND(IF(DESONERACAO="sim",REFERENCIA.Desonerado,REFERENCIA.NaoDesonerado),2)</f>
        <v>0</v>
      </c>
      <c r="AH203" s="216" t="n">
        <f aca="false">ROUND(IF(ISNUMBER(ORÇAMENTO.OpcaoBDI),ORÇAMENTO.OpcaoBDI,IF(LEFT(ORÇAMENTO.OpcaoBDI,3)="BDI",HLOOKUP(ORÇAMENTO.OpcaoBDI,$F$4:$H$5,2,FALSE()),0)),15-11*$AF$9)</f>
        <v>0.2904</v>
      </c>
      <c r="AJ203" s="217"/>
      <c r="AL203" s="218"/>
      <c r="AM203" s="219" t="n">
        <f aca="false">$X203</f>
        <v>0</v>
      </c>
      <c r="AN203" s="220" t="n">
        <f aca="false">ROUND(ORÇAMENTO.CustoUnitario*(1+$AH203),2)</f>
        <v>0</v>
      </c>
    </row>
    <row r="204" customFormat="false" ht="12.75" hidden="false" customHeight="false" outlineLevel="0" collapsed="false">
      <c r="A204" s="1" t="n">
        <f aca="false">CHOOSE(1+LOG(1+2*(ORÇAMENTO.Nivel="Meta")+4*(ORÇAMENTO.Nivel="Nível 2")+8*(ORÇAMENTO.Nivel="Nível 3")+16*(ORÇAMENTO.Nivel="Nível 4")+32*(ORÇAMENTO.Nivel="Serviço"),2),0,1,2,3,4,"S")</f>
        <v>2</v>
      </c>
      <c r="B204" s="1" t="n">
        <f aca="true">IF(OR(C204="s",C204=0),OFFSET(B204,-1,0),C204)</f>
        <v>2</v>
      </c>
      <c r="C204" s="1" t="n">
        <f aca="true">IF(OFFSET(C204,-1,0)="L",1,IF(OFFSET(C204,-1,0)=1,2,IF(OR(A204="s",A204=0),"S",IF(AND(OFFSET(C204,-1,0)=2,A204=4),3,IF(AND(OR(OFFSET(C204,-1,0)="s",OFFSET(C204,-1,0)=0),A204&lt;&gt;"s",A204&gt;OFFSET(B204,-1,0)),OFFSET(B204,-1,0),A204)))))</f>
        <v>2</v>
      </c>
      <c r="D204" s="1" t="n">
        <f aca="false">IF(OR(C204="S",C204=0),0,IF(ISERROR(K204),J204,SMALL(J204:K204,1)))</f>
        <v>1</v>
      </c>
      <c r="E204" s="1" t="n">
        <f aca="true">IF($C204=1,OFFSET(E204,-1,0)+MAX(1,COUNTIF(QCI!$A$13:$A$15,OFFSET(ORÇAMENTO!E204,-1,0))),OFFSET(E204,-1,0))</f>
        <v>1</v>
      </c>
      <c r="F204" s="1" t="n">
        <f aca="true">IF($C204=1,0,IF($C204=2,OFFSET(F204,-1,0)+1,OFFSET(F204,-1,0)))</f>
        <v>55</v>
      </c>
      <c r="G204" s="1" t="n">
        <f aca="true">IF(AND($C204&lt;=2,$C204&lt;&gt;0),0,IF($C204=3,OFFSET(G204,-1,0)+1,OFFSET(G204,-1,0)))</f>
        <v>0</v>
      </c>
      <c r="H204" s="1" t="n">
        <f aca="true">IF(AND($C204&lt;=3,$C204&lt;&gt;0),0,IF($C204=4,OFFSET(H204,-1,0)+1,OFFSET(H204,-1,0)))</f>
        <v>0</v>
      </c>
      <c r="I204" s="1" t="n">
        <f aca="true">IF(AND($C204&lt;=4,$C204&lt;&gt;0),0,IF(AND($C204="S",$X204&gt;0),OFFSET(I204,-1,0)+1,OFFSET(I204,-1,0)))</f>
        <v>0</v>
      </c>
      <c r="J204" s="1" t="n">
        <f aca="true">IF(OR($C204="S",$C204=0),0,MATCH(0,OFFSET($D204,1,$C204,ROW($C$205)-ROW($C204)),0))</f>
        <v>1</v>
      </c>
      <c r="K204" s="1" t="e">
        <f aca="true">IF(OR($C204="S",$C204=0),0,MATCH(OFFSET($D204,0,$C204)+IF($C204&lt;&gt;1,1,COUNTIF(QCI!$A$13:$A$15,ORÇAMENTO!E204)),OFFSET($D204,1,$C204,ROW($C$205)-ROW($C204)),0))</f>
        <v>#N/A</v>
      </c>
      <c r="L204" s="199" t="str">
        <f aca="false">IF(OR($X204&gt;0,$C204=1,$C204=2,$C204=3,$C204=4),"F","")</f>
        <v>F</v>
      </c>
      <c r="M204" s="200" t="s">
        <v>732</v>
      </c>
      <c r="N204" s="201" t="str">
        <f aca="false">CHOOSE(1+LOG(1+2*(C204=1)+4*(C204=2)+8*(C204=3)+16*(C204=4)+32*(C204="S"),2),"","Meta","Nível 2","Nível 3","Nível 4","Serviço")</f>
        <v>Nível 2</v>
      </c>
      <c r="O204" s="202" t="str">
        <f aca="false">IF(OR($C204=0,$L204=""),"-",CONCATENATE(E204&amp;".",IF(AND($A$5&gt;=2,$C204&gt;=2),F204&amp;".",""),IF(AND($A$5&gt;=3,$C204&gt;=3),G204&amp;".",""),IF(AND($A$5&gt;=4,$C204&gt;=4),H204&amp;".",""),IF($C204="S",I204&amp;".","")))</f>
        <v>1.55.</v>
      </c>
      <c r="P204" s="203" t="s">
        <v>780</v>
      </c>
      <c r="Q204" s="204"/>
      <c r="R204" s="205" t="str">
        <f aca="false">[4]PO!$B$241</f>
        <v>OUTROS</v>
      </c>
      <c r="S204" s="206" t="str">
        <f aca="true">REFERENCIA.Unidade</f>
        <v>-</v>
      </c>
      <c r="T204" s="207" t="n">
        <f aca="true">OFFSET(CÁLCULO!H$15,ROW($T204)-ROW(T$15),0)</f>
        <v>0</v>
      </c>
      <c r="U204" s="208"/>
      <c r="V204" s="209" t="s">
        <v>690</v>
      </c>
      <c r="W204" s="207" t="n">
        <f aca="false">IF($C204="S",ROUND(IF(TIPOORCAMENTO="Proposto",ORÇAMENTO.CustoUnitario*(1+$AH204),ORÇAMENTO.PrecoUnitarioLicitado),15-13*$AF$10),0)</f>
        <v>0</v>
      </c>
      <c r="X204" s="210" t="n">
        <f aca="true" t="array" ref="X204:X204">IF($C204="S",IF(OR(Import.TipoArredondamento&lt;&gt;"TransfereGOV",ACOMPANHAMENTO="BM"),VTOTAL1,SUM(OFFSET(CÁLCULO!$AQ$15,ROW($X204)-ROW($X$15),1):OFFSET(CÁLCULO!$BR$15,ROW($X204)-ROW($X$15),-1))),IF($C204=0,0,ROUND(SomaAgrup,15-13*$AF$11)))</f>
        <v>0</v>
      </c>
      <c r="Y204" s="211" t="s">
        <v>781</v>
      </c>
      <c r="Z204" s="1" t="str">
        <f aca="false">IF(AND($C204="S",$X204&gt;0),IF(ISBLANK($Y204),"RA",LEFT($Y204,2)),"")</f>
        <v/>
      </c>
      <c r="AA204" s="212" t="n">
        <f aca="true">IF($C204="S",IF($Z204="CP",$X204,IF($Z204="RA",(($X204)*QCI!$AA$3),0)),SomaAgrup)</f>
        <v>0</v>
      </c>
      <c r="AB204" s="213" t="n">
        <f aca="true">IF($C204="S",IF($Z204="OU",ROUND($X204,2),0),SomaAgrup)</f>
        <v>0</v>
      </c>
      <c r="AC204" s="214" t="e">
        <f aca="false" t="array" ref="AC204:AC204">IF($N204=""," ",
IF(AND($C204&lt;&gt;"S",OR($R204="",$R204="(digite a descrição aqui)")),"DESCRIÇÃO",
IF(AND($C204="S",OR($Q204&lt;&gt;"",$T204&gt;0,$U204&gt;0),$P204=""),"FONTE",
IF(AND($C204="S",$P204&lt;&gt;"",OR($T204&gt;0,$U204&gt;0),$Q204=""),"CÓDIGO",
IF(AND($C204="S",$P204&lt;&gt;"",$Q204&lt;&gt;"",$R204="(Código não identificado nas referências)"),"CÓDIGO N/ID",
IF(AND($C204="S",OR($R204="",$R204="(digite a descrição aqui)"),OR($Q204&lt;&gt;"",$T204&gt;0,$U204&gt;0)),"DESCRIÇÃO",
IF(AND($C204="S",$P204&lt;&gt;"",$Q204&lt;&gt;"",$S204=""),"UNIDADE",
IF(AND($C204="S",$P204&lt;&gt;"",$Q204&lt;&gt;"",$U204=0),"SEM CUSTO",
IF(AND(_xlfn.single(TIPOORCAMENTO)="Licitado",$AL204=0,$AN204&gt;0),"SEM PREÇO",
IF(AND($C204="S",$P204&lt;&gt;"",$Q204&lt;&gt;"",$U204&gt;0,$V204=0),"BDI",
IF(OR(AND(TIPOORCAMENTO="Proposto",LEFT($O$8,5)&lt;&gt;"(N/D:",$AG204&lt;&gt;"",ORÇAMENTO.CustoUnitario&gt;$AG204),AND(TIPOORCAMENTO="LICITADO",ORÇAMENTO.PrecoUnitarioLicitado&gt;$AN204)),"ACIMA REF.",
IF(AND($C204="S",$P204&lt;&gt;"",$Q204&lt;&gt;"",$T204=0,$U204&gt;0),"QUANT.",
IF(AND(Import.TipoArredondamento="TransfereGOV",$L204="F",$C204="S",LEN($Q204)&gt;13),"Código &gt;13",
IF(AND(Import.TipoArredondamento="TransfereGOV",$L204="F",$C204&lt;&gt;"S",LEN($R204)&gt;100),"Descrição &gt;100",
IF(AND(Import.TipoArredondamento="TransfereGOV",$L204="F",$C204="S",LEN($R204)&gt;500),"Descrição &gt;500",
IF(AND(Import.TipoArredondamento="TransfereGOV",$L204="F",$C204="S",LEFT(TRIM(UPPER($P204)),6)&lt;&gt;"SINAPI",ISNA(VLOOKUP(TRIM(UPPER($S204)),ListaTgov.Unidades,1,FALSE()))),"Unid. Não Disp",
" "))))))))))))))))</f>
        <v>#NAME?</v>
      </c>
      <c r="AD204" s="38" t="n">
        <f aca="true">IF(C204&lt;=CRONO.NivelExibicao,MAX($AD$15:OFFSET(AD204,-1,0))+IF($C204&lt;&gt;1,1,MAX(1,COUNTIF(QCI!$A$13:$A$15,OFFSET($E204,-1,0)))),"")</f>
        <v>56</v>
      </c>
      <c r="AE204" s="50" t="b">
        <f aca="false">IF(AND($C204="S",ORÇAMENTO.CodBarra&lt;&gt;""),IF(ORÇAMENTO.Fonte="",ORÇAMENTO.CodBarra,CONCATENATE(ORÇAMENTO.Fonte," ",ORÇAMENTO.CodBarra)))</f>
        <v>0</v>
      </c>
      <c r="AF204" s="65" t="str">
        <f aca="true">IF(ISERROR(INDIRECT(ORÇAMENTO.BancoRef)),"(abra o arquivo 'Referência "&amp;Excel_BuiltIn_Database&amp;".xlsm)",IF(OR($C204&lt;&gt;"S",ORÇAMENTO.CodBarra=""),"(Sem Código)",IF(ISERROR(MATCH($AE204,INDIRECT(ORÇAMENTO.BancoRef),0)),"(Código não identificado nas referências)",MATCH($AE204,INDIRECT(ORÇAMENTO.BancoRef),0))))</f>
        <v>(abra o arquivo 'Referência 07-2025.xlsm)</v>
      </c>
      <c r="AG204" s="215" t="n">
        <f aca="true">ROUND(IF(DESONERACAO="sim",REFERENCIA.Desonerado,REFERENCIA.NaoDesonerado),2)</f>
        <v>0</v>
      </c>
      <c r="AH204" s="216" t="n">
        <f aca="false">ROUND(IF(ISNUMBER(ORÇAMENTO.OpcaoBDI),ORÇAMENTO.OpcaoBDI,IF(LEFT(ORÇAMENTO.OpcaoBDI,3)="BDI",HLOOKUP(ORÇAMENTO.OpcaoBDI,$F$4:$H$5,2,FALSE()),0)),15-11*$AF$9)</f>
        <v>0.2904</v>
      </c>
      <c r="AJ204" s="217"/>
      <c r="AL204" s="218"/>
      <c r="AM204" s="219" t="n">
        <f aca="false">$X204</f>
        <v>0</v>
      </c>
      <c r="AN204" s="220" t="n">
        <f aca="false">ROUND(ORÇAMENTO.CustoUnitario*(1+$AH204),2)</f>
        <v>0</v>
      </c>
    </row>
    <row r="205" customFormat="false" ht="4.5" hidden="false" customHeight="true" outlineLevel="0" collapsed="false">
      <c r="A205" s="1" t="n">
        <v>-1</v>
      </c>
      <c r="C205" s="1" t="n">
        <v>-1</v>
      </c>
      <c r="E205" s="1" t="n">
        <v>0</v>
      </c>
      <c r="F205" s="1" t="n">
        <v>0</v>
      </c>
      <c r="G205" s="1" t="n">
        <v>0</v>
      </c>
      <c r="H205" s="1" t="n">
        <v>0</v>
      </c>
      <c r="I205" s="1" t="n">
        <v>0</v>
      </c>
      <c r="L205" s="199" t="s">
        <v>563</v>
      </c>
      <c r="M205" s="238"/>
      <c r="N205" s="239"/>
      <c r="O205" s="238"/>
      <c r="P205" s="240"/>
      <c r="Q205" s="240"/>
      <c r="R205" s="240"/>
      <c r="S205" s="240"/>
      <c r="T205" s="240"/>
      <c r="U205" s="240"/>
      <c r="V205" s="240"/>
      <c r="W205" s="240"/>
      <c r="X205" s="239"/>
      <c r="Y205" s="239"/>
      <c r="AC205" s="214" t="str">
        <f aca="false" t="array" ref="AC205:AC205">IF($N205=""," ",
IF(AND($C205&lt;&gt;"S",OR($R205="",$R205="(digite a descrição aqui)")),"DESCRIÇÃO",
IF(AND($C205="S",OR($Q205&lt;&gt;"",$T205&gt;0,$U205&gt;0),$P205=""),"FONTE",
IF(AND($C205="S",$P205&lt;&gt;"",OR($T205&gt;0,$U205&gt;0),$Q205=""),"CÓDIGO",
IF(AND($C205="S",$P205&lt;&gt;"",$Q205&lt;&gt;"",$R205="(Código não identificado nas referências)"),"CÓDIGO N/ID",
IF(AND($C205="S",OR($R205="",$R205="(digite a descrição aqui)"),OR($Q205&lt;&gt;"",$T205&gt;0,$U205&gt;0)),"DESCRIÇÃO",
IF(AND($C205="S",$P205&lt;&gt;"",$Q205&lt;&gt;"",$S205=""),"UNIDADE",
IF(AND($C205="S",$P205&lt;&gt;"",$Q205&lt;&gt;"",$U205=0),"SEM CUSTO",
IF(AND(_xlfn.single(TIPOORCAMENTO)="Licitado",$AL205=0,$AN205&gt;0),"SEM PREÇO",
IF(AND($C205="S",$P205&lt;&gt;"",$Q205&lt;&gt;"",$U205&gt;0,$V205=0),"BDI",
IF(OR(AND(TIPOORCAMENTO="Proposto",LEFT($O$8,5)&lt;&gt;"(N/D:",$AG205&lt;&gt;"",ORÇAMENTO.CustoUnitario&gt;$AG205),AND(TIPOORCAMENTO="LICITADO",ORÇAMENTO.PrecoUnitarioLicitado&gt;$AN205)),"ACIMA REF.",
IF(AND($C205="S",$P205&lt;&gt;"",$Q205&lt;&gt;"",$T205=0,$U205&gt;0),"QUANT.",
IF(AND(Import.TipoArredondamento="TransfereGOV",$L205="F",$C205="S",LEN($Q205)&gt;13),"Código &gt;13",
IF(AND(Import.TipoArredondamento="TransfereGOV",$L205="F",$C205&lt;&gt;"S",LEN($R205)&gt;100),"Descrição &gt;100",
IF(AND(Import.TipoArredondamento="TransfereGOV",$L205="F",$C205="S",LEN($R205)&gt;500),"Descrição &gt;500",
IF(AND(Import.TipoArredondamento="TransfereGOV",$L205="F",$C205="S",LEFT(TRIM(UPPER($P205)),6)&lt;&gt;"SINAPI",ISNA(VLOOKUP(TRIM(UPPER($S205)),ListaTgov.Unidades,1,FALSE()))),"Unid. Não Disp",
" "))))))))))))))))</f>
        <v> </v>
      </c>
      <c r="AG205" s="241"/>
      <c r="AH205" s="242"/>
      <c r="AJ205" s="243"/>
      <c r="AL205" s="241"/>
      <c r="AM205" s="244"/>
      <c r="AN205" s="242"/>
    </row>
    <row r="208" customFormat="false" ht="13.8" hidden="false" customHeight="false" outlineLevel="0" collapsed="false">
      <c r="O208" s="245" t="s">
        <v>861</v>
      </c>
      <c r="Q208" s="246" t="s">
        <v>862</v>
      </c>
      <c r="R208" s="246"/>
      <c r="S208" s="246"/>
      <c r="T208" s="246"/>
      <c r="U208" s="246"/>
      <c r="V208" s="246"/>
      <c r="W208" s="246"/>
      <c r="X208" s="246"/>
    </row>
    <row r="210" customFormat="false" ht="13.8" hidden="false" customHeight="false" outlineLevel="0" collapsed="false">
      <c r="O210" s="247" t="s">
        <v>718</v>
      </c>
      <c r="X210" s="9"/>
    </row>
    <row r="211" customFormat="false" ht="12.75" hidden="false" customHeight="true" outlineLevel="0" collapsed="false">
      <c r="O211" s="248"/>
      <c r="P211" s="248"/>
      <c r="Q211" s="248"/>
      <c r="R211" s="248"/>
      <c r="S211" s="248"/>
      <c r="T211" s="248"/>
      <c r="U211" s="248"/>
      <c r="V211" s="248"/>
      <c r="W211" s="248"/>
      <c r="X211" s="248"/>
    </row>
    <row r="212" customFormat="false" ht="12.75" hidden="false" customHeight="false" outlineLevel="0" collapsed="false">
      <c r="O212" s="248"/>
      <c r="P212" s="248"/>
      <c r="Q212" s="248"/>
      <c r="R212" s="248"/>
      <c r="S212" s="248"/>
      <c r="T212" s="248"/>
      <c r="U212" s="248"/>
      <c r="V212" s="248"/>
      <c r="W212" s="248"/>
      <c r="X212" s="248"/>
    </row>
    <row r="213" customFormat="false" ht="12.75" hidden="false" customHeight="false" outlineLevel="0" collapsed="false">
      <c r="O213" s="248"/>
      <c r="P213" s="248"/>
      <c r="Q213" s="248"/>
      <c r="R213" s="248"/>
      <c r="S213" s="248"/>
      <c r="T213" s="248"/>
      <c r="U213" s="248"/>
      <c r="V213" s="248"/>
      <c r="W213" s="248"/>
      <c r="X213" s="248"/>
    </row>
    <row r="214" customFormat="false" ht="13.8" hidden="false" customHeight="false" outlineLevel="0" collapsed="false">
      <c r="O214" s="249"/>
      <c r="P214" s="249"/>
      <c r="Q214" s="249"/>
      <c r="R214" s="249"/>
      <c r="S214" s="249"/>
      <c r="T214" s="249"/>
      <c r="U214" s="249"/>
      <c r="V214" s="249"/>
      <c r="W214" s="249"/>
      <c r="X214" s="249"/>
      <c r="Y214" s="249"/>
      <c r="Z214" s="250"/>
      <c r="AA214" s="250"/>
      <c r="AB214" s="250"/>
    </row>
    <row r="215" customFormat="false" ht="14.15" hidden="false" customHeight="false" outlineLevel="0" collapsed="false">
      <c r="O215" s="251" t="str">
        <f aca="false">IF(AND($AF$7=FALSE(),$AF$8=FALSE(),$AF$9=FALSE(),$AF$10=FALSE(),$AF$11=FALSE()),"Não foi considerado arredondamento nos valores da planilha.",CONCATENATE("Foi considerado arredondamento de duas casas decimais para ",IF($AF$7=TRUE(),"Quantidade; ",""),IF($AF$8=TRUE(),"Custo Unitário; ",""),IF($AF$9=TRUE(),"BDI; ",""),IF($AF$10=TRUE(),"Preço Unitário; ",""),IF($AF$11=TRUE(),"Preço Total.","")))</f>
        <v>Foi considerado arredondamento de duas casas decimais para Quantidade; Custo Unitário; BDI; Preço Unitário; Preço Total.</v>
      </c>
      <c r="P215" s="251"/>
      <c r="Q215" s="251"/>
      <c r="R215" s="251"/>
      <c r="S215" s="251"/>
      <c r="T215" s="251"/>
      <c r="U215" s="251"/>
      <c r="V215" s="251"/>
      <c r="W215" s="251"/>
      <c r="X215" s="251"/>
      <c r="Y215" s="252"/>
      <c r="Z215" s="252"/>
      <c r="AA215" s="252"/>
      <c r="AB215" s="252"/>
    </row>
    <row r="216" customFormat="false" ht="15" hidden="false" customHeight="true" outlineLevel="0" collapsed="false">
      <c r="O216" s="253" t="s">
        <v>863</v>
      </c>
      <c r="P216" s="253"/>
      <c r="Q216" s="253"/>
      <c r="R216" s="253"/>
      <c r="S216" s="253"/>
      <c r="T216" s="253"/>
      <c r="U216" s="253"/>
      <c r="V216" s="253"/>
      <c r="W216" s="253"/>
      <c r="X216" s="253"/>
      <c r="Y216" s="252"/>
      <c r="Z216" s="252"/>
      <c r="AA216" s="252"/>
      <c r="AB216" s="252"/>
    </row>
    <row r="218" customFormat="false" ht="30" hidden="false" customHeight="true" outlineLevel="0" collapsed="false">
      <c r="O218" s="254" t="str">
        <f aca="false">Import.Município</f>
        <v>SALINAS</v>
      </c>
      <c r="P218" s="254"/>
      <c r="Q218" s="254"/>
      <c r="S218" s="255"/>
      <c r="T218" s="255"/>
      <c r="U218" s="255"/>
      <c r="V218" s="255"/>
      <c r="W218" s="48"/>
    </row>
    <row r="219" customFormat="false" ht="12.75" hidden="false" customHeight="false" outlineLevel="0" collapsed="false">
      <c r="O219" s="58" t="s">
        <v>722</v>
      </c>
      <c r="S219" s="256" t="s">
        <v>725</v>
      </c>
      <c r="T219" s="256"/>
      <c r="U219" s="256"/>
      <c r="V219" s="256"/>
    </row>
    <row r="220" customFormat="false" ht="12.75" hidden="false" customHeight="false" outlineLevel="0" collapsed="false">
      <c r="S220" s="150" t="s">
        <v>261</v>
      </c>
      <c r="T220" s="151" t="str">
        <f aca="false" t="array" ref="T220:T222">Import.RespOrçamento</f>
        <v>DEBHORA DOS SANTOS GUIMARÃES</v>
      </c>
      <c r="V220" s="152"/>
    </row>
    <row r="221" customFormat="false" ht="12.75" hidden="false" customHeight="false" outlineLevel="0" collapsed="false">
      <c r="O221" s="257" t="n">
        <f aca="false">DADOS!$C$25</f>
        <v>45845</v>
      </c>
      <c r="P221" s="257"/>
      <c r="Q221" s="257"/>
      <c r="S221" s="150" t="s">
        <v>265</v>
      </c>
      <c r="T221" s="151" t="str">
        <v>111769/D</v>
      </c>
      <c r="U221" s="152"/>
      <c r="V221" s="152"/>
    </row>
    <row r="222" customFormat="false" ht="12.75" hidden="false" customHeight="false" outlineLevel="0" collapsed="false">
      <c r="O222" s="258" t="s">
        <v>723</v>
      </c>
      <c r="P222" s="33"/>
      <c r="Q222" s="33"/>
      <c r="S222" s="150" t="s">
        <v>269</v>
      </c>
      <c r="T222" s="151" t="str">
        <v>MG20254000676</v>
      </c>
      <c r="U222" s="152"/>
      <c r="V222" s="152"/>
    </row>
  </sheetData>
  <sheetProtection algorithmName="SHA-512" hashValue="ULC7ByVVx7O7mzgSgQRDOe9+aJg/QqdAuRAVjkjhd8H2++HI5hOqMee3PZH71R/BkN313umtqJpswXHApOyfiQ==" saltValue="AOshiN0J+ew3Z10FXibgSQ==" spinCount="100000" sheet="true" objects="true" scenarios="true" autoFilter="false"/>
  <autoFilter ref="L15:L205"/>
  <mergeCells count="24">
    <mergeCell ref="O4:P4"/>
    <mergeCell ref="S4:X4"/>
    <mergeCell ref="O5:P5"/>
    <mergeCell ref="S5:X5"/>
    <mergeCell ref="AE5:AF5"/>
    <mergeCell ref="O7:P7"/>
    <mergeCell ref="S7:U7"/>
    <mergeCell ref="AJ7:AJ11"/>
    <mergeCell ref="AL7:AL11"/>
    <mergeCell ref="F8:K8"/>
    <mergeCell ref="L8:L12"/>
    <mergeCell ref="O8:P8"/>
    <mergeCell ref="S8:U8"/>
    <mergeCell ref="Y8:Y12"/>
    <mergeCell ref="Z8:Z12"/>
    <mergeCell ref="F9:K9"/>
    <mergeCell ref="AA12:AB12"/>
    <mergeCell ref="O15:R15"/>
    <mergeCell ref="Q208:X208"/>
    <mergeCell ref="O211:X213"/>
    <mergeCell ref="O215:X215"/>
    <mergeCell ref="O216:X216"/>
    <mergeCell ref="O218:Q218"/>
    <mergeCell ref="O221:Q221"/>
  </mergeCells>
  <conditionalFormatting sqref="X51">
    <cfRule type="expression" priority="2" aboveAverage="0" equalAverage="0" bottom="0" percent="0" rank="0" text="" dxfId="22">
      <formula>$C51=1</formula>
    </cfRule>
    <cfRule type="expression" priority="3" aboveAverage="0" equalAverage="0" bottom="0" percent="0" rank="0" text="" dxfId="23">
      <formula>OR($C51=0,$C51=2,$C51=3,$C51=4)</formula>
    </cfRule>
  </conditionalFormatting>
  <conditionalFormatting sqref="R51">
    <cfRule type="beginsWith" priority="4" operator="beginsWith" aboveAverage="0" equalAverage="0" bottom="0" percent="0" rank="0" text="(" dxfId="24">
      <formula>LEFT(R51,LEN("("))="("</formula>
    </cfRule>
  </conditionalFormatting>
  <conditionalFormatting sqref="M51">
    <cfRule type="cellIs" priority="5" operator="notEqual" aboveAverage="0" equalAverage="0" bottom="0" percent="0" rank="0" text="" dxfId="25">
      <formula>$N51</formula>
    </cfRule>
  </conditionalFormatting>
  <conditionalFormatting sqref="N51:O51 R51 W51">
    <cfRule type="expression" priority="6" aboveAverage="0" equalAverage="0" bottom="0" percent="0" rank="0" text="" dxfId="26">
      <formula>$C51=1</formula>
    </cfRule>
    <cfRule type="expression" priority="7" aboveAverage="0" equalAverage="0" bottom="0" percent="0" rank="0" text="" dxfId="27">
      <formula>OR($C51=0,$C51=2,$C51=3,$C51=4)</formula>
    </cfRule>
  </conditionalFormatting>
  <conditionalFormatting sqref="U51:V51">
    <cfRule type="expression" priority="8" aboveAverage="0" equalAverage="0" bottom="0" percent="0" rank="0" text="" dxfId="28">
      <formula>$C51=1</formula>
    </cfRule>
    <cfRule type="expression" priority="9" aboveAverage="0" equalAverage="0" bottom="0" percent="0" rank="0" text="" dxfId="29">
      <formula>OR($C51=0,$C51=2,$C51=3,$C51=4)</formula>
    </cfRule>
    <cfRule type="expression" priority="10" aboveAverage="0" equalAverage="0" bottom="0" percent="0" rank="0" text="" dxfId="30">
      <formula>AND(TIPOORCAMENTO="Licitado",$C51&lt;&gt;"L",$C51&lt;&gt;-1)</formula>
    </cfRule>
  </conditionalFormatting>
  <conditionalFormatting sqref="P51:Q51 S51:T51 Y51 AG51:AH51">
    <cfRule type="expression" priority="11" aboveAverage="0" equalAverage="0" bottom="0" percent="0" rank="0" text="" dxfId="31">
      <formula>$C51=1</formula>
    </cfRule>
    <cfRule type="expression" priority="12" aboveAverage="0" equalAverage="0" bottom="0" percent="0" rank="0" text="" dxfId="32">
      <formula>OR($C51=0,$C51=2,$C51=3,$C51=4)</formula>
    </cfRule>
  </conditionalFormatting>
  <conditionalFormatting sqref="X43">
    <cfRule type="expression" priority="13" aboveAverage="0" equalAverage="0" bottom="0" percent="0" rank="0" text="" dxfId="33">
      <formula>$C43=1</formula>
    </cfRule>
    <cfRule type="expression" priority="14" aboveAverage="0" equalAverage="0" bottom="0" percent="0" rank="0" text="" dxfId="34">
      <formula>OR($C43=0,$C43=2,$C43=3,$C43=4)</formula>
    </cfRule>
  </conditionalFormatting>
  <conditionalFormatting sqref="X35:X36">
    <cfRule type="expression" priority="15" aboveAverage="0" equalAverage="0" bottom="0" percent="0" rank="0" text="" dxfId="35">
      <formula>$C35=1</formula>
    </cfRule>
    <cfRule type="expression" priority="16" aboveAverage="0" equalAverage="0" bottom="0" percent="0" rank="0" text="" dxfId="36">
      <formula>OR($C35=0,$C35=2,$C35=3,$C35=4)</formula>
    </cfRule>
  </conditionalFormatting>
  <conditionalFormatting sqref="X23">
    <cfRule type="expression" priority="17" aboveAverage="0" equalAverage="0" bottom="0" percent="0" rank="0" text="" dxfId="37">
      <formula>$C23=1</formula>
    </cfRule>
    <cfRule type="expression" priority="18" aboveAverage="0" equalAverage="0" bottom="0" percent="0" rank="0" text="" dxfId="38">
      <formula>OR($C23=0,$C23=2,$C23=3,$C23=4)</formula>
    </cfRule>
  </conditionalFormatting>
  <conditionalFormatting sqref="R23">
    <cfRule type="beginsWith" priority="19" operator="beginsWith" aboveAverage="0" equalAverage="0" bottom="0" percent="0" rank="0" text="(" dxfId="39">
      <formula>LEFT(R23,LEN("("))="("</formula>
    </cfRule>
  </conditionalFormatting>
  <conditionalFormatting sqref="M23">
    <cfRule type="cellIs" priority="20" operator="notEqual" aboveAverage="0" equalAverage="0" bottom="0" percent="0" rank="0" text="" dxfId="40">
      <formula>$N23</formula>
    </cfRule>
  </conditionalFormatting>
  <conditionalFormatting sqref="N23:O23 R23 W23">
    <cfRule type="expression" priority="21" aboveAverage="0" equalAverage="0" bottom="0" percent="0" rank="0" text="" dxfId="41">
      <formula>$C23=1</formula>
    </cfRule>
    <cfRule type="expression" priority="22" aboveAverage="0" equalAverage="0" bottom="0" percent="0" rank="0" text="" dxfId="42">
      <formula>OR($C23=0,$C23=2,$C23=3,$C23=4)</formula>
    </cfRule>
  </conditionalFormatting>
  <conditionalFormatting sqref="U23:V23">
    <cfRule type="expression" priority="23" aboveAverage="0" equalAverage="0" bottom="0" percent="0" rank="0" text="" dxfId="43">
      <formula>$C23=1</formula>
    </cfRule>
    <cfRule type="expression" priority="24" aboveAverage="0" equalAverage="0" bottom="0" percent="0" rank="0" text="" dxfId="44">
      <formula>OR($C23=0,$C23=2,$C23=3,$C23=4)</formula>
    </cfRule>
    <cfRule type="expression" priority="25" aboveAverage="0" equalAverage="0" bottom="0" percent="0" rank="0" text="" dxfId="45">
      <formula>AND(TIPOORCAMENTO="Licitado",$C23&lt;&gt;"L",$C23&lt;&gt;-1)</formula>
    </cfRule>
  </conditionalFormatting>
  <conditionalFormatting sqref="P23:Q23 S23:T23 Y23 AG23:AH23">
    <cfRule type="expression" priority="26" aboveAverage="0" equalAverage="0" bottom="0" percent="0" rank="0" text="" dxfId="46">
      <formula>$C23=1</formula>
    </cfRule>
    <cfRule type="expression" priority="27" aboveAverage="0" equalAverage="0" bottom="0" percent="0" rank="0" text="" dxfId="47">
      <formula>OR($C23=0,$C23=2,$C23=3,$C23=4)</formula>
    </cfRule>
  </conditionalFormatting>
  <conditionalFormatting sqref="X25:X26">
    <cfRule type="expression" priority="28" aboveAverage="0" equalAverage="0" bottom="0" percent="0" rank="0" text="" dxfId="48">
      <formula>$C25=1</formula>
    </cfRule>
    <cfRule type="expression" priority="29" aboveAverage="0" equalAverage="0" bottom="0" percent="0" rank="0" text="" dxfId="49">
      <formula>OR($C25=0,$C25=2,$C25=3,$C25=4)</formula>
    </cfRule>
  </conditionalFormatting>
  <conditionalFormatting sqref="U25:V26">
    <cfRule type="expression" priority="30" aboveAverage="0" equalAverage="0" bottom="0" percent="0" rank="0" text="" dxfId="50">
      <formula>$C25=1</formula>
    </cfRule>
    <cfRule type="expression" priority="31" aboveAverage="0" equalAverage="0" bottom="0" percent="0" rank="0" text="" dxfId="51">
      <formula>OR($C25=0,$C25=2,$C25=3,$C25=4)</formula>
    </cfRule>
    <cfRule type="expression" priority="32" aboveAverage="0" equalAverage="0" bottom="0" percent="0" rank="0" text="" dxfId="52">
      <formula>AND(TIPOORCAMENTO="Licitado",$C25&lt;&gt;"L",$C25&lt;&gt;-1)</formula>
    </cfRule>
  </conditionalFormatting>
  <conditionalFormatting sqref="X146:X147">
    <cfRule type="expression" priority="33" aboveAverage="0" equalAverage="0" bottom="0" percent="0" rank="0" text="" dxfId="53">
      <formula>$C146=1</formula>
    </cfRule>
    <cfRule type="expression" priority="34" aboveAverage="0" equalAverage="0" bottom="0" percent="0" rank="0" text="" dxfId="54">
      <formula>OR($C146=0,$C146=2,$C146=3,$C146=4)</formula>
    </cfRule>
  </conditionalFormatting>
  <conditionalFormatting sqref="X67">
    <cfRule type="expression" priority="35" aboveAverage="0" equalAverage="0" bottom="0" percent="0" rank="0" text="" dxfId="55">
      <formula>$C67=1</formula>
    </cfRule>
    <cfRule type="expression" priority="36" aboveAverage="0" equalAverage="0" bottom="0" percent="0" rank="0" text="" dxfId="56">
      <formula>OR($C67=0,$C67=2,$C67=3,$C67=4)</formula>
    </cfRule>
  </conditionalFormatting>
  <conditionalFormatting sqref="U67:V67">
    <cfRule type="expression" priority="37" aboveAverage="0" equalAverage="0" bottom="0" percent="0" rank="0" text="" dxfId="57">
      <formula>$C67=1</formula>
    </cfRule>
    <cfRule type="expression" priority="38" aboveAverage="0" equalAverage="0" bottom="0" percent="0" rank="0" text="" dxfId="58">
      <formula>OR($C67=0,$C67=2,$C67=3,$C67=4)</formula>
    </cfRule>
    <cfRule type="expression" priority="39" aboveAverage="0" equalAverage="0" bottom="0" percent="0" rank="0" text="" dxfId="59">
      <formula>AND(TIPOORCAMENTO="Licitado",$C67&lt;&gt;"L",$C67&lt;&gt;-1)</formula>
    </cfRule>
  </conditionalFormatting>
  <conditionalFormatting sqref="X66">
    <cfRule type="expression" priority="40" aboveAverage="0" equalAverage="0" bottom="0" percent="0" rank="0" text="" dxfId="60">
      <formula>$C66=1</formula>
    </cfRule>
    <cfRule type="expression" priority="41" aboveAverage="0" equalAverage="0" bottom="0" percent="0" rank="0" text="" dxfId="61">
      <formula>OR($C66=0,$C66=2,$C66=3,$C66=4)</formula>
    </cfRule>
  </conditionalFormatting>
  <conditionalFormatting sqref="U66:V66">
    <cfRule type="expression" priority="42" aboveAverage="0" equalAverage="0" bottom="0" percent="0" rank="0" text="" dxfId="62">
      <formula>$C66=1</formula>
    </cfRule>
    <cfRule type="expression" priority="43" aboveAverage="0" equalAverage="0" bottom="0" percent="0" rank="0" text="" dxfId="63">
      <formula>OR($C66=0,$C66=2,$C66=3,$C66=4)</formula>
    </cfRule>
    <cfRule type="expression" priority="44" aboveAverage="0" equalAverage="0" bottom="0" percent="0" rank="0" text="" dxfId="64">
      <formula>AND(TIPOORCAMENTO="Licitado",$C66&lt;&gt;"L",$C66&lt;&gt;-1)</formula>
    </cfRule>
  </conditionalFormatting>
  <conditionalFormatting sqref="X45">
    <cfRule type="expression" priority="45" aboveAverage="0" equalAverage="0" bottom="0" percent="0" rank="0" text="" dxfId="65">
      <formula>$C45=1</formula>
    </cfRule>
    <cfRule type="expression" priority="46" aboveAverage="0" equalAverage="0" bottom="0" percent="0" rank="0" text="" dxfId="66">
      <formula>OR($C45=0,$C45=2,$C45=3,$C45=4)</formula>
    </cfRule>
  </conditionalFormatting>
  <conditionalFormatting sqref="R45">
    <cfRule type="beginsWith" priority="47" operator="beginsWith" aboveAverage="0" equalAverage="0" bottom="0" percent="0" rank="0" text="(" dxfId="67">
      <formula>LEFT(R45,LEN("("))="("</formula>
    </cfRule>
  </conditionalFormatting>
  <conditionalFormatting sqref="M45">
    <cfRule type="cellIs" priority="48" operator="notEqual" aboveAverage="0" equalAverage="0" bottom="0" percent="0" rank="0" text="" dxfId="68">
      <formula>$N45</formula>
    </cfRule>
  </conditionalFormatting>
  <conditionalFormatting sqref="N45:O45 R45 W45">
    <cfRule type="expression" priority="49" aboveAverage="0" equalAverage="0" bottom="0" percent="0" rank="0" text="" dxfId="69">
      <formula>$C45=1</formula>
    </cfRule>
    <cfRule type="expression" priority="50" aboveAverage="0" equalAverage="0" bottom="0" percent="0" rank="0" text="" dxfId="70">
      <formula>OR($C45=0,$C45=2,$C45=3,$C45=4)</formula>
    </cfRule>
  </conditionalFormatting>
  <conditionalFormatting sqref="U45:V45">
    <cfRule type="expression" priority="51" aboveAverage="0" equalAverage="0" bottom="0" percent="0" rank="0" text="" dxfId="71">
      <formula>$C45=1</formula>
    </cfRule>
    <cfRule type="expression" priority="52" aboveAverage="0" equalAverage="0" bottom="0" percent="0" rank="0" text="" dxfId="72">
      <formula>OR($C45=0,$C45=2,$C45=3,$C45=4)</formula>
    </cfRule>
    <cfRule type="expression" priority="53" aboveAverage="0" equalAverage="0" bottom="0" percent="0" rank="0" text="" dxfId="73">
      <formula>AND(TIPOORCAMENTO="Licitado",$C45&lt;&gt;"L",$C45&lt;&gt;-1)</formula>
    </cfRule>
  </conditionalFormatting>
  <conditionalFormatting sqref="P45:Q45 S45:T45 Y45 AG45:AH45">
    <cfRule type="expression" priority="54" aboveAverage="0" equalAverage="0" bottom="0" percent="0" rank="0" text="" dxfId="74">
      <formula>$C45=1</formula>
    </cfRule>
    <cfRule type="expression" priority="55" aboveAverage="0" equalAverage="0" bottom="0" percent="0" rank="0" text="" dxfId="75">
      <formula>OR($C45=0,$C45=2,$C45=3,$C45=4)</formula>
    </cfRule>
  </conditionalFormatting>
  <conditionalFormatting sqref="X197:X198">
    <cfRule type="expression" priority="56" aboveAverage="0" equalAverage="0" bottom="0" percent="0" rank="0" text="" dxfId="76">
      <formula>$C197=1</formula>
    </cfRule>
    <cfRule type="expression" priority="57" aboveAverage="0" equalAverage="0" bottom="0" percent="0" rank="0" text="" dxfId="77">
      <formula>OR($C197=0,$C197=2,$C197=3,$C197=4)</formula>
    </cfRule>
  </conditionalFormatting>
  <conditionalFormatting sqref="X188:X196">
    <cfRule type="expression" priority="58" aboveAverage="0" equalAverage="0" bottom="0" percent="0" rank="0" text="" dxfId="78">
      <formula>$C188=1</formula>
    </cfRule>
    <cfRule type="expression" priority="59" aboveAverage="0" equalAverage="0" bottom="0" percent="0" rank="0" text="" dxfId="79">
      <formula>OR($C188=0,$C188=2,$C188=3,$C188=4)</formula>
    </cfRule>
  </conditionalFormatting>
  <conditionalFormatting sqref="X178:X179">
    <cfRule type="expression" priority="60" aboveAverage="0" equalAverage="0" bottom="0" percent="0" rank="0" text="" dxfId="80">
      <formula>$C178=1</formula>
    </cfRule>
    <cfRule type="expression" priority="61" aboveAverage="0" equalAverage="0" bottom="0" percent="0" rank="0" text="" dxfId="81">
      <formula>OR($C178=0,$C178=2,$C178=3,$C178=4)</formula>
    </cfRule>
  </conditionalFormatting>
  <conditionalFormatting sqref="X169:X177">
    <cfRule type="expression" priority="62" aboveAverage="0" equalAverage="0" bottom="0" percent="0" rank="0" text="" dxfId="82">
      <formula>$C169=1</formula>
    </cfRule>
    <cfRule type="expression" priority="63" aboveAverage="0" equalAverage="0" bottom="0" percent="0" rank="0" text="" dxfId="83">
      <formula>OR($C169=0,$C169=2,$C169=3,$C169=4)</formula>
    </cfRule>
  </conditionalFormatting>
  <conditionalFormatting sqref="X160:X168">
    <cfRule type="expression" priority="64" aboveAverage="0" equalAverage="0" bottom="0" percent="0" rank="0" text="" dxfId="84">
      <formula>$C160=1</formula>
    </cfRule>
    <cfRule type="expression" priority="65" aboveAverage="0" equalAverage="0" bottom="0" percent="0" rank="0" text="" dxfId="85">
      <formula>OR($C160=0,$C160=2,$C160=3,$C160=4)</formula>
    </cfRule>
  </conditionalFormatting>
  <conditionalFormatting sqref="X158:X159">
    <cfRule type="expression" priority="66" aboveAverage="0" equalAverage="0" bottom="0" percent="0" rank="0" text="" dxfId="86">
      <formula>$C158=1</formula>
    </cfRule>
    <cfRule type="expression" priority="67" aboveAverage="0" equalAverage="0" bottom="0" percent="0" rank="0" text="" dxfId="87">
      <formula>OR($C158=0,$C158=2,$C158=3,$C158=4)</formula>
    </cfRule>
  </conditionalFormatting>
  <conditionalFormatting sqref="X149:X157">
    <cfRule type="expression" priority="68" aboveAverage="0" equalAverage="0" bottom="0" percent="0" rank="0" text="" dxfId="88">
      <formula>$C149=1</formula>
    </cfRule>
    <cfRule type="expression" priority="69" aboveAverage="0" equalAverage="0" bottom="0" percent="0" rank="0" text="" dxfId="89">
      <formula>OR($C149=0,$C149=2,$C149=3,$C149=4)</formula>
    </cfRule>
  </conditionalFormatting>
  <conditionalFormatting sqref="X137:X138">
    <cfRule type="expression" priority="70" aboveAverage="0" equalAverage="0" bottom="0" percent="0" rank="0" text="" dxfId="90">
      <formula>$C137=1</formula>
    </cfRule>
    <cfRule type="expression" priority="71" aboveAverage="0" equalAverage="0" bottom="0" percent="0" rank="0" text="" dxfId="91">
      <formula>OR($C137=0,$C137=2,$C137=3,$C137=4)</formula>
    </cfRule>
  </conditionalFormatting>
  <conditionalFormatting sqref="X126:X127">
    <cfRule type="expression" priority="72" aboveAverage="0" equalAverage="0" bottom="0" percent="0" rank="0" text="" dxfId="92">
      <formula>$C126=1</formula>
    </cfRule>
    <cfRule type="expression" priority="73" aboveAverage="0" equalAverage="0" bottom="0" percent="0" rank="0" text="" dxfId="93">
      <formula>OR($C126=0,$C126=2,$C126=3,$C126=4)</formula>
    </cfRule>
  </conditionalFormatting>
  <conditionalFormatting sqref="X60">
    <cfRule type="expression" priority="74" aboveAverage="0" equalAverage="0" bottom="0" percent="0" rank="0" text="" dxfId="94">
      <formula>$C60=1</formula>
    </cfRule>
    <cfRule type="expression" priority="75" aboveAverage="0" equalAverage="0" bottom="0" percent="0" rank="0" text="" dxfId="95">
      <formula>OR($C60=0,$C60=2,$C60=3,$C60=4)</formula>
    </cfRule>
  </conditionalFormatting>
  <conditionalFormatting sqref="R60">
    <cfRule type="beginsWith" priority="76" operator="beginsWith" aboveAverage="0" equalAverage="0" bottom="0" percent="0" rank="0" text="(" dxfId="96">
      <formula>LEFT(R60,LEN("("))="("</formula>
    </cfRule>
  </conditionalFormatting>
  <conditionalFormatting sqref="M60">
    <cfRule type="cellIs" priority="77" operator="notEqual" aboveAverage="0" equalAverage="0" bottom="0" percent="0" rank="0" text="" dxfId="97">
      <formula>$N60</formula>
    </cfRule>
  </conditionalFormatting>
  <conditionalFormatting sqref="N60:O60 R60 W60">
    <cfRule type="expression" priority="78" aboveAverage="0" equalAverage="0" bottom="0" percent="0" rank="0" text="" dxfId="98">
      <formula>$C60=1</formula>
    </cfRule>
    <cfRule type="expression" priority="79" aboveAverage="0" equalAverage="0" bottom="0" percent="0" rank="0" text="" dxfId="99">
      <formula>OR($C60=0,$C60=2,$C60=3,$C60=4)</formula>
    </cfRule>
  </conditionalFormatting>
  <conditionalFormatting sqref="U60:V60">
    <cfRule type="expression" priority="80" aboveAverage="0" equalAverage="0" bottom="0" percent="0" rank="0" text="" dxfId="100">
      <formula>$C60=1</formula>
    </cfRule>
    <cfRule type="expression" priority="81" aboveAverage="0" equalAverage="0" bottom="0" percent="0" rank="0" text="" dxfId="101">
      <formula>OR($C60=0,$C60=2,$C60=3,$C60=4)</formula>
    </cfRule>
    <cfRule type="expression" priority="82" aboveAverage="0" equalAverage="0" bottom="0" percent="0" rank="0" text="" dxfId="102">
      <formula>AND(TIPOORCAMENTO="Licitado",$C60&lt;&gt;"L",$C60&lt;&gt;-1)</formula>
    </cfRule>
  </conditionalFormatting>
  <conditionalFormatting sqref="P60:Q60 S60:T60 Y60 AG60:AH60">
    <cfRule type="expression" priority="83" aboveAverage="0" equalAverage="0" bottom="0" percent="0" rank="0" text="" dxfId="103">
      <formula>$C60=1</formula>
    </cfRule>
    <cfRule type="expression" priority="84" aboveAverage="0" equalAverage="0" bottom="0" percent="0" rank="0" text="" dxfId="104">
      <formula>OR($C60=0,$C60=2,$C60=3,$C60=4)</formula>
    </cfRule>
  </conditionalFormatting>
  <conditionalFormatting sqref="X57">
    <cfRule type="expression" priority="85" aboveAverage="0" equalAverage="0" bottom="0" percent="0" rank="0" text="" dxfId="105">
      <formula>$C57=1</formula>
    </cfRule>
    <cfRule type="expression" priority="86" aboveAverage="0" equalAverage="0" bottom="0" percent="0" rank="0" text="" dxfId="106">
      <formula>OR($C57=0,$C57=2,$C57=3,$C57=4)</formula>
    </cfRule>
  </conditionalFormatting>
  <conditionalFormatting sqref="R57">
    <cfRule type="beginsWith" priority="87" operator="beginsWith" aboveAverage="0" equalAverage="0" bottom="0" percent="0" rank="0" text="(" dxfId="107">
      <formula>LEFT(R57,LEN("("))="("</formula>
    </cfRule>
  </conditionalFormatting>
  <conditionalFormatting sqref="M57">
    <cfRule type="cellIs" priority="88" operator="notEqual" aboveAverage="0" equalAverage="0" bottom="0" percent="0" rank="0" text="" dxfId="108">
      <formula>$N57</formula>
    </cfRule>
  </conditionalFormatting>
  <conditionalFormatting sqref="N57:O57 R57 W57">
    <cfRule type="expression" priority="89" aboveAverage="0" equalAverage="0" bottom="0" percent="0" rank="0" text="" dxfId="109">
      <formula>$C57=1</formula>
    </cfRule>
    <cfRule type="expression" priority="90" aboveAverage="0" equalAverage="0" bottom="0" percent="0" rank="0" text="" dxfId="110">
      <formula>OR($C57=0,$C57=2,$C57=3,$C57=4)</formula>
    </cfRule>
  </conditionalFormatting>
  <conditionalFormatting sqref="U57:V57">
    <cfRule type="expression" priority="91" aboveAverage="0" equalAverage="0" bottom="0" percent="0" rank="0" text="" dxfId="111">
      <formula>$C57=1</formula>
    </cfRule>
    <cfRule type="expression" priority="92" aboveAverage="0" equalAverage="0" bottom="0" percent="0" rank="0" text="" dxfId="112">
      <formula>OR($C57=0,$C57=2,$C57=3,$C57=4)</formula>
    </cfRule>
    <cfRule type="expression" priority="93" aboveAverage="0" equalAverage="0" bottom="0" percent="0" rank="0" text="" dxfId="113">
      <formula>AND(TIPOORCAMENTO="Licitado",$C57&lt;&gt;"L",$C57&lt;&gt;-1)</formula>
    </cfRule>
  </conditionalFormatting>
  <conditionalFormatting sqref="P57:Q57 S57:T57 Y57 AG57:AH57">
    <cfRule type="expression" priority="94" aboveAverage="0" equalAverage="0" bottom="0" percent="0" rank="0" text="" dxfId="114">
      <formula>$C57=1</formula>
    </cfRule>
    <cfRule type="expression" priority="95" aboveAverage="0" equalAverage="0" bottom="0" percent="0" rank="0" text="" dxfId="115">
      <formula>OR($C57=0,$C57=2,$C57=3,$C57=4)</formula>
    </cfRule>
  </conditionalFormatting>
  <conditionalFormatting sqref="R55">
    <cfRule type="beginsWith" priority="96" operator="beginsWith" aboveAverage="0" equalAverage="0" bottom="0" percent="0" rank="0" text="(" dxfId="116">
      <formula>LEFT(R55,LEN("("))="("</formula>
    </cfRule>
  </conditionalFormatting>
  <conditionalFormatting sqref="X49">
    <cfRule type="expression" priority="97" aboveAverage="0" equalAverage="0" bottom="0" percent="0" rank="0" text="" dxfId="117">
      <formula>$C49=1</formula>
    </cfRule>
    <cfRule type="expression" priority="98" aboveAverage="0" equalAverage="0" bottom="0" percent="0" rank="0" text="" dxfId="118">
      <formula>OR($C49=0,$C49=2,$C49=3,$C49=4)</formula>
    </cfRule>
  </conditionalFormatting>
  <conditionalFormatting sqref="R49">
    <cfRule type="beginsWith" priority="99" operator="beginsWith" aboveAverage="0" equalAverage="0" bottom="0" percent="0" rank="0" text="(" dxfId="119">
      <formula>LEFT(R49,LEN("("))="("</formula>
    </cfRule>
  </conditionalFormatting>
  <conditionalFormatting sqref="M49">
    <cfRule type="cellIs" priority="100" operator="notEqual" aboveAverage="0" equalAverage="0" bottom="0" percent="0" rank="0" text="" dxfId="120">
      <formula>$N49</formula>
    </cfRule>
  </conditionalFormatting>
  <conditionalFormatting sqref="N49:O49 R49 W49">
    <cfRule type="expression" priority="101" aboveAverage="0" equalAverage="0" bottom="0" percent="0" rank="0" text="" dxfId="121">
      <formula>$C49=1</formula>
    </cfRule>
    <cfRule type="expression" priority="102" aboveAverage="0" equalAverage="0" bottom="0" percent="0" rank="0" text="" dxfId="122">
      <formula>OR($C49=0,$C49=2,$C49=3,$C49=4)</formula>
    </cfRule>
  </conditionalFormatting>
  <conditionalFormatting sqref="U49:V49">
    <cfRule type="expression" priority="103" aboveAverage="0" equalAverage="0" bottom="0" percent="0" rank="0" text="" dxfId="123">
      <formula>$C49=1</formula>
    </cfRule>
    <cfRule type="expression" priority="104" aboveAverage="0" equalAverage="0" bottom="0" percent="0" rank="0" text="" dxfId="124">
      <formula>OR($C49=0,$C49=2,$C49=3,$C49=4)</formula>
    </cfRule>
    <cfRule type="expression" priority="105" aboveAverage="0" equalAverage="0" bottom="0" percent="0" rank="0" text="" dxfId="125">
      <formula>AND(TIPOORCAMENTO="Licitado",$C49&lt;&gt;"L",$C49&lt;&gt;-1)</formula>
    </cfRule>
  </conditionalFormatting>
  <conditionalFormatting sqref="P49:Q49 S49:T49 Y49 AG49:AH49">
    <cfRule type="expression" priority="106" aboveAverage="0" equalAverage="0" bottom="0" percent="0" rank="0" text="" dxfId="126">
      <formula>$C49=1</formula>
    </cfRule>
    <cfRule type="expression" priority="107" aboveAverage="0" equalAverage="0" bottom="0" percent="0" rank="0" text="" dxfId="127">
      <formula>OR($C49=0,$C49=2,$C49=3,$C49=4)</formula>
    </cfRule>
  </conditionalFormatting>
  <conditionalFormatting sqref="X46:X47">
    <cfRule type="expression" priority="108" aboveAverage="0" equalAverage="0" bottom="0" percent="0" rank="0" text="" dxfId="128">
      <formula>$C46=1</formula>
    </cfRule>
    <cfRule type="expression" priority="109" aboveAverage="0" equalAverage="0" bottom="0" percent="0" rank="0" text="" dxfId="129">
      <formula>OR($C46=0,$C46=2,$C46=3,$C46=4)</formula>
    </cfRule>
  </conditionalFormatting>
  <conditionalFormatting sqref="R46:R47">
    <cfRule type="beginsWith" priority="110" operator="beginsWith" aboveAverage="0" equalAverage="0" bottom="0" percent="0" rank="0" text="(" dxfId="130">
      <formula>LEFT(R46,LEN("("))="("</formula>
    </cfRule>
  </conditionalFormatting>
  <conditionalFormatting sqref="M46:M47">
    <cfRule type="cellIs" priority="111" operator="notEqual" aboveAverage="0" equalAverage="0" bottom="0" percent="0" rank="0" text="" dxfId="131">
      <formula>$N46</formula>
    </cfRule>
  </conditionalFormatting>
  <conditionalFormatting sqref="N46:O47 R46:R47 W46:W47">
    <cfRule type="expression" priority="112" aboveAverage="0" equalAverage="0" bottom="0" percent="0" rank="0" text="" dxfId="132">
      <formula>$C46=1</formula>
    </cfRule>
    <cfRule type="expression" priority="113" aboveAverage="0" equalAverage="0" bottom="0" percent="0" rank="0" text="" dxfId="133">
      <formula>OR($C46=0,$C46=2,$C46=3,$C46=4)</formula>
    </cfRule>
  </conditionalFormatting>
  <conditionalFormatting sqref="U46:V47">
    <cfRule type="expression" priority="114" aboveAverage="0" equalAverage="0" bottom="0" percent="0" rank="0" text="" dxfId="134">
      <formula>$C46=1</formula>
    </cfRule>
    <cfRule type="expression" priority="115" aboveAverage="0" equalAverage="0" bottom="0" percent="0" rank="0" text="" dxfId="135">
      <formula>OR($C46=0,$C46=2,$C46=3,$C46=4)</formula>
    </cfRule>
    <cfRule type="expression" priority="116" aboveAverage="0" equalAverage="0" bottom="0" percent="0" rank="0" text="" dxfId="136">
      <formula>AND(TIPOORCAMENTO="Licitado",$C46&lt;&gt;"L",$C46&lt;&gt;-1)</formula>
    </cfRule>
  </conditionalFormatting>
  <conditionalFormatting sqref="P46:Q47 S46:T47 Y46:Y47 AG46:AH47">
    <cfRule type="expression" priority="117" aboveAverage="0" equalAverage="0" bottom="0" percent="0" rank="0" text="" dxfId="137">
      <formula>$C46=1</formula>
    </cfRule>
    <cfRule type="expression" priority="118" aboveAverage="0" equalAverage="0" bottom="0" percent="0" rank="0" text="" dxfId="138">
      <formula>OR($C46=0,$C46=2,$C46=3,$C46=4)</formula>
    </cfRule>
  </conditionalFormatting>
  <conditionalFormatting sqref="X44">
    <cfRule type="expression" priority="119" aboveAverage="0" equalAverage="0" bottom="0" percent="0" rank="0" text="" dxfId="139">
      <formula>$C44=1</formula>
    </cfRule>
    <cfRule type="expression" priority="120" aboveAverage="0" equalAverage="0" bottom="0" percent="0" rank="0" text="" dxfId="140">
      <formula>OR($C44=0,$C44=2,$C44=3,$C44=4)</formula>
    </cfRule>
  </conditionalFormatting>
  <conditionalFormatting sqref="R44">
    <cfRule type="beginsWith" priority="121" operator="beginsWith" aboveAverage="0" equalAverage="0" bottom="0" percent="0" rank="0" text="(" dxfId="141">
      <formula>LEFT(R44,LEN("("))="("</formula>
    </cfRule>
  </conditionalFormatting>
  <conditionalFormatting sqref="M44">
    <cfRule type="cellIs" priority="122" operator="notEqual" aboveAverage="0" equalAverage="0" bottom="0" percent="0" rank="0" text="" dxfId="142">
      <formula>$N44</formula>
    </cfRule>
  </conditionalFormatting>
  <conditionalFormatting sqref="N44:O44 R44 W44">
    <cfRule type="expression" priority="123" aboveAverage="0" equalAverage="0" bottom="0" percent="0" rank="0" text="" dxfId="143">
      <formula>$C44=1</formula>
    </cfRule>
    <cfRule type="expression" priority="124" aboveAverage="0" equalAverage="0" bottom="0" percent="0" rank="0" text="" dxfId="144">
      <formula>OR($C44=0,$C44=2,$C44=3,$C44=4)</formula>
    </cfRule>
  </conditionalFormatting>
  <conditionalFormatting sqref="U44:V44">
    <cfRule type="expression" priority="125" aboveAverage="0" equalAverage="0" bottom="0" percent="0" rank="0" text="" dxfId="145">
      <formula>$C44=1</formula>
    </cfRule>
    <cfRule type="expression" priority="126" aboveAverage="0" equalAverage="0" bottom="0" percent="0" rank="0" text="" dxfId="146">
      <formula>OR($C44=0,$C44=2,$C44=3,$C44=4)</formula>
    </cfRule>
    <cfRule type="expression" priority="127" aboveAverage="0" equalAverage="0" bottom="0" percent="0" rank="0" text="" dxfId="147">
      <formula>AND(TIPOORCAMENTO="Licitado",$C44&lt;&gt;"L",$C44&lt;&gt;-1)</formula>
    </cfRule>
  </conditionalFormatting>
  <conditionalFormatting sqref="P44:Q44 S44:T44 Y44 AG44:AH44">
    <cfRule type="expression" priority="128" aboveAverage="0" equalAverage="0" bottom="0" percent="0" rank="0" text="" dxfId="148">
      <formula>$C44=1</formula>
    </cfRule>
    <cfRule type="expression" priority="129" aboveAverage="0" equalAverage="0" bottom="0" percent="0" rank="0" text="" dxfId="149">
      <formula>OR($C44=0,$C44=2,$C44=3,$C44=4)</formula>
    </cfRule>
  </conditionalFormatting>
  <conditionalFormatting sqref="X29">
    <cfRule type="expression" priority="130" aboveAverage="0" equalAverage="0" bottom="0" percent="0" rank="0" text="" dxfId="150">
      <formula>$C29=1</formula>
    </cfRule>
    <cfRule type="expression" priority="131" aboveAverage="0" equalAverage="0" bottom="0" percent="0" rank="0" text="" dxfId="151">
      <formula>OR($C29=0,$C29=2,$C29=3,$C29=4)</formula>
    </cfRule>
  </conditionalFormatting>
  <conditionalFormatting sqref="X28">
    <cfRule type="expression" priority="132" aboveAverage="0" equalAverage="0" bottom="0" percent="0" rank="0" text="" dxfId="152">
      <formula>$C28=1</formula>
    </cfRule>
    <cfRule type="expression" priority="133" aboveAverage="0" equalAverage="0" bottom="0" percent="0" rank="0" text="" dxfId="153">
      <formula>OR($C28=0,$C28=2,$C28=3,$C28=4)</formula>
    </cfRule>
  </conditionalFormatting>
  <conditionalFormatting sqref="X24">
    <cfRule type="expression" priority="134" aboveAverage="0" equalAverage="0" bottom="0" percent="0" rank="0" text="" dxfId="154">
      <formula>$C24=1</formula>
    </cfRule>
    <cfRule type="expression" priority="135" aboveAverage="0" equalAverage="0" bottom="0" percent="0" rank="0" text="" dxfId="155">
      <formula>OR($C24=0,$C24=2,$C24=3,$C24=4)</formula>
    </cfRule>
  </conditionalFormatting>
  <conditionalFormatting sqref="R24">
    <cfRule type="beginsWith" priority="136" operator="beginsWith" aboveAverage="0" equalAverage="0" bottom="0" percent="0" rank="0" text="(" dxfId="156">
      <formula>LEFT(R24,LEN("("))="("</formula>
    </cfRule>
  </conditionalFormatting>
  <conditionalFormatting sqref="M24">
    <cfRule type="cellIs" priority="137" operator="notEqual" aboveAverage="0" equalAverage="0" bottom="0" percent="0" rank="0" text="" dxfId="157">
      <formula>$N24</formula>
    </cfRule>
  </conditionalFormatting>
  <conditionalFormatting sqref="N24:O24 R24 W24">
    <cfRule type="expression" priority="138" aboveAverage="0" equalAverage="0" bottom="0" percent="0" rank="0" text="" dxfId="158">
      <formula>$C24=1</formula>
    </cfRule>
    <cfRule type="expression" priority="139" aboveAverage="0" equalAverage="0" bottom="0" percent="0" rank="0" text="" dxfId="159">
      <formula>OR($C24=0,$C24=2,$C24=3,$C24=4)</formula>
    </cfRule>
  </conditionalFormatting>
  <conditionalFormatting sqref="U24:V24">
    <cfRule type="expression" priority="140" aboveAverage="0" equalAverage="0" bottom="0" percent="0" rank="0" text="" dxfId="160">
      <formula>$C24=1</formula>
    </cfRule>
    <cfRule type="expression" priority="141" aboveAverage="0" equalAverage="0" bottom="0" percent="0" rank="0" text="" dxfId="161">
      <formula>OR($C24=0,$C24=2,$C24=3,$C24=4)</formula>
    </cfRule>
    <cfRule type="expression" priority="142" aboveAverage="0" equalAverage="0" bottom="0" percent="0" rank="0" text="" dxfId="162">
      <formula>AND(TIPOORCAMENTO="Licitado",$C24&lt;&gt;"L",$C24&lt;&gt;-1)</formula>
    </cfRule>
  </conditionalFormatting>
  <conditionalFormatting sqref="P24:Q24 S24:T24 Y24 AG24:AH24">
    <cfRule type="expression" priority="143" aboveAverage="0" equalAverage="0" bottom="0" percent="0" rank="0" text="" dxfId="163">
      <formula>$C24=1</formula>
    </cfRule>
    <cfRule type="expression" priority="144" aboveAverage="0" equalAverage="0" bottom="0" percent="0" rank="0" text="" dxfId="164">
      <formula>OR($C24=0,$C24=2,$C24=3,$C24=4)</formula>
    </cfRule>
  </conditionalFormatting>
  <conditionalFormatting sqref="X89:X97">
    <cfRule type="expression" priority="145" aboveAverage="0" equalAverage="0" bottom="0" percent="0" rank="0" text="" dxfId="165">
      <formula>$C89=1</formula>
    </cfRule>
    <cfRule type="expression" priority="146" aboveAverage="0" equalAverage="0" bottom="0" percent="0" rank="0" text="" dxfId="166">
      <formula>OR($C89=0,$C89=2,$C89=3,$C89=4)</formula>
    </cfRule>
  </conditionalFormatting>
  <conditionalFormatting sqref="R89:R97">
    <cfRule type="beginsWith" priority="147" operator="beginsWith" aboveAverage="0" equalAverage="0" bottom="0" percent="0" rank="0" text="(" dxfId="167">
      <formula>LEFT(R89,LEN("("))="("</formula>
    </cfRule>
  </conditionalFormatting>
  <conditionalFormatting sqref="M89:M97">
    <cfRule type="cellIs" priority="148" operator="notEqual" aboveAverage="0" equalAverage="0" bottom="0" percent="0" rank="0" text="" dxfId="168">
      <formula>$N89</formula>
    </cfRule>
  </conditionalFormatting>
  <conditionalFormatting sqref="N89:O97 R89:R97 W89:W97">
    <cfRule type="expression" priority="149" aboveAverage="0" equalAverage="0" bottom="0" percent="0" rank="0" text="" dxfId="169">
      <formula>$C89=1</formula>
    </cfRule>
    <cfRule type="expression" priority="150" aboveAverage="0" equalAverage="0" bottom="0" percent="0" rank="0" text="" dxfId="170">
      <formula>OR($C89=0,$C89=2,$C89=3,$C89=4)</formula>
    </cfRule>
  </conditionalFormatting>
  <conditionalFormatting sqref="U89:V97">
    <cfRule type="expression" priority="151" aboveAverage="0" equalAverage="0" bottom="0" percent="0" rank="0" text="" dxfId="171">
      <formula>$C89=1</formula>
    </cfRule>
    <cfRule type="expression" priority="152" aboveAverage="0" equalAverage="0" bottom="0" percent="0" rank="0" text="" dxfId="172">
      <formula>OR($C89=0,$C89=2,$C89=3,$C89=4)</formula>
    </cfRule>
    <cfRule type="expression" priority="153" aboveAverage="0" equalAverage="0" bottom="0" percent="0" rank="0" text="" dxfId="173">
      <formula>AND(TIPOORCAMENTO="Licitado",$C89&lt;&gt;"L",$C89&lt;&gt;-1)</formula>
    </cfRule>
  </conditionalFormatting>
  <conditionalFormatting sqref="P89:Q97 S89:T97 Y89:Y97 AG89:AH97">
    <cfRule type="expression" priority="154" aboveAverage="0" equalAverage="0" bottom="0" percent="0" rank="0" text="" dxfId="174">
      <formula>$C89=1</formula>
    </cfRule>
    <cfRule type="expression" priority="155" aboveAverage="0" equalAverage="0" bottom="0" percent="0" rank="0" text="" dxfId="175">
      <formula>OR($C89=0,$C89=2,$C89=3,$C89=4)</formula>
    </cfRule>
  </conditionalFormatting>
  <conditionalFormatting sqref="X74:X81">
    <cfRule type="expression" priority="156" aboveAverage="0" equalAverage="0" bottom="0" percent="0" rank="0" text="" dxfId="176">
      <formula>$C74=1</formula>
    </cfRule>
    <cfRule type="expression" priority="157" aboveAverage="0" equalAverage="0" bottom="0" percent="0" rank="0" text="" dxfId="177">
      <formula>OR($C74=0,$C74=2,$C74=3,$C74=4)</formula>
    </cfRule>
  </conditionalFormatting>
  <conditionalFormatting sqref="R74:R81">
    <cfRule type="beginsWith" priority="158" operator="beginsWith" aboveAverage="0" equalAverage="0" bottom="0" percent="0" rank="0" text="(" dxfId="178">
      <formula>LEFT(R74,LEN("("))="("</formula>
    </cfRule>
  </conditionalFormatting>
  <conditionalFormatting sqref="M74:M81">
    <cfRule type="cellIs" priority="159" operator="notEqual" aboveAverage="0" equalAverage="0" bottom="0" percent="0" rank="0" text="" dxfId="179">
      <formula>$N74</formula>
    </cfRule>
  </conditionalFormatting>
  <conditionalFormatting sqref="N74:O81 R74:R81 W74:W81">
    <cfRule type="expression" priority="160" aboveAverage="0" equalAverage="0" bottom="0" percent="0" rank="0" text="" dxfId="180">
      <formula>$C74=1</formula>
    </cfRule>
    <cfRule type="expression" priority="161" aboveAverage="0" equalAverage="0" bottom="0" percent="0" rank="0" text="" dxfId="181">
      <formula>OR($C74=0,$C74=2,$C74=3,$C74=4)</formula>
    </cfRule>
  </conditionalFormatting>
  <conditionalFormatting sqref="U74:V81">
    <cfRule type="expression" priority="162" aboveAverage="0" equalAverage="0" bottom="0" percent="0" rank="0" text="" dxfId="182">
      <formula>$C74=1</formula>
    </cfRule>
    <cfRule type="expression" priority="163" aboveAverage="0" equalAverage="0" bottom="0" percent="0" rank="0" text="" dxfId="183">
      <formula>OR($C74=0,$C74=2,$C74=3,$C74=4)</formula>
    </cfRule>
    <cfRule type="expression" priority="164" aboveAverage="0" equalAverage="0" bottom="0" percent="0" rank="0" text="" dxfId="184">
      <formula>AND(TIPOORCAMENTO="Licitado",$C74&lt;&gt;"L",$C74&lt;&gt;-1)</formula>
    </cfRule>
  </conditionalFormatting>
  <conditionalFormatting sqref="P74:Q81 S74:T81 Y74:Y81 AG74:AH81">
    <cfRule type="expression" priority="165" aboveAverage="0" equalAverage="0" bottom="0" percent="0" rank="0" text="" dxfId="185">
      <formula>$C74=1</formula>
    </cfRule>
    <cfRule type="expression" priority="166" aboveAverage="0" equalAverage="0" bottom="0" percent="0" rank="0" text="" dxfId="186">
      <formula>OR($C74=0,$C74=2,$C74=3,$C74=4)</formula>
    </cfRule>
  </conditionalFormatting>
  <conditionalFormatting sqref="X56 X65">
    <cfRule type="expression" priority="167" aboveAverage="0" equalAverage="0" bottom="0" percent="0" rank="0" text="" dxfId="187">
      <formula>$C56=1</formula>
    </cfRule>
    <cfRule type="expression" priority="168" aboveAverage="0" equalAverage="0" bottom="0" percent="0" rank="0" text="" dxfId="188">
      <formula>OR($C56=0,$C56=2,$C56=3,$C56=4)</formula>
    </cfRule>
  </conditionalFormatting>
  <conditionalFormatting sqref="R56 R58:R59 R65">
    <cfRule type="beginsWith" priority="169" operator="beginsWith" aboveAverage="0" equalAverage="0" bottom="0" percent="0" rank="0" text="(" dxfId="189">
      <formula>LEFT(R56,LEN("("))="("</formula>
    </cfRule>
  </conditionalFormatting>
  <conditionalFormatting sqref="M56 M65">
    <cfRule type="cellIs" priority="170" operator="notEqual" aboveAverage="0" equalAverage="0" bottom="0" percent="0" rank="0" text="" dxfId="190">
      <formula>$N56</formula>
    </cfRule>
  </conditionalFormatting>
  <conditionalFormatting sqref="W56 R56 N56:O56 N65:O65 R65 W65">
    <cfRule type="expression" priority="171" aboveAverage="0" equalAverage="0" bottom="0" percent="0" rank="0" text="" dxfId="191">
      <formula>$C56=1</formula>
    </cfRule>
    <cfRule type="expression" priority="172" aboveAverage="0" equalAverage="0" bottom="0" percent="0" rank="0" text="" dxfId="192">
      <formula>OR($C56=0,$C56=2,$C56=3,$C56=4)</formula>
    </cfRule>
  </conditionalFormatting>
  <conditionalFormatting sqref="U56:V56 U65:V65">
    <cfRule type="expression" priority="173" aboveAverage="0" equalAverage="0" bottom="0" percent="0" rank="0" text="" dxfId="193">
      <formula>$C56=1</formula>
    </cfRule>
    <cfRule type="expression" priority="174" aboveAverage="0" equalAverage="0" bottom="0" percent="0" rank="0" text="" dxfId="194">
      <formula>OR($C56=0,$C56=2,$C56=3,$C56=4)</formula>
    </cfRule>
    <cfRule type="expression" priority="175" aboveAverage="0" equalAverage="0" bottom="0" percent="0" rank="0" text="" dxfId="195">
      <formula>AND(TIPOORCAMENTO="Licitado",$C56&lt;&gt;"L",$C56&lt;&gt;-1)</formula>
    </cfRule>
  </conditionalFormatting>
  <conditionalFormatting sqref="AG56:AH56 Y56 S56:T56 P56:Q56 P65:Q65 S65:T65 Y65 AG65:AH65">
    <cfRule type="expression" priority="176" aboveAverage="0" equalAverage="0" bottom="0" percent="0" rank="0" text="" dxfId="196">
      <formula>$C56=1</formula>
    </cfRule>
    <cfRule type="expression" priority="177" aboveAverage="0" equalAverage="0" bottom="0" percent="0" rank="0" text="" dxfId="197">
      <formula>OR($C56=0,$C56=2,$C56=3,$C56=4)</formula>
    </cfRule>
  </conditionalFormatting>
  <conditionalFormatting sqref="X48 X50 X52">
    <cfRule type="expression" priority="178" aboveAverage="0" equalAverage="0" bottom="0" percent="0" rank="0" text="" dxfId="198">
      <formula>$C48=1</formula>
    </cfRule>
    <cfRule type="expression" priority="179" aboveAverage="0" equalAverage="0" bottom="0" percent="0" rank="0" text="" dxfId="199">
      <formula>OR($C48=0,$C48=2,$C48=3,$C48=4)</formula>
    </cfRule>
  </conditionalFormatting>
  <conditionalFormatting sqref="R48 R50 R52">
    <cfRule type="beginsWith" priority="180" operator="beginsWith" aboveAverage="0" equalAverage="0" bottom="0" percent="0" rank="0" text="(" dxfId="200">
      <formula>LEFT(R48,LEN("("))="("</formula>
    </cfRule>
  </conditionalFormatting>
  <conditionalFormatting sqref="M48 M50 M52">
    <cfRule type="cellIs" priority="181" operator="notEqual" aboveAverage="0" equalAverage="0" bottom="0" percent="0" rank="0" text="" dxfId="201">
      <formula>$N48</formula>
    </cfRule>
  </conditionalFormatting>
  <conditionalFormatting sqref="W48 R48 N48:O48 N50:O50 R50 W50 W52 R52 N52:O52">
    <cfRule type="expression" priority="182" aboveAverage="0" equalAverage="0" bottom="0" percent="0" rank="0" text="" dxfId="202">
      <formula>$C48=1</formula>
    </cfRule>
    <cfRule type="expression" priority="183" aboveAverage="0" equalAverage="0" bottom="0" percent="0" rank="0" text="" dxfId="203">
      <formula>OR($C48=0,$C48=2,$C48=3,$C48=4)</formula>
    </cfRule>
  </conditionalFormatting>
  <conditionalFormatting sqref="U48:V48 U50:V50 U52:V52">
    <cfRule type="expression" priority="184" aboveAverage="0" equalAverage="0" bottom="0" percent="0" rank="0" text="" dxfId="204">
      <formula>$C48=1</formula>
    </cfRule>
    <cfRule type="expression" priority="185" aboveAverage="0" equalAverage="0" bottom="0" percent="0" rank="0" text="" dxfId="205">
      <formula>OR($C48=0,$C48=2,$C48=3,$C48=4)</formula>
    </cfRule>
    <cfRule type="expression" priority="186" aboveAverage="0" equalAverage="0" bottom="0" percent="0" rank="0" text="" dxfId="206">
      <formula>AND(TIPOORCAMENTO="Licitado",$C48&lt;&gt;"L",$C48&lt;&gt;-1)</formula>
    </cfRule>
  </conditionalFormatting>
  <conditionalFormatting sqref="AG48:AH48 Y48 S48:T48 P48:Q48 P50:Q50 S50:T50 Y50 AG50:AH50 AG52:AH52 Y52 S52:T52 P52:Q52">
    <cfRule type="expression" priority="187" aboveAverage="0" equalAverage="0" bottom="0" percent="0" rank="0" text="" dxfId="207">
      <formula>$C48=1</formula>
    </cfRule>
    <cfRule type="expression" priority="188" aboveAverage="0" equalAverage="0" bottom="0" percent="0" rank="0" text="" dxfId="208">
      <formula>OR($C48=0,$C48=2,$C48=3,$C48=4)</formula>
    </cfRule>
  </conditionalFormatting>
  <conditionalFormatting sqref="X16:X22">
    <cfRule type="expression" priority="189" aboveAverage="0" equalAverage="0" bottom="0" percent="0" rank="0" text="" dxfId="209">
      <formula>$C16=1</formula>
    </cfRule>
    <cfRule type="expression" priority="190" aboveAverage="0" equalAverage="0" bottom="0" percent="0" rank="0" text="" dxfId="210">
      <formula>OR($C16=0,$C16=2,$C16=3,$C16=4)</formula>
    </cfRule>
  </conditionalFormatting>
  <conditionalFormatting sqref="R16:R22">
    <cfRule type="beginsWith" priority="191" operator="beginsWith" aboveAverage="0" equalAverage="0" bottom="0" percent="0" rank="0" text="(" dxfId="211">
      <formula>LEFT(R16,LEN("("))="("</formula>
    </cfRule>
  </conditionalFormatting>
  <conditionalFormatting sqref="M16:M22">
    <cfRule type="cellIs" priority="192" operator="notEqual" aboveAverage="0" equalAverage="0" bottom="0" percent="0" rank="0" text="" dxfId="212">
      <formula>$N16</formula>
    </cfRule>
  </conditionalFormatting>
  <conditionalFormatting sqref="N16:O22 R16:R22 W16:W22">
    <cfRule type="expression" priority="193" aboveAverage="0" equalAverage="0" bottom="0" percent="0" rank="0" text="" dxfId="213">
      <formula>$C16=1</formula>
    </cfRule>
    <cfRule type="expression" priority="194" aboveAverage="0" equalAverage="0" bottom="0" percent="0" rank="0" text="" dxfId="214">
      <formula>OR($C16=0,$C16=2,$C16=3,$C16=4)</formula>
    </cfRule>
  </conditionalFormatting>
  <conditionalFormatting sqref="U16:V22">
    <cfRule type="expression" priority="195" aboveAverage="0" equalAverage="0" bottom="0" percent="0" rank="0" text="" dxfId="215">
      <formula>$C16=1</formula>
    </cfRule>
    <cfRule type="expression" priority="196" aboveAverage="0" equalAverage="0" bottom="0" percent="0" rank="0" text="" dxfId="216">
      <formula>OR($C16=0,$C16=2,$C16=3,$C16=4)</formula>
    </cfRule>
    <cfRule type="expression" priority="197" aboveAverage="0" equalAverage="0" bottom="0" percent="0" rank="0" text="" dxfId="217">
      <formula>AND(TIPOORCAMENTO="Licitado",$C16&lt;&gt;"L",$C16&lt;&gt;-1)</formula>
    </cfRule>
  </conditionalFormatting>
  <conditionalFormatting sqref="P16:Q22 S16:T22 Y16:Y22 AG16:AH22">
    <cfRule type="expression" priority="198" aboveAverage="0" equalAverage="0" bottom="0" percent="0" rank="0" text="" dxfId="218">
      <formula>$C16=1</formula>
    </cfRule>
    <cfRule type="expression" priority="199" aboveAverage="0" equalAverage="0" bottom="0" percent="0" rank="0" text="" dxfId="219">
      <formula>OR($C16=0,$C16=2,$C16=3,$C16=4)</formula>
    </cfRule>
  </conditionalFormatting>
  <conditionalFormatting sqref="AC11">
    <cfRule type="cellIs" priority="200" operator="equal" aboveAverage="0" equalAverage="0" bottom="0" percent="0" rank="0" text="" dxfId="220">
      <formula>"OK"</formula>
    </cfRule>
  </conditionalFormatting>
  <conditionalFormatting sqref="X14">
    <cfRule type="expression" priority="201" aboveAverage="0" equalAverage="0" bottom="0" percent="0" rank="0" text="" dxfId="221">
      <formula>$C14=1</formula>
    </cfRule>
    <cfRule type="expression" priority="202" aboveAverage="0" equalAverage="0" bottom="0" percent="0" rank="0" text="" dxfId="222">
      <formula>OR($C14=0,$C14=2,$C14=3,$C14=4)</formula>
    </cfRule>
  </conditionalFormatting>
  <conditionalFormatting sqref="R14 R53:R54 R61:R64 R66:R73 R82:R88 R98:R204 R25:R43">
    <cfRule type="beginsWith" priority="203" operator="beginsWith" aboveAverage="0" equalAverage="0" bottom="0" percent="0" rank="0" text="(" dxfId="223">
      <formula>LEFT(R14,LEN("("))="("</formula>
    </cfRule>
  </conditionalFormatting>
  <conditionalFormatting sqref="S9:V9">
    <cfRule type="expression" priority="204" aboveAverage="0" equalAverage="0" bottom="0" percent="0" rank="0" text="" dxfId="224">
      <formula>TIPOORCAMENTO="Proposto"</formula>
    </cfRule>
  </conditionalFormatting>
  <conditionalFormatting sqref="M14 M53:M55 M58:M59 M61:M64 M66:M73 M82:M88 M98:M204 M25:M43">
    <cfRule type="cellIs" priority="205" operator="notEqual" aboveAverage="0" equalAverage="0" bottom="0" percent="0" rank="0" text="" dxfId="225">
      <formula>$N14</formula>
    </cfRule>
  </conditionalFormatting>
  <conditionalFormatting sqref="N14:O14 R14 W14 W27:X27 W28:W29 W68:X73 X199:X204 N53:O55 R53:R55 W53:X55 W30:X34 N58:O59 R58:R59 W58:X59 N61:O64 R61:R64 W61:X64 N66:O73 R66:R73 W66:W67 W98:X111 X128:X136 X139:X145 X148 X112:X125 N82:O88 R82:R88 W82:X88 N98:O204 R98:R204 W112:W204 X180:X187 W25:W26 W37:X42 W35:W36 N25:O43 R25:R43 W43">
    <cfRule type="expression" priority="206" aboveAverage="0" equalAverage="0" bottom="0" percent="0" rank="0" text="" dxfId="226">
      <formula>$C14=1</formula>
    </cfRule>
    <cfRule type="expression" priority="207" aboveAverage="0" equalAverage="0" bottom="0" percent="0" rank="0" text="" dxfId="227">
      <formula>OR($C14=0,$C14=2,$C14=3,$C14=4)</formula>
    </cfRule>
  </conditionalFormatting>
  <conditionalFormatting sqref="U14:V14 U68:V73 U53:V55 U58:V59 U61:V64 U82:V88 U98:V204 U27:V43">
    <cfRule type="expression" priority="208" aboveAverage="0" equalAverage="0" bottom="0" percent="0" rank="0" text="" dxfId="228">
      <formula>$C14=1</formula>
    </cfRule>
    <cfRule type="expression" priority="209" aboveAverage="0" equalAverage="0" bottom="0" percent="0" rank="0" text="" dxfId="229">
      <formula>OR($C14=0,$C14=2,$C14=3,$C14=4)</formula>
    </cfRule>
    <cfRule type="expression" priority="210" aboveAverage="0" equalAverage="0" bottom="0" percent="0" rank="0" text="" dxfId="230">
      <formula>AND(TIPOORCAMENTO="Licitado",$C14&lt;&gt;"L",$C14&lt;&gt;-1)</formula>
    </cfRule>
  </conditionalFormatting>
  <conditionalFormatting sqref="P14:Q14 S14:T14 Y14 AG14:AH14 P53:Q55 S53:T55 Y53:Y55 AG53:AH55 P58:Q59 S58:T59 Y58:Y59 AG58:AH59 P61:Q64 S61:T64 Y61:Y64 AG61:AH64 P66:Q73 S66:T73 Y66:Y73 AG66:AH73 P82:Q88 S82:T88 Y82:Y88 AG82:AH88 P98:Q204 S98:T204 Y98:Y204 AG98:AH204 P25:Q43 S25:T43 Y25:Y43 AG25:AH43">
    <cfRule type="expression" priority="211" aboveAverage="0" equalAverage="0" bottom="0" percent="0" rank="0" text="" dxfId="231">
      <formula>$C14=1</formula>
    </cfRule>
    <cfRule type="expression" priority="212" aboveAverage="0" equalAverage="0" bottom="0" percent="0" rank="0" text="" dxfId="232">
      <formula>OR($C14=0,$C14=2,$C14=3,$C14=4)</formula>
    </cfRule>
  </conditionalFormatting>
  <conditionalFormatting sqref="AJ7:AJ205">
    <cfRule type="expression" priority="213" aboveAverage="0" equalAverage="0" bottom="0" percent="0" rank="0" text="" dxfId="233">
      <formula>OR(ACOMPANHAMENTO&lt;&gt;"BM",TIPOORCAMENTO="Licitado")</formula>
    </cfRule>
    <cfRule type="expression" priority="214" aboveAverage="0" equalAverage="0" bottom="0" percent="0" rank="0" text="" dxfId="234">
      <formula>$C7=1</formula>
    </cfRule>
    <cfRule type="expression" priority="215" aboveAverage="0" equalAverage="0" bottom="0" percent="0" rank="0" text="" dxfId="235">
      <formula>OR(AND(ISNUMBER($C7),$C7=0),$C7=2,$C7=3,$C7=4)</formula>
    </cfRule>
  </conditionalFormatting>
  <conditionalFormatting sqref="AL7:AL205">
    <cfRule type="expression" priority="216" aboveAverage="0" equalAverage="0" bottom="0" percent="0" rank="0" text="" dxfId="236">
      <formula>TIPOORCAMENTO="PROPOSTO"</formula>
    </cfRule>
    <cfRule type="expression" priority="217" aboveAverage="0" equalAverage="0" bottom="0" percent="0" rank="0" text="" dxfId="237">
      <formula>$C7=1</formula>
    </cfRule>
    <cfRule type="expression" priority="218" aboveAverage="0" equalAverage="0" bottom="0" percent="0" rank="0" text="" dxfId="238">
      <formula>OR(AND(ISNUMBER($C7),$C7=0),$C7=2,$C7=3,$C7=4)</formula>
    </cfRule>
  </conditionalFormatting>
  <conditionalFormatting sqref="AM7:AN205">
    <cfRule type="expression" priority="219" aboveAverage="0" equalAverage="0" bottom="0" percent="0" rank="0" text="" dxfId="239">
      <formula>TIPOORCAMENTO="PROPOSTO"</formula>
    </cfRule>
    <cfRule type="expression" priority="220" aboveAverage="0" equalAverage="0" bottom="0" percent="0" rank="0" text="" dxfId="240">
      <formula>$C7=1</formula>
    </cfRule>
    <cfRule type="expression" priority="221" aboveAverage="0" equalAverage="0" bottom="0" percent="0" rank="0" text="" dxfId="241">
      <formula>OR(AND(ISNUMBER($C7),$C7=0),$C7=2,$C7=3,$C7=4)</formula>
    </cfRule>
  </conditionalFormatting>
  <conditionalFormatting sqref="O8:P8">
    <cfRule type="expression" priority="222" aboveAverage="0" equalAverage="0" bottom="0" percent="0" rank="0" text="" dxfId="242">
      <formula>ISERROR(INDIRECT($F$9))</formula>
    </cfRule>
  </conditionalFormatting>
  <conditionalFormatting sqref="S7:V8">
    <cfRule type="expression" priority="223" aboveAverage="0" equalAverage="0" bottom="0" percent="0" rank="0" text="" dxfId="243">
      <formula>TIPOORCAMENTO="Proposto"</formula>
    </cfRule>
  </conditionalFormatting>
  <dataValidations count="8">
    <dataValidation allowBlank="true" error="Apenas números decimais maiores que zero." errorStyle="stop" operator="greaterThan" showDropDown="false" showErrorMessage="true" showInputMessage="false" sqref="U14 AJ14 AL14 U16:U204 AJ16:AJ204 AL16:AL204" type="decimal">
      <formula1>0</formula1>
      <formula2>0</formula2>
    </dataValidation>
    <dataValidation allowBlank="true" errorStyle="stop" operator="between" showDropDown="false" showErrorMessage="false" showInputMessage="false" sqref="P14 P16:P204" type="list">
      <formula1>"SINAPI,SINAPI-I,SICRO,Composição,Cotação"</formula1>
      <formula2>0</formula2>
    </dataValidation>
    <dataValidation allowBlank="true" error="Selecione um dos 3 BDI da lista.&#10;&#10;Caso tenha mais de 3 BDI nesta Planilha Orçamentária digite apenas valor percentual." errorStyle="warning" errorTitle="Aviso BDI" operator="between" prompt="RA: Rateio proporcional entre Repasse e Contrapartida.&#10;RP: 100% Repasse&#10;CP: 100% Contrapartida&#10;OU: 100% Outros." promptTitle="Legenda:" showDropDown="false" showErrorMessage="true" showInputMessage="true" sqref="Y14 Y16:Y204" type="list">
      <formula1>"RA,RP,CP,OU"</formula1>
      <formula2>0</formula2>
    </dataValidation>
    <dataValidation allowBlank="false" error="Selecione somente os itens da lista." errorStyle="stop" errorTitle="Erro de Entrada" operator="between" prompt="Selecione na lista o nível de itemização da Planilha." promptTitle="Nível:" showDropDown="false" showErrorMessage="true" showInputMessage="false" sqref="M14 M16:M204" type="list">
      <formula1>"Meta,Nível 2,Nível 3,Nível 4,Serviço"</formula1>
      <formula2>0</formula2>
    </dataValidation>
    <dataValidation allowBlank="true" errorStyle="stop" operator="between" prompt="A entrada de quantidades é feita na coluna AJ se acompanhamento por BM, ou na aba &quot;Memória de Cálculo/PLQ&quot; se acompanhamento por PLE." showDropDown="false" showErrorMessage="true" showInputMessage="true" sqref="T14 T16:T204" type="none">
      <formula1>0</formula1>
      <formula2>0</formula2>
    </dataValidation>
    <dataValidation allowBlank="true" errorStyle="stop" operator="between" prompt="Para Orçamento Proposto, o Preço Unitário é resultado do produto do Custo Unitário pelo BDI.&#10;Para Orçamento Licitado, deve ser preenchido na Coluna AL." showDropDown="false" showErrorMessage="true" showInputMessage="true" sqref="W14 W16:W204" type="none">
      <formula1>0</formula1>
      <formula2>0</formula2>
    </dataValidation>
    <dataValidation allowBlank="true" errorStyle="information" operator="between" prompt="Selecione uma sigla de unidade na lista suspensa." showDropDown="false" showErrorMessage="false" showInputMessage="true" sqref="S14 S16:S204" type="list">
      <formula1>ListaTgov.Unidades</formula1>
      <formula2>0</formula2>
    </dataValidation>
    <dataValidation allowBlank="true" error="Selecione um dos 3 BDI da lista.&#10;&#10;Caso tenha mais de 3 BDI nesta Planilha Orçamentária digite apenas valor percentual." errorStyle="warning" errorTitle="Aviso BDI" operator="between" showDropDown="false" showErrorMessage="true" showInputMessage="false" sqref="V14 V16:V204" type="list">
      <formula1>"BDI 1; BDI 2; BDI 3; 0,00%"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&amp;LPMv3.12&amp;R&amp;P / &amp;N</oddFooter>
  </headerFooter>
  <colBreaks count="1" manualBreakCount="1">
    <brk id="25" man="true" max="65535" min="0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4" name=" ">
              <controlPr defaultSize="0" locked="1" autoFill="0" autoLine="0" autoPict="0" print="true" altText="CaixaArredQuant">
                <anchor moveWithCells="true" sizeWithCells="false">
                  <from>
                    <xdr:col>3</xdr:col>
                    <xdr:colOff>9115560</xdr:colOff>
                    <xdr:row>6</xdr:row>
                    <xdr:rowOff>122760</xdr:rowOff>
                  </from>
                  <to>
                    <xdr:col>4</xdr:col>
                    <xdr:colOff>358200</xdr:colOff>
                    <xdr:row>8</xdr:row>
                    <xdr:rowOff>10440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" r:id="rId5" name=" ">
              <controlPr defaultSize="0" locked="1" autoFill="0" autoLine="0" autoPict="0" print="true" altText="CaixaArredCustoUnit">
                <anchor moveWithCells="true" sizeWithCells="false">
                  <from>
                    <xdr:col>20</xdr:col>
                    <xdr:colOff>447480</xdr:colOff>
                    <xdr:row>9</xdr:row>
                    <xdr:rowOff>76320</xdr:rowOff>
                  </from>
                  <to>
                    <xdr:col>21</xdr:col>
                    <xdr:colOff>-152640</xdr:colOff>
                    <xdr:row>10</xdr:row>
                    <xdr:rowOff>152640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" r:id="rId6" name=" ">
              <controlPr defaultSize="0" locked="1" autoFill="0" autoLine="0" autoPict="0" print="true" altText="CaixaArredBDI">
                <anchor moveWithCells="true" sizeWithCells="false">
                  <from>
                    <xdr:col>21</xdr:col>
                    <xdr:colOff>295200</xdr:colOff>
                    <xdr:row>9</xdr:row>
                    <xdr:rowOff>76320</xdr:rowOff>
                  </from>
                  <to>
                    <xdr:col>22</xdr:col>
                    <xdr:colOff>-28440</xdr:colOff>
                    <xdr:row>10</xdr:row>
                    <xdr:rowOff>152640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" r:id="rId7" name=" ">
              <controlPr defaultSize="0" locked="1" autoFill="0" autoLine="0" autoPict="0" print="true" altText="CaixaArredPrecoUnit">
                <anchor moveWithCells="true" sizeWithCells="false">
                  <from>
                    <xdr:col>22</xdr:col>
                    <xdr:colOff>371520</xdr:colOff>
                    <xdr:row>9</xdr:row>
                    <xdr:rowOff>76320</xdr:rowOff>
                  </from>
                  <to>
                    <xdr:col>23</xdr:col>
                    <xdr:colOff>-237960</xdr:colOff>
                    <xdr:row>10</xdr:row>
                    <xdr:rowOff>152640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" r:id="rId8" name=" ">
              <controlPr defaultSize="0" locked="1" autoFill="0" autoLine="0" autoPict="0" print="true" altText="CaixaArredPrecoTotal">
                <anchor moveWithCells="true" sizeWithCells="false">
                  <from>
                    <xdr:col>23</xdr:col>
                    <xdr:colOff>447480</xdr:colOff>
                    <xdr:row>9</xdr:row>
                    <xdr:rowOff>57240</xdr:rowOff>
                  </from>
                  <to>
                    <xdr:col>24</xdr:col>
                    <xdr:colOff>-219240</xdr:colOff>
                    <xdr:row>10</xdr:row>
                    <xdr:rowOff>152640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J5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14" topLeftCell="E15" activePane="bottomRight" state="frozen"/>
      <selection pane="topLeft" activeCell="A1" activeCellId="0" sqref="A1"/>
      <selection pane="topRight" activeCell="E1" activeCellId="0" sqref="E1"/>
      <selection pane="bottomLeft" activeCell="A15" activeCellId="0" sqref="A15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259" width="3.57"/>
    <col collapsed="false" customWidth="true" hidden="true" outlineLevel="0" max="2" min="2" style="1" width="5.42"/>
    <col collapsed="false" customWidth="true" hidden="false" outlineLevel="0" max="3" min="3" style="1" width="12.57"/>
    <col collapsed="false" customWidth="true" hidden="false" outlineLevel="0" max="4" min="4" style="1" width="50.57"/>
    <col collapsed="false" customWidth="true" hidden="true" outlineLevel="0" max="5" min="5" style="1" width="14.57"/>
    <col collapsed="false" customWidth="true" hidden="false" outlineLevel="0" max="6" min="6" style="1" width="28.57"/>
    <col collapsed="false" customWidth="true" hidden="true" outlineLevel="0" max="7" min="7" style="1" width="14.57"/>
    <col collapsed="false" customWidth="true" hidden="false" outlineLevel="0" max="35" min="8" style="1" width="14.57"/>
    <col collapsed="false" customWidth="true" hidden="true" outlineLevel="0" max="36" min="36" style="1" width="14.57"/>
  </cols>
  <sheetData>
    <row r="1" customFormat="false" ht="12.75" hidden="true" customHeight="false" outlineLevel="0" collapsed="false">
      <c r="A1" s="259" t="str">
        <f aca="false">IF(D1="","","F")</f>
        <v/>
      </c>
      <c r="B1" s="38" t="e">
        <f aca="false">IF(OR(C1=" ",D1=""),"",CONCATENATE(C1,". ",D1))</f>
        <v>#VALUE!</v>
      </c>
      <c r="C1" s="260" t="e">
        <f aca="true" t="array" ref="C1:C1">IF(OR(ROW(C1)=ROW(EVENTOS.firstrow)+1,AND(OFFSET(C1,-1,0)&lt;&gt;" ",OFFSET(C1,-1,1)&lt;&gt;"")),OFFSET(C1,-1,0)+1," ")</f>
        <v>#VALUE!</v>
      </c>
      <c r="D1" s="261"/>
      <c r="E1" s="262" t="n">
        <f aca="true" t="array" ref="E1:E1">IF(AUTOEVENTO="Manual",ROUND(SUMPRODUCT((CÁLCULO!$M$15:$M$205=EVENTOS!$C1)*(OFFSET(CÁLCULO!$AQ$15:$AQ$205,0,E$13))),2),0)</f>
        <v>0</v>
      </c>
      <c r="F1" s="263" t="n">
        <f aca="true">IF(AUTOEVENTO="Manual",ROUND(SUMPRODUCT((CÁLCULO!$M$15:$M$205=EVENTOS!$C1)*(OFFSET(CÁLCULO!$AQ$15,0,1):OFFSET(CÁLCULO!$BR$205,0,-1))),2),0)</f>
        <v>0</v>
      </c>
      <c r="G1" s="264" t="str">
        <f aca="false">IF(AND(D1=0,F1&gt;0),"NOME",
 IF(AND(D1&lt;&gt;0,$F$14&gt;0,F1=0),"VALOR",
 IF(AND(Import.TipoArredondamento="TransfereGOV",$A1="F",LEN(D1)&gt;100),"Nome &gt;100","")))</f>
        <v/>
      </c>
      <c r="H1" s="262" t="n">
        <f aca="true" t="array" ref="H1:H1">IF(AUTOEVENTO="Manual",ROUND(SUMPRODUCT((CÁLCULO!$M$15:$M$205=EVENTOS!$C1)*(OFFSET(CÁLCULO!$AQ$15:$AQ$205,0,H$13))),2),0)</f>
        <v>0</v>
      </c>
      <c r="I1" s="262" t="n">
        <f aca="true" t="array" ref="I1:I1">IF(AUTOEVENTO="Manual",ROUND(SUMPRODUCT((CÁLCULO!$M$15:$M$205=EVENTOS!$C1)*(OFFSET(CÁLCULO!$AQ$15:$AQ$205,0,I$13))),2),0)</f>
        <v>0</v>
      </c>
      <c r="J1" s="262" t="n">
        <f aca="true" t="array" ref="J1:J1">IF(AUTOEVENTO="Manual",ROUND(SUMPRODUCT((CÁLCULO!$M$15:$M$205=EVENTOS!$C1)*(OFFSET(CÁLCULO!$AQ$15:$AQ$205,0,J$13))),2),0)</f>
        <v>0</v>
      </c>
      <c r="K1" s="262" t="n">
        <f aca="true" t="array" ref="K1:K1">IF(AUTOEVENTO="Manual",ROUND(SUMPRODUCT((CÁLCULO!$M$15:$M$205=EVENTOS!$C1)*(OFFSET(CÁLCULO!$AQ$15:$AQ$205,0,K$13))),2),0)</f>
        <v>0</v>
      </c>
      <c r="L1" s="262" t="n">
        <f aca="true" t="array" ref="L1:L1">IF(AUTOEVENTO="Manual",ROUND(SUMPRODUCT((CÁLCULO!$M$15:$M$205=EVENTOS!$C1)*(OFFSET(CÁLCULO!$AQ$15:$AQ$205,0,L$13))),2),0)</f>
        <v>0</v>
      </c>
      <c r="M1" s="262" t="n">
        <f aca="true" t="array" ref="M1:M1">IF(AUTOEVENTO="Manual",ROUND(SUMPRODUCT((CÁLCULO!$M$15:$M$205=EVENTOS!$C1)*(OFFSET(CÁLCULO!$AQ$15:$AQ$205,0,M$13))),2),0)</f>
        <v>0</v>
      </c>
      <c r="N1" s="262" t="n">
        <f aca="true" t="array" ref="N1:N1">IF(AUTOEVENTO="Manual",ROUND(SUMPRODUCT((CÁLCULO!$M$15:$M$205=EVENTOS!$C1)*(OFFSET(CÁLCULO!$AQ$15:$AQ$205,0,N$13))),2),0)</f>
        <v>0</v>
      </c>
      <c r="O1" s="262" t="n">
        <f aca="true" t="array" ref="O1:O1">IF(AUTOEVENTO="Manual",ROUND(SUMPRODUCT((CÁLCULO!$M$15:$M$205=EVENTOS!$C1)*(OFFSET(CÁLCULO!$AQ$15:$AQ$205,0,O$13))),2),0)</f>
        <v>0</v>
      </c>
      <c r="P1" s="262" t="n">
        <f aca="true" t="array" ref="P1:P1">IF(AUTOEVENTO="Manual",ROUND(SUMPRODUCT((CÁLCULO!$M$15:$M$205=EVENTOS!$C1)*(OFFSET(CÁLCULO!$AQ$15:$AQ$205,0,P$13))),2),0)</f>
        <v>0</v>
      </c>
      <c r="Q1" s="262" t="n">
        <f aca="true" t="array" ref="Q1:Q1">IF(AUTOEVENTO="Manual",ROUND(SUMPRODUCT((CÁLCULO!$M$15:$M$205=EVENTOS!$C1)*(OFFSET(CÁLCULO!$AQ$15:$AQ$205,0,Q$13))),2),0)</f>
        <v>0</v>
      </c>
      <c r="R1" s="262" t="n">
        <f aca="true" t="array" ref="R1:R1">IF(AUTOEVENTO="Manual",ROUND(SUMPRODUCT((CÁLCULO!$M$15:$M$205=EVENTOS!$C1)*(OFFSET(CÁLCULO!$AQ$15:$AQ$205,0,R$13))),2),0)</f>
        <v>0</v>
      </c>
      <c r="S1" s="262" t="n">
        <f aca="true" t="array" ref="S1:S1">IF(AUTOEVENTO="Manual",ROUND(SUMPRODUCT((CÁLCULO!$M$15:$M$205=EVENTOS!$C1)*(OFFSET(CÁLCULO!$AQ$15:$AQ$205,0,S$13))),2),0)</f>
        <v>0</v>
      </c>
      <c r="T1" s="262" t="n">
        <f aca="true" t="array" ref="T1:T1">IF(AUTOEVENTO="Manual",ROUND(SUMPRODUCT((CÁLCULO!$M$15:$M$205=EVENTOS!$C1)*(OFFSET(CÁLCULO!$AQ$15:$AQ$205,0,T$13))),2),0)</f>
        <v>0</v>
      </c>
      <c r="U1" s="262" t="n">
        <f aca="true" t="array" ref="U1:U1">IF(AUTOEVENTO="Manual",ROUND(SUMPRODUCT((CÁLCULO!$M$15:$M$205=EVENTOS!$C1)*(OFFSET(CÁLCULO!$AQ$15:$AQ$205,0,U$13))),2),0)</f>
        <v>0</v>
      </c>
      <c r="V1" s="262" t="n">
        <f aca="true" t="array" ref="V1:V1">IF(AUTOEVENTO="Manual",ROUND(SUMPRODUCT((CÁLCULO!$M$15:$M$205=EVENTOS!$C1)*(OFFSET(CÁLCULO!$AQ$15:$AQ$205,0,V$13))),2),0)</f>
        <v>0</v>
      </c>
      <c r="W1" s="262" t="n">
        <f aca="true" t="array" ref="W1:W1">IF(AUTOEVENTO="Manual",ROUND(SUMPRODUCT((CÁLCULO!$M$15:$M$205=EVENTOS!$C1)*(OFFSET(CÁLCULO!$AQ$15:$AQ$205,0,W$13))),2),0)</f>
        <v>0</v>
      </c>
      <c r="X1" s="262" t="n">
        <f aca="true" t="array" ref="X1:X1">IF(AUTOEVENTO="Manual",ROUND(SUMPRODUCT((CÁLCULO!$M$15:$M$205=EVENTOS!$C1)*(OFFSET(CÁLCULO!$AQ$15:$AQ$205,0,X$13))),2),0)</f>
        <v>0</v>
      </c>
      <c r="Y1" s="262" t="n">
        <f aca="true" t="array" ref="Y1:Y1">IF(AUTOEVENTO="Manual",ROUND(SUMPRODUCT((CÁLCULO!$M$15:$M$205=EVENTOS!$C1)*(OFFSET(CÁLCULO!$AQ$15:$AQ$205,0,Y$13))),2),0)</f>
        <v>0</v>
      </c>
      <c r="Z1" s="262" t="n">
        <f aca="true" t="array" ref="Z1:Z1">IF(AUTOEVENTO="Manual",ROUND(SUMPRODUCT((CÁLCULO!$M$15:$M$205=EVENTOS!$C1)*(OFFSET(CÁLCULO!$AQ$15:$AQ$205,0,Z$13))),2),0)</f>
        <v>0</v>
      </c>
      <c r="AA1" s="262" t="n">
        <f aca="true" t="array" ref="AA1:AA1">IF(AUTOEVENTO="Manual",ROUND(SUMPRODUCT((CÁLCULO!$M$15:$M$205=EVENTOS!$C1)*(OFFSET(CÁLCULO!$AQ$15:$AQ$205,0,AA$13))),2),0)</f>
        <v>0</v>
      </c>
      <c r="AB1" s="262" t="n">
        <f aca="true" t="array" ref="AB1:AB1">IF(AUTOEVENTO="Manual",ROUND(SUMPRODUCT((CÁLCULO!$M$15:$M$205=EVENTOS!$C1)*(OFFSET(CÁLCULO!$AQ$15:$AQ$205,0,AB$13))),2),0)</f>
        <v>0</v>
      </c>
      <c r="AC1" s="262" t="n">
        <f aca="true" t="array" ref="AC1:AC1">IF(AUTOEVENTO="Manual",ROUND(SUMPRODUCT((CÁLCULO!$M$15:$M$205=EVENTOS!$C1)*(OFFSET(CÁLCULO!$AQ$15:$AQ$205,0,AC$13))),2),0)</f>
        <v>0</v>
      </c>
      <c r="AD1" s="262" t="n">
        <f aca="true" t="array" ref="AD1:AD1">IF(AUTOEVENTO="Manual",ROUND(SUMPRODUCT((CÁLCULO!$M$15:$M$205=EVENTOS!$C1)*(OFFSET(CÁLCULO!$AQ$15:$AQ$205,0,AD$13))),2),0)</f>
        <v>0</v>
      </c>
      <c r="AE1" s="262" t="n">
        <f aca="true" t="array" ref="AE1:AE1">IF(AUTOEVENTO="Manual",ROUND(SUMPRODUCT((CÁLCULO!$M$15:$M$205=EVENTOS!$C1)*(OFFSET(CÁLCULO!$AQ$15:$AQ$205,0,AE$13))),2),0)</f>
        <v>0</v>
      </c>
      <c r="AF1" s="262" t="n">
        <f aca="true" t="array" ref="AF1:AF1">IF(AUTOEVENTO="Manual",ROUND(SUMPRODUCT((CÁLCULO!$M$15:$M$205=EVENTOS!$C1)*(OFFSET(CÁLCULO!$AQ$15:$AQ$205,0,AF$13))),2),0)</f>
        <v>0</v>
      </c>
      <c r="AG1" s="262" t="n">
        <f aca="true" t="array" ref="AG1:AG1">IF(AUTOEVENTO="Manual",ROUND(SUMPRODUCT((CÁLCULO!$M$15:$M$205=EVENTOS!$C1)*(OFFSET(CÁLCULO!$AQ$15:$AQ$205,0,AG$13))),2),0)</f>
        <v>0</v>
      </c>
      <c r="AH1" s="262" t="n">
        <f aca="true" t="array" ref="AH1:AH1">IF(AUTOEVENTO="Manual",ROUND(SUMPRODUCT((CÁLCULO!$M$15:$M$205=EVENTOS!$C1)*(OFFSET(CÁLCULO!$AQ$15:$AQ$205,0,AH$13))),2),0)</f>
        <v>0</v>
      </c>
      <c r="AI1" s="262" t="n">
        <f aca="true" t="array" ref="AI1:AI1">IF(AUTOEVENTO="Manual",ROUND(SUMPRODUCT((CÁLCULO!$M$15:$M$205=EVENTOS!$C1)*(OFFSET(CÁLCULO!$AQ$15:$AQ$205,0,AI$13))),2),0)</f>
        <v>0</v>
      </c>
    </row>
    <row r="2" customFormat="false" ht="30" hidden="false" customHeight="true" outlineLevel="0" collapsed="false">
      <c r="F2" s="158" t="s">
        <v>864</v>
      </c>
      <c r="O2" s="265" t="s">
        <v>865</v>
      </c>
      <c r="Y2" s="265" t="s">
        <v>865</v>
      </c>
      <c r="AI2" s="265" t="s">
        <v>865</v>
      </c>
    </row>
    <row r="4" customFormat="false" ht="12.75" hidden="false" customHeight="true" outlineLevel="0" collapsed="false">
      <c r="C4" s="103" t="s">
        <v>679</v>
      </c>
      <c r="D4" s="172"/>
      <c r="E4" s="150"/>
      <c r="F4" s="266" t="s">
        <v>866</v>
      </c>
      <c r="G4" s="150"/>
      <c r="H4" s="267"/>
      <c r="I4" s="267"/>
      <c r="J4" s="267"/>
      <c r="K4" s="267"/>
      <c r="L4" s="267"/>
      <c r="N4" s="103" t="s">
        <v>677</v>
      </c>
      <c r="O4" s="268" t="s">
        <v>737</v>
      </c>
      <c r="P4" s="266" t="s">
        <v>866</v>
      </c>
      <c r="Q4" s="150"/>
      <c r="R4" s="267"/>
      <c r="S4" s="267"/>
      <c r="T4" s="267"/>
      <c r="U4" s="267"/>
      <c r="V4" s="267"/>
      <c r="X4" s="103" t="s">
        <v>677</v>
      </c>
      <c r="Y4" s="268" t="s">
        <v>737</v>
      </c>
      <c r="Z4" s="266" t="s">
        <v>866</v>
      </c>
      <c r="AA4" s="150"/>
      <c r="AB4" s="267"/>
      <c r="AC4" s="267"/>
      <c r="AD4" s="267"/>
      <c r="AE4" s="267"/>
      <c r="AF4" s="267"/>
      <c r="AH4" s="103" t="s">
        <v>677</v>
      </c>
      <c r="AI4" s="268" t="s">
        <v>737</v>
      </c>
    </row>
    <row r="5" customFormat="false" ht="12.75" hidden="false" customHeight="true" outlineLevel="0" collapsed="false">
      <c r="C5" s="269" t="str">
        <f aca="false">Import.Proponente</f>
        <v>PREFEITURA MUNICIPAL DE SALINAS</v>
      </c>
      <c r="D5" s="270"/>
      <c r="E5" s="270"/>
      <c r="F5" s="271" t="str">
        <f aca="false">Import.Apelido</f>
        <v>CONSTRUÇÃO DE UNIDADES HABITACIONAIS EM ÁREAS URBANAS</v>
      </c>
      <c r="G5" s="271"/>
      <c r="H5" s="271"/>
      <c r="I5" s="271"/>
      <c r="J5" s="271"/>
      <c r="K5" s="271"/>
      <c r="L5" s="271"/>
      <c r="M5" s="271"/>
      <c r="N5" s="104" t="str">
        <f aca="false">Import.CR</f>
        <v>1100251-88</v>
      </c>
      <c r="O5" s="104" t="str">
        <f aca="false">Import.SICONV</f>
        <v>974240/2024</v>
      </c>
      <c r="P5" s="271" t="str">
        <f aca="false">Import.Apelido</f>
        <v>CONSTRUÇÃO DE UNIDADES HABITACIONAIS EM ÁREAS URBANAS</v>
      </c>
      <c r="Q5" s="271"/>
      <c r="R5" s="271"/>
      <c r="S5" s="271"/>
      <c r="T5" s="271"/>
      <c r="U5" s="271"/>
      <c r="V5" s="271"/>
      <c r="W5" s="271"/>
      <c r="X5" s="104" t="str">
        <f aca="false">Import.CR</f>
        <v>1100251-88</v>
      </c>
      <c r="Y5" s="104" t="str">
        <f aca="false">Import.SICONV</f>
        <v>974240/2024</v>
      </c>
      <c r="Z5" s="271" t="str">
        <f aca="false">Import.Apelido</f>
        <v>CONSTRUÇÃO DE UNIDADES HABITACIONAIS EM ÁREAS URBANAS</v>
      </c>
      <c r="AA5" s="271"/>
      <c r="AB5" s="271"/>
      <c r="AC5" s="271"/>
      <c r="AD5" s="271"/>
      <c r="AE5" s="271"/>
      <c r="AF5" s="271"/>
      <c r="AG5" s="271"/>
      <c r="AH5" s="104" t="str">
        <f aca="false">Import.CR</f>
        <v>1100251-88</v>
      </c>
      <c r="AI5" s="104" t="str">
        <f aca="false">Import.SICONV</f>
        <v>974240/2024</v>
      </c>
      <c r="AJ5" s="38" t="s">
        <v>782</v>
      </c>
    </row>
    <row r="6" customFormat="false" ht="24.75" hidden="false" customHeight="true" outlineLevel="0" collapsed="false">
      <c r="B6" s="38" t="s">
        <v>867</v>
      </c>
      <c r="C6" s="38" t="s">
        <v>868</v>
      </c>
      <c r="F6" s="53" t="str">
        <f aca="false">IF(AUTOEVENTO="MANUAL",
  IF(COUNTIF($G$15:$G$47,"NOME")&gt;0,"Falta preencher o nome do Título do Evento nº "&amp;INDEX($C$15:$C$47,MATCH("NOME",$G$15:$G$47,0)),
  IF(COUNTIF($G$15:$G$47,"VALOR")&gt;0,"Falta atribuir serviços ao Evento nº "&amp;INDEX($C$15:$C$47,MATCH("VALOR",$G$15:$G$47,0))&amp;". Corrigir a atribuição dos eventos na aba CÁLCULO. Ou excluir linhas dos eventos não utilizados.",
  IF(ROUND($F$14,2)&lt;&gt;ROUND(ORÇAMENTO!$X$15,2),"O valor total dos Eventos é diferente do valor total do Orçamento. Corrigir a atribuição dos eventos na aba CÁLCULO",
  IF(COUNTIF($G$15:$G$47,"Nome &gt;100")&gt;0,"O tamanho do Título do Evento no TransfereGOV é limitado a 100 caracteres. Resuma o nome do Título do Evento nº "&amp;INDEX($C$15:$C$47,MATCH("Nome &gt;100",$G$15:$G$47,0)),"")))),"")</f>
        <v/>
      </c>
    </row>
    <row r="7" customFormat="false" ht="3.75" hidden="false" customHeight="true" outlineLevel="0" collapsed="false">
      <c r="B7" s="38" t="s">
        <v>869</v>
      </c>
    </row>
    <row r="8" customFormat="false" ht="15" hidden="false" customHeight="false" outlineLevel="0" collapsed="false">
      <c r="B8" s="38" t="s">
        <v>870</v>
      </c>
      <c r="C8" s="272" t="s">
        <v>867</v>
      </c>
      <c r="D8" s="272"/>
      <c r="F8" s="53" t="str">
        <f aca="false">IF(ACOMPANHAMENTO="BM","",
 IF(Import.Eventos.Nível="","◄ Selecione a forma de definição dos agrupadores de eventos",
 IF(Import.Eventos.Nível="","◄ Selecione a forma de definição dos agrupadores de eventos","")))</f>
        <v/>
      </c>
    </row>
    <row r="9" customFormat="false" ht="12" hidden="false" customHeight="true" outlineLevel="0" collapsed="false">
      <c r="B9" s="38" t="s">
        <v>871</v>
      </c>
    </row>
    <row r="10" customFormat="false" ht="33.75" hidden="false" customHeight="true" outlineLevel="0" collapsed="false">
      <c r="C10" s="273" t="n">
        <f aca="false">COUNTIF($C$15:$C$47,"&gt;0")-1</f>
        <v>0</v>
      </c>
      <c r="D10" s="1" t="s">
        <v>782</v>
      </c>
      <c r="E10" s="274" t="str">
        <f aca="true">OFFSET(CÁLCULO!$P$12,0,EVENTOS!E$13)</f>
        <v>CASA 01</v>
      </c>
      <c r="F10" s="1" t="s">
        <v>782</v>
      </c>
      <c r="G10" s="275"/>
      <c r="H10" s="274" t="str">
        <f aca="true">OFFSET(CÁLCULO!$P$12,0,EVENTOS!H$13)</f>
        <v>CASA 01</v>
      </c>
      <c r="I10" s="274" t="str">
        <f aca="true">OFFSET(CÁLCULO!$P$12,0,EVENTOS!I$13)</f>
        <v>CASA 02</v>
      </c>
      <c r="J10" s="274" t="str">
        <f aca="true">OFFSET(CÁLCULO!$P$12,0,EVENTOS!J$13)</f>
        <v>CASA 03</v>
      </c>
      <c r="K10" s="275" t="str">
        <f aca="true">OFFSET(CÁLCULO!$P$12,0,EVENTOS!K$13)</f>
        <v>CASA 04</v>
      </c>
      <c r="L10" s="275" t="str">
        <f aca="true">OFFSET(CÁLCULO!$P$12,0,EVENTOS!L$13)</f>
        <v>CASA 05</v>
      </c>
      <c r="M10" s="275" t="str">
        <f aca="true">OFFSET(CÁLCULO!$P$12,0,EVENTOS!M$13)</f>
        <v>CASA 06</v>
      </c>
      <c r="N10" s="275" t="str">
        <f aca="true">OFFSET(CÁLCULO!$P$12,0,EVENTOS!N$13)</f>
        <v>CASA 07</v>
      </c>
      <c r="O10" s="275" t="str">
        <f aca="true">OFFSET(CÁLCULO!$P$12,0,EVENTOS!O$13)</f>
        <v>CASA 08</v>
      </c>
      <c r="P10" s="275" t="str">
        <f aca="true">OFFSET(CÁLCULO!$P$12,0,EVENTOS!P$13)</f>
        <v>CASA 09</v>
      </c>
      <c r="Q10" s="275" t="str">
        <f aca="true">OFFSET(CÁLCULO!$P$12,0,EVENTOS!Q$13)</f>
        <v>CASA 10</v>
      </c>
      <c r="R10" s="275" t="str">
        <f aca="true">OFFSET(CÁLCULO!$P$12,0,EVENTOS!R$13)</f>
        <v>CASA 11</v>
      </c>
      <c r="S10" s="275" t="str">
        <f aca="true">OFFSET(CÁLCULO!$P$12,0,EVENTOS!S$13)</f>
        <v>CASA 12</v>
      </c>
      <c r="T10" s="275" t="str">
        <f aca="true">OFFSET(CÁLCULO!$P$12,0,EVENTOS!T$13)</f>
        <v>CASA 13</v>
      </c>
      <c r="U10" s="275" t="str">
        <f aca="true">OFFSET(CÁLCULO!$P$12,0,EVENTOS!U$13)</f>
        <v>CASA 14</v>
      </c>
      <c r="V10" s="275" t="str">
        <f aca="true">OFFSET(CÁLCULO!$P$12,0,EVENTOS!V$13)</f>
        <v>CASA 15</v>
      </c>
      <c r="W10" s="275" t="str">
        <f aca="true">OFFSET(CÁLCULO!$P$12,0,EVENTOS!W$13)</f>
        <v>CASA 16</v>
      </c>
      <c r="X10" s="275" t="str">
        <f aca="true">OFFSET(CÁLCULO!$P$12,0,EVENTOS!X$13)</f>
        <v>CASA 17</v>
      </c>
      <c r="Y10" s="275" t="str">
        <f aca="true">OFFSET(CÁLCULO!$P$12,0,EVENTOS!Y$13)</f>
        <v>CASA 18</v>
      </c>
      <c r="Z10" s="275" t="str">
        <f aca="true">OFFSET(CÁLCULO!$P$12,0,EVENTOS!Z$13)</f>
        <v>CASA 19</v>
      </c>
      <c r="AA10" s="275" t="str">
        <f aca="true">OFFSET(CÁLCULO!$P$12,0,EVENTOS!AA$13)</f>
        <v>CASA 20</v>
      </c>
      <c r="AB10" s="275" t="str">
        <f aca="true">OFFSET(CÁLCULO!$P$12,0,EVENTOS!AB$13)</f>
        <v>CASA 21</v>
      </c>
      <c r="AC10" s="275" t="str">
        <f aca="true">OFFSET(CÁLCULO!$P$12,0,EVENTOS!AC$13)</f>
        <v>CASA 22</v>
      </c>
      <c r="AD10" s="275" t="str">
        <f aca="true">OFFSET(CÁLCULO!$P$12,0,EVENTOS!AD$13)</f>
        <v>CASA 23</v>
      </c>
      <c r="AE10" s="275" t="str">
        <f aca="true">OFFSET(CÁLCULO!$P$12,0,EVENTOS!AE$13)</f>
        <v>CASA 24</v>
      </c>
      <c r="AF10" s="275" t="str">
        <f aca="true">OFFSET(CÁLCULO!$P$12,0,EVENTOS!AF$13)</f>
        <v>CASA 25</v>
      </c>
      <c r="AG10" s="275" t="str">
        <f aca="true">OFFSET(CÁLCULO!$P$12,0,EVENTOS!AG$13)</f>
        <v>.</v>
      </c>
      <c r="AH10" s="275" t="str">
        <f aca="true">OFFSET(CÁLCULO!$P$12,0,EVENTOS!AH$13)</f>
        <v>.</v>
      </c>
      <c r="AI10" s="275" t="str">
        <f aca="true">OFFSET(CÁLCULO!$P$12,0,EVENTOS!AI$13)</f>
        <v>.</v>
      </c>
    </row>
    <row r="11" customFormat="false" ht="34.5" hidden="false" customHeight="true" outlineLevel="0" collapsed="false">
      <c r="A11" s="276" t="s">
        <v>682</v>
      </c>
      <c r="C11" s="277" t="str">
        <f aca="false" t="array" ref="C11:C11">IF(ACOMPANHAMENTO="BM","Foi selecionado na aba 'MENU' o acompanhamento por BM. Não há necessidade de definição de Eventos.",IF(AND(Import.Eventos.Nível&lt;&gt;"Definir Manualmente",Import.Eventos.Nível&lt;&gt;""),"Foi selecionada a forma automática de definição dos agrupadores de eventos.",""))</f>
        <v>Foi selecionada a forma automática de definição dos agrupadores de eventos.</v>
      </c>
      <c r="D11" s="277"/>
      <c r="E11" s="274"/>
      <c r="F11" s="278"/>
      <c r="G11" s="275"/>
      <c r="H11" s="274"/>
      <c r="I11" s="274"/>
      <c r="J11" s="274"/>
      <c r="K11" s="275"/>
      <c r="L11" s="275"/>
      <c r="M11" s="275"/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5"/>
      <c r="AD11" s="275"/>
      <c r="AE11" s="275"/>
      <c r="AF11" s="275"/>
      <c r="AG11" s="275"/>
      <c r="AH11" s="275"/>
      <c r="AI11" s="275"/>
    </row>
    <row r="12" customFormat="false" ht="12" hidden="false" customHeight="true" outlineLevel="0" collapsed="false">
      <c r="A12" s="279" t="s">
        <v>687</v>
      </c>
      <c r="E12" s="274"/>
      <c r="G12" s="275"/>
      <c r="H12" s="274"/>
      <c r="I12" s="274"/>
      <c r="J12" s="274"/>
      <c r="K12" s="275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  <c r="AG12" s="275"/>
      <c r="AH12" s="275"/>
      <c r="AI12" s="275"/>
    </row>
    <row r="13" customFormat="false" ht="13.8" hidden="false" customHeight="false" outlineLevel="0" collapsed="false">
      <c r="A13" s="280"/>
      <c r="C13" s="281" t="s">
        <v>872</v>
      </c>
      <c r="D13" s="282" t="s">
        <v>873</v>
      </c>
      <c r="E13" s="283" t="n">
        <f aca="true">IF(NOT(ISNUMBER(OFFSET(E13,0,-1))),1,IF(OR(OFFSET(E13,0,-1)=0,OFFSET(E13,0,-1)+1&gt;CÁLCULO.FrentesPreenchidas),0,OFFSET(E13,0,-1)+1))</f>
        <v>1</v>
      </c>
      <c r="F13" s="284" t="s">
        <v>874</v>
      </c>
      <c r="G13" s="285"/>
      <c r="H13" s="283" t="n">
        <f aca="true">IF(NOT(ISNUMBER(OFFSET(H13,0,-1))),1,IF(OR(OFFSET(H13,0,-1)=0,OFFSET(H13,0,-1)+1&gt;CÁLCULO.FrentesPreenchidas),0,OFFSET(H13,0,-1)+1))</f>
        <v>1</v>
      </c>
      <c r="I13" s="283" t="n">
        <f aca="true">IF(NOT(ISNUMBER(OFFSET(I13,0,-1))),1,IF(OR(OFFSET(I13,0,-1)=0,OFFSET(I13,0,-1)+1&gt;CÁLCULO.FrentesPreenchidas),0,OFFSET(I13,0,-1)+1))</f>
        <v>2</v>
      </c>
      <c r="J13" s="283" t="n">
        <f aca="true">IF(NOT(ISNUMBER(OFFSET(J13,0,-1))),1,IF(OR(OFFSET(J13,0,-1)=0,OFFSET(J13,0,-1)+1&gt;CÁLCULO.FrentesPreenchidas),0,OFFSET(J13,0,-1)+1))</f>
        <v>3</v>
      </c>
      <c r="K13" s="283" t="n">
        <f aca="true">IF(NOT(ISNUMBER(OFFSET(K13,0,-1))),1,IF(OR(OFFSET(K13,0,-1)=0,OFFSET(K13,0,-1)+1&gt;CÁLCULO.FrentesPreenchidas),0,OFFSET(K13,0,-1)+1))</f>
        <v>4</v>
      </c>
      <c r="L13" s="283" t="n">
        <f aca="true">IF(NOT(ISNUMBER(OFFSET(L13,0,-1))),1,IF(OR(OFFSET(L13,0,-1)=0,OFFSET(L13,0,-1)+1&gt;CÁLCULO.FrentesPreenchidas),0,OFFSET(L13,0,-1)+1))</f>
        <v>5</v>
      </c>
      <c r="M13" s="283" t="n">
        <f aca="true">IF(NOT(ISNUMBER(OFFSET(M13,0,-1))),1,IF(OR(OFFSET(M13,0,-1)=0,OFFSET(M13,0,-1)+1&gt;CÁLCULO.FrentesPreenchidas),0,OFFSET(M13,0,-1)+1))</f>
        <v>6</v>
      </c>
      <c r="N13" s="283" t="n">
        <f aca="true">IF(NOT(ISNUMBER(OFFSET(N13,0,-1))),1,IF(OR(OFFSET(N13,0,-1)=0,OFFSET(N13,0,-1)+1&gt;CÁLCULO.FrentesPreenchidas),0,OFFSET(N13,0,-1)+1))</f>
        <v>7</v>
      </c>
      <c r="O13" s="283" t="n">
        <f aca="true">IF(NOT(ISNUMBER(OFFSET(O13,0,-1))),1,IF(OR(OFFSET(O13,0,-1)=0,OFFSET(O13,0,-1)+1&gt;CÁLCULO.FrentesPreenchidas),0,OFFSET(O13,0,-1)+1))</f>
        <v>8</v>
      </c>
      <c r="P13" s="283" t="n">
        <f aca="true">IF(NOT(ISNUMBER(OFFSET(P13,0,-1))),1,IF(OR(OFFSET(P13,0,-1)=0,OFFSET(P13,0,-1)+1&gt;CÁLCULO.FrentesPreenchidas),0,OFFSET(P13,0,-1)+1))</f>
        <v>9</v>
      </c>
      <c r="Q13" s="283" t="n">
        <f aca="true">IF(NOT(ISNUMBER(OFFSET(Q13,0,-1))),1,IF(OR(OFFSET(Q13,0,-1)=0,OFFSET(Q13,0,-1)+1&gt;CÁLCULO.FrentesPreenchidas),0,OFFSET(Q13,0,-1)+1))</f>
        <v>10</v>
      </c>
      <c r="R13" s="283" t="n">
        <f aca="true">IF(NOT(ISNUMBER(OFFSET(R13,0,-1))),1,IF(OR(OFFSET(R13,0,-1)=0,OFFSET(R13,0,-1)+1&gt;CÁLCULO.FrentesPreenchidas),0,OFFSET(R13,0,-1)+1))</f>
        <v>11</v>
      </c>
      <c r="S13" s="283" t="n">
        <f aca="true">IF(NOT(ISNUMBER(OFFSET(S13,0,-1))),1,IF(OR(OFFSET(S13,0,-1)=0,OFFSET(S13,0,-1)+1&gt;CÁLCULO.FrentesPreenchidas),0,OFFSET(S13,0,-1)+1))</f>
        <v>12</v>
      </c>
      <c r="T13" s="283" t="n">
        <f aca="true">IF(NOT(ISNUMBER(OFFSET(T13,0,-1))),1,IF(OR(OFFSET(T13,0,-1)=0,OFFSET(T13,0,-1)+1&gt;CÁLCULO.FrentesPreenchidas),0,OFFSET(T13,0,-1)+1))</f>
        <v>13</v>
      </c>
      <c r="U13" s="283" t="n">
        <f aca="true">IF(NOT(ISNUMBER(OFFSET(U13,0,-1))),1,IF(OR(OFFSET(U13,0,-1)=0,OFFSET(U13,0,-1)+1&gt;CÁLCULO.FrentesPreenchidas),0,OFFSET(U13,0,-1)+1))</f>
        <v>14</v>
      </c>
      <c r="V13" s="283" t="n">
        <f aca="true">IF(NOT(ISNUMBER(OFFSET(V13,0,-1))),1,IF(OR(OFFSET(V13,0,-1)=0,OFFSET(V13,0,-1)+1&gt;CÁLCULO.FrentesPreenchidas),0,OFFSET(V13,0,-1)+1))</f>
        <v>15</v>
      </c>
      <c r="W13" s="283" t="n">
        <f aca="true">IF(NOT(ISNUMBER(OFFSET(W13,0,-1))),1,IF(OR(OFFSET(W13,0,-1)=0,OFFSET(W13,0,-1)+1&gt;CÁLCULO.FrentesPreenchidas),0,OFFSET(W13,0,-1)+1))</f>
        <v>16</v>
      </c>
      <c r="X13" s="283" t="n">
        <f aca="true">IF(NOT(ISNUMBER(OFFSET(X13,0,-1))),1,IF(OR(OFFSET(X13,0,-1)=0,OFFSET(X13,0,-1)+1&gt;CÁLCULO.FrentesPreenchidas),0,OFFSET(X13,0,-1)+1))</f>
        <v>17</v>
      </c>
      <c r="Y13" s="283" t="n">
        <f aca="true">IF(NOT(ISNUMBER(OFFSET(Y13,0,-1))),1,IF(OR(OFFSET(Y13,0,-1)=0,OFFSET(Y13,0,-1)+1&gt;CÁLCULO.FrentesPreenchidas),0,OFFSET(Y13,0,-1)+1))</f>
        <v>18</v>
      </c>
      <c r="Z13" s="283" t="n">
        <f aca="true">IF(NOT(ISNUMBER(OFFSET(Z13,0,-1))),1,IF(OR(OFFSET(Z13,0,-1)=0,OFFSET(Z13,0,-1)+1&gt;CÁLCULO.FrentesPreenchidas),0,OFFSET(Z13,0,-1)+1))</f>
        <v>19</v>
      </c>
      <c r="AA13" s="283" t="n">
        <f aca="true">IF(NOT(ISNUMBER(OFFSET(AA13,0,-1))),1,IF(OR(OFFSET(AA13,0,-1)=0,OFFSET(AA13,0,-1)+1&gt;CÁLCULO.FrentesPreenchidas),0,OFFSET(AA13,0,-1)+1))</f>
        <v>20</v>
      </c>
      <c r="AB13" s="283" t="n">
        <f aca="true">IF(NOT(ISNUMBER(OFFSET(AB13,0,-1))),1,IF(OR(OFFSET(AB13,0,-1)=0,OFFSET(AB13,0,-1)+1&gt;CÁLCULO.FrentesPreenchidas),0,OFFSET(AB13,0,-1)+1))</f>
        <v>21</v>
      </c>
      <c r="AC13" s="283" t="n">
        <f aca="true">IF(NOT(ISNUMBER(OFFSET(AC13,0,-1))),1,IF(OR(OFFSET(AC13,0,-1)=0,OFFSET(AC13,0,-1)+1&gt;CÁLCULO.FrentesPreenchidas),0,OFFSET(AC13,0,-1)+1))</f>
        <v>22</v>
      </c>
      <c r="AD13" s="283" t="n">
        <f aca="true">IF(NOT(ISNUMBER(OFFSET(AD13,0,-1))),1,IF(OR(OFFSET(AD13,0,-1)=0,OFFSET(AD13,0,-1)+1&gt;CÁLCULO.FrentesPreenchidas),0,OFFSET(AD13,0,-1)+1))</f>
        <v>23</v>
      </c>
      <c r="AE13" s="283" t="n">
        <f aca="true">IF(NOT(ISNUMBER(OFFSET(AE13,0,-1))),1,IF(OR(OFFSET(AE13,0,-1)=0,OFFSET(AE13,0,-1)+1&gt;CÁLCULO.FrentesPreenchidas),0,OFFSET(AE13,0,-1)+1))</f>
        <v>24</v>
      </c>
      <c r="AF13" s="283" t="n">
        <f aca="true">IF(NOT(ISNUMBER(OFFSET(AF13,0,-1))),1,IF(OR(OFFSET(AF13,0,-1)=0,OFFSET(AF13,0,-1)+1&gt;CÁLCULO.FrentesPreenchidas),0,OFFSET(AF13,0,-1)+1))</f>
        <v>25</v>
      </c>
      <c r="AG13" s="283" t="n">
        <f aca="true">IF(NOT(ISNUMBER(OFFSET(AG13,0,-1))),1,IF(OR(OFFSET(AG13,0,-1)=0,OFFSET(AG13,0,-1)+1&gt;CÁLCULO.FrentesPreenchidas),0,OFFSET(AG13,0,-1)+1))</f>
        <v>0</v>
      </c>
      <c r="AH13" s="283" t="n">
        <f aca="true">IF(NOT(ISNUMBER(OFFSET(AH13,0,-1))),1,IF(OR(OFFSET(AH13,0,-1)=0,OFFSET(AH13,0,-1)+1&gt;CÁLCULO.FrentesPreenchidas),0,OFFSET(AH13,0,-1)+1))</f>
        <v>0</v>
      </c>
      <c r="AI13" s="283" t="n">
        <f aca="true">IF(NOT(ISNUMBER(OFFSET(AI13,0,-1))),1,IF(OR(OFFSET(AI13,0,-1)=0,OFFSET(AI13,0,-1)+1&gt;CÁLCULO.FrentesPreenchidas),0,OFFSET(AI13,0,-1)+1))</f>
        <v>0</v>
      </c>
    </row>
    <row r="14" customFormat="false" ht="15" hidden="false" customHeight="true" outlineLevel="0" collapsed="false">
      <c r="A14" s="259" t="s">
        <v>563</v>
      </c>
      <c r="C14" s="286"/>
      <c r="D14" s="287" t="s">
        <v>875</v>
      </c>
      <c r="E14" s="288" t="n">
        <f aca="false">SUM(E$15:E$47)</f>
        <v>0</v>
      </c>
      <c r="F14" s="289" t="n">
        <f aca="false">SUM(F$15:F$47)</f>
        <v>0</v>
      </c>
      <c r="H14" s="288" t="n">
        <f aca="false">SUM(H$15:H$47)</f>
        <v>0</v>
      </c>
      <c r="I14" s="288" t="n">
        <f aca="false">SUM(I$15:I$47)</f>
        <v>0</v>
      </c>
      <c r="J14" s="288" t="n">
        <f aca="false">SUM(J$15:J$47)</f>
        <v>0</v>
      </c>
      <c r="K14" s="288" t="n">
        <f aca="false">SUM(K$15:K$47)</f>
        <v>0</v>
      </c>
      <c r="L14" s="288" t="n">
        <f aca="false">SUM(L$15:L$47)</f>
        <v>0</v>
      </c>
      <c r="M14" s="288" t="n">
        <f aca="false">SUM(M$15:M$47)</f>
        <v>0</v>
      </c>
      <c r="N14" s="288" t="n">
        <f aca="false">SUM(N$15:N$47)</f>
        <v>0</v>
      </c>
      <c r="O14" s="288" t="n">
        <f aca="false">SUM(O$15:O$47)</f>
        <v>0</v>
      </c>
      <c r="P14" s="288" t="n">
        <f aca="false">SUM(P$15:P$47)</f>
        <v>0</v>
      </c>
      <c r="Q14" s="288" t="n">
        <f aca="false">SUM(Q$15:Q$47)</f>
        <v>0</v>
      </c>
      <c r="R14" s="288" t="n">
        <f aca="false">SUM(R$15:R$47)</f>
        <v>0</v>
      </c>
      <c r="S14" s="288" t="n">
        <f aca="false">SUM(S$15:S$47)</f>
        <v>0</v>
      </c>
      <c r="T14" s="288" t="n">
        <f aca="false">SUM(T$15:T$47)</f>
        <v>0</v>
      </c>
      <c r="U14" s="288" t="n">
        <f aca="false">SUM(U$15:U$47)</f>
        <v>0</v>
      </c>
      <c r="V14" s="288" t="n">
        <f aca="false">SUM(V$15:V$47)</f>
        <v>0</v>
      </c>
      <c r="W14" s="288" t="n">
        <f aca="false">SUM(W$15:W$47)</f>
        <v>0</v>
      </c>
      <c r="X14" s="288" t="n">
        <f aca="false">SUM(X$15:X$47)</f>
        <v>0</v>
      </c>
      <c r="Y14" s="288" t="n">
        <f aca="false">SUM(Y$15:Y$47)</f>
        <v>0</v>
      </c>
      <c r="Z14" s="288" t="n">
        <f aca="false">SUM(Z$15:Z$47)</f>
        <v>0</v>
      </c>
      <c r="AA14" s="288" t="n">
        <f aca="false">SUM(AA$15:AA$47)</f>
        <v>0</v>
      </c>
      <c r="AB14" s="288" t="n">
        <f aca="false">SUM(AB$15:AB$47)</f>
        <v>0</v>
      </c>
      <c r="AC14" s="288" t="n">
        <f aca="false">SUM(AC$15:AC$47)</f>
        <v>0</v>
      </c>
      <c r="AD14" s="288" t="n">
        <f aca="false">SUM(AD$15:AD$47)</f>
        <v>0</v>
      </c>
      <c r="AE14" s="288" t="n">
        <f aca="false">SUM(AE$15:AE$47)</f>
        <v>0</v>
      </c>
      <c r="AF14" s="288" t="n">
        <f aca="false">SUM(AF$15:AF$47)</f>
        <v>0</v>
      </c>
      <c r="AG14" s="288" t="n">
        <f aca="false">SUM(AG$15:AG$47)</f>
        <v>0</v>
      </c>
      <c r="AH14" s="288" t="n">
        <f aca="false">SUM(AH$15:AH$47)</f>
        <v>0</v>
      </c>
      <c r="AI14" s="288" t="n">
        <f aca="false">SUM(AI$15:AI$47)</f>
        <v>0</v>
      </c>
    </row>
    <row r="15" customFormat="false" ht="12.75" hidden="false" customHeight="false" outlineLevel="0" collapsed="false">
      <c r="A15" s="259" t="str">
        <f aca="false">IF(D15="","","F")</f>
        <v/>
      </c>
      <c r="B15" s="1" t="str">
        <f aca="false">IF(OR(C15=" ",D15=""),"",CONCATENATE(C15,". ",D15))</f>
        <v/>
      </c>
      <c r="C15" s="290" t="n">
        <f aca="false" t="array" ref="C15:C15">IF(AdmLocal="Automática",1,0)</f>
        <v>0</v>
      </c>
      <c r="D15" s="291" t="str">
        <f aca="false">IF(C15=1,"Administração Local","")</f>
        <v/>
      </c>
      <c r="E15" s="292" t="n">
        <f aca="true">IF($F$15=0,0,IF(E13=1,$F$15-SUM($I$15:$AJ$15),ROUND(SUM(OFFSET(E15,1,0):OFFSET(E$47,-1,0))/SUM(OFFSET($F15,1,0):OFFSET($F$47,-1,0))*$F$15,2)))</f>
        <v>0</v>
      </c>
      <c r="F15" s="293" t="n">
        <f aca="false" t="array" ref="F15:F15">IF($C$15=0,0,ROUND(SUMPRODUCT((CÁLCULO!$M$15:$M$205=EVENTOS!$C15)*(ORÇAMENTO!$X$15:$X$205)),2))</f>
        <v>0</v>
      </c>
      <c r="G15" s="294"/>
      <c r="H15" s="292" t="n">
        <f aca="true">IF($F$15=0,0,IF(H13=1,$F$15-SUM($I$15:$AJ$15),ROUND(SUM(OFFSET(H15,1,0):OFFSET(H$47,-1,0))/SUM(OFFSET($F15,1,0):OFFSET($F$47,-1,0))*$F$15,2)))</f>
        <v>0</v>
      </c>
      <c r="I15" s="292" t="n">
        <f aca="true">IF($F$15=0,0,IF(I13=1,$F$15-SUM($I$15:$AJ$15),ROUND(SUM(OFFSET(I15,1,0):OFFSET(I$47,-1,0))/SUM(OFFSET($F15,1,0):OFFSET($F$47,-1,0))*$F$15,2)))</f>
        <v>0</v>
      </c>
      <c r="J15" s="292" t="n">
        <f aca="true">IF($F$15=0,0,IF(J13=1,$F$15-SUM($I$15:$AJ$15),ROUND(SUM(OFFSET(J15,1,0):OFFSET(J$47,-1,0))/SUM(OFFSET($F15,1,0):OFFSET($F$47,-1,0))*$F$15,2)))</f>
        <v>0</v>
      </c>
      <c r="K15" s="292" t="n">
        <f aca="true">IF($F$15=0,0,IF(K13=1,$F$15-SUM($I$15:$AJ$15),ROUND(SUM(OFFSET(K15,1,0):OFFSET(K$47,-1,0))/SUM(OFFSET($F15,1,0):OFFSET($F$47,-1,0))*$F$15,2)))</f>
        <v>0</v>
      </c>
      <c r="L15" s="292" t="n">
        <f aca="true">IF($F$15=0,0,IF(L13=1,$F$15-SUM($I$15:$AJ$15),ROUND(SUM(OFFSET(L15,1,0):OFFSET(L$47,-1,0))/SUM(OFFSET($F15,1,0):OFFSET($F$47,-1,0))*$F$15,2)))</f>
        <v>0</v>
      </c>
      <c r="M15" s="292" t="n">
        <f aca="true">IF($F$15=0,0,IF(M13=1,$F$15-SUM($I$15:$AJ$15),ROUND(SUM(OFFSET(M15,1,0):OFFSET(M$47,-1,0))/SUM(OFFSET($F15,1,0):OFFSET($F$47,-1,0))*$F$15,2)))</f>
        <v>0</v>
      </c>
      <c r="N15" s="292" t="n">
        <f aca="true">IF($F$15=0,0,IF(N13=1,$F$15-SUM($I$15:$AJ$15),ROUND(SUM(OFFSET(N15,1,0):OFFSET(N$47,-1,0))/SUM(OFFSET($F15,1,0):OFFSET($F$47,-1,0))*$F$15,2)))</f>
        <v>0</v>
      </c>
      <c r="O15" s="292" t="n">
        <f aca="true">IF($F$15=0,0,IF(O13=1,$F$15-SUM($I$15:$AJ$15),ROUND(SUM(OFFSET(O15,1,0):OFFSET(O$47,-1,0))/SUM(OFFSET($F15,1,0):OFFSET($F$47,-1,0))*$F$15,2)))</f>
        <v>0</v>
      </c>
      <c r="P15" s="292" t="n">
        <f aca="true">IF($F$15=0,0,IF(P13=1,$F$15-SUM($I$15:$AJ$15),ROUND(SUM(OFFSET(P15,1,0):OFFSET(P$47,-1,0))/SUM(OFFSET($F15,1,0):OFFSET($F$47,-1,0))*$F$15,2)))</f>
        <v>0</v>
      </c>
      <c r="Q15" s="292" t="n">
        <f aca="true">IF($F$15=0,0,IF(Q13=1,$F$15-SUM($I$15:$AJ$15),ROUND(SUM(OFFSET(Q15,1,0):OFFSET(Q$47,-1,0))/SUM(OFFSET($F15,1,0):OFFSET($F$47,-1,0))*$F$15,2)))</f>
        <v>0</v>
      </c>
      <c r="R15" s="292" t="n">
        <f aca="true">IF($F$15=0,0,IF(R13=1,$F$15-SUM($I$15:$AJ$15),ROUND(SUM(OFFSET(R15,1,0):OFFSET(R$47,-1,0))/SUM(OFFSET($F15,1,0):OFFSET($F$47,-1,0))*$F$15,2)))</f>
        <v>0</v>
      </c>
      <c r="S15" s="292" t="n">
        <f aca="true">IF($F$15=0,0,IF(S13=1,$F$15-SUM($I$15:$AJ$15),ROUND(SUM(OFFSET(S15,1,0):OFFSET(S$47,-1,0))/SUM(OFFSET($F15,1,0):OFFSET($F$47,-1,0))*$F$15,2)))</f>
        <v>0</v>
      </c>
      <c r="T15" s="292" t="n">
        <f aca="true">IF($F$15=0,0,IF(T13=1,$F$15-SUM($I$15:$AJ$15),ROUND(SUM(OFFSET(T15,1,0):OFFSET(T$47,-1,0))/SUM(OFFSET($F15,1,0):OFFSET($F$47,-1,0))*$F$15,2)))</f>
        <v>0</v>
      </c>
      <c r="U15" s="292" t="n">
        <f aca="true">IF($F$15=0,0,IF(U13=1,$F$15-SUM($I$15:$AJ$15),ROUND(SUM(OFFSET(U15,1,0):OFFSET(U$47,-1,0))/SUM(OFFSET($F15,1,0):OFFSET($F$47,-1,0))*$F$15,2)))</f>
        <v>0</v>
      </c>
      <c r="V15" s="292" t="n">
        <f aca="true">IF($F$15=0,0,IF(V13=1,$F$15-SUM($I$15:$AJ$15),ROUND(SUM(OFFSET(V15,1,0):OFFSET(V$47,-1,0))/SUM(OFFSET($F15,1,0):OFFSET($F$47,-1,0))*$F$15,2)))</f>
        <v>0</v>
      </c>
      <c r="W15" s="292" t="n">
        <f aca="true">IF($F$15=0,0,IF(W13=1,$F$15-SUM($I$15:$AJ$15),ROUND(SUM(OFFSET(W15,1,0):OFFSET(W$47,-1,0))/SUM(OFFSET($F15,1,0):OFFSET($F$47,-1,0))*$F$15,2)))</f>
        <v>0</v>
      </c>
      <c r="X15" s="292" t="n">
        <f aca="true">IF($F$15=0,0,IF(X13=1,$F$15-SUM($I$15:$AJ$15),ROUND(SUM(OFFSET(X15,1,0):OFFSET(X$47,-1,0))/SUM(OFFSET($F15,1,0):OFFSET($F$47,-1,0))*$F$15,2)))</f>
        <v>0</v>
      </c>
      <c r="Y15" s="292" t="n">
        <f aca="true">IF($F$15=0,0,IF(Y13=1,$F$15-SUM($I$15:$AJ$15),ROUND(SUM(OFFSET(Y15,1,0):OFFSET(Y$47,-1,0))/SUM(OFFSET($F15,1,0):OFFSET($F$47,-1,0))*$F$15,2)))</f>
        <v>0</v>
      </c>
      <c r="Z15" s="292" t="n">
        <f aca="true">IF($F$15=0,0,IF(Z13=1,$F$15-SUM($I$15:$AJ$15),ROUND(SUM(OFFSET(Z15,1,0):OFFSET(Z$47,-1,0))/SUM(OFFSET($F15,1,0):OFFSET($F$47,-1,0))*$F$15,2)))</f>
        <v>0</v>
      </c>
      <c r="AA15" s="292" t="n">
        <f aca="true">IF($F$15=0,0,IF(AA13=1,$F$15-SUM($I$15:$AJ$15),ROUND(SUM(OFFSET(AA15,1,0):OFFSET(AA$47,-1,0))/SUM(OFFSET($F15,1,0):OFFSET($F$47,-1,0))*$F$15,2)))</f>
        <v>0</v>
      </c>
      <c r="AB15" s="292" t="n">
        <f aca="true">IF($F$15=0,0,IF(AB13=1,$F$15-SUM($I$15:$AJ$15),ROUND(SUM(OFFSET(AB15,1,0):OFFSET(AB$47,-1,0))/SUM(OFFSET($F15,1,0):OFFSET($F$47,-1,0))*$F$15,2)))</f>
        <v>0</v>
      </c>
      <c r="AC15" s="292" t="n">
        <f aca="true">IF($F$15=0,0,IF(AC13=1,$F$15-SUM($I$15:$AJ$15),ROUND(SUM(OFFSET(AC15,1,0):OFFSET(AC$47,-1,0))/SUM(OFFSET($F15,1,0):OFFSET($F$47,-1,0))*$F$15,2)))</f>
        <v>0</v>
      </c>
      <c r="AD15" s="292" t="n">
        <f aca="true">IF($F$15=0,0,IF(AD13=1,$F$15-SUM($I$15:$AJ$15),ROUND(SUM(OFFSET(AD15,1,0):OFFSET(AD$47,-1,0))/SUM(OFFSET($F15,1,0):OFFSET($F$47,-1,0))*$F$15,2)))</f>
        <v>0</v>
      </c>
      <c r="AE15" s="292" t="n">
        <f aca="true">IF($F$15=0,0,IF(AE13=1,$F$15-SUM($I$15:$AJ$15),ROUND(SUM(OFFSET(AE15,1,0):OFFSET(AE$47,-1,0))/SUM(OFFSET($F15,1,0):OFFSET($F$47,-1,0))*$F$15,2)))</f>
        <v>0</v>
      </c>
      <c r="AF15" s="292" t="n">
        <f aca="true">IF($F$15=0,0,IF(AF13=1,$F$15-SUM($I$15:$AJ$15),ROUND(SUM(OFFSET(AF15,1,0):OFFSET(AF$47,-1,0))/SUM(OFFSET($F15,1,0):OFFSET($F$47,-1,0))*$F$15,2)))</f>
        <v>0</v>
      </c>
      <c r="AG15" s="292" t="n">
        <f aca="true">IF($F$15=0,0,IF(AG13=1,$F$15-SUM($I$15:$AJ$15),ROUND(SUM(OFFSET(AG15,1,0):OFFSET(AG$47,-1,0))/SUM(OFFSET($F15,1,0):OFFSET($F$47,-1,0))*$F$15,2)))</f>
        <v>0</v>
      </c>
      <c r="AH15" s="292" t="n">
        <f aca="true">IF($F$15=0,0,IF(AH13=1,$F$15-SUM($I$15:$AJ$15),ROUND(SUM(OFFSET(AH15,1,0):OFFSET(AH$47,-1,0))/SUM(OFFSET($F15,1,0):OFFSET($F$47,-1,0))*$F$15,2)))</f>
        <v>0</v>
      </c>
      <c r="AI15" s="292" t="n">
        <f aca="true">IF($F$15=0,0,IF(AI13=1,$F$15-SUM($I$15:$AJ$15),ROUND(SUM(OFFSET(AI15,1,0):OFFSET(AI$47,-1,0))/SUM(OFFSET($F15,1,0):OFFSET($F$47,-1,0))*$F$15,2)))</f>
        <v>0</v>
      </c>
    </row>
    <row r="16" customFormat="false" ht="12.75" hidden="false" customHeight="false" outlineLevel="0" collapsed="false">
      <c r="A16" s="259" t="str">
        <f aca="false">IF(D16="","","F")</f>
        <v/>
      </c>
      <c r="B16" s="1" t="str">
        <f aca="false">IF(OR(C16=" ",D16=""),"",CONCATENATE(C16,". ",D16))</f>
        <v/>
      </c>
      <c r="C16" s="260" t="n">
        <f aca="true" t="array" ref="C16:C16">IF(OR(ROW(C16)=ROW(EVENTOS.firstrow)+1,AND(OFFSET(C16,-1,0)&lt;&gt;" ",OFFSET(C16,-1,1)&lt;&gt;"")),OFFSET(C16,-1,0)+1," ")</f>
        <v>1</v>
      </c>
      <c r="D16" s="261"/>
      <c r="E16" s="262" t="n">
        <f aca="true" t="array" ref="E16:E16">IF(AUTOEVENTO="Manual",ROUND(SUMPRODUCT((CÁLCULO!$M$15:$M$205=EVENTOS!$C16)*(OFFSET(CÁLCULO!$AQ$15:$AQ$205,0,E$13))),2),0)</f>
        <v>0</v>
      </c>
      <c r="F16" s="263" t="n">
        <f aca="true">IF(AUTOEVENTO="Manual",ROUND(SUMPRODUCT((CÁLCULO!$M$15:$M$205=EVENTOS!$C16)*(OFFSET(CÁLCULO!$AQ$15,0,1):OFFSET(CÁLCULO!$BR$205,0,-1))),2),0)</f>
        <v>0</v>
      </c>
      <c r="G16" s="264" t="str">
        <f aca="false">IF(AND(D16=0,F16&gt;0),"NOME",
 IF(AND(D16&lt;&gt;0,$F$14&gt;0,F16=0),"VALOR",
 IF(AND(Import.TipoArredondamento="TransfereGOV",$A16="F",LEN(D16)&gt;100),"Nome &gt;100","")))</f>
        <v/>
      </c>
      <c r="H16" s="262" t="n">
        <f aca="true" t="array" ref="H16:H16">IF(AUTOEVENTO="Manual",ROUND(SUMPRODUCT((CÁLCULO!$M$15:$M$205=EVENTOS!$C16)*(OFFSET(CÁLCULO!$AQ$15:$AQ$205,0,H$13))),2),0)</f>
        <v>0</v>
      </c>
      <c r="I16" s="262" t="n">
        <f aca="true" t="array" ref="I16:I16">IF(AUTOEVENTO="Manual",ROUND(SUMPRODUCT((CÁLCULO!$M$15:$M$205=EVENTOS!$C16)*(OFFSET(CÁLCULO!$AQ$15:$AQ$205,0,I$13))),2),0)</f>
        <v>0</v>
      </c>
      <c r="J16" s="262" t="n">
        <f aca="true" t="array" ref="J16:J16">IF(AUTOEVENTO="Manual",ROUND(SUMPRODUCT((CÁLCULO!$M$15:$M$205=EVENTOS!$C16)*(OFFSET(CÁLCULO!$AQ$15:$AQ$205,0,J$13))),2),0)</f>
        <v>0</v>
      </c>
      <c r="K16" s="262" t="n">
        <f aca="true" t="array" ref="K16:K16">IF(AUTOEVENTO="Manual",ROUND(SUMPRODUCT((CÁLCULO!$M$15:$M$205=EVENTOS!$C16)*(OFFSET(CÁLCULO!$AQ$15:$AQ$205,0,K$13))),2),0)</f>
        <v>0</v>
      </c>
      <c r="L16" s="262" t="n">
        <f aca="true" t="array" ref="L16:L16">IF(AUTOEVENTO="Manual",ROUND(SUMPRODUCT((CÁLCULO!$M$15:$M$205=EVENTOS!$C16)*(OFFSET(CÁLCULO!$AQ$15:$AQ$205,0,L$13))),2),0)</f>
        <v>0</v>
      </c>
      <c r="M16" s="262" t="n">
        <f aca="true" t="array" ref="M16:M16">IF(AUTOEVENTO="Manual",ROUND(SUMPRODUCT((CÁLCULO!$M$15:$M$205=EVENTOS!$C16)*(OFFSET(CÁLCULO!$AQ$15:$AQ$205,0,M$13))),2),0)</f>
        <v>0</v>
      </c>
      <c r="N16" s="262" t="n">
        <f aca="true" t="array" ref="N16:N16">IF(AUTOEVENTO="Manual",ROUND(SUMPRODUCT((CÁLCULO!$M$15:$M$205=EVENTOS!$C16)*(OFFSET(CÁLCULO!$AQ$15:$AQ$205,0,N$13))),2),0)</f>
        <v>0</v>
      </c>
      <c r="O16" s="262" t="n">
        <f aca="true" t="array" ref="O16:O16">IF(AUTOEVENTO="Manual",ROUND(SUMPRODUCT((CÁLCULO!$M$15:$M$205=EVENTOS!$C16)*(OFFSET(CÁLCULO!$AQ$15:$AQ$205,0,O$13))),2),0)</f>
        <v>0</v>
      </c>
      <c r="P16" s="262" t="n">
        <f aca="true" t="array" ref="P16:P16">IF(AUTOEVENTO="Manual",ROUND(SUMPRODUCT((CÁLCULO!$M$15:$M$205=EVENTOS!$C16)*(OFFSET(CÁLCULO!$AQ$15:$AQ$205,0,P$13))),2),0)</f>
        <v>0</v>
      </c>
      <c r="Q16" s="262" t="n">
        <f aca="true" t="array" ref="Q16:Q16">IF(AUTOEVENTO="Manual",ROUND(SUMPRODUCT((CÁLCULO!$M$15:$M$205=EVENTOS!$C16)*(OFFSET(CÁLCULO!$AQ$15:$AQ$205,0,Q$13))),2),0)</f>
        <v>0</v>
      </c>
      <c r="R16" s="262" t="n">
        <f aca="true" t="array" ref="R16:R16">IF(AUTOEVENTO="Manual",ROUND(SUMPRODUCT((CÁLCULO!$M$15:$M$205=EVENTOS!$C16)*(OFFSET(CÁLCULO!$AQ$15:$AQ$205,0,R$13))),2),0)</f>
        <v>0</v>
      </c>
      <c r="S16" s="262" t="n">
        <f aca="true" t="array" ref="S16:S16">IF(AUTOEVENTO="Manual",ROUND(SUMPRODUCT((CÁLCULO!$M$15:$M$205=EVENTOS!$C16)*(OFFSET(CÁLCULO!$AQ$15:$AQ$205,0,S$13))),2),0)</f>
        <v>0</v>
      </c>
      <c r="T16" s="262" t="n">
        <f aca="true" t="array" ref="T16:T16">IF(AUTOEVENTO="Manual",ROUND(SUMPRODUCT((CÁLCULO!$M$15:$M$205=EVENTOS!$C16)*(OFFSET(CÁLCULO!$AQ$15:$AQ$205,0,T$13))),2),0)</f>
        <v>0</v>
      </c>
      <c r="U16" s="262" t="n">
        <f aca="true" t="array" ref="U16:U16">IF(AUTOEVENTO="Manual",ROUND(SUMPRODUCT((CÁLCULO!$M$15:$M$205=EVENTOS!$C16)*(OFFSET(CÁLCULO!$AQ$15:$AQ$205,0,U$13))),2),0)</f>
        <v>0</v>
      </c>
      <c r="V16" s="262" t="n">
        <f aca="true" t="array" ref="V16:V16">IF(AUTOEVENTO="Manual",ROUND(SUMPRODUCT((CÁLCULO!$M$15:$M$205=EVENTOS!$C16)*(OFFSET(CÁLCULO!$AQ$15:$AQ$205,0,V$13))),2),0)</f>
        <v>0</v>
      </c>
      <c r="W16" s="262" t="n">
        <f aca="true" t="array" ref="W16:W16">IF(AUTOEVENTO="Manual",ROUND(SUMPRODUCT((CÁLCULO!$M$15:$M$205=EVENTOS!$C16)*(OFFSET(CÁLCULO!$AQ$15:$AQ$205,0,W$13))),2),0)</f>
        <v>0</v>
      </c>
      <c r="X16" s="262" t="n">
        <f aca="true" t="array" ref="X16:X16">IF(AUTOEVENTO="Manual",ROUND(SUMPRODUCT((CÁLCULO!$M$15:$M$205=EVENTOS!$C16)*(OFFSET(CÁLCULO!$AQ$15:$AQ$205,0,X$13))),2),0)</f>
        <v>0</v>
      </c>
      <c r="Y16" s="262" t="n">
        <f aca="true" t="array" ref="Y16:Y16">IF(AUTOEVENTO="Manual",ROUND(SUMPRODUCT((CÁLCULO!$M$15:$M$205=EVENTOS!$C16)*(OFFSET(CÁLCULO!$AQ$15:$AQ$205,0,Y$13))),2),0)</f>
        <v>0</v>
      </c>
      <c r="Z16" s="262" t="n">
        <f aca="true" t="array" ref="Z16:Z16">IF(AUTOEVENTO="Manual",ROUND(SUMPRODUCT((CÁLCULO!$M$15:$M$205=EVENTOS!$C16)*(OFFSET(CÁLCULO!$AQ$15:$AQ$205,0,Z$13))),2),0)</f>
        <v>0</v>
      </c>
      <c r="AA16" s="262" t="n">
        <f aca="true" t="array" ref="AA16:AA16">IF(AUTOEVENTO="Manual",ROUND(SUMPRODUCT((CÁLCULO!$M$15:$M$205=EVENTOS!$C16)*(OFFSET(CÁLCULO!$AQ$15:$AQ$205,0,AA$13))),2),0)</f>
        <v>0</v>
      </c>
      <c r="AB16" s="262" t="n">
        <f aca="true" t="array" ref="AB16:AB16">IF(AUTOEVENTO="Manual",ROUND(SUMPRODUCT((CÁLCULO!$M$15:$M$205=EVENTOS!$C16)*(OFFSET(CÁLCULO!$AQ$15:$AQ$205,0,AB$13))),2),0)</f>
        <v>0</v>
      </c>
      <c r="AC16" s="262" t="n">
        <f aca="true" t="array" ref="AC16:AC16">IF(AUTOEVENTO="Manual",ROUND(SUMPRODUCT((CÁLCULO!$M$15:$M$205=EVENTOS!$C16)*(OFFSET(CÁLCULO!$AQ$15:$AQ$205,0,AC$13))),2),0)</f>
        <v>0</v>
      </c>
      <c r="AD16" s="262" t="n">
        <f aca="true" t="array" ref="AD16:AD16">IF(AUTOEVENTO="Manual",ROUND(SUMPRODUCT((CÁLCULO!$M$15:$M$205=EVENTOS!$C16)*(OFFSET(CÁLCULO!$AQ$15:$AQ$205,0,AD$13))),2),0)</f>
        <v>0</v>
      </c>
      <c r="AE16" s="262" t="n">
        <f aca="true" t="array" ref="AE16:AE16">IF(AUTOEVENTO="Manual",ROUND(SUMPRODUCT((CÁLCULO!$M$15:$M$205=EVENTOS!$C16)*(OFFSET(CÁLCULO!$AQ$15:$AQ$205,0,AE$13))),2),0)</f>
        <v>0</v>
      </c>
      <c r="AF16" s="262" t="n">
        <f aca="true" t="array" ref="AF16:AF16">IF(AUTOEVENTO="Manual",ROUND(SUMPRODUCT((CÁLCULO!$M$15:$M$205=EVENTOS!$C16)*(OFFSET(CÁLCULO!$AQ$15:$AQ$205,0,AF$13))),2),0)</f>
        <v>0</v>
      </c>
      <c r="AG16" s="262" t="n">
        <f aca="true" t="array" ref="AG16:AG16">IF(AUTOEVENTO="Manual",ROUND(SUMPRODUCT((CÁLCULO!$M$15:$M$205=EVENTOS!$C16)*(OFFSET(CÁLCULO!$AQ$15:$AQ$205,0,AG$13))),2),0)</f>
        <v>0</v>
      </c>
      <c r="AH16" s="262" t="n">
        <f aca="true" t="array" ref="AH16:AH16">IF(AUTOEVENTO="Manual",ROUND(SUMPRODUCT((CÁLCULO!$M$15:$M$205=EVENTOS!$C16)*(OFFSET(CÁLCULO!$AQ$15:$AQ$205,0,AH$13))),2),0)</f>
        <v>0</v>
      </c>
      <c r="AI16" s="262" t="n">
        <f aca="true" t="array" ref="AI16:AI16">IF(AUTOEVENTO="Manual",ROUND(SUMPRODUCT((CÁLCULO!$M$15:$M$205=EVENTOS!$C16)*(OFFSET(CÁLCULO!$AQ$15:$AQ$205,0,AI$13))),2),0)</f>
        <v>0</v>
      </c>
    </row>
    <row r="17" customFormat="false" ht="12.75" hidden="false" customHeight="false" outlineLevel="0" collapsed="false">
      <c r="A17" s="259" t="str">
        <f aca="false">IF(D17="","","F")</f>
        <v/>
      </c>
      <c r="B17" s="1" t="str">
        <f aca="false">IF(OR(C17=" ",D17=""),"",CONCATENATE(C17,". ",D17))</f>
        <v/>
      </c>
      <c r="C17" s="260" t="str">
        <f aca="true" t="array" ref="C17:C17">IF(OR(ROW(C17)=ROW(EVENTOS.firstrow)+1,AND(OFFSET(C17,-1,0)&lt;&gt;" ",OFFSET(C17,-1,1)&lt;&gt;"")),OFFSET(C17,-1,0)+1," ")</f>
        <v> </v>
      </c>
      <c r="D17" s="261"/>
      <c r="E17" s="262" t="n">
        <f aca="true" t="array" ref="E17:E17">IF(AUTOEVENTO="Manual",ROUND(SUMPRODUCT((CÁLCULO!$M$15:$M$205=EVENTOS!$C17)*(OFFSET(CÁLCULO!$AQ$15:$AQ$205,0,E$13))),2),0)</f>
        <v>0</v>
      </c>
      <c r="F17" s="263" t="n">
        <f aca="true">IF(AUTOEVENTO="Manual",ROUND(SUMPRODUCT((CÁLCULO!$M$15:$M$205=EVENTOS!$C17)*(OFFSET(CÁLCULO!$AQ$15,0,1):OFFSET(CÁLCULO!$BR$205,0,-1))),2),0)</f>
        <v>0</v>
      </c>
      <c r="G17" s="264" t="str">
        <f aca="false">IF(AND(D17=0,F17&gt;0),"NOME",
 IF(AND(D17&lt;&gt;0,$F$14&gt;0,F17=0),"VALOR",
 IF(AND(Import.TipoArredondamento="TransfereGOV",$A17="F",LEN(D17)&gt;100),"Nome &gt;100","")))</f>
        <v/>
      </c>
      <c r="H17" s="262" t="n">
        <f aca="true" t="array" ref="H17:H17">IF(AUTOEVENTO="Manual",ROUND(SUMPRODUCT((CÁLCULO!$M$15:$M$205=EVENTOS!$C17)*(OFFSET(CÁLCULO!$AQ$15:$AQ$205,0,H$13))),2),0)</f>
        <v>0</v>
      </c>
      <c r="I17" s="262" t="n">
        <f aca="true" t="array" ref="I17:I17">IF(AUTOEVENTO="Manual",ROUND(SUMPRODUCT((CÁLCULO!$M$15:$M$205=EVENTOS!$C17)*(OFFSET(CÁLCULO!$AQ$15:$AQ$205,0,I$13))),2),0)</f>
        <v>0</v>
      </c>
      <c r="J17" s="262" t="n">
        <f aca="true" t="array" ref="J17:J17">IF(AUTOEVENTO="Manual",ROUND(SUMPRODUCT((CÁLCULO!$M$15:$M$205=EVENTOS!$C17)*(OFFSET(CÁLCULO!$AQ$15:$AQ$205,0,J$13))),2),0)</f>
        <v>0</v>
      </c>
      <c r="K17" s="262" t="n">
        <f aca="true" t="array" ref="K17:K17">IF(AUTOEVENTO="Manual",ROUND(SUMPRODUCT((CÁLCULO!$M$15:$M$205=EVENTOS!$C17)*(OFFSET(CÁLCULO!$AQ$15:$AQ$205,0,K$13))),2),0)</f>
        <v>0</v>
      </c>
      <c r="L17" s="262" t="n">
        <f aca="true" t="array" ref="L17:L17">IF(AUTOEVENTO="Manual",ROUND(SUMPRODUCT((CÁLCULO!$M$15:$M$205=EVENTOS!$C17)*(OFFSET(CÁLCULO!$AQ$15:$AQ$205,0,L$13))),2),0)</f>
        <v>0</v>
      </c>
      <c r="M17" s="262" t="n">
        <f aca="true" t="array" ref="M17:M17">IF(AUTOEVENTO="Manual",ROUND(SUMPRODUCT((CÁLCULO!$M$15:$M$205=EVENTOS!$C17)*(OFFSET(CÁLCULO!$AQ$15:$AQ$205,0,M$13))),2),0)</f>
        <v>0</v>
      </c>
      <c r="N17" s="262" t="n">
        <f aca="true" t="array" ref="N17:N17">IF(AUTOEVENTO="Manual",ROUND(SUMPRODUCT((CÁLCULO!$M$15:$M$205=EVENTOS!$C17)*(OFFSET(CÁLCULO!$AQ$15:$AQ$205,0,N$13))),2),0)</f>
        <v>0</v>
      </c>
      <c r="O17" s="262" t="n">
        <f aca="true" t="array" ref="O17:O17">IF(AUTOEVENTO="Manual",ROUND(SUMPRODUCT((CÁLCULO!$M$15:$M$205=EVENTOS!$C17)*(OFFSET(CÁLCULO!$AQ$15:$AQ$205,0,O$13))),2),0)</f>
        <v>0</v>
      </c>
      <c r="P17" s="262" t="n">
        <f aca="true" t="array" ref="P17:P17">IF(AUTOEVENTO="Manual",ROUND(SUMPRODUCT((CÁLCULO!$M$15:$M$205=EVENTOS!$C17)*(OFFSET(CÁLCULO!$AQ$15:$AQ$205,0,P$13))),2),0)</f>
        <v>0</v>
      </c>
      <c r="Q17" s="262" t="n">
        <f aca="true" t="array" ref="Q17:Q17">IF(AUTOEVENTO="Manual",ROUND(SUMPRODUCT((CÁLCULO!$M$15:$M$205=EVENTOS!$C17)*(OFFSET(CÁLCULO!$AQ$15:$AQ$205,0,Q$13))),2),0)</f>
        <v>0</v>
      </c>
      <c r="R17" s="262" t="n">
        <f aca="true" t="array" ref="R17:R17">IF(AUTOEVENTO="Manual",ROUND(SUMPRODUCT((CÁLCULO!$M$15:$M$205=EVENTOS!$C17)*(OFFSET(CÁLCULO!$AQ$15:$AQ$205,0,R$13))),2),0)</f>
        <v>0</v>
      </c>
      <c r="S17" s="262" t="n">
        <f aca="true" t="array" ref="S17:S17">IF(AUTOEVENTO="Manual",ROUND(SUMPRODUCT((CÁLCULO!$M$15:$M$205=EVENTOS!$C17)*(OFFSET(CÁLCULO!$AQ$15:$AQ$205,0,S$13))),2),0)</f>
        <v>0</v>
      </c>
      <c r="T17" s="262" t="n">
        <f aca="true" t="array" ref="T17:T17">IF(AUTOEVENTO="Manual",ROUND(SUMPRODUCT((CÁLCULO!$M$15:$M$205=EVENTOS!$C17)*(OFFSET(CÁLCULO!$AQ$15:$AQ$205,0,T$13))),2),0)</f>
        <v>0</v>
      </c>
      <c r="U17" s="262" t="n">
        <f aca="true" t="array" ref="U17:U17">IF(AUTOEVENTO="Manual",ROUND(SUMPRODUCT((CÁLCULO!$M$15:$M$205=EVENTOS!$C17)*(OFFSET(CÁLCULO!$AQ$15:$AQ$205,0,U$13))),2),0)</f>
        <v>0</v>
      </c>
      <c r="V17" s="262" t="n">
        <f aca="true" t="array" ref="V17:V17">IF(AUTOEVENTO="Manual",ROUND(SUMPRODUCT((CÁLCULO!$M$15:$M$205=EVENTOS!$C17)*(OFFSET(CÁLCULO!$AQ$15:$AQ$205,0,V$13))),2),0)</f>
        <v>0</v>
      </c>
      <c r="W17" s="262" t="n">
        <f aca="true" t="array" ref="W17:W17">IF(AUTOEVENTO="Manual",ROUND(SUMPRODUCT((CÁLCULO!$M$15:$M$205=EVENTOS!$C17)*(OFFSET(CÁLCULO!$AQ$15:$AQ$205,0,W$13))),2),0)</f>
        <v>0</v>
      </c>
      <c r="X17" s="262" t="n">
        <f aca="true" t="array" ref="X17:X17">IF(AUTOEVENTO="Manual",ROUND(SUMPRODUCT((CÁLCULO!$M$15:$M$205=EVENTOS!$C17)*(OFFSET(CÁLCULO!$AQ$15:$AQ$205,0,X$13))),2),0)</f>
        <v>0</v>
      </c>
      <c r="Y17" s="262" t="n">
        <f aca="true" t="array" ref="Y17:Y17">IF(AUTOEVENTO="Manual",ROUND(SUMPRODUCT((CÁLCULO!$M$15:$M$205=EVENTOS!$C17)*(OFFSET(CÁLCULO!$AQ$15:$AQ$205,0,Y$13))),2),0)</f>
        <v>0</v>
      </c>
      <c r="Z17" s="262" t="n">
        <f aca="true" t="array" ref="Z17:Z17">IF(AUTOEVENTO="Manual",ROUND(SUMPRODUCT((CÁLCULO!$M$15:$M$205=EVENTOS!$C17)*(OFFSET(CÁLCULO!$AQ$15:$AQ$205,0,Z$13))),2),0)</f>
        <v>0</v>
      </c>
      <c r="AA17" s="262" t="n">
        <f aca="true" t="array" ref="AA17:AA17">IF(AUTOEVENTO="Manual",ROUND(SUMPRODUCT((CÁLCULO!$M$15:$M$205=EVENTOS!$C17)*(OFFSET(CÁLCULO!$AQ$15:$AQ$205,0,AA$13))),2),0)</f>
        <v>0</v>
      </c>
      <c r="AB17" s="262" t="n">
        <f aca="true" t="array" ref="AB17:AB17">IF(AUTOEVENTO="Manual",ROUND(SUMPRODUCT((CÁLCULO!$M$15:$M$205=EVENTOS!$C17)*(OFFSET(CÁLCULO!$AQ$15:$AQ$205,0,AB$13))),2),0)</f>
        <v>0</v>
      </c>
      <c r="AC17" s="262" t="n">
        <f aca="true" t="array" ref="AC17:AC17">IF(AUTOEVENTO="Manual",ROUND(SUMPRODUCT((CÁLCULO!$M$15:$M$205=EVENTOS!$C17)*(OFFSET(CÁLCULO!$AQ$15:$AQ$205,0,AC$13))),2),0)</f>
        <v>0</v>
      </c>
      <c r="AD17" s="262" t="n">
        <f aca="true" t="array" ref="AD17:AD17">IF(AUTOEVENTO="Manual",ROUND(SUMPRODUCT((CÁLCULO!$M$15:$M$205=EVENTOS!$C17)*(OFFSET(CÁLCULO!$AQ$15:$AQ$205,0,AD$13))),2),0)</f>
        <v>0</v>
      </c>
      <c r="AE17" s="262" t="n">
        <f aca="true" t="array" ref="AE17:AE17">IF(AUTOEVENTO="Manual",ROUND(SUMPRODUCT((CÁLCULO!$M$15:$M$205=EVENTOS!$C17)*(OFFSET(CÁLCULO!$AQ$15:$AQ$205,0,AE$13))),2),0)</f>
        <v>0</v>
      </c>
      <c r="AF17" s="262" t="n">
        <f aca="true" t="array" ref="AF17:AF17">IF(AUTOEVENTO="Manual",ROUND(SUMPRODUCT((CÁLCULO!$M$15:$M$205=EVENTOS!$C17)*(OFFSET(CÁLCULO!$AQ$15:$AQ$205,0,AF$13))),2),0)</f>
        <v>0</v>
      </c>
      <c r="AG17" s="262" t="n">
        <f aca="true" t="array" ref="AG17:AG17">IF(AUTOEVENTO="Manual",ROUND(SUMPRODUCT((CÁLCULO!$M$15:$M$205=EVENTOS!$C17)*(OFFSET(CÁLCULO!$AQ$15:$AQ$205,0,AG$13))),2),0)</f>
        <v>0</v>
      </c>
      <c r="AH17" s="262" t="n">
        <f aca="true" t="array" ref="AH17:AH17">IF(AUTOEVENTO="Manual",ROUND(SUMPRODUCT((CÁLCULO!$M$15:$M$205=EVENTOS!$C17)*(OFFSET(CÁLCULO!$AQ$15:$AQ$205,0,AH$13))),2),0)</f>
        <v>0</v>
      </c>
      <c r="AI17" s="262" t="n">
        <f aca="true" t="array" ref="AI17:AI17">IF(AUTOEVENTO="Manual",ROUND(SUMPRODUCT((CÁLCULO!$M$15:$M$205=EVENTOS!$C17)*(OFFSET(CÁLCULO!$AQ$15:$AQ$205,0,AI$13))),2),0)</f>
        <v>0</v>
      </c>
    </row>
    <row r="18" customFormat="false" ht="12.75" hidden="false" customHeight="false" outlineLevel="0" collapsed="false">
      <c r="A18" s="259" t="str">
        <f aca="false">IF(D18="","","F")</f>
        <v/>
      </c>
      <c r="B18" s="1" t="str">
        <f aca="false">IF(OR(C18=" ",D18=""),"",CONCATENATE(C18,". ",D18))</f>
        <v/>
      </c>
      <c r="C18" s="260" t="str">
        <f aca="true" t="array" ref="C18:C18">IF(OR(ROW(C18)=ROW(EVENTOS.firstrow)+1,AND(OFFSET(C18,-1,0)&lt;&gt;" ",OFFSET(C18,-1,1)&lt;&gt;"")),OFFSET(C18,-1,0)+1," ")</f>
        <v> </v>
      </c>
      <c r="D18" s="261"/>
      <c r="E18" s="262" t="n">
        <f aca="true" t="array" ref="E18:E18">IF(AUTOEVENTO="Manual",ROUND(SUMPRODUCT((CÁLCULO!$M$15:$M$205=EVENTOS!$C18)*(OFFSET(CÁLCULO!$AQ$15:$AQ$205,0,E$13))),2),0)</f>
        <v>0</v>
      </c>
      <c r="F18" s="263" t="n">
        <f aca="true">IF(AUTOEVENTO="Manual",ROUND(SUMPRODUCT((CÁLCULO!$M$15:$M$205=EVENTOS!$C18)*(OFFSET(CÁLCULO!$AQ$15,0,1):OFFSET(CÁLCULO!$BR$205,0,-1))),2),0)</f>
        <v>0</v>
      </c>
      <c r="G18" s="264" t="str">
        <f aca="false">IF(AND(D18=0,F18&gt;0),"NOME",
 IF(AND(D18&lt;&gt;0,$F$14&gt;0,F18=0),"VALOR",
 IF(AND(Import.TipoArredondamento="TransfereGOV",$A18="F",LEN(D18)&gt;100),"Nome &gt;100","")))</f>
        <v/>
      </c>
      <c r="H18" s="262" t="n">
        <f aca="true" t="array" ref="H18:H18">IF(AUTOEVENTO="Manual",ROUND(SUMPRODUCT((CÁLCULO!$M$15:$M$205=EVENTOS!$C18)*(OFFSET(CÁLCULO!$AQ$15:$AQ$205,0,H$13))),2),0)</f>
        <v>0</v>
      </c>
      <c r="I18" s="262" t="n">
        <f aca="true" t="array" ref="I18:I18">IF(AUTOEVENTO="Manual",ROUND(SUMPRODUCT((CÁLCULO!$M$15:$M$205=EVENTOS!$C18)*(OFFSET(CÁLCULO!$AQ$15:$AQ$205,0,I$13))),2),0)</f>
        <v>0</v>
      </c>
      <c r="J18" s="262" t="n">
        <f aca="true" t="array" ref="J18:J18">IF(AUTOEVENTO="Manual",ROUND(SUMPRODUCT((CÁLCULO!$M$15:$M$205=EVENTOS!$C18)*(OFFSET(CÁLCULO!$AQ$15:$AQ$205,0,J$13))),2),0)</f>
        <v>0</v>
      </c>
      <c r="K18" s="262" t="n">
        <f aca="true" t="array" ref="K18:K18">IF(AUTOEVENTO="Manual",ROUND(SUMPRODUCT((CÁLCULO!$M$15:$M$205=EVENTOS!$C18)*(OFFSET(CÁLCULO!$AQ$15:$AQ$205,0,K$13))),2),0)</f>
        <v>0</v>
      </c>
      <c r="L18" s="262" t="n">
        <f aca="true" t="array" ref="L18:L18">IF(AUTOEVENTO="Manual",ROUND(SUMPRODUCT((CÁLCULO!$M$15:$M$205=EVENTOS!$C18)*(OFFSET(CÁLCULO!$AQ$15:$AQ$205,0,L$13))),2),0)</f>
        <v>0</v>
      </c>
      <c r="M18" s="262" t="n">
        <f aca="true" t="array" ref="M18:M18">IF(AUTOEVENTO="Manual",ROUND(SUMPRODUCT((CÁLCULO!$M$15:$M$205=EVENTOS!$C18)*(OFFSET(CÁLCULO!$AQ$15:$AQ$205,0,M$13))),2),0)</f>
        <v>0</v>
      </c>
      <c r="N18" s="262" t="n">
        <f aca="true" t="array" ref="N18:N18">IF(AUTOEVENTO="Manual",ROUND(SUMPRODUCT((CÁLCULO!$M$15:$M$205=EVENTOS!$C18)*(OFFSET(CÁLCULO!$AQ$15:$AQ$205,0,N$13))),2),0)</f>
        <v>0</v>
      </c>
      <c r="O18" s="262" t="n">
        <f aca="true" t="array" ref="O18:O18">IF(AUTOEVENTO="Manual",ROUND(SUMPRODUCT((CÁLCULO!$M$15:$M$205=EVENTOS!$C18)*(OFFSET(CÁLCULO!$AQ$15:$AQ$205,0,O$13))),2),0)</f>
        <v>0</v>
      </c>
      <c r="P18" s="262" t="n">
        <f aca="true" t="array" ref="P18:P18">IF(AUTOEVENTO="Manual",ROUND(SUMPRODUCT((CÁLCULO!$M$15:$M$205=EVENTOS!$C18)*(OFFSET(CÁLCULO!$AQ$15:$AQ$205,0,P$13))),2),0)</f>
        <v>0</v>
      </c>
      <c r="Q18" s="262" t="n">
        <f aca="true" t="array" ref="Q18:Q18">IF(AUTOEVENTO="Manual",ROUND(SUMPRODUCT((CÁLCULO!$M$15:$M$205=EVENTOS!$C18)*(OFFSET(CÁLCULO!$AQ$15:$AQ$205,0,Q$13))),2),0)</f>
        <v>0</v>
      </c>
      <c r="R18" s="262" t="n">
        <f aca="true" t="array" ref="R18:R18">IF(AUTOEVENTO="Manual",ROUND(SUMPRODUCT((CÁLCULO!$M$15:$M$205=EVENTOS!$C18)*(OFFSET(CÁLCULO!$AQ$15:$AQ$205,0,R$13))),2),0)</f>
        <v>0</v>
      </c>
      <c r="S18" s="262" t="n">
        <f aca="true" t="array" ref="S18:S18">IF(AUTOEVENTO="Manual",ROUND(SUMPRODUCT((CÁLCULO!$M$15:$M$205=EVENTOS!$C18)*(OFFSET(CÁLCULO!$AQ$15:$AQ$205,0,S$13))),2),0)</f>
        <v>0</v>
      </c>
      <c r="T18" s="262" t="n">
        <f aca="true" t="array" ref="T18:T18">IF(AUTOEVENTO="Manual",ROUND(SUMPRODUCT((CÁLCULO!$M$15:$M$205=EVENTOS!$C18)*(OFFSET(CÁLCULO!$AQ$15:$AQ$205,0,T$13))),2),0)</f>
        <v>0</v>
      </c>
      <c r="U18" s="262" t="n">
        <f aca="true" t="array" ref="U18:U18">IF(AUTOEVENTO="Manual",ROUND(SUMPRODUCT((CÁLCULO!$M$15:$M$205=EVENTOS!$C18)*(OFFSET(CÁLCULO!$AQ$15:$AQ$205,0,U$13))),2),0)</f>
        <v>0</v>
      </c>
      <c r="V18" s="262" t="n">
        <f aca="true" t="array" ref="V18:V18">IF(AUTOEVENTO="Manual",ROUND(SUMPRODUCT((CÁLCULO!$M$15:$M$205=EVENTOS!$C18)*(OFFSET(CÁLCULO!$AQ$15:$AQ$205,0,V$13))),2),0)</f>
        <v>0</v>
      </c>
      <c r="W18" s="262" t="n">
        <f aca="true" t="array" ref="W18:W18">IF(AUTOEVENTO="Manual",ROUND(SUMPRODUCT((CÁLCULO!$M$15:$M$205=EVENTOS!$C18)*(OFFSET(CÁLCULO!$AQ$15:$AQ$205,0,W$13))),2),0)</f>
        <v>0</v>
      </c>
      <c r="X18" s="262" t="n">
        <f aca="true" t="array" ref="X18:X18">IF(AUTOEVENTO="Manual",ROUND(SUMPRODUCT((CÁLCULO!$M$15:$M$205=EVENTOS!$C18)*(OFFSET(CÁLCULO!$AQ$15:$AQ$205,0,X$13))),2),0)</f>
        <v>0</v>
      </c>
      <c r="Y18" s="262" t="n">
        <f aca="true" t="array" ref="Y18:Y18">IF(AUTOEVENTO="Manual",ROUND(SUMPRODUCT((CÁLCULO!$M$15:$M$205=EVENTOS!$C18)*(OFFSET(CÁLCULO!$AQ$15:$AQ$205,0,Y$13))),2),0)</f>
        <v>0</v>
      </c>
      <c r="Z18" s="262" t="n">
        <f aca="true" t="array" ref="Z18:Z18">IF(AUTOEVENTO="Manual",ROUND(SUMPRODUCT((CÁLCULO!$M$15:$M$205=EVENTOS!$C18)*(OFFSET(CÁLCULO!$AQ$15:$AQ$205,0,Z$13))),2),0)</f>
        <v>0</v>
      </c>
      <c r="AA18" s="262" t="n">
        <f aca="true" t="array" ref="AA18:AA18">IF(AUTOEVENTO="Manual",ROUND(SUMPRODUCT((CÁLCULO!$M$15:$M$205=EVENTOS!$C18)*(OFFSET(CÁLCULO!$AQ$15:$AQ$205,0,AA$13))),2),0)</f>
        <v>0</v>
      </c>
      <c r="AB18" s="262" t="n">
        <f aca="true" t="array" ref="AB18:AB18">IF(AUTOEVENTO="Manual",ROUND(SUMPRODUCT((CÁLCULO!$M$15:$M$205=EVENTOS!$C18)*(OFFSET(CÁLCULO!$AQ$15:$AQ$205,0,AB$13))),2),0)</f>
        <v>0</v>
      </c>
      <c r="AC18" s="262" t="n">
        <f aca="true" t="array" ref="AC18:AC18">IF(AUTOEVENTO="Manual",ROUND(SUMPRODUCT((CÁLCULO!$M$15:$M$205=EVENTOS!$C18)*(OFFSET(CÁLCULO!$AQ$15:$AQ$205,0,AC$13))),2),0)</f>
        <v>0</v>
      </c>
      <c r="AD18" s="262" t="n">
        <f aca="true" t="array" ref="AD18:AD18">IF(AUTOEVENTO="Manual",ROUND(SUMPRODUCT((CÁLCULO!$M$15:$M$205=EVENTOS!$C18)*(OFFSET(CÁLCULO!$AQ$15:$AQ$205,0,AD$13))),2),0)</f>
        <v>0</v>
      </c>
      <c r="AE18" s="262" t="n">
        <f aca="true" t="array" ref="AE18:AE18">IF(AUTOEVENTO="Manual",ROUND(SUMPRODUCT((CÁLCULO!$M$15:$M$205=EVENTOS!$C18)*(OFFSET(CÁLCULO!$AQ$15:$AQ$205,0,AE$13))),2),0)</f>
        <v>0</v>
      </c>
      <c r="AF18" s="262" t="n">
        <f aca="true" t="array" ref="AF18:AF18">IF(AUTOEVENTO="Manual",ROUND(SUMPRODUCT((CÁLCULO!$M$15:$M$205=EVENTOS!$C18)*(OFFSET(CÁLCULO!$AQ$15:$AQ$205,0,AF$13))),2),0)</f>
        <v>0</v>
      </c>
      <c r="AG18" s="262" t="n">
        <f aca="true" t="array" ref="AG18:AG18">IF(AUTOEVENTO="Manual",ROUND(SUMPRODUCT((CÁLCULO!$M$15:$M$205=EVENTOS!$C18)*(OFFSET(CÁLCULO!$AQ$15:$AQ$205,0,AG$13))),2),0)</f>
        <v>0</v>
      </c>
      <c r="AH18" s="262" t="n">
        <f aca="true" t="array" ref="AH18:AH18">IF(AUTOEVENTO="Manual",ROUND(SUMPRODUCT((CÁLCULO!$M$15:$M$205=EVENTOS!$C18)*(OFFSET(CÁLCULO!$AQ$15:$AQ$205,0,AH$13))),2),0)</f>
        <v>0</v>
      </c>
      <c r="AI18" s="262" t="n">
        <f aca="true" t="array" ref="AI18:AI18">IF(AUTOEVENTO="Manual",ROUND(SUMPRODUCT((CÁLCULO!$M$15:$M$205=EVENTOS!$C18)*(OFFSET(CÁLCULO!$AQ$15:$AQ$205,0,AI$13))),2),0)</f>
        <v>0</v>
      </c>
    </row>
    <row r="19" customFormat="false" ht="12.75" hidden="false" customHeight="false" outlineLevel="0" collapsed="false">
      <c r="A19" s="259" t="str">
        <f aca="false">IF(D19="","","F")</f>
        <v/>
      </c>
      <c r="B19" s="1" t="str">
        <f aca="false">IF(OR(C19=" ",D19=""),"",CONCATENATE(C19,". ",D19))</f>
        <v/>
      </c>
      <c r="C19" s="260" t="str">
        <f aca="true" t="array" ref="C19:C19">IF(OR(ROW(C19)=ROW(EVENTOS.firstrow)+1,AND(OFFSET(C19,-1,0)&lt;&gt;" ",OFFSET(C19,-1,1)&lt;&gt;"")),OFFSET(C19,-1,0)+1," ")</f>
        <v> </v>
      </c>
      <c r="D19" s="261"/>
      <c r="E19" s="262" t="n">
        <f aca="true" t="array" ref="E19:E19">IF(AUTOEVENTO="Manual",ROUND(SUMPRODUCT((CÁLCULO!$M$15:$M$205=EVENTOS!$C19)*(OFFSET(CÁLCULO!$AQ$15:$AQ$205,0,E$13))),2),0)</f>
        <v>0</v>
      </c>
      <c r="F19" s="263" t="n">
        <f aca="true">IF(AUTOEVENTO="Manual",ROUND(SUMPRODUCT((CÁLCULO!$M$15:$M$205=EVENTOS!$C19)*(OFFSET(CÁLCULO!$AQ$15,0,1):OFFSET(CÁLCULO!$BR$205,0,-1))),2),0)</f>
        <v>0</v>
      </c>
      <c r="G19" s="264" t="str">
        <f aca="false">IF(AND(D19=0,F19&gt;0),"NOME",
 IF(AND(D19&lt;&gt;0,$F$14&gt;0,F19=0),"VALOR",
 IF(AND(Import.TipoArredondamento="TransfereGOV",$A19="F",LEN(D19)&gt;100),"Nome &gt;100","")))</f>
        <v/>
      </c>
      <c r="H19" s="262" t="n">
        <f aca="true" t="array" ref="H19:H19">IF(AUTOEVENTO="Manual",ROUND(SUMPRODUCT((CÁLCULO!$M$15:$M$205=EVENTOS!$C19)*(OFFSET(CÁLCULO!$AQ$15:$AQ$205,0,H$13))),2),0)</f>
        <v>0</v>
      </c>
      <c r="I19" s="262" t="n">
        <f aca="true" t="array" ref="I19:I19">IF(AUTOEVENTO="Manual",ROUND(SUMPRODUCT((CÁLCULO!$M$15:$M$205=EVENTOS!$C19)*(OFFSET(CÁLCULO!$AQ$15:$AQ$205,0,I$13))),2),0)</f>
        <v>0</v>
      </c>
      <c r="J19" s="262" t="n">
        <f aca="true" t="array" ref="J19:J19">IF(AUTOEVENTO="Manual",ROUND(SUMPRODUCT((CÁLCULO!$M$15:$M$205=EVENTOS!$C19)*(OFFSET(CÁLCULO!$AQ$15:$AQ$205,0,J$13))),2),0)</f>
        <v>0</v>
      </c>
      <c r="K19" s="262" t="n">
        <f aca="true" t="array" ref="K19:K19">IF(AUTOEVENTO="Manual",ROUND(SUMPRODUCT((CÁLCULO!$M$15:$M$205=EVENTOS!$C19)*(OFFSET(CÁLCULO!$AQ$15:$AQ$205,0,K$13))),2),0)</f>
        <v>0</v>
      </c>
      <c r="L19" s="262" t="n">
        <f aca="true" t="array" ref="L19:L19">IF(AUTOEVENTO="Manual",ROUND(SUMPRODUCT((CÁLCULO!$M$15:$M$205=EVENTOS!$C19)*(OFFSET(CÁLCULO!$AQ$15:$AQ$205,0,L$13))),2),0)</f>
        <v>0</v>
      </c>
      <c r="M19" s="262" t="n">
        <f aca="true" t="array" ref="M19:M19">IF(AUTOEVENTO="Manual",ROUND(SUMPRODUCT((CÁLCULO!$M$15:$M$205=EVENTOS!$C19)*(OFFSET(CÁLCULO!$AQ$15:$AQ$205,0,M$13))),2),0)</f>
        <v>0</v>
      </c>
      <c r="N19" s="262" t="n">
        <f aca="true" t="array" ref="N19:N19">IF(AUTOEVENTO="Manual",ROUND(SUMPRODUCT((CÁLCULO!$M$15:$M$205=EVENTOS!$C19)*(OFFSET(CÁLCULO!$AQ$15:$AQ$205,0,N$13))),2),0)</f>
        <v>0</v>
      </c>
      <c r="O19" s="262" t="n">
        <f aca="true" t="array" ref="O19:O19">IF(AUTOEVENTO="Manual",ROUND(SUMPRODUCT((CÁLCULO!$M$15:$M$205=EVENTOS!$C19)*(OFFSET(CÁLCULO!$AQ$15:$AQ$205,0,O$13))),2),0)</f>
        <v>0</v>
      </c>
      <c r="P19" s="262" t="n">
        <f aca="true" t="array" ref="P19:P19">IF(AUTOEVENTO="Manual",ROUND(SUMPRODUCT((CÁLCULO!$M$15:$M$205=EVENTOS!$C19)*(OFFSET(CÁLCULO!$AQ$15:$AQ$205,0,P$13))),2),0)</f>
        <v>0</v>
      </c>
      <c r="Q19" s="262" t="n">
        <f aca="true" t="array" ref="Q19:Q19">IF(AUTOEVENTO="Manual",ROUND(SUMPRODUCT((CÁLCULO!$M$15:$M$205=EVENTOS!$C19)*(OFFSET(CÁLCULO!$AQ$15:$AQ$205,0,Q$13))),2),0)</f>
        <v>0</v>
      </c>
      <c r="R19" s="262" t="n">
        <f aca="true" t="array" ref="R19:R19">IF(AUTOEVENTO="Manual",ROUND(SUMPRODUCT((CÁLCULO!$M$15:$M$205=EVENTOS!$C19)*(OFFSET(CÁLCULO!$AQ$15:$AQ$205,0,R$13))),2),0)</f>
        <v>0</v>
      </c>
      <c r="S19" s="262" t="n">
        <f aca="true" t="array" ref="S19:S19">IF(AUTOEVENTO="Manual",ROUND(SUMPRODUCT((CÁLCULO!$M$15:$M$205=EVENTOS!$C19)*(OFFSET(CÁLCULO!$AQ$15:$AQ$205,0,S$13))),2),0)</f>
        <v>0</v>
      </c>
      <c r="T19" s="262" t="n">
        <f aca="true" t="array" ref="T19:T19">IF(AUTOEVENTO="Manual",ROUND(SUMPRODUCT((CÁLCULO!$M$15:$M$205=EVENTOS!$C19)*(OFFSET(CÁLCULO!$AQ$15:$AQ$205,0,T$13))),2),0)</f>
        <v>0</v>
      </c>
      <c r="U19" s="262" t="n">
        <f aca="true" t="array" ref="U19:U19">IF(AUTOEVENTO="Manual",ROUND(SUMPRODUCT((CÁLCULO!$M$15:$M$205=EVENTOS!$C19)*(OFFSET(CÁLCULO!$AQ$15:$AQ$205,0,U$13))),2),0)</f>
        <v>0</v>
      </c>
      <c r="V19" s="262" t="n">
        <f aca="true" t="array" ref="V19:V19">IF(AUTOEVENTO="Manual",ROUND(SUMPRODUCT((CÁLCULO!$M$15:$M$205=EVENTOS!$C19)*(OFFSET(CÁLCULO!$AQ$15:$AQ$205,0,V$13))),2),0)</f>
        <v>0</v>
      </c>
      <c r="W19" s="262" t="n">
        <f aca="true" t="array" ref="W19:W19">IF(AUTOEVENTO="Manual",ROUND(SUMPRODUCT((CÁLCULO!$M$15:$M$205=EVENTOS!$C19)*(OFFSET(CÁLCULO!$AQ$15:$AQ$205,0,W$13))),2),0)</f>
        <v>0</v>
      </c>
      <c r="X19" s="262" t="n">
        <f aca="true" t="array" ref="X19:X19">IF(AUTOEVENTO="Manual",ROUND(SUMPRODUCT((CÁLCULO!$M$15:$M$205=EVENTOS!$C19)*(OFFSET(CÁLCULO!$AQ$15:$AQ$205,0,X$13))),2),0)</f>
        <v>0</v>
      </c>
      <c r="Y19" s="262" t="n">
        <f aca="true" t="array" ref="Y19:Y19">IF(AUTOEVENTO="Manual",ROUND(SUMPRODUCT((CÁLCULO!$M$15:$M$205=EVENTOS!$C19)*(OFFSET(CÁLCULO!$AQ$15:$AQ$205,0,Y$13))),2),0)</f>
        <v>0</v>
      </c>
      <c r="Z19" s="262" t="n">
        <f aca="true" t="array" ref="Z19:Z19">IF(AUTOEVENTO="Manual",ROUND(SUMPRODUCT((CÁLCULO!$M$15:$M$205=EVENTOS!$C19)*(OFFSET(CÁLCULO!$AQ$15:$AQ$205,0,Z$13))),2),0)</f>
        <v>0</v>
      </c>
      <c r="AA19" s="262" t="n">
        <f aca="true" t="array" ref="AA19:AA19">IF(AUTOEVENTO="Manual",ROUND(SUMPRODUCT((CÁLCULO!$M$15:$M$205=EVENTOS!$C19)*(OFFSET(CÁLCULO!$AQ$15:$AQ$205,0,AA$13))),2),0)</f>
        <v>0</v>
      </c>
      <c r="AB19" s="262" t="n">
        <f aca="true" t="array" ref="AB19:AB19">IF(AUTOEVENTO="Manual",ROUND(SUMPRODUCT((CÁLCULO!$M$15:$M$205=EVENTOS!$C19)*(OFFSET(CÁLCULO!$AQ$15:$AQ$205,0,AB$13))),2),0)</f>
        <v>0</v>
      </c>
      <c r="AC19" s="262" t="n">
        <f aca="true" t="array" ref="AC19:AC19">IF(AUTOEVENTO="Manual",ROUND(SUMPRODUCT((CÁLCULO!$M$15:$M$205=EVENTOS!$C19)*(OFFSET(CÁLCULO!$AQ$15:$AQ$205,0,AC$13))),2),0)</f>
        <v>0</v>
      </c>
      <c r="AD19" s="262" t="n">
        <f aca="true" t="array" ref="AD19:AD19">IF(AUTOEVENTO="Manual",ROUND(SUMPRODUCT((CÁLCULO!$M$15:$M$205=EVENTOS!$C19)*(OFFSET(CÁLCULO!$AQ$15:$AQ$205,0,AD$13))),2),0)</f>
        <v>0</v>
      </c>
      <c r="AE19" s="262" t="n">
        <f aca="true" t="array" ref="AE19:AE19">IF(AUTOEVENTO="Manual",ROUND(SUMPRODUCT((CÁLCULO!$M$15:$M$205=EVENTOS!$C19)*(OFFSET(CÁLCULO!$AQ$15:$AQ$205,0,AE$13))),2),0)</f>
        <v>0</v>
      </c>
      <c r="AF19" s="262" t="n">
        <f aca="true" t="array" ref="AF19:AF19">IF(AUTOEVENTO="Manual",ROUND(SUMPRODUCT((CÁLCULO!$M$15:$M$205=EVENTOS!$C19)*(OFFSET(CÁLCULO!$AQ$15:$AQ$205,0,AF$13))),2),0)</f>
        <v>0</v>
      </c>
      <c r="AG19" s="262" t="n">
        <f aca="true" t="array" ref="AG19:AG19">IF(AUTOEVENTO="Manual",ROUND(SUMPRODUCT((CÁLCULO!$M$15:$M$205=EVENTOS!$C19)*(OFFSET(CÁLCULO!$AQ$15:$AQ$205,0,AG$13))),2),0)</f>
        <v>0</v>
      </c>
      <c r="AH19" s="262" t="n">
        <f aca="true" t="array" ref="AH19:AH19">IF(AUTOEVENTO="Manual",ROUND(SUMPRODUCT((CÁLCULO!$M$15:$M$205=EVENTOS!$C19)*(OFFSET(CÁLCULO!$AQ$15:$AQ$205,0,AH$13))),2),0)</f>
        <v>0</v>
      </c>
      <c r="AI19" s="262" t="n">
        <f aca="true" t="array" ref="AI19:AI19">IF(AUTOEVENTO="Manual",ROUND(SUMPRODUCT((CÁLCULO!$M$15:$M$205=EVENTOS!$C19)*(OFFSET(CÁLCULO!$AQ$15:$AQ$205,0,AI$13))),2),0)</f>
        <v>0</v>
      </c>
    </row>
    <row r="20" customFormat="false" ht="12.75" hidden="false" customHeight="false" outlineLevel="0" collapsed="false">
      <c r="A20" s="259" t="str">
        <f aca="false">IF(D20="","","F")</f>
        <v/>
      </c>
      <c r="B20" s="1" t="str">
        <f aca="false">IF(OR(C20=" ",D20=""),"",CONCATENATE(C20,". ",D20))</f>
        <v/>
      </c>
      <c r="C20" s="260" t="str">
        <f aca="true" t="array" ref="C20:C20">IF(OR(ROW(C20)=ROW(EVENTOS.firstrow)+1,AND(OFFSET(C20,-1,0)&lt;&gt;" ",OFFSET(C20,-1,1)&lt;&gt;"")),OFFSET(C20,-1,0)+1," ")</f>
        <v> </v>
      </c>
      <c r="D20" s="261"/>
      <c r="E20" s="262" t="n">
        <f aca="true" t="array" ref="E20:E20">IF(AUTOEVENTO="Manual",ROUND(SUMPRODUCT((CÁLCULO!$M$15:$M$205=EVENTOS!$C20)*(OFFSET(CÁLCULO!$AQ$15:$AQ$205,0,E$13))),2),0)</f>
        <v>0</v>
      </c>
      <c r="F20" s="263" t="n">
        <f aca="true">IF(AUTOEVENTO="Manual",ROUND(SUMPRODUCT((CÁLCULO!$M$15:$M$205=EVENTOS!$C20)*(OFFSET(CÁLCULO!$AQ$15,0,1):OFFSET(CÁLCULO!$BR$205,0,-1))),2),0)</f>
        <v>0</v>
      </c>
      <c r="G20" s="264" t="str">
        <f aca="false">IF(AND(D20=0,F20&gt;0),"NOME",
 IF(AND(D20&lt;&gt;0,$F$14&gt;0,F20=0),"VALOR",
 IF(AND(Import.TipoArredondamento="TransfereGOV",$A20="F",LEN(D20)&gt;100),"Nome &gt;100","")))</f>
        <v/>
      </c>
      <c r="H20" s="262" t="n">
        <f aca="true" t="array" ref="H20:H20">IF(AUTOEVENTO="Manual",ROUND(SUMPRODUCT((CÁLCULO!$M$15:$M$205=EVENTOS!$C20)*(OFFSET(CÁLCULO!$AQ$15:$AQ$205,0,H$13))),2),0)</f>
        <v>0</v>
      </c>
      <c r="I20" s="262" t="n">
        <f aca="true" t="array" ref="I20:I20">IF(AUTOEVENTO="Manual",ROUND(SUMPRODUCT((CÁLCULO!$M$15:$M$205=EVENTOS!$C20)*(OFFSET(CÁLCULO!$AQ$15:$AQ$205,0,I$13))),2),0)</f>
        <v>0</v>
      </c>
      <c r="J20" s="262" t="n">
        <f aca="true" t="array" ref="J20:J20">IF(AUTOEVENTO="Manual",ROUND(SUMPRODUCT((CÁLCULO!$M$15:$M$205=EVENTOS!$C20)*(OFFSET(CÁLCULO!$AQ$15:$AQ$205,0,J$13))),2),0)</f>
        <v>0</v>
      </c>
      <c r="K20" s="262" t="n">
        <f aca="true" t="array" ref="K20:K20">IF(AUTOEVENTO="Manual",ROUND(SUMPRODUCT((CÁLCULO!$M$15:$M$205=EVENTOS!$C20)*(OFFSET(CÁLCULO!$AQ$15:$AQ$205,0,K$13))),2),0)</f>
        <v>0</v>
      </c>
      <c r="L20" s="262" t="n">
        <f aca="true" t="array" ref="L20:L20">IF(AUTOEVENTO="Manual",ROUND(SUMPRODUCT((CÁLCULO!$M$15:$M$205=EVENTOS!$C20)*(OFFSET(CÁLCULO!$AQ$15:$AQ$205,0,L$13))),2),0)</f>
        <v>0</v>
      </c>
      <c r="M20" s="262" t="n">
        <f aca="true" t="array" ref="M20:M20">IF(AUTOEVENTO="Manual",ROUND(SUMPRODUCT((CÁLCULO!$M$15:$M$205=EVENTOS!$C20)*(OFFSET(CÁLCULO!$AQ$15:$AQ$205,0,M$13))),2),0)</f>
        <v>0</v>
      </c>
      <c r="N20" s="262" t="n">
        <f aca="true" t="array" ref="N20:N20">IF(AUTOEVENTO="Manual",ROUND(SUMPRODUCT((CÁLCULO!$M$15:$M$205=EVENTOS!$C20)*(OFFSET(CÁLCULO!$AQ$15:$AQ$205,0,N$13))),2),0)</f>
        <v>0</v>
      </c>
      <c r="O20" s="262" t="n">
        <f aca="true" t="array" ref="O20:O20">IF(AUTOEVENTO="Manual",ROUND(SUMPRODUCT((CÁLCULO!$M$15:$M$205=EVENTOS!$C20)*(OFFSET(CÁLCULO!$AQ$15:$AQ$205,0,O$13))),2),0)</f>
        <v>0</v>
      </c>
      <c r="P20" s="262" t="n">
        <f aca="true" t="array" ref="P20:P20">IF(AUTOEVENTO="Manual",ROUND(SUMPRODUCT((CÁLCULO!$M$15:$M$205=EVENTOS!$C20)*(OFFSET(CÁLCULO!$AQ$15:$AQ$205,0,P$13))),2),0)</f>
        <v>0</v>
      </c>
      <c r="Q20" s="262" t="n">
        <f aca="true" t="array" ref="Q20:Q20">IF(AUTOEVENTO="Manual",ROUND(SUMPRODUCT((CÁLCULO!$M$15:$M$205=EVENTOS!$C20)*(OFFSET(CÁLCULO!$AQ$15:$AQ$205,0,Q$13))),2),0)</f>
        <v>0</v>
      </c>
      <c r="R20" s="262" t="n">
        <f aca="true" t="array" ref="R20:R20">IF(AUTOEVENTO="Manual",ROUND(SUMPRODUCT((CÁLCULO!$M$15:$M$205=EVENTOS!$C20)*(OFFSET(CÁLCULO!$AQ$15:$AQ$205,0,R$13))),2),0)</f>
        <v>0</v>
      </c>
      <c r="S20" s="262" t="n">
        <f aca="true" t="array" ref="S20:S20">IF(AUTOEVENTO="Manual",ROUND(SUMPRODUCT((CÁLCULO!$M$15:$M$205=EVENTOS!$C20)*(OFFSET(CÁLCULO!$AQ$15:$AQ$205,0,S$13))),2),0)</f>
        <v>0</v>
      </c>
      <c r="T20" s="262" t="n">
        <f aca="true" t="array" ref="T20:T20">IF(AUTOEVENTO="Manual",ROUND(SUMPRODUCT((CÁLCULO!$M$15:$M$205=EVENTOS!$C20)*(OFFSET(CÁLCULO!$AQ$15:$AQ$205,0,T$13))),2),0)</f>
        <v>0</v>
      </c>
      <c r="U20" s="262" t="n">
        <f aca="true" t="array" ref="U20:U20">IF(AUTOEVENTO="Manual",ROUND(SUMPRODUCT((CÁLCULO!$M$15:$M$205=EVENTOS!$C20)*(OFFSET(CÁLCULO!$AQ$15:$AQ$205,0,U$13))),2),0)</f>
        <v>0</v>
      </c>
      <c r="V20" s="262" t="n">
        <f aca="true" t="array" ref="V20:V20">IF(AUTOEVENTO="Manual",ROUND(SUMPRODUCT((CÁLCULO!$M$15:$M$205=EVENTOS!$C20)*(OFFSET(CÁLCULO!$AQ$15:$AQ$205,0,V$13))),2),0)</f>
        <v>0</v>
      </c>
      <c r="W20" s="262" t="n">
        <f aca="true" t="array" ref="W20:W20">IF(AUTOEVENTO="Manual",ROUND(SUMPRODUCT((CÁLCULO!$M$15:$M$205=EVENTOS!$C20)*(OFFSET(CÁLCULO!$AQ$15:$AQ$205,0,W$13))),2),0)</f>
        <v>0</v>
      </c>
      <c r="X20" s="262" t="n">
        <f aca="true" t="array" ref="X20:X20">IF(AUTOEVENTO="Manual",ROUND(SUMPRODUCT((CÁLCULO!$M$15:$M$205=EVENTOS!$C20)*(OFFSET(CÁLCULO!$AQ$15:$AQ$205,0,X$13))),2),0)</f>
        <v>0</v>
      </c>
      <c r="Y20" s="262" t="n">
        <f aca="true" t="array" ref="Y20:Y20">IF(AUTOEVENTO="Manual",ROUND(SUMPRODUCT((CÁLCULO!$M$15:$M$205=EVENTOS!$C20)*(OFFSET(CÁLCULO!$AQ$15:$AQ$205,0,Y$13))),2),0)</f>
        <v>0</v>
      </c>
      <c r="Z20" s="262" t="n">
        <f aca="true" t="array" ref="Z20:Z20">IF(AUTOEVENTO="Manual",ROUND(SUMPRODUCT((CÁLCULO!$M$15:$M$205=EVENTOS!$C20)*(OFFSET(CÁLCULO!$AQ$15:$AQ$205,0,Z$13))),2),0)</f>
        <v>0</v>
      </c>
      <c r="AA20" s="262" t="n">
        <f aca="true" t="array" ref="AA20:AA20">IF(AUTOEVENTO="Manual",ROUND(SUMPRODUCT((CÁLCULO!$M$15:$M$205=EVENTOS!$C20)*(OFFSET(CÁLCULO!$AQ$15:$AQ$205,0,AA$13))),2),0)</f>
        <v>0</v>
      </c>
      <c r="AB20" s="262" t="n">
        <f aca="true" t="array" ref="AB20:AB20">IF(AUTOEVENTO="Manual",ROUND(SUMPRODUCT((CÁLCULO!$M$15:$M$205=EVENTOS!$C20)*(OFFSET(CÁLCULO!$AQ$15:$AQ$205,0,AB$13))),2),0)</f>
        <v>0</v>
      </c>
      <c r="AC20" s="262" t="n">
        <f aca="true" t="array" ref="AC20:AC20">IF(AUTOEVENTO="Manual",ROUND(SUMPRODUCT((CÁLCULO!$M$15:$M$205=EVENTOS!$C20)*(OFFSET(CÁLCULO!$AQ$15:$AQ$205,0,AC$13))),2),0)</f>
        <v>0</v>
      </c>
      <c r="AD20" s="262" t="n">
        <f aca="true" t="array" ref="AD20:AD20">IF(AUTOEVENTO="Manual",ROUND(SUMPRODUCT((CÁLCULO!$M$15:$M$205=EVENTOS!$C20)*(OFFSET(CÁLCULO!$AQ$15:$AQ$205,0,AD$13))),2),0)</f>
        <v>0</v>
      </c>
      <c r="AE20" s="262" t="n">
        <f aca="true" t="array" ref="AE20:AE20">IF(AUTOEVENTO="Manual",ROUND(SUMPRODUCT((CÁLCULO!$M$15:$M$205=EVENTOS!$C20)*(OFFSET(CÁLCULO!$AQ$15:$AQ$205,0,AE$13))),2),0)</f>
        <v>0</v>
      </c>
      <c r="AF20" s="262" t="n">
        <f aca="true" t="array" ref="AF20:AF20">IF(AUTOEVENTO="Manual",ROUND(SUMPRODUCT((CÁLCULO!$M$15:$M$205=EVENTOS!$C20)*(OFFSET(CÁLCULO!$AQ$15:$AQ$205,0,AF$13))),2),0)</f>
        <v>0</v>
      </c>
      <c r="AG20" s="262" t="n">
        <f aca="true" t="array" ref="AG20:AG20">IF(AUTOEVENTO="Manual",ROUND(SUMPRODUCT((CÁLCULO!$M$15:$M$205=EVENTOS!$C20)*(OFFSET(CÁLCULO!$AQ$15:$AQ$205,0,AG$13))),2),0)</f>
        <v>0</v>
      </c>
      <c r="AH20" s="262" t="n">
        <f aca="true" t="array" ref="AH20:AH20">IF(AUTOEVENTO="Manual",ROUND(SUMPRODUCT((CÁLCULO!$M$15:$M$205=EVENTOS!$C20)*(OFFSET(CÁLCULO!$AQ$15:$AQ$205,0,AH$13))),2),0)</f>
        <v>0</v>
      </c>
      <c r="AI20" s="262" t="n">
        <f aca="true" t="array" ref="AI20:AI20">IF(AUTOEVENTO="Manual",ROUND(SUMPRODUCT((CÁLCULO!$M$15:$M$205=EVENTOS!$C20)*(OFFSET(CÁLCULO!$AQ$15:$AQ$205,0,AI$13))),2),0)</f>
        <v>0</v>
      </c>
    </row>
    <row r="21" customFormat="false" ht="12.75" hidden="false" customHeight="false" outlineLevel="0" collapsed="false">
      <c r="A21" s="259" t="str">
        <f aca="false">IF(D21="","","F")</f>
        <v/>
      </c>
      <c r="B21" s="1" t="str">
        <f aca="false">IF(OR(C21=" ",D21=""),"",CONCATENATE(C21,". ",D21))</f>
        <v/>
      </c>
      <c r="C21" s="260" t="str">
        <f aca="true" t="array" ref="C21:C21">IF(OR(ROW(C21)=ROW(EVENTOS.firstrow)+1,AND(OFFSET(C21,-1,0)&lt;&gt;" ",OFFSET(C21,-1,1)&lt;&gt;"")),OFFSET(C21,-1,0)+1," ")</f>
        <v> </v>
      </c>
      <c r="D21" s="261"/>
      <c r="E21" s="262" t="n">
        <f aca="true" t="array" ref="E21:E21">IF(AUTOEVENTO="Manual",ROUND(SUMPRODUCT((CÁLCULO!$M$15:$M$205=EVENTOS!$C21)*(OFFSET(CÁLCULO!$AQ$15:$AQ$205,0,E$13))),2),0)</f>
        <v>0</v>
      </c>
      <c r="F21" s="263" t="n">
        <f aca="true">IF(AUTOEVENTO="Manual",ROUND(SUMPRODUCT((CÁLCULO!$M$15:$M$205=EVENTOS!$C21)*(OFFSET(CÁLCULO!$AQ$15,0,1):OFFSET(CÁLCULO!$BR$205,0,-1))),2),0)</f>
        <v>0</v>
      </c>
      <c r="G21" s="264" t="str">
        <f aca="false">IF(AND(D21=0,F21&gt;0),"NOME",
 IF(AND(D21&lt;&gt;0,$F$14&gt;0,F21=0),"VALOR",
 IF(AND(Import.TipoArredondamento="TransfereGOV",$A21="F",LEN(D21)&gt;100),"Nome &gt;100","")))</f>
        <v/>
      </c>
      <c r="H21" s="262" t="n">
        <f aca="true" t="array" ref="H21:H21">IF(AUTOEVENTO="Manual",ROUND(SUMPRODUCT((CÁLCULO!$M$15:$M$205=EVENTOS!$C21)*(OFFSET(CÁLCULO!$AQ$15:$AQ$205,0,H$13))),2),0)</f>
        <v>0</v>
      </c>
      <c r="I21" s="262" t="n">
        <f aca="true" t="array" ref="I21:I21">IF(AUTOEVENTO="Manual",ROUND(SUMPRODUCT((CÁLCULO!$M$15:$M$205=EVENTOS!$C21)*(OFFSET(CÁLCULO!$AQ$15:$AQ$205,0,I$13))),2),0)</f>
        <v>0</v>
      </c>
      <c r="J21" s="262" t="n">
        <f aca="true" t="array" ref="J21:J21">IF(AUTOEVENTO="Manual",ROUND(SUMPRODUCT((CÁLCULO!$M$15:$M$205=EVENTOS!$C21)*(OFFSET(CÁLCULO!$AQ$15:$AQ$205,0,J$13))),2),0)</f>
        <v>0</v>
      </c>
      <c r="K21" s="262" t="n">
        <f aca="true" t="array" ref="K21:K21">IF(AUTOEVENTO="Manual",ROUND(SUMPRODUCT((CÁLCULO!$M$15:$M$205=EVENTOS!$C21)*(OFFSET(CÁLCULO!$AQ$15:$AQ$205,0,K$13))),2),0)</f>
        <v>0</v>
      </c>
      <c r="L21" s="262" t="n">
        <f aca="true" t="array" ref="L21:L21">IF(AUTOEVENTO="Manual",ROUND(SUMPRODUCT((CÁLCULO!$M$15:$M$205=EVENTOS!$C21)*(OFFSET(CÁLCULO!$AQ$15:$AQ$205,0,L$13))),2),0)</f>
        <v>0</v>
      </c>
      <c r="M21" s="262" t="n">
        <f aca="true" t="array" ref="M21:M21">IF(AUTOEVENTO="Manual",ROUND(SUMPRODUCT((CÁLCULO!$M$15:$M$205=EVENTOS!$C21)*(OFFSET(CÁLCULO!$AQ$15:$AQ$205,0,M$13))),2),0)</f>
        <v>0</v>
      </c>
      <c r="N21" s="262" t="n">
        <f aca="true" t="array" ref="N21:N21">IF(AUTOEVENTO="Manual",ROUND(SUMPRODUCT((CÁLCULO!$M$15:$M$205=EVENTOS!$C21)*(OFFSET(CÁLCULO!$AQ$15:$AQ$205,0,N$13))),2),0)</f>
        <v>0</v>
      </c>
      <c r="O21" s="262" t="n">
        <f aca="true" t="array" ref="O21:O21">IF(AUTOEVENTO="Manual",ROUND(SUMPRODUCT((CÁLCULO!$M$15:$M$205=EVENTOS!$C21)*(OFFSET(CÁLCULO!$AQ$15:$AQ$205,0,O$13))),2),0)</f>
        <v>0</v>
      </c>
      <c r="P21" s="262" t="n">
        <f aca="true" t="array" ref="P21:P21">IF(AUTOEVENTO="Manual",ROUND(SUMPRODUCT((CÁLCULO!$M$15:$M$205=EVENTOS!$C21)*(OFFSET(CÁLCULO!$AQ$15:$AQ$205,0,P$13))),2),0)</f>
        <v>0</v>
      </c>
      <c r="Q21" s="262" t="n">
        <f aca="true" t="array" ref="Q21:Q21">IF(AUTOEVENTO="Manual",ROUND(SUMPRODUCT((CÁLCULO!$M$15:$M$205=EVENTOS!$C21)*(OFFSET(CÁLCULO!$AQ$15:$AQ$205,0,Q$13))),2),0)</f>
        <v>0</v>
      </c>
      <c r="R21" s="262" t="n">
        <f aca="true" t="array" ref="R21:R21">IF(AUTOEVENTO="Manual",ROUND(SUMPRODUCT((CÁLCULO!$M$15:$M$205=EVENTOS!$C21)*(OFFSET(CÁLCULO!$AQ$15:$AQ$205,0,R$13))),2),0)</f>
        <v>0</v>
      </c>
      <c r="S21" s="262" t="n">
        <f aca="true" t="array" ref="S21:S21">IF(AUTOEVENTO="Manual",ROUND(SUMPRODUCT((CÁLCULO!$M$15:$M$205=EVENTOS!$C21)*(OFFSET(CÁLCULO!$AQ$15:$AQ$205,0,S$13))),2),0)</f>
        <v>0</v>
      </c>
      <c r="T21" s="262" t="n">
        <f aca="true" t="array" ref="T21:T21">IF(AUTOEVENTO="Manual",ROUND(SUMPRODUCT((CÁLCULO!$M$15:$M$205=EVENTOS!$C21)*(OFFSET(CÁLCULO!$AQ$15:$AQ$205,0,T$13))),2),0)</f>
        <v>0</v>
      </c>
      <c r="U21" s="262" t="n">
        <f aca="true" t="array" ref="U21:U21">IF(AUTOEVENTO="Manual",ROUND(SUMPRODUCT((CÁLCULO!$M$15:$M$205=EVENTOS!$C21)*(OFFSET(CÁLCULO!$AQ$15:$AQ$205,0,U$13))),2),0)</f>
        <v>0</v>
      </c>
      <c r="V21" s="262" t="n">
        <f aca="true" t="array" ref="V21:V21">IF(AUTOEVENTO="Manual",ROUND(SUMPRODUCT((CÁLCULO!$M$15:$M$205=EVENTOS!$C21)*(OFFSET(CÁLCULO!$AQ$15:$AQ$205,0,V$13))),2),0)</f>
        <v>0</v>
      </c>
      <c r="W21" s="262" t="n">
        <f aca="true" t="array" ref="W21:W21">IF(AUTOEVENTO="Manual",ROUND(SUMPRODUCT((CÁLCULO!$M$15:$M$205=EVENTOS!$C21)*(OFFSET(CÁLCULO!$AQ$15:$AQ$205,0,W$13))),2),0)</f>
        <v>0</v>
      </c>
      <c r="X21" s="262" t="n">
        <f aca="true" t="array" ref="X21:X21">IF(AUTOEVENTO="Manual",ROUND(SUMPRODUCT((CÁLCULO!$M$15:$M$205=EVENTOS!$C21)*(OFFSET(CÁLCULO!$AQ$15:$AQ$205,0,X$13))),2),0)</f>
        <v>0</v>
      </c>
      <c r="Y21" s="262" t="n">
        <f aca="true" t="array" ref="Y21:Y21">IF(AUTOEVENTO="Manual",ROUND(SUMPRODUCT((CÁLCULO!$M$15:$M$205=EVENTOS!$C21)*(OFFSET(CÁLCULO!$AQ$15:$AQ$205,0,Y$13))),2),0)</f>
        <v>0</v>
      </c>
      <c r="Z21" s="262" t="n">
        <f aca="true" t="array" ref="Z21:Z21">IF(AUTOEVENTO="Manual",ROUND(SUMPRODUCT((CÁLCULO!$M$15:$M$205=EVENTOS!$C21)*(OFFSET(CÁLCULO!$AQ$15:$AQ$205,0,Z$13))),2),0)</f>
        <v>0</v>
      </c>
      <c r="AA21" s="262" t="n">
        <f aca="true" t="array" ref="AA21:AA21">IF(AUTOEVENTO="Manual",ROUND(SUMPRODUCT((CÁLCULO!$M$15:$M$205=EVENTOS!$C21)*(OFFSET(CÁLCULO!$AQ$15:$AQ$205,0,AA$13))),2),0)</f>
        <v>0</v>
      </c>
      <c r="AB21" s="262" t="n">
        <f aca="true" t="array" ref="AB21:AB21">IF(AUTOEVENTO="Manual",ROUND(SUMPRODUCT((CÁLCULO!$M$15:$M$205=EVENTOS!$C21)*(OFFSET(CÁLCULO!$AQ$15:$AQ$205,0,AB$13))),2),0)</f>
        <v>0</v>
      </c>
      <c r="AC21" s="262" t="n">
        <f aca="true" t="array" ref="AC21:AC21">IF(AUTOEVENTO="Manual",ROUND(SUMPRODUCT((CÁLCULO!$M$15:$M$205=EVENTOS!$C21)*(OFFSET(CÁLCULO!$AQ$15:$AQ$205,0,AC$13))),2),0)</f>
        <v>0</v>
      </c>
      <c r="AD21" s="262" t="n">
        <f aca="true" t="array" ref="AD21:AD21">IF(AUTOEVENTO="Manual",ROUND(SUMPRODUCT((CÁLCULO!$M$15:$M$205=EVENTOS!$C21)*(OFFSET(CÁLCULO!$AQ$15:$AQ$205,0,AD$13))),2),0)</f>
        <v>0</v>
      </c>
      <c r="AE21" s="262" t="n">
        <f aca="true" t="array" ref="AE21:AE21">IF(AUTOEVENTO="Manual",ROUND(SUMPRODUCT((CÁLCULO!$M$15:$M$205=EVENTOS!$C21)*(OFFSET(CÁLCULO!$AQ$15:$AQ$205,0,AE$13))),2),0)</f>
        <v>0</v>
      </c>
      <c r="AF21" s="262" t="n">
        <f aca="true" t="array" ref="AF21:AF21">IF(AUTOEVENTO="Manual",ROUND(SUMPRODUCT((CÁLCULO!$M$15:$M$205=EVENTOS!$C21)*(OFFSET(CÁLCULO!$AQ$15:$AQ$205,0,AF$13))),2),0)</f>
        <v>0</v>
      </c>
      <c r="AG21" s="262" t="n">
        <f aca="true" t="array" ref="AG21:AG21">IF(AUTOEVENTO="Manual",ROUND(SUMPRODUCT((CÁLCULO!$M$15:$M$205=EVENTOS!$C21)*(OFFSET(CÁLCULO!$AQ$15:$AQ$205,0,AG$13))),2),0)</f>
        <v>0</v>
      </c>
      <c r="AH21" s="262" t="n">
        <f aca="true" t="array" ref="AH21:AH21">IF(AUTOEVENTO="Manual",ROUND(SUMPRODUCT((CÁLCULO!$M$15:$M$205=EVENTOS!$C21)*(OFFSET(CÁLCULO!$AQ$15:$AQ$205,0,AH$13))),2),0)</f>
        <v>0</v>
      </c>
      <c r="AI21" s="262" t="n">
        <f aca="true" t="array" ref="AI21:AI21">IF(AUTOEVENTO="Manual",ROUND(SUMPRODUCT((CÁLCULO!$M$15:$M$205=EVENTOS!$C21)*(OFFSET(CÁLCULO!$AQ$15:$AQ$205,0,AI$13))),2),0)</f>
        <v>0</v>
      </c>
    </row>
    <row r="22" customFormat="false" ht="12.75" hidden="false" customHeight="false" outlineLevel="0" collapsed="false">
      <c r="A22" s="259" t="str">
        <f aca="false">IF(D22="","","F")</f>
        <v/>
      </c>
      <c r="B22" s="1" t="str">
        <f aca="false">IF(OR(C22=" ",D22=""),"",CONCATENATE(C22,". ",D22))</f>
        <v/>
      </c>
      <c r="C22" s="260" t="str">
        <f aca="true" t="array" ref="C22:C22">IF(OR(ROW(C22)=ROW(EVENTOS.firstrow)+1,AND(OFFSET(C22,-1,0)&lt;&gt;" ",OFFSET(C22,-1,1)&lt;&gt;"")),OFFSET(C22,-1,0)+1," ")</f>
        <v> </v>
      </c>
      <c r="D22" s="261"/>
      <c r="E22" s="262" t="n">
        <f aca="true" t="array" ref="E22:E22">IF(AUTOEVENTO="Manual",ROUND(SUMPRODUCT((CÁLCULO!$M$15:$M$205=EVENTOS!$C22)*(OFFSET(CÁLCULO!$AQ$15:$AQ$205,0,E$13))),2),0)</f>
        <v>0</v>
      </c>
      <c r="F22" s="263" t="n">
        <f aca="true">IF(AUTOEVENTO="Manual",ROUND(SUMPRODUCT((CÁLCULO!$M$15:$M$205=EVENTOS!$C22)*(OFFSET(CÁLCULO!$AQ$15,0,1):OFFSET(CÁLCULO!$BR$205,0,-1))),2),0)</f>
        <v>0</v>
      </c>
      <c r="G22" s="264" t="str">
        <f aca="false">IF(AND(D22=0,F22&gt;0),"NOME",
 IF(AND(D22&lt;&gt;0,$F$14&gt;0,F22=0),"VALOR",
 IF(AND(Import.TipoArredondamento="TransfereGOV",$A22="F",LEN(D22)&gt;100),"Nome &gt;100","")))</f>
        <v/>
      </c>
      <c r="H22" s="262" t="n">
        <f aca="true" t="array" ref="H22:H22">IF(AUTOEVENTO="Manual",ROUND(SUMPRODUCT((CÁLCULO!$M$15:$M$205=EVENTOS!$C22)*(OFFSET(CÁLCULO!$AQ$15:$AQ$205,0,H$13))),2),0)</f>
        <v>0</v>
      </c>
      <c r="I22" s="262" t="n">
        <f aca="true" t="array" ref="I22:I22">IF(AUTOEVENTO="Manual",ROUND(SUMPRODUCT((CÁLCULO!$M$15:$M$205=EVENTOS!$C22)*(OFFSET(CÁLCULO!$AQ$15:$AQ$205,0,I$13))),2),0)</f>
        <v>0</v>
      </c>
      <c r="J22" s="262" t="n">
        <f aca="true" t="array" ref="J22:J22">IF(AUTOEVENTO="Manual",ROUND(SUMPRODUCT((CÁLCULO!$M$15:$M$205=EVENTOS!$C22)*(OFFSET(CÁLCULO!$AQ$15:$AQ$205,0,J$13))),2),0)</f>
        <v>0</v>
      </c>
      <c r="K22" s="262" t="n">
        <f aca="true" t="array" ref="K22:K22">IF(AUTOEVENTO="Manual",ROUND(SUMPRODUCT((CÁLCULO!$M$15:$M$205=EVENTOS!$C22)*(OFFSET(CÁLCULO!$AQ$15:$AQ$205,0,K$13))),2),0)</f>
        <v>0</v>
      </c>
      <c r="L22" s="262" t="n">
        <f aca="true" t="array" ref="L22:L22">IF(AUTOEVENTO="Manual",ROUND(SUMPRODUCT((CÁLCULO!$M$15:$M$205=EVENTOS!$C22)*(OFFSET(CÁLCULO!$AQ$15:$AQ$205,0,L$13))),2),0)</f>
        <v>0</v>
      </c>
      <c r="M22" s="262" t="n">
        <f aca="true" t="array" ref="M22:M22">IF(AUTOEVENTO="Manual",ROUND(SUMPRODUCT((CÁLCULO!$M$15:$M$205=EVENTOS!$C22)*(OFFSET(CÁLCULO!$AQ$15:$AQ$205,0,M$13))),2),0)</f>
        <v>0</v>
      </c>
      <c r="N22" s="262" t="n">
        <f aca="true" t="array" ref="N22:N22">IF(AUTOEVENTO="Manual",ROUND(SUMPRODUCT((CÁLCULO!$M$15:$M$205=EVENTOS!$C22)*(OFFSET(CÁLCULO!$AQ$15:$AQ$205,0,N$13))),2),0)</f>
        <v>0</v>
      </c>
      <c r="O22" s="262" t="n">
        <f aca="true" t="array" ref="O22:O22">IF(AUTOEVENTO="Manual",ROUND(SUMPRODUCT((CÁLCULO!$M$15:$M$205=EVENTOS!$C22)*(OFFSET(CÁLCULO!$AQ$15:$AQ$205,0,O$13))),2),0)</f>
        <v>0</v>
      </c>
      <c r="P22" s="262" t="n">
        <f aca="true" t="array" ref="P22:P22">IF(AUTOEVENTO="Manual",ROUND(SUMPRODUCT((CÁLCULO!$M$15:$M$205=EVENTOS!$C22)*(OFFSET(CÁLCULO!$AQ$15:$AQ$205,0,P$13))),2),0)</f>
        <v>0</v>
      </c>
      <c r="Q22" s="262" t="n">
        <f aca="true" t="array" ref="Q22:Q22">IF(AUTOEVENTO="Manual",ROUND(SUMPRODUCT((CÁLCULO!$M$15:$M$205=EVENTOS!$C22)*(OFFSET(CÁLCULO!$AQ$15:$AQ$205,0,Q$13))),2),0)</f>
        <v>0</v>
      </c>
      <c r="R22" s="262" t="n">
        <f aca="true" t="array" ref="R22:R22">IF(AUTOEVENTO="Manual",ROUND(SUMPRODUCT((CÁLCULO!$M$15:$M$205=EVENTOS!$C22)*(OFFSET(CÁLCULO!$AQ$15:$AQ$205,0,R$13))),2),0)</f>
        <v>0</v>
      </c>
      <c r="S22" s="262" t="n">
        <f aca="true" t="array" ref="S22:S22">IF(AUTOEVENTO="Manual",ROUND(SUMPRODUCT((CÁLCULO!$M$15:$M$205=EVENTOS!$C22)*(OFFSET(CÁLCULO!$AQ$15:$AQ$205,0,S$13))),2),0)</f>
        <v>0</v>
      </c>
      <c r="T22" s="262" t="n">
        <f aca="true" t="array" ref="T22:T22">IF(AUTOEVENTO="Manual",ROUND(SUMPRODUCT((CÁLCULO!$M$15:$M$205=EVENTOS!$C22)*(OFFSET(CÁLCULO!$AQ$15:$AQ$205,0,T$13))),2),0)</f>
        <v>0</v>
      </c>
      <c r="U22" s="262" t="n">
        <f aca="true" t="array" ref="U22:U22">IF(AUTOEVENTO="Manual",ROUND(SUMPRODUCT((CÁLCULO!$M$15:$M$205=EVENTOS!$C22)*(OFFSET(CÁLCULO!$AQ$15:$AQ$205,0,U$13))),2),0)</f>
        <v>0</v>
      </c>
      <c r="V22" s="262" t="n">
        <f aca="true" t="array" ref="V22:V22">IF(AUTOEVENTO="Manual",ROUND(SUMPRODUCT((CÁLCULO!$M$15:$M$205=EVENTOS!$C22)*(OFFSET(CÁLCULO!$AQ$15:$AQ$205,0,V$13))),2),0)</f>
        <v>0</v>
      </c>
      <c r="W22" s="262" t="n">
        <f aca="true" t="array" ref="W22:W22">IF(AUTOEVENTO="Manual",ROUND(SUMPRODUCT((CÁLCULO!$M$15:$M$205=EVENTOS!$C22)*(OFFSET(CÁLCULO!$AQ$15:$AQ$205,0,W$13))),2),0)</f>
        <v>0</v>
      </c>
      <c r="X22" s="262" t="n">
        <f aca="true" t="array" ref="X22:X22">IF(AUTOEVENTO="Manual",ROUND(SUMPRODUCT((CÁLCULO!$M$15:$M$205=EVENTOS!$C22)*(OFFSET(CÁLCULO!$AQ$15:$AQ$205,0,X$13))),2),0)</f>
        <v>0</v>
      </c>
      <c r="Y22" s="262" t="n">
        <f aca="true" t="array" ref="Y22:Y22">IF(AUTOEVENTO="Manual",ROUND(SUMPRODUCT((CÁLCULO!$M$15:$M$205=EVENTOS!$C22)*(OFFSET(CÁLCULO!$AQ$15:$AQ$205,0,Y$13))),2),0)</f>
        <v>0</v>
      </c>
      <c r="Z22" s="262" t="n">
        <f aca="true" t="array" ref="Z22:Z22">IF(AUTOEVENTO="Manual",ROUND(SUMPRODUCT((CÁLCULO!$M$15:$M$205=EVENTOS!$C22)*(OFFSET(CÁLCULO!$AQ$15:$AQ$205,0,Z$13))),2),0)</f>
        <v>0</v>
      </c>
      <c r="AA22" s="262" t="n">
        <f aca="true" t="array" ref="AA22:AA22">IF(AUTOEVENTO="Manual",ROUND(SUMPRODUCT((CÁLCULO!$M$15:$M$205=EVENTOS!$C22)*(OFFSET(CÁLCULO!$AQ$15:$AQ$205,0,AA$13))),2),0)</f>
        <v>0</v>
      </c>
      <c r="AB22" s="262" t="n">
        <f aca="true" t="array" ref="AB22:AB22">IF(AUTOEVENTO="Manual",ROUND(SUMPRODUCT((CÁLCULO!$M$15:$M$205=EVENTOS!$C22)*(OFFSET(CÁLCULO!$AQ$15:$AQ$205,0,AB$13))),2),0)</f>
        <v>0</v>
      </c>
      <c r="AC22" s="262" t="n">
        <f aca="true" t="array" ref="AC22:AC22">IF(AUTOEVENTO="Manual",ROUND(SUMPRODUCT((CÁLCULO!$M$15:$M$205=EVENTOS!$C22)*(OFFSET(CÁLCULO!$AQ$15:$AQ$205,0,AC$13))),2),0)</f>
        <v>0</v>
      </c>
      <c r="AD22" s="262" t="n">
        <f aca="true" t="array" ref="AD22:AD22">IF(AUTOEVENTO="Manual",ROUND(SUMPRODUCT((CÁLCULO!$M$15:$M$205=EVENTOS!$C22)*(OFFSET(CÁLCULO!$AQ$15:$AQ$205,0,AD$13))),2),0)</f>
        <v>0</v>
      </c>
      <c r="AE22" s="262" t="n">
        <f aca="true" t="array" ref="AE22:AE22">IF(AUTOEVENTO="Manual",ROUND(SUMPRODUCT((CÁLCULO!$M$15:$M$205=EVENTOS!$C22)*(OFFSET(CÁLCULO!$AQ$15:$AQ$205,0,AE$13))),2),0)</f>
        <v>0</v>
      </c>
      <c r="AF22" s="262" t="n">
        <f aca="true" t="array" ref="AF22:AF22">IF(AUTOEVENTO="Manual",ROUND(SUMPRODUCT((CÁLCULO!$M$15:$M$205=EVENTOS!$C22)*(OFFSET(CÁLCULO!$AQ$15:$AQ$205,0,AF$13))),2),0)</f>
        <v>0</v>
      </c>
      <c r="AG22" s="262" t="n">
        <f aca="true" t="array" ref="AG22:AG22">IF(AUTOEVENTO="Manual",ROUND(SUMPRODUCT((CÁLCULO!$M$15:$M$205=EVENTOS!$C22)*(OFFSET(CÁLCULO!$AQ$15:$AQ$205,0,AG$13))),2),0)</f>
        <v>0</v>
      </c>
      <c r="AH22" s="262" t="n">
        <f aca="true" t="array" ref="AH22:AH22">IF(AUTOEVENTO="Manual",ROUND(SUMPRODUCT((CÁLCULO!$M$15:$M$205=EVENTOS!$C22)*(OFFSET(CÁLCULO!$AQ$15:$AQ$205,0,AH$13))),2),0)</f>
        <v>0</v>
      </c>
      <c r="AI22" s="262" t="n">
        <f aca="true" t="array" ref="AI22:AI22">IF(AUTOEVENTO="Manual",ROUND(SUMPRODUCT((CÁLCULO!$M$15:$M$205=EVENTOS!$C22)*(OFFSET(CÁLCULO!$AQ$15:$AQ$205,0,AI$13))),2),0)</f>
        <v>0</v>
      </c>
    </row>
    <row r="23" customFormat="false" ht="12.75" hidden="false" customHeight="false" outlineLevel="0" collapsed="false">
      <c r="A23" s="259" t="str">
        <f aca="false">IF(D23="","","F")</f>
        <v/>
      </c>
      <c r="B23" s="1" t="str">
        <f aca="false">IF(OR(C23=" ",D23=""),"",CONCATENATE(C23,". ",D23))</f>
        <v/>
      </c>
      <c r="C23" s="260" t="str">
        <f aca="true" t="array" ref="C23:C23">IF(OR(ROW(C23)=ROW(EVENTOS.firstrow)+1,AND(OFFSET(C23,-1,0)&lt;&gt;" ",OFFSET(C23,-1,1)&lt;&gt;"")),OFFSET(C23,-1,0)+1," ")</f>
        <v> </v>
      </c>
      <c r="D23" s="261"/>
      <c r="E23" s="262" t="n">
        <f aca="true" t="array" ref="E23:E23">IF(AUTOEVENTO="Manual",ROUND(SUMPRODUCT((CÁLCULO!$M$15:$M$205=EVENTOS!$C23)*(OFFSET(CÁLCULO!$AQ$15:$AQ$205,0,E$13))),2),0)</f>
        <v>0</v>
      </c>
      <c r="F23" s="263" t="n">
        <f aca="true">IF(AUTOEVENTO="Manual",ROUND(SUMPRODUCT((CÁLCULO!$M$15:$M$205=EVENTOS!$C23)*(OFFSET(CÁLCULO!$AQ$15,0,1):OFFSET(CÁLCULO!$BR$205,0,-1))),2),0)</f>
        <v>0</v>
      </c>
      <c r="G23" s="264" t="str">
        <f aca="false">IF(AND(D23=0,F23&gt;0),"NOME",
 IF(AND(D23&lt;&gt;0,$F$14&gt;0,F23=0),"VALOR",
 IF(AND(Import.TipoArredondamento="TransfereGOV",$A23="F",LEN(D23)&gt;100),"Nome &gt;100","")))</f>
        <v/>
      </c>
      <c r="H23" s="262" t="n">
        <f aca="true" t="array" ref="H23:H23">IF(AUTOEVENTO="Manual",ROUND(SUMPRODUCT((CÁLCULO!$M$15:$M$205=EVENTOS!$C23)*(OFFSET(CÁLCULO!$AQ$15:$AQ$205,0,H$13))),2),0)</f>
        <v>0</v>
      </c>
      <c r="I23" s="262" t="n">
        <f aca="true" t="array" ref="I23:I23">IF(AUTOEVENTO="Manual",ROUND(SUMPRODUCT((CÁLCULO!$M$15:$M$205=EVENTOS!$C23)*(OFFSET(CÁLCULO!$AQ$15:$AQ$205,0,I$13))),2),0)</f>
        <v>0</v>
      </c>
      <c r="J23" s="262" t="n">
        <f aca="true" t="array" ref="J23:J23">IF(AUTOEVENTO="Manual",ROUND(SUMPRODUCT((CÁLCULO!$M$15:$M$205=EVENTOS!$C23)*(OFFSET(CÁLCULO!$AQ$15:$AQ$205,0,J$13))),2),0)</f>
        <v>0</v>
      </c>
      <c r="K23" s="262" t="n">
        <f aca="true" t="array" ref="K23:K23">IF(AUTOEVENTO="Manual",ROUND(SUMPRODUCT((CÁLCULO!$M$15:$M$205=EVENTOS!$C23)*(OFFSET(CÁLCULO!$AQ$15:$AQ$205,0,K$13))),2),0)</f>
        <v>0</v>
      </c>
      <c r="L23" s="262" t="n">
        <f aca="true" t="array" ref="L23:L23">IF(AUTOEVENTO="Manual",ROUND(SUMPRODUCT((CÁLCULO!$M$15:$M$205=EVENTOS!$C23)*(OFFSET(CÁLCULO!$AQ$15:$AQ$205,0,L$13))),2),0)</f>
        <v>0</v>
      </c>
      <c r="M23" s="262" t="n">
        <f aca="true" t="array" ref="M23:M23">IF(AUTOEVENTO="Manual",ROUND(SUMPRODUCT((CÁLCULO!$M$15:$M$205=EVENTOS!$C23)*(OFFSET(CÁLCULO!$AQ$15:$AQ$205,0,M$13))),2),0)</f>
        <v>0</v>
      </c>
      <c r="N23" s="262" t="n">
        <f aca="true" t="array" ref="N23:N23">IF(AUTOEVENTO="Manual",ROUND(SUMPRODUCT((CÁLCULO!$M$15:$M$205=EVENTOS!$C23)*(OFFSET(CÁLCULO!$AQ$15:$AQ$205,0,N$13))),2),0)</f>
        <v>0</v>
      </c>
      <c r="O23" s="262" t="n">
        <f aca="true" t="array" ref="O23:O23">IF(AUTOEVENTO="Manual",ROUND(SUMPRODUCT((CÁLCULO!$M$15:$M$205=EVENTOS!$C23)*(OFFSET(CÁLCULO!$AQ$15:$AQ$205,0,O$13))),2),0)</f>
        <v>0</v>
      </c>
      <c r="P23" s="262" t="n">
        <f aca="true" t="array" ref="P23:P23">IF(AUTOEVENTO="Manual",ROUND(SUMPRODUCT((CÁLCULO!$M$15:$M$205=EVENTOS!$C23)*(OFFSET(CÁLCULO!$AQ$15:$AQ$205,0,P$13))),2),0)</f>
        <v>0</v>
      </c>
      <c r="Q23" s="262" t="n">
        <f aca="true" t="array" ref="Q23:Q23">IF(AUTOEVENTO="Manual",ROUND(SUMPRODUCT((CÁLCULO!$M$15:$M$205=EVENTOS!$C23)*(OFFSET(CÁLCULO!$AQ$15:$AQ$205,0,Q$13))),2),0)</f>
        <v>0</v>
      </c>
      <c r="R23" s="262" t="n">
        <f aca="true" t="array" ref="R23:R23">IF(AUTOEVENTO="Manual",ROUND(SUMPRODUCT((CÁLCULO!$M$15:$M$205=EVENTOS!$C23)*(OFFSET(CÁLCULO!$AQ$15:$AQ$205,0,R$13))),2),0)</f>
        <v>0</v>
      </c>
      <c r="S23" s="262" t="n">
        <f aca="true" t="array" ref="S23:S23">IF(AUTOEVENTO="Manual",ROUND(SUMPRODUCT((CÁLCULO!$M$15:$M$205=EVENTOS!$C23)*(OFFSET(CÁLCULO!$AQ$15:$AQ$205,0,S$13))),2),0)</f>
        <v>0</v>
      </c>
      <c r="T23" s="262" t="n">
        <f aca="true" t="array" ref="T23:T23">IF(AUTOEVENTO="Manual",ROUND(SUMPRODUCT((CÁLCULO!$M$15:$M$205=EVENTOS!$C23)*(OFFSET(CÁLCULO!$AQ$15:$AQ$205,0,T$13))),2),0)</f>
        <v>0</v>
      </c>
      <c r="U23" s="262" t="n">
        <f aca="true" t="array" ref="U23:U23">IF(AUTOEVENTO="Manual",ROUND(SUMPRODUCT((CÁLCULO!$M$15:$M$205=EVENTOS!$C23)*(OFFSET(CÁLCULO!$AQ$15:$AQ$205,0,U$13))),2),0)</f>
        <v>0</v>
      </c>
      <c r="V23" s="262" t="n">
        <f aca="true" t="array" ref="V23:V23">IF(AUTOEVENTO="Manual",ROUND(SUMPRODUCT((CÁLCULO!$M$15:$M$205=EVENTOS!$C23)*(OFFSET(CÁLCULO!$AQ$15:$AQ$205,0,V$13))),2),0)</f>
        <v>0</v>
      </c>
      <c r="W23" s="262" t="n">
        <f aca="true" t="array" ref="W23:W23">IF(AUTOEVENTO="Manual",ROUND(SUMPRODUCT((CÁLCULO!$M$15:$M$205=EVENTOS!$C23)*(OFFSET(CÁLCULO!$AQ$15:$AQ$205,0,W$13))),2),0)</f>
        <v>0</v>
      </c>
      <c r="X23" s="262" t="n">
        <f aca="true" t="array" ref="X23:X23">IF(AUTOEVENTO="Manual",ROUND(SUMPRODUCT((CÁLCULO!$M$15:$M$205=EVENTOS!$C23)*(OFFSET(CÁLCULO!$AQ$15:$AQ$205,0,X$13))),2),0)</f>
        <v>0</v>
      </c>
      <c r="Y23" s="262" t="n">
        <f aca="true" t="array" ref="Y23:Y23">IF(AUTOEVENTO="Manual",ROUND(SUMPRODUCT((CÁLCULO!$M$15:$M$205=EVENTOS!$C23)*(OFFSET(CÁLCULO!$AQ$15:$AQ$205,0,Y$13))),2),0)</f>
        <v>0</v>
      </c>
      <c r="Z23" s="262" t="n">
        <f aca="true" t="array" ref="Z23:Z23">IF(AUTOEVENTO="Manual",ROUND(SUMPRODUCT((CÁLCULO!$M$15:$M$205=EVENTOS!$C23)*(OFFSET(CÁLCULO!$AQ$15:$AQ$205,0,Z$13))),2),0)</f>
        <v>0</v>
      </c>
      <c r="AA23" s="262" t="n">
        <f aca="true" t="array" ref="AA23:AA23">IF(AUTOEVENTO="Manual",ROUND(SUMPRODUCT((CÁLCULO!$M$15:$M$205=EVENTOS!$C23)*(OFFSET(CÁLCULO!$AQ$15:$AQ$205,0,AA$13))),2),0)</f>
        <v>0</v>
      </c>
      <c r="AB23" s="262" t="n">
        <f aca="true" t="array" ref="AB23:AB23">IF(AUTOEVENTO="Manual",ROUND(SUMPRODUCT((CÁLCULO!$M$15:$M$205=EVENTOS!$C23)*(OFFSET(CÁLCULO!$AQ$15:$AQ$205,0,AB$13))),2),0)</f>
        <v>0</v>
      </c>
      <c r="AC23" s="262" t="n">
        <f aca="true" t="array" ref="AC23:AC23">IF(AUTOEVENTO="Manual",ROUND(SUMPRODUCT((CÁLCULO!$M$15:$M$205=EVENTOS!$C23)*(OFFSET(CÁLCULO!$AQ$15:$AQ$205,0,AC$13))),2),0)</f>
        <v>0</v>
      </c>
      <c r="AD23" s="262" t="n">
        <f aca="true" t="array" ref="AD23:AD23">IF(AUTOEVENTO="Manual",ROUND(SUMPRODUCT((CÁLCULO!$M$15:$M$205=EVENTOS!$C23)*(OFFSET(CÁLCULO!$AQ$15:$AQ$205,0,AD$13))),2),0)</f>
        <v>0</v>
      </c>
      <c r="AE23" s="262" t="n">
        <f aca="true" t="array" ref="AE23:AE23">IF(AUTOEVENTO="Manual",ROUND(SUMPRODUCT((CÁLCULO!$M$15:$M$205=EVENTOS!$C23)*(OFFSET(CÁLCULO!$AQ$15:$AQ$205,0,AE$13))),2),0)</f>
        <v>0</v>
      </c>
      <c r="AF23" s="262" t="n">
        <f aca="true" t="array" ref="AF23:AF23">IF(AUTOEVENTO="Manual",ROUND(SUMPRODUCT((CÁLCULO!$M$15:$M$205=EVENTOS!$C23)*(OFFSET(CÁLCULO!$AQ$15:$AQ$205,0,AF$13))),2),0)</f>
        <v>0</v>
      </c>
      <c r="AG23" s="262" t="n">
        <f aca="true" t="array" ref="AG23:AG23">IF(AUTOEVENTO="Manual",ROUND(SUMPRODUCT((CÁLCULO!$M$15:$M$205=EVENTOS!$C23)*(OFFSET(CÁLCULO!$AQ$15:$AQ$205,0,AG$13))),2),0)</f>
        <v>0</v>
      </c>
      <c r="AH23" s="262" t="n">
        <f aca="true" t="array" ref="AH23:AH23">IF(AUTOEVENTO="Manual",ROUND(SUMPRODUCT((CÁLCULO!$M$15:$M$205=EVENTOS!$C23)*(OFFSET(CÁLCULO!$AQ$15:$AQ$205,0,AH$13))),2),0)</f>
        <v>0</v>
      </c>
      <c r="AI23" s="262" t="n">
        <f aca="true" t="array" ref="AI23:AI23">IF(AUTOEVENTO="Manual",ROUND(SUMPRODUCT((CÁLCULO!$M$15:$M$205=EVENTOS!$C23)*(OFFSET(CÁLCULO!$AQ$15:$AQ$205,0,AI$13))),2),0)</f>
        <v>0</v>
      </c>
    </row>
    <row r="24" customFormat="false" ht="12.75" hidden="false" customHeight="false" outlineLevel="0" collapsed="false">
      <c r="A24" s="259" t="str">
        <f aca="false">IF(D24="","","F")</f>
        <v/>
      </c>
      <c r="B24" s="1" t="str">
        <f aca="false">IF(OR(C24=" ",D24=""),"",CONCATENATE(C24,". ",D24))</f>
        <v/>
      </c>
      <c r="C24" s="260" t="str">
        <f aca="true" t="array" ref="C24:C24">IF(OR(ROW(C24)=ROW(EVENTOS.firstrow)+1,AND(OFFSET(C24,-1,0)&lt;&gt;" ",OFFSET(C24,-1,1)&lt;&gt;"")),OFFSET(C24,-1,0)+1," ")</f>
        <v> </v>
      </c>
      <c r="D24" s="261"/>
      <c r="E24" s="262" t="n">
        <f aca="true" t="array" ref="E24:E24">IF(AUTOEVENTO="Manual",ROUND(SUMPRODUCT((CÁLCULO!$M$15:$M$205=EVENTOS!$C24)*(OFFSET(CÁLCULO!$AQ$15:$AQ$205,0,E$13))),2),0)</f>
        <v>0</v>
      </c>
      <c r="F24" s="263" t="n">
        <f aca="true">IF(AUTOEVENTO="Manual",ROUND(SUMPRODUCT((CÁLCULO!$M$15:$M$205=EVENTOS!$C24)*(OFFSET(CÁLCULO!$AQ$15,0,1):OFFSET(CÁLCULO!$BR$205,0,-1))),2),0)</f>
        <v>0</v>
      </c>
      <c r="G24" s="264" t="str">
        <f aca="false">IF(AND(D24=0,F24&gt;0),"NOME",
 IF(AND(D24&lt;&gt;0,$F$14&gt;0,F24=0),"VALOR",
 IF(AND(Import.TipoArredondamento="TransfereGOV",$A24="F",LEN(D24)&gt;100),"Nome &gt;100","")))</f>
        <v/>
      </c>
      <c r="H24" s="262" t="n">
        <f aca="true" t="array" ref="H24:H24">IF(AUTOEVENTO="Manual",ROUND(SUMPRODUCT((CÁLCULO!$M$15:$M$205=EVENTOS!$C24)*(OFFSET(CÁLCULO!$AQ$15:$AQ$205,0,H$13))),2),0)</f>
        <v>0</v>
      </c>
      <c r="I24" s="262" t="n">
        <f aca="true" t="array" ref="I24:I24">IF(AUTOEVENTO="Manual",ROUND(SUMPRODUCT((CÁLCULO!$M$15:$M$205=EVENTOS!$C24)*(OFFSET(CÁLCULO!$AQ$15:$AQ$205,0,I$13))),2),0)</f>
        <v>0</v>
      </c>
      <c r="J24" s="262" t="n">
        <f aca="true" t="array" ref="J24:J24">IF(AUTOEVENTO="Manual",ROUND(SUMPRODUCT((CÁLCULO!$M$15:$M$205=EVENTOS!$C24)*(OFFSET(CÁLCULO!$AQ$15:$AQ$205,0,J$13))),2),0)</f>
        <v>0</v>
      </c>
      <c r="K24" s="262" t="n">
        <f aca="true" t="array" ref="K24:K24">IF(AUTOEVENTO="Manual",ROUND(SUMPRODUCT((CÁLCULO!$M$15:$M$205=EVENTOS!$C24)*(OFFSET(CÁLCULO!$AQ$15:$AQ$205,0,K$13))),2),0)</f>
        <v>0</v>
      </c>
      <c r="L24" s="262" t="n">
        <f aca="true" t="array" ref="L24:L24">IF(AUTOEVENTO="Manual",ROUND(SUMPRODUCT((CÁLCULO!$M$15:$M$205=EVENTOS!$C24)*(OFFSET(CÁLCULO!$AQ$15:$AQ$205,0,L$13))),2),0)</f>
        <v>0</v>
      </c>
      <c r="M24" s="262" t="n">
        <f aca="true" t="array" ref="M24:M24">IF(AUTOEVENTO="Manual",ROUND(SUMPRODUCT((CÁLCULO!$M$15:$M$205=EVENTOS!$C24)*(OFFSET(CÁLCULO!$AQ$15:$AQ$205,0,M$13))),2),0)</f>
        <v>0</v>
      </c>
      <c r="N24" s="262" t="n">
        <f aca="true" t="array" ref="N24:N24">IF(AUTOEVENTO="Manual",ROUND(SUMPRODUCT((CÁLCULO!$M$15:$M$205=EVENTOS!$C24)*(OFFSET(CÁLCULO!$AQ$15:$AQ$205,0,N$13))),2),0)</f>
        <v>0</v>
      </c>
      <c r="O24" s="262" t="n">
        <f aca="true" t="array" ref="O24:O24">IF(AUTOEVENTO="Manual",ROUND(SUMPRODUCT((CÁLCULO!$M$15:$M$205=EVENTOS!$C24)*(OFFSET(CÁLCULO!$AQ$15:$AQ$205,0,O$13))),2),0)</f>
        <v>0</v>
      </c>
      <c r="P24" s="262" t="n">
        <f aca="true" t="array" ref="P24:P24">IF(AUTOEVENTO="Manual",ROUND(SUMPRODUCT((CÁLCULO!$M$15:$M$205=EVENTOS!$C24)*(OFFSET(CÁLCULO!$AQ$15:$AQ$205,0,P$13))),2),0)</f>
        <v>0</v>
      </c>
      <c r="Q24" s="262" t="n">
        <f aca="true" t="array" ref="Q24:Q24">IF(AUTOEVENTO="Manual",ROUND(SUMPRODUCT((CÁLCULO!$M$15:$M$205=EVENTOS!$C24)*(OFFSET(CÁLCULO!$AQ$15:$AQ$205,0,Q$13))),2),0)</f>
        <v>0</v>
      </c>
      <c r="R24" s="262" t="n">
        <f aca="true" t="array" ref="R24:R24">IF(AUTOEVENTO="Manual",ROUND(SUMPRODUCT((CÁLCULO!$M$15:$M$205=EVENTOS!$C24)*(OFFSET(CÁLCULO!$AQ$15:$AQ$205,0,R$13))),2),0)</f>
        <v>0</v>
      </c>
      <c r="S24" s="262" t="n">
        <f aca="true" t="array" ref="S24:S24">IF(AUTOEVENTO="Manual",ROUND(SUMPRODUCT((CÁLCULO!$M$15:$M$205=EVENTOS!$C24)*(OFFSET(CÁLCULO!$AQ$15:$AQ$205,0,S$13))),2),0)</f>
        <v>0</v>
      </c>
      <c r="T24" s="262" t="n">
        <f aca="true" t="array" ref="T24:T24">IF(AUTOEVENTO="Manual",ROUND(SUMPRODUCT((CÁLCULO!$M$15:$M$205=EVENTOS!$C24)*(OFFSET(CÁLCULO!$AQ$15:$AQ$205,0,T$13))),2),0)</f>
        <v>0</v>
      </c>
      <c r="U24" s="262" t="n">
        <f aca="true" t="array" ref="U24:U24">IF(AUTOEVENTO="Manual",ROUND(SUMPRODUCT((CÁLCULO!$M$15:$M$205=EVENTOS!$C24)*(OFFSET(CÁLCULO!$AQ$15:$AQ$205,0,U$13))),2),0)</f>
        <v>0</v>
      </c>
      <c r="V24" s="262" t="n">
        <f aca="true" t="array" ref="V24:V24">IF(AUTOEVENTO="Manual",ROUND(SUMPRODUCT((CÁLCULO!$M$15:$M$205=EVENTOS!$C24)*(OFFSET(CÁLCULO!$AQ$15:$AQ$205,0,V$13))),2),0)</f>
        <v>0</v>
      </c>
      <c r="W24" s="262" t="n">
        <f aca="true" t="array" ref="W24:W24">IF(AUTOEVENTO="Manual",ROUND(SUMPRODUCT((CÁLCULO!$M$15:$M$205=EVENTOS!$C24)*(OFFSET(CÁLCULO!$AQ$15:$AQ$205,0,W$13))),2),0)</f>
        <v>0</v>
      </c>
      <c r="X24" s="262" t="n">
        <f aca="true" t="array" ref="X24:X24">IF(AUTOEVENTO="Manual",ROUND(SUMPRODUCT((CÁLCULO!$M$15:$M$205=EVENTOS!$C24)*(OFFSET(CÁLCULO!$AQ$15:$AQ$205,0,X$13))),2),0)</f>
        <v>0</v>
      </c>
      <c r="Y24" s="262" t="n">
        <f aca="true" t="array" ref="Y24:Y24">IF(AUTOEVENTO="Manual",ROUND(SUMPRODUCT((CÁLCULO!$M$15:$M$205=EVENTOS!$C24)*(OFFSET(CÁLCULO!$AQ$15:$AQ$205,0,Y$13))),2),0)</f>
        <v>0</v>
      </c>
      <c r="Z24" s="262" t="n">
        <f aca="true" t="array" ref="Z24:Z24">IF(AUTOEVENTO="Manual",ROUND(SUMPRODUCT((CÁLCULO!$M$15:$M$205=EVENTOS!$C24)*(OFFSET(CÁLCULO!$AQ$15:$AQ$205,0,Z$13))),2),0)</f>
        <v>0</v>
      </c>
      <c r="AA24" s="262" t="n">
        <f aca="true" t="array" ref="AA24:AA24">IF(AUTOEVENTO="Manual",ROUND(SUMPRODUCT((CÁLCULO!$M$15:$M$205=EVENTOS!$C24)*(OFFSET(CÁLCULO!$AQ$15:$AQ$205,0,AA$13))),2),0)</f>
        <v>0</v>
      </c>
      <c r="AB24" s="262" t="n">
        <f aca="true" t="array" ref="AB24:AB24">IF(AUTOEVENTO="Manual",ROUND(SUMPRODUCT((CÁLCULO!$M$15:$M$205=EVENTOS!$C24)*(OFFSET(CÁLCULO!$AQ$15:$AQ$205,0,AB$13))),2),0)</f>
        <v>0</v>
      </c>
      <c r="AC24" s="262" t="n">
        <f aca="true" t="array" ref="AC24:AC24">IF(AUTOEVENTO="Manual",ROUND(SUMPRODUCT((CÁLCULO!$M$15:$M$205=EVENTOS!$C24)*(OFFSET(CÁLCULO!$AQ$15:$AQ$205,0,AC$13))),2),0)</f>
        <v>0</v>
      </c>
      <c r="AD24" s="262" t="n">
        <f aca="true" t="array" ref="AD24:AD24">IF(AUTOEVENTO="Manual",ROUND(SUMPRODUCT((CÁLCULO!$M$15:$M$205=EVENTOS!$C24)*(OFFSET(CÁLCULO!$AQ$15:$AQ$205,0,AD$13))),2),0)</f>
        <v>0</v>
      </c>
      <c r="AE24" s="262" t="n">
        <f aca="true" t="array" ref="AE24:AE24">IF(AUTOEVENTO="Manual",ROUND(SUMPRODUCT((CÁLCULO!$M$15:$M$205=EVENTOS!$C24)*(OFFSET(CÁLCULO!$AQ$15:$AQ$205,0,AE$13))),2),0)</f>
        <v>0</v>
      </c>
      <c r="AF24" s="262" t="n">
        <f aca="true" t="array" ref="AF24:AF24">IF(AUTOEVENTO="Manual",ROUND(SUMPRODUCT((CÁLCULO!$M$15:$M$205=EVENTOS!$C24)*(OFFSET(CÁLCULO!$AQ$15:$AQ$205,0,AF$13))),2),0)</f>
        <v>0</v>
      </c>
      <c r="AG24" s="262" t="n">
        <f aca="true" t="array" ref="AG24:AG24">IF(AUTOEVENTO="Manual",ROUND(SUMPRODUCT((CÁLCULO!$M$15:$M$205=EVENTOS!$C24)*(OFFSET(CÁLCULO!$AQ$15:$AQ$205,0,AG$13))),2),0)</f>
        <v>0</v>
      </c>
      <c r="AH24" s="262" t="n">
        <f aca="true" t="array" ref="AH24:AH24">IF(AUTOEVENTO="Manual",ROUND(SUMPRODUCT((CÁLCULO!$M$15:$M$205=EVENTOS!$C24)*(OFFSET(CÁLCULO!$AQ$15:$AQ$205,0,AH$13))),2),0)</f>
        <v>0</v>
      </c>
      <c r="AI24" s="262" t="n">
        <f aca="true" t="array" ref="AI24:AI24">IF(AUTOEVENTO="Manual",ROUND(SUMPRODUCT((CÁLCULO!$M$15:$M$205=EVENTOS!$C24)*(OFFSET(CÁLCULO!$AQ$15:$AQ$205,0,AI$13))),2),0)</f>
        <v>0</v>
      </c>
    </row>
    <row r="25" customFormat="false" ht="12.75" hidden="false" customHeight="false" outlineLevel="0" collapsed="false">
      <c r="A25" s="259" t="str">
        <f aca="false">IF(D25="","","F")</f>
        <v/>
      </c>
      <c r="B25" s="1" t="str">
        <f aca="false">IF(OR(C25=" ",D25=""),"",CONCATENATE(C25,". ",D25))</f>
        <v/>
      </c>
      <c r="C25" s="260" t="str">
        <f aca="true" t="array" ref="C25:C25">IF(OR(ROW(C25)=ROW(EVENTOS.firstrow)+1,AND(OFFSET(C25,-1,0)&lt;&gt;" ",OFFSET(C25,-1,1)&lt;&gt;"")),OFFSET(C25,-1,0)+1," ")</f>
        <v> </v>
      </c>
      <c r="D25" s="261"/>
      <c r="E25" s="262" t="n">
        <f aca="true" t="array" ref="E25:E25">IF(AUTOEVENTO="Manual",ROUND(SUMPRODUCT((CÁLCULO!$M$15:$M$205=EVENTOS!$C25)*(OFFSET(CÁLCULO!$AQ$15:$AQ$205,0,E$13))),2),0)</f>
        <v>0</v>
      </c>
      <c r="F25" s="263" t="n">
        <f aca="true">IF(AUTOEVENTO="Manual",ROUND(SUMPRODUCT((CÁLCULO!$M$15:$M$205=EVENTOS!$C25)*(OFFSET(CÁLCULO!$AQ$15,0,1):OFFSET(CÁLCULO!$BR$205,0,-1))),2),0)</f>
        <v>0</v>
      </c>
      <c r="G25" s="264" t="str">
        <f aca="false">IF(AND(D25=0,F25&gt;0),"NOME",
 IF(AND(D25&lt;&gt;0,$F$14&gt;0,F25=0),"VALOR",
 IF(AND(Import.TipoArredondamento="TransfereGOV",$A25="F",LEN(D25)&gt;100),"Nome &gt;100","")))</f>
        <v/>
      </c>
      <c r="H25" s="262" t="n">
        <f aca="true" t="array" ref="H25:H25">IF(AUTOEVENTO="Manual",ROUND(SUMPRODUCT((CÁLCULO!$M$15:$M$205=EVENTOS!$C25)*(OFFSET(CÁLCULO!$AQ$15:$AQ$205,0,H$13))),2),0)</f>
        <v>0</v>
      </c>
      <c r="I25" s="262" t="n">
        <f aca="true" t="array" ref="I25:I25">IF(AUTOEVENTO="Manual",ROUND(SUMPRODUCT((CÁLCULO!$M$15:$M$205=EVENTOS!$C25)*(OFFSET(CÁLCULO!$AQ$15:$AQ$205,0,I$13))),2),0)</f>
        <v>0</v>
      </c>
      <c r="J25" s="262" t="n">
        <f aca="true" t="array" ref="J25:J25">IF(AUTOEVENTO="Manual",ROUND(SUMPRODUCT((CÁLCULO!$M$15:$M$205=EVENTOS!$C25)*(OFFSET(CÁLCULO!$AQ$15:$AQ$205,0,J$13))),2),0)</f>
        <v>0</v>
      </c>
      <c r="K25" s="262" t="n">
        <f aca="true" t="array" ref="K25:K25">IF(AUTOEVENTO="Manual",ROUND(SUMPRODUCT((CÁLCULO!$M$15:$M$205=EVENTOS!$C25)*(OFFSET(CÁLCULO!$AQ$15:$AQ$205,0,K$13))),2),0)</f>
        <v>0</v>
      </c>
      <c r="L25" s="262" t="n">
        <f aca="true" t="array" ref="L25:L25">IF(AUTOEVENTO="Manual",ROUND(SUMPRODUCT((CÁLCULO!$M$15:$M$205=EVENTOS!$C25)*(OFFSET(CÁLCULO!$AQ$15:$AQ$205,0,L$13))),2),0)</f>
        <v>0</v>
      </c>
      <c r="M25" s="262" t="n">
        <f aca="true" t="array" ref="M25:M25">IF(AUTOEVENTO="Manual",ROUND(SUMPRODUCT((CÁLCULO!$M$15:$M$205=EVENTOS!$C25)*(OFFSET(CÁLCULO!$AQ$15:$AQ$205,0,M$13))),2),0)</f>
        <v>0</v>
      </c>
      <c r="N25" s="262" t="n">
        <f aca="true" t="array" ref="N25:N25">IF(AUTOEVENTO="Manual",ROUND(SUMPRODUCT((CÁLCULO!$M$15:$M$205=EVENTOS!$C25)*(OFFSET(CÁLCULO!$AQ$15:$AQ$205,0,N$13))),2),0)</f>
        <v>0</v>
      </c>
      <c r="O25" s="262" t="n">
        <f aca="true" t="array" ref="O25:O25">IF(AUTOEVENTO="Manual",ROUND(SUMPRODUCT((CÁLCULO!$M$15:$M$205=EVENTOS!$C25)*(OFFSET(CÁLCULO!$AQ$15:$AQ$205,0,O$13))),2),0)</f>
        <v>0</v>
      </c>
      <c r="P25" s="262" t="n">
        <f aca="true" t="array" ref="P25:P25">IF(AUTOEVENTO="Manual",ROUND(SUMPRODUCT((CÁLCULO!$M$15:$M$205=EVENTOS!$C25)*(OFFSET(CÁLCULO!$AQ$15:$AQ$205,0,P$13))),2),0)</f>
        <v>0</v>
      </c>
      <c r="Q25" s="262" t="n">
        <f aca="true" t="array" ref="Q25:Q25">IF(AUTOEVENTO="Manual",ROUND(SUMPRODUCT((CÁLCULO!$M$15:$M$205=EVENTOS!$C25)*(OFFSET(CÁLCULO!$AQ$15:$AQ$205,0,Q$13))),2),0)</f>
        <v>0</v>
      </c>
      <c r="R25" s="262" t="n">
        <f aca="true" t="array" ref="R25:R25">IF(AUTOEVENTO="Manual",ROUND(SUMPRODUCT((CÁLCULO!$M$15:$M$205=EVENTOS!$C25)*(OFFSET(CÁLCULO!$AQ$15:$AQ$205,0,R$13))),2),0)</f>
        <v>0</v>
      </c>
      <c r="S25" s="262" t="n">
        <f aca="true" t="array" ref="S25:S25">IF(AUTOEVENTO="Manual",ROUND(SUMPRODUCT((CÁLCULO!$M$15:$M$205=EVENTOS!$C25)*(OFFSET(CÁLCULO!$AQ$15:$AQ$205,0,S$13))),2),0)</f>
        <v>0</v>
      </c>
      <c r="T25" s="262" t="n">
        <f aca="true" t="array" ref="T25:T25">IF(AUTOEVENTO="Manual",ROUND(SUMPRODUCT((CÁLCULO!$M$15:$M$205=EVENTOS!$C25)*(OFFSET(CÁLCULO!$AQ$15:$AQ$205,0,T$13))),2),0)</f>
        <v>0</v>
      </c>
      <c r="U25" s="262" t="n">
        <f aca="true" t="array" ref="U25:U25">IF(AUTOEVENTO="Manual",ROUND(SUMPRODUCT((CÁLCULO!$M$15:$M$205=EVENTOS!$C25)*(OFFSET(CÁLCULO!$AQ$15:$AQ$205,0,U$13))),2),0)</f>
        <v>0</v>
      </c>
      <c r="V25" s="262" t="n">
        <f aca="true" t="array" ref="V25:V25">IF(AUTOEVENTO="Manual",ROUND(SUMPRODUCT((CÁLCULO!$M$15:$M$205=EVENTOS!$C25)*(OFFSET(CÁLCULO!$AQ$15:$AQ$205,0,V$13))),2),0)</f>
        <v>0</v>
      </c>
      <c r="W25" s="262" t="n">
        <f aca="true" t="array" ref="W25:W25">IF(AUTOEVENTO="Manual",ROUND(SUMPRODUCT((CÁLCULO!$M$15:$M$205=EVENTOS!$C25)*(OFFSET(CÁLCULO!$AQ$15:$AQ$205,0,W$13))),2),0)</f>
        <v>0</v>
      </c>
      <c r="X25" s="262" t="n">
        <f aca="true" t="array" ref="X25:X25">IF(AUTOEVENTO="Manual",ROUND(SUMPRODUCT((CÁLCULO!$M$15:$M$205=EVENTOS!$C25)*(OFFSET(CÁLCULO!$AQ$15:$AQ$205,0,X$13))),2),0)</f>
        <v>0</v>
      </c>
      <c r="Y25" s="262" t="n">
        <f aca="true" t="array" ref="Y25:Y25">IF(AUTOEVENTO="Manual",ROUND(SUMPRODUCT((CÁLCULO!$M$15:$M$205=EVENTOS!$C25)*(OFFSET(CÁLCULO!$AQ$15:$AQ$205,0,Y$13))),2),0)</f>
        <v>0</v>
      </c>
      <c r="Z25" s="262" t="n">
        <f aca="true" t="array" ref="Z25:Z25">IF(AUTOEVENTO="Manual",ROUND(SUMPRODUCT((CÁLCULO!$M$15:$M$205=EVENTOS!$C25)*(OFFSET(CÁLCULO!$AQ$15:$AQ$205,0,Z$13))),2),0)</f>
        <v>0</v>
      </c>
      <c r="AA25" s="262" t="n">
        <f aca="true" t="array" ref="AA25:AA25">IF(AUTOEVENTO="Manual",ROUND(SUMPRODUCT((CÁLCULO!$M$15:$M$205=EVENTOS!$C25)*(OFFSET(CÁLCULO!$AQ$15:$AQ$205,0,AA$13))),2),0)</f>
        <v>0</v>
      </c>
      <c r="AB25" s="262" t="n">
        <f aca="true" t="array" ref="AB25:AB25">IF(AUTOEVENTO="Manual",ROUND(SUMPRODUCT((CÁLCULO!$M$15:$M$205=EVENTOS!$C25)*(OFFSET(CÁLCULO!$AQ$15:$AQ$205,0,AB$13))),2),0)</f>
        <v>0</v>
      </c>
      <c r="AC25" s="262" t="n">
        <f aca="true" t="array" ref="AC25:AC25">IF(AUTOEVENTO="Manual",ROUND(SUMPRODUCT((CÁLCULO!$M$15:$M$205=EVENTOS!$C25)*(OFFSET(CÁLCULO!$AQ$15:$AQ$205,0,AC$13))),2),0)</f>
        <v>0</v>
      </c>
      <c r="AD25" s="262" t="n">
        <f aca="true" t="array" ref="AD25:AD25">IF(AUTOEVENTO="Manual",ROUND(SUMPRODUCT((CÁLCULO!$M$15:$M$205=EVENTOS!$C25)*(OFFSET(CÁLCULO!$AQ$15:$AQ$205,0,AD$13))),2),0)</f>
        <v>0</v>
      </c>
      <c r="AE25" s="262" t="n">
        <f aca="true" t="array" ref="AE25:AE25">IF(AUTOEVENTO="Manual",ROUND(SUMPRODUCT((CÁLCULO!$M$15:$M$205=EVENTOS!$C25)*(OFFSET(CÁLCULO!$AQ$15:$AQ$205,0,AE$13))),2),0)</f>
        <v>0</v>
      </c>
      <c r="AF25" s="262" t="n">
        <f aca="true" t="array" ref="AF25:AF25">IF(AUTOEVENTO="Manual",ROUND(SUMPRODUCT((CÁLCULO!$M$15:$M$205=EVENTOS!$C25)*(OFFSET(CÁLCULO!$AQ$15:$AQ$205,0,AF$13))),2),0)</f>
        <v>0</v>
      </c>
      <c r="AG25" s="262" t="n">
        <f aca="true" t="array" ref="AG25:AG25">IF(AUTOEVENTO="Manual",ROUND(SUMPRODUCT((CÁLCULO!$M$15:$M$205=EVENTOS!$C25)*(OFFSET(CÁLCULO!$AQ$15:$AQ$205,0,AG$13))),2),0)</f>
        <v>0</v>
      </c>
      <c r="AH25" s="262" t="n">
        <f aca="true" t="array" ref="AH25:AH25">IF(AUTOEVENTO="Manual",ROUND(SUMPRODUCT((CÁLCULO!$M$15:$M$205=EVENTOS!$C25)*(OFFSET(CÁLCULO!$AQ$15:$AQ$205,0,AH$13))),2),0)</f>
        <v>0</v>
      </c>
      <c r="AI25" s="262" t="n">
        <f aca="true" t="array" ref="AI25:AI25">IF(AUTOEVENTO="Manual",ROUND(SUMPRODUCT((CÁLCULO!$M$15:$M$205=EVENTOS!$C25)*(OFFSET(CÁLCULO!$AQ$15:$AQ$205,0,AI$13))),2),0)</f>
        <v>0</v>
      </c>
    </row>
    <row r="26" customFormat="false" ht="12.75" hidden="false" customHeight="false" outlineLevel="0" collapsed="false">
      <c r="A26" s="259" t="str">
        <f aca="false">IF(D26="","","F")</f>
        <v/>
      </c>
      <c r="B26" s="1" t="str">
        <f aca="false">IF(OR(C26=" ",D26=""),"",CONCATENATE(C26,". ",D26))</f>
        <v/>
      </c>
      <c r="C26" s="260" t="str">
        <f aca="true" t="array" ref="C26:C26">IF(OR(ROW(C26)=ROW(EVENTOS.firstrow)+1,AND(OFFSET(C26,-1,0)&lt;&gt;" ",OFFSET(C26,-1,1)&lt;&gt;"")),OFFSET(C26,-1,0)+1," ")</f>
        <v> </v>
      </c>
      <c r="D26" s="261"/>
      <c r="E26" s="262" t="n">
        <f aca="true" t="array" ref="E26:E26">IF(AUTOEVENTO="Manual",ROUND(SUMPRODUCT((CÁLCULO!$M$15:$M$205=EVENTOS!$C26)*(OFFSET(CÁLCULO!$AQ$15:$AQ$205,0,E$13))),2),0)</f>
        <v>0</v>
      </c>
      <c r="F26" s="263" t="n">
        <f aca="true">IF(AUTOEVENTO="Manual",ROUND(SUMPRODUCT((CÁLCULO!$M$15:$M$205=EVENTOS!$C26)*(OFFSET(CÁLCULO!$AQ$15,0,1):OFFSET(CÁLCULO!$BR$205,0,-1))),2),0)</f>
        <v>0</v>
      </c>
      <c r="G26" s="264" t="str">
        <f aca="false">IF(AND(D26=0,F26&gt;0),"NOME",
 IF(AND(D26&lt;&gt;0,$F$14&gt;0,F26=0),"VALOR",
 IF(AND(Import.TipoArredondamento="TransfereGOV",$A26="F",LEN(D26)&gt;100),"Nome &gt;100","")))</f>
        <v/>
      </c>
      <c r="H26" s="262" t="n">
        <f aca="true" t="array" ref="H26:H26">IF(AUTOEVENTO="Manual",ROUND(SUMPRODUCT((CÁLCULO!$M$15:$M$205=EVENTOS!$C26)*(OFFSET(CÁLCULO!$AQ$15:$AQ$205,0,H$13))),2),0)</f>
        <v>0</v>
      </c>
      <c r="I26" s="262" t="n">
        <f aca="true" t="array" ref="I26:I26">IF(AUTOEVENTO="Manual",ROUND(SUMPRODUCT((CÁLCULO!$M$15:$M$205=EVENTOS!$C26)*(OFFSET(CÁLCULO!$AQ$15:$AQ$205,0,I$13))),2),0)</f>
        <v>0</v>
      </c>
      <c r="J26" s="262" t="n">
        <f aca="true" t="array" ref="J26:J26">IF(AUTOEVENTO="Manual",ROUND(SUMPRODUCT((CÁLCULO!$M$15:$M$205=EVENTOS!$C26)*(OFFSET(CÁLCULO!$AQ$15:$AQ$205,0,J$13))),2),0)</f>
        <v>0</v>
      </c>
      <c r="K26" s="262" t="n">
        <f aca="true" t="array" ref="K26:K26">IF(AUTOEVENTO="Manual",ROUND(SUMPRODUCT((CÁLCULO!$M$15:$M$205=EVENTOS!$C26)*(OFFSET(CÁLCULO!$AQ$15:$AQ$205,0,K$13))),2),0)</f>
        <v>0</v>
      </c>
      <c r="L26" s="262" t="n">
        <f aca="true" t="array" ref="L26:L26">IF(AUTOEVENTO="Manual",ROUND(SUMPRODUCT((CÁLCULO!$M$15:$M$205=EVENTOS!$C26)*(OFFSET(CÁLCULO!$AQ$15:$AQ$205,0,L$13))),2),0)</f>
        <v>0</v>
      </c>
      <c r="M26" s="262" t="n">
        <f aca="true" t="array" ref="M26:M26">IF(AUTOEVENTO="Manual",ROUND(SUMPRODUCT((CÁLCULO!$M$15:$M$205=EVENTOS!$C26)*(OFFSET(CÁLCULO!$AQ$15:$AQ$205,0,M$13))),2),0)</f>
        <v>0</v>
      </c>
      <c r="N26" s="262" t="n">
        <f aca="true" t="array" ref="N26:N26">IF(AUTOEVENTO="Manual",ROUND(SUMPRODUCT((CÁLCULO!$M$15:$M$205=EVENTOS!$C26)*(OFFSET(CÁLCULO!$AQ$15:$AQ$205,0,N$13))),2),0)</f>
        <v>0</v>
      </c>
      <c r="O26" s="262" t="n">
        <f aca="true" t="array" ref="O26:O26">IF(AUTOEVENTO="Manual",ROUND(SUMPRODUCT((CÁLCULO!$M$15:$M$205=EVENTOS!$C26)*(OFFSET(CÁLCULO!$AQ$15:$AQ$205,0,O$13))),2),0)</f>
        <v>0</v>
      </c>
      <c r="P26" s="262" t="n">
        <f aca="true" t="array" ref="P26:P26">IF(AUTOEVENTO="Manual",ROUND(SUMPRODUCT((CÁLCULO!$M$15:$M$205=EVENTOS!$C26)*(OFFSET(CÁLCULO!$AQ$15:$AQ$205,0,P$13))),2),0)</f>
        <v>0</v>
      </c>
      <c r="Q26" s="262" t="n">
        <f aca="true" t="array" ref="Q26:Q26">IF(AUTOEVENTO="Manual",ROUND(SUMPRODUCT((CÁLCULO!$M$15:$M$205=EVENTOS!$C26)*(OFFSET(CÁLCULO!$AQ$15:$AQ$205,0,Q$13))),2),0)</f>
        <v>0</v>
      </c>
      <c r="R26" s="262" t="n">
        <f aca="true" t="array" ref="R26:R26">IF(AUTOEVENTO="Manual",ROUND(SUMPRODUCT((CÁLCULO!$M$15:$M$205=EVENTOS!$C26)*(OFFSET(CÁLCULO!$AQ$15:$AQ$205,0,R$13))),2),0)</f>
        <v>0</v>
      </c>
      <c r="S26" s="262" t="n">
        <f aca="true" t="array" ref="S26:S26">IF(AUTOEVENTO="Manual",ROUND(SUMPRODUCT((CÁLCULO!$M$15:$M$205=EVENTOS!$C26)*(OFFSET(CÁLCULO!$AQ$15:$AQ$205,0,S$13))),2),0)</f>
        <v>0</v>
      </c>
      <c r="T26" s="262" t="n">
        <f aca="true" t="array" ref="T26:T26">IF(AUTOEVENTO="Manual",ROUND(SUMPRODUCT((CÁLCULO!$M$15:$M$205=EVENTOS!$C26)*(OFFSET(CÁLCULO!$AQ$15:$AQ$205,0,T$13))),2),0)</f>
        <v>0</v>
      </c>
      <c r="U26" s="262" t="n">
        <f aca="true" t="array" ref="U26:U26">IF(AUTOEVENTO="Manual",ROUND(SUMPRODUCT((CÁLCULO!$M$15:$M$205=EVENTOS!$C26)*(OFFSET(CÁLCULO!$AQ$15:$AQ$205,0,U$13))),2),0)</f>
        <v>0</v>
      </c>
      <c r="V26" s="262" t="n">
        <f aca="true" t="array" ref="V26:V26">IF(AUTOEVENTO="Manual",ROUND(SUMPRODUCT((CÁLCULO!$M$15:$M$205=EVENTOS!$C26)*(OFFSET(CÁLCULO!$AQ$15:$AQ$205,0,V$13))),2),0)</f>
        <v>0</v>
      </c>
      <c r="W26" s="262" t="n">
        <f aca="true" t="array" ref="W26:W26">IF(AUTOEVENTO="Manual",ROUND(SUMPRODUCT((CÁLCULO!$M$15:$M$205=EVENTOS!$C26)*(OFFSET(CÁLCULO!$AQ$15:$AQ$205,0,W$13))),2),0)</f>
        <v>0</v>
      </c>
      <c r="X26" s="262" t="n">
        <f aca="true" t="array" ref="X26:X26">IF(AUTOEVENTO="Manual",ROUND(SUMPRODUCT((CÁLCULO!$M$15:$M$205=EVENTOS!$C26)*(OFFSET(CÁLCULO!$AQ$15:$AQ$205,0,X$13))),2),0)</f>
        <v>0</v>
      </c>
      <c r="Y26" s="262" t="n">
        <f aca="true" t="array" ref="Y26:Y26">IF(AUTOEVENTO="Manual",ROUND(SUMPRODUCT((CÁLCULO!$M$15:$M$205=EVENTOS!$C26)*(OFFSET(CÁLCULO!$AQ$15:$AQ$205,0,Y$13))),2),0)</f>
        <v>0</v>
      </c>
      <c r="Z26" s="262" t="n">
        <f aca="true" t="array" ref="Z26:Z26">IF(AUTOEVENTO="Manual",ROUND(SUMPRODUCT((CÁLCULO!$M$15:$M$205=EVENTOS!$C26)*(OFFSET(CÁLCULO!$AQ$15:$AQ$205,0,Z$13))),2),0)</f>
        <v>0</v>
      </c>
      <c r="AA26" s="262" t="n">
        <f aca="true" t="array" ref="AA26:AA26">IF(AUTOEVENTO="Manual",ROUND(SUMPRODUCT((CÁLCULO!$M$15:$M$205=EVENTOS!$C26)*(OFFSET(CÁLCULO!$AQ$15:$AQ$205,0,AA$13))),2),0)</f>
        <v>0</v>
      </c>
      <c r="AB26" s="262" t="n">
        <f aca="true" t="array" ref="AB26:AB26">IF(AUTOEVENTO="Manual",ROUND(SUMPRODUCT((CÁLCULO!$M$15:$M$205=EVENTOS!$C26)*(OFFSET(CÁLCULO!$AQ$15:$AQ$205,0,AB$13))),2),0)</f>
        <v>0</v>
      </c>
      <c r="AC26" s="262" t="n">
        <f aca="true" t="array" ref="AC26:AC26">IF(AUTOEVENTO="Manual",ROUND(SUMPRODUCT((CÁLCULO!$M$15:$M$205=EVENTOS!$C26)*(OFFSET(CÁLCULO!$AQ$15:$AQ$205,0,AC$13))),2),0)</f>
        <v>0</v>
      </c>
      <c r="AD26" s="262" t="n">
        <f aca="true" t="array" ref="AD26:AD26">IF(AUTOEVENTO="Manual",ROUND(SUMPRODUCT((CÁLCULO!$M$15:$M$205=EVENTOS!$C26)*(OFFSET(CÁLCULO!$AQ$15:$AQ$205,0,AD$13))),2),0)</f>
        <v>0</v>
      </c>
      <c r="AE26" s="262" t="n">
        <f aca="true" t="array" ref="AE26:AE26">IF(AUTOEVENTO="Manual",ROUND(SUMPRODUCT((CÁLCULO!$M$15:$M$205=EVENTOS!$C26)*(OFFSET(CÁLCULO!$AQ$15:$AQ$205,0,AE$13))),2),0)</f>
        <v>0</v>
      </c>
      <c r="AF26" s="262" t="n">
        <f aca="true" t="array" ref="AF26:AF26">IF(AUTOEVENTO="Manual",ROUND(SUMPRODUCT((CÁLCULO!$M$15:$M$205=EVENTOS!$C26)*(OFFSET(CÁLCULO!$AQ$15:$AQ$205,0,AF$13))),2),0)</f>
        <v>0</v>
      </c>
      <c r="AG26" s="262" t="n">
        <f aca="true" t="array" ref="AG26:AG26">IF(AUTOEVENTO="Manual",ROUND(SUMPRODUCT((CÁLCULO!$M$15:$M$205=EVENTOS!$C26)*(OFFSET(CÁLCULO!$AQ$15:$AQ$205,0,AG$13))),2),0)</f>
        <v>0</v>
      </c>
      <c r="AH26" s="262" t="n">
        <f aca="true" t="array" ref="AH26:AH26">IF(AUTOEVENTO="Manual",ROUND(SUMPRODUCT((CÁLCULO!$M$15:$M$205=EVENTOS!$C26)*(OFFSET(CÁLCULO!$AQ$15:$AQ$205,0,AH$13))),2),0)</f>
        <v>0</v>
      </c>
      <c r="AI26" s="262" t="n">
        <f aca="true" t="array" ref="AI26:AI26">IF(AUTOEVENTO="Manual",ROUND(SUMPRODUCT((CÁLCULO!$M$15:$M$205=EVENTOS!$C26)*(OFFSET(CÁLCULO!$AQ$15:$AQ$205,0,AI$13))),2),0)</f>
        <v>0</v>
      </c>
    </row>
    <row r="27" customFormat="false" ht="12.75" hidden="false" customHeight="false" outlineLevel="0" collapsed="false">
      <c r="A27" s="259" t="str">
        <f aca="false">IF(D27="","","F")</f>
        <v/>
      </c>
      <c r="B27" s="1" t="str">
        <f aca="false">IF(OR(C27=" ",D27=""),"",CONCATENATE(C27,". ",D27))</f>
        <v/>
      </c>
      <c r="C27" s="260" t="str">
        <f aca="true" t="array" ref="C27:C27">IF(OR(ROW(C27)=ROW(EVENTOS.firstrow)+1,AND(OFFSET(C27,-1,0)&lt;&gt;" ",OFFSET(C27,-1,1)&lt;&gt;"")),OFFSET(C27,-1,0)+1," ")</f>
        <v> </v>
      </c>
      <c r="D27" s="261"/>
      <c r="E27" s="262" t="n">
        <f aca="true" t="array" ref="E27:E27">IF(AUTOEVENTO="Manual",ROUND(SUMPRODUCT((CÁLCULO!$M$15:$M$205=EVENTOS!$C27)*(OFFSET(CÁLCULO!$AQ$15:$AQ$205,0,E$13))),2),0)</f>
        <v>0</v>
      </c>
      <c r="F27" s="263" t="n">
        <f aca="true">IF(AUTOEVENTO="Manual",ROUND(SUMPRODUCT((CÁLCULO!$M$15:$M$205=EVENTOS!$C27)*(OFFSET(CÁLCULO!$AQ$15,0,1):OFFSET(CÁLCULO!$BR$205,0,-1))),2),0)</f>
        <v>0</v>
      </c>
      <c r="G27" s="264" t="str">
        <f aca="false">IF(AND(D27=0,F27&gt;0),"NOME",
 IF(AND(D27&lt;&gt;0,$F$14&gt;0,F27=0),"VALOR",
 IF(AND(Import.TipoArredondamento="TransfereGOV",$A27="F",LEN(D27)&gt;100),"Nome &gt;100","")))</f>
        <v/>
      </c>
      <c r="H27" s="262" t="n">
        <f aca="true" t="array" ref="H27:H27">IF(AUTOEVENTO="Manual",ROUND(SUMPRODUCT((CÁLCULO!$M$15:$M$205=EVENTOS!$C27)*(OFFSET(CÁLCULO!$AQ$15:$AQ$205,0,H$13))),2),0)</f>
        <v>0</v>
      </c>
      <c r="I27" s="262" t="n">
        <f aca="true" t="array" ref="I27:I27">IF(AUTOEVENTO="Manual",ROUND(SUMPRODUCT((CÁLCULO!$M$15:$M$205=EVENTOS!$C27)*(OFFSET(CÁLCULO!$AQ$15:$AQ$205,0,I$13))),2),0)</f>
        <v>0</v>
      </c>
      <c r="J27" s="262" t="n">
        <f aca="true" t="array" ref="J27:J27">IF(AUTOEVENTO="Manual",ROUND(SUMPRODUCT((CÁLCULO!$M$15:$M$205=EVENTOS!$C27)*(OFFSET(CÁLCULO!$AQ$15:$AQ$205,0,J$13))),2),0)</f>
        <v>0</v>
      </c>
      <c r="K27" s="262" t="n">
        <f aca="true" t="array" ref="K27:K27">IF(AUTOEVENTO="Manual",ROUND(SUMPRODUCT((CÁLCULO!$M$15:$M$205=EVENTOS!$C27)*(OFFSET(CÁLCULO!$AQ$15:$AQ$205,0,K$13))),2),0)</f>
        <v>0</v>
      </c>
      <c r="L27" s="262" t="n">
        <f aca="true" t="array" ref="L27:L27">IF(AUTOEVENTO="Manual",ROUND(SUMPRODUCT((CÁLCULO!$M$15:$M$205=EVENTOS!$C27)*(OFFSET(CÁLCULO!$AQ$15:$AQ$205,0,L$13))),2),0)</f>
        <v>0</v>
      </c>
      <c r="M27" s="262" t="n">
        <f aca="true" t="array" ref="M27:M27">IF(AUTOEVENTO="Manual",ROUND(SUMPRODUCT((CÁLCULO!$M$15:$M$205=EVENTOS!$C27)*(OFFSET(CÁLCULO!$AQ$15:$AQ$205,0,M$13))),2),0)</f>
        <v>0</v>
      </c>
      <c r="N27" s="262" t="n">
        <f aca="true" t="array" ref="N27:N27">IF(AUTOEVENTO="Manual",ROUND(SUMPRODUCT((CÁLCULO!$M$15:$M$205=EVENTOS!$C27)*(OFFSET(CÁLCULO!$AQ$15:$AQ$205,0,N$13))),2),0)</f>
        <v>0</v>
      </c>
      <c r="O27" s="262" t="n">
        <f aca="true" t="array" ref="O27:O27">IF(AUTOEVENTO="Manual",ROUND(SUMPRODUCT((CÁLCULO!$M$15:$M$205=EVENTOS!$C27)*(OFFSET(CÁLCULO!$AQ$15:$AQ$205,0,O$13))),2),0)</f>
        <v>0</v>
      </c>
      <c r="P27" s="262" t="n">
        <f aca="true" t="array" ref="P27:P27">IF(AUTOEVENTO="Manual",ROUND(SUMPRODUCT((CÁLCULO!$M$15:$M$205=EVENTOS!$C27)*(OFFSET(CÁLCULO!$AQ$15:$AQ$205,0,P$13))),2),0)</f>
        <v>0</v>
      </c>
      <c r="Q27" s="262" t="n">
        <f aca="true" t="array" ref="Q27:Q27">IF(AUTOEVENTO="Manual",ROUND(SUMPRODUCT((CÁLCULO!$M$15:$M$205=EVENTOS!$C27)*(OFFSET(CÁLCULO!$AQ$15:$AQ$205,0,Q$13))),2),0)</f>
        <v>0</v>
      </c>
      <c r="R27" s="262" t="n">
        <f aca="true" t="array" ref="R27:R27">IF(AUTOEVENTO="Manual",ROUND(SUMPRODUCT((CÁLCULO!$M$15:$M$205=EVENTOS!$C27)*(OFFSET(CÁLCULO!$AQ$15:$AQ$205,0,R$13))),2),0)</f>
        <v>0</v>
      </c>
      <c r="S27" s="262" t="n">
        <f aca="true" t="array" ref="S27:S27">IF(AUTOEVENTO="Manual",ROUND(SUMPRODUCT((CÁLCULO!$M$15:$M$205=EVENTOS!$C27)*(OFFSET(CÁLCULO!$AQ$15:$AQ$205,0,S$13))),2),0)</f>
        <v>0</v>
      </c>
      <c r="T27" s="262" t="n">
        <f aca="true" t="array" ref="T27:T27">IF(AUTOEVENTO="Manual",ROUND(SUMPRODUCT((CÁLCULO!$M$15:$M$205=EVENTOS!$C27)*(OFFSET(CÁLCULO!$AQ$15:$AQ$205,0,T$13))),2),0)</f>
        <v>0</v>
      </c>
      <c r="U27" s="262" t="n">
        <f aca="true" t="array" ref="U27:U27">IF(AUTOEVENTO="Manual",ROUND(SUMPRODUCT((CÁLCULO!$M$15:$M$205=EVENTOS!$C27)*(OFFSET(CÁLCULO!$AQ$15:$AQ$205,0,U$13))),2),0)</f>
        <v>0</v>
      </c>
      <c r="V27" s="262" t="n">
        <f aca="true" t="array" ref="V27:V27">IF(AUTOEVENTO="Manual",ROUND(SUMPRODUCT((CÁLCULO!$M$15:$M$205=EVENTOS!$C27)*(OFFSET(CÁLCULO!$AQ$15:$AQ$205,0,V$13))),2),0)</f>
        <v>0</v>
      </c>
      <c r="W27" s="262" t="n">
        <f aca="true" t="array" ref="W27:W27">IF(AUTOEVENTO="Manual",ROUND(SUMPRODUCT((CÁLCULO!$M$15:$M$205=EVENTOS!$C27)*(OFFSET(CÁLCULO!$AQ$15:$AQ$205,0,W$13))),2),0)</f>
        <v>0</v>
      </c>
      <c r="X27" s="262" t="n">
        <f aca="true" t="array" ref="X27:X27">IF(AUTOEVENTO="Manual",ROUND(SUMPRODUCT((CÁLCULO!$M$15:$M$205=EVENTOS!$C27)*(OFFSET(CÁLCULO!$AQ$15:$AQ$205,0,X$13))),2),0)</f>
        <v>0</v>
      </c>
      <c r="Y27" s="262" t="n">
        <f aca="true" t="array" ref="Y27:Y27">IF(AUTOEVENTO="Manual",ROUND(SUMPRODUCT((CÁLCULO!$M$15:$M$205=EVENTOS!$C27)*(OFFSET(CÁLCULO!$AQ$15:$AQ$205,0,Y$13))),2),0)</f>
        <v>0</v>
      </c>
      <c r="Z27" s="262" t="n">
        <f aca="true" t="array" ref="Z27:Z27">IF(AUTOEVENTO="Manual",ROUND(SUMPRODUCT((CÁLCULO!$M$15:$M$205=EVENTOS!$C27)*(OFFSET(CÁLCULO!$AQ$15:$AQ$205,0,Z$13))),2),0)</f>
        <v>0</v>
      </c>
      <c r="AA27" s="262" t="n">
        <f aca="true" t="array" ref="AA27:AA27">IF(AUTOEVENTO="Manual",ROUND(SUMPRODUCT((CÁLCULO!$M$15:$M$205=EVENTOS!$C27)*(OFFSET(CÁLCULO!$AQ$15:$AQ$205,0,AA$13))),2),0)</f>
        <v>0</v>
      </c>
      <c r="AB27" s="262" t="n">
        <f aca="true" t="array" ref="AB27:AB27">IF(AUTOEVENTO="Manual",ROUND(SUMPRODUCT((CÁLCULO!$M$15:$M$205=EVENTOS!$C27)*(OFFSET(CÁLCULO!$AQ$15:$AQ$205,0,AB$13))),2),0)</f>
        <v>0</v>
      </c>
      <c r="AC27" s="262" t="n">
        <f aca="true" t="array" ref="AC27:AC27">IF(AUTOEVENTO="Manual",ROUND(SUMPRODUCT((CÁLCULO!$M$15:$M$205=EVENTOS!$C27)*(OFFSET(CÁLCULO!$AQ$15:$AQ$205,0,AC$13))),2),0)</f>
        <v>0</v>
      </c>
      <c r="AD27" s="262" t="n">
        <f aca="true" t="array" ref="AD27:AD27">IF(AUTOEVENTO="Manual",ROUND(SUMPRODUCT((CÁLCULO!$M$15:$M$205=EVENTOS!$C27)*(OFFSET(CÁLCULO!$AQ$15:$AQ$205,0,AD$13))),2),0)</f>
        <v>0</v>
      </c>
      <c r="AE27" s="262" t="n">
        <f aca="true" t="array" ref="AE27:AE27">IF(AUTOEVENTO="Manual",ROUND(SUMPRODUCT((CÁLCULO!$M$15:$M$205=EVENTOS!$C27)*(OFFSET(CÁLCULO!$AQ$15:$AQ$205,0,AE$13))),2),0)</f>
        <v>0</v>
      </c>
      <c r="AF27" s="262" t="n">
        <f aca="true" t="array" ref="AF27:AF27">IF(AUTOEVENTO="Manual",ROUND(SUMPRODUCT((CÁLCULO!$M$15:$M$205=EVENTOS!$C27)*(OFFSET(CÁLCULO!$AQ$15:$AQ$205,0,AF$13))),2),0)</f>
        <v>0</v>
      </c>
      <c r="AG27" s="262" t="n">
        <f aca="true" t="array" ref="AG27:AG27">IF(AUTOEVENTO="Manual",ROUND(SUMPRODUCT((CÁLCULO!$M$15:$M$205=EVENTOS!$C27)*(OFFSET(CÁLCULO!$AQ$15:$AQ$205,0,AG$13))),2),0)</f>
        <v>0</v>
      </c>
      <c r="AH27" s="262" t="n">
        <f aca="true" t="array" ref="AH27:AH27">IF(AUTOEVENTO="Manual",ROUND(SUMPRODUCT((CÁLCULO!$M$15:$M$205=EVENTOS!$C27)*(OFFSET(CÁLCULO!$AQ$15:$AQ$205,0,AH$13))),2),0)</f>
        <v>0</v>
      </c>
      <c r="AI27" s="262" t="n">
        <f aca="true" t="array" ref="AI27:AI27">IF(AUTOEVENTO="Manual",ROUND(SUMPRODUCT((CÁLCULO!$M$15:$M$205=EVENTOS!$C27)*(OFFSET(CÁLCULO!$AQ$15:$AQ$205,0,AI$13))),2),0)</f>
        <v>0</v>
      </c>
    </row>
    <row r="28" customFormat="false" ht="12.75" hidden="false" customHeight="false" outlineLevel="0" collapsed="false">
      <c r="A28" s="259" t="str">
        <f aca="false">IF(D28="","","F")</f>
        <v/>
      </c>
      <c r="B28" s="1" t="str">
        <f aca="false">IF(OR(C28=" ",D28=""),"",CONCATENATE(C28,". ",D28))</f>
        <v/>
      </c>
      <c r="C28" s="260" t="str">
        <f aca="true" t="array" ref="C28:C28">IF(OR(ROW(C28)=ROW(EVENTOS.firstrow)+1,AND(OFFSET(C28,-1,0)&lt;&gt;" ",OFFSET(C28,-1,1)&lt;&gt;"")),OFFSET(C28,-1,0)+1," ")</f>
        <v> </v>
      </c>
      <c r="D28" s="261"/>
      <c r="E28" s="262" t="n">
        <f aca="true" t="array" ref="E28:E28">IF(AUTOEVENTO="Manual",ROUND(SUMPRODUCT((CÁLCULO!$M$15:$M$205=EVENTOS!$C28)*(OFFSET(CÁLCULO!$AQ$15:$AQ$205,0,E$13))),2),0)</f>
        <v>0</v>
      </c>
      <c r="F28" s="263" t="n">
        <f aca="true">IF(AUTOEVENTO="Manual",ROUND(SUMPRODUCT((CÁLCULO!$M$15:$M$205=EVENTOS!$C28)*(OFFSET(CÁLCULO!$AQ$15,0,1):OFFSET(CÁLCULO!$BR$205,0,-1))),2),0)</f>
        <v>0</v>
      </c>
      <c r="G28" s="264" t="str">
        <f aca="false">IF(AND(D28=0,F28&gt;0),"NOME",
 IF(AND(D28&lt;&gt;0,$F$14&gt;0,F28=0),"VALOR",
 IF(AND(Import.TipoArredondamento="TransfereGOV",$A28="F",LEN(D28)&gt;100),"Nome &gt;100","")))</f>
        <v/>
      </c>
      <c r="H28" s="262" t="n">
        <f aca="true" t="array" ref="H28:H28">IF(AUTOEVENTO="Manual",ROUND(SUMPRODUCT((CÁLCULO!$M$15:$M$205=EVENTOS!$C28)*(OFFSET(CÁLCULO!$AQ$15:$AQ$205,0,H$13))),2),0)</f>
        <v>0</v>
      </c>
      <c r="I28" s="262" t="n">
        <f aca="true" t="array" ref="I28:I28">IF(AUTOEVENTO="Manual",ROUND(SUMPRODUCT((CÁLCULO!$M$15:$M$205=EVENTOS!$C28)*(OFFSET(CÁLCULO!$AQ$15:$AQ$205,0,I$13))),2),0)</f>
        <v>0</v>
      </c>
      <c r="J28" s="262" t="n">
        <f aca="true" t="array" ref="J28:J28">IF(AUTOEVENTO="Manual",ROUND(SUMPRODUCT((CÁLCULO!$M$15:$M$205=EVENTOS!$C28)*(OFFSET(CÁLCULO!$AQ$15:$AQ$205,0,J$13))),2),0)</f>
        <v>0</v>
      </c>
      <c r="K28" s="262" t="n">
        <f aca="true" t="array" ref="K28:K28">IF(AUTOEVENTO="Manual",ROUND(SUMPRODUCT((CÁLCULO!$M$15:$M$205=EVENTOS!$C28)*(OFFSET(CÁLCULO!$AQ$15:$AQ$205,0,K$13))),2),0)</f>
        <v>0</v>
      </c>
      <c r="L28" s="262" t="n">
        <f aca="true" t="array" ref="L28:L28">IF(AUTOEVENTO="Manual",ROUND(SUMPRODUCT((CÁLCULO!$M$15:$M$205=EVENTOS!$C28)*(OFFSET(CÁLCULO!$AQ$15:$AQ$205,0,L$13))),2),0)</f>
        <v>0</v>
      </c>
      <c r="M28" s="262" t="n">
        <f aca="true" t="array" ref="M28:M28">IF(AUTOEVENTO="Manual",ROUND(SUMPRODUCT((CÁLCULO!$M$15:$M$205=EVENTOS!$C28)*(OFFSET(CÁLCULO!$AQ$15:$AQ$205,0,M$13))),2),0)</f>
        <v>0</v>
      </c>
      <c r="N28" s="262" t="n">
        <f aca="true" t="array" ref="N28:N28">IF(AUTOEVENTO="Manual",ROUND(SUMPRODUCT((CÁLCULO!$M$15:$M$205=EVENTOS!$C28)*(OFFSET(CÁLCULO!$AQ$15:$AQ$205,0,N$13))),2),0)</f>
        <v>0</v>
      </c>
      <c r="O28" s="262" t="n">
        <f aca="true" t="array" ref="O28:O28">IF(AUTOEVENTO="Manual",ROUND(SUMPRODUCT((CÁLCULO!$M$15:$M$205=EVENTOS!$C28)*(OFFSET(CÁLCULO!$AQ$15:$AQ$205,0,O$13))),2),0)</f>
        <v>0</v>
      </c>
      <c r="P28" s="262" t="n">
        <f aca="true" t="array" ref="P28:P28">IF(AUTOEVENTO="Manual",ROUND(SUMPRODUCT((CÁLCULO!$M$15:$M$205=EVENTOS!$C28)*(OFFSET(CÁLCULO!$AQ$15:$AQ$205,0,P$13))),2),0)</f>
        <v>0</v>
      </c>
      <c r="Q28" s="262" t="n">
        <f aca="true" t="array" ref="Q28:Q28">IF(AUTOEVENTO="Manual",ROUND(SUMPRODUCT((CÁLCULO!$M$15:$M$205=EVENTOS!$C28)*(OFFSET(CÁLCULO!$AQ$15:$AQ$205,0,Q$13))),2),0)</f>
        <v>0</v>
      </c>
      <c r="R28" s="262" t="n">
        <f aca="true" t="array" ref="R28:R28">IF(AUTOEVENTO="Manual",ROUND(SUMPRODUCT((CÁLCULO!$M$15:$M$205=EVENTOS!$C28)*(OFFSET(CÁLCULO!$AQ$15:$AQ$205,0,R$13))),2),0)</f>
        <v>0</v>
      </c>
      <c r="S28" s="262" t="n">
        <f aca="true" t="array" ref="S28:S28">IF(AUTOEVENTO="Manual",ROUND(SUMPRODUCT((CÁLCULO!$M$15:$M$205=EVENTOS!$C28)*(OFFSET(CÁLCULO!$AQ$15:$AQ$205,0,S$13))),2),0)</f>
        <v>0</v>
      </c>
      <c r="T28" s="262" t="n">
        <f aca="true" t="array" ref="T28:T28">IF(AUTOEVENTO="Manual",ROUND(SUMPRODUCT((CÁLCULO!$M$15:$M$205=EVENTOS!$C28)*(OFFSET(CÁLCULO!$AQ$15:$AQ$205,0,T$13))),2),0)</f>
        <v>0</v>
      </c>
      <c r="U28" s="262" t="n">
        <f aca="true" t="array" ref="U28:U28">IF(AUTOEVENTO="Manual",ROUND(SUMPRODUCT((CÁLCULO!$M$15:$M$205=EVENTOS!$C28)*(OFFSET(CÁLCULO!$AQ$15:$AQ$205,0,U$13))),2),0)</f>
        <v>0</v>
      </c>
      <c r="V28" s="262" t="n">
        <f aca="true" t="array" ref="V28:V28">IF(AUTOEVENTO="Manual",ROUND(SUMPRODUCT((CÁLCULO!$M$15:$M$205=EVENTOS!$C28)*(OFFSET(CÁLCULO!$AQ$15:$AQ$205,0,V$13))),2),0)</f>
        <v>0</v>
      </c>
      <c r="W28" s="262" t="n">
        <f aca="true" t="array" ref="W28:W28">IF(AUTOEVENTO="Manual",ROUND(SUMPRODUCT((CÁLCULO!$M$15:$M$205=EVENTOS!$C28)*(OFFSET(CÁLCULO!$AQ$15:$AQ$205,0,W$13))),2),0)</f>
        <v>0</v>
      </c>
      <c r="X28" s="262" t="n">
        <f aca="true" t="array" ref="X28:X28">IF(AUTOEVENTO="Manual",ROUND(SUMPRODUCT((CÁLCULO!$M$15:$M$205=EVENTOS!$C28)*(OFFSET(CÁLCULO!$AQ$15:$AQ$205,0,X$13))),2),0)</f>
        <v>0</v>
      </c>
      <c r="Y28" s="262" t="n">
        <f aca="true" t="array" ref="Y28:Y28">IF(AUTOEVENTO="Manual",ROUND(SUMPRODUCT((CÁLCULO!$M$15:$M$205=EVENTOS!$C28)*(OFFSET(CÁLCULO!$AQ$15:$AQ$205,0,Y$13))),2),0)</f>
        <v>0</v>
      </c>
      <c r="Z28" s="262" t="n">
        <f aca="true" t="array" ref="Z28:Z28">IF(AUTOEVENTO="Manual",ROUND(SUMPRODUCT((CÁLCULO!$M$15:$M$205=EVENTOS!$C28)*(OFFSET(CÁLCULO!$AQ$15:$AQ$205,0,Z$13))),2),0)</f>
        <v>0</v>
      </c>
      <c r="AA28" s="262" t="n">
        <f aca="true" t="array" ref="AA28:AA28">IF(AUTOEVENTO="Manual",ROUND(SUMPRODUCT((CÁLCULO!$M$15:$M$205=EVENTOS!$C28)*(OFFSET(CÁLCULO!$AQ$15:$AQ$205,0,AA$13))),2),0)</f>
        <v>0</v>
      </c>
      <c r="AB28" s="262" t="n">
        <f aca="true" t="array" ref="AB28:AB28">IF(AUTOEVENTO="Manual",ROUND(SUMPRODUCT((CÁLCULO!$M$15:$M$205=EVENTOS!$C28)*(OFFSET(CÁLCULO!$AQ$15:$AQ$205,0,AB$13))),2),0)</f>
        <v>0</v>
      </c>
      <c r="AC28" s="262" t="n">
        <f aca="true" t="array" ref="AC28:AC28">IF(AUTOEVENTO="Manual",ROUND(SUMPRODUCT((CÁLCULO!$M$15:$M$205=EVENTOS!$C28)*(OFFSET(CÁLCULO!$AQ$15:$AQ$205,0,AC$13))),2),0)</f>
        <v>0</v>
      </c>
      <c r="AD28" s="262" t="n">
        <f aca="true" t="array" ref="AD28:AD28">IF(AUTOEVENTO="Manual",ROUND(SUMPRODUCT((CÁLCULO!$M$15:$M$205=EVENTOS!$C28)*(OFFSET(CÁLCULO!$AQ$15:$AQ$205,0,AD$13))),2),0)</f>
        <v>0</v>
      </c>
      <c r="AE28" s="262" t="n">
        <f aca="true" t="array" ref="AE28:AE28">IF(AUTOEVENTO="Manual",ROUND(SUMPRODUCT((CÁLCULO!$M$15:$M$205=EVENTOS!$C28)*(OFFSET(CÁLCULO!$AQ$15:$AQ$205,0,AE$13))),2),0)</f>
        <v>0</v>
      </c>
      <c r="AF28" s="262" t="n">
        <f aca="true" t="array" ref="AF28:AF28">IF(AUTOEVENTO="Manual",ROUND(SUMPRODUCT((CÁLCULO!$M$15:$M$205=EVENTOS!$C28)*(OFFSET(CÁLCULO!$AQ$15:$AQ$205,0,AF$13))),2),0)</f>
        <v>0</v>
      </c>
      <c r="AG28" s="262" t="n">
        <f aca="true" t="array" ref="AG28:AG28">IF(AUTOEVENTO="Manual",ROUND(SUMPRODUCT((CÁLCULO!$M$15:$M$205=EVENTOS!$C28)*(OFFSET(CÁLCULO!$AQ$15:$AQ$205,0,AG$13))),2),0)</f>
        <v>0</v>
      </c>
      <c r="AH28" s="262" t="n">
        <f aca="true" t="array" ref="AH28:AH28">IF(AUTOEVENTO="Manual",ROUND(SUMPRODUCT((CÁLCULO!$M$15:$M$205=EVENTOS!$C28)*(OFFSET(CÁLCULO!$AQ$15:$AQ$205,0,AH$13))),2),0)</f>
        <v>0</v>
      </c>
      <c r="AI28" s="262" t="n">
        <f aca="true" t="array" ref="AI28:AI28">IF(AUTOEVENTO="Manual",ROUND(SUMPRODUCT((CÁLCULO!$M$15:$M$205=EVENTOS!$C28)*(OFFSET(CÁLCULO!$AQ$15:$AQ$205,0,AI$13))),2),0)</f>
        <v>0</v>
      </c>
    </row>
    <row r="29" customFormat="false" ht="12.75" hidden="false" customHeight="false" outlineLevel="0" collapsed="false">
      <c r="A29" s="259" t="str">
        <f aca="false">IF(D29="","","F")</f>
        <v/>
      </c>
      <c r="B29" s="1" t="str">
        <f aca="false">IF(OR(C29=" ",D29=""),"",CONCATENATE(C29,". ",D29))</f>
        <v/>
      </c>
      <c r="C29" s="260" t="str">
        <f aca="true" t="array" ref="C29:C29">IF(OR(ROW(C29)=ROW(EVENTOS.firstrow)+1,AND(OFFSET(C29,-1,0)&lt;&gt;" ",OFFSET(C29,-1,1)&lt;&gt;"")),OFFSET(C29,-1,0)+1," ")</f>
        <v> </v>
      </c>
      <c r="D29" s="261"/>
      <c r="E29" s="262" t="n">
        <f aca="true" t="array" ref="E29:E29">IF(AUTOEVENTO="Manual",ROUND(SUMPRODUCT((CÁLCULO!$M$15:$M$205=EVENTOS!$C29)*(OFFSET(CÁLCULO!$AQ$15:$AQ$205,0,E$13))),2),0)</f>
        <v>0</v>
      </c>
      <c r="F29" s="263" t="n">
        <f aca="true">IF(AUTOEVENTO="Manual",ROUND(SUMPRODUCT((CÁLCULO!$M$15:$M$205=EVENTOS!$C29)*(OFFSET(CÁLCULO!$AQ$15,0,1):OFFSET(CÁLCULO!$BR$205,0,-1))),2),0)</f>
        <v>0</v>
      </c>
      <c r="G29" s="264" t="str">
        <f aca="false">IF(AND(D29=0,F29&gt;0),"NOME",
 IF(AND(D29&lt;&gt;0,$F$14&gt;0,F29=0),"VALOR",
 IF(AND(Import.TipoArredondamento="TransfereGOV",$A29="F",LEN(D29)&gt;100),"Nome &gt;100","")))</f>
        <v/>
      </c>
      <c r="H29" s="262" t="n">
        <f aca="true" t="array" ref="H29:H29">IF(AUTOEVENTO="Manual",ROUND(SUMPRODUCT((CÁLCULO!$M$15:$M$205=EVENTOS!$C29)*(OFFSET(CÁLCULO!$AQ$15:$AQ$205,0,H$13))),2),0)</f>
        <v>0</v>
      </c>
      <c r="I29" s="262" t="n">
        <f aca="true" t="array" ref="I29:I29">IF(AUTOEVENTO="Manual",ROUND(SUMPRODUCT((CÁLCULO!$M$15:$M$205=EVENTOS!$C29)*(OFFSET(CÁLCULO!$AQ$15:$AQ$205,0,I$13))),2),0)</f>
        <v>0</v>
      </c>
      <c r="J29" s="262" t="n">
        <f aca="true" t="array" ref="J29:J29">IF(AUTOEVENTO="Manual",ROUND(SUMPRODUCT((CÁLCULO!$M$15:$M$205=EVENTOS!$C29)*(OFFSET(CÁLCULO!$AQ$15:$AQ$205,0,J$13))),2),0)</f>
        <v>0</v>
      </c>
      <c r="K29" s="262" t="n">
        <f aca="true" t="array" ref="K29:K29">IF(AUTOEVENTO="Manual",ROUND(SUMPRODUCT((CÁLCULO!$M$15:$M$205=EVENTOS!$C29)*(OFFSET(CÁLCULO!$AQ$15:$AQ$205,0,K$13))),2),0)</f>
        <v>0</v>
      </c>
      <c r="L29" s="262" t="n">
        <f aca="true" t="array" ref="L29:L29">IF(AUTOEVENTO="Manual",ROUND(SUMPRODUCT((CÁLCULO!$M$15:$M$205=EVENTOS!$C29)*(OFFSET(CÁLCULO!$AQ$15:$AQ$205,0,L$13))),2),0)</f>
        <v>0</v>
      </c>
      <c r="M29" s="262" t="n">
        <f aca="true" t="array" ref="M29:M29">IF(AUTOEVENTO="Manual",ROUND(SUMPRODUCT((CÁLCULO!$M$15:$M$205=EVENTOS!$C29)*(OFFSET(CÁLCULO!$AQ$15:$AQ$205,0,M$13))),2),0)</f>
        <v>0</v>
      </c>
      <c r="N29" s="262" t="n">
        <f aca="true" t="array" ref="N29:N29">IF(AUTOEVENTO="Manual",ROUND(SUMPRODUCT((CÁLCULO!$M$15:$M$205=EVENTOS!$C29)*(OFFSET(CÁLCULO!$AQ$15:$AQ$205,0,N$13))),2),0)</f>
        <v>0</v>
      </c>
      <c r="O29" s="262" t="n">
        <f aca="true" t="array" ref="O29:O29">IF(AUTOEVENTO="Manual",ROUND(SUMPRODUCT((CÁLCULO!$M$15:$M$205=EVENTOS!$C29)*(OFFSET(CÁLCULO!$AQ$15:$AQ$205,0,O$13))),2),0)</f>
        <v>0</v>
      </c>
      <c r="P29" s="262" t="n">
        <f aca="true" t="array" ref="P29:P29">IF(AUTOEVENTO="Manual",ROUND(SUMPRODUCT((CÁLCULO!$M$15:$M$205=EVENTOS!$C29)*(OFFSET(CÁLCULO!$AQ$15:$AQ$205,0,P$13))),2),0)</f>
        <v>0</v>
      </c>
      <c r="Q29" s="262" t="n">
        <f aca="true" t="array" ref="Q29:Q29">IF(AUTOEVENTO="Manual",ROUND(SUMPRODUCT((CÁLCULO!$M$15:$M$205=EVENTOS!$C29)*(OFFSET(CÁLCULO!$AQ$15:$AQ$205,0,Q$13))),2),0)</f>
        <v>0</v>
      </c>
      <c r="R29" s="262" t="n">
        <f aca="true" t="array" ref="R29:R29">IF(AUTOEVENTO="Manual",ROUND(SUMPRODUCT((CÁLCULO!$M$15:$M$205=EVENTOS!$C29)*(OFFSET(CÁLCULO!$AQ$15:$AQ$205,0,R$13))),2),0)</f>
        <v>0</v>
      </c>
      <c r="S29" s="262" t="n">
        <f aca="true" t="array" ref="S29:S29">IF(AUTOEVENTO="Manual",ROUND(SUMPRODUCT((CÁLCULO!$M$15:$M$205=EVENTOS!$C29)*(OFFSET(CÁLCULO!$AQ$15:$AQ$205,0,S$13))),2),0)</f>
        <v>0</v>
      </c>
      <c r="T29" s="262" t="n">
        <f aca="true" t="array" ref="T29:T29">IF(AUTOEVENTO="Manual",ROUND(SUMPRODUCT((CÁLCULO!$M$15:$M$205=EVENTOS!$C29)*(OFFSET(CÁLCULO!$AQ$15:$AQ$205,0,T$13))),2),0)</f>
        <v>0</v>
      </c>
      <c r="U29" s="262" t="n">
        <f aca="true" t="array" ref="U29:U29">IF(AUTOEVENTO="Manual",ROUND(SUMPRODUCT((CÁLCULO!$M$15:$M$205=EVENTOS!$C29)*(OFFSET(CÁLCULO!$AQ$15:$AQ$205,0,U$13))),2),0)</f>
        <v>0</v>
      </c>
      <c r="V29" s="262" t="n">
        <f aca="true" t="array" ref="V29:V29">IF(AUTOEVENTO="Manual",ROUND(SUMPRODUCT((CÁLCULO!$M$15:$M$205=EVENTOS!$C29)*(OFFSET(CÁLCULO!$AQ$15:$AQ$205,0,V$13))),2),0)</f>
        <v>0</v>
      </c>
      <c r="W29" s="262" t="n">
        <f aca="true" t="array" ref="W29:W29">IF(AUTOEVENTO="Manual",ROUND(SUMPRODUCT((CÁLCULO!$M$15:$M$205=EVENTOS!$C29)*(OFFSET(CÁLCULO!$AQ$15:$AQ$205,0,W$13))),2),0)</f>
        <v>0</v>
      </c>
      <c r="X29" s="262" t="n">
        <f aca="true" t="array" ref="X29:X29">IF(AUTOEVENTO="Manual",ROUND(SUMPRODUCT((CÁLCULO!$M$15:$M$205=EVENTOS!$C29)*(OFFSET(CÁLCULO!$AQ$15:$AQ$205,0,X$13))),2),0)</f>
        <v>0</v>
      </c>
      <c r="Y29" s="262" t="n">
        <f aca="true" t="array" ref="Y29:Y29">IF(AUTOEVENTO="Manual",ROUND(SUMPRODUCT((CÁLCULO!$M$15:$M$205=EVENTOS!$C29)*(OFFSET(CÁLCULO!$AQ$15:$AQ$205,0,Y$13))),2),0)</f>
        <v>0</v>
      </c>
      <c r="Z29" s="262" t="n">
        <f aca="true" t="array" ref="Z29:Z29">IF(AUTOEVENTO="Manual",ROUND(SUMPRODUCT((CÁLCULO!$M$15:$M$205=EVENTOS!$C29)*(OFFSET(CÁLCULO!$AQ$15:$AQ$205,0,Z$13))),2),0)</f>
        <v>0</v>
      </c>
      <c r="AA29" s="262" t="n">
        <f aca="true" t="array" ref="AA29:AA29">IF(AUTOEVENTO="Manual",ROUND(SUMPRODUCT((CÁLCULO!$M$15:$M$205=EVENTOS!$C29)*(OFFSET(CÁLCULO!$AQ$15:$AQ$205,0,AA$13))),2),0)</f>
        <v>0</v>
      </c>
      <c r="AB29" s="262" t="n">
        <f aca="true" t="array" ref="AB29:AB29">IF(AUTOEVENTO="Manual",ROUND(SUMPRODUCT((CÁLCULO!$M$15:$M$205=EVENTOS!$C29)*(OFFSET(CÁLCULO!$AQ$15:$AQ$205,0,AB$13))),2),0)</f>
        <v>0</v>
      </c>
      <c r="AC29" s="262" t="n">
        <f aca="true" t="array" ref="AC29:AC29">IF(AUTOEVENTO="Manual",ROUND(SUMPRODUCT((CÁLCULO!$M$15:$M$205=EVENTOS!$C29)*(OFFSET(CÁLCULO!$AQ$15:$AQ$205,0,AC$13))),2),0)</f>
        <v>0</v>
      </c>
      <c r="AD29" s="262" t="n">
        <f aca="true" t="array" ref="AD29:AD29">IF(AUTOEVENTO="Manual",ROUND(SUMPRODUCT((CÁLCULO!$M$15:$M$205=EVENTOS!$C29)*(OFFSET(CÁLCULO!$AQ$15:$AQ$205,0,AD$13))),2),0)</f>
        <v>0</v>
      </c>
      <c r="AE29" s="262" t="n">
        <f aca="true" t="array" ref="AE29:AE29">IF(AUTOEVENTO="Manual",ROUND(SUMPRODUCT((CÁLCULO!$M$15:$M$205=EVENTOS!$C29)*(OFFSET(CÁLCULO!$AQ$15:$AQ$205,0,AE$13))),2),0)</f>
        <v>0</v>
      </c>
      <c r="AF29" s="262" t="n">
        <f aca="true" t="array" ref="AF29:AF29">IF(AUTOEVENTO="Manual",ROUND(SUMPRODUCT((CÁLCULO!$M$15:$M$205=EVENTOS!$C29)*(OFFSET(CÁLCULO!$AQ$15:$AQ$205,0,AF$13))),2),0)</f>
        <v>0</v>
      </c>
      <c r="AG29" s="262" t="n">
        <f aca="true" t="array" ref="AG29:AG29">IF(AUTOEVENTO="Manual",ROUND(SUMPRODUCT((CÁLCULO!$M$15:$M$205=EVENTOS!$C29)*(OFFSET(CÁLCULO!$AQ$15:$AQ$205,0,AG$13))),2),0)</f>
        <v>0</v>
      </c>
      <c r="AH29" s="262" t="n">
        <f aca="true" t="array" ref="AH29:AH29">IF(AUTOEVENTO="Manual",ROUND(SUMPRODUCT((CÁLCULO!$M$15:$M$205=EVENTOS!$C29)*(OFFSET(CÁLCULO!$AQ$15:$AQ$205,0,AH$13))),2),0)</f>
        <v>0</v>
      </c>
      <c r="AI29" s="262" t="n">
        <f aca="true" t="array" ref="AI29:AI29">IF(AUTOEVENTO="Manual",ROUND(SUMPRODUCT((CÁLCULO!$M$15:$M$205=EVENTOS!$C29)*(OFFSET(CÁLCULO!$AQ$15:$AQ$205,0,AI$13))),2),0)</f>
        <v>0</v>
      </c>
    </row>
    <row r="30" customFormat="false" ht="12.75" hidden="false" customHeight="false" outlineLevel="0" collapsed="false">
      <c r="A30" s="259" t="str">
        <f aca="false">IF(D30="","","F")</f>
        <v/>
      </c>
      <c r="B30" s="1" t="str">
        <f aca="false">IF(OR(C30=" ",D30=""),"",CONCATENATE(C30,". ",D30))</f>
        <v/>
      </c>
      <c r="C30" s="260" t="str">
        <f aca="true" t="array" ref="C30:C30">IF(OR(ROW(C30)=ROW(EVENTOS.firstrow)+1,AND(OFFSET(C30,-1,0)&lt;&gt;" ",OFFSET(C30,-1,1)&lt;&gt;"")),OFFSET(C30,-1,0)+1," ")</f>
        <v> </v>
      </c>
      <c r="D30" s="261"/>
      <c r="E30" s="262" t="n">
        <f aca="true" t="array" ref="E30:E30">IF(AUTOEVENTO="Manual",ROUND(SUMPRODUCT((CÁLCULO!$M$15:$M$205=EVENTOS!$C30)*(OFFSET(CÁLCULO!$AQ$15:$AQ$205,0,E$13))),2),0)</f>
        <v>0</v>
      </c>
      <c r="F30" s="263" t="n">
        <f aca="true">IF(AUTOEVENTO="Manual",ROUND(SUMPRODUCT((CÁLCULO!$M$15:$M$205=EVENTOS!$C30)*(OFFSET(CÁLCULO!$AQ$15,0,1):OFFSET(CÁLCULO!$BR$205,0,-1))),2),0)</f>
        <v>0</v>
      </c>
      <c r="G30" s="264" t="str">
        <f aca="false">IF(AND(D30=0,F30&gt;0),"NOME",
 IF(AND(D30&lt;&gt;0,$F$14&gt;0,F30=0),"VALOR",
 IF(AND(Import.TipoArredondamento="TransfereGOV",$A30="F",LEN(D30)&gt;100),"Nome &gt;100","")))</f>
        <v/>
      </c>
      <c r="H30" s="262" t="n">
        <f aca="true" t="array" ref="H30:H30">IF(AUTOEVENTO="Manual",ROUND(SUMPRODUCT((CÁLCULO!$M$15:$M$205=EVENTOS!$C30)*(OFFSET(CÁLCULO!$AQ$15:$AQ$205,0,H$13))),2),0)</f>
        <v>0</v>
      </c>
      <c r="I30" s="262" t="n">
        <f aca="true" t="array" ref="I30:I30">IF(AUTOEVENTO="Manual",ROUND(SUMPRODUCT((CÁLCULO!$M$15:$M$205=EVENTOS!$C30)*(OFFSET(CÁLCULO!$AQ$15:$AQ$205,0,I$13))),2),0)</f>
        <v>0</v>
      </c>
      <c r="J30" s="262" t="n">
        <f aca="true" t="array" ref="J30:J30">IF(AUTOEVENTO="Manual",ROUND(SUMPRODUCT((CÁLCULO!$M$15:$M$205=EVENTOS!$C30)*(OFFSET(CÁLCULO!$AQ$15:$AQ$205,0,J$13))),2),0)</f>
        <v>0</v>
      </c>
      <c r="K30" s="262" t="n">
        <f aca="true" t="array" ref="K30:K30">IF(AUTOEVENTO="Manual",ROUND(SUMPRODUCT((CÁLCULO!$M$15:$M$205=EVENTOS!$C30)*(OFFSET(CÁLCULO!$AQ$15:$AQ$205,0,K$13))),2),0)</f>
        <v>0</v>
      </c>
      <c r="L30" s="262" t="n">
        <f aca="true" t="array" ref="L30:L30">IF(AUTOEVENTO="Manual",ROUND(SUMPRODUCT((CÁLCULO!$M$15:$M$205=EVENTOS!$C30)*(OFFSET(CÁLCULO!$AQ$15:$AQ$205,0,L$13))),2),0)</f>
        <v>0</v>
      </c>
      <c r="M30" s="262" t="n">
        <f aca="true" t="array" ref="M30:M30">IF(AUTOEVENTO="Manual",ROUND(SUMPRODUCT((CÁLCULO!$M$15:$M$205=EVENTOS!$C30)*(OFFSET(CÁLCULO!$AQ$15:$AQ$205,0,M$13))),2),0)</f>
        <v>0</v>
      </c>
      <c r="N30" s="262" t="n">
        <f aca="true" t="array" ref="N30:N30">IF(AUTOEVENTO="Manual",ROUND(SUMPRODUCT((CÁLCULO!$M$15:$M$205=EVENTOS!$C30)*(OFFSET(CÁLCULO!$AQ$15:$AQ$205,0,N$13))),2),0)</f>
        <v>0</v>
      </c>
      <c r="O30" s="262" t="n">
        <f aca="true" t="array" ref="O30:O30">IF(AUTOEVENTO="Manual",ROUND(SUMPRODUCT((CÁLCULO!$M$15:$M$205=EVENTOS!$C30)*(OFFSET(CÁLCULO!$AQ$15:$AQ$205,0,O$13))),2),0)</f>
        <v>0</v>
      </c>
      <c r="P30" s="262" t="n">
        <f aca="true" t="array" ref="P30:P30">IF(AUTOEVENTO="Manual",ROUND(SUMPRODUCT((CÁLCULO!$M$15:$M$205=EVENTOS!$C30)*(OFFSET(CÁLCULO!$AQ$15:$AQ$205,0,P$13))),2),0)</f>
        <v>0</v>
      </c>
      <c r="Q30" s="262" t="n">
        <f aca="true" t="array" ref="Q30:Q30">IF(AUTOEVENTO="Manual",ROUND(SUMPRODUCT((CÁLCULO!$M$15:$M$205=EVENTOS!$C30)*(OFFSET(CÁLCULO!$AQ$15:$AQ$205,0,Q$13))),2),0)</f>
        <v>0</v>
      </c>
      <c r="R30" s="262" t="n">
        <f aca="true" t="array" ref="R30:R30">IF(AUTOEVENTO="Manual",ROUND(SUMPRODUCT((CÁLCULO!$M$15:$M$205=EVENTOS!$C30)*(OFFSET(CÁLCULO!$AQ$15:$AQ$205,0,R$13))),2),0)</f>
        <v>0</v>
      </c>
      <c r="S30" s="262" t="n">
        <f aca="true" t="array" ref="S30:S30">IF(AUTOEVENTO="Manual",ROUND(SUMPRODUCT((CÁLCULO!$M$15:$M$205=EVENTOS!$C30)*(OFFSET(CÁLCULO!$AQ$15:$AQ$205,0,S$13))),2),0)</f>
        <v>0</v>
      </c>
      <c r="T30" s="262" t="n">
        <f aca="true" t="array" ref="T30:T30">IF(AUTOEVENTO="Manual",ROUND(SUMPRODUCT((CÁLCULO!$M$15:$M$205=EVENTOS!$C30)*(OFFSET(CÁLCULO!$AQ$15:$AQ$205,0,T$13))),2),0)</f>
        <v>0</v>
      </c>
      <c r="U30" s="262" t="n">
        <f aca="true" t="array" ref="U30:U30">IF(AUTOEVENTO="Manual",ROUND(SUMPRODUCT((CÁLCULO!$M$15:$M$205=EVENTOS!$C30)*(OFFSET(CÁLCULO!$AQ$15:$AQ$205,0,U$13))),2),0)</f>
        <v>0</v>
      </c>
      <c r="V30" s="262" t="n">
        <f aca="true" t="array" ref="V30:V30">IF(AUTOEVENTO="Manual",ROUND(SUMPRODUCT((CÁLCULO!$M$15:$M$205=EVENTOS!$C30)*(OFFSET(CÁLCULO!$AQ$15:$AQ$205,0,V$13))),2),0)</f>
        <v>0</v>
      </c>
      <c r="W30" s="262" t="n">
        <f aca="true" t="array" ref="W30:W30">IF(AUTOEVENTO="Manual",ROUND(SUMPRODUCT((CÁLCULO!$M$15:$M$205=EVENTOS!$C30)*(OFFSET(CÁLCULO!$AQ$15:$AQ$205,0,W$13))),2),0)</f>
        <v>0</v>
      </c>
      <c r="X30" s="262" t="n">
        <f aca="true" t="array" ref="X30:X30">IF(AUTOEVENTO="Manual",ROUND(SUMPRODUCT((CÁLCULO!$M$15:$M$205=EVENTOS!$C30)*(OFFSET(CÁLCULO!$AQ$15:$AQ$205,0,X$13))),2),0)</f>
        <v>0</v>
      </c>
      <c r="Y30" s="262" t="n">
        <f aca="true" t="array" ref="Y30:Y30">IF(AUTOEVENTO="Manual",ROUND(SUMPRODUCT((CÁLCULO!$M$15:$M$205=EVENTOS!$C30)*(OFFSET(CÁLCULO!$AQ$15:$AQ$205,0,Y$13))),2),0)</f>
        <v>0</v>
      </c>
      <c r="Z30" s="262" t="n">
        <f aca="true" t="array" ref="Z30:Z30">IF(AUTOEVENTO="Manual",ROUND(SUMPRODUCT((CÁLCULO!$M$15:$M$205=EVENTOS!$C30)*(OFFSET(CÁLCULO!$AQ$15:$AQ$205,0,Z$13))),2),0)</f>
        <v>0</v>
      </c>
      <c r="AA30" s="262" t="n">
        <f aca="true" t="array" ref="AA30:AA30">IF(AUTOEVENTO="Manual",ROUND(SUMPRODUCT((CÁLCULO!$M$15:$M$205=EVENTOS!$C30)*(OFFSET(CÁLCULO!$AQ$15:$AQ$205,0,AA$13))),2),0)</f>
        <v>0</v>
      </c>
      <c r="AB30" s="262" t="n">
        <f aca="true" t="array" ref="AB30:AB30">IF(AUTOEVENTO="Manual",ROUND(SUMPRODUCT((CÁLCULO!$M$15:$M$205=EVENTOS!$C30)*(OFFSET(CÁLCULO!$AQ$15:$AQ$205,0,AB$13))),2),0)</f>
        <v>0</v>
      </c>
      <c r="AC30" s="262" t="n">
        <f aca="true" t="array" ref="AC30:AC30">IF(AUTOEVENTO="Manual",ROUND(SUMPRODUCT((CÁLCULO!$M$15:$M$205=EVENTOS!$C30)*(OFFSET(CÁLCULO!$AQ$15:$AQ$205,0,AC$13))),2),0)</f>
        <v>0</v>
      </c>
      <c r="AD30" s="262" t="n">
        <f aca="true" t="array" ref="AD30:AD30">IF(AUTOEVENTO="Manual",ROUND(SUMPRODUCT((CÁLCULO!$M$15:$M$205=EVENTOS!$C30)*(OFFSET(CÁLCULO!$AQ$15:$AQ$205,0,AD$13))),2),0)</f>
        <v>0</v>
      </c>
      <c r="AE30" s="262" t="n">
        <f aca="true" t="array" ref="AE30:AE30">IF(AUTOEVENTO="Manual",ROUND(SUMPRODUCT((CÁLCULO!$M$15:$M$205=EVENTOS!$C30)*(OFFSET(CÁLCULO!$AQ$15:$AQ$205,0,AE$13))),2),0)</f>
        <v>0</v>
      </c>
      <c r="AF30" s="262" t="n">
        <f aca="true" t="array" ref="AF30:AF30">IF(AUTOEVENTO="Manual",ROUND(SUMPRODUCT((CÁLCULO!$M$15:$M$205=EVENTOS!$C30)*(OFFSET(CÁLCULO!$AQ$15:$AQ$205,0,AF$13))),2),0)</f>
        <v>0</v>
      </c>
      <c r="AG30" s="262" t="n">
        <f aca="true" t="array" ref="AG30:AG30">IF(AUTOEVENTO="Manual",ROUND(SUMPRODUCT((CÁLCULO!$M$15:$M$205=EVENTOS!$C30)*(OFFSET(CÁLCULO!$AQ$15:$AQ$205,0,AG$13))),2),0)</f>
        <v>0</v>
      </c>
      <c r="AH30" s="262" t="n">
        <f aca="true" t="array" ref="AH30:AH30">IF(AUTOEVENTO="Manual",ROUND(SUMPRODUCT((CÁLCULO!$M$15:$M$205=EVENTOS!$C30)*(OFFSET(CÁLCULO!$AQ$15:$AQ$205,0,AH$13))),2),0)</f>
        <v>0</v>
      </c>
      <c r="AI30" s="262" t="n">
        <f aca="true" t="array" ref="AI30:AI30">IF(AUTOEVENTO="Manual",ROUND(SUMPRODUCT((CÁLCULO!$M$15:$M$205=EVENTOS!$C30)*(OFFSET(CÁLCULO!$AQ$15:$AQ$205,0,AI$13))),2),0)</f>
        <v>0</v>
      </c>
    </row>
    <row r="31" customFormat="false" ht="12.75" hidden="false" customHeight="false" outlineLevel="0" collapsed="false">
      <c r="A31" s="259" t="str">
        <f aca="false">IF(D31="","","F")</f>
        <v/>
      </c>
      <c r="B31" s="1" t="str">
        <f aca="false">IF(OR(C31=" ",D31=""),"",CONCATENATE(C31,". ",D31))</f>
        <v/>
      </c>
      <c r="C31" s="260" t="str">
        <f aca="true" t="array" ref="C31:C31">IF(OR(ROW(C31)=ROW(EVENTOS.firstrow)+1,AND(OFFSET(C31,-1,0)&lt;&gt;" ",OFFSET(C31,-1,1)&lt;&gt;"")),OFFSET(C31,-1,0)+1," ")</f>
        <v> </v>
      </c>
      <c r="D31" s="261"/>
      <c r="E31" s="262" t="n">
        <f aca="true" t="array" ref="E31:E31">IF(AUTOEVENTO="Manual",ROUND(SUMPRODUCT((CÁLCULO!$M$15:$M$205=EVENTOS!$C31)*(OFFSET(CÁLCULO!$AQ$15:$AQ$205,0,E$13))),2),0)</f>
        <v>0</v>
      </c>
      <c r="F31" s="263" t="n">
        <f aca="true">IF(AUTOEVENTO="Manual",ROUND(SUMPRODUCT((CÁLCULO!$M$15:$M$205=EVENTOS!$C31)*(OFFSET(CÁLCULO!$AQ$15,0,1):OFFSET(CÁLCULO!$BR$205,0,-1))),2),0)</f>
        <v>0</v>
      </c>
      <c r="G31" s="264" t="str">
        <f aca="false">IF(AND(D31=0,F31&gt;0),"NOME",
 IF(AND(D31&lt;&gt;0,$F$14&gt;0,F31=0),"VALOR",
 IF(AND(Import.TipoArredondamento="TransfereGOV",$A31="F",LEN(D31)&gt;100),"Nome &gt;100","")))</f>
        <v/>
      </c>
      <c r="H31" s="262" t="n">
        <f aca="true" t="array" ref="H31:H31">IF(AUTOEVENTO="Manual",ROUND(SUMPRODUCT((CÁLCULO!$M$15:$M$205=EVENTOS!$C31)*(OFFSET(CÁLCULO!$AQ$15:$AQ$205,0,H$13))),2),0)</f>
        <v>0</v>
      </c>
      <c r="I31" s="262" t="n">
        <f aca="true" t="array" ref="I31:I31">IF(AUTOEVENTO="Manual",ROUND(SUMPRODUCT((CÁLCULO!$M$15:$M$205=EVENTOS!$C31)*(OFFSET(CÁLCULO!$AQ$15:$AQ$205,0,I$13))),2),0)</f>
        <v>0</v>
      </c>
      <c r="J31" s="262" t="n">
        <f aca="true" t="array" ref="J31:J31">IF(AUTOEVENTO="Manual",ROUND(SUMPRODUCT((CÁLCULO!$M$15:$M$205=EVENTOS!$C31)*(OFFSET(CÁLCULO!$AQ$15:$AQ$205,0,J$13))),2),0)</f>
        <v>0</v>
      </c>
      <c r="K31" s="262" t="n">
        <f aca="true" t="array" ref="K31:K31">IF(AUTOEVENTO="Manual",ROUND(SUMPRODUCT((CÁLCULO!$M$15:$M$205=EVENTOS!$C31)*(OFFSET(CÁLCULO!$AQ$15:$AQ$205,0,K$13))),2),0)</f>
        <v>0</v>
      </c>
      <c r="L31" s="262" t="n">
        <f aca="true" t="array" ref="L31:L31">IF(AUTOEVENTO="Manual",ROUND(SUMPRODUCT((CÁLCULO!$M$15:$M$205=EVENTOS!$C31)*(OFFSET(CÁLCULO!$AQ$15:$AQ$205,0,L$13))),2),0)</f>
        <v>0</v>
      </c>
      <c r="M31" s="262" t="n">
        <f aca="true" t="array" ref="M31:M31">IF(AUTOEVENTO="Manual",ROUND(SUMPRODUCT((CÁLCULO!$M$15:$M$205=EVENTOS!$C31)*(OFFSET(CÁLCULO!$AQ$15:$AQ$205,0,M$13))),2),0)</f>
        <v>0</v>
      </c>
      <c r="N31" s="262" t="n">
        <f aca="true" t="array" ref="N31:N31">IF(AUTOEVENTO="Manual",ROUND(SUMPRODUCT((CÁLCULO!$M$15:$M$205=EVENTOS!$C31)*(OFFSET(CÁLCULO!$AQ$15:$AQ$205,0,N$13))),2),0)</f>
        <v>0</v>
      </c>
      <c r="O31" s="262" t="n">
        <f aca="true" t="array" ref="O31:O31">IF(AUTOEVENTO="Manual",ROUND(SUMPRODUCT((CÁLCULO!$M$15:$M$205=EVENTOS!$C31)*(OFFSET(CÁLCULO!$AQ$15:$AQ$205,0,O$13))),2),0)</f>
        <v>0</v>
      </c>
      <c r="P31" s="262" t="n">
        <f aca="true" t="array" ref="P31:P31">IF(AUTOEVENTO="Manual",ROUND(SUMPRODUCT((CÁLCULO!$M$15:$M$205=EVENTOS!$C31)*(OFFSET(CÁLCULO!$AQ$15:$AQ$205,0,P$13))),2),0)</f>
        <v>0</v>
      </c>
      <c r="Q31" s="262" t="n">
        <f aca="true" t="array" ref="Q31:Q31">IF(AUTOEVENTO="Manual",ROUND(SUMPRODUCT((CÁLCULO!$M$15:$M$205=EVENTOS!$C31)*(OFFSET(CÁLCULO!$AQ$15:$AQ$205,0,Q$13))),2),0)</f>
        <v>0</v>
      </c>
      <c r="R31" s="262" t="n">
        <f aca="true" t="array" ref="R31:R31">IF(AUTOEVENTO="Manual",ROUND(SUMPRODUCT((CÁLCULO!$M$15:$M$205=EVENTOS!$C31)*(OFFSET(CÁLCULO!$AQ$15:$AQ$205,0,R$13))),2),0)</f>
        <v>0</v>
      </c>
      <c r="S31" s="262" t="n">
        <f aca="true" t="array" ref="S31:S31">IF(AUTOEVENTO="Manual",ROUND(SUMPRODUCT((CÁLCULO!$M$15:$M$205=EVENTOS!$C31)*(OFFSET(CÁLCULO!$AQ$15:$AQ$205,0,S$13))),2),0)</f>
        <v>0</v>
      </c>
      <c r="T31" s="262" t="n">
        <f aca="true" t="array" ref="T31:T31">IF(AUTOEVENTO="Manual",ROUND(SUMPRODUCT((CÁLCULO!$M$15:$M$205=EVENTOS!$C31)*(OFFSET(CÁLCULO!$AQ$15:$AQ$205,0,T$13))),2),0)</f>
        <v>0</v>
      </c>
      <c r="U31" s="262" t="n">
        <f aca="true" t="array" ref="U31:U31">IF(AUTOEVENTO="Manual",ROUND(SUMPRODUCT((CÁLCULO!$M$15:$M$205=EVENTOS!$C31)*(OFFSET(CÁLCULO!$AQ$15:$AQ$205,0,U$13))),2),0)</f>
        <v>0</v>
      </c>
      <c r="V31" s="262" t="n">
        <f aca="true" t="array" ref="V31:V31">IF(AUTOEVENTO="Manual",ROUND(SUMPRODUCT((CÁLCULO!$M$15:$M$205=EVENTOS!$C31)*(OFFSET(CÁLCULO!$AQ$15:$AQ$205,0,V$13))),2),0)</f>
        <v>0</v>
      </c>
      <c r="W31" s="262" t="n">
        <f aca="true" t="array" ref="W31:W31">IF(AUTOEVENTO="Manual",ROUND(SUMPRODUCT((CÁLCULO!$M$15:$M$205=EVENTOS!$C31)*(OFFSET(CÁLCULO!$AQ$15:$AQ$205,0,W$13))),2),0)</f>
        <v>0</v>
      </c>
      <c r="X31" s="262" t="n">
        <f aca="true" t="array" ref="X31:X31">IF(AUTOEVENTO="Manual",ROUND(SUMPRODUCT((CÁLCULO!$M$15:$M$205=EVENTOS!$C31)*(OFFSET(CÁLCULO!$AQ$15:$AQ$205,0,X$13))),2),0)</f>
        <v>0</v>
      </c>
      <c r="Y31" s="262" t="n">
        <f aca="true" t="array" ref="Y31:Y31">IF(AUTOEVENTO="Manual",ROUND(SUMPRODUCT((CÁLCULO!$M$15:$M$205=EVENTOS!$C31)*(OFFSET(CÁLCULO!$AQ$15:$AQ$205,0,Y$13))),2),0)</f>
        <v>0</v>
      </c>
      <c r="Z31" s="262" t="n">
        <f aca="true" t="array" ref="Z31:Z31">IF(AUTOEVENTO="Manual",ROUND(SUMPRODUCT((CÁLCULO!$M$15:$M$205=EVENTOS!$C31)*(OFFSET(CÁLCULO!$AQ$15:$AQ$205,0,Z$13))),2),0)</f>
        <v>0</v>
      </c>
      <c r="AA31" s="262" t="n">
        <f aca="true" t="array" ref="AA31:AA31">IF(AUTOEVENTO="Manual",ROUND(SUMPRODUCT((CÁLCULO!$M$15:$M$205=EVENTOS!$C31)*(OFFSET(CÁLCULO!$AQ$15:$AQ$205,0,AA$13))),2),0)</f>
        <v>0</v>
      </c>
      <c r="AB31" s="262" t="n">
        <f aca="true" t="array" ref="AB31:AB31">IF(AUTOEVENTO="Manual",ROUND(SUMPRODUCT((CÁLCULO!$M$15:$M$205=EVENTOS!$C31)*(OFFSET(CÁLCULO!$AQ$15:$AQ$205,0,AB$13))),2),0)</f>
        <v>0</v>
      </c>
      <c r="AC31" s="262" t="n">
        <f aca="true" t="array" ref="AC31:AC31">IF(AUTOEVENTO="Manual",ROUND(SUMPRODUCT((CÁLCULO!$M$15:$M$205=EVENTOS!$C31)*(OFFSET(CÁLCULO!$AQ$15:$AQ$205,0,AC$13))),2),0)</f>
        <v>0</v>
      </c>
      <c r="AD31" s="262" t="n">
        <f aca="true" t="array" ref="AD31:AD31">IF(AUTOEVENTO="Manual",ROUND(SUMPRODUCT((CÁLCULO!$M$15:$M$205=EVENTOS!$C31)*(OFFSET(CÁLCULO!$AQ$15:$AQ$205,0,AD$13))),2),0)</f>
        <v>0</v>
      </c>
      <c r="AE31" s="262" t="n">
        <f aca="true" t="array" ref="AE31:AE31">IF(AUTOEVENTO="Manual",ROUND(SUMPRODUCT((CÁLCULO!$M$15:$M$205=EVENTOS!$C31)*(OFFSET(CÁLCULO!$AQ$15:$AQ$205,0,AE$13))),2),0)</f>
        <v>0</v>
      </c>
      <c r="AF31" s="262" t="n">
        <f aca="true" t="array" ref="AF31:AF31">IF(AUTOEVENTO="Manual",ROUND(SUMPRODUCT((CÁLCULO!$M$15:$M$205=EVENTOS!$C31)*(OFFSET(CÁLCULO!$AQ$15:$AQ$205,0,AF$13))),2),0)</f>
        <v>0</v>
      </c>
      <c r="AG31" s="262" t="n">
        <f aca="true" t="array" ref="AG31:AG31">IF(AUTOEVENTO="Manual",ROUND(SUMPRODUCT((CÁLCULO!$M$15:$M$205=EVENTOS!$C31)*(OFFSET(CÁLCULO!$AQ$15:$AQ$205,0,AG$13))),2),0)</f>
        <v>0</v>
      </c>
      <c r="AH31" s="262" t="n">
        <f aca="true" t="array" ref="AH31:AH31">IF(AUTOEVENTO="Manual",ROUND(SUMPRODUCT((CÁLCULO!$M$15:$M$205=EVENTOS!$C31)*(OFFSET(CÁLCULO!$AQ$15:$AQ$205,0,AH$13))),2),0)</f>
        <v>0</v>
      </c>
      <c r="AI31" s="262" t="n">
        <f aca="true" t="array" ref="AI31:AI31">IF(AUTOEVENTO="Manual",ROUND(SUMPRODUCT((CÁLCULO!$M$15:$M$205=EVENTOS!$C31)*(OFFSET(CÁLCULO!$AQ$15:$AQ$205,0,AI$13))),2),0)</f>
        <v>0</v>
      </c>
    </row>
    <row r="32" customFormat="false" ht="12.75" hidden="false" customHeight="false" outlineLevel="0" collapsed="false">
      <c r="A32" s="259" t="str">
        <f aca="false">IF(D32="","","F")</f>
        <v/>
      </c>
      <c r="B32" s="1" t="str">
        <f aca="false">IF(OR(C32=" ",D32=""),"",CONCATENATE(C32,". ",D32))</f>
        <v/>
      </c>
      <c r="C32" s="260" t="str">
        <f aca="true" t="array" ref="C32:C32">IF(OR(ROW(C32)=ROW(EVENTOS.firstrow)+1,AND(OFFSET(C32,-1,0)&lt;&gt;" ",OFFSET(C32,-1,1)&lt;&gt;"")),OFFSET(C32,-1,0)+1," ")</f>
        <v> </v>
      </c>
      <c r="D32" s="261"/>
      <c r="E32" s="262" t="n">
        <f aca="true" t="array" ref="E32:E32">IF(AUTOEVENTO="Manual",ROUND(SUMPRODUCT((CÁLCULO!$M$15:$M$205=EVENTOS!$C32)*(OFFSET(CÁLCULO!$AQ$15:$AQ$205,0,E$13))),2),0)</f>
        <v>0</v>
      </c>
      <c r="F32" s="263" t="n">
        <f aca="true">IF(AUTOEVENTO="Manual",ROUND(SUMPRODUCT((CÁLCULO!$M$15:$M$205=EVENTOS!$C32)*(OFFSET(CÁLCULO!$AQ$15,0,1):OFFSET(CÁLCULO!$BR$205,0,-1))),2),0)</f>
        <v>0</v>
      </c>
      <c r="G32" s="264" t="str">
        <f aca="false">IF(AND(D32=0,F32&gt;0),"NOME",
 IF(AND(D32&lt;&gt;0,$F$14&gt;0,F32=0),"VALOR",
 IF(AND(Import.TipoArredondamento="TransfereGOV",$A32="F",LEN(D32)&gt;100),"Nome &gt;100","")))</f>
        <v/>
      </c>
      <c r="H32" s="262" t="n">
        <f aca="true" t="array" ref="H32:H32">IF(AUTOEVENTO="Manual",ROUND(SUMPRODUCT((CÁLCULO!$M$15:$M$205=EVENTOS!$C32)*(OFFSET(CÁLCULO!$AQ$15:$AQ$205,0,H$13))),2),0)</f>
        <v>0</v>
      </c>
      <c r="I32" s="262" t="n">
        <f aca="true" t="array" ref="I32:I32">IF(AUTOEVENTO="Manual",ROUND(SUMPRODUCT((CÁLCULO!$M$15:$M$205=EVENTOS!$C32)*(OFFSET(CÁLCULO!$AQ$15:$AQ$205,0,I$13))),2),0)</f>
        <v>0</v>
      </c>
      <c r="J32" s="262" t="n">
        <f aca="true" t="array" ref="J32:J32">IF(AUTOEVENTO="Manual",ROUND(SUMPRODUCT((CÁLCULO!$M$15:$M$205=EVENTOS!$C32)*(OFFSET(CÁLCULO!$AQ$15:$AQ$205,0,J$13))),2),0)</f>
        <v>0</v>
      </c>
      <c r="K32" s="262" t="n">
        <f aca="true" t="array" ref="K32:K32">IF(AUTOEVENTO="Manual",ROUND(SUMPRODUCT((CÁLCULO!$M$15:$M$205=EVENTOS!$C32)*(OFFSET(CÁLCULO!$AQ$15:$AQ$205,0,K$13))),2),0)</f>
        <v>0</v>
      </c>
      <c r="L32" s="262" t="n">
        <f aca="true" t="array" ref="L32:L32">IF(AUTOEVENTO="Manual",ROUND(SUMPRODUCT((CÁLCULO!$M$15:$M$205=EVENTOS!$C32)*(OFFSET(CÁLCULO!$AQ$15:$AQ$205,0,L$13))),2),0)</f>
        <v>0</v>
      </c>
      <c r="M32" s="262" t="n">
        <f aca="true" t="array" ref="M32:M32">IF(AUTOEVENTO="Manual",ROUND(SUMPRODUCT((CÁLCULO!$M$15:$M$205=EVENTOS!$C32)*(OFFSET(CÁLCULO!$AQ$15:$AQ$205,0,M$13))),2),0)</f>
        <v>0</v>
      </c>
      <c r="N32" s="262" t="n">
        <f aca="true" t="array" ref="N32:N32">IF(AUTOEVENTO="Manual",ROUND(SUMPRODUCT((CÁLCULO!$M$15:$M$205=EVENTOS!$C32)*(OFFSET(CÁLCULO!$AQ$15:$AQ$205,0,N$13))),2),0)</f>
        <v>0</v>
      </c>
      <c r="O32" s="262" t="n">
        <f aca="true" t="array" ref="O32:O32">IF(AUTOEVENTO="Manual",ROUND(SUMPRODUCT((CÁLCULO!$M$15:$M$205=EVENTOS!$C32)*(OFFSET(CÁLCULO!$AQ$15:$AQ$205,0,O$13))),2),0)</f>
        <v>0</v>
      </c>
      <c r="P32" s="262" t="n">
        <f aca="true" t="array" ref="P32:P32">IF(AUTOEVENTO="Manual",ROUND(SUMPRODUCT((CÁLCULO!$M$15:$M$205=EVENTOS!$C32)*(OFFSET(CÁLCULO!$AQ$15:$AQ$205,0,P$13))),2),0)</f>
        <v>0</v>
      </c>
      <c r="Q32" s="262" t="n">
        <f aca="true" t="array" ref="Q32:Q32">IF(AUTOEVENTO="Manual",ROUND(SUMPRODUCT((CÁLCULO!$M$15:$M$205=EVENTOS!$C32)*(OFFSET(CÁLCULO!$AQ$15:$AQ$205,0,Q$13))),2),0)</f>
        <v>0</v>
      </c>
      <c r="R32" s="262" t="n">
        <f aca="true" t="array" ref="R32:R32">IF(AUTOEVENTO="Manual",ROUND(SUMPRODUCT((CÁLCULO!$M$15:$M$205=EVENTOS!$C32)*(OFFSET(CÁLCULO!$AQ$15:$AQ$205,0,R$13))),2),0)</f>
        <v>0</v>
      </c>
      <c r="S32" s="262" t="n">
        <f aca="true" t="array" ref="S32:S32">IF(AUTOEVENTO="Manual",ROUND(SUMPRODUCT((CÁLCULO!$M$15:$M$205=EVENTOS!$C32)*(OFFSET(CÁLCULO!$AQ$15:$AQ$205,0,S$13))),2),0)</f>
        <v>0</v>
      </c>
      <c r="T32" s="262" t="n">
        <f aca="true" t="array" ref="T32:T32">IF(AUTOEVENTO="Manual",ROUND(SUMPRODUCT((CÁLCULO!$M$15:$M$205=EVENTOS!$C32)*(OFFSET(CÁLCULO!$AQ$15:$AQ$205,0,T$13))),2),0)</f>
        <v>0</v>
      </c>
      <c r="U32" s="262" t="n">
        <f aca="true" t="array" ref="U32:U32">IF(AUTOEVENTO="Manual",ROUND(SUMPRODUCT((CÁLCULO!$M$15:$M$205=EVENTOS!$C32)*(OFFSET(CÁLCULO!$AQ$15:$AQ$205,0,U$13))),2),0)</f>
        <v>0</v>
      </c>
      <c r="V32" s="262" t="n">
        <f aca="true" t="array" ref="V32:V32">IF(AUTOEVENTO="Manual",ROUND(SUMPRODUCT((CÁLCULO!$M$15:$M$205=EVENTOS!$C32)*(OFFSET(CÁLCULO!$AQ$15:$AQ$205,0,V$13))),2),0)</f>
        <v>0</v>
      </c>
      <c r="W32" s="262" t="n">
        <f aca="true" t="array" ref="W32:W32">IF(AUTOEVENTO="Manual",ROUND(SUMPRODUCT((CÁLCULO!$M$15:$M$205=EVENTOS!$C32)*(OFFSET(CÁLCULO!$AQ$15:$AQ$205,0,W$13))),2),0)</f>
        <v>0</v>
      </c>
      <c r="X32" s="262" t="n">
        <f aca="true" t="array" ref="X32:X32">IF(AUTOEVENTO="Manual",ROUND(SUMPRODUCT((CÁLCULO!$M$15:$M$205=EVENTOS!$C32)*(OFFSET(CÁLCULO!$AQ$15:$AQ$205,0,X$13))),2),0)</f>
        <v>0</v>
      </c>
      <c r="Y32" s="262" t="n">
        <f aca="true" t="array" ref="Y32:Y32">IF(AUTOEVENTO="Manual",ROUND(SUMPRODUCT((CÁLCULO!$M$15:$M$205=EVENTOS!$C32)*(OFFSET(CÁLCULO!$AQ$15:$AQ$205,0,Y$13))),2),0)</f>
        <v>0</v>
      </c>
      <c r="Z32" s="262" t="n">
        <f aca="true" t="array" ref="Z32:Z32">IF(AUTOEVENTO="Manual",ROUND(SUMPRODUCT((CÁLCULO!$M$15:$M$205=EVENTOS!$C32)*(OFFSET(CÁLCULO!$AQ$15:$AQ$205,0,Z$13))),2),0)</f>
        <v>0</v>
      </c>
      <c r="AA32" s="262" t="n">
        <f aca="true" t="array" ref="AA32:AA32">IF(AUTOEVENTO="Manual",ROUND(SUMPRODUCT((CÁLCULO!$M$15:$M$205=EVENTOS!$C32)*(OFFSET(CÁLCULO!$AQ$15:$AQ$205,0,AA$13))),2),0)</f>
        <v>0</v>
      </c>
      <c r="AB32" s="262" t="n">
        <f aca="true" t="array" ref="AB32:AB32">IF(AUTOEVENTO="Manual",ROUND(SUMPRODUCT((CÁLCULO!$M$15:$M$205=EVENTOS!$C32)*(OFFSET(CÁLCULO!$AQ$15:$AQ$205,0,AB$13))),2),0)</f>
        <v>0</v>
      </c>
      <c r="AC32" s="262" t="n">
        <f aca="true" t="array" ref="AC32:AC32">IF(AUTOEVENTO="Manual",ROUND(SUMPRODUCT((CÁLCULO!$M$15:$M$205=EVENTOS!$C32)*(OFFSET(CÁLCULO!$AQ$15:$AQ$205,0,AC$13))),2),0)</f>
        <v>0</v>
      </c>
      <c r="AD32" s="262" t="n">
        <f aca="true" t="array" ref="AD32:AD32">IF(AUTOEVENTO="Manual",ROUND(SUMPRODUCT((CÁLCULO!$M$15:$M$205=EVENTOS!$C32)*(OFFSET(CÁLCULO!$AQ$15:$AQ$205,0,AD$13))),2),0)</f>
        <v>0</v>
      </c>
      <c r="AE32" s="262" t="n">
        <f aca="true" t="array" ref="AE32:AE32">IF(AUTOEVENTO="Manual",ROUND(SUMPRODUCT((CÁLCULO!$M$15:$M$205=EVENTOS!$C32)*(OFFSET(CÁLCULO!$AQ$15:$AQ$205,0,AE$13))),2),0)</f>
        <v>0</v>
      </c>
      <c r="AF32" s="262" t="n">
        <f aca="true" t="array" ref="AF32:AF32">IF(AUTOEVENTO="Manual",ROUND(SUMPRODUCT((CÁLCULO!$M$15:$M$205=EVENTOS!$C32)*(OFFSET(CÁLCULO!$AQ$15:$AQ$205,0,AF$13))),2),0)</f>
        <v>0</v>
      </c>
      <c r="AG32" s="262" t="n">
        <f aca="true" t="array" ref="AG32:AG32">IF(AUTOEVENTO="Manual",ROUND(SUMPRODUCT((CÁLCULO!$M$15:$M$205=EVENTOS!$C32)*(OFFSET(CÁLCULO!$AQ$15:$AQ$205,0,AG$13))),2),0)</f>
        <v>0</v>
      </c>
      <c r="AH32" s="262" t="n">
        <f aca="true" t="array" ref="AH32:AH32">IF(AUTOEVENTO="Manual",ROUND(SUMPRODUCT((CÁLCULO!$M$15:$M$205=EVENTOS!$C32)*(OFFSET(CÁLCULO!$AQ$15:$AQ$205,0,AH$13))),2),0)</f>
        <v>0</v>
      </c>
      <c r="AI32" s="262" t="n">
        <f aca="true" t="array" ref="AI32:AI32">IF(AUTOEVENTO="Manual",ROUND(SUMPRODUCT((CÁLCULO!$M$15:$M$205=EVENTOS!$C32)*(OFFSET(CÁLCULO!$AQ$15:$AQ$205,0,AI$13))),2),0)</f>
        <v>0</v>
      </c>
    </row>
    <row r="33" customFormat="false" ht="12.75" hidden="false" customHeight="false" outlineLevel="0" collapsed="false">
      <c r="A33" s="259" t="str">
        <f aca="false">IF(D33="","","F")</f>
        <v/>
      </c>
      <c r="B33" s="1" t="str">
        <f aca="false">IF(OR(C33=" ",D33=""),"",CONCATENATE(C33,". ",D33))</f>
        <v/>
      </c>
      <c r="C33" s="260" t="str">
        <f aca="true" t="array" ref="C33:C33">IF(OR(ROW(C33)=ROW(EVENTOS.firstrow)+1,AND(OFFSET(C33,-1,0)&lt;&gt;" ",OFFSET(C33,-1,1)&lt;&gt;"")),OFFSET(C33,-1,0)+1," ")</f>
        <v> </v>
      </c>
      <c r="D33" s="261"/>
      <c r="E33" s="262" t="n">
        <f aca="true" t="array" ref="E33:E33">IF(AUTOEVENTO="Manual",ROUND(SUMPRODUCT((CÁLCULO!$M$15:$M$205=EVENTOS!$C33)*(OFFSET(CÁLCULO!$AQ$15:$AQ$205,0,E$13))),2),0)</f>
        <v>0</v>
      </c>
      <c r="F33" s="263" t="n">
        <f aca="true">IF(AUTOEVENTO="Manual",ROUND(SUMPRODUCT((CÁLCULO!$M$15:$M$205=EVENTOS!$C33)*(OFFSET(CÁLCULO!$AQ$15,0,1):OFFSET(CÁLCULO!$BR$205,0,-1))),2),0)</f>
        <v>0</v>
      </c>
      <c r="G33" s="264" t="str">
        <f aca="false">IF(AND(D33=0,F33&gt;0),"NOME",
 IF(AND(D33&lt;&gt;0,$F$14&gt;0,F33=0),"VALOR",
 IF(AND(Import.TipoArredondamento="TransfereGOV",$A33="F",LEN(D33)&gt;100),"Nome &gt;100","")))</f>
        <v/>
      </c>
      <c r="H33" s="262" t="n">
        <f aca="true" t="array" ref="H33:H33">IF(AUTOEVENTO="Manual",ROUND(SUMPRODUCT((CÁLCULO!$M$15:$M$205=EVENTOS!$C33)*(OFFSET(CÁLCULO!$AQ$15:$AQ$205,0,H$13))),2),0)</f>
        <v>0</v>
      </c>
      <c r="I33" s="262" t="n">
        <f aca="true" t="array" ref="I33:I33">IF(AUTOEVENTO="Manual",ROUND(SUMPRODUCT((CÁLCULO!$M$15:$M$205=EVENTOS!$C33)*(OFFSET(CÁLCULO!$AQ$15:$AQ$205,0,I$13))),2),0)</f>
        <v>0</v>
      </c>
      <c r="J33" s="262" t="n">
        <f aca="true" t="array" ref="J33:J33">IF(AUTOEVENTO="Manual",ROUND(SUMPRODUCT((CÁLCULO!$M$15:$M$205=EVENTOS!$C33)*(OFFSET(CÁLCULO!$AQ$15:$AQ$205,0,J$13))),2),0)</f>
        <v>0</v>
      </c>
      <c r="K33" s="262" t="n">
        <f aca="true" t="array" ref="K33:K33">IF(AUTOEVENTO="Manual",ROUND(SUMPRODUCT((CÁLCULO!$M$15:$M$205=EVENTOS!$C33)*(OFFSET(CÁLCULO!$AQ$15:$AQ$205,0,K$13))),2),0)</f>
        <v>0</v>
      </c>
      <c r="L33" s="262" t="n">
        <f aca="true" t="array" ref="L33:L33">IF(AUTOEVENTO="Manual",ROUND(SUMPRODUCT((CÁLCULO!$M$15:$M$205=EVENTOS!$C33)*(OFFSET(CÁLCULO!$AQ$15:$AQ$205,0,L$13))),2),0)</f>
        <v>0</v>
      </c>
      <c r="M33" s="262" t="n">
        <f aca="true" t="array" ref="M33:M33">IF(AUTOEVENTO="Manual",ROUND(SUMPRODUCT((CÁLCULO!$M$15:$M$205=EVENTOS!$C33)*(OFFSET(CÁLCULO!$AQ$15:$AQ$205,0,M$13))),2),0)</f>
        <v>0</v>
      </c>
      <c r="N33" s="262" t="n">
        <f aca="true" t="array" ref="N33:N33">IF(AUTOEVENTO="Manual",ROUND(SUMPRODUCT((CÁLCULO!$M$15:$M$205=EVENTOS!$C33)*(OFFSET(CÁLCULO!$AQ$15:$AQ$205,0,N$13))),2),0)</f>
        <v>0</v>
      </c>
      <c r="O33" s="262" t="n">
        <f aca="true" t="array" ref="O33:O33">IF(AUTOEVENTO="Manual",ROUND(SUMPRODUCT((CÁLCULO!$M$15:$M$205=EVENTOS!$C33)*(OFFSET(CÁLCULO!$AQ$15:$AQ$205,0,O$13))),2),0)</f>
        <v>0</v>
      </c>
      <c r="P33" s="262" t="n">
        <f aca="true" t="array" ref="P33:P33">IF(AUTOEVENTO="Manual",ROUND(SUMPRODUCT((CÁLCULO!$M$15:$M$205=EVENTOS!$C33)*(OFFSET(CÁLCULO!$AQ$15:$AQ$205,0,P$13))),2),0)</f>
        <v>0</v>
      </c>
      <c r="Q33" s="262" t="n">
        <f aca="true" t="array" ref="Q33:Q33">IF(AUTOEVENTO="Manual",ROUND(SUMPRODUCT((CÁLCULO!$M$15:$M$205=EVENTOS!$C33)*(OFFSET(CÁLCULO!$AQ$15:$AQ$205,0,Q$13))),2),0)</f>
        <v>0</v>
      </c>
      <c r="R33" s="262" t="n">
        <f aca="true" t="array" ref="R33:R33">IF(AUTOEVENTO="Manual",ROUND(SUMPRODUCT((CÁLCULO!$M$15:$M$205=EVENTOS!$C33)*(OFFSET(CÁLCULO!$AQ$15:$AQ$205,0,R$13))),2),0)</f>
        <v>0</v>
      </c>
      <c r="S33" s="262" t="n">
        <f aca="true" t="array" ref="S33:S33">IF(AUTOEVENTO="Manual",ROUND(SUMPRODUCT((CÁLCULO!$M$15:$M$205=EVENTOS!$C33)*(OFFSET(CÁLCULO!$AQ$15:$AQ$205,0,S$13))),2),0)</f>
        <v>0</v>
      </c>
      <c r="T33" s="262" t="n">
        <f aca="true" t="array" ref="T33:T33">IF(AUTOEVENTO="Manual",ROUND(SUMPRODUCT((CÁLCULO!$M$15:$M$205=EVENTOS!$C33)*(OFFSET(CÁLCULO!$AQ$15:$AQ$205,0,T$13))),2),0)</f>
        <v>0</v>
      </c>
      <c r="U33" s="262" t="n">
        <f aca="true" t="array" ref="U33:U33">IF(AUTOEVENTO="Manual",ROUND(SUMPRODUCT((CÁLCULO!$M$15:$M$205=EVENTOS!$C33)*(OFFSET(CÁLCULO!$AQ$15:$AQ$205,0,U$13))),2),0)</f>
        <v>0</v>
      </c>
      <c r="V33" s="262" t="n">
        <f aca="true" t="array" ref="V33:V33">IF(AUTOEVENTO="Manual",ROUND(SUMPRODUCT((CÁLCULO!$M$15:$M$205=EVENTOS!$C33)*(OFFSET(CÁLCULO!$AQ$15:$AQ$205,0,V$13))),2),0)</f>
        <v>0</v>
      </c>
      <c r="W33" s="262" t="n">
        <f aca="true" t="array" ref="W33:W33">IF(AUTOEVENTO="Manual",ROUND(SUMPRODUCT((CÁLCULO!$M$15:$M$205=EVENTOS!$C33)*(OFFSET(CÁLCULO!$AQ$15:$AQ$205,0,W$13))),2),0)</f>
        <v>0</v>
      </c>
      <c r="X33" s="262" t="n">
        <f aca="true" t="array" ref="X33:X33">IF(AUTOEVENTO="Manual",ROUND(SUMPRODUCT((CÁLCULO!$M$15:$M$205=EVENTOS!$C33)*(OFFSET(CÁLCULO!$AQ$15:$AQ$205,0,X$13))),2),0)</f>
        <v>0</v>
      </c>
      <c r="Y33" s="262" t="n">
        <f aca="true" t="array" ref="Y33:Y33">IF(AUTOEVENTO="Manual",ROUND(SUMPRODUCT((CÁLCULO!$M$15:$M$205=EVENTOS!$C33)*(OFFSET(CÁLCULO!$AQ$15:$AQ$205,0,Y$13))),2),0)</f>
        <v>0</v>
      </c>
      <c r="Z33" s="262" t="n">
        <f aca="true" t="array" ref="Z33:Z33">IF(AUTOEVENTO="Manual",ROUND(SUMPRODUCT((CÁLCULO!$M$15:$M$205=EVENTOS!$C33)*(OFFSET(CÁLCULO!$AQ$15:$AQ$205,0,Z$13))),2),0)</f>
        <v>0</v>
      </c>
      <c r="AA33" s="262" t="n">
        <f aca="true" t="array" ref="AA33:AA33">IF(AUTOEVENTO="Manual",ROUND(SUMPRODUCT((CÁLCULO!$M$15:$M$205=EVENTOS!$C33)*(OFFSET(CÁLCULO!$AQ$15:$AQ$205,0,AA$13))),2),0)</f>
        <v>0</v>
      </c>
      <c r="AB33" s="262" t="n">
        <f aca="true" t="array" ref="AB33:AB33">IF(AUTOEVENTO="Manual",ROUND(SUMPRODUCT((CÁLCULO!$M$15:$M$205=EVENTOS!$C33)*(OFFSET(CÁLCULO!$AQ$15:$AQ$205,0,AB$13))),2),0)</f>
        <v>0</v>
      </c>
      <c r="AC33" s="262" t="n">
        <f aca="true" t="array" ref="AC33:AC33">IF(AUTOEVENTO="Manual",ROUND(SUMPRODUCT((CÁLCULO!$M$15:$M$205=EVENTOS!$C33)*(OFFSET(CÁLCULO!$AQ$15:$AQ$205,0,AC$13))),2),0)</f>
        <v>0</v>
      </c>
      <c r="AD33" s="262" t="n">
        <f aca="true" t="array" ref="AD33:AD33">IF(AUTOEVENTO="Manual",ROUND(SUMPRODUCT((CÁLCULO!$M$15:$M$205=EVENTOS!$C33)*(OFFSET(CÁLCULO!$AQ$15:$AQ$205,0,AD$13))),2),0)</f>
        <v>0</v>
      </c>
      <c r="AE33" s="262" t="n">
        <f aca="true" t="array" ref="AE33:AE33">IF(AUTOEVENTO="Manual",ROUND(SUMPRODUCT((CÁLCULO!$M$15:$M$205=EVENTOS!$C33)*(OFFSET(CÁLCULO!$AQ$15:$AQ$205,0,AE$13))),2),0)</f>
        <v>0</v>
      </c>
      <c r="AF33" s="262" t="n">
        <f aca="true" t="array" ref="AF33:AF33">IF(AUTOEVENTO="Manual",ROUND(SUMPRODUCT((CÁLCULO!$M$15:$M$205=EVENTOS!$C33)*(OFFSET(CÁLCULO!$AQ$15:$AQ$205,0,AF$13))),2),0)</f>
        <v>0</v>
      </c>
      <c r="AG33" s="262" t="n">
        <f aca="true" t="array" ref="AG33:AG33">IF(AUTOEVENTO="Manual",ROUND(SUMPRODUCT((CÁLCULO!$M$15:$M$205=EVENTOS!$C33)*(OFFSET(CÁLCULO!$AQ$15:$AQ$205,0,AG$13))),2),0)</f>
        <v>0</v>
      </c>
      <c r="AH33" s="262" t="n">
        <f aca="true" t="array" ref="AH33:AH33">IF(AUTOEVENTO="Manual",ROUND(SUMPRODUCT((CÁLCULO!$M$15:$M$205=EVENTOS!$C33)*(OFFSET(CÁLCULO!$AQ$15:$AQ$205,0,AH$13))),2),0)</f>
        <v>0</v>
      </c>
      <c r="AI33" s="262" t="n">
        <f aca="true" t="array" ref="AI33:AI33">IF(AUTOEVENTO="Manual",ROUND(SUMPRODUCT((CÁLCULO!$M$15:$M$205=EVENTOS!$C33)*(OFFSET(CÁLCULO!$AQ$15:$AQ$205,0,AI$13))),2),0)</f>
        <v>0</v>
      </c>
    </row>
    <row r="34" customFormat="false" ht="12.75" hidden="false" customHeight="false" outlineLevel="0" collapsed="false">
      <c r="A34" s="259" t="str">
        <f aca="false">IF(D34="","","F")</f>
        <v/>
      </c>
      <c r="B34" s="1" t="str">
        <f aca="false">IF(OR(C34=" ",D34=""),"",CONCATENATE(C34,". ",D34))</f>
        <v/>
      </c>
      <c r="C34" s="260" t="str">
        <f aca="true" t="array" ref="C34:C34">IF(OR(ROW(C34)=ROW(EVENTOS.firstrow)+1,AND(OFFSET(C34,-1,0)&lt;&gt;" ",OFFSET(C34,-1,1)&lt;&gt;"")),OFFSET(C34,-1,0)+1," ")</f>
        <v> </v>
      </c>
      <c r="D34" s="261"/>
      <c r="E34" s="262" t="n">
        <f aca="true" t="array" ref="E34:E34">IF(AUTOEVENTO="Manual",ROUND(SUMPRODUCT((CÁLCULO!$M$15:$M$205=EVENTOS!$C34)*(OFFSET(CÁLCULO!$AQ$15:$AQ$205,0,E$13))),2),0)</f>
        <v>0</v>
      </c>
      <c r="F34" s="263" t="n">
        <f aca="true">IF(AUTOEVENTO="Manual",ROUND(SUMPRODUCT((CÁLCULO!$M$15:$M$205=EVENTOS!$C34)*(OFFSET(CÁLCULO!$AQ$15,0,1):OFFSET(CÁLCULO!$BR$205,0,-1))),2),0)</f>
        <v>0</v>
      </c>
      <c r="G34" s="264" t="str">
        <f aca="false">IF(AND(D34=0,F34&gt;0),"NOME",
 IF(AND(D34&lt;&gt;0,$F$14&gt;0,F34=0),"VALOR",
 IF(AND(Import.TipoArredondamento="TransfereGOV",$A34="F",LEN(D34)&gt;100),"Nome &gt;100","")))</f>
        <v/>
      </c>
      <c r="H34" s="262" t="n">
        <f aca="true" t="array" ref="H34:H34">IF(AUTOEVENTO="Manual",ROUND(SUMPRODUCT((CÁLCULO!$M$15:$M$205=EVENTOS!$C34)*(OFFSET(CÁLCULO!$AQ$15:$AQ$205,0,H$13))),2),0)</f>
        <v>0</v>
      </c>
      <c r="I34" s="262" t="n">
        <f aca="true" t="array" ref="I34:I34">IF(AUTOEVENTO="Manual",ROUND(SUMPRODUCT((CÁLCULO!$M$15:$M$205=EVENTOS!$C34)*(OFFSET(CÁLCULO!$AQ$15:$AQ$205,0,I$13))),2),0)</f>
        <v>0</v>
      </c>
      <c r="J34" s="262" t="n">
        <f aca="true" t="array" ref="J34:J34">IF(AUTOEVENTO="Manual",ROUND(SUMPRODUCT((CÁLCULO!$M$15:$M$205=EVENTOS!$C34)*(OFFSET(CÁLCULO!$AQ$15:$AQ$205,0,J$13))),2),0)</f>
        <v>0</v>
      </c>
      <c r="K34" s="262" t="n">
        <f aca="true" t="array" ref="K34:K34">IF(AUTOEVENTO="Manual",ROUND(SUMPRODUCT((CÁLCULO!$M$15:$M$205=EVENTOS!$C34)*(OFFSET(CÁLCULO!$AQ$15:$AQ$205,0,K$13))),2),0)</f>
        <v>0</v>
      </c>
      <c r="L34" s="262" t="n">
        <f aca="true" t="array" ref="L34:L34">IF(AUTOEVENTO="Manual",ROUND(SUMPRODUCT((CÁLCULO!$M$15:$M$205=EVENTOS!$C34)*(OFFSET(CÁLCULO!$AQ$15:$AQ$205,0,L$13))),2),0)</f>
        <v>0</v>
      </c>
      <c r="M34" s="262" t="n">
        <f aca="true" t="array" ref="M34:M34">IF(AUTOEVENTO="Manual",ROUND(SUMPRODUCT((CÁLCULO!$M$15:$M$205=EVENTOS!$C34)*(OFFSET(CÁLCULO!$AQ$15:$AQ$205,0,M$13))),2),0)</f>
        <v>0</v>
      </c>
      <c r="N34" s="262" t="n">
        <f aca="true" t="array" ref="N34:N34">IF(AUTOEVENTO="Manual",ROUND(SUMPRODUCT((CÁLCULO!$M$15:$M$205=EVENTOS!$C34)*(OFFSET(CÁLCULO!$AQ$15:$AQ$205,0,N$13))),2),0)</f>
        <v>0</v>
      </c>
      <c r="O34" s="262" t="n">
        <f aca="true" t="array" ref="O34:O34">IF(AUTOEVENTO="Manual",ROUND(SUMPRODUCT((CÁLCULO!$M$15:$M$205=EVENTOS!$C34)*(OFFSET(CÁLCULO!$AQ$15:$AQ$205,0,O$13))),2),0)</f>
        <v>0</v>
      </c>
      <c r="P34" s="262" t="n">
        <f aca="true" t="array" ref="P34:P34">IF(AUTOEVENTO="Manual",ROUND(SUMPRODUCT((CÁLCULO!$M$15:$M$205=EVENTOS!$C34)*(OFFSET(CÁLCULO!$AQ$15:$AQ$205,0,P$13))),2),0)</f>
        <v>0</v>
      </c>
      <c r="Q34" s="262" t="n">
        <f aca="true" t="array" ref="Q34:Q34">IF(AUTOEVENTO="Manual",ROUND(SUMPRODUCT((CÁLCULO!$M$15:$M$205=EVENTOS!$C34)*(OFFSET(CÁLCULO!$AQ$15:$AQ$205,0,Q$13))),2),0)</f>
        <v>0</v>
      </c>
      <c r="R34" s="262" t="n">
        <f aca="true" t="array" ref="R34:R34">IF(AUTOEVENTO="Manual",ROUND(SUMPRODUCT((CÁLCULO!$M$15:$M$205=EVENTOS!$C34)*(OFFSET(CÁLCULO!$AQ$15:$AQ$205,0,R$13))),2),0)</f>
        <v>0</v>
      </c>
      <c r="S34" s="262" t="n">
        <f aca="true" t="array" ref="S34:S34">IF(AUTOEVENTO="Manual",ROUND(SUMPRODUCT((CÁLCULO!$M$15:$M$205=EVENTOS!$C34)*(OFFSET(CÁLCULO!$AQ$15:$AQ$205,0,S$13))),2),0)</f>
        <v>0</v>
      </c>
      <c r="T34" s="262" t="n">
        <f aca="true" t="array" ref="T34:T34">IF(AUTOEVENTO="Manual",ROUND(SUMPRODUCT((CÁLCULO!$M$15:$M$205=EVENTOS!$C34)*(OFFSET(CÁLCULO!$AQ$15:$AQ$205,0,T$13))),2),0)</f>
        <v>0</v>
      </c>
      <c r="U34" s="262" t="n">
        <f aca="true" t="array" ref="U34:U34">IF(AUTOEVENTO="Manual",ROUND(SUMPRODUCT((CÁLCULO!$M$15:$M$205=EVENTOS!$C34)*(OFFSET(CÁLCULO!$AQ$15:$AQ$205,0,U$13))),2),0)</f>
        <v>0</v>
      </c>
      <c r="V34" s="262" t="n">
        <f aca="true" t="array" ref="V34:V34">IF(AUTOEVENTO="Manual",ROUND(SUMPRODUCT((CÁLCULO!$M$15:$M$205=EVENTOS!$C34)*(OFFSET(CÁLCULO!$AQ$15:$AQ$205,0,V$13))),2),0)</f>
        <v>0</v>
      </c>
      <c r="W34" s="262" t="n">
        <f aca="true" t="array" ref="W34:W34">IF(AUTOEVENTO="Manual",ROUND(SUMPRODUCT((CÁLCULO!$M$15:$M$205=EVENTOS!$C34)*(OFFSET(CÁLCULO!$AQ$15:$AQ$205,0,W$13))),2),0)</f>
        <v>0</v>
      </c>
      <c r="X34" s="262" t="n">
        <f aca="true" t="array" ref="X34:X34">IF(AUTOEVENTO="Manual",ROUND(SUMPRODUCT((CÁLCULO!$M$15:$M$205=EVENTOS!$C34)*(OFFSET(CÁLCULO!$AQ$15:$AQ$205,0,X$13))),2),0)</f>
        <v>0</v>
      </c>
      <c r="Y34" s="262" t="n">
        <f aca="true" t="array" ref="Y34:Y34">IF(AUTOEVENTO="Manual",ROUND(SUMPRODUCT((CÁLCULO!$M$15:$M$205=EVENTOS!$C34)*(OFFSET(CÁLCULO!$AQ$15:$AQ$205,0,Y$13))),2),0)</f>
        <v>0</v>
      </c>
      <c r="Z34" s="262" t="n">
        <f aca="true" t="array" ref="Z34:Z34">IF(AUTOEVENTO="Manual",ROUND(SUMPRODUCT((CÁLCULO!$M$15:$M$205=EVENTOS!$C34)*(OFFSET(CÁLCULO!$AQ$15:$AQ$205,0,Z$13))),2),0)</f>
        <v>0</v>
      </c>
      <c r="AA34" s="262" t="n">
        <f aca="true" t="array" ref="AA34:AA34">IF(AUTOEVENTO="Manual",ROUND(SUMPRODUCT((CÁLCULO!$M$15:$M$205=EVENTOS!$C34)*(OFFSET(CÁLCULO!$AQ$15:$AQ$205,0,AA$13))),2),0)</f>
        <v>0</v>
      </c>
      <c r="AB34" s="262" t="n">
        <f aca="true" t="array" ref="AB34:AB34">IF(AUTOEVENTO="Manual",ROUND(SUMPRODUCT((CÁLCULO!$M$15:$M$205=EVENTOS!$C34)*(OFFSET(CÁLCULO!$AQ$15:$AQ$205,0,AB$13))),2),0)</f>
        <v>0</v>
      </c>
      <c r="AC34" s="262" t="n">
        <f aca="true" t="array" ref="AC34:AC34">IF(AUTOEVENTO="Manual",ROUND(SUMPRODUCT((CÁLCULO!$M$15:$M$205=EVENTOS!$C34)*(OFFSET(CÁLCULO!$AQ$15:$AQ$205,0,AC$13))),2),0)</f>
        <v>0</v>
      </c>
      <c r="AD34" s="262" t="n">
        <f aca="true" t="array" ref="AD34:AD34">IF(AUTOEVENTO="Manual",ROUND(SUMPRODUCT((CÁLCULO!$M$15:$M$205=EVENTOS!$C34)*(OFFSET(CÁLCULO!$AQ$15:$AQ$205,0,AD$13))),2),0)</f>
        <v>0</v>
      </c>
      <c r="AE34" s="262" t="n">
        <f aca="true" t="array" ref="AE34:AE34">IF(AUTOEVENTO="Manual",ROUND(SUMPRODUCT((CÁLCULO!$M$15:$M$205=EVENTOS!$C34)*(OFFSET(CÁLCULO!$AQ$15:$AQ$205,0,AE$13))),2),0)</f>
        <v>0</v>
      </c>
      <c r="AF34" s="262" t="n">
        <f aca="true" t="array" ref="AF34:AF34">IF(AUTOEVENTO="Manual",ROUND(SUMPRODUCT((CÁLCULO!$M$15:$M$205=EVENTOS!$C34)*(OFFSET(CÁLCULO!$AQ$15:$AQ$205,0,AF$13))),2),0)</f>
        <v>0</v>
      </c>
      <c r="AG34" s="262" t="n">
        <f aca="true" t="array" ref="AG34:AG34">IF(AUTOEVENTO="Manual",ROUND(SUMPRODUCT((CÁLCULO!$M$15:$M$205=EVENTOS!$C34)*(OFFSET(CÁLCULO!$AQ$15:$AQ$205,0,AG$13))),2),0)</f>
        <v>0</v>
      </c>
      <c r="AH34" s="262" t="n">
        <f aca="true" t="array" ref="AH34:AH34">IF(AUTOEVENTO="Manual",ROUND(SUMPRODUCT((CÁLCULO!$M$15:$M$205=EVENTOS!$C34)*(OFFSET(CÁLCULO!$AQ$15:$AQ$205,0,AH$13))),2),0)</f>
        <v>0</v>
      </c>
      <c r="AI34" s="262" t="n">
        <f aca="true" t="array" ref="AI34:AI34">IF(AUTOEVENTO="Manual",ROUND(SUMPRODUCT((CÁLCULO!$M$15:$M$205=EVENTOS!$C34)*(OFFSET(CÁLCULO!$AQ$15:$AQ$205,0,AI$13))),2),0)</f>
        <v>0</v>
      </c>
    </row>
    <row r="35" customFormat="false" ht="12.75" hidden="false" customHeight="false" outlineLevel="0" collapsed="false">
      <c r="A35" s="259" t="str">
        <f aca="false">IF(D35="","","F")</f>
        <v/>
      </c>
      <c r="B35" s="1" t="str">
        <f aca="false">IF(OR(C35=" ",D35=""),"",CONCATENATE(C35,". ",D35))</f>
        <v/>
      </c>
      <c r="C35" s="260" t="str">
        <f aca="true" t="array" ref="C35:C35">IF(OR(ROW(C35)=ROW(EVENTOS.firstrow)+1,AND(OFFSET(C35,-1,0)&lt;&gt;" ",OFFSET(C35,-1,1)&lt;&gt;"")),OFFSET(C35,-1,0)+1," ")</f>
        <v> </v>
      </c>
      <c r="D35" s="261"/>
      <c r="E35" s="262" t="n">
        <f aca="true" t="array" ref="E35:E35">IF(AUTOEVENTO="Manual",ROUND(SUMPRODUCT((CÁLCULO!$M$15:$M$205=EVENTOS!$C35)*(OFFSET(CÁLCULO!$AQ$15:$AQ$205,0,E$13))),2),0)</f>
        <v>0</v>
      </c>
      <c r="F35" s="263" t="n">
        <f aca="true">IF(AUTOEVENTO="Manual",ROUND(SUMPRODUCT((CÁLCULO!$M$15:$M$205=EVENTOS!$C35)*(OFFSET(CÁLCULO!$AQ$15,0,1):OFFSET(CÁLCULO!$BR$205,0,-1))),2),0)</f>
        <v>0</v>
      </c>
      <c r="G35" s="264" t="str">
        <f aca="false">IF(AND(D35=0,F35&gt;0),"NOME",
 IF(AND(D35&lt;&gt;0,$F$14&gt;0,F35=0),"VALOR",
 IF(AND(Import.TipoArredondamento="TransfereGOV",$A35="F",LEN(D35)&gt;100),"Nome &gt;100","")))</f>
        <v/>
      </c>
      <c r="H35" s="262" t="n">
        <f aca="true" t="array" ref="H35:H35">IF(AUTOEVENTO="Manual",ROUND(SUMPRODUCT((CÁLCULO!$M$15:$M$205=EVENTOS!$C35)*(OFFSET(CÁLCULO!$AQ$15:$AQ$205,0,H$13))),2),0)</f>
        <v>0</v>
      </c>
      <c r="I35" s="262" t="n">
        <f aca="true" t="array" ref="I35:I35">IF(AUTOEVENTO="Manual",ROUND(SUMPRODUCT((CÁLCULO!$M$15:$M$205=EVENTOS!$C35)*(OFFSET(CÁLCULO!$AQ$15:$AQ$205,0,I$13))),2),0)</f>
        <v>0</v>
      </c>
      <c r="J35" s="262" t="n">
        <f aca="true" t="array" ref="J35:J35">IF(AUTOEVENTO="Manual",ROUND(SUMPRODUCT((CÁLCULO!$M$15:$M$205=EVENTOS!$C35)*(OFFSET(CÁLCULO!$AQ$15:$AQ$205,0,J$13))),2),0)</f>
        <v>0</v>
      </c>
      <c r="K35" s="262" t="n">
        <f aca="true" t="array" ref="K35:K35">IF(AUTOEVENTO="Manual",ROUND(SUMPRODUCT((CÁLCULO!$M$15:$M$205=EVENTOS!$C35)*(OFFSET(CÁLCULO!$AQ$15:$AQ$205,0,K$13))),2),0)</f>
        <v>0</v>
      </c>
      <c r="L35" s="262" t="n">
        <f aca="true" t="array" ref="L35:L35">IF(AUTOEVENTO="Manual",ROUND(SUMPRODUCT((CÁLCULO!$M$15:$M$205=EVENTOS!$C35)*(OFFSET(CÁLCULO!$AQ$15:$AQ$205,0,L$13))),2),0)</f>
        <v>0</v>
      </c>
      <c r="M35" s="262" t="n">
        <f aca="true" t="array" ref="M35:M35">IF(AUTOEVENTO="Manual",ROUND(SUMPRODUCT((CÁLCULO!$M$15:$M$205=EVENTOS!$C35)*(OFFSET(CÁLCULO!$AQ$15:$AQ$205,0,M$13))),2),0)</f>
        <v>0</v>
      </c>
      <c r="N35" s="262" t="n">
        <f aca="true" t="array" ref="N35:N35">IF(AUTOEVENTO="Manual",ROUND(SUMPRODUCT((CÁLCULO!$M$15:$M$205=EVENTOS!$C35)*(OFFSET(CÁLCULO!$AQ$15:$AQ$205,0,N$13))),2),0)</f>
        <v>0</v>
      </c>
      <c r="O35" s="262" t="n">
        <f aca="true" t="array" ref="O35:O35">IF(AUTOEVENTO="Manual",ROUND(SUMPRODUCT((CÁLCULO!$M$15:$M$205=EVENTOS!$C35)*(OFFSET(CÁLCULO!$AQ$15:$AQ$205,0,O$13))),2),0)</f>
        <v>0</v>
      </c>
      <c r="P35" s="262" t="n">
        <f aca="true" t="array" ref="P35:P35">IF(AUTOEVENTO="Manual",ROUND(SUMPRODUCT((CÁLCULO!$M$15:$M$205=EVENTOS!$C35)*(OFFSET(CÁLCULO!$AQ$15:$AQ$205,0,P$13))),2),0)</f>
        <v>0</v>
      </c>
      <c r="Q35" s="262" t="n">
        <f aca="true" t="array" ref="Q35:Q35">IF(AUTOEVENTO="Manual",ROUND(SUMPRODUCT((CÁLCULO!$M$15:$M$205=EVENTOS!$C35)*(OFFSET(CÁLCULO!$AQ$15:$AQ$205,0,Q$13))),2),0)</f>
        <v>0</v>
      </c>
      <c r="R35" s="262" t="n">
        <f aca="true" t="array" ref="R35:R35">IF(AUTOEVENTO="Manual",ROUND(SUMPRODUCT((CÁLCULO!$M$15:$M$205=EVENTOS!$C35)*(OFFSET(CÁLCULO!$AQ$15:$AQ$205,0,R$13))),2),0)</f>
        <v>0</v>
      </c>
      <c r="S35" s="262" t="n">
        <f aca="true" t="array" ref="S35:S35">IF(AUTOEVENTO="Manual",ROUND(SUMPRODUCT((CÁLCULO!$M$15:$M$205=EVENTOS!$C35)*(OFFSET(CÁLCULO!$AQ$15:$AQ$205,0,S$13))),2),0)</f>
        <v>0</v>
      </c>
      <c r="T35" s="262" t="n">
        <f aca="true" t="array" ref="T35:T35">IF(AUTOEVENTO="Manual",ROUND(SUMPRODUCT((CÁLCULO!$M$15:$M$205=EVENTOS!$C35)*(OFFSET(CÁLCULO!$AQ$15:$AQ$205,0,T$13))),2),0)</f>
        <v>0</v>
      </c>
      <c r="U35" s="262" t="n">
        <f aca="true" t="array" ref="U35:U35">IF(AUTOEVENTO="Manual",ROUND(SUMPRODUCT((CÁLCULO!$M$15:$M$205=EVENTOS!$C35)*(OFFSET(CÁLCULO!$AQ$15:$AQ$205,0,U$13))),2),0)</f>
        <v>0</v>
      </c>
      <c r="V35" s="262" t="n">
        <f aca="true" t="array" ref="V35:V35">IF(AUTOEVENTO="Manual",ROUND(SUMPRODUCT((CÁLCULO!$M$15:$M$205=EVENTOS!$C35)*(OFFSET(CÁLCULO!$AQ$15:$AQ$205,0,V$13))),2),0)</f>
        <v>0</v>
      </c>
      <c r="W35" s="262" t="n">
        <f aca="true" t="array" ref="W35:W35">IF(AUTOEVENTO="Manual",ROUND(SUMPRODUCT((CÁLCULO!$M$15:$M$205=EVENTOS!$C35)*(OFFSET(CÁLCULO!$AQ$15:$AQ$205,0,W$13))),2),0)</f>
        <v>0</v>
      </c>
      <c r="X35" s="262" t="n">
        <f aca="true" t="array" ref="X35:X35">IF(AUTOEVENTO="Manual",ROUND(SUMPRODUCT((CÁLCULO!$M$15:$M$205=EVENTOS!$C35)*(OFFSET(CÁLCULO!$AQ$15:$AQ$205,0,X$13))),2),0)</f>
        <v>0</v>
      </c>
      <c r="Y35" s="262" t="n">
        <f aca="true" t="array" ref="Y35:Y35">IF(AUTOEVENTO="Manual",ROUND(SUMPRODUCT((CÁLCULO!$M$15:$M$205=EVENTOS!$C35)*(OFFSET(CÁLCULO!$AQ$15:$AQ$205,0,Y$13))),2),0)</f>
        <v>0</v>
      </c>
      <c r="Z35" s="262" t="n">
        <f aca="true" t="array" ref="Z35:Z35">IF(AUTOEVENTO="Manual",ROUND(SUMPRODUCT((CÁLCULO!$M$15:$M$205=EVENTOS!$C35)*(OFFSET(CÁLCULO!$AQ$15:$AQ$205,0,Z$13))),2),0)</f>
        <v>0</v>
      </c>
      <c r="AA35" s="262" t="n">
        <f aca="true" t="array" ref="AA35:AA35">IF(AUTOEVENTO="Manual",ROUND(SUMPRODUCT((CÁLCULO!$M$15:$M$205=EVENTOS!$C35)*(OFFSET(CÁLCULO!$AQ$15:$AQ$205,0,AA$13))),2),0)</f>
        <v>0</v>
      </c>
      <c r="AB35" s="262" t="n">
        <f aca="true" t="array" ref="AB35:AB35">IF(AUTOEVENTO="Manual",ROUND(SUMPRODUCT((CÁLCULO!$M$15:$M$205=EVENTOS!$C35)*(OFFSET(CÁLCULO!$AQ$15:$AQ$205,0,AB$13))),2),0)</f>
        <v>0</v>
      </c>
      <c r="AC35" s="262" t="n">
        <f aca="true" t="array" ref="AC35:AC35">IF(AUTOEVENTO="Manual",ROUND(SUMPRODUCT((CÁLCULO!$M$15:$M$205=EVENTOS!$C35)*(OFFSET(CÁLCULO!$AQ$15:$AQ$205,0,AC$13))),2),0)</f>
        <v>0</v>
      </c>
      <c r="AD35" s="262" t="n">
        <f aca="true" t="array" ref="AD35:AD35">IF(AUTOEVENTO="Manual",ROUND(SUMPRODUCT((CÁLCULO!$M$15:$M$205=EVENTOS!$C35)*(OFFSET(CÁLCULO!$AQ$15:$AQ$205,0,AD$13))),2),0)</f>
        <v>0</v>
      </c>
      <c r="AE35" s="262" t="n">
        <f aca="true" t="array" ref="AE35:AE35">IF(AUTOEVENTO="Manual",ROUND(SUMPRODUCT((CÁLCULO!$M$15:$M$205=EVENTOS!$C35)*(OFFSET(CÁLCULO!$AQ$15:$AQ$205,0,AE$13))),2),0)</f>
        <v>0</v>
      </c>
      <c r="AF35" s="262" t="n">
        <f aca="true" t="array" ref="AF35:AF35">IF(AUTOEVENTO="Manual",ROUND(SUMPRODUCT((CÁLCULO!$M$15:$M$205=EVENTOS!$C35)*(OFFSET(CÁLCULO!$AQ$15:$AQ$205,0,AF$13))),2),0)</f>
        <v>0</v>
      </c>
      <c r="AG35" s="262" t="n">
        <f aca="true" t="array" ref="AG35:AG35">IF(AUTOEVENTO="Manual",ROUND(SUMPRODUCT((CÁLCULO!$M$15:$M$205=EVENTOS!$C35)*(OFFSET(CÁLCULO!$AQ$15:$AQ$205,0,AG$13))),2),0)</f>
        <v>0</v>
      </c>
      <c r="AH35" s="262" t="n">
        <f aca="true" t="array" ref="AH35:AH35">IF(AUTOEVENTO="Manual",ROUND(SUMPRODUCT((CÁLCULO!$M$15:$M$205=EVENTOS!$C35)*(OFFSET(CÁLCULO!$AQ$15:$AQ$205,0,AH$13))),2),0)</f>
        <v>0</v>
      </c>
      <c r="AI35" s="262" t="n">
        <f aca="true" t="array" ref="AI35:AI35">IF(AUTOEVENTO="Manual",ROUND(SUMPRODUCT((CÁLCULO!$M$15:$M$205=EVENTOS!$C35)*(OFFSET(CÁLCULO!$AQ$15:$AQ$205,0,AI$13))),2),0)</f>
        <v>0</v>
      </c>
    </row>
    <row r="36" customFormat="false" ht="12.75" hidden="false" customHeight="false" outlineLevel="0" collapsed="false">
      <c r="A36" s="259" t="str">
        <f aca="false">IF(D36="","","F")</f>
        <v/>
      </c>
      <c r="B36" s="1" t="str">
        <f aca="false">IF(OR(C36=" ",D36=""),"",CONCATENATE(C36,". ",D36))</f>
        <v/>
      </c>
      <c r="C36" s="260" t="str">
        <f aca="true" t="array" ref="C36:C36">IF(OR(ROW(C36)=ROW(EVENTOS.firstrow)+1,AND(OFFSET(C36,-1,0)&lt;&gt;" ",OFFSET(C36,-1,1)&lt;&gt;"")),OFFSET(C36,-1,0)+1," ")</f>
        <v> </v>
      </c>
      <c r="D36" s="261"/>
      <c r="E36" s="262" t="n">
        <f aca="true" t="array" ref="E36:E36">IF(AUTOEVENTO="Manual",ROUND(SUMPRODUCT((CÁLCULO!$M$15:$M$205=EVENTOS!$C36)*(OFFSET(CÁLCULO!$AQ$15:$AQ$205,0,E$13))),2),0)</f>
        <v>0</v>
      </c>
      <c r="F36" s="263" t="n">
        <f aca="true">IF(AUTOEVENTO="Manual",ROUND(SUMPRODUCT((CÁLCULO!$M$15:$M$205=EVENTOS!$C36)*(OFFSET(CÁLCULO!$AQ$15,0,1):OFFSET(CÁLCULO!$BR$205,0,-1))),2),0)</f>
        <v>0</v>
      </c>
      <c r="G36" s="264" t="str">
        <f aca="false">IF(AND(D36=0,F36&gt;0),"NOME",
 IF(AND(D36&lt;&gt;0,$F$14&gt;0,F36=0),"VALOR",
 IF(AND(Import.TipoArredondamento="TransfereGOV",$A36="F",LEN(D36)&gt;100),"Nome &gt;100","")))</f>
        <v/>
      </c>
      <c r="H36" s="262" t="n">
        <f aca="true" t="array" ref="H36:H36">IF(AUTOEVENTO="Manual",ROUND(SUMPRODUCT((CÁLCULO!$M$15:$M$205=EVENTOS!$C36)*(OFFSET(CÁLCULO!$AQ$15:$AQ$205,0,H$13))),2),0)</f>
        <v>0</v>
      </c>
      <c r="I36" s="262" t="n">
        <f aca="true" t="array" ref="I36:I36">IF(AUTOEVENTO="Manual",ROUND(SUMPRODUCT((CÁLCULO!$M$15:$M$205=EVENTOS!$C36)*(OFFSET(CÁLCULO!$AQ$15:$AQ$205,0,I$13))),2),0)</f>
        <v>0</v>
      </c>
      <c r="J36" s="262" t="n">
        <f aca="true" t="array" ref="J36:J36">IF(AUTOEVENTO="Manual",ROUND(SUMPRODUCT((CÁLCULO!$M$15:$M$205=EVENTOS!$C36)*(OFFSET(CÁLCULO!$AQ$15:$AQ$205,0,J$13))),2),0)</f>
        <v>0</v>
      </c>
      <c r="K36" s="262" t="n">
        <f aca="true" t="array" ref="K36:K36">IF(AUTOEVENTO="Manual",ROUND(SUMPRODUCT((CÁLCULO!$M$15:$M$205=EVENTOS!$C36)*(OFFSET(CÁLCULO!$AQ$15:$AQ$205,0,K$13))),2),0)</f>
        <v>0</v>
      </c>
      <c r="L36" s="262" t="n">
        <f aca="true" t="array" ref="L36:L36">IF(AUTOEVENTO="Manual",ROUND(SUMPRODUCT((CÁLCULO!$M$15:$M$205=EVENTOS!$C36)*(OFFSET(CÁLCULO!$AQ$15:$AQ$205,0,L$13))),2),0)</f>
        <v>0</v>
      </c>
      <c r="M36" s="262" t="n">
        <f aca="true" t="array" ref="M36:M36">IF(AUTOEVENTO="Manual",ROUND(SUMPRODUCT((CÁLCULO!$M$15:$M$205=EVENTOS!$C36)*(OFFSET(CÁLCULO!$AQ$15:$AQ$205,0,M$13))),2),0)</f>
        <v>0</v>
      </c>
      <c r="N36" s="262" t="n">
        <f aca="true" t="array" ref="N36:N36">IF(AUTOEVENTO="Manual",ROUND(SUMPRODUCT((CÁLCULO!$M$15:$M$205=EVENTOS!$C36)*(OFFSET(CÁLCULO!$AQ$15:$AQ$205,0,N$13))),2),0)</f>
        <v>0</v>
      </c>
      <c r="O36" s="262" t="n">
        <f aca="true" t="array" ref="O36:O36">IF(AUTOEVENTO="Manual",ROUND(SUMPRODUCT((CÁLCULO!$M$15:$M$205=EVENTOS!$C36)*(OFFSET(CÁLCULO!$AQ$15:$AQ$205,0,O$13))),2),0)</f>
        <v>0</v>
      </c>
      <c r="P36" s="262" t="n">
        <f aca="true" t="array" ref="P36:P36">IF(AUTOEVENTO="Manual",ROUND(SUMPRODUCT((CÁLCULO!$M$15:$M$205=EVENTOS!$C36)*(OFFSET(CÁLCULO!$AQ$15:$AQ$205,0,P$13))),2),0)</f>
        <v>0</v>
      </c>
      <c r="Q36" s="262" t="n">
        <f aca="true" t="array" ref="Q36:Q36">IF(AUTOEVENTO="Manual",ROUND(SUMPRODUCT((CÁLCULO!$M$15:$M$205=EVENTOS!$C36)*(OFFSET(CÁLCULO!$AQ$15:$AQ$205,0,Q$13))),2),0)</f>
        <v>0</v>
      </c>
      <c r="R36" s="262" t="n">
        <f aca="true" t="array" ref="R36:R36">IF(AUTOEVENTO="Manual",ROUND(SUMPRODUCT((CÁLCULO!$M$15:$M$205=EVENTOS!$C36)*(OFFSET(CÁLCULO!$AQ$15:$AQ$205,0,R$13))),2),0)</f>
        <v>0</v>
      </c>
      <c r="S36" s="262" t="n">
        <f aca="true" t="array" ref="S36:S36">IF(AUTOEVENTO="Manual",ROUND(SUMPRODUCT((CÁLCULO!$M$15:$M$205=EVENTOS!$C36)*(OFFSET(CÁLCULO!$AQ$15:$AQ$205,0,S$13))),2),0)</f>
        <v>0</v>
      </c>
      <c r="T36" s="262" t="n">
        <f aca="true" t="array" ref="T36:T36">IF(AUTOEVENTO="Manual",ROUND(SUMPRODUCT((CÁLCULO!$M$15:$M$205=EVENTOS!$C36)*(OFFSET(CÁLCULO!$AQ$15:$AQ$205,0,T$13))),2),0)</f>
        <v>0</v>
      </c>
      <c r="U36" s="262" t="n">
        <f aca="true" t="array" ref="U36:U36">IF(AUTOEVENTO="Manual",ROUND(SUMPRODUCT((CÁLCULO!$M$15:$M$205=EVENTOS!$C36)*(OFFSET(CÁLCULO!$AQ$15:$AQ$205,0,U$13))),2),0)</f>
        <v>0</v>
      </c>
      <c r="V36" s="262" t="n">
        <f aca="true" t="array" ref="V36:V36">IF(AUTOEVENTO="Manual",ROUND(SUMPRODUCT((CÁLCULO!$M$15:$M$205=EVENTOS!$C36)*(OFFSET(CÁLCULO!$AQ$15:$AQ$205,0,V$13))),2),0)</f>
        <v>0</v>
      </c>
      <c r="W36" s="262" t="n">
        <f aca="true" t="array" ref="W36:W36">IF(AUTOEVENTO="Manual",ROUND(SUMPRODUCT((CÁLCULO!$M$15:$M$205=EVENTOS!$C36)*(OFFSET(CÁLCULO!$AQ$15:$AQ$205,0,W$13))),2),0)</f>
        <v>0</v>
      </c>
      <c r="X36" s="262" t="n">
        <f aca="true" t="array" ref="X36:X36">IF(AUTOEVENTO="Manual",ROUND(SUMPRODUCT((CÁLCULO!$M$15:$M$205=EVENTOS!$C36)*(OFFSET(CÁLCULO!$AQ$15:$AQ$205,0,X$13))),2),0)</f>
        <v>0</v>
      </c>
      <c r="Y36" s="262" t="n">
        <f aca="true" t="array" ref="Y36:Y36">IF(AUTOEVENTO="Manual",ROUND(SUMPRODUCT((CÁLCULO!$M$15:$M$205=EVENTOS!$C36)*(OFFSET(CÁLCULO!$AQ$15:$AQ$205,0,Y$13))),2),0)</f>
        <v>0</v>
      </c>
      <c r="Z36" s="262" t="n">
        <f aca="true" t="array" ref="Z36:Z36">IF(AUTOEVENTO="Manual",ROUND(SUMPRODUCT((CÁLCULO!$M$15:$M$205=EVENTOS!$C36)*(OFFSET(CÁLCULO!$AQ$15:$AQ$205,0,Z$13))),2),0)</f>
        <v>0</v>
      </c>
      <c r="AA36" s="262" t="n">
        <f aca="true" t="array" ref="AA36:AA36">IF(AUTOEVENTO="Manual",ROUND(SUMPRODUCT((CÁLCULO!$M$15:$M$205=EVENTOS!$C36)*(OFFSET(CÁLCULO!$AQ$15:$AQ$205,0,AA$13))),2),0)</f>
        <v>0</v>
      </c>
      <c r="AB36" s="262" t="n">
        <f aca="true" t="array" ref="AB36:AB36">IF(AUTOEVENTO="Manual",ROUND(SUMPRODUCT((CÁLCULO!$M$15:$M$205=EVENTOS!$C36)*(OFFSET(CÁLCULO!$AQ$15:$AQ$205,0,AB$13))),2),0)</f>
        <v>0</v>
      </c>
      <c r="AC36" s="262" t="n">
        <f aca="true" t="array" ref="AC36:AC36">IF(AUTOEVENTO="Manual",ROUND(SUMPRODUCT((CÁLCULO!$M$15:$M$205=EVENTOS!$C36)*(OFFSET(CÁLCULO!$AQ$15:$AQ$205,0,AC$13))),2),0)</f>
        <v>0</v>
      </c>
      <c r="AD36" s="262" t="n">
        <f aca="true" t="array" ref="AD36:AD36">IF(AUTOEVENTO="Manual",ROUND(SUMPRODUCT((CÁLCULO!$M$15:$M$205=EVENTOS!$C36)*(OFFSET(CÁLCULO!$AQ$15:$AQ$205,0,AD$13))),2),0)</f>
        <v>0</v>
      </c>
      <c r="AE36" s="262" t="n">
        <f aca="true" t="array" ref="AE36:AE36">IF(AUTOEVENTO="Manual",ROUND(SUMPRODUCT((CÁLCULO!$M$15:$M$205=EVENTOS!$C36)*(OFFSET(CÁLCULO!$AQ$15:$AQ$205,0,AE$13))),2),0)</f>
        <v>0</v>
      </c>
      <c r="AF36" s="262" t="n">
        <f aca="true" t="array" ref="AF36:AF36">IF(AUTOEVENTO="Manual",ROUND(SUMPRODUCT((CÁLCULO!$M$15:$M$205=EVENTOS!$C36)*(OFFSET(CÁLCULO!$AQ$15:$AQ$205,0,AF$13))),2),0)</f>
        <v>0</v>
      </c>
      <c r="AG36" s="262" t="n">
        <f aca="true" t="array" ref="AG36:AG36">IF(AUTOEVENTO="Manual",ROUND(SUMPRODUCT((CÁLCULO!$M$15:$M$205=EVENTOS!$C36)*(OFFSET(CÁLCULO!$AQ$15:$AQ$205,0,AG$13))),2),0)</f>
        <v>0</v>
      </c>
      <c r="AH36" s="262" t="n">
        <f aca="true" t="array" ref="AH36:AH36">IF(AUTOEVENTO="Manual",ROUND(SUMPRODUCT((CÁLCULO!$M$15:$M$205=EVENTOS!$C36)*(OFFSET(CÁLCULO!$AQ$15:$AQ$205,0,AH$13))),2),0)</f>
        <v>0</v>
      </c>
      <c r="AI36" s="262" t="n">
        <f aca="true" t="array" ref="AI36:AI36">IF(AUTOEVENTO="Manual",ROUND(SUMPRODUCT((CÁLCULO!$M$15:$M$205=EVENTOS!$C36)*(OFFSET(CÁLCULO!$AQ$15:$AQ$205,0,AI$13))),2),0)</f>
        <v>0</v>
      </c>
    </row>
    <row r="37" customFormat="false" ht="12.75" hidden="false" customHeight="false" outlineLevel="0" collapsed="false">
      <c r="A37" s="259" t="str">
        <f aca="false">IF(D37="","","F")</f>
        <v/>
      </c>
      <c r="B37" s="1" t="str">
        <f aca="false">IF(OR(C37=" ",D37=""),"",CONCATENATE(C37,". ",D37))</f>
        <v/>
      </c>
      <c r="C37" s="260" t="str">
        <f aca="true" t="array" ref="C37:C37">IF(OR(ROW(C37)=ROW(EVENTOS.firstrow)+1,AND(OFFSET(C37,-1,0)&lt;&gt;" ",OFFSET(C37,-1,1)&lt;&gt;"")),OFFSET(C37,-1,0)+1," ")</f>
        <v> </v>
      </c>
      <c r="D37" s="261"/>
      <c r="E37" s="262" t="n">
        <f aca="true" t="array" ref="E37:E37">IF(AUTOEVENTO="Manual",ROUND(SUMPRODUCT((CÁLCULO!$M$15:$M$205=EVENTOS!$C37)*(OFFSET(CÁLCULO!$AQ$15:$AQ$205,0,E$13))),2),0)</f>
        <v>0</v>
      </c>
      <c r="F37" s="263" t="n">
        <f aca="true">IF(AUTOEVENTO="Manual",ROUND(SUMPRODUCT((CÁLCULO!$M$15:$M$205=EVENTOS!$C37)*(OFFSET(CÁLCULO!$AQ$15,0,1):OFFSET(CÁLCULO!$BR$205,0,-1))),2),0)</f>
        <v>0</v>
      </c>
      <c r="G37" s="264" t="str">
        <f aca="false">IF(AND(D37=0,F37&gt;0),"NOME",
 IF(AND(D37&lt;&gt;0,$F$14&gt;0,F37=0),"VALOR",
 IF(AND(Import.TipoArredondamento="TransfereGOV",$A37="F",LEN(D37)&gt;100),"Nome &gt;100","")))</f>
        <v/>
      </c>
      <c r="H37" s="262" t="n">
        <f aca="true" t="array" ref="H37:H37">IF(AUTOEVENTO="Manual",ROUND(SUMPRODUCT((CÁLCULO!$M$15:$M$205=EVENTOS!$C37)*(OFFSET(CÁLCULO!$AQ$15:$AQ$205,0,H$13))),2),0)</f>
        <v>0</v>
      </c>
      <c r="I37" s="262" t="n">
        <f aca="true" t="array" ref="I37:I37">IF(AUTOEVENTO="Manual",ROUND(SUMPRODUCT((CÁLCULO!$M$15:$M$205=EVENTOS!$C37)*(OFFSET(CÁLCULO!$AQ$15:$AQ$205,0,I$13))),2),0)</f>
        <v>0</v>
      </c>
      <c r="J37" s="262" t="n">
        <f aca="true" t="array" ref="J37:J37">IF(AUTOEVENTO="Manual",ROUND(SUMPRODUCT((CÁLCULO!$M$15:$M$205=EVENTOS!$C37)*(OFFSET(CÁLCULO!$AQ$15:$AQ$205,0,J$13))),2),0)</f>
        <v>0</v>
      </c>
      <c r="K37" s="262" t="n">
        <f aca="true" t="array" ref="K37:K37">IF(AUTOEVENTO="Manual",ROUND(SUMPRODUCT((CÁLCULO!$M$15:$M$205=EVENTOS!$C37)*(OFFSET(CÁLCULO!$AQ$15:$AQ$205,0,K$13))),2),0)</f>
        <v>0</v>
      </c>
      <c r="L37" s="262" t="n">
        <f aca="true" t="array" ref="L37:L37">IF(AUTOEVENTO="Manual",ROUND(SUMPRODUCT((CÁLCULO!$M$15:$M$205=EVENTOS!$C37)*(OFFSET(CÁLCULO!$AQ$15:$AQ$205,0,L$13))),2),0)</f>
        <v>0</v>
      </c>
      <c r="M37" s="262" t="n">
        <f aca="true" t="array" ref="M37:M37">IF(AUTOEVENTO="Manual",ROUND(SUMPRODUCT((CÁLCULO!$M$15:$M$205=EVENTOS!$C37)*(OFFSET(CÁLCULO!$AQ$15:$AQ$205,0,M$13))),2),0)</f>
        <v>0</v>
      </c>
      <c r="N37" s="262" t="n">
        <f aca="true" t="array" ref="N37:N37">IF(AUTOEVENTO="Manual",ROUND(SUMPRODUCT((CÁLCULO!$M$15:$M$205=EVENTOS!$C37)*(OFFSET(CÁLCULO!$AQ$15:$AQ$205,0,N$13))),2),0)</f>
        <v>0</v>
      </c>
      <c r="O37" s="262" t="n">
        <f aca="true" t="array" ref="O37:O37">IF(AUTOEVENTO="Manual",ROUND(SUMPRODUCT((CÁLCULO!$M$15:$M$205=EVENTOS!$C37)*(OFFSET(CÁLCULO!$AQ$15:$AQ$205,0,O$13))),2),0)</f>
        <v>0</v>
      </c>
      <c r="P37" s="262" t="n">
        <f aca="true" t="array" ref="P37:P37">IF(AUTOEVENTO="Manual",ROUND(SUMPRODUCT((CÁLCULO!$M$15:$M$205=EVENTOS!$C37)*(OFFSET(CÁLCULO!$AQ$15:$AQ$205,0,P$13))),2),0)</f>
        <v>0</v>
      </c>
      <c r="Q37" s="262" t="n">
        <f aca="true" t="array" ref="Q37:Q37">IF(AUTOEVENTO="Manual",ROUND(SUMPRODUCT((CÁLCULO!$M$15:$M$205=EVENTOS!$C37)*(OFFSET(CÁLCULO!$AQ$15:$AQ$205,0,Q$13))),2),0)</f>
        <v>0</v>
      </c>
      <c r="R37" s="262" t="n">
        <f aca="true" t="array" ref="R37:R37">IF(AUTOEVENTO="Manual",ROUND(SUMPRODUCT((CÁLCULO!$M$15:$M$205=EVENTOS!$C37)*(OFFSET(CÁLCULO!$AQ$15:$AQ$205,0,R$13))),2),0)</f>
        <v>0</v>
      </c>
      <c r="S37" s="262" t="n">
        <f aca="true" t="array" ref="S37:S37">IF(AUTOEVENTO="Manual",ROUND(SUMPRODUCT((CÁLCULO!$M$15:$M$205=EVENTOS!$C37)*(OFFSET(CÁLCULO!$AQ$15:$AQ$205,0,S$13))),2),0)</f>
        <v>0</v>
      </c>
      <c r="T37" s="262" t="n">
        <f aca="true" t="array" ref="T37:T37">IF(AUTOEVENTO="Manual",ROUND(SUMPRODUCT((CÁLCULO!$M$15:$M$205=EVENTOS!$C37)*(OFFSET(CÁLCULO!$AQ$15:$AQ$205,0,T$13))),2),0)</f>
        <v>0</v>
      </c>
      <c r="U37" s="262" t="n">
        <f aca="true" t="array" ref="U37:U37">IF(AUTOEVENTO="Manual",ROUND(SUMPRODUCT((CÁLCULO!$M$15:$M$205=EVENTOS!$C37)*(OFFSET(CÁLCULO!$AQ$15:$AQ$205,0,U$13))),2),0)</f>
        <v>0</v>
      </c>
      <c r="V37" s="262" t="n">
        <f aca="true" t="array" ref="V37:V37">IF(AUTOEVENTO="Manual",ROUND(SUMPRODUCT((CÁLCULO!$M$15:$M$205=EVENTOS!$C37)*(OFFSET(CÁLCULO!$AQ$15:$AQ$205,0,V$13))),2),0)</f>
        <v>0</v>
      </c>
      <c r="W37" s="262" t="n">
        <f aca="true" t="array" ref="W37:W37">IF(AUTOEVENTO="Manual",ROUND(SUMPRODUCT((CÁLCULO!$M$15:$M$205=EVENTOS!$C37)*(OFFSET(CÁLCULO!$AQ$15:$AQ$205,0,W$13))),2),0)</f>
        <v>0</v>
      </c>
      <c r="X37" s="262" t="n">
        <f aca="true" t="array" ref="X37:X37">IF(AUTOEVENTO="Manual",ROUND(SUMPRODUCT((CÁLCULO!$M$15:$M$205=EVENTOS!$C37)*(OFFSET(CÁLCULO!$AQ$15:$AQ$205,0,X$13))),2),0)</f>
        <v>0</v>
      </c>
      <c r="Y37" s="262" t="n">
        <f aca="true" t="array" ref="Y37:Y37">IF(AUTOEVENTO="Manual",ROUND(SUMPRODUCT((CÁLCULO!$M$15:$M$205=EVENTOS!$C37)*(OFFSET(CÁLCULO!$AQ$15:$AQ$205,0,Y$13))),2),0)</f>
        <v>0</v>
      </c>
      <c r="Z37" s="262" t="n">
        <f aca="true" t="array" ref="Z37:Z37">IF(AUTOEVENTO="Manual",ROUND(SUMPRODUCT((CÁLCULO!$M$15:$M$205=EVENTOS!$C37)*(OFFSET(CÁLCULO!$AQ$15:$AQ$205,0,Z$13))),2),0)</f>
        <v>0</v>
      </c>
      <c r="AA37" s="262" t="n">
        <f aca="true" t="array" ref="AA37:AA37">IF(AUTOEVENTO="Manual",ROUND(SUMPRODUCT((CÁLCULO!$M$15:$M$205=EVENTOS!$C37)*(OFFSET(CÁLCULO!$AQ$15:$AQ$205,0,AA$13))),2),0)</f>
        <v>0</v>
      </c>
      <c r="AB37" s="262" t="n">
        <f aca="true" t="array" ref="AB37:AB37">IF(AUTOEVENTO="Manual",ROUND(SUMPRODUCT((CÁLCULO!$M$15:$M$205=EVENTOS!$C37)*(OFFSET(CÁLCULO!$AQ$15:$AQ$205,0,AB$13))),2),0)</f>
        <v>0</v>
      </c>
      <c r="AC37" s="262" t="n">
        <f aca="true" t="array" ref="AC37:AC37">IF(AUTOEVENTO="Manual",ROUND(SUMPRODUCT((CÁLCULO!$M$15:$M$205=EVENTOS!$C37)*(OFFSET(CÁLCULO!$AQ$15:$AQ$205,0,AC$13))),2),0)</f>
        <v>0</v>
      </c>
      <c r="AD37" s="262" t="n">
        <f aca="true" t="array" ref="AD37:AD37">IF(AUTOEVENTO="Manual",ROUND(SUMPRODUCT((CÁLCULO!$M$15:$M$205=EVENTOS!$C37)*(OFFSET(CÁLCULO!$AQ$15:$AQ$205,0,AD$13))),2),0)</f>
        <v>0</v>
      </c>
      <c r="AE37" s="262" t="n">
        <f aca="true" t="array" ref="AE37:AE37">IF(AUTOEVENTO="Manual",ROUND(SUMPRODUCT((CÁLCULO!$M$15:$M$205=EVENTOS!$C37)*(OFFSET(CÁLCULO!$AQ$15:$AQ$205,0,AE$13))),2),0)</f>
        <v>0</v>
      </c>
      <c r="AF37" s="262" t="n">
        <f aca="true" t="array" ref="AF37:AF37">IF(AUTOEVENTO="Manual",ROUND(SUMPRODUCT((CÁLCULO!$M$15:$M$205=EVENTOS!$C37)*(OFFSET(CÁLCULO!$AQ$15:$AQ$205,0,AF$13))),2),0)</f>
        <v>0</v>
      </c>
      <c r="AG37" s="262" t="n">
        <f aca="true" t="array" ref="AG37:AG37">IF(AUTOEVENTO="Manual",ROUND(SUMPRODUCT((CÁLCULO!$M$15:$M$205=EVENTOS!$C37)*(OFFSET(CÁLCULO!$AQ$15:$AQ$205,0,AG$13))),2),0)</f>
        <v>0</v>
      </c>
      <c r="AH37" s="262" t="n">
        <f aca="true" t="array" ref="AH37:AH37">IF(AUTOEVENTO="Manual",ROUND(SUMPRODUCT((CÁLCULO!$M$15:$M$205=EVENTOS!$C37)*(OFFSET(CÁLCULO!$AQ$15:$AQ$205,0,AH$13))),2),0)</f>
        <v>0</v>
      </c>
      <c r="AI37" s="262" t="n">
        <f aca="true" t="array" ref="AI37:AI37">IF(AUTOEVENTO="Manual",ROUND(SUMPRODUCT((CÁLCULO!$M$15:$M$205=EVENTOS!$C37)*(OFFSET(CÁLCULO!$AQ$15:$AQ$205,0,AI$13))),2),0)</f>
        <v>0</v>
      </c>
    </row>
    <row r="38" customFormat="false" ht="12.75" hidden="false" customHeight="false" outlineLevel="0" collapsed="false">
      <c r="A38" s="259" t="str">
        <f aca="false">IF(D38="","","F")</f>
        <v/>
      </c>
      <c r="B38" s="1" t="str">
        <f aca="false">IF(OR(C38=" ",D38=""),"",CONCATENATE(C38,". ",D38))</f>
        <v/>
      </c>
      <c r="C38" s="260" t="str">
        <f aca="true" t="array" ref="C38:C38">IF(OR(ROW(C38)=ROW(EVENTOS.firstrow)+1,AND(OFFSET(C38,-1,0)&lt;&gt;" ",OFFSET(C38,-1,1)&lt;&gt;"")),OFFSET(C38,-1,0)+1," ")</f>
        <v> </v>
      </c>
      <c r="D38" s="261"/>
      <c r="E38" s="262" t="n">
        <f aca="true" t="array" ref="E38:E38">IF(AUTOEVENTO="Manual",ROUND(SUMPRODUCT((CÁLCULO!$M$15:$M$205=EVENTOS!$C38)*(OFFSET(CÁLCULO!$AQ$15:$AQ$205,0,E$13))),2),0)</f>
        <v>0</v>
      </c>
      <c r="F38" s="263" t="n">
        <f aca="true">IF(AUTOEVENTO="Manual",ROUND(SUMPRODUCT((CÁLCULO!$M$15:$M$205=EVENTOS!$C38)*(OFFSET(CÁLCULO!$AQ$15,0,1):OFFSET(CÁLCULO!$BR$205,0,-1))),2),0)</f>
        <v>0</v>
      </c>
      <c r="G38" s="264" t="str">
        <f aca="false">IF(AND(D38=0,F38&gt;0),"NOME",
 IF(AND(D38&lt;&gt;0,$F$14&gt;0,F38=0),"VALOR",
 IF(AND(Import.TipoArredondamento="TransfereGOV",$A38="F",LEN(D38)&gt;100),"Nome &gt;100","")))</f>
        <v/>
      </c>
      <c r="H38" s="262" t="n">
        <f aca="true" t="array" ref="H38:H38">IF(AUTOEVENTO="Manual",ROUND(SUMPRODUCT((CÁLCULO!$M$15:$M$205=EVENTOS!$C38)*(OFFSET(CÁLCULO!$AQ$15:$AQ$205,0,H$13))),2),0)</f>
        <v>0</v>
      </c>
      <c r="I38" s="262" t="n">
        <f aca="true" t="array" ref="I38:I38">IF(AUTOEVENTO="Manual",ROUND(SUMPRODUCT((CÁLCULO!$M$15:$M$205=EVENTOS!$C38)*(OFFSET(CÁLCULO!$AQ$15:$AQ$205,0,I$13))),2),0)</f>
        <v>0</v>
      </c>
      <c r="J38" s="262" t="n">
        <f aca="true" t="array" ref="J38:J38">IF(AUTOEVENTO="Manual",ROUND(SUMPRODUCT((CÁLCULO!$M$15:$M$205=EVENTOS!$C38)*(OFFSET(CÁLCULO!$AQ$15:$AQ$205,0,J$13))),2),0)</f>
        <v>0</v>
      </c>
      <c r="K38" s="262" t="n">
        <f aca="true" t="array" ref="K38:K38">IF(AUTOEVENTO="Manual",ROUND(SUMPRODUCT((CÁLCULO!$M$15:$M$205=EVENTOS!$C38)*(OFFSET(CÁLCULO!$AQ$15:$AQ$205,0,K$13))),2),0)</f>
        <v>0</v>
      </c>
      <c r="L38" s="262" t="n">
        <f aca="true" t="array" ref="L38:L38">IF(AUTOEVENTO="Manual",ROUND(SUMPRODUCT((CÁLCULO!$M$15:$M$205=EVENTOS!$C38)*(OFFSET(CÁLCULO!$AQ$15:$AQ$205,0,L$13))),2),0)</f>
        <v>0</v>
      </c>
      <c r="M38" s="262" t="n">
        <f aca="true" t="array" ref="M38:M38">IF(AUTOEVENTO="Manual",ROUND(SUMPRODUCT((CÁLCULO!$M$15:$M$205=EVENTOS!$C38)*(OFFSET(CÁLCULO!$AQ$15:$AQ$205,0,M$13))),2),0)</f>
        <v>0</v>
      </c>
      <c r="N38" s="262" t="n">
        <f aca="true" t="array" ref="N38:N38">IF(AUTOEVENTO="Manual",ROUND(SUMPRODUCT((CÁLCULO!$M$15:$M$205=EVENTOS!$C38)*(OFFSET(CÁLCULO!$AQ$15:$AQ$205,0,N$13))),2),0)</f>
        <v>0</v>
      </c>
      <c r="O38" s="262" t="n">
        <f aca="true" t="array" ref="O38:O38">IF(AUTOEVENTO="Manual",ROUND(SUMPRODUCT((CÁLCULO!$M$15:$M$205=EVENTOS!$C38)*(OFFSET(CÁLCULO!$AQ$15:$AQ$205,0,O$13))),2),0)</f>
        <v>0</v>
      </c>
      <c r="P38" s="262" t="n">
        <f aca="true" t="array" ref="P38:P38">IF(AUTOEVENTO="Manual",ROUND(SUMPRODUCT((CÁLCULO!$M$15:$M$205=EVENTOS!$C38)*(OFFSET(CÁLCULO!$AQ$15:$AQ$205,0,P$13))),2),0)</f>
        <v>0</v>
      </c>
      <c r="Q38" s="262" t="n">
        <f aca="true" t="array" ref="Q38:Q38">IF(AUTOEVENTO="Manual",ROUND(SUMPRODUCT((CÁLCULO!$M$15:$M$205=EVENTOS!$C38)*(OFFSET(CÁLCULO!$AQ$15:$AQ$205,0,Q$13))),2),0)</f>
        <v>0</v>
      </c>
      <c r="R38" s="262" t="n">
        <f aca="true" t="array" ref="R38:R38">IF(AUTOEVENTO="Manual",ROUND(SUMPRODUCT((CÁLCULO!$M$15:$M$205=EVENTOS!$C38)*(OFFSET(CÁLCULO!$AQ$15:$AQ$205,0,R$13))),2),0)</f>
        <v>0</v>
      </c>
      <c r="S38" s="262" t="n">
        <f aca="true" t="array" ref="S38:S38">IF(AUTOEVENTO="Manual",ROUND(SUMPRODUCT((CÁLCULO!$M$15:$M$205=EVENTOS!$C38)*(OFFSET(CÁLCULO!$AQ$15:$AQ$205,0,S$13))),2),0)</f>
        <v>0</v>
      </c>
      <c r="T38" s="262" t="n">
        <f aca="true" t="array" ref="T38:T38">IF(AUTOEVENTO="Manual",ROUND(SUMPRODUCT((CÁLCULO!$M$15:$M$205=EVENTOS!$C38)*(OFFSET(CÁLCULO!$AQ$15:$AQ$205,0,T$13))),2),0)</f>
        <v>0</v>
      </c>
      <c r="U38" s="262" t="n">
        <f aca="true" t="array" ref="U38:U38">IF(AUTOEVENTO="Manual",ROUND(SUMPRODUCT((CÁLCULO!$M$15:$M$205=EVENTOS!$C38)*(OFFSET(CÁLCULO!$AQ$15:$AQ$205,0,U$13))),2),0)</f>
        <v>0</v>
      </c>
      <c r="V38" s="262" t="n">
        <f aca="true" t="array" ref="V38:V38">IF(AUTOEVENTO="Manual",ROUND(SUMPRODUCT((CÁLCULO!$M$15:$M$205=EVENTOS!$C38)*(OFFSET(CÁLCULO!$AQ$15:$AQ$205,0,V$13))),2),0)</f>
        <v>0</v>
      </c>
      <c r="W38" s="262" t="n">
        <f aca="true" t="array" ref="W38:W38">IF(AUTOEVENTO="Manual",ROUND(SUMPRODUCT((CÁLCULO!$M$15:$M$205=EVENTOS!$C38)*(OFFSET(CÁLCULO!$AQ$15:$AQ$205,0,W$13))),2),0)</f>
        <v>0</v>
      </c>
      <c r="X38" s="262" t="n">
        <f aca="true" t="array" ref="X38:X38">IF(AUTOEVENTO="Manual",ROUND(SUMPRODUCT((CÁLCULO!$M$15:$M$205=EVENTOS!$C38)*(OFFSET(CÁLCULO!$AQ$15:$AQ$205,0,X$13))),2),0)</f>
        <v>0</v>
      </c>
      <c r="Y38" s="262" t="n">
        <f aca="true" t="array" ref="Y38:Y38">IF(AUTOEVENTO="Manual",ROUND(SUMPRODUCT((CÁLCULO!$M$15:$M$205=EVENTOS!$C38)*(OFFSET(CÁLCULO!$AQ$15:$AQ$205,0,Y$13))),2),0)</f>
        <v>0</v>
      </c>
      <c r="Z38" s="262" t="n">
        <f aca="true" t="array" ref="Z38:Z38">IF(AUTOEVENTO="Manual",ROUND(SUMPRODUCT((CÁLCULO!$M$15:$M$205=EVENTOS!$C38)*(OFFSET(CÁLCULO!$AQ$15:$AQ$205,0,Z$13))),2),0)</f>
        <v>0</v>
      </c>
      <c r="AA38" s="262" t="n">
        <f aca="true" t="array" ref="AA38:AA38">IF(AUTOEVENTO="Manual",ROUND(SUMPRODUCT((CÁLCULO!$M$15:$M$205=EVENTOS!$C38)*(OFFSET(CÁLCULO!$AQ$15:$AQ$205,0,AA$13))),2),0)</f>
        <v>0</v>
      </c>
      <c r="AB38" s="262" t="n">
        <f aca="true" t="array" ref="AB38:AB38">IF(AUTOEVENTO="Manual",ROUND(SUMPRODUCT((CÁLCULO!$M$15:$M$205=EVENTOS!$C38)*(OFFSET(CÁLCULO!$AQ$15:$AQ$205,0,AB$13))),2),0)</f>
        <v>0</v>
      </c>
      <c r="AC38" s="262" t="n">
        <f aca="true" t="array" ref="AC38:AC38">IF(AUTOEVENTO="Manual",ROUND(SUMPRODUCT((CÁLCULO!$M$15:$M$205=EVENTOS!$C38)*(OFFSET(CÁLCULO!$AQ$15:$AQ$205,0,AC$13))),2),0)</f>
        <v>0</v>
      </c>
      <c r="AD38" s="262" t="n">
        <f aca="true" t="array" ref="AD38:AD38">IF(AUTOEVENTO="Manual",ROUND(SUMPRODUCT((CÁLCULO!$M$15:$M$205=EVENTOS!$C38)*(OFFSET(CÁLCULO!$AQ$15:$AQ$205,0,AD$13))),2),0)</f>
        <v>0</v>
      </c>
      <c r="AE38" s="262" t="n">
        <f aca="true" t="array" ref="AE38:AE38">IF(AUTOEVENTO="Manual",ROUND(SUMPRODUCT((CÁLCULO!$M$15:$M$205=EVENTOS!$C38)*(OFFSET(CÁLCULO!$AQ$15:$AQ$205,0,AE$13))),2),0)</f>
        <v>0</v>
      </c>
      <c r="AF38" s="262" t="n">
        <f aca="true" t="array" ref="AF38:AF38">IF(AUTOEVENTO="Manual",ROUND(SUMPRODUCT((CÁLCULO!$M$15:$M$205=EVENTOS!$C38)*(OFFSET(CÁLCULO!$AQ$15:$AQ$205,0,AF$13))),2),0)</f>
        <v>0</v>
      </c>
      <c r="AG38" s="262" t="n">
        <f aca="true" t="array" ref="AG38:AG38">IF(AUTOEVENTO="Manual",ROUND(SUMPRODUCT((CÁLCULO!$M$15:$M$205=EVENTOS!$C38)*(OFFSET(CÁLCULO!$AQ$15:$AQ$205,0,AG$13))),2),0)</f>
        <v>0</v>
      </c>
      <c r="AH38" s="262" t="n">
        <f aca="true" t="array" ref="AH38:AH38">IF(AUTOEVENTO="Manual",ROUND(SUMPRODUCT((CÁLCULO!$M$15:$M$205=EVENTOS!$C38)*(OFFSET(CÁLCULO!$AQ$15:$AQ$205,0,AH$13))),2),0)</f>
        <v>0</v>
      </c>
      <c r="AI38" s="262" t="n">
        <f aca="true" t="array" ref="AI38:AI38">IF(AUTOEVENTO="Manual",ROUND(SUMPRODUCT((CÁLCULO!$M$15:$M$205=EVENTOS!$C38)*(OFFSET(CÁLCULO!$AQ$15:$AQ$205,0,AI$13))),2),0)</f>
        <v>0</v>
      </c>
    </row>
    <row r="39" customFormat="false" ht="12.75" hidden="false" customHeight="false" outlineLevel="0" collapsed="false">
      <c r="A39" s="259" t="str">
        <f aca="false">IF(D39="","","F")</f>
        <v/>
      </c>
      <c r="B39" s="1" t="str">
        <f aca="false">IF(OR(C39=" ",D39=""),"",CONCATENATE(C39,". ",D39))</f>
        <v/>
      </c>
      <c r="C39" s="260" t="str">
        <f aca="true" t="array" ref="C39:C39">IF(OR(ROW(C39)=ROW(EVENTOS.firstrow)+1,AND(OFFSET(C39,-1,0)&lt;&gt;" ",OFFSET(C39,-1,1)&lt;&gt;"")),OFFSET(C39,-1,0)+1," ")</f>
        <v> </v>
      </c>
      <c r="D39" s="261"/>
      <c r="E39" s="262" t="n">
        <f aca="true" t="array" ref="E39:E39">IF(AUTOEVENTO="Manual",ROUND(SUMPRODUCT((CÁLCULO!$M$15:$M$205=EVENTOS!$C39)*(OFFSET(CÁLCULO!$AQ$15:$AQ$205,0,E$13))),2),0)</f>
        <v>0</v>
      </c>
      <c r="F39" s="263" t="n">
        <f aca="true">IF(AUTOEVENTO="Manual",ROUND(SUMPRODUCT((CÁLCULO!$M$15:$M$205=EVENTOS!$C39)*(OFFSET(CÁLCULO!$AQ$15,0,1):OFFSET(CÁLCULO!$BR$205,0,-1))),2),0)</f>
        <v>0</v>
      </c>
      <c r="G39" s="264" t="str">
        <f aca="false">IF(AND(D39=0,F39&gt;0),"NOME",
 IF(AND(D39&lt;&gt;0,$F$14&gt;0,F39=0),"VALOR",
 IF(AND(Import.TipoArredondamento="TransfereGOV",$A39="F",LEN(D39)&gt;100),"Nome &gt;100","")))</f>
        <v/>
      </c>
      <c r="H39" s="262" t="n">
        <f aca="true" t="array" ref="H39:H39">IF(AUTOEVENTO="Manual",ROUND(SUMPRODUCT((CÁLCULO!$M$15:$M$205=EVENTOS!$C39)*(OFFSET(CÁLCULO!$AQ$15:$AQ$205,0,H$13))),2),0)</f>
        <v>0</v>
      </c>
      <c r="I39" s="262" t="n">
        <f aca="true" t="array" ref="I39:I39">IF(AUTOEVENTO="Manual",ROUND(SUMPRODUCT((CÁLCULO!$M$15:$M$205=EVENTOS!$C39)*(OFFSET(CÁLCULO!$AQ$15:$AQ$205,0,I$13))),2),0)</f>
        <v>0</v>
      </c>
      <c r="J39" s="262" t="n">
        <f aca="true" t="array" ref="J39:J39">IF(AUTOEVENTO="Manual",ROUND(SUMPRODUCT((CÁLCULO!$M$15:$M$205=EVENTOS!$C39)*(OFFSET(CÁLCULO!$AQ$15:$AQ$205,0,J$13))),2),0)</f>
        <v>0</v>
      </c>
      <c r="K39" s="262" t="n">
        <f aca="true" t="array" ref="K39:K39">IF(AUTOEVENTO="Manual",ROUND(SUMPRODUCT((CÁLCULO!$M$15:$M$205=EVENTOS!$C39)*(OFFSET(CÁLCULO!$AQ$15:$AQ$205,0,K$13))),2),0)</f>
        <v>0</v>
      </c>
      <c r="L39" s="262" t="n">
        <f aca="true" t="array" ref="L39:L39">IF(AUTOEVENTO="Manual",ROUND(SUMPRODUCT((CÁLCULO!$M$15:$M$205=EVENTOS!$C39)*(OFFSET(CÁLCULO!$AQ$15:$AQ$205,0,L$13))),2),0)</f>
        <v>0</v>
      </c>
      <c r="M39" s="262" t="n">
        <f aca="true" t="array" ref="M39:M39">IF(AUTOEVENTO="Manual",ROUND(SUMPRODUCT((CÁLCULO!$M$15:$M$205=EVENTOS!$C39)*(OFFSET(CÁLCULO!$AQ$15:$AQ$205,0,M$13))),2),0)</f>
        <v>0</v>
      </c>
      <c r="N39" s="262" t="n">
        <f aca="true" t="array" ref="N39:N39">IF(AUTOEVENTO="Manual",ROUND(SUMPRODUCT((CÁLCULO!$M$15:$M$205=EVENTOS!$C39)*(OFFSET(CÁLCULO!$AQ$15:$AQ$205,0,N$13))),2),0)</f>
        <v>0</v>
      </c>
      <c r="O39" s="262" t="n">
        <f aca="true" t="array" ref="O39:O39">IF(AUTOEVENTO="Manual",ROUND(SUMPRODUCT((CÁLCULO!$M$15:$M$205=EVENTOS!$C39)*(OFFSET(CÁLCULO!$AQ$15:$AQ$205,0,O$13))),2),0)</f>
        <v>0</v>
      </c>
      <c r="P39" s="262" t="n">
        <f aca="true" t="array" ref="P39:P39">IF(AUTOEVENTO="Manual",ROUND(SUMPRODUCT((CÁLCULO!$M$15:$M$205=EVENTOS!$C39)*(OFFSET(CÁLCULO!$AQ$15:$AQ$205,0,P$13))),2),0)</f>
        <v>0</v>
      </c>
      <c r="Q39" s="262" t="n">
        <f aca="true" t="array" ref="Q39:Q39">IF(AUTOEVENTO="Manual",ROUND(SUMPRODUCT((CÁLCULO!$M$15:$M$205=EVENTOS!$C39)*(OFFSET(CÁLCULO!$AQ$15:$AQ$205,0,Q$13))),2),0)</f>
        <v>0</v>
      </c>
      <c r="R39" s="262" t="n">
        <f aca="true" t="array" ref="R39:R39">IF(AUTOEVENTO="Manual",ROUND(SUMPRODUCT((CÁLCULO!$M$15:$M$205=EVENTOS!$C39)*(OFFSET(CÁLCULO!$AQ$15:$AQ$205,0,R$13))),2),0)</f>
        <v>0</v>
      </c>
      <c r="S39" s="262" t="n">
        <f aca="true" t="array" ref="S39:S39">IF(AUTOEVENTO="Manual",ROUND(SUMPRODUCT((CÁLCULO!$M$15:$M$205=EVENTOS!$C39)*(OFFSET(CÁLCULO!$AQ$15:$AQ$205,0,S$13))),2),0)</f>
        <v>0</v>
      </c>
      <c r="T39" s="262" t="n">
        <f aca="true" t="array" ref="T39:T39">IF(AUTOEVENTO="Manual",ROUND(SUMPRODUCT((CÁLCULO!$M$15:$M$205=EVENTOS!$C39)*(OFFSET(CÁLCULO!$AQ$15:$AQ$205,0,T$13))),2),0)</f>
        <v>0</v>
      </c>
      <c r="U39" s="262" t="n">
        <f aca="true" t="array" ref="U39:U39">IF(AUTOEVENTO="Manual",ROUND(SUMPRODUCT((CÁLCULO!$M$15:$M$205=EVENTOS!$C39)*(OFFSET(CÁLCULO!$AQ$15:$AQ$205,0,U$13))),2),0)</f>
        <v>0</v>
      </c>
      <c r="V39" s="262" t="n">
        <f aca="true" t="array" ref="V39:V39">IF(AUTOEVENTO="Manual",ROUND(SUMPRODUCT((CÁLCULO!$M$15:$M$205=EVENTOS!$C39)*(OFFSET(CÁLCULO!$AQ$15:$AQ$205,0,V$13))),2),0)</f>
        <v>0</v>
      </c>
      <c r="W39" s="262" t="n">
        <f aca="true" t="array" ref="W39:W39">IF(AUTOEVENTO="Manual",ROUND(SUMPRODUCT((CÁLCULO!$M$15:$M$205=EVENTOS!$C39)*(OFFSET(CÁLCULO!$AQ$15:$AQ$205,0,W$13))),2),0)</f>
        <v>0</v>
      </c>
      <c r="X39" s="262" t="n">
        <f aca="true" t="array" ref="X39:X39">IF(AUTOEVENTO="Manual",ROUND(SUMPRODUCT((CÁLCULO!$M$15:$M$205=EVENTOS!$C39)*(OFFSET(CÁLCULO!$AQ$15:$AQ$205,0,X$13))),2),0)</f>
        <v>0</v>
      </c>
      <c r="Y39" s="262" t="n">
        <f aca="true" t="array" ref="Y39:Y39">IF(AUTOEVENTO="Manual",ROUND(SUMPRODUCT((CÁLCULO!$M$15:$M$205=EVENTOS!$C39)*(OFFSET(CÁLCULO!$AQ$15:$AQ$205,0,Y$13))),2),0)</f>
        <v>0</v>
      </c>
      <c r="Z39" s="262" t="n">
        <f aca="true" t="array" ref="Z39:Z39">IF(AUTOEVENTO="Manual",ROUND(SUMPRODUCT((CÁLCULO!$M$15:$M$205=EVENTOS!$C39)*(OFFSET(CÁLCULO!$AQ$15:$AQ$205,0,Z$13))),2),0)</f>
        <v>0</v>
      </c>
      <c r="AA39" s="262" t="n">
        <f aca="true" t="array" ref="AA39:AA39">IF(AUTOEVENTO="Manual",ROUND(SUMPRODUCT((CÁLCULO!$M$15:$M$205=EVENTOS!$C39)*(OFFSET(CÁLCULO!$AQ$15:$AQ$205,0,AA$13))),2),0)</f>
        <v>0</v>
      </c>
      <c r="AB39" s="262" t="n">
        <f aca="true" t="array" ref="AB39:AB39">IF(AUTOEVENTO="Manual",ROUND(SUMPRODUCT((CÁLCULO!$M$15:$M$205=EVENTOS!$C39)*(OFFSET(CÁLCULO!$AQ$15:$AQ$205,0,AB$13))),2),0)</f>
        <v>0</v>
      </c>
      <c r="AC39" s="262" t="n">
        <f aca="true" t="array" ref="AC39:AC39">IF(AUTOEVENTO="Manual",ROUND(SUMPRODUCT((CÁLCULO!$M$15:$M$205=EVENTOS!$C39)*(OFFSET(CÁLCULO!$AQ$15:$AQ$205,0,AC$13))),2),0)</f>
        <v>0</v>
      </c>
      <c r="AD39" s="262" t="n">
        <f aca="true" t="array" ref="AD39:AD39">IF(AUTOEVENTO="Manual",ROUND(SUMPRODUCT((CÁLCULO!$M$15:$M$205=EVENTOS!$C39)*(OFFSET(CÁLCULO!$AQ$15:$AQ$205,0,AD$13))),2),0)</f>
        <v>0</v>
      </c>
      <c r="AE39" s="262" t="n">
        <f aca="true" t="array" ref="AE39:AE39">IF(AUTOEVENTO="Manual",ROUND(SUMPRODUCT((CÁLCULO!$M$15:$M$205=EVENTOS!$C39)*(OFFSET(CÁLCULO!$AQ$15:$AQ$205,0,AE$13))),2),0)</f>
        <v>0</v>
      </c>
      <c r="AF39" s="262" t="n">
        <f aca="true" t="array" ref="AF39:AF39">IF(AUTOEVENTO="Manual",ROUND(SUMPRODUCT((CÁLCULO!$M$15:$M$205=EVENTOS!$C39)*(OFFSET(CÁLCULO!$AQ$15:$AQ$205,0,AF$13))),2),0)</f>
        <v>0</v>
      </c>
      <c r="AG39" s="262" t="n">
        <f aca="true" t="array" ref="AG39:AG39">IF(AUTOEVENTO="Manual",ROUND(SUMPRODUCT((CÁLCULO!$M$15:$M$205=EVENTOS!$C39)*(OFFSET(CÁLCULO!$AQ$15:$AQ$205,0,AG$13))),2),0)</f>
        <v>0</v>
      </c>
      <c r="AH39" s="262" t="n">
        <f aca="true" t="array" ref="AH39:AH39">IF(AUTOEVENTO="Manual",ROUND(SUMPRODUCT((CÁLCULO!$M$15:$M$205=EVENTOS!$C39)*(OFFSET(CÁLCULO!$AQ$15:$AQ$205,0,AH$13))),2),0)</f>
        <v>0</v>
      </c>
      <c r="AI39" s="262" t="n">
        <f aca="true" t="array" ref="AI39:AI39">IF(AUTOEVENTO="Manual",ROUND(SUMPRODUCT((CÁLCULO!$M$15:$M$205=EVENTOS!$C39)*(OFFSET(CÁLCULO!$AQ$15:$AQ$205,0,AI$13))),2),0)</f>
        <v>0</v>
      </c>
    </row>
    <row r="40" customFormat="false" ht="12.75" hidden="false" customHeight="false" outlineLevel="0" collapsed="false">
      <c r="A40" s="259" t="str">
        <f aca="false">IF(D40="","","F")</f>
        <v/>
      </c>
      <c r="B40" s="1" t="str">
        <f aca="false">IF(OR(C40=" ",D40=""),"",CONCATENATE(C40,". ",D40))</f>
        <v/>
      </c>
      <c r="C40" s="260" t="str">
        <f aca="true" t="array" ref="C40:C40">IF(OR(ROW(C40)=ROW(EVENTOS.firstrow)+1,AND(OFFSET(C40,-1,0)&lt;&gt;" ",OFFSET(C40,-1,1)&lt;&gt;"")),OFFSET(C40,-1,0)+1," ")</f>
        <v> </v>
      </c>
      <c r="D40" s="261"/>
      <c r="E40" s="262" t="n">
        <f aca="true" t="array" ref="E40:E40">IF(AUTOEVENTO="Manual",ROUND(SUMPRODUCT((CÁLCULO!$M$15:$M$205=EVENTOS!$C40)*(OFFSET(CÁLCULO!$AQ$15:$AQ$205,0,E$13))),2),0)</f>
        <v>0</v>
      </c>
      <c r="F40" s="263" t="n">
        <f aca="true">IF(AUTOEVENTO="Manual",ROUND(SUMPRODUCT((CÁLCULO!$M$15:$M$205=EVENTOS!$C40)*(OFFSET(CÁLCULO!$AQ$15,0,1):OFFSET(CÁLCULO!$BR$205,0,-1))),2),0)</f>
        <v>0</v>
      </c>
      <c r="G40" s="264" t="str">
        <f aca="false">IF(AND(D40=0,F40&gt;0),"NOME",
 IF(AND(D40&lt;&gt;0,$F$14&gt;0,F40=0),"VALOR",
 IF(AND(Import.TipoArredondamento="TransfereGOV",$A40="F",LEN(D40)&gt;100),"Nome &gt;100","")))</f>
        <v/>
      </c>
      <c r="H40" s="262" t="n">
        <f aca="true" t="array" ref="H40:H40">IF(AUTOEVENTO="Manual",ROUND(SUMPRODUCT((CÁLCULO!$M$15:$M$205=EVENTOS!$C40)*(OFFSET(CÁLCULO!$AQ$15:$AQ$205,0,H$13))),2),0)</f>
        <v>0</v>
      </c>
      <c r="I40" s="262" t="n">
        <f aca="true" t="array" ref="I40:I40">IF(AUTOEVENTO="Manual",ROUND(SUMPRODUCT((CÁLCULO!$M$15:$M$205=EVENTOS!$C40)*(OFFSET(CÁLCULO!$AQ$15:$AQ$205,0,I$13))),2),0)</f>
        <v>0</v>
      </c>
      <c r="J40" s="262" t="n">
        <f aca="true" t="array" ref="J40:J40">IF(AUTOEVENTO="Manual",ROUND(SUMPRODUCT((CÁLCULO!$M$15:$M$205=EVENTOS!$C40)*(OFFSET(CÁLCULO!$AQ$15:$AQ$205,0,J$13))),2),0)</f>
        <v>0</v>
      </c>
      <c r="K40" s="262" t="n">
        <f aca="true" t="array" ref="K40:K40">IF(AUTOEVENTO="Manual",ROUND(SUMPRODUCT((CÁLCULO!$M$15:$M$205=EVENTOS!$C40)*(OFFSET(CÁLCULO!$AQ$15:$AQ$205,0,K$13))),2),0)</f>
        <v>0</v>
      </c>
      <c r="L40" s="262" t="n">
        <f aca="true" t="array" ref="L40:L40">IF(AUTOEVENTO="Manual",ROUND(SUMPRODUCT((CÁLCULO!$M$15:$M$205=EVENTOS!$C40)*(OFFSET(CÁLCULO!$AQ$15:$AQ$205,0,L$13))),2),0)</f>
        <v>0</v>
      </c>
      <c r="M40" s="262" t="n">
        <f aca="true" t="array" ref="M40:M40">IF(AUTOEVENTO="Manual",ROUND(SUMPRODUCT((CÁLCULO!$M$15:$M$205=EVENTOS!$C40)*(OFFSET(CÁLCULO!$AQ$15:$AQ$205,0,M$13))),2),0)</f>
        <v>0</v>
      </c>
      <c r="N40" s="262" t="n">
        <f aca="true" t="array" ref="N40:N40">IF(AUTOEVENTO="Manual",ROUND(SUMPRODUCT((CÁLCULO!$M$15:$M$205=EVENTOS!$C40)*(OFFSET(CÁLCULO!$AQ$15:$AQ$205,0,N$13))),2),0)</f>
        <v>0</v>
      </c>
      <c r="O40" s="262" t="n">
        <f aca="true" t="array" ref="O40:O40">IF(AUTOEVENTO="Manual",ROUND(SUMPRODUCT((CÁLCULO!$M$15:$M$205=EVENTOS!$C40)*(OFFSET(CÁLCULO!$AQ$15:$AQ$205,0,O$13))),2),0)</f>
        <v>0</v>
      </c>
      <c r="P40" s="262" t="n">
        <f aca="true" t="array" ref="P40:P40">IF(AUTOEVENTO="Manual",ROUND(SUMPRODUCT((CÁLCULO!$M$15:$M$205=EVENTOS!$C40)*(OFFSET(CÁLCULO!$AQ$15:$AQ$205,0,P$13))),2),0)</f>
        <v>0</v>
      </c>
      <c r="Q40" s="262" t="n">
        <f aca="true" t="array" ref="Q40:Q40">IF(AUTOEVENTO="Manual",ROUND(SUMPRODUCT((CÁLCULO!$M$15:$M$205=EVENTOS!$C40)*(OFFSET(CÁLCULO!$AQ$15:$AQ$205,0,Q$13))),2),0)</f>
        <v>0</v>
      </c>
      <c r="R40" s="262" t="n">
        <f aca="true" t="array" ref="R40:R40">IF(AUTOEVENTO="Manual",ROUND(SUMPRODUCT((CÁLCULO!$M$15:$M$205=EVENTOS!$C40)*(OFFSET(CÁLCULO!$AQ$15:$AQ$205,0,R$13))),2),0)</f>
        <v>0</v>
      </c>
      <c r="S40" s="262" t="n">
        <f aca="true" t="array" ref="S40:S40">IF(AUTOEVENTO="Manual",ROUND(SUMPRODUCT((CÁLCULO!$M$15:$M$205=EVENTOS!$C40)*(OFFSET(CÁLCULO!$AQ$15:$AQ$205,0,S$13))),2),0)</f>
        <v>0</v>
      </c>
      <c r="T40" s="262" t="n">
        <f aca="true" t="array" ref="T40:T40">IF(AUTOEVENTO="Manual",ROUND(SUMPRODUCT((CÁLCULO!$M$15:$M$205=EVENTOS!$C40)*(OFFSET(CÁLCULO!$AQ$15:$AQ$205,0,T$13))),2),0)</f>
        <v>0</v>
      </c>
      <c r="U40" s="262" t="n">
        <f aca="true" t="array" ref="U40:U40">IF(AUTOEVENTO="Manual",ROUND(SUMPRODUCT((CÁLCULO!$M$15:$M$205=EVENTOS!$C40)*(OFFSET(CÁLCULO!$AQ$15:$AQ$205,0,U$13))),2),0)</f>
        <v>0</v>
      </c>
      <c r="V40" s="262" t="n">
        <f aca="true" t="array" ref="V40:V40">IF(AUTOEVENTO="Manual",ROUND(SUMPRODUCT((CÁLCULO!$M$15:$M$205=EVENTOS!$C40)*(OFFSET(CÁLCULO!$AQ$15:$AQ$205,0,V$13))),2),0)</f>
        <v>0</v>
      </c>
      <c r="W40" s="262" t="n">
        <f aca="true" t="array" ref="W40:W40">IF(AUTOEVENTO="Manual",ROUND(SUMPRODUCT((CÁLCULO!$M$15:$M$205=EVENTOS!$C40)*(OFFSET(CÁLCULO!$AQ$15:$AQ$205,0,W$13))),2),0)</f>
        <v>0</v>
      </c>
      <c r="X40" s="262" t="n">
        <f aca="true" t="array" ref="X40:X40">IF(AUTOEVENTO="Manual",ROUND(SUMPRODUCT((CÁLCULO!$M$15:$M$205=EVENTOS!$C40)*(OFFSET(CÁLCULO!$AQ$15:$AQ$205,0,X$13))),2),0)</f>
        <v>0</v>
      </c>
      <c r="Y40" s="262" t="n">
        <f aca="true" t="array" ref="Y40:Y40">IF(AUTOEVENTO="Manual",ROUND(SUMPRODUCT((CÁLCULO!$M$15:$M$205=EVENTOS!$C40)*(OFFSET(CÁLCULO!$AQ$15:$AQ$205,0,Y$13))),2),0)</f>
        <v>0</v>
      </c>
      <c r="Z40" s="262" t="n">
        <f aca="true" t="array" ref="Z40:Z40">IF(AUTOEVENTO="Manual",ROUND(SUMPRODUCT((CÁLCULO!$M$15:$M$205=EVENTOS!$C40)*(OFFSET(CÁLCULO!$AQ$15:$AQ$205,0,Z$13))),2),0)</f>
        <v>0</v>
      </c>
      <c r="AA40" s="262" t="n">
        <f aca="true" t="array" ref="AA40:AA40">IF(AUTOEVENTO="Manual",ROUND(SUMPRODUCT((CÁLCULO!$M$15:$M$205=EVENTOS!$C40)*(OFFSET(CÁLCULO!$AQ$15:$AQ$205,0,AA$13))),2),0)</f>
        <v>0</v>
      </c>
      <c r="AB40" s="262" t="n">
        <f aca="true" t="array" ref="AB40:AB40">IF(AUTOEVENTO="Manual",ROUND(SUMPRODUCT((CÁLCULO!$M$15:$M$205=EVENTOS!$C40)*(OFFSET(CÁLCULO!$AQ$15:$AQ$205,0,AB$13))),2),0)</f>
        <v>0</v>
      </c>
      <c r="AC40" s="262" t="n">
        <f aca="true" t="array" ref="AC40:AC40">IF(AUTOEVENTO="Manual",ROUND(SUMPRODUCT((CÁLCULO!$M$15:$M$205=EVENTOS!$C40)*(OFFSET(CÁLCULO!$AQ$15:$AQ$205,0,AC$13))),2),0)</f>
        <v>0</v>
      </c>
      <c r="AD40" s="262" t="n">
        <f aca="true" t="array" ref="AD40:AD40">IF(AUTOEVENTO="Manual",ROUND(SUMPRODUCT((CÁLCULO!$M$15:$M$205=EVENTOS!$C40)*(OFFSET(CÁLCULO!$AQ$15:$AQ$205,0,AD$13))),2),0)</f>
        <v>0</v>
      </c>
      <c r="AE40" s="262" t="n">
        <f aca="true" t="array" ref="AE40:AE40">IF(AUTOEVENTO="Manual",ROUND(SUMPRODUCT((CÁLCULO!$M$15:$M$205=EVENTOS!$C40)*(OFFSET(CÁLCULO!$AQ$15:$AQ$205,0,AE$13))),2),0)</f>
        <v>0</v>
      </c>
      <c r="AF40" s="262" t="n">
        <f aca="true" t="array" ref="AF40:AF40">IF(AUTOEVENTO="Manual",ROUND(SUMPRODUCT((CÁLCULO!$M$15:$M$205=EVENTOS!$C40)*(OFFSET(CÁLCULO!$AQ$15:$AQ$205,0,AF$13))),2),0)</f>
        <v>0</v>
      </c>
      <c r="AG40" s="262" t="n">
        <f aca="true" t="array" ref="AG40:AG40">IF(AUTOEVENTO="Manual",ROUND(SUMPRODUCT((CÁLCULO!$M$15:$M$205=EVENTOS!$C40)*(OFFSET(CÁLCULO!$AQ$15:$AQ$205,0,AG$13))),2),0)</f>
        <v>0</v>
      </c>
      <c r="AH40" s="262" t="n">
        <f aca="true" t="array" ref="AH40:AH40">IF(AUTOEVENTO="Manual",ROUND(SUMPRODUCT((CÁLCULO!$M$15:$M$205=EVENTOS!$C40)*(OFFSET(CÁLCULO!$AQ$15:$AQ$205,0,AH$13))),2),0)</f>
        <v>0</v>
      </c>
      <c r="AI40" s="262" t="n">
        <f aca="true" t="array" ref="AI40:AI40">IF(AUTOEVENTO="Manual",ROUND(SUMPRODUCT((CÁLCULO!$M$15:$M$205=EVENTOS!$C40)*(OFFSET(CÁLCULO!$AQ$15:$AQ$205,0,AI$13))),2),0)</f>
        <v>0</v>
      </c>
    </row>
    <row r="41" customFormat="false" ht="12.75" hidden="false" customHeight="false" outlineLevel="0" collapsed="false">
      <c r="A41" s="259" t="str">
        <f aca="false">IF(D41="","","F")</f>
        <v/>
      </c>
      <c r="B41" s="1" t="str">
        <f aca="false">IF(OR(C41=" ",D41=""),"",CONCATENATE(C41,". ",D41))</f>
        <v/>
      </c>
      <c r="C41" s="260" t="str">
        <f aca="true" t="array" ref="C41:C41">IF(OR(ROW(C41)=ROW(EVENTOS.firstrow)+1,AND(OFFSET(C41,-1,0)&lt;&gt;" ",OFFSET(C41,-1,1)&lt;&gt;"")),OFFSET(C41,-1,0)+1," ")</f>
        <v> </v>
      </c>
      <c r="D41" s="261"/>
      <c r="E41" s="262" t="n">
        <f aca="true" t="array" ref="E41:E41">IF(AUTOEVENTO="Manual",ROUND(SUMPRODUCT((CÁLCULO!$M$15:$M$205=EVENTOS!$C41)*(OFFSET(CÁLCULO!$AQ$15:$AQ$205,0,E$13))),2),0)</f>
        <v>0</v>
      </c>
      <c r="F41" s="263" t="n">
        <f aca="true">IF(AUTOEVENTO="Manual",ROUND(SUMPRODUCT((CÁLCULO!$M$15:$M$205=EVENTOS!$C41)*(OFFSET(CÁLCULO!$AQ$15,0,1):OFFSET(CÁLCULO!$BR$205,0,-1))),2),0)</f>
        <v>0</v>
      </c>
      <c r="G41" s="264" t="str">
        <f aca="false">IF(AND(D41=0,F41&gt;0),"NOME",
 IF(AND(D41&lt;&gt;0,$F$14&gt;0,F41=0),"VALOR",
 IF(AND(Import.TipoArredondamento="TransfereGOV",$A41="F",LEN(D41)&gt;100),"Nome &gt;100","")))</f>
        <v/>
      </c>
      <c r="H41" s="262" t="n">
        <f aca="true" t="array" ref="H41:H41">IF(AUTOEVENTO="Manual",ROUND(SUMPRODUCT((CÁLCULO!$M$15:$M$205=EVENTOS!$C41)*(OFFSET(CÁLCULO!$AQ$15:$AQ$205,0,H$13))),2),0)</f>
        <v>0</v>
      </c>
      <c r="I41" s="262" t="n">
        <f aca="true" t="array" ref="I41:I41">IF(AUTOEVENTO="Manual",ROUND(SUMPRODUCT((CÁLCULO!$M$15:$M$205=EVENTOS!$C41)*(OFFSET(CÁLCULO!$AQ$15:$AQ$205,0,I$13))),2),0)</f>
        <v>0</v>
      </c>
      <c r="J41" s="262" t="n">
        <f aca="true" t="array" ref="J41:J41">IF(AUTOEVENTO="Manual",ROUND(SUMPRODUCT((CÁLCULO!$M$15:$M$205=EVENTOS!$C41)*(OFFSET(CÁLCULO!$AQ$15:$AQ$205,0,J$13))),2),0)</f>
        <v>0</v>
      </c>
      <c r="K41" s="262" t="n">
        <f aca="true" t="array" ref="K41:K41">IF(AUTOEVENTO="Manual",ROUND(SUMPRODUCT((CÁLCULO!$M$15:$M$205=EVENTOS!$C41)*(OFFSET(CÁLCULO!$AQ$15:$AQ$205,0,K$13))),2),0)</f>
        <v>0</v>
      </c>
      <c r="L41" s="262" t="n">
        <f aca="true" t="array" ref="L41:L41">IF(AUTOEVENTO="Manual",ROUND(SUMPRODUCT((CÁLCULO!$M$15:$M$205=EVENTOS!$C41)*(OFFSET(CÁLCULO!$AQ$15:$AQ$205,0,L$13))),2),0)</f>
        <v>0</v>
      </c>
      <c r="M41" s="262" t="n">
        <f aca="true" t="array" ref="M41:M41">IF(AUTOEVENTO="Manual",ROUND(SUMPRODUCT((CÁLCULO!$M$15:$M$205=EVENTOS!$C41)*(OFFSET(CÁLCULO!$AQ$15:$AQ$205,0,M$13))),2),0)</f>
        <v>0</v>
      </c>
      <c r="N41" s="262" t="n">
        <f aca="true" t="array" ref="N41:N41">IF(AUTOEVENTO="Manual",ROUND(SUMPRODUCT((CÁLCULO!$M$15:$M$205=EVENTOS!$C41)*(OFFSET(CÁLCULO!$AQ$15:$AQ$205,0,N$13))),2),0)</f>
        <v>0</v>
      </c>
      <c r="O41" s="262" t="n">
        <f aca="true" t="array" ref="O41:O41">IF(AUTOEVENTO="Manual",ROUND(SUMPRODUCT((CÁLCULO!$M$15:$M$205=EVENTOS!$C41)*(OFFSET(CÁLCULO!$AQ$15:$AQ$205,0,O$13))),2),0)</f>
        <v>0</v>
      </c>
      <c r="P41" s="262" t="n">
        <f aca="true" t="array" ref="P41:P41">IF(AUTOEVENTO="Manual",ROUND(SUMPRODUCT((CÁLCULO!$M$15:$M$205=EVENTOS!$C41)*(OFFSET(CÁLCULO!$AQ$15:$AQ$205,0,P$13))),2),0)</f>
        <v>0</v>
      </c>
      <c r="Q41" s="262" t="n">
        <f aca="true" t="array" ref="Q41:Q41">IF(AUTOEVENTO="Manual",ROUND(SUMPRODUCT((CÁLCULO!$M$15:$M$205=EVENTOS!$C41)*(OFFSET(CÁLCULO!$AQ$15:$AQ$205,0,Q$13))),2),0)</f>
        <v>0</v>
      </c>
      <c r="R41" s="262" t="n">
        <f aca="true" t="array" ref="R41:R41">IF(AUTOEVENTO="Manual",ROUND(SUMPRODUCT((CÁLCULO!$M$15:$M$205=EVENTOS!$C41)*(OFFSET(CÁLCULO!$AQ$15:$AQ$205,0,R$13))),2),0)</f>
        <v>0</v>
      </c>
      <c r="S41" s="262" t="n">
        <f aca="true" t="array" ref="S41:S41">IF(AUTOEVENTO="Manual",ROUND(SUMPRODUCT((CÁLCULO!$M$15:$M$205=EVENTOS!$C41)*(OFFSET(CÁLCULO!$AQ$15:$AQ$205,0,S$13))),2),0)</f>
        <v>0</v>
      </c>
      <c r="T41" s="262" t="n">
        <f aca="true" t="array" ref="T41:T41">IF(AUTOEVENTO="Manual",ROUND(SUMPRODUCT((CÁLCULO!$M$15:$M$205=EVENTOS!$C41)*(OFFSET(CÁLCULO!$AQ$15:$AQ$205,0,T$13))),2),0)</f>
        <v>0</v>
      </c>
      <c r="U41" s="262" t="n">
        <f aca="true" t="array" ref="U41:U41">IF(AUTOEVENTO="Manual",ROUND(SUMPRODUCT((CÁLCULO!$M$15:$M$205=EVENTOS!$C41)*(OFFSET(CÁLCULO!$AQ$15:$AQ$205,0,U$13))),2),0)</f>
        <v>0</v>
      </c>
      <c r="V41" s="262" t="n">
        <f aca="true" t="array" ref="V41:V41">IF(AUTOEVENTO="Manual",ROUND(SUMPRODUCT((CÁLCULO!$M$15:$M$205=EVENTOS!$C41)*(OFFSET(CÁLCULO!$AQ$15:$AQ$205,0,V$13))),2),0)</f>
        <v>0</v>
      </c>
      <c r="W41" s="262" t="n">
        <f aca="true" t="array" ref="W41:W41">IF(AUTOEVENTO="Manual",ROUND(SUMPRODUCT((CÁLCULO!$M$15:$M$205=EVENTOS!$C41)*(OFFSET(CÁLCULO!$AQ$15:$AQ$205,0,W$13))),2),0)</f>
        <v>0</v>
      </c>
      <c r="X41" s="262" t="n">
        <f aca="true" t="array" ref="X41:X41">IF(AUTOEVENTO="Manual",ROUND(SUMPRODUCT((CÁLCULO!$M$15:$M$205=EVENTOS!$C41)*(OFFSET(CÁLCULO!$AQ$15:$AQ$205,0,X$13))),2),0)</f>
        <v>0</v>
      </c>
      <c r="Y41" s="262" t="n">
        <f aca="true" t="array" ref="Y41:Y41">IF(AUTOEVENTO="Manual",ROUND(SUMPRODUCT((CÁLCULO!$M$15:$M$205=EVENTOS!$C41)*(OFFSET(CÁLCULO!$AQ$15:$AQ$205,0,Y$13))),2),0)</f>
        <v>0</v>
      </c>
      <c r="Z41" s="262" t="n">
        <f aca="true" t="array" ref="Z41:Z41">IF(AUTOEVENTO="Manual",ROUND(SUMPRODUCT((CÁLCULO!$M$15:$M$205=EVENTOS!$C41)*(OFFSET(CÁLCULO!$AQ$15:$AQ$205,0,Z$13))),2),0)</f>
        <v>0</v>
      </c>
      <c r="AA41" s="262" t="n">
        <f aca="true" t="array" ref="AA41:AA41">IF(AUTOEVENTO="Manual",ROUND(SUMPRODUCT((CÁLCULO!$M$15:$M$205=EVENTOS!$C41)*(OFFSET(CÁLCULO!$AQ$15:$AQ$205,0,AA$13))),2),0)</f>
        <v>0</v>
      </c>
      <c r="AB41" s="262" t="n">
        <f aca="true" t="array" ref="AB41:AB41">IF(AUTOEVENTO="Manual",ROUND(SUMPRODUCT((CÁLCULO!$M$15:$M$205=EVENTOS!$C41)*(OFFSET(CÁLCULO!$AQ$15:$AQ$205,0,AB$13))),2),0)</f>
        <v>0</v>
      </c>
      <c r="AC41" s="262" t="n">
        <f aca="true" t="array" ref="AC41:AC41">IF(AUTOEVENTO="Manual",ROUND(SUMPRODUCT((CÁLCULO!$M$15:$M$205=EVENTOS!$C41)*(OFFSET(CÁLCULO!$AQ$15:$AQ$205,0,AC$13))),2),0)</f>
        <v>0</v>
      </c>
      <c r="AD41" s="262" t="n">
        <f aca="true" t="array" ref="AD41:AD41">IF(AUTOEVENTO="Manual",ROUND(SUMPRODUCT((CÁLCULO!$M$15:$M$205=EVENTOS!$C41)*(OFFSET(CÁLCULO!$AQ$15:$AQ$205,0,AD$13))),2),0)</f>
        <v>0</v>
      </c>
      <c r="AE41" s="262" t="n">
        <f aca="true" t="array" ref="AE41:AE41">IF(AUTOEVENTO="Manual",ROUND(SUMPRODUCT((CÁLCULO!$M$15:$M$205=EVENTOS!$C41)*(OFFSET(CÁLCULO!$AQ$15:$AQ$205,0,AE$13))),2),0)</f>
        <v>0</v>
      </c>
      <c r="AF41" s="262" t="n">
        <f aca="true" t="array" ref="AF41:AF41">IF(AUTOEVENTO="Manual",ROUND(SUMPRODUCT((CÁLCULO!$M$15:$M$205=EVENTOS!$C41)*(OFFSET(CÁLCULO!$AQ$15:$AQ$205,0,AF$13))),2),0)</f>
        <v>0</v>
      </c>
      <c r="AG41" s="262" t="n">
        <f aca="true" t="array" ref="AG41:AG41">IF(AUTOEVENTO="Manual",ROUND(SUMPRODUCT((CÁLCULO!$M$15:$M$205=EVENTOS!$C41)*(OFFSET(CÁLCULO!$AQ$15:$AQ$205,0,AG$13))),2),0)</f>
        <v>0</v>
      </c>
      <c r="AH41" s="262" t="n">
        <f aca="true" t="array" ref="AH41:AH41">IF(AUTOEVENTO="Manual",ROUND(SUMPRODUCT((CÁLCULO!$M$15:$M$205=EVENTOS!$C41)*(OFFSET(CÁLCULO!$AQ$15:$AQ$205,0,AH$13))),2),0)</f>
        <v>0</v>
      </c>
      <c r="AI41" s="262" t="n">
        <f aca="true" t="array" ref="AI41:AI41">IF(AUTOEVENTO="Manual",ROUND(SUMPRODUCT((CÁLCULO!$M$15:$M$205=EVENTOS!$C41)*(OFFSET(CÁLCULO!$AQ$15:$AQ$205,0,AI$13))),2),0)</f>
        <v>0</v>
      </c>
    </row>
    <row r="42" customFormat="false" ht="12.75" hidden="false" customHeight="false" outlineLevel="0" collapsed="false">
      <c r="A42" s="259" t="str">
        <f aca="false">IF(D42="","","F")</f>
        <v/>
      </c>
      <c r="B42" s="1" t="str">
        <f aca="false">IF(OR(C42=" ",D42=""),"",CONCATENATE(C42,". ",D42))</f>
        <v/>
      </c>
      <c r="C42" s="260" t="str">
        <f aca="true" t="array" ref="C42:C42">IF(OR(ROW(C42)=ROW(EVENTOS.firstrow)+1,AND(OFFSET(C42,-1,0)&lt;&gt;" ",OFFSET(C42,-1,1)&lt;&gt;"")),OFFSET(C42,-1,0)+1," ")</f>
        <v> </v>
      </c>
      <c r="D42" s="261"/>
      <c r="E42" s="262" t="n">
        <f aca="true" t="array" ref="E42:E42">IF(AUTOEVENTO="Manual",ROUND(SUMPRODUCT((CÁLCULO!$M$15:$M$205=EVENTOS!$C42)*(OFFSET(CÁLCULO!$AQ$15:$AQ$205,0,E$13))),2),0)</f>
        <v>0</v>
      </c>
      <c r="F42" s="263" t="n">
        <f aca="true">IF(AUTOEVENTO="Manual",ROUND(SUMPRODUCT((CÁLCULO!$M$15:$M$205=EVENTOS!$C42)*(OFFSET(CÁLCULO!$AQ$15,0,1):OFFSET(CÁLCULO!$BR$205,0,-1))),2),0)</f>
        <v>0</v>
      </c>
      <c r="G42" s="264" t="str">
        <f aca="false">IF(AND(D42=0,F42&gt;0),"NOME",
 IF(AND(D42&lt;&gt;0,$F$14&gt;0,F42=0),"VALOR",
 IF(AND(Import.TipoArredondamento="TransfereGOV",$A42="F",LEN(D42)&gt;100),"Nome &gt;100","")))</f>
        <v/>
      </c>
      <c r="H42" s="262" t="n">
        <f aca="true" t="array" ref="H42:H42">IF(AUTOEVENTO="Manual",ROUND(SUMPRODUCT((CÁLCULO!$M$15:$M$205=EVENTOS!$C42)*(OFFSET(CÁLCULO!$AQ$15:$AQ$205,0,H$13))),2),0)</f>
        <v>0</v>
      </c>
      <c r="I42" s="262" t="n">
        <f aca="true" t="array" ref="I42:I42">IF(AUTOEVENTO="Manual",ROUND(SUMPRODUCT((CÁLCULO!$M$15:$M$205=EVENTOS!$C42)*(OFFSET(CÁLCULO!$AQ$15:$AQ$205,0,I$13))),2),0)</f>
        <v>0</v>
      </c>
      <c r="J42" s="262" t="n">
        <f aca="true" t="array" ref="J42:J42">IF(AUTOEVENTO="Manual",ROUND(SUMPRODUCT((CÁLCULO!$M$15:$M$205=EVENTOS!$C42)*(OFFSET(CÁLCULO!$AQ$15:$AQ$205,0,J$13))),2),0)</f>
        <v>0</v>
      </c>
      <c r="K42" s="262" t="n">
        <f aca="true" t="array" ref="K42:K42">IF(AUTOEVENTO="Manual",ROUND(SUMPRODUCT((CÁLCULO!$M$15:$M$205=EVENTOS!$C42)*(OFFSET(CÁLCULO!$AQ$15:$AQ$205,0,K$13))),2),0)</f>
        <v>0</v>
      </c>
      <c r="L42" s="262" t="n">
        <f aca="true" t="array" ref="L42:L42">IF(AUTOEVENTO="Manual",ROUND(SUMPRODUCT((CÁLCULO!$M$15:$M$205=EVENTOS!$C42)*(OFFSET(CÁLCULO!$AQ$15:$AQ$205,0,L$13))),2),0)</f>
        <v>0</v>
      </c>
      <c r="M42" s="262" t="n">
        <f aca="true" t="array" ref="M42:M42">IF(AUTOEVENTO="Manual",ROUND(SUMPRODUCT((CÁLCULO!$M$15:$M$205=EVENTOS!$C42)*(OFFSET(CÁLCULO!$AQ$15:$AQ$205,0,M$13))),2),0)</f>
        <v>0</v>
      </c>
      <c r="N42" s="262" t="n">
        <f aca="true" t="array" ref="N42:N42">IF(AUTOEVENTO="Manual",ROUND(SUMPRODUCT((CÁLCULO!$M$15:$M$205=EVENTOS!$C42)*(OFFSET(CÁLCULO!$AQ$15:$AQ$205,0,N$13))),2),0)</f>
        <v>0</v>
      </c>
      <c r="O42" s="262" t="n">
        <f aca="true" t="array" ref="O42:O42">IF(AUTOEVENTO="Manual",ROUND(SUMPRODUCT((CÁLCULO!$M$15:$M$205=EVENTOS!$C42)*(OFFSET(CÁLCULO!$AQ$15:$AQ$205,0,O$13))),2),0)</f>
        <v>0</v>
      </c>
      <c r="P42" s="262" t="n">
        <f aca="true" t="array" ref="P42:P42">IF(AUTOEVENTO="Manual",ROUND(SUMPRODUCT((CÁLCULO!$M$15:$M$205=EVENTOS!$C42)*(OFFSET(CÁLCULO!$AQ$15:$AQ$205,0,P$13))),2),0)</f>
        <v>0</v>
      </c>
      <c r="Q42" s="262" t="n">
        <f aca="true" t="array" ref="Q42:Q42">IF(AUTOEVENTO="Manual",ROUND(SUMPRODUCT((CÁLCULO!$M$15:$M$205=EVENTOS!$C42)*(OFFSET(CÁLCULO!$AQ$15:$AQ$205,0,Q$13))),2),0)</f>
        <v>0</v>
      </c>
      <c r="R42" s="262" t="n">
        <f aca="true" t="array" ref="R42:R42">IF(AUTOEVENTO="Manual",ROUND(SUMPRODUCT((CÁLCULO!$M$15:$M$205=EVENTOS!$C42)*(OFFSET(CÁLCULO!$AQ$15:$AQ$205,0,R$13))),2),0)</f>
        <v>0</v>
      </c>
      <c r="S42" s="262" t="n">
        <f aca="true" t="array" ref="S42:S42">IF(AUTOEVENTO="Manual",ROUND(SUMPRODUCT((CÁLCULO!$M$15:$M$205=EVENTOS!$C42)*(OFFSET(CÁLCULO!$AQ$15:$AQ$205,0,S$13))),2),0)</f>
        <v>0</v>
      </c>
      <c r="T42" s="262" t="n">
        <f aca="true" t="array" ref="T42:T42">IF(AUTOEVENTO="Manual",ROUND(SUMPRODUCT((CÁLCULO!$M$15:$M$205=EVENTOS!$C42)*(OFFSET(CÁLCULO!$AQ$15:$AQ$205,0,T$13))),2),0)</f>
        <v>0</v>
      </c>
      <c r="U42" s="262" t="n">
        <f aca="true" t="array" ref="U42:U42">IF(AUTOEVENTO="Manual",ROUND(SUMPRODUCT((CÁLCULO!$M$15:$M$205=EVENTOS!$C42)*(OFFSET(CÁLCULO!$AQ$15:$AQ$205,0,U$13))),2),0)</f>
        <v>0</v>
      </c>
      <c r="V42" s="262" t="n">
        <f aca="true" t="array" ref="V42:V42">IF(AUTOEVENTO="Manual",ROUND(SUMPRODUCT((CÁLCULO!$M$15:$M$205=EVENTOS!$C42)*(OFFSET(CÁLCULO!$AQ$15:$AQ$205,0,V$13))),2),0)</f>
        <v>0</v>
      </c>
      <c r="W42" s="262" t="n">
        <f aca="true" t="array" ref="W42:W42">IF(AUTOEVENTO="Manual",ROUND(SUMPRODUCT((CÁLCULO!$M$15:$M$205=EVENTOS!$C42)*(OFFSET(CÁLCULO!$AQ$15:$AQ$205,0,W$13))),2),0)</f>
        <v>0</v>
      </c>
      <c r="X42" s="262" t="n">
        <f aca="true" t="array" ref="X42:X42">IF(AUTOEVENTO="Manual",ROUND(SUMPRODUCT((CÁLCULO!$M$15:$M$205=EVENTOS!$C42)*(OFFSET(CÁLCULO!$AQ$15:$AQ$205,0,X$13))),2),0)</f>
        <v>0</v>
      </c>
      <c r="Y42" s="262" t="n">
        <f aca="true" t="array" ref="Y42:Y42">IF(AUTOEVENTO="Manual",ROUND(SUMPRODUCT((CÁLCULO!$M$15:$M$205=EVENTOS!$C42)*(OFFSET(CÁLCULO!$AQ$15:$AQ$205,0,Y$13))),2),0)</f>
        <v>0</v>
      </c>
      <c r="Z42" s="262" t="n">
        <f aca="true" t="array" ref="Z42:Z42">IF(AUTOEVENTO="Manual",ROUND(SUMPRODUCT((CÁLCULO!$M$15:$M$205=EVENTOS!$C42)*(OFFSET(CÁLCULO!$AQ$15:$AQ$205,0,Z$13))),2),0)</f>
        <v>0</v>
      </c>
      <c r="AA42" s="262" t="n">
        <f aca="true" t="array" ref="AA42:AA42">IF(AUTOEVENTO="Manual",ROUND(SUMPRODUCT((CÁLCULO!$M$15:$M$205=EVENTOS!$C42)*(OFFSET(CÁLCULO!$AQ$15:$AQ$205,0,AA$13))),2),0)</f>
        <v>0</v>
      </c>
      <c r="AB42" s="262" t="n">
        <f aca="true" t="array" ref="AB42:AB42">IF(AUTOEVENTO="Manual",ROUND(SUMPRODUCT((CÁLCULO!$M$15:$M$205=EVENTOS!$C42)*(OFFSET(CÁLCULO!$AQ$15:$AQ$205,0,AB$13))),2),0)</f>
        <v>0</v>
      </c>
      <c r="AC42" s="262" t="n">
        <f aca="true" t="array" ref="AC42:AC42">IF(AUTOEVENTO="Manual",ROUND(SUMPRODUCT((CÁLCULO!$M$15:$M$205=EVENTOS!$C42)*(OFFSET(CÁLCULO!$AQ$15:$AQ$205,0,AC$13))),2),0)</f>
        <v>0</v>
      </c>
      <c r="AD42" s="262" t="n">
        <f aca="true" t="array" ref="AD42:AD42">IF(AUTOEVENTO="Manual",ROUND(SUMPRODUCT((CÁLCULO!$M$15:$M$205=EVENTOS!$C42)*(OFFSET(CÁLCULO!$AQ$15:$AQ$205,0,AD$13))),2),0)</f>
        <v>0</v>
      </c>
      <c r="AE42" s="262" t="n">
        <f aca="true" t="array" ref="AE42:AE42">IF(AUTOEVENTO="Manual",ROUND(SUMPRODUCT((CÁLCULO!$M$15:$M$205=EVENTOS!$C42)*(OFFSET(CÁLCULO!$AQ$15:$AQ$205,0,AE$13))),2),0)</f>
        <v>0</v>
      </c>
      <c r="AF42" s="262" t="n">
        <f aca="true" t="array" ref="AF42:AF42">IF(AUTOEVENTO="Manual",ROUND(SUMPRODUCT((CÁLCULO!$M$15:$M$205=EVENTOS!$C42)*(OFFSET(CÁLCULO!$AQ$15:$AQ$205,0,AF$13))),2),0)</f>
        <v>0</v>
      </c>
      <c r="AG42" s="262" t="n">
        <f aca="true" t="array" ref="AG42:AG42">IF(AUTOEVENTO="Manual",ROUND(SUMPRODUCT((CÁLCULO!$M$15:$M$205=EVENTOS!$C42)*(OFFSET(CÁLCULO!$AQ$15:$AQ$205,0,AG$13))),2),0)</f>
        <v>0</v>
      </c>
      <c r="AH42" s="262" t="n">
        <f aca="true" t="array" ref="AH42:AH42">IF(AUTOEVENTO="Manual",ROUND(SUMPRODUCT((CÁLCULO!$M$15:$M$205=EVENTOS!$C42)*(OFFSET(CÁLCULO!$AQ$15:$AQ$205,0,AH$13))),2),0)</f>
        <v>0</v>
      </c>
      <c r="AI42" s="262" t="n">
        <f aca="true" t="array" ref="AI42:AI42">IF(AUTOEVENTO="Manual",ROUND(SUMPRODUCT((CÁLCULO!$M$15:$M$205=EVENTOS!$C42)*(OFFSET(CÁLCULO!$AQ$15:$AQ$205,0,AI$13))),2),0)</f>
        <v>0</v>
      </c>
    </row>
    <row r="43" customFormat="false" ht="12.75" hidden="false" customHeight="false" outlineLevel="0" collapsed="false">
      <c r="A43" s="259" t="str">
        <f aca="false">IF(D43="","","F")</f>
        <v/>
      </c>
      <c r="B43" s="1" t="str">
        <f aca="false">IF(OR(C43=" ",D43=""),"",CONCATENATE(C43,". ",D43))</f>
        <v/>
      </c>
      <c r="C43" s="260" t="str">
        <f aca="true" t="array" ref="C43:C43">IF(OR(ROW(C43)=ROW(EVENTOS.firstrow)+1,AND(OFFSET(C43,-1,0)&lt;&gt;" ",OFFSET(C43,-1,1)&lt;&gt;"")),OFFSET(C43,-1,0)+1," ")</f>
        <v> </v>
      </c>
      <c r="D43" s="261"/>
      <c r="E43" s="262" t="n">
        <f aca="true" t="array" ref="E43:E43">IF(AUTOEVENTO="Manual",ROUND(SUMPRODUCT((CÁLCULO!$M$15:$M$205=EVENTOS!$C43)*(OFFSET(CÁLCULO!$AQ$15:$AQ$205,0,E$13))),2),0)</f>
        <v>0</v>
      </c>
      <c r="F43" s="263" t="n">
        <f aca="true">IF(AUTOEVENTO="Manual",ROUND(SUMPRODUCT((CÁLCULO!$M$15:$M$205=EVENTOS!$C43)*(OFFSET(CÁLCULO!$AQ$15,0,1):OFFSET(CÁLCULO!$BR$205,0,-1))),2),0)</f>
        <v>0</v>
      </c>
      <c r="G43" s="264" t="str">
        <f aca="false">IF(AND(D43=0,F43&gt;0),"NOME",
 IF(AND(D43&lt;&gt;0,$F$14&gt;0,F43=0),"VALOR",
 IF(AND(Import.TipoArredondamento="TransfereGOV",$A43="F",LEN(D43)&gt;100),"Nome &gt;100","")))</f>
        <v/>
      </c>
      <c r="H43" s="262" t="n">
        <f aca="true" t="array" ref="H43:H43">IF(AUTOEVENTO="Manual",ROUND(SUMPRODUCT((CÁLCULO!$M$15:$M$205=EVENTOS!$C43)*(OFFSET(CÁLCULO!$AQ$15:$AQ$205,0,H$13))),2),0)</f>
        <v>0</v>
      </c>
      <c r="I43" s="262" t="n">
        <f aca="true" t="array" ref="I43:I43">IF(AUTOEVENTO="Manual",ROUND(SUMPRODUCT((CÁLCULO!$M$15:$M$205=EVENTOS!$C43)*(OFFSET(CÁLCULO!$AQ$15:$AQ$205,0,I$13))),2),0)</f>
        <v>0</v>
      </c>
      <c r="J43" s="262" t="n">
        <f aca="true" t="array" ref="J43:J43">IF(AUTOEVENTO="Manual",ROUND(SUMPRODUCT((CÁLCULO!$M$15:$M$205=EVENTOS!$C43)*(OFFSET(CÁLCULO!$AQ$15:$AQ$205,0,J$13))),2),0)</f>
        <v>0</v>
      </c>
      <c r="K43" s="262" t="n">
        <f aca="true" t="array" ref="K43:K43">IF(AUTOEVENTO="Manual",ROUND(SUMPRODUCT((CÁLCULO!$M$15:$M$205=EVENTOS!$C43)*(OFFSET(CÁLCULO!$AQ$15:$AQ$205,0,K$13))),2),0)</f>
        <v>0</v>
      </c>
      <c r="L43" s="262" t="n">
        <f aca="true" t="array" ref="L43:L43">IF(AUTOEVENTO="Manual",ROUND(SUMPRODUCT((CÁLCULO!$M$15:$M$205=EVENTOS!$C43)*(OFFSET(CÁLCULO!$AQ$15:$AQ$205,0,L$13))),2),0)</f>
        <v>0</v>
      </c>
      <c r="M43" s="262" t="n">
        <f aca="true" t="array" ref="M43:M43">IF(AUTOEVENTO="Manual",ROUND(SUMPRODUCT((CÁLCULO!$M$15:$M$205=EVENTOS!$C43)*(OFFSET(CÁLCULO!$AQ$15:$AQ$205,0,M$13))),2),0)</f>
        <v>0</v>
      </c>
      <c r="N43" s="262" t="n">
        <f aca="true" t="array" ref="N43:N43">IF(AUTOEVENTO="Manual",ROUND(SUMPRODUCT((CÁLCULO!$M$15:$M$205=EVENTOS!$C43)*(OFFSET(CÁLCULO!$AQ$15:$AQ$205,0,N$13))),2),0)</f>
        <v>0</v>
      </c>
      <c r="O43" s="262" t="n">
        <f aca="true" t="array" ref="O43:O43">IF(AUTOEVENTO="Manual",ROUND(SUMPRODUCT((CÁLCULO!$M$15:$M$205=EVENTOS!$C43)*(OFFSET(CÁLCULO!$AQ$15:$AQ$205,0,O$13))),2),0)</f>
        <v>0</v>
      </c>
      <c r="P43" s="262" t="n">
        <f aca="true" t="array" ref="P43:P43">IF(AUTOEVENTO="Manual",ROUND(SUMPRODUCT((CÁLCULO!$M$15:$M$205=EVENTOS!$C43)*(OFFSET(CÁLCULO!$AQ$15:$AQ$205,0,P$13))),2),0)</f>
        <v>0</v>
      </c>
      <c r="Q43" s="262" t="n">
        <f aca="true" t="array" ref="Q43:Q43">IF(AUTOEVENTO="Manual",ROUND(SUMPRODUCT((CÁLCULO!$M$15:$M$205=EVENTOS!$C43)*(OFFSET(CÁLCULO!$AQ$15:$AQ$205,0,Q$13))),2),0)</f>
        <v>0</v>
      </c>
      <c r="R43" s="262" t="n">
        <f aca="true" t="array" ref="R43:R43">IF(AUTOEVENTO="Manual",ROUND(SUMPRODUCT((CÁLCULO!$M$15:$M$205=EVENTOS!$C43)*(OFFSET(CÁLCULO!$AQ$15:$AQ$205,0,R$13))),2),0)</f>
        <v>0</v>
      </c>
      <c r="S43" s="262" t="n">
        <f aca="true" t="array" ref="S43:S43">IF(AUTOEVENTO="Manual",ROUND(SUMPRODUCT((CÁLCULO!$M$15:$M$205=EVENTOS!$C43)*(OFFSET(CÁLCULO!$AQ$15:$AQ$205,0,S$13))),2),0)</f>
        <v>0</v>
      </c>
      <c r="T43" s="262" t="n">
        <f aca="true" t="array" ref="T43:T43">IF(AUTOEVENTO="Manual",ROUND(SUMPRODUCT((CÁLCULO!$M$15:$M$205=EVENTOS!$C43)*(OFFSET(CÁLCULO!$AQ$15:$AQ$205,0,T$13))),2),0)</f>
        <v>0</v>
      </c>
      <c r="U43" s="262" t="n">
        <f aca="true" t="array" ref="U43:U43">IF(AUTOEVENTO="Manual",ROUND(SUMPRODUCT((CÁLCULO!$M$15:$M$205=EVENTOS!$C43)*(OFFSET(CÁLCULO!$AQ$15:$AQ$205,0,U$13))),2),0)</f>
        <v>0</v>
      </c>
      <c r="V43" s="262" t="n">
        <f aca="true" t="array" ref="V43:V43">IF(AUTOEVENTO="Manual",ROUND(SUMPRODUCT((CÁLCULO!$M$15:$M$205=EVENTOS!$C43)*(OFFSET(CÁLCULO!$AQ$15:$AQ$205,0,V$13))),2),0)</f>
        <v>0</v>
      </c>
      <c r="W43" s="262" t="n">
        <f aca="true" t="array" ref="W43:W43">IF(AUTOEVENTO="Manual",ROUND(SUMPRODUCT((CÁLCULO!$M$15:$M$205=EVENTOS!$C43)*(OFFSET(CÁLCULO!$AQ$15:$AQ$205,0,W$13))),2),0)</f>
        <v>0</v>
      </c>
      <c r="X43" s="262" t="n">
        <f aca="true" t="array" ref="X43:X43">IF(AUTOEVENTO="Manual",ROUND(SUMPRODUCT((CÁLCULO!$M$15:$M$205=EVENTOS!$C43)*(OFFSET(CÁLCULO!$AQ$15:$AQ$205,0,X$13))),2),0)</f>
        <v>0</v>
      </c>
      <c r="Y43" s="262" t="n">
        <f aca="true" t="array" ref="Y43:Y43">IF(AUTOEVENTO="Manual",ROUND(SUMPRODUCT((CÁLCULO!$M$15:$M$205=EVENTOS!$C43)*(OFFSET(CÁLCULO!$AQ$15:$AQ$205,0,Y$13))),2),0)</f>
        <v>0</v>
      </c>
      <c r="Z43" s="262" t="n">
        <f aca="true" t="array" ref="Z43:Z43">IF(AUTOEVENTO="Manual",ROUND(SUMPRODUCT((CÁLCULO!$M$15:$M$205=EVENTOS!$C43)*(OFFSET(CÁLCULO!$AQ$15:$AQ$205,0,Z$13))),2),0)</f>
        <v>0</v>
      </c>
      <c r="AA43" s="262" t="n">
        <f aca="true" t="array" ref="AA43:AA43">IF(AUTOEVENTO="Manual",ROUND(SUMPRODUCT((CÁLCULO!$M$15:$M$205=EVENTOS!$C43)*(OFFSET(CÁLCULO!$AQ$15:$AQ$205,0,AA$13))),2),0)</f>
        <v>0</v>
      </c>
      <c r="AB43" s="262" t="n">
        <f aca="true" t="array" ref="AB43:AB43">IF(AUTOEVENTO="Manual",ROUND(SUMPRODUCT((CÁLCULO!$M$15:$M$205=EVENTOS!$C43)*(OFFSET(CÁLCULO!$AQ$15:$AQ$205,0,AB$13))),2),0)</f>
        <v>0</v>
      </c>
      <c r="AC43" s="262" t="n">
        <f aca="true" t="array" ref="AC43:AC43">IF(AUTOEVENTO="Manual",ROUND(SUMPRODUCT((CÁLCULO!$M$15:$M$205=EVENTOS!$C43)*(OFFSET(CÁLCULO!$AQ$15:$AQ$205,0,AC$13))),2),0)</f>
        <v>0</v>
      </c>
      <c r="AD43" s="262" t="n">
        <f aca="true" t="array" ref="AD43:AD43">IF(AUTOEVENTO="Manual",ROUND(SUMPRODUCT((CÁLCULO!$M$15:$M$205=EVENTOS!$C43)*(OFFSET(CÁLCULO!$AQ$15:$AQ$205,0,AD$13))),2),0)</f>
        <v>0</v>
      </c>
      <c r="AE43" s="262" t="n">
        <f aca="true" t="array" ref="AE43:AE43">IF(AUTOEVENTO="Manual",ROUND(SUMPRODUCT((CÁLCULO!$M$15:$M$205=EVENTOS!$C43)*(OFFSET(CÁLCULO!$AQ$15:$AQ$205,0,AE$13))),2),0)</f>
        <v>0</v>
      </c>
      <c r="AF43" s="262" t="n">
        <f aca="true" t="array" ref="AF43:AF43">IF(AUTOEVENTO="Manual",ROUND(SUMPRODUCT((CÁLCULO!$M$15:$M$205=EVENTOS!$C43)*(OFFSET(CÁLCULO!$AQ$15:$AQ$205,0,AF$13))),2),0)</f>
        <v>0</v>
      </c>
      <c r="AG43" s="262" t="n">
        <f aca="true" t="array" ref="AG43:AG43">IF(AUTOEVENTO="Manual",ROUND(SUMPRODUCT((CÁLCULO!$M$15:$M$205=EVENTOS!$C43)*(OFFSET(CÁLCULO!$AQ$15:$AQ$205,0,AG$13))),2),0)</f>
        <v>0</v>
      </c>
      <c r="AH43" s="262" t="n">
        <f aca="true" t="array" ref="AH43:AH43">IF(AUTOEVENTO="Manual",ROUND(SUMPRODUCT((CÁLCULO!$M$15:$M$205=EVENTOS!$C43)*(OFFSET(CÁLCULO!$AQ$15:$AQ$205,0,AH$13))),2),0)</f>
        <v>0</v>
      </c>
      <c r="AI43" s="262" t="n">
        <f aca="true" t="array" ref="AI43:AI43">IF(AUTOEVENTO="Manual",ROUND(SUMPRODUCT((CÁLCULO!$M$15:$M$205=EVENTOS!$C43)*(OFFSET(CÁLCULO!$AQ$15:$AQ$205,0,AI$13))),2),0)</f>
        <v>0</v>
      </c>
    </row>
    <row r="44" customFormat="false" ht="12.75" hidden="false" customHeight="false" outlineLevel="0" collapsed="false">
      <c r="A44" s="259" t="str">
        <f aca="false">IF(D44="","","F")</f>
        <v/>
      </c>
      <c r="B44" s="1" t="str">
        <f aca="false">IF(OR(C44=" ",D44=""),"",CONCATENATE(C44,". ",D44))</f>
        <v/>
      </c>
      <c r="C44" s="260" t="str">
        <f aca="true" t="array" ref="C44:C44">IF(OR(ROW(C44)=ROW(EVENTOS.firstrow)+1,AND(OFFSET(C44,-1,0)&lt;&gt;" ",OFFSET(C44,-1,1)&lt;&gt;"")),OFFSET(C44,-1,0)+1," ")</f>
        <v> </v>
      </c>
      <c r="D44" s="261"/>
      <c r="E44" s="262" t="n">
        <f aca="true" t="array" ref="E44:E44">IF(AUTOEVENTO="Manual",ROUND(SUMPRODUCT((CÁLCULO!$M$15:$M$205=EVENTOS!$C44)*(OFFSET(CÁLCULO!$AQ$15:$AQ$205,0,E$13))),2),0)</f>
        <v>0</v>
      </c>
      <c r="F44" s="263" t="n">
        <f aca="true">IF(AUTOEVENTO="Manual",ROUND(SUMPRODUCT((CÁLCULO!$M$15:$M$205=EVENTOS!$C44)*(OFFSET(CÁLCULO!$AQ$15,0,1):OFFSET(CÁLCULO!$BR$205,0,-1))),2),0)</f>
        <v>0</v>
      </c>
      <c r="G44" s="264" t="str">
        <f aca="false">IF(AND(D44=0,F44&gt;0),"NOME",
 IF(AND(D44&lt;&gt;0,$F$14&gt;0,F44=0),"VALOR",
 IF(AND(Import.TipoArredondamento="TransfereGOV",$A44="F",LEN(D44)&gt;100),"Nome &gt;100","")))</f>
        <v/>
      </c>
      <c r="H44" s="262" t="n">
        <f aca="true" t="array" ref="H44:H44">IF(AUTOEVENTO="Manual",ROUND(SUMPRODUCT((CÁLCULO!$M$15:$M$205=EVENTOS!$C44)*(OFFSET(CÁLCULO!$AQ$15:$AQ$205,0,H$13))),2),0)</f>
        <v>0</v>
      </c>
      <c r="I44" s="262" t="n">
        <f aca="true" t="array" ref="I44:I44">IF(AUTOEVENTO="Manual",ROUND(SUMPRODUCT((CÁLCULO!$M$15:$M$205=EVENTOS!$C44)*(OFFSET(CÁLCULO!$AQ$15:$AQ$205,0,I$13))),2),0)</f>
        <v>0</v>
      </c>
      <c r="J44" s="262" t="n">
        <f aca="true" t="array" ref="J44:J44">IF(AUTOEVENTO="Manual",ROUND(SUMPRODUCT((CÁLCULO!$M$15:$M$205=EVENTOS!$C44)*(OFFSET(CÁLCULO!$AQ$15:$AQ$205,0,J$13))),2),0)</f>
        <v>0</v>
      </c>
      <c r="K44" s="262" t="n">
        <f aca="true" t="array" ref="K44:K44">IF(AUTOEVENTO="Manual",ROUND(SUMPRODUCT((CÁLCULO!$M$15:$M$205=EVENTOS!$C44)*(OFFSET(CÁLCULO!$AQ$15:$AQ$205,0,K$13))),2),0)</f>
        <v>0</v>
      </c>
      <c r="L44" s="262" t="n">
        <f aca="true" t="array" ref="L44:L44">IF(AUTOEVENTO="Manual",ROUND(SUMPRODUCT((CÁLCULO!$M$15:$M$205=EVENTOS!$C44)*(OFFSET(CÁLCULO!$AQ$15:$AQ$205,0,L$13))),2),0)</f>
        <v>0</v>
      </c>
      <c r="M44" s="262" t="n">
        <f aca="true" t="array" ref="M44:M44">IF(AUTOEVENTO="Manual",ROUND(SUMPRODUCT((CÁLCULO!$M$15:$M$205=EVENTOS!$C44)*(OFFSET(CÁLCULO!$AQ$15:$AQ$205,0,M$13))),2),0)</f>
        <v>0</v>
      </c>
      <c r="N44" s="262" t="n">
        <f aca="true" t="array" ref="N44:N44">IF(AUTOEVENTO="Manual",ROUND(SUMPRODUCT((CÁLCULO!$M$15:$M$205=EVENTOS!$C44)*(OFFSET(CÁLCULO!$AQ$15:$AQ$205,0,N$13))),2),0)</f>
        <v>0</v>
      </c>
      <c r="O44" s="262" t="n">
        <f aca="true" t="array" ref="O44:O44">IF(AUTOEVENTO="Manual",ROUND(SUMPRODUCT((CÁLCULO!$M$15:$M$205=EVENTOS!$C44)*(OFFSET(CÁLCULO!$AQ$15:$AQ$205,0,O$13))),2),0)</f>
        <v>0</v>
      </c>
      <c r="P44" s="262" t="n">
        <f aca="true" t="array" ref="P44:P44">IF(AUTOEVENTO="Manual",ROUND(SUMPRODUCT((CÁLCULO!$M$15:$M$205=EVENTOS!$C44)*(OFFSET(CÁLCULO!$AQ$15:$AQ$205,0,P$13))),2),0)</f>
        <v>0</v>
      </c>
      <c r="Q44" s="262" t="n">
        <f aca="true" t="array" ref="Q44:Q44">IF(AUTOEVENTO="Manual",ROUND(SUMPRODUCT((CÁLCULO!$M$15:$M$205=EVENTOS!$C44)*(OFFSET(CÁLCULO!$AQ$15:$AQ$205,0,Q$13))),2),0)</f>
        <v>0</v>
      </c>
      <c r="R44" s="262" t="n">
        <f aca="true" t="array" ref="R44:R44">IF(AUTOEVENTO="Manual",ROUND(SUMPRODUCT((CÁLCULO!$M$15:$M$205=EVENTOS!$C44)*(OFFSET(CÁLCULO!$AQ$15:$AQ$205,0,R$13))),2),0)</f>
        <v>0</v>
      </c>
      <c r="S44" s="262" t="n">
        <f aca="true" t="array" ref="S44:S44">IF(AUTOEVENTO="Manual",ROUND(SUMPRODUCT((CÁLCULO!$M$15:$M$205=EVENTOS!$C44)*(OFFSET(CÁLCULO!$AQ$15:$AQ$205,0,S$13))),2),0)</f>
        <v>0</v>
      </c>
      <c r="T44" s="262" t="n">
        <f aca="true" t="array" ref="T44:T44">IF(AUTOEVENTO="Manual",ROUND(SUMPRODUCT((CÁLCULO!$M$15:$M$205=EVENTOS!$C44)*(OFFSET(CÁLCULO!$AQ$15:$AQ$205,0,T$13))),2),0)</f>
        <v>0</v>
      </c>
      <c r="U44" s="262" t="n">
        <f aca="true" t="array" ref="U44:U44">IF(AUTOEVENTO="Manual",ROUND(SUMPRODUCT((CÁLCULO!$M$15:$M$205=EVENTOS!$C44)*(OFFSET(CÁLCULO!$AQ$15:$AQ$205,0,U$13))),2),0)</f>
        <v>0</v>
      </c>
      <c r="V44" s="262" t="n">
        <f aca="true" t="array" ref="V44:V44">IF(AUTOEVENTO="Manual",ROUND(SUMPRODUCT((CÁLCULO!$M$15:$M$205=EVENTOS!$C44)*(OFFSET(CÁLCULO!$AQ$15:$AQ$205,0,V$13))),2),0)</f>
        <v>0</v>
      </c>
      <c r="W44" s="262" t="n">
        <f aca="true" t="array" ref="W44:W44">IF(AUTOEVENTO="Manual",ROUND(SUMPRODUCT((CÁLCULO!$M$15:$M$205=EVENTOS!$C44)*(OFFSET(CÁLCULO!$AQ$15:$AQ$205,0,W$13))),2),0)</f>
        <v>0</v>
      </c>
      <c r="X44" s="262" t="n">
        <f aca="true" t="array" ref="X44:X44">IF(AUTOEVENTO="Manual",ROUND(SUMPRODUCT((CÁLCULO!$M$15:$M$205=EVENTOS!$C44)*(OFFSET(CÁLCULO!$AQ$15:$AQ$205,0,X$13))),2),0)</f>
        <v>0</v>
      </c>
      <c r="Y44" s="262" t="n">
        <f aca="true" t="array" ref="Y44:Y44">IF(AUTOEVENTO="Manual",ROUND(SUMPRODUCT((CÁLCULO!$M$15:$M$205=EVENTOS!$C44)*(OFFSET(CÁLCULO!$AQ$15:$AQ$205,0,Y$13))),2),0)</f>
        <v>0</v>
      </c>
      <c r="Z44" s="262" t="n">
        <f aca="true" t="array" ref="Z44:Z44">IF(AUTOEVENTO="Manual",ROUND(SUMPRODUCT((CÁLCULO!$M$15:$M$205=EVENTOS!$C44)*(OFFSET(CÁLCULO!$AQ$15:$AQ$205,0,Z$13))),2),0)</f>
        <v>0</v>
      </c>
      <c r="AA44" s="262" t="n">
        <f aca="true" t="array" ref="AA44:AA44">IF(AUTOEVENTO="Manual",ROUND(SUMPRODUCT((CÁLCULO!$M$15:$M$205=EVENTOS!$C44)*(OFFSET(CÁLCULO!$AQ$15:$AQ$205,0,AA$13))),2),0)</f>
        <v>0</v>
      </c>
      <c r="AB44" s="262" t="n">
        <f aca="true" t="array" ref="AB44:AB44">IF(AUTOEVENTO="Manual",ROUND(SUMPRODUCT((CÁLCULO!$M$15:$M$205=EVENTOS!$C44)*(OFFSET(CÁLCULO!$AQ$15:$AQ$205,0,AB$13))),2),0)</f>
        <v>0</v>
      </c>
      <c r="AC44" s="262" t="n">
        <f aca="true" t="array" ref="AC44:AC44">IF(AUTOEVENTO="Manual",ROUND(SUMPRODUCT((CÁLCULO!$M$15:$M$205=EVENTOS!$C44)*(OFFSET(CÁLCULO!$AQ$15:$AQ$205,0,AC$13))),2),0)</f>
        <v>0</v>
      </c>
      <c r="AD44" s="262" t="n">
        <f aca="true" t="array" ref="AD44:AD44">IF(AUTOEVENTO="Manual",ROUND(SUMPRODUCT((CÁLCULO!$M$15:$M$205=EVENTOS!$C44)*(OFFSET(CÁLCULO!$AQ$15:$AQ$205,0,AD$13))),2),0)</f>
        <v>0</v>
      </c>
      <c r="AE44" s="262" t="n">
        <f aca="true" t="array" ref="AE44:AE44">IF(AUTOEVENTO="Manual",ROUND(SUMPRODUCT((CÁLCULO!$M$15:$M$205=EVENTOS!$C44)*(OFFSET(CÁLCULO!$AQ$15:$AQ$205,0,AE$13))),2),0)</f>
        <v>0</v>
      </c>
      <c r="AF44" s="262" t="n">
        <f aca="true" t="array" ref="AF44:AF44">IF(AUTOEVENTO="Manual",ROUND(SUMPRODUCT((CÁLCULO!$M$15:$M$205=EVENTOS!$C44)*(OFFSET(CÁLCULO!$AQ$15:$AQ$205,0,AF$13))),2),0)</f>
        <v>0</v>
      </c>
      <c r="AG44" s="262" t="n">
        <f aca="true" t="array" ref="AG44:AG44">IF(AUTOEVENTO="Manual",ROUND(SUMPRODUCT((CÁLCULO!$M$15:$M$205=EVENTOS!$C44)*(OFFSET(CÁLCULO!$AQ$15:$AQ$205,0,AG$13))),2),0)</f>
        <v>0</v>
      </c>
      <c r="AH44" s="262" t="n">
        <f aca="true" t="array" ref="AH44:AH44">IF(AUTOEVENTO="Manual",ROUND(SUMPRODUCT((CÁLCULO!$M$15:$M$205=EVENTOS!$C44)*(OFFSET(CÁLCULO!$AQ$15:$AQ$205,0,AH$13))),2),0)</f>
        <v>0</v>
      </c>
      <c r="AI44" s="262" t="n">
        <f aca="true" t="array" ref="AI44:AI44">IF(AUTOEVENTO="Manual",ROUND(SUMPRODUCT((CÁLCULO!$M$15:$M$205=EVENTOS!$C44)*(OFFSET(CÁLCULO!$AQ$15:$AQ$205,0,AI$13))),2),0)</f>
        <v>0</v>
      </c>
    </row>
    <row r="45" customFormat="false" ht="12.75" hidden="false" customHeight="false" outlineLevel="0" collapsed="false">
      <c r="A45" s="259" t="str">
        <f aca="false">IF(D45="","","F")</f>
        <v/>
      </c>
      <c r="B45" s="1" t="str">
        <f aca="false">IF(OR(C45=" ",D45=""),"",CONCATENATE(C45,". ",D45))</f>
        <v/>
      </c>
      <c r="C45" s="260" t="str">
        <f aca="true" t="array" ref="C45:C45">IF(OR(ROW(C45)=ROW(EVENTOS.firstrow)+1,AND(OFFSET(C45,-1,0)&lt;&gt;" ",OFFSET(C45,-1,1)&lt;&gt;"")),OFFSET(C45,-1,0)+1," ")</f>
        <v> </v>
      </c>
      <c r="D45" s="261"/>
      <c r="E45" s="262" t="n">
        <f aca="true" t="array" ref="E45:E45">IF(AUTOEVENTO="Manual",ROUND(SUMPRODUCT((CÁLCULO!$M$15:$M$205=EVENTOS!$C45)*(OFFSET(CÁLCULO!$AQ$15:$AQ$205,0,E$13))),2),0)</f>
        <v>0</v>
      </c>
      <c r="F45" s="263" t="n">
        <f aca="true">IF(AUTOEVENTO="Manual",ROUND(SUMPRODUCT((CÁLCULO!$M$15:$M$205=EVENTOS!$C45)*(OFFSET(CÁLCULO!$AQ$15,0,1):OFFSET(CÁLCULO!$BR$205,0,-1))),2),0)</f>
        <v>0</v>
      </c>
      <c r="G45" s="264" t="str">
        <f aca="false">IF(AND(D45=0,F45&gt;0),"NOME",
 IF(AND(D45&lt;&gt;0,$F$14&gt;0,F45=0),"VALOR",
 IF(AND(Import.TipoArredondamento="TransfereGOV",$A45="F",LEN(D45)&gt;100),"Nome &gt;100","")))</f>
        <v/>
      </c>
      <c r="H45" s="262" t="n">
        <f aca="true" t="array" ref="H45:H45">IF(AUTOEVENTO="Manual",ROUND(SUMPRODUCT((CÁLCULO!$M$15:$M$205=EVENTOS!$C45)*(OFFSET(CÁLCULO!$AQ$15:$AQ$205,0,H$13))),2),0)</f>
        <v>0</v>
      </c>
      <c r="I45" s="262" t="n">
        <f aca="true" t="array" ref="I45:I45">IF(AUTOEVENTO="Manual",ROUND(SUMPRODUCT((CÁLCULO!$M$15:$M$205=EVENTOS!$C45)*(OFFSET(CÁLCULO!$AQ$15:$AQ$205,0,I$13))),2),0)</f>
        <v>0</v>
      </c>
      <c r="J45" s="262" t="n">
        <f aca="true" t="array" ref="J45:J45">IF(AUTOEVENTO="Manual",ROUND(SUMPRODUCT((CÁLCULO!$M$15:$M$205=EVENTOS!$C45)*(OFFSET(CÁLCULO!$AQ$15:$AQ$205,0,J$13))),2),0)</f>
        <v>0</v>
      </c>
      <c r="K45" s="262" t="n">
        <f aca="true" t="array" ref="K45:K45">IF(AUTOEVENTO="Manual",ROUND(SUMPRODUCT((CÁLCULO!$M$15:$M$205=EVENTOS!$C45)*(OFFSET(CÁLCULO!$AQ$15:$AQ$205,0,K$13))),2),0)</f>
        <v>0</v>
      </c>
      <c r="L45" s="262" t="n">
        <f aca="true" t="array" ref="L45:L45">IF(AUTOEVENTO="Manual",ROUND(SUMPRODUCT((CÁLCULO!$M$15:$M$205=EVENTOS!$C45)*(OFFSET(CÁLCULO!$AQ$15:$AQ$205,0,L$13))),2),0)</f>
        <v>0</v>
      </c>
      <c r="M45" s="262" t="n">
        <f aca="true" t="array" ref="M45:M45">IF(AUTOEVENTO="Manual",ROUND(SUMPRODUCT((CÁLCULO!$M$15:$M$205=EVENTOS!$C45)*(OFFSET(CÁLCULO!$AQ$15:$AQ$205,0,M$13))),2),0)</f>
        <v>0</v>
      </c>
      <c r="N45" s="262" t="n">
        <f aca="true" t="array" ref="N45:N45">IF(AUTOEVENTO="Manual",ROUND(SUMPRODUCT((CÁLCULO!$M$15:$M$205=EVENTOS!$C45)*(OFFSET(CÁLCULO!$AQ$15:$AQ$205,0,N$13))),2),0)</f>
        <v>0</v>
      </c>
      <c r="O45" s="262" t="n">
        <f aca="true" t="array" ref="O45:O45">IF(AUTOEVENTO="Manual",ROUND(SUMPRODUCT((CÁLCULO!$M$15:$M$205=EVENTOS!$C45)*(OFFSET(CÁLCULO!$AQ$15:$AQ$205,0,O$13))),2),0)</f>
        <v>0</v>
      </c>
      <c r="P45" s="262" t="n">
        <f aca="true" t="array" ref="P45:P45">IF(AUTOEVENTO="Manual",ROUND(SUMPRODUCT((CÁLCULO!$M$15:$M$205=EVENTOS!$C45)*(OFFSET(CÁLCULO!$AQ$15:$AQ$205,0,P$13))),2),0)</f>
        <v>0</v>
      </c>
      <c r="Q45" s="262" t="n">
        <f aca="true" t="array" ref="Q45:Q45">IF(AUTOEVENTO="Manual",ROUND(SUMPRODUCT((CÁLCULO!$M$15:$M$205=EVENTOS!$C45)*(OFFSET(CÁLCULO!$AQ$15:$AQ$205,0,Q$13))),2),0)</f>
        <v>0</v>
      </c>
      <c r="R45" s="262" t="n">
        <f aca="true" t="array" ref="R45:R45">IF(AUTOEVENTO="Manual",ROUND(SUMPRODUCT((CÁLCULO!$M$15:$M$205=EVENTOS!$C45)*(OFFSET(CÁLCULO!$AQ$15:$AQ$205,0,R$13))),2),0)</f>
        <v>0</v>
      </c>
      <c r="S45" s="262" t="n">
        <f aca="true" t="array" ref="S45:S45">IF(AUTOEVENTO="Manual",ROUND(SUMPRODUCT((CÁLCULO!$M$15:$M$205=EVENTOS!$C45)*(OFFSET(CÁLCULO!$AQ$15:$AQ$205,0,S$13))),2),0)</f>
        <v>0</v>
      </c>
      <c r="T45" s="262" t="n">
        <f aca="true" t="array" ref="T45:T45">IF(AUTOEVENTO="Manual",ROUND(SUMPRODUCT((CÁLCULO!$M$15:$M$205=EVENTOS!$C45)*(OFFSET(CÁLCULO!$AQ$15:$AQ$205,0,T$13))),2),0)</f>
        <v>0</v>
      </c>
      <c r="U45" s="262" t="n">
        <f aca="true" t="array" ref="U45:U45">IF(AUTOEVENTO="Manual",ROUND(SUMPRODUCT((CÁLCULO!$M$15:$M$205=EVENTOS!$C45)*(OFFSET(CÁLCULO!$AQ$15:$AQ$205,0,U$13))),2),0)</f>
        <v>0</v>
      </c>
      <c r="V45" s="262" t="n">
        <f aca="true" t="array" ref="V45:V45">IF(AUTOEVENTO="Manual",ROUND(SUMPRODUCT((CÁLCULO!$M$15:$M$205=EVENTOS!$C45)*(OFFSET(CÁLCULO!$AQ$15:$AQ$205,0,V$13))),2),0)</f>
        <v>0</v>
      </c>
      <c r="W45" s="262" t="n">
        <f aca="true" t="array" ref="W45:W45">IF(AUTOEVENTO="Manual",ROUND(SUMPRODUCT((CÁLCULO!$M$15:$M$205=EVENTOS!$C45)*(OFFSET(CÁLCULO!$AQ$15:$AQ$205,0,W$13))),2),0)</f>
        <v>0</v>
      </c>
      <c r="X45" s="262" t="n">
        <f aca="true" t="array" ref="X45:X45">IF(AUTOEVENTO="Manual",ROUND(SUMPRODUCT((CÁLCULO!$M$15:$M$205=EVENTOS!$C45)*(OFFSET(CÁLCULO!$AQ$15:$AQ$205,0,X$13))),2),0)</f>
        <v>0</v>
      </c>
      <c r="Y45" s="262" t="n">
        <f aca="true" t="array" ref="Y45:Y45">IF(AUTOEVENTO="Manual",ROUND(SUMPRODUCT((CÁLCULO!$M$15:$M$205=EVENTOS!$C45)*(OFFSET(CÁLCULO!$AQ$15:$AQ$205,0,Y$13))),2),0)</f>
        <v>0</v>
      </c>
      <c r="Z45" s="262" t="n">
        <f aca="true" t="array" ref="Z45:Z45">IF(AUTOEVENTO="Manual",ROUND(SUMPRODUCT((CÁLCULO!$M$15:$M$205=EVENTOS!$C45)*(OFFSET(CÁLCULO!$AQ$15:$AQ$205,0,Z$13))),2),0)</f>
        <v>0</v>
      </c>
      <c r="AA45" s="262" t="n">
        <f aca="true" t="array" ref="AA45:AA45">IF(AUTOEVENTO="Manual",ROUND(SUMPRODUCT((CÁLCULO!$M$15:$M$205=EVENTOS!$C45)*(OFFSET(CÁLCULO!$AQ$15:$AQ$205,0,AA$13))),2),0)</f>
        <v>0</v>
      </c>
      <c r="AB45" s="262" t="n">
        <f aca="true" t="array" ref="AB45:AB45">IF(AUTOEVENTO="Manual",ROUND(SUMPRODUCT((CÁLCULO!$M$15:$M$205=EVENTOS!$C45)*(OFFSET(CÁLCULO!$AQ$15:$AQ$205,0,AB$13))),2),0)</f>
        <v>0</v>
      </c>
      <c r="AC45" s="262" t="n">
        <f aca="true" t="array" ref="AC45:AC45">IF(AUTOEVENTO="Manual",ROUND(SUMPRODUCT((CÁLCULO!$M$15:$M$205=EVENTOS!$C45)*(OFFSET(CÁLCULO!$AQ$15:$AQ$205,0,AC$13))),2),0)</f>
        <v>0</v>
      </c>
      <c r="AD45" s="262" t="n">
        <f aca="true" t="array" ref="AD45:AD45">IF(AUTOEVENTO="Manual",ROUND(SUMPRODUCT((CÁLCULO!$M$15:$M$205=EVENTOS!$C45)*(OFFSET(CÁLCULO!$AQ$15:$AQ$205,0,AD$13))),2),0)</f>
        <v>0</v>
      </c>
      <c r="AE45" s="262" t="n">
        <f aca="true" t="array" ref="AE45:AE45">IF(AUTOEVENTO="Manual",ROUND(SUMPRODUCT((CÁLCULO!$M$15:$M$205=EVENTOS!$C45)*(OFFSET(CÁLCULO!$AQ$15:$AQ$205,0,AE$13))),2),0)</f>
        <v>0</v>
      </c>
      <c r="AF45" s="262" t="n">
        <f aca="true" t="array" ref="AF45:AF45">IF(AUTOEVENTO="Manual",ROUND(SUMPRODUCT((CÁLCULO!$M$15:$M$205=EVENTOS!$C45)*(OFFSET(CÁLCULO!$AQ$15:$AQ$205,0,AF$13))),2),0)</f>
        <v>0</v>
      </c>
      <c r="AG45" s="262" t="n">
        <f aca="true" t="array" ref="AG45:AG45">IF(AUTOEVENTO="Manual",ROUND(SUMPRODUCT((CÁLCULO!$M$15:$M$205=EVENTOS!$C45)*(OFFSET(CÁLCULO!$AQ$15:$AQ$205,0,AG$13))),2),0)</f>
        <v>0</v>
      </c>
      <c r="AH45" s="262" t="n">
        <f aca="true" t="array" ref="AH45:AH45">IF(AUTOEVENTO="Manual",ROUND(SUMPRODUCT((CÁLCULO!$M$15:$M$205=EVENTOS!$C45)*(OFFSET(CÁLCULO!$AQ$15:$AQ$205,0,AH$13))),2),0)</f>
        <v>0</v>
      </c>
      <c r="AI45" s="262" t="n">
        <f aca="true" t="array" ref="AI45:AI45">IF(AUTOEVENTO="Manual",ROUND(SUMPRODUCT((CÁLCULO!$M$15:$M$205=EVENTOS!$C45)*(OFFSET(CÁLCULO!$AQ$15:$AQ$205,0,AI$13))),2),0)</f>
        <v>0</v>
      </c>
    </row>
    <row r="46" customFormat="false" ht="12.75" hidden="false" customHeight="false" outlineLevel="0" collapsed="false">
      <c r="A46" s="259" t="str">
        <f aca="false">IF(D46="","","F")</f>
        <v/>
      </c>
      <c r="B46" s="1" t="str">
        <f aca="false">IF(OR(C46=" ",D46=""),"",CONCATENATE(C46,". ",D46))</f>
        <v/>
      </c>
      <c r="C46" s="260" t="str">
        <f aca="true" t="array" ref="C46:C46">IF(OR(ROW(C46)=ROW(EVENTOS.firstrow)+1,AND(OFFSET(C46,-1,0)&lt;&gt;" ",OFFSET(C46,-1,1)&lt;&gt;"")),OFFSET(C46,-1,0)+1," ")</f>
        <v> </v>
      </c>
      <c r="D46" s="261"/>
      <c r="E46" s="262" t="n">
        <f aca="true" t="array" ref="E46:E46">IF(AUTOEVENTO="Manual",ROUND(SUMPRODUCT((CÁLCULO!$M$15:$M$205=EVENTOS!$C46)*(OFFSET(CÁLCULO!$AQ$15:$AQ$205,0,E$13))),2),0)</f>
        <v>0</v>
      </c>
      <c r="F46" s="263" t="n">
        <f aca="true">IF(AUTOEVENTO="Manual",ROUND(SUMPRODUCT((CÁLCULO!$M$15:$M$205=EVENTOS!$C46)*(OFFSET(CÁLCULO!$AQ$15,0,1):OFFSET(CÁLCULO!$BR$205,0,-1))),2),0)</f>
        <v>0</v>
      </c>
      <c r="G46" s="264" t="str">
        <f aca="false">IF(AND(D46=0,F46&gt;0),"NOME",
 IF(AND(D46&lt;&gt;0,$F$14&gt;0,F46=0),"VALOR",
 IF(AND(Import.TipoArredondamento="TransfereGOV",$A46="F",LEN(D46)&gt;100),"Nome &gt;100","")))</f>
        <v/>
      </c>
      <c r="H46" s="262" t="n">
        <f aca="true" t="array" ref="H46:H46">IF(AUTOEVENTO="Manual",ROUND(SUMPRODUCT((CÁLCULO!$M$15:$M$205=EVENTOS!$C46)*(OFFSET(CÁLCULO!$AQ$15:$AQ$205,0,H$13))),2),0)</f>
        <v>0</v>
      </c>
      <c r="I46" s="262" t="n">
        <f aca="true" t="array" ref="I46:I46">IF(AUTOEVENTO="Manual",ROUND(SUMPRODUCT((CÁLCULO!$M$15:$M$205=EVENTOS!$C46)*(OFFSET(CÁLCULO!$AQ$15:$AQ$205,0,I$13))),2),0)</f>
        <v>0</v>
      </c>
      <c r="J46" s="262" t="n">
        <f aca="true" t="array" ref="J46:J46">IF(AUTOEVENTO="Manual",ROUND(SUMPRODUCT((CÁLCULO!$M$15:$M$205=EVENTOS!$C46)*(OFFSET(CÁLCULO!$AQ$15:$AQ$205,0,J$13))),2),0)</f>
        <v>0</v>
      </c>
      <c r="K46" s="262" t="n">
        <f aca="true" t="array" ref="K46:K46">IF(AUTOEVENTO="Manual",ROUND(SUMPRODUCT((CÁLCULO!$M$15:$M$205=EVENTOS!$C46)*(OFFSET(CÁLCULO!$AQ$15:$AQ$205,0,K$13))),2),0)</f>
        <v>0</v>
      </c>
      <c r="L46" s="262" t="n">
        <f aca="true" t="array" ref="L46:L46">IF(AUTOEVENTO="Manual",ROUND(SUMPRODUCT((CÁLCULO!$M$15:$M$205=EVENTOS!$C46)*(OFFSET(CÁLCULO!$AQ$15:$AQ$205,0,L$13))),2),0)</f>
        <v>0</v>
      </c>
      <c r="M46" s="262" t="n">
        <f aca="true" t="array" ref="M46:M46">IF(AUTOEVENTO="Manual",ROUND(SUMPRODUCT((CÁLCULO!$M$15:$M$205=EVENTOS!$C46)*(OFFSET(CÁLCULO!$AQ$15:$AQ$205,0,M$13))),2),0)</f>
        <v>0</v>
      </c>
      <c r="N46" s="262" t="n">
        <f aca="true" t="array" ref="N46:N46">IF(AUTOEVENTO="Manual",ROUND(SUMPRODUCT((CÁLCULO!$M$15:$M$205=EVENTOS!$C46)*(OFFSET(CÁLCULO!$AQ$15:$AQ$205,0,N$13))),2),0)</f>
        <v>0</v>
      </c>
      <c r="O46" s="262" t="n">
        <f aca="true" t="array" ref="O46:O46">IF(AUTOEVENTO="Manual",ROUND(SUMPRODUCT((CÁLCULO!$M$15:$M$205=EVENTOS!$C46)*(OFFSET(CÁLCULO!$AQ$15:$AQ$205,0,O$13))),2),0)</f>
        <v>0</v>
      </c>
      <c r="P46" s="262" t="n">
        <f aca="true" t="array" ref="P46:P46">IF(AUTOEVENTO="Manual",ROUND(SUMPRODUCT((CÁLCULO!$M$15:$M$205=EVENTOS!$C46)*(OFFSET(CÁLCULO!$AQ$15:$AQ$205,0,P$13))),2),0)</f>
        <v>0</v>
      </c>
      <c r="Q46" s="262" t="n">
        <f aca="true" t="array" ref="Q46:Q46">IF(AUTOEVENTO="Manual",ROUND(SUMPRODUCT((CÁLCULO!$M$15:$M$205=EVENTOS!$C46)*(OFFSET(CÁLCULO!$AQ$15:$AQ$205,0,Q$13))),2),0)</f>
        <v>0</v>
      </c>
      <c r="R46" s="262" t="n">
        <f aca="true" t="array" ref="R46:R46">IF(AUTOEVENTO="Manual",ROUND(SUMPRODUCT((CÁLCULO!$M$15:$M$205=EVENTOS!$C46)*(OFFSET(CÁLCULO!$AQ$15:$AQ$205,0,R$13))),2),0)</f>
        <v>0</v>
      </c>
      <c r="S46" s="262" t="n">
        <f aca="true" t="array" ref="S46:S46">IF(AUTOEVENTO="Manual",ROUND(SUMPRODUCT((CÁLCULO!$M$15:$M$205=EVENTOS!$C46)*(OFFSET(CÁLCULO!$AQ$15:$AQ$205,0,S$13))),2),0)</f>
        <v>0</v>
      </c>
      <c r="T46" s="262" t="n">
        <f aca="true" t="array" ref="T46:T46">IF(AUTOEVENTO="Manual",ROUND(SUMPRODUCT((CÁLCULO!$M$15:$M$205=EVENTOS!$C46)*(OFFSET(CÁLCULO!$AQ$15:$AQ$205,0,T$13))),2),0)</f>
        <v>0</v>
      </c>
      <c r="U46" s="262" t="n">
        <f aca="true" t="array" ref="U46:U46">IF(AUTOEVENTO="Manual",ROUND(SUMPRODUCT((CÁLCULO!$M$15:$M$205=EVENTOS!$C46)*(OFFSET(CÁLCULO!$AQ$15:$AQ$205,0,U$13))),2),0)</f>
        <v>0</v>
      </c>
      <c r="V46" s="262" t="n">
        <f aca="true" t="array" ref="V46:V46">IF(AUTOEVENTO="Manual",ROUND(SUMPRODUCT((CÁLCULO!$M$15:$M$205=EVENTOS!$C46)*(OFFSET(CÁLCULO!$AQ$15:$AQ$205,0,V$13))),2),0)</f>
        <v>0</v>
      </c>
      <c r="W46" s="262" t="n">
        <f aca="true" t="array" ref="W46:W46">IF(AUTOEVENTO="Manual",ROUND(SUMPRODUCT((CÁLCULO!$M$15:$M$205=EVENTOS!$C46)*(OFFSET(CÁLCULO!$AQ$15:$AQ$205,0,W$13))),2),0)</f>
        <v>0</v>
      </c>
      <c r="X46" s="262" t="n">
        <f aca="true" t="array" ref="X46:X46">IF(AUTOEVENTO="Manual",ROUND(SUMPRODUCT((CÁLCULO!$M$15:$M$205=EVENTOS!$C46)*(OFFSET(CÁLCULO!$AQ$15:$AQ$205,0,X$13))),2),0)</f>
        <v>0</v>
      </c>
      <c r="Y46" s="262" t="n">
        <f aca="true" t="array" ref="Y46:Y46">IF(AUTOEVENTO="Manual",ROUND(SUMPRODUCT((CÁLCULO!$M$15:$M$205=EVENTOS!$C46)*(OFFSET(CÁLCULO!$AQ$15:$AQ$205,0,Y$13))),2),0)</f>
        <v>0</v>
      </c>
      <c r="Z46" s="262" t="n">
        <f aca="true" t="array" ref="Z46:Z46">IF(AUTOEVENTO="Manual",ROUND(SUMPRODUCT((CÁLCULO!$M$15:$M$205=EVENTOS!$C46)*(OFFSET(CÁLCULO!$AQ$15:$AQ$205,0,Z$13))),2),0)</f>
        <v>0</v>
      </c>
      <c r="AA46" s="262" t="n">
        <f aca="true" t="array" ref="AA46:AA46">IF(AUTOEVENTO="Manual",ROUND(SUMPRODUCT((CÁLCULO!$M$15:$M$205=EVENTOS!$C46)*(OFFSET(CÁLCULO!$AQ$15:$AQ$205,0,AA$13))),2),0)</f>
        <v>0</v>
      </c>
      <c r="AB46" s="262" t="n">
        <f aca="true" t="array" ref="AB46:AB46">IF(AUTOEVENTO="Manual",ROUND(SUMPRODUCT((CÁLCULO!$M$15:$M$205=EVENTOS!$C46)*(OFFSET(CÁLCULO!$AQ$15:$AQ$205,0,AB$13))),2),0)</f>
        <v>0</v>
      </c>
      <c r="AC46" s="262" t="n">
        <f aca="true" t="array" ref="AC46:AC46">IF(AUTOEVENTO="Manual",ROUND(SUMPRODUCT((CÁLCULO!$M$15:$M$205=EVENTOS!$C46)*(OFFSET(CÁLCULO!$AQ$15:$AQ$205,0,AC$13))),2),0)</f>
        <v>0</v>
      </c>
      <c r="AD46" s="262" t="n">
        <f aca="true" t="array" ref="AD46:AD46">IF(AUTOEVENTO="Manual",ROUND(SUMPRODUCT((CÁLCULO!$M$15:$M$205=EVENTOS!$C46)*(OFFSET(CÁLCULO!$AQ$15:$AQ$205,0,AD$13))),2),0)</f>
        <v>0</v>
      </c>
      <c r="AE46" s="262" t="n">
        <f aca="true" t="array" ref="AE46:AE46">IF(AUTOEVENTO="Manual",ROUND(SUMPRODUCT((CÁLCULO!$M$15:$M$205=EVENTOS!$C46)*(OFFSET(CÁLCULO!$AQ$15:$AQ$205,0,AE$13))),2),0)</f>
        <v>0</v>
      </c>
      <c r="AF46" s="262" t="n">
        <f aca="true" t="array" ref="AF46:AF46">IF(AUTOEVENTO="Manual",ROUND(SUMPRODUCT((CÁLCULO!$M$15:$M$205=EVENTOS!$C46)*(OFFSET(CÁLCULO!$AQ$15:$AQ$205,0,AF$13))),2),0)</f>
        <v>0</v>
      </c>
      <c r="AG46" s="262" t="n">
        <f aca="true" t="array" ref="AG46:AG46">IF(AUTOEVENTO="Manual",ROUND(SUMPRODUCT((CÁLCULO!$M$15:$M$205=EVENTOS!$C46)*(OFFSET(CÁLCULO!$AQ$15:$AQ$205,0,AG$13))),2),0)</f>
        <v>0</v>
      </c>
      <c r="AH46" s="262" t="n">
        <f aca="true" t="array" ref="AH46:AH46">IF(AUTOEVENTO="Manual",ROUND(SUMPRODUCT((CÁLCULO!$M$15:$M$205=EVENTOS!$C46)*(OFFSET(CÁLCULO!$AQ$15:$AQ$205,0,AH$13))),2),0)</f>
        <v>0</v>
      </c>
      <c r="AI46" s="262" t="n">
        <f aca="true" t="array" ref="AI46:AI46">IF(AUTOEVENTO="Manual",ROUND(SUMPRODUCT((CÁLCULO!$M$15:$M$205=EVENTOS!$C46)*(OFFSET(CÁLCULO!$AQ$15:$AQ$205,0,AI$13))),2),0)</f>
        <v>0</v>
      </c>
    </row>
    <row r="47" customFormat="false" ht="4.5" hidden="false" customHeight="true" outlineLevel="0" collapsed="false">
      <c r="A47" s="259" t="s">
        <v>563</v>
      </c>
      <c r="C47" s="295"/>
      <c r="D47" s="296"/>
      <c r="E47" s="297"/>
      <c r="F47" s="298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7"/>
      <c r="AE47" s="297"/>
      <c r="AF47" s="297"/>
      <c r="AG47" s="297"/>
      <c r="AH47" s="297"/>
      <c r="AI47" s="297"/>
    </row>
    <row r="48" customFormat="false" ht="12.75" hidden="false" customHeight="false" outlineLevel="0" collapsed="false">
      <c r="A48" s="259" t="s">
        <v>563</v>
      </c>
    </row>
    <row r="49" customFormat="false" ht="12.75" hidden="false" customHeight="false" outlineLevel="0" collapsed="false">
      <c r="A49" s="259" t="s">
        <v>563</v>
      </c>
    </row>
    <row r="50" customFormat="false" ht="13.8" hidden="false" customHeight="false" outlineLevel="0" collapsed="false">
      <c r="A50" s="259" t="s">
        <v>563</v>
      </c>
      <c r="D50" s="299" t="str">
        <f aca="false">Import.Município</f>
        <v>SALINAS</v>
      </c>
      <c r="L50" s="255"/>
      <c r="M50" s="48"/>
      <c r="N50" s="48"/>
      <c r="O50" s="48"/>
      <c r="V50" s="255"/>
      <c r="W50" s="48"/>
      <c r="X50" s="48"/>
      <c r="Y50" s="48"/>
      <c r="AF50" s="255"/>
      <c r="AG50" s="48"/>
      <c r="AH50" s="48"/>
      <c r="AI50" s="48"/>
    </row>
    <row r="51" customFormat="false" ht="12.75" hidden="false" customHeight="false" outlineLevel="0" collapsed="false">
      <c r="A51" s="259" t="s">
        <v>563</v>
      </c>
      <c r="D51" s="58" t="s">
        <v>722</v>
      </c>
      <c r="H51" s="300"/>
      <c r="I51" s="300"/>
      <c r="J51" s="300"/>
      <c r="L51" s="256" t="s">
        <v>725</v>
      </c>
      <c r="V51" s="256" t="s">
        <v>725</v>
      </c>
      <c r="AF51" s="256" t="s">
        <v>725</v>
      </c>
    </row>
    <row r="52" customFormat="false" ht="12.75" hidden="false" customHeight="false" outlineLevel="0" collapsed="false">
      <c r="A52" s="259" t="s">
        <v>563</v>
      </c>
      <c r="H52" s="300"/>
      <c r="I52" s="300"/>
      <c r="J52" s="300"/>
      <c r="L52" s="301" t="str">
        <f aca="true" t="array" ref="L52:L54">OFFSET(Import.RespOrçamento,0,-1) &amp; " " &amp; Import.RespOrçamento</f>
        <v>Nome: DEBHORA DOS SANTOS GUIMARÃES</v>
      </c>
      <c r="V52" s="301" t="str">
        <f aca="true" t="array" ref="V52:V54">OFFSET(Import.RespOrçamento,0,-1) &amp; " " &amp; Import.RespOrçamento</f>
        <v>Nome: DEBHORA DOS SANTOS GUIMARÃES</v>
      </c>
      <c r="AF52" s="301" t="str">
        <f aca="true" t="array" ref="AF52:AF54">OFFSET(Import.RespOrçamento,0,-1) &amp; " " &amp; Import.RespOrçamento</f>
        <v>Nome: DEBHORA DOS SANTOS GUIMARÃES</v>
      </c>
    </row>
    <row r="53" customFormat="false" ht="12.75" hidden="false" customHeight="false" outlineLevel="0" collapsed="false">
      <c r="A53" s="259" t="s">
        <v>563</v>
      </c>
      <c r="D53" s="302" t="n">
        <f aca="false">DADOS!$C$25</f>
        <v>45845</v>
      </c>
      <c r="L53" s="301" t="str">
        <v>CREA/CAU: 111769/D</v>
      </c>
      <c r="V53" s="301" t="str">
        <v>CREA/CAU: 111769/D</v>
      </c>
      <c r="AF53" s="301" t="str">
        <v>CREA/CAU: 111769/D</v>
      </c>
    </row>
    <row r="54" customFormat="false" ht="12.75" hidden="false" customHeight="false" outlineLevel="0" collapsed="false">
      <c r="A54" s="259" t="s">
        <v>563</v>
      </c>
      <c r="D54" s="58" t="s">
        <v>723</v>
      </c>
      <c r="L54" s="301" t="str">
        <v>ART/RRT: MG20254000676</v>
      </c>
      <c r="V54" s="301" t="str">
        <v>ART/RRT: MG20254000676</v>
      </c>
      <c r="AF54" s="301" t="str">
        <v>ART/RRT: MG20254000676</v>
      </c>
    </row>
  </sheetData>
  <sheetProtection algorithmName="SHA-512" hashValue="cfPnjExtIHT0ZCaZ9cmw/NH7HL5Zk2j7Lc7Mluc4KbjbM26J5Ya0ycAenvKQAGk/306QFrsOuSi+2b+tJRbESw==" saltValue="FUriCyxhw9nKcNabMMcivg==" spinCount="100000" sheet="true" objects="true" scenarios="true"/>
  <autoFilter ref="A13:A54"/>
  <mergeCells count="35">
    <mergeCell ref="F5:M5"/>
    <mergeCell ref="P5:W5"/>
    <mergeCell ref="Z5:AG5"/>
    <mergeCell ref="C8:D8"/>
    <mergeCell ref="E10:E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C11:D11"/>
  </mergeCells>
  <conditionalFormatting sqref="C10:J10 E11:J11 C12:J12 K10:Y12 C1:AJ1 C13:Y26 Z10:AJ26 C27:AJ47">
    <cfRule type="expression" priority="2" aboveAverage="0" equalAverage="0" bottom="0" percent="0" rank="0" text="" dxfId="245">
      <formula>OR(AUTOEVENTO&lt;&gt;"Manual",ACOMPANHAMENTO="BM",C$10=0,C$13=0,$C1=" ")</formula>
    </cfRule>
  </conditionalFormatting>
  <conditionalFormatting sqref="A15 C15:XFD15">
    <cfRule type="expression" priority="3" aboveAverage="0" equalAverage="0" bottom="0" percent="0" rank="0" text="" dxfId="246">
      <formula>$C$15=0</formula>
    </cfRule>
  </conditionalFormatting>
  <dataValidations count="1">
    <dataValidation allowBlank="true" errorStyle="stop" operator="between" showDropDown="false" showErrorMessage="true" showInputMessage="false" sqref="C8:D8" type="list">
      <formula1>$B$6:$B$9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S61618"/>
  <sheetViews>
    <sheetView showFormulas="false" showGridLines="false" showRowColHeaders="true" showZeros="true" rightToLeft="false" tabSelected="false" showOutlineSymbols="true" defaultGridColor="true" view="normal" topLeftCell="A1" colorId="64" zoomScale="70" zoomScaleNormal="70" zoomScalePageLayoutView="100" workbookViewId="0">
      <pane xSplit="8" ySplit="15" topLeftCell="I16" activePane="bottomRight" state="frozen"/>
      <selection pane="topLeft" activeCell="A1" activeCellId="0" sqref="A1"/>
      <selection pane="topRight" activeCell="I1" activeCellId="0" sqref="I1"/>
      <selection pane="bottomLeft" activeCell="A16" activeCellId="0" sqref="A16"/>
      <selection pane="bottomRight" activeCell="A1" activeCellId="0" sqref="A1"/>
    </sheetView>
  </sheetViews>
  <sheetFormatPr defaultColWidth="8.6796875" defaultRowHeight="12.8" customHeight="true" zeroHeight="true" outlineLevelRow="0" outlineLevelCol="0"/>
  <cols>
    <col collapsed="false" customWidth="true" hidden="true" outlineLevel="0" max="1" min="1" style="50" width="15.42"/>
    <col collapsed="false" customWidth="true" hidden="true" outlineLevel="0" max="2" min="2" style="50" width="9.14"/>
    <col collapsed="false" customWidth="true" hidden="false" outlineLevel="0" max="3" min="3" style="50" width="3.57"/>
    <col collapsed="false" customWidth="true" hidden="false" outlineLevel="0" max="4" min="4" style="1" width="8.57"/>
    <col collapsed="false" customWidth="true" hidden="false" outlineLevel="0" max="5" min="5" style="1" width="12.57"/>
    <col collapsed="false" customWidth="true" hidden="false" outlineLevel="0" max="6" min="6" style="1" width="65.57"/>
    <col collapsed="false" customWidth="true" hidden="false" outlineLevel="0" max="7" min="7" style="1" width="10.57"/>
    <col collapsed="false" customWidth="true" hidden="false" outlineLevel="0" max="8" min="8" style="1" width="14.57"/>
    <col collapsed="false" customWidth="true" hidden="false" outlineLevel="0" max="9" min="9" style="1" width="29.57"/>
    <col collapsed="false" customWidth="true" hidden="false" outlineLevel="0" max="10" min="10" style="1" width="2.42"/>
    <col collapsed="false" customWidth="true" hidden="false" outlineLevel="0" max="11" min="11" style="1" width="4.57"/>
    <col collapsed="false" customWidth="true" hidden="false" outlineLevel="0" max="12" min="12" style="1" width="0.42"/>
    <col collapsed="false" customWidth="true" hidden="true" outlineLevel="0" max="13" min="13" style="50" width="9.14"/>
    <col collapsed="false" customWidth="true" hidden="false" outlineLevel="0" max="14" min="14" style="1" width="31.57"/>
    <col collapsed="false" customWidth="true" hidden="true" outlineLevel="0" max="15" min="15" style="1" width="9.14"/>
    <col collapsed="false" customWidth="true" hidden="false" outlineLevel="0" max="16" min="16" style="1" width="0.42"/>
    <col collapsed="false" customWidth="true" hidden="false" outlineLevel="0" max="42" min="17" style="1" width="11.57"/>
    <col collapsed="false" customWidth="true" hidden="true" outlineLevel="0" max="123" min="43" style="1" width="9.14"/>
    <col collapsed="false" customWidth="true" hidden="true" outlineLevel="0" max="124" min="124" style="1" width="1.57"/>
  </cols>
  <sheetData>
    <row r="1" customFormat="false" ht="12.75" hidden="true" customHeight="true" outlineLevel="0" collapsed="false">
      <c r="M1" s="50" t="n">
        <f aca="true">SUM(OFFSET(CÁLCULO!$P$1,0,1):OFFSET(CÁLCULO!$AQ$1,0,-1))</f>
        <v>25</v>
      </c>
      <c r="O1" s="303" t="n">
        <f aca="false" t="array" ref="O1:O1">IF(OR(ACOMPANHAMENTO="BM",N1=0,O12=""),0,1)</f>
        <v>0</v>
      </c>
      <c r="P1" s="38" t="s">
        <v>876</v>
      </c>
      <c r="Q1" s="303" t="n">
        <f aca="false" t="array" ref="Q1:Q1">IF(OR(ACOMPANHAMENTO="BM",P1=0,Q12=""),0,1)</f>
        <v>1</v>
      </c>
      <c r="R1" s="303" t="n">
        <f aca="false" t="array" ref="R1:R1">IF(OR(ACOMPANHAMENTO="BM",Q1=0,R12=""),0,1)</f>
        <v>1</v>
      </c>
      <c r="S1" s="303" t="n">
        <f aca="false" t="array" ref="S1:S1">IF(OR(ACOMPANHAMENTO="BM",R1=0,S12=""),0,1)</f>
        <v>1</v>
      </c>
      <c r="T1" s="303" t="n">
        <f aca="false" t="array" ref="T1:T1">IF(OR(ACOMPANHAMENTO="BM",S1=0,T12=""),0,1)</f>
        <v>1</v>
      </c>
      <c r="U1" s="303" t="n">
        <f aca="false" t="array" ref="U1:U1">IF(OR(ACOMPANHAMENTO="BM",T1=0,U12=""),0,1)</f>
        <v>1</v>
      </c>
      <c r="V1" s="303" t="n">
        <f aca="false" t="array" ref="V1:V1">IF(OR(ACOMPANHAMENTO="BM",U1=0,V12=""),0,1)</f>
        <v>1</v>
      </c>
      <c r="W1" s="303" t="n">
        <f aca="false" t="array" ref="W1:W1">IF(OR(ACOMPANHAMENTO="BM",V1=0,W12=""),0,1)</f>
        <v>1</v>
      </c>
      <c r="X1" s="303" t="n">
        <f aca="false" t="array" ref="X1:X1">IF(OR(ACOMPANHAMENTO="BM",W1=0,X12=""),0,1)</f>
        <v>1</v>
      </c>
      <c r="Y1" s="303" t="n">
        <f aca="false" t="array" ref="Y1:Y1">IF(OR(ACOMPANHAMENTO="BM",X1=0,Y12=""),0,1)</f>
        <v>1</v>
      </c>
      <c r="Z1" s="303" t="n">
        <f aca="false" t="array" ref="Z1:Z1">IF(OR(ACOMPANHAMENTO="BM",Y1=0,Z12=""),0,1)</f>
        <v>1</v>
      </c>
      <c r="AA1" s="303" t="n">
        <f aca="false" t="array" ref="AA1:AA1">IF(OR(ACOMPANHAMENTO="BM",Z1=0,AA12=""),0,1)</f>
        <v>1</v>
      </c>
      <c r="AB1" s="303" t="n">
        <f aca="false" t="array" ref="AB1:AB1">IF(OR(ACOMPANHAMENTO="BM",AA1=0,AB12=""),0,1)</f>
        <v>1</v>
      </c>
      <c r="AC1" s="303" t="n">
        <f aca="false" t="array" ref="AC1:AC1">IF(OR(ACOMPANHAMENTO="BM",AB1=0,AC12=""),0,1)</f>
        <v>1</v>
      </c>
      <c r="AD1" s="303" t="n">
        <f aca="false" t="array" ref="AD1:AD1">IF(OR(ACOMPANHAMENTO="BM",AC1=0,AD12=""),0,1)</f>
        <v>1</v>
      </c>
      <c r="AE1" s="303" t="n">
        <f aca="false" t="array" ref="AE1:AE1">IF(OR(ACOMPANHAMENTO="BM",AD1=0,AE12=""),0,1)</f>
        <v>1</v>
      </c>
      <c r="AF1" s="303" t="n">
        <f aca="false" t="array" ref="AF1:AF1">IF(OR(ACOMPANHAMENTO="BM",AE1=0,AF12=""),0,1)</f>
        <v>1</v>
      </c>
      <c r="AG1" s="303" t="n">
        <f aca="false" t="array" ref="AG1:AG1">IF(OR(ACOMPANHAMENTO="BM",AF1=0,AG12=""),0,1)</f>
        <v>1</v>
      </c>
      <c r="AH1" s="303" t="n">
        <f aca="false" t="array" ref="AH1:AH1">IF(OR(ACOMPANHAMENTO="BM",AG1=0,AH12=""),0,1)</f>
        <v>1</v>
      </c>
      <c r="AI1" s="303" t="n">
        <f aca="false" t="array" ref="AI1:AI1">IF(OR(ACOMPANHAMENTO="BM",AH1=0,AI12=""),0,1)</f>
        <v>1</v>
      </c>
      <c r="AJ1" s="303" t="n">
        <f aca="false" t="array" ref="AJ1:AJ1">IF(OR(ACOMPANHAMENTO="BM",AI1=0,AJ12=""),0,1)</f>
        <v>1</v>
      </c>
      <c r="AK1" s="303" t="n">
        <f aca="false" t="array" ref="AK1:AK1">IF(OR(ACOMPANHAMENTO="BM",AJ1=0,AK12=""),0,1)</f>
        <v>1</v>
      </c>
      <c r="AL1" s="303" t="n">
        <f aca="false" t="array" ref="AL1:AL1">IF(OR(ACOMPANHAMENTO="BM",AK1=0,AL12=""),0,1)</f>
        <v>1</v>
      </c>
      <c r="AM1" s="303" t="n">
        <f aca="false" t="array" ref="AM1:AM1">IF(OR(ACOMPANHAMENTO="BM",AL1=0,AM12=""),0,1)</f>
        <v>1</v>
      </c>
      <c r="AN1" s="303" t="n">
        <f aca="false" t="array" ref="AN1:AN1">IF(OR(ACOMPANHAMENTO="BM",AM1=0,AN12=""),0,1)</f>
        <v>1</v>
      </c>
      <c r="AO1" s="303" t="n">
        <f aca="false" t="array" ref="AO1:AO1">IF(OR(ACOMPANHAMENTO="BM",AN1=0,AO12=""),0,1)</f>
        <v>1</v>
      </c>
      <c r="AP1" s="303" t="n">
        <f aca="false" t="array" ref="AP1:AP1">IF(OR(ACOMPANHAMENTO="BM",AO1=0,AP12=""),0,1)</f>
        <v>0</v>
      </c>
      <c r="AR1" s="38" t="s">
        <v>877</v>
      </c>
      <c r="BS1" s="38" t="s">
        <v>878</v>
      </c>
      <c r="CT1" s="38" t="s">
        <v>879</v>
      </c>
    </row>
    <row r="2" customFormat="false" ht="12.75" hidden="true" customHeight="true" outlineLevel="0" collapsed="false"/>
    <row r="3" customFormat="false" ht="12.75" hidden="true" customHeight="true" outlineLevel="0" collapsed="false"/>
    <row r="4" customFormat="false" ht="12.75" hidden="true" customHeight="true" outlineLevel="0" collapsed="false"/>
    <row r="5" customFormat="false" ht="12.75" hidden="true" customHeight="true" outlineLevel="0" collapsed="false"/>
    <row r="6" customFormat="false" ht="15.75" hidden="false" customHeight="true" outlineLevel="0" collapsed="false">
      <c r="F6" s="304" t="str">
        <f aca="false" t="array" ref="F6:F6">IF(ACOMPANHAMENTO="BM","MEMÓRIA DE CÁLCULO","PLQ - PLANILHA DE LEVANTAMENTO DE QUANTIDADES")</f>
        <v>PLQ - PLANILHA DE LEVANTAMENTO DE QUANTIDADES</v>
      </c>
      <c r="G6" s="304"/>
      <c r="H6" s="304"/>
      <c r="I6" s="305"/>
      <c r="K6" s="305"/>
      <c r="L6" s="305"/>
      <c r="M6" s="306"/>
      <c r="N6" s="305"/>
      <c r="P6" s="305"/>
      <c r="Q6" s="100" t="s">
        <v>671</v>
      </c>
      <c r="R6" s="100"/>
      <c r="Y6" s="100" t="s">
        <v>671</v>
      </c>
      <c r="Z6" s="100"/>
      <c r="AG6" s="100" t="s">
        <v>671</v>
      </c>
      <c r="AH6" s="100"/>
      <c r="AO6" s="100" t="s">
        <v>671</v>
      </c>
      <c r="AP6" s="100"/>
    </row>
    <row r="7" customFormat="false" ht="15" hidden="false" customHeight="true" outlineLevel="0" collapsed="false">
      <c r="F7" s="307" t="str">
        <f aca="false" t="array" ref="F7:F7">IF(ACOMPANHAMENTO="BM","","Memória de Cálculo")&amp;" - "&amp;import.recurso</f>
        <v>Memória de Cálculo - OGU</v>
      </c>
      <c r="G7" s="307"/>
      <c r="H7" s="307"/>
      <c r="I7" s="308"/>
      <c r="K7" s="308"/>
      <c r="L7" s="308"/>
      <c r="M7" s="309"/>
      <c r="N7" s="308"/>
      <c r="P7" s="308"/>
      <c r="Q7" s="60" t="s">
        <v>674</v>
      </c>
      <c r="R7" s="60"/>
      <c r="Y7" s="60" t="s">
        <v>674</v>
      </c>
      <c r="Z7" s="60"/>
      <c r="AG7" s="60" t="s">
        <v>674</v>
      </c>
      <c r="AH7" s="60"/>
      <c r="AO7" s="60" t="s">
        <v>674</v>
      </c>
      <c r="AP7" s="60"/>
    </row>
    <row r="8" customFormat="false" ht="12.75" hidden="false" customHeight="true" outlineLevel="0" collapsed="false">
      <c r="AU8" s="310"/>
      <c r="BC8" s="310"/>
      <c r="BK8" s="310"/>
    </row>
    <row r="9" customFormat="false" ht="12.75" hidden="false" customHeight="true" outlineLevel="0" collapsed="false">
      <c r="E9" s="103" t="s">
        <v>738</v>
      </c>
      <c r="F9" s="103"/>
      <c r="G9" s="103" t="s">
        <v>737</v>
      </c>
      <c r="H9" s="103"/>
      <c r="I9" s="162" t="s">
        <v>677</v>
      </c>
      <c r="K9" s="311" t="s">
        <v>679</v>
      </c>
      <c r="L9" s="312"/>
      <c r="M9" s="312"/>
      <c r="N9" s="312"/>
      <c r="O9" s="312"/>
      <c r="P9" s="312"/>
      <c r="Q9" s="312"/>
      <c r="R9" s="313"/>
      <c r="S9" s="103" t="s">
        <v>677</v>
      </c>
      <c r="T9" s="103"/>
      <c r="U9" s="103" t="s">
        <v>679</v>
      </c>
      <c r="V9" s="103"/>
      <c r="W9" s="103"/>
      <c r="X9" s="103"/>
      <c r="Y9" s="103"/>
      <c r="Z9" s="103"/>
      <c r="AA9" s="103" t="s">
        <v>677</v>
      </c>
      <c r="AB9" s="103"/>
      <c r="AC9" s="103" t="s">
        <v>679</v>
      </c>
      <c r="AD9" s="103"/>
      <c r="AE9" s="103"/>
      <c r="AF9" s="103"/>
      <c r="AG9" s="103"/>
      <c r="AH9" s="103"/>
      <c r="AI9" s="103" t="s">
        <v>677</v>
      </c>
      <c r="AJ9" s="103"/>
      <c r="AK9" s="103" t="s">
        <v>679</v>
      </c>
      <c r="AL9" s="103"/>
      <c r="AM9" s="103"/>
      <c r="AN9" s="103"/>
      <c r="AO9" s="103"/>
      <c r="AP9" s="103"/>
    </row>
    <row r="10" customFormat="false" ht="12.75" hidden="false" customHeight="true" outlineLevel="0" collapsed="false">
      <c r="A10" s="314" t="s">
        <v>880</v>
      </c>
      <c r="E10" s="104" t="str">
        <f aca="false">Import.Apelido</f>
        <v>CONSTRUÇÃO DE UNIDADES HABITACIONAIS EM ÁREAS URBANAS</v>
      </c>
      <c r="F10" s="104"/>
      <c r="G10" s="104" t="str">
        <f aca="false" t="array" ref="G10:G10">Import.TransfereGOV</f>
        <v>974240/2024</v>
      </c>
      <c r="H10" s="104"/>
      <c r="I10" s="163" t="str">
        <f aca="false">Import.CR</f>
        <v>1100251-88</v>
      </c>
      <c r="K10" s="315" t="str">
        <f aca="false">Import.Proponente</f>
        <v>PREFEITURA MUNICIPAL DE SALINAS</v>
      </c>
      <c r="L10" s="316"/>
      <c r="M10" s="180"/>
      <c r="N10" s="316"/>
      <c r="O10" s="316"/>
      <c r="P10" s="316"/>
      <c r="Q10" s="316"/>
      <c r="R10" s="164"/>
      <c r="S10" s="104" t="str">
        <f aca="false">Import.CR</f>
        <v>1100251-88</v>
      </c>
      <c r="T10" s="104"/>
      <c r="U10" s="104" t="str">
        <f aca="false">Import.Proponente</f>
        <v>PREFEITURA MUNICIPAL DE SALINAS</v>
      </c>
      <c r="V10" s="104"/>
      <c r="W10" s="104"/>
      <c r="X10" s="104"/>
      <c r="Y10" s="104"/>
      <c r="Z10" s="104"/>
      <c r="AA10" s="104" t="str">
        <f aca="false">Import.CR</f>
        <v>1100251-88</v>
      </c>
      <c r="AB10" s="104"/>
      <c r="AC10" s="104" t="str">
        <f aca="false">Import.Proponente</f>
        <v>PREFEITURA MUNICIPAL DE SALINAS</v>
      </c>
      <c r="AD10" s="104"/>
      <c r="AE10" s="104"/>
      <c r="AF10" s="104"/>
      <c r="AG10" s="104"/>
      <c r="AH10" s="104"/>
      <c r="AI10" s="104" t="str">
        <f aca="false">Import.CR</f>
        <v>1100251-88</v>
      </c>
      <c r="AJ10" s="104"/>
      <c r="AK10" s="104" t="str">
        <f aca="false">Import.Proponente</f>
        <v>PREFEITURA MUNICIPAL DE SALINAS</v>
      </c>
      <c r="AL10" s="104"/>
      <c r="AM10" s="104"/>
      <c r="AN10" s="104"/>
      <c r="AO10" s="104"/>
      <c r="AP10" s="104"/>
    </row>
    <row r="11" customFormat="false" ht="15" hidden="false" customHeight="true" outlineLevel="0" collapsed="false">
      <c r="A11" s="317" t="str">
        <f aca="false">IF(AND(Import.TipoArredondamento="Tradicional",AUTOEVENTO="Manual"),"Automática",IF(CRONOPLE!$B$8="","Sem Adm","Manual"))</f>
        <v>Manual</v>
      </c>
      <c r="F11" s="318" t="str">
        <f aca="false">IF(AND(ACOMPANHAMENTO="PLE",ISERROR(AUTOEVENTO)),"Selecione a forma de definição dos agrupadores de eventos na aba EVENTOS",
  IF(AND(ACOMPANHAMENTO="PLE",CÁLCULO.FrentesPreenchidas=0),"Preencher os nomes das Frentes de Obra",
  IF(COUNTIF($J$15:$J$205,"►")&gt;0,"Não pode haver serviços sem agrupador de eventos",
  IF(COUNTIF($P$11:$AQ$11,"▼")&gt;0,"Não pode haver frentes de obra sem quantidades",
  IF(COUNTIF($P$11:$AQ$11,"Nome &gt;100")&gt;0,"Nome da frente de obra com mais de 100 caracteres","")))))</f>
        <v/>
      </c>
      <c r="N11" s="319" t="str">
        <f aca="false">IF(OR(COUNTIF($J$15:$J$205,"►")&gt;0,COUNTIF($J$15:$J$205,"►►")&gt;0),"",
IF(COUNTIF($P$11:$AQ$11,"▼")&gt;0,"Falta preencher a frente de obra nº " &amp; HLOOKUP("▼",$P$11:$AQ$13,3,FALSE()),
IF(COUNTIF($P$11:$AQ$11,"Nome &gt;100")&gt;0,"Resuma o nome da frente de obra nº " &amp; HLOOKUP("Nome &gt;100",$P$11:$AQ$13,3,FALSE()),"")))</f>
        <v/>
      </c>
      <c r="O11" s="320" t="e">
        <f aca="false">IF(AND(O1=1,O15=0),"▼",IF(AND(O1=1,LEN(O12)&gt;100),"Nome &gt;100",""))</f>
        <v>#VALUE!</v>
      </c>
      <c r="P11" s="50"/>
      <c r="Q11" s="320" t="str">
        <f aca="false">IF(AND(Q1=1,Q15=0),"▼",IF(AND(Q1=1,LEN(Q12)&gt;100),"Nome &gt;100",""))</f>
        <v/>
      </c>
      <c r="R11" s="320" t="str">
        <f aca="false">IF(AND(R1=1,R15=0),"▼",IF(AND(R1=1,LEN(R12)&gt;100),"Nome &gt;100",""))</f>
        <v/>
      </c>
      <c r="S11" s="320" t="str">
        <f aca="false">IF(AND(S1=1,S15=0),"▼",IF(AND(S1=1,LEN(S12)&gt;100),"Nome &gt;100",""))</f>
        <v/>
      </c>
      <c r="T11" s="320" t="str">
        <f aca="false">IF(AND(T1=1,T15=0),"▼",IF(AND(T1=1,LEN(T12)&gt;100),"Nome &gt;100",""))</f>
        <v/>
      </c>
      <c r="U11" s="320" t="str">
        <f aca="false">IF(AND(U1=1,U15=0),"▼",IF(AND(U1=1,LEN(U12)&gt;100),"Nome &gt;100",""))</f>
        <v/>
      </c>
      <c r="V11" s="320" t="str">
        <f aca="false">IF(AND(V1=1,V15=0),"▼",IF(AND(V1=1,LEN(V12)&gt;100),"Nome &gt;100",""))</f>
        <v/>
      </c>
      <c r="W11" s="320" t="str">
        <f aca="false">IF(AND(W1=1,W15=0),"▼",IF(AND(W1=1,LEN(W12)&gt;100),"Nome &gt;100",""))</f>
        <v/>
      </c>
      <c r="X11" s="320" t="str">
        <f aca="false">IF(AND(X1=1,X15=0),"▼",IF(AND(X1=1,LEN(X12)&gt;100),"Nome &gt;100",""))</f>
        <v/>
      </c>
      <c r="Y11" s="320" t="str">
        <f aca="false">IF(AND(Y1=1,Y15=0),"▼",IF(AND(Y1=1,LEN(Y12)&gt;100),"Nome &gt;100",""))</f>
        <v/>
      </c>
      <c r="Z11" s="320" t="str">
        <f aca="false">IF(AND(Z1=1,Z15=0),"▼",IF(AND(Z1=1,LEN(Z12)&gt;100),"Nome &gt;100",""))</f>
        <v/>
      </c>
      <c r="AA11" s="320" t="str">
        <f aca="false">IF(AND(AA1=1,AA15=0),"▼",IF(AND(AA1=1,LEN(AA12)&gt;100),"Nome &gt;100",""))</f>
        <v/>
      </c>
      <c r="AB11" s="320" t="str">
        <f aca="false">IF(AND(AB1=1,AB15=0),"▼",IF(AND(AB1=1,LEN(AB12)&gt;100),"Nome &gt;100",""))</f>
        <v/>
      </c>
      <c r="AC11" s="320" t="str">
        <f aca="false">IF(AND(AC1=1,AC15=0),"▼",IF(AND(AC1=1,LEN(AC12)&gt;100),"Nome &gt;100",""))</f>
        <v/>
      </c>
      <c r="AD11" s="320" t="str">
        <f aca="false">IF(AND(AD1=1,AD15=0),"▼",IF(AND(AD1=1,LEN(AD12)&gt;100),"Nome &gt;100",""))</f>
        <v/>
      </c>
      <c r="AE11" s="320" t="str">
        <f aca="false">IF(AND(AE1=1,AE15=0),"▼",IF(AND(AE1=1,LEN(AE12)&gt;100),"Nome &gt;100",""))</f>
        <v/>
      </c>
      <c r="AF11" s="320" t="str">
        <f aca="false">IF(AND(AF1=1,AF15=0),"▼",IF(AND(AF1=1,LEN(AF12)&gt;100),"Nome &gt;100",""))</f>
        <v/>
      </c>
      <c r="AG11" s="320" t="str">
        <f aca="false">IF(AND(AG1=1,AG15=0),"▼",IF(AND(AG1=1,LEN(AG12)&gt;100),"Nome &gt;100",""))</f>
        <v/>
      </c>
      <c r="AH11" s="320" t="str">
        <f aca="false">IF(AND(AH1=1,AH15=0),"▼",IF(AND(AH1=1,LEN(AH12)&gt;100),"Nome &gt;100",""))</f>
        <v/>
      </c>
      <c r="AI11" s="320" t="str">
        <f aca="false">IF(AND(AI1=1,AI15=0),"▼",IF(AND(AI1=1,LEN(AI12)&gt;100),"Nome &gt;100",""))</f>
        <v/>
      </c>
      <c r="AJ11" s="320" t="str">
        <f aca="false">IF(AND(AJ1=1,AJ15=0),"▼",IF(AND(AJ1=1,LEN(AJ12)&gt;100),"Nome &gt;100",""))</f>
        <v/>
      </c>
      <c r="AK11" s="320" t="str">
        <f aca="false">IF(AND(AK1=1,AK15=0),"▼",IF(AND(AK1=1,LEN(AK12)&gt;100),"Nome &gt;100",""))</f>
        <v/>
      </c>
      <c r="AL11" s="320" t="str">
        <f aca="false">IF(AND(AL1=1,AL15=0),"▼",IF(AND(AL1=1,LEN(AL12)&gt;100),"Nome &gt;100",""))</f>
        <v/>
      </c>
      <c r="AM11" s="320" t="str">
        <f aca="false">IF(AND(AM1=1,AM15=0),"▼",IF(AND(AM1=1,LEN(AM12)&gt;100),"Nome &gt;100",""))</f>
        <v/>
      </c>
      <c r="AN11" s="320" t="str">
        <f aca="false">IF(AND(AN1=1,AN15=0),"▼",IF(AND(AN1=1,LEN(AN12)&gt;100),"Nome &gt;100",""))</f>
        <v/>
      </c>
      <c r="AO11" s="320" t="str">
        <f aca="false">IF(AND(AO1=1,AO15=0),"▼",IF(AND(AO1=1,LEN(AO12)&gt;100),"Nome &gt;100",""))</f>
        <v/>
      </c>
      <c r="AP11" s="320" t="str">
        <f aca="false">IF(AND(AP1=1,AP15=0),"▼",IF(AND(AP1=1,LEN(AP12)&gt;100),"Nome &gt;100",""))</f>
        <v/>
      </c>
    </row>
    <row r="12" customFormat="false" ht="69.75" hidden="false" customHeight="true" outlineLevel="0" collapsed="false">
      <c r="A12" s="321" t="n">
        <f aca="false">IF(Import.Eventos.Nível="Definir Manualmente","Manual",MATCH(Import.Eventos.Nível,EVENTOS!$B$6:$B$9,0)+1)</f>
        <v>2</v>
      </c>
      <c r="B12" s="50" t="s">
        <v>881</v>
      </c>
      <c r="C12" s="322" t="s">
        <v>682</v>
      </c>
      <c r="H12" s="323"/>
      <c r="I12" s="324" t="str">
        <f aca="false">IF(AND(ACOMPANHAMENTO="PLE",CÁLCULO.FrentesPreenchidas=0),"",
  IF(COUNTIF($J$15:$J$205,"►")&gt;0,"Falta Definir o Agrupador de Evento na linha "&amp;MATCH("►",$J$15:$J$205,0)+ROW($J$14),
  IF(COUNTIF($J$15:$J$205,"►►")&gt;0,"Falta preencher a quantidade do serviço na linha "&amp;MATCH("►►",$J$15:$J$205,0)+ROW($J$14),
  IF(AND(COUNTIF($P$11:$AQ$11,"▼")=0,COUNTIF($J$15:$J$205,"◄")&gt;0),"Falta Preencher o Memorial de Cálculo na linha "&amp;MATCH("◄",$J$15:$J$205,0)+ROW($J$14),""))))</f>
        <v/>
      </c>
      <c r="J12" s="29" t="s">
        <v>876</v>
      </c>
      <c r="K12" s="325" t="s">
        <v>882</v>
      </c>
      <c r="L12" s="29" t="s">
        <v>876</v>
      </c>
      <c r="M12" s="326" t="n">
        <f aca="false" t="array" ref="M12:M12">IF(ACOMPANHAMENTO="BM",0,MAX($M$15:$M$205))</f>
        <v>31</v>
      </c>
      <c r="N12" s="327" t="str">
        <f aca="false">IF(AND(ACOMPANHAMENTO="PLE",CÁLCULO.FrentesPreenchidas=0),"Preencher os nomes das Frentes de Obra ►","FRENTES DE OBRA:")</f>
        <v>FRENTES DE OBRA:</v>
      </c>
      <c r="O12" s="328"/>
      <c r="P12" s="29" t="s">
        <v>876</v>
      </c>
      <c r="Q12" s="329" t="s">
        <v>883</v>
      </c>
      <c r="R12" s="328" t="s">
        <v>884</v>
      </c>
      <c r="S12" s="328" t="s">
        <v>885</v>
      </c>
      <c r="T12" s="330" t="s">
        <v>886</v>
      </c>
      <c r="U12" s="328" t="s">
        <v>887</v>
      </c>
      <c r="V12" s="328" t="s">
        <v>888</v>
      </c>
      <c r="W12" s="328" t="s">
        <v>889</v>
      </c>
      <c r="X12" s="328" t="s">
        <v>890</v>
      </c>
      <c r="Y12" s="328" t="s">
        <v>891</v>
      </c>
      <c r="Z12" s="331" t="s">
        <v>892</v>
      </c>
      <c r="AA12" s="328" t="s">
        <v>893</v>
      </c>
      <c r="AB12" s="330" t="s">
        <v>894</v>
      </c>
      <c r="AC12" s="328" t="s">
        <v>895</v>
      </c>
      <c r="AD12" s="328" t="s">
        <v>896</v>
      </c>
      <c r="AE12" s="328" t="s">
        <v>897</v>
      </c>
      <c r="AF12" s="328" t="s">
        <v>898</v>
      </c>
      <c r="AG12" s="328" t="s">
        <v>899</v>
      </c>
      <c r="AH12" s="331" t="s">
        <v>900</v>
      </c>
      <c r="AI12" s="328" t="s">
        <v>901</v>
      </c>
      <c r="AJ12" s="330" t="s">
        <v>902</v>
      </c>
      <c r="AK12" s="328" t="s">
        <v>903</v>
      </c>
      <c r="AL12" s="328" t="s">
        <v>904</v>
      </c>
      <c r="AM12" s="328" t="s">
        <v>905</v>
      </c>
      <c r="AN12" s="328" t="s">
        <v>906</v>
      </c>
      <c r="AO12" s="328" t="s">
        <v>907</v>
      </c>
      <c r="AP12" s="331"/>
      <c r="AQ12" s="29" t="s">
        <v>876</v>
      </c>
      <c r="AR12" s="332" t="str">
        <f aca="true">IF(OFFSET($P$1,0,AR$13)=0,0,OFFSET($P$12,0,AR$13))</f>
        <v>CASA 01</v>
      </c>
      <c r="AS12" s="332" t="str">
        <f aca="true">IF(OFFSET($P$1,0,AS$13)=0,0,OFFSET($P$12,0,AS$13))</f>
        <v>CASA 02</v>
      </c>
      <c r="AT12" s="332" t="str">
        <f aca="true">IF(OFFSET($P$1,0,AT$13)=0,0,OFFSET($P$12,0,AT$13))</f>
        <v>CASA 03</v>
      </c>
      <c r="AU12" s="332" t="str">
        <f aca="true">IF(OFFSET($P$1,0,AU$13)=0,0,OFFSET($P$12,0,AU$13))</f>
        <v>CASA 04</v>
      </c>
      <c r="AV12" s="332" t="str">
        <f aca="true">IF(OFFSET($P$1,0,AV$13)=0,0,OFFSET($P$12,0,AV$13))</f>
        <v>CASA 05</v>
      </c>
      <c r="AW12" s="332" t="str">
        <f aca="true">IF(OFFSET($P$1,0,AW$13)=0,0,OFFSET($P$12,0,AW$13))</f>
        <v>CASA 06</v>
      </c>
      <c r="AX12" s="332" t="str">
        <f aca="true">IF(OFFSET($P$1,0,AX$13)=0,0,OFFSET($P$12,0,AX$13))</f>
        <v>CASA 07</v>
      </c>
      <c r="AY12" s="332" t="str">
        <f aca="true">IF(OFFSET($P$1,0,AY$13)=0,0,OFFSET($P$12,0,AY$13))</f>
        <v>CASA 08</v>
      </c>
      <c r="AZ12" s="332" t="str">
        <f aca="true">IF(OFFSET($P$1,0,AZ$13)=0,0,OFFSET($P$12,0,AZ$13))</f>
        <v>CASA 09</v>
      </c>
      <c r="BA12" s="332" t="str">
        <f aca="true">IF(OFFSET($P$1,0,BA$13)=0,0,OFFSET($P$12,0,BA$13))</f>
        <v>CASA 10</v>
      </c>
      <c r="BB12" s="332" t="str">
        <f aca="true">IF(OFFSET($P$1,0,BB$13)=0,0,OFFSET($P$12,0,BB$13))</f>
        <v>CASA 11</v>
      </c>
      <c r="BC12" s="332" t="str">
        <f aca="true">IF(OFFSET($P$1,0,BC$13)=0,0,OFFSET($P$12,0,BC$13))</f>
        <v>CASA 12</v>
      </c>
      <c r="BD12" s="332" t="str">
        <f aca="true">IF(OFFSET($P$1,0,BD$13)=0,0,OFFSET($P$12,0,BD$13))</f>
        <v>CASA 13</v>
      </c>
      <c r="BE12" s="332" t="str">
        <f aca="true">IF(OFFSET($P$1,0,BE$13)=0,0,OFFSET($P$12,0,BE$13))</f>
        <v>CASA 14</v>
      </c>
      <c r="BF12" s="332" t="str">
        <f aca="true">IF(OFFSET($P$1,0,BF$13)=0,0,OFFSET($P$12,0,BF$13))</f>
        <v>CASA 15</v>
      </c>
      <c r="BG12" s="332" t="str">
        <f aca="true">IF(OFFSET($P$1,0,BG$13)=0,0,OFFSET($P$12,0,BG$13))</f>
        <v>CASA 16</v>
      </c>
      <c r="BH12" s="332" t="str">
        <f aca="true">IF(OFFSET($P$1,0,BH$13)=0,0,OFFSET($P$12,0,BH$13))</f>
        <v>CASA 17</v>
      </c>
      <c r="BI12" s="332" t="str">
        <f aca="true">IF(OFFSET($P$1,0,BI$13)=0,0,OFFSET($P$12,0,BI$13))</f>
        <v>CASA 18</v>
      </c>
      <c r="BJ12" s="332" t="str">
        <f aca="true">IF(OFFSET($P$1,0,BJ$13)=0,0,OFFSET($P$12,0,BJ$13))</f>
        <v>CASA 19</v>
      </c>
      <c r="BK12" s="332" t="str">
        <f aca="true">IF(OFFSET($P$1,0,BK$13)=0,0,OFFSET($P$12,0,BK$13))</f>
        <v>CASA 20</v>
      </c>
      <c r="BL12" s="332" t="str">
        <f aca="true">IF(OFFSET($P$1,0,BL$13)=0,0,OFFSET($P$12,0,BL$13))</f>
        <v>CASA 21</v>
      </c>
      <c r="BM12" s="332" t="str">
        <f aca="true">IF(OFFSET($P$1,0,BM$13)=0,0,OFFSET($P$12,0,BM$13))</f>
        <v>CASA 22</v>
      </c>
      <c r="BN12" s="332" t="str">
        <f aca="true">IF(OFFSET($P$1,0,BN$13)=0,0,OFFSET($P$12,0,BN$13))</f>
        <v>CASA 23</v>
      </c>
      <c r="BO12" s="332" t="str">
        <f aca="true">IF(OFFSET($P$1,0,BO$13)=0,0,OFFSET($P$12,0,BO$13))</f>
        <v>CASA 24</v>
      </c>
      <c r="BP12" s="332" t="str">
        <f aca="true">IF(OFFSET($P$1,0,BP$13)=0,0,OFFSET($P$12,0,BP$13))</f>
        <v>CASA 25</v>
      </c>
      <c r="BQ12" s="332" t="n">
        <f aca="true">IF(OFFSET($P$1,0,BQ$13)=0,0,OFFSET($P$12,0,BQ$13))</f>
        <v>0</v>
      </c>
      <c r="BS12" s="332" t="str">
        <f aca="true">IF(OFFSET($P$1,0,BS$13)=0,0,OFFSET($P$12,0,BS$13))</f>
        <v>CASA 01</v>
      </c>
      <c r="BT12" s="333" t="str">
        <f aca="true">IF(OFFSET($P$1,0,BT$13)=0,0,OFFSET($P$12,0,BT$13))</f>
        <v>CASA 02</v>
      </c>
      <c r="BU12" s="333" t="str">
        <f aca="true">IF(OFFSET($P$1,0,BU$13)=0,0,OFFSET($P$12,0,BU$13))</f>
        <v>CASA 03</v>
      </c>
      <c r="BV12" s="333" t="str">
        <f aca="true">IF(OFFSET($P$1,0,BV$13)=0,0,OFFSET($P$12,0,BV$13))</f>
        <v>CASA 04</v>
      </c>
      <c r="BW12" s="333" t="str">
        <f aca="true">IF(OFFSET($P$1,0,BW$13)=0,0,OFFSET($P$12,0,BW$13))</f>
        <v>CASA 05</v>
      </c>
      <c r="BX12" s="333" t="str">
        <f aca="true">IF(OFFSET($P$1,0,BX$13)=0,0,OFFSET($P$12,0,BX$13))</f>
        <v>CASA 06</v>
      </c>
      <c r="BY12" s="333" t="str">
        <f aca="true">IF(OFFSET($P$1,0,BY$13)=0,0,OFFSET($P$12,0,BY$13))</f>
        <v>CASA 07</v>
      </c>
      <c r="BZ12" s="333" t="str">
        <f aca="true">IF(OFFSET($P$1,0,BZ$13)=0,0,OFFSET($P$12,0,BZ$13))</f>
        <v>CASA 08</v>
      </c>
      <c r="CA12" s="333" t="str">
        <f aca="true">IF(OFFSET($P$1,0,CA$13)=0,0,OFFSET($P$12,0,CA$13))</f>
        <v>CASA 09</v>
      </c>
      <c r="CB12" s="334" t="str">
        <f aca="true">IF(OFFSET($P$1,0,CB$13)=0,0,OFFSET($P$12,0,CB$13))</f>
        <v>CASA 10</v>
      </c>
      <c r="CC12" s="333" t="str">
        <f aca="true">IF(OFFSET($P$1,0,CC$13)=0,0,OFFSET($P$12,0,CC$13))</f>
        <v>CASA 11</v>
      </c>
      <c r="CD12" s="333" t="str">
        <f aca="true">IF(OFFSET($P$1,0,CD$13)=0,0,OFFSET($P$12,0,CD$13))</f>
        <v>CASA 12</v>
      </c>
      <c r="CE12" s="333" t="str">
        <f aca="true">IF(OFFSET($P$1,0,CE$13)=0,0,OFFSET($P$12,0,CE$13))</f>
        <v>CASA 13</v>
      </c>
      <c r="CF12" s="333" t="str">
        <f aca="true">IF(OFFSET($P$1,0,CF$13)=0,0,OFFSET($P$12,0,CF$13))</f>
        <v>CASA 14</v>
      </c>
      <c r="CG12" s="333" t="str">
        <f aca="true">IF(OFFSET($P$1,0,CG$13)=0,0,OFFSET($P$12,0,CG$13))</f>
        <v>CASA 15</v>
      </c>
      <c r="CH12" s="333" t="str">
        <f aca="true">IF(OFFSET($P$1,0,CH$13)=0,0,OFFSET($P$12,0,CH$13))</f>
        <v>CASA 16</v>
      </c>
      <c r="CI12" s="333" t="str">
        <f aca="true">IF(OFFSET($P$1,0,CI$13)=0,0,OFFSET($P$12,0,CI$13))</f>
        <v>CASA 17</v>
      </c>
      <c r="CJ12" s="334" t="str">
        <f aca="true">IF(OFFSET($P$1,0,CJ$13)=0,0,OFFSET($P$12,0,CJ$13))</f>
        <v>CASA 18</v>
      </c>
      <c r="CK12" s="333" t="str">
        <f aca="true">IF(OFFSET($P$1,0,CK$13)=0,0,OFFSET($P$12,0,CK$13))</f>
        <v>CASA 19</v>
      </c>
      <c r="CL12" s="333" t="str">
        <f aca="true">IF(OFFSET($P$1,0,CL$13)=0,0,OFFSET($P$12,0,CL$13))</f>
        <v>CASA 20</v>
      </c>
      <c r="CM12" s="333" t="str">
        <f aca="true">IF(OFFSET($P$1,0,CM$13)=0,0,OFFSET($P$12,0,CM$13))</f>
        <v>CASA 21</v>
      </c>
      <c r="CN12" s="333" t="str">
        <f aca="true">IF(OFFSET($P$1,0,CN$13)=0,0,OFFSET($P$12,0,CN$13))</f>
        <v>CASA 22</v>
      </c>
      <c r="CO12" s="333" t="str">
        <f aca="true">IF(OFFSET($P$1,0,CO$13)=0,0,OFFSET($P$12,0,CO$13))</f>
        <v>CASA 23</v>
      </c>
      <c r="CP12" s="333" t="str">
        <f aca="true">IF(OFFSET($P$1,0,CP$13)=0,0,OFFSET($P$12,0,CP$13))</f>
        <v>CASA 24</v>
      </c>
      <c r="CQ12" s="333" t="str">
        <f aca="true">IF(OFFSET($P$1,0,CQ$13)=0,0,OFFSET($P$12,0,CQ$13))</f>
        <v>CASA 25</v>
      </c>
      <c r="CR12" s="334" t="n">
        <f aca="true">IF(OFFSET($P$1,0,CR$13)=0,0,OFFSET($P$12,0,CR$13))</f>
        <v>0</v>
      </c>
      <c r="CT12" s="332" t="str">
        <f aca="true">IF(OFFSET($P$1,0,CT$13)=0,0,OFFSET($P$12,0,CT$13))</f>
        <v>CASA 01</v>
      </c>
      <c r="CU12" s="333" t="str">
        <f aca="true">IF(OFFSET($P$1,0,CU$13)=0,0,OFFSET($P$12,0,CU$13))</f>
        <v>CASA 02</v>
      </c>
      <c r="CV12" s="333" t="str">
        <f aca="true">IF(OFFSET($P$1,0,CV$13)=0,0,OFFSET($P$12,0,CV$13))</f>
        <v>CASA 03</v>
      </c>
      <c r="CW12" s="333" t="str">
        <f aca="true">IF(OFFSET($P$1,0,CW$13)=0,0,OFFSET($P$12,0,CW$13))</f>
        <v>CASA 04</v>
      </c>
      <c r="CX12" s="333" t="str">
        <f aca="true">IF(OFFSET($P$1,0,CX$13)=0,0,OFFSET($P$12,0,CX$13))</f>
        <v>CASA 05</v>
      </c>
      <c r="CY12" s="333" t="str">
        <f aca="true">IF(OFFSET($P$1,0,CY$13)=0,0,OFFSET($P$12,0,CY$13))</f>
        <v>CASA 06</v>
      </c>
      <c r="CZ12" s="333" t="str">
        <f aca="true">IF(OFFSET($P$1,0,CZ$13)=0,0,OFFSET($P$12,0,CZ$13))</f>
        <v>CASA 07</v>
      </c>
      <c r="DA12" s="333" t="str">
        <f aca="true">IF(OFFSET($P$1,0,DA$13)=0,0,OFFSET($P$12,0,DA$13))</f>
        <v>CASA 08</v>
      </c>
      <c r="DB12" s="333" t="str">
        <f aca="true">IF(OFFSET($P$1,0,DB$13)=0,0,OFFSET($P$12,0,DB$13))</f>
        <v>CASA 09</v>
      </c>
      <c r="DC12" s="334" t="str">
        <f aca="true">IF(OFFSET($P$1,0,DC$13)=0,0,OFFSET($P$12,0,DC$13))</f>
        <v>CASA 10</v>
      </c>
      <c r="DD12" s="333" t="str">
        <f aca="true">IF(OFFSET($P$1,0,DD$13)=0,0,OFFSET($P$12,0,DD$13))</f>
        <v>CASA 11</v>
      </c>
      <c r="DE12" s="333" t="str">
        <f aca="true">IF(OFFSET($P$1,0,DE$13)=0,0,OFFSET($P$12,0,DE$13))</f>
        <v>CASA 12</v>
      </c>
      <c r="DF12" s="333" t="str">
        <f aca="true">IF(OFFSET($P$1,0,DF$13)=0,0,OFFSET($P$12,0,DF$13))</f>
        <v>CASA 13</v>
      </c>
      <c r="DG12" s="333" t="str">
        <f aca="true">IF(OFFSET($P$1,0,DG$13)=0,0,OFFSET($P$12,0,DG$13))</f>
        <v>CASA 14</v>
      </c>
      <c r="DH12" s="333" t="str">
        <f aca="true">IF(OFFSET($P$1,0,DH$13)=0,0,OFFSET($P$12,0,DH$13))</f>
        <v>CASA 15</v>
      </c>
      <c r="DI12" s="333" t="str">
        <f aca="true">IF(OFFSET($P$1,0,DI$13)=0,0,OFFSET($P$12,0,DI$13))</f>
        <v>CASA 16</v>
      </c>
      <c r="DJ12" s="333" t="str">
        <f aca="true">IF(OFFSET($P$1,0,DJ$13)=0,0,OFFSET($P$12,0,DJ$13))</f>
        <v>CASA 17</v>
      </c>
      <c r="DK12" s="334" t="str">
        <f aca="true">IF(OFFSET($P$1,0,DK$13)=0,0,OFFSET($P$12,0,DK$13))</f>
        <v>CASA 18</v>
      </c>
      <c r="DL12" s="333" t="str">
        <f aca="true">IF(OFFSET($P$1,0,DL$13)=0,0,OFFSET($P$12,0,DL$13))</f>
        <v>CASA 19</v>
      </c>
      <c r="DM12" s="333" t="str">
        <f aca="true">IF(OFFSET($P$1,0,DM$13)=0,0,OFFSET($P$12,0,DM$13))</f>
        <v>CASA 20</v>
      </c>
      <c r="DN12" s="333" t="str">
        <f aca="true">IF(OFFSET($P$1,0,DN$13)=0,0,OFFSET($P$12,0,DN$13))</f>
        <v>CASA 21</v>
      </c>
      <c r="DO12" s="333" t="str">
        <f aca="true">IF(OFFSET($P$1,0,DO$13)=0,0,OFFSET($P$12,0,DO$13))</f>
        <v>CASA 22</v>
      </c>
      <c r="DP12" s="333" t="str">
        <f aca="true">IF(OFFSET($P$1,0,DP$13)=0,0,OFFSET($P$12,0,DP$13))</f>
        <v>CASA 23</v>
      </c>
      <c r="DQ12" s="333" t="str">
        <f aca="true">IF(OFFSET($P$1,0,DQ$13)=0,0,OFFSET($P$12,0,DQ$13))</f>
        <v>CASA 24</v>
      </c>
      <c r="DR12" s="333" t="str">
        <f aca="true">IF(OFFSET($P$1,0,DR$13)=0,0,OFFSET($P$12,0,DR$13))</f>
        <v>CASA 25</v>
      </c>
      <c r="DS12" s="334" t="n">
        <f aca="true">IF(OFFSET($P$1,0,DS$13)=0,0,OFFSET($P$12,0,DS$13))</f>
        <v>0</v>
      </c>
    </row>
    <row r="13" customFormat="false" ht="12.75" hidden="false" customHeight="true" outlineLevel="0" collapsed="false">
      <c r="A13" s="60" t="s">
        <v>908</v>
      </c>
      <c r="B13" s="50" t="s">
        <v>881</v>
      </c>
      <c r="C13" s="335" t="s">
        <v>687</v>
      </c>
      <c r="D13" s="189" t="s">
        <v>763</v>
      </c>
      <c r="E13" s="189" t="s">
        <v>765</v>
      </c>
      <c r="F13" s="189" t="s">
        <v>132</v>
      </c>
      <c r="G13" s="191" t="s">
        <v>768</v>
      </c>
      <c r="H13" s="189" t="s">
        <v>742</v>
      </c>
      <c r="I13" s="189" t="s">
        <v>909</v>
      </c>
      <c r="J13" s="336"/>
      <c r="K13" s="197" t="s">
        <v>910</v>
      </c>
      <c r="L13" s="29"/>
      <c r="M13" s="189" t="s">
        <v>911</v>
      </c>
      <c r="N13" s="189" t="s">
        <v>912</v>
      </c>
      <c r="O13" s="337" t="e">
        <f aca="true">OFFSET(O13,0,-1)+1</f>
        <v>#VALUE!</v>
      </c>
      <c r="Q13" s="195" t="n">
        <f aca="true">OFFSET(Q13,0,-1)+1</f>
        <v>1</v>
      </c>
      <c r="R13" s="337" t="n">
        <f aca="true">OFFSET(R13,0,-1)+1</f>
        <v>2</v>
      </c>
      <c r="S13" s="337" t="n">
        <f aca="true">OFFSET(S13,0,-1)+1</f>
        <v>3</v>
      </c>
      <c r="T13" s="337" t="n">
        <f aca="true">OFFSET(T13,0,-1)+1</f>
        <v>4</v>
      </c>
      <c r="U13" s="337" t="n">
        <f aca="true">OFFSET(U13,0,-1)+1</f>
        <v>5</v>
      </c>
      <c r="V13" s="337" t="n">
        <f aca="true">OFFSET(V13,0,-1)+1</f>
        <v>6</v>
      </c>
      <c r="W13" s="337" t="n">
        <f aca="true">OFFSET(W13,0,-1)+1</f>
        <v>7</v>
      </c>
      <c r="X13" s="337" t="n">
        <f aca="true">OFFSET(X13,0,-1)+1</f>
        <v>8</v>
      </c>
      <c r="Y13" s="337" t="n">
        <f aca="true">OFFSET(Y13,0,-1)+1</f>
        <v>9</v>
      </c>
      <c r="Z13" s="198" t="n">
        <f aca="true">OFFSET(Z13,0,-1)+1</f>
        <v>10</v>
      </c>
      <c r="AA13" s="337" t="n">
        <f aca="true">OFFSET(AA13,0,-1)+1</f>
        <v>11</v>
      </c>
      <c r="AB13" s="337" t="n">
        <f aca="true">OFFSET(AB13,0,-1)+1</f>
        <v>12</v>
      </c>
      <c r="AC13" s="337" t="n">
        <f aca="true">OFFSET(AC13,0,-1)+1</f>
        <v>13</v>
      </c>
      <c r="AD13" s="337" t="n">
        <f aca="true">OFFSET(AD13,0,-1)+1</f>
        <v>14</v>
      </c>
      <c r="AE13" s="337" t="n">
        <f aca="true">OFFSET(AE13,0,-1)+1</f>
        <v>15</v>
      </c>
      <c r="AF13" s="337" t="n">
        <f aca="true">OFFSET(AF13,0,-1)+1</f>
        <v>16</v>
      </c>
      <c r="AG13" s="337" t="n">
        <f aca="true">OFFSET(AG13,0,-1)+1</f>
        <v>17</v>
      </c>
      <c r="AH13" s="198" t="n">
        <f aca="true">OFFSET(AH13,0,-1)+1</f>
        <v>18</v>
      </c>
      <c r="AI13" s="337" t="n">
        <f aca="true">OFFSET(AI13,0,-1)+1</f>
        <v>19</v>
      </c>
      <c r="AJ13" s="337" t="n">
        <f aca="true">OFFSET(AJ13,0,-1)+1</f>
        <v>20</v>
      </c>
      <c r="AK13" s="337" t="n">
        <f aca="true">OFFSET(AK13,0,-1)+1</f>
        <v>21</v>
      </c>
      <c r="AL13" s="337" t="n">
        <f aca="true">OFFSET(AL13,0,-1)+1</f>
        <v>22</v>
      </c>
      <c r="AM13" s="337" t="n">
        <f aca="true">OFFSET(AM13,0,-1)+1</f>
        <v>23</v>
      </c>
      <c r="AN13" s="337" t="n">
        <f aca="true">OFFSET(AN13,0,-1)+1</f>
        <v>24</v>
      </c>
      <c r="AO13" s="337" t="n">
        <f aca="true">OFFSET(AO13,0,-1)+1</f>
        <v>25</v>
      </c>
      <c r="AP13" s="198" t="n">
        <f aca="true">OFFSET(AP13,0,-1)+1</f>
        <v>26</v>
      </c>
      <c r="AR13" s="338" t="n">
        <f aca="true">OFFSET(AR13,0,-1)+1</f>
        <v>1</v>
      </c>
      <c r="AS13" s="339" t="n">
        <f aca="true">OFFSET(AS13,0,-1)+1</f>
        <v>2</v>
      </c>
      <c r="AT13" s="339" t="n">
        <f aca="true">OFFSET(AT13,0,-1)+1</f>
        <v>3</v>
      </c>
      <c r="AU13" s="339" t="n">
        <f aca="true">OFFSET(AU13,0,-1)+1</f>
        <v>4</v>
      </c>
      <c r="AV13" s="339" t="n">
        <f aca="true">OFFSET(AV13,0,-1)+1</f>
        <v>5</v>
      </c>
      <c r="AW13" s="339" t="n">
        <f aca="true">OFFSET(AW13,0,-1)+1</f>
        <v>6</v>
      </c>
      <c r="AX13" s="339" t="n">
        <f aca="true">OFFSET(AX13,0,-1)+1</f>
        <v>7</v>
      </c>
      <c r="AY13" s="339" t="n">
        <f aca="true">OFFSET(AY13,0,-1)+1</f>
        <v>8</v>
      </c>
      <c r="AZ13" s="339" t="n">
        <f aca="true">OFFSET(AZ13,0,-1)+1</f>
        <v>9</v>
      </c>
      <c r="BA13" s="340" t="n">
        <f aca="true">OFFSET(BA13,0,-1)+1</f>
        <v>10</v>
      </c>
      <c r="BB13" s="339" t="n">
        <f aca="true">OFFSET(BB13,0,-1)+1</f>
        <v>11</v>
      </c>
      <c r="BC13" s="339" t="n">
        <f aca="true">OFFSET(BC13,0,-1)+1</f>
        <v>12</v>
      </c>
      <c r="BD13" s="339" t="n">
        <f aca="true">OFFSET(BD13,0,-1)+1</f>
        <v>13</v>
      </c>
      <c r="BE13" s="339" t="n">
        <f aca="true">OFFSET(BE13,0,-1)+1</f>
        <v>14</v>
      </c>
      <c r="BF13" s="339" t="n">
        <f aca="true">OFFSET(BF13,0,-1)+1</f>
        <v>15</v>
      </c>
      <c r="BG13" s="339" t="n">
        <f aca="true">OFFSET(BG13,0,-1)+1</f>
        <v>16</v>
      </c>
      <c r="BH13" s="339" t="n">
        <f aca="true">OFFSET(BH13,0,-1)+1</f>
        <v>17</v>
      </c>
      <c r="BI13" s="340" t="n">
        <f aca="true">OFFSET(BI13,0,-1)+1</f>
        <v>18</v>
      </c>
      <c r="BJ13" s="339" t="n">
        <f aca="true">OFFSET(BJ13,0,-1)+1</f>
        <v>19</v>
      </c>
      <c r="BK13" s="339" t="n">
        <f aca="true">OFFSET(BK13,0,-1)+1</f>
        <v>20</v>
      </c>
      <c r="BL13" s="339" t="n">
        <f aca="true">OFFSET(BL13,0,-1)+1</f>
        <v>21</v>
      </c>
      <c r="BM13" s="339" t="n">
        <f aca="true">OFFSET(BM13,0,-1)+1</f>
        <v>22</v>
      </c>
      <c r="BN13" s="339" t="n">
        <f aca="true">OFFSET(BN13,0,-1)+1</f>
        <v>23</v>
      </c>
      <c r="BO13" s="339" t="n">
        <f aca="true">OFFSET(BO13,0,-1)+1</f>
        <v>24</v>
      </c>
      <c r="BP13" s="339" t="n">
        <f aca="true">OFFSET(BP13,0,-1)+1</f>
        <v>25</v>
      </c>
      <c r="BQ13" s="340" t="n">
        <f aca="true">OFFSET(BQ13,0,-1)+1</f>
        <v>26</v>
      </c>
      <c r="BS13" s="338" t="n">
        <f aca="true">OFFSET(BS13,0,-1)+1</f>
        <v>1</v>
      </c>
      <c r="BT13" s="339" t="n">
        <f aca="true">OFFSET(BT13,0,-1)+1</f>
        <v>2</v>
      </c>
      <c r="BU13" s="339" t="n">
        <f aca="true">OFFSET(BU13,0,-1)+1</f>
        <v>3</v>
      </c>
      <c r="BV13" s="339" t="n">
        <f aca="true">OFFSET(BV13,0,-1)+1</f>
        <v>4</v>
      </c>
      <c r="BW13" s="339" t="n">
        <f aca="true">OFFSET(BW13,0,-1)+1</f>
        <v>5</v>
      </c>
      <c r="BX13" s="339" t="n">
        <f aca="true">OFFSET(BX13,0,-1)+1</f>
        <v>6</v>
      </c>
      <c r="BY13" s="339" t="n">
        <f aca="true">OFFSET(BY13,0,-1)+1</f>
        <v>7</v>
      </c>
      <c r="BZ13" s="339" t="n">
        <f aca="true">OFFSET(BZ13,0,-1)+1</f>
        <v>8</v>
      </c>
      <c r="CA13" s="339" t="n">
        <f aca="true">OFFSET(CA13,0,-1)+1</f>
        <v>9</v>
      </c>
      <c r="CB13" s="340" t="n">
        <f aca="true">OFFSET(CB13,0,-1)+1</f>
        <v>10</v>
      </c>
      <c r="CC13" s="339" t="n">
        <f aca="true">OFFSET(CC13,0,-1)+1</f>
        <v>11</v>
      </c>
      <c r="CD13" s="339" t="n">
        <f aca="true">OFFSET(CD13,0,-1)+1</f>
        <v>12</v>
      </c>
      <c r="CE13" s="339" t="n">
        <f aca="true">OFFSET(CE13,0,-1)+1</f>
        <v>13</v>
      </c>
      <c r="CF13" s="339" t="n">
        <f aca="true">OFFSET(CF13,0,-1)+1</f>
        <v>14</v>
      </c>
      <c r="CG13" s="339" t="n">
        <f aca="true">OFFSET(CG13,0,-1)+1</f>
        <v>15</v>
      </c>
      <c r="CH13" s="339" t="n">
        <f aca="true">OFFSET(CH13,0,-1)+1</f>
        <v>16</v>
      </c>
      <c r="CI13" s="339" t="n">
        <f aca="true">OFFSET(CI13,0,-1)+1</f>
        <v>17</v>
      </c>
      <c r="CJ13" s="340" t="n">
        <f aca="true">OFFSET(CJ13,0,-1)+1</f>
        <v>18</v>
      </c>
      <c r="CK13" s="339" t="n">
        <f aca="true">OFFSET(CK13,0,-1)+1</f>
        <v>19</v>
      </c>
      <c r="CL13" s="339" t="n">
        <f aca="true">OFFSET(CL13,0,-1)+1</f>
        <v>20</v>
      </c>
      <c r="CM13" s="339" t="n">
        <f aca="true">OFFSET(CM13,0,-1)+1</f>
        <v>21</v>
      </c>
      <c r="CN13" s="339" t="n">
        <f aca="true">OFFSET(CN13,0,-1)+1</f>
        <v>22</v>
      </c>
      <c r="CO13" s="339" t="n">
        <f aca="true">OFFSET(CO13,0,-1)+1</f>
        <v>23</v>
      </c>
      <c r="CP13" s="339" t="n">
        <f aca="true">OFFSET(CP13,0,-1)+1</f>
        <v>24</v>
      </c>
      <c r="CQ13" s="339" t="n">
        <f aca="true">OFFSET(CQ13,0,-1)+1</f>
        <v>25</v>
      </c>
      <c r="CR13" s="340" t="n">
        <f aca="true">OFFSET(CR13,0,-1)+1</f>
        <v>26</v>
      </c>
      <c r="CT13" s="338" t="n">
        <f aca="true">OFFSET(CT13,0,-1)+1</f>
        <v>1</v>
      </c>
      <c r="CU13" s="339" t="n">
        <f aca="true">OFFSET(CU13,0,-1)+1</f>
        <v>2</v>
      </c>
      <c r="CV13" s="339" t="n">
        <f aca="true">OFFSET(CV13,0,-1)+1</f>
        <v>3</v>
      </c>
      <c r="CW13" s="339" t="n">
        <f aca="true">OFFSET(CW13,0,-1)+1</f>
        <v>4</v>
      </c>
      <c r="CX13" s="339" t="n">
        <f aca="true">OFFSET(CX13,0,-1)+1</f>
        <v>5</v>
      </c>
      <c r="CY13" s="339" t="n">
        <f aca="true">OFFSET(CY13,0,-1)+1</f>
        <v>6</v>
      </c>
      <c r="CZ13" s="339" t="n">
        <f aca="true">OFFSET(CZ13,0,-1)+1</f>
        <v>7</v>
      </c>
      <c r="DA13" s="339" t="n">
        <f aca="true">OFFSET(DA13,0,-1)+1</f>
        <v>8</v>
      </c>
      <c r="DB13" s="339" t="n">
        <f aca="true">OFFSET(DB13,0,-1)+1</f>
        <v>9</v>
      </c>
      <c r="DC13" s="340" t="n">
        <f aca="true">OFFSET(DC13,0,-1)+1</f>
        <v>10</v>
      </c>
      <c r="DD13" s="339" t="n">
        <f aca="true">OFFSET(DD13,0,-1)+1</f>
        <v>11</v>
      </c>
      <c r="DE13" s="339" t="n">
        <f aca="true">OFFSET(DE13,0,-1)+1</f>
        <v>12</v>
      </c>
      <c r="DF13" s="339" t="n">
        <f aca="true">OFFSET(DF13,0,-1)+1</f>
        <v>13</v>
      </c>
      <c r="DG13" s="339" t="n">
        <f aca="true">OFFSET(DG13,0,-1)+1</f>
        <v>14</v>
      </c>
      <c r="DH13" s="339" t="n">
        <f aca="true">OFFSET(DH13,0,-1)+1</f>
        <v>15</v>
      </c>
      <c r="DI13" s="339" t="n">
        <f aca="true">OFFSET(DI13,0,-1)+1</f>
        <v>16</v>
      </c>
      <c r="DJ13" s="339" t="n">
        <f aca="true">OFFSET(DJ13,0,-1)+1</f>
        <v>17</v>
      </c>
      <c r="DK13" s="340" t="n">
        <f aca="true">OFFSET(DK13,0,-1)+1</f>
        <v>18</v>
      </c>
      <c r="DL13" s="339" t="n">
        <f aca="true">OFFSET(DL13,0,-1)+1</f>
        <v>19</v>
      </c>
      <c r="DM13" s="339" t="n">
        <f aca="true">OFFSET(DM13,0,-1)+1</f>
        <v>20</v>
      </c>
      <c r="DN13" s="339" t="n">
        <f aca="true">OFFSET(DN13,0,-1)+1</f>
        <v>21</v>
      </c>
      <c r="DO13" s="339" t="n">
        <f aca="true">OFFSET(DO13,0,-1)+1</f>
        <v>22</v>
      </c>
      <c r="DP13" s="339" t="n">
        <f aca="true">OFFSET(DP13,0,-1)+1</f>
        <v>23</v>
      </c>
      <c r="DQ13" s="339" t="n">
        <f aca="true">OFFSET(DQ13,0,-1)+1</f>
        <v>24</v>
      </c>
      <c r="DR13" s="339" t="n">
        <f aca="true">OFFSET(DR13,0,-1)+1</f>
        <v>25</v>
      </c>
      <c r="DS13" s="340" t="n">
        <f aca="true">OFFSET(DS13,0,-1)+1</f>
        <v>26</v>
      </c>
    </row>
    <row r="14" customFormat="false" ht="12.75" hidden="true" customHeight="false" outlineLevel="0" collapsed="false">
      <c r="A14" s="50" t="str">
        <f aca="true">IFERROR(IF(AUTOEVENTO="Manual",IF(K14&lt;&gt;"",MIN(VALUE(LEFT(K14,FIND(".",K14)-1)),COUNTA(EVENTOS.Lista)),0),IF(OR($B14&gt;AUTOEVENTO,$B14="S",$B14=0),SUBSTITUTE(OFFSET($A14,-1,0),IF($D14="Serviço",".",""),""),ROW(A14)-ROW($A$15)&amp;".")),0)</f>
        <v>AUTOEVENTO</v>
      </c>
      <c r="B14" s="50" t="str">
        <f aca="true">OFFSET(ORÇAMENTO!C$15,ROW(B14)-ROW(B$15),0)</f>
        <v>S</v>
      </c>
      <c r="C14" s="50" t="str">
        <f aca="true">OFFSET(ORÇAMENTO!L$15,ROW(C14)-ROW(C$15),0)</f>
        <v/>
      </c>
      <c r="D14" s="201" t="str">
        <f aca="true">OFFSET(ORÇAMENTO!N$15,ROW(D14)-ROW(D$15),0)</f>
        <v>Serviço</v>
      </c>
      <c r="E14" s="202" t="str">
        <f aca="true">OFFSET(ORÇAMENTO!O$15,ROW(E14)-ROW(E$15),0)</f>
        <v>-</v>
      </c>
      <c r="F14" s="341" t="str">
        <f aca="true">OFFSET(ORÇAMENTO!R$15,ROW(F14)-ROW(F$15),0)</f>
        <v>(abra o arquivo 'Referência 07-2025.xlsm)</v>
      </c>
      <c r="G14" s="342" t="str">
        <f aca="true">IF($D14&lt;&gt;"Serviço","",OFFSET(ORÇAMENTO!S$15,ROW(G14)-ROW(G$15),0))</f>
        <v>-</v>
      </c>
      <c r="H14" s="207" t="n">
        <f aca="true">IF($D14&lt;&gt;"Serviço",0,IF(ACOMPANHAMENTO="BM",ROUND(OFFSET(ORÇAMENTO!AJ$15,ROW(H14)-ROW(H$15),0),15-13*ORÇAMENTO!$AF$7),SUMPRODUCT(($Q$1:$AQ$1=1)*ROUND($Q14:$AQ14,15-13*ORÇAMENTO!$AF$7))))</f>
        <v>0</v>
      </c>
      <c r="I14" s="343"/>
      <c r="J14" s="344" t="e">
        <f aca="false">IF(OR(B14&lt;&gt;"S",CÁLCULO.FrentesPreenchidas=0),"",IF(AND(ACOMPANHAMENTO="PLE",AUTOEVENTO="Manual",OR(H14&gt;0,ORÇAMENTO!AC14="QUANT."),OR(K14="",M14=0,N14="")),"►",IF(AND(ACOMPANHAMENTO="PLE",ORÇAMENTO!AC14="QUANT."),"►►",IF(AND(COUNTIF($P$11:$AQ$11,"▼")=0,H14&gt;0,I14=""),"◄",""))))</f>
        <v>#NAME?</v>
      </c>
      <c r="K14" s="345"/>
      <c r="L14" s="346" t="s">
        <v>876</v>
      </c>
      <c r="M14" s="347" t="str">
        <f aca="true">IF($D14&lt;&gt;"Serviço","",
          IF(AUTOEVENTO="manual",$A14,
                IF(ISERROR(MATCH($A14,$A$15:OFFSET($A14,-1,0),0)),MAX($M$15:OFFSET(M14,-1,0))+1,
                      INDEX($M$15:OFFSET(M14,-1,0),MATCH($A14,$A$15:OFFSET($A14,-1,0),0)))))</f>
        <v># Evento</v>
      </c>
      <c r="N14" s="348" t="e">
        <f aca="true">IF($D14&lt;&gt;"Serviço","",
         IF(AUTOEVENTO="Manual",
                IF($A14=0,"&lt;-- defina o número do agrupador",
                       OFFSET(EVENTOS!$D$15,$A14-$A$15,0)),
                OFFSET($F$15,$A14,0)))</f>
        <v>#VALUE!</v>
      </c>
      <c r="O14" s="349"/>
      <c r="Q14" s="349"/>
      <c r="R14" s="350"/>
      <c r="S14" s="350"/>
      <c r="T14" s="350"/>
      <c r="U14" s="350"/>
      <c r="V14" s="350"/>
      <c r="W14" s="350"/>
      <c r="X14" s="350"/>
      <c r="Y14" s="350"/>
      <c r="Z14" s="351"/>
      <c r="AA14" s="350"/>
      <c r="AB14" s="350"/>
      <c r="AC14" s="350"/>
      <c r="AD14" s="350"/>
      <c r="AE14" s="350"/>
      <c r="AF14" s="350"/>
      <c r="AG14" s="350"/>
      <c r="AH14" s="351"/>
      <c r="AI14" s="350"/>
      <c r="AJ14" s="350"/>
      <c r="AK14" s="350"/>
      <c r="AL14" s="350"/>
      <c r="AM14" s="350"/>
      <c r="AN14" s="350"/>
      <c r="AO14" s="350"/>
      <c r="AP14" s="351"/>
      <c r="AR14" s="352" t="n">
        <f aca="true">IF(AND($D14="Serviço",AR$12&lt;&gt;0,$H14&gt;0,OR(AUTOEVENTO&lt;&gt;"manual",$M14&lt;&gt;$A$15)),
        IF(Import.TipoArredondamento&lt;&gt;"TransfereGOV",
              ROUND(OFFSET($P14,0,AR$13),15-13*ORÇAMENTO!$AF$7)/$H14*OFFSET(ORÇAMENTO!$X$15,ROW(AR14)-ROW(AR$15),0),
              ROUND(ROUND(OFFSET($P14,0,AR$13),15-13*ORÇAMENTO!$AF$7)*OFFSET(ORÇAMENTO!$W$15,ROW(AR14)-ROW(AR$15),0),15-13*ORÇAMENTO!$AF$11)),
         0)</f>
        <v>0</v>
      </c>
      <c r="AS14" s="352" t="n">
        <f aca="true">IF(AND($D14="Serviço",AS$12&lt;&gt;0,$H14&gt;0,OR(AUTOEVENTO&lt;&gt;"manual",$M14&lt;&gt;$A$15)),
        IF(Import.TipoArredondamento&lt;&gt;"TransfereGOV",
              ROUND(OFFSET($P14,0,AS$13),15-13*ORÇAMENTO!$AF$7)/$H14*OFFSET(ORÇAMENTO!$X$15,ROW(AS14)-ROW(AS$15),0),
              ROUND(ROUND(OFFSET($P14,0,AS$13),15-13*ORÇAMENTO!$AF$7)*OFFSET(ORÇAMENTO!$W$15,ROW(AS14)-ROW(AS$15),0),15-13*ORÇAMENTO!$AF$11)),
         0)</f>
        <v>0</v>
      </c>
      <c r="AT14" s="352" t="n">
        <f aca="true">IF(AND($D14="Serviço",AT$12&lt;&gt;0,$H14&gt;0,OR(AUTOEVENTO&lt;&gt;"manual",$M14&lt;&gt;$A$15)),
        IF(Import.TipoArredondamento&lt;&gt;"TransfereGOV",
              ROUND(OFFSET($P14,0,AT$13),15-13*ORÇAMENTO!$AF$7)/$H14*OFFSET(ORÇAMENTO!$X$15,ROW(AT14)-ROW(AT$15),0),
              ROUND(ROUND(OFFSET($P14,0,AT$13),15-13*ORÇAMENTO!$AF$7)*OFFSET(ORÇAMENTO!$W$15,ROW(AT14)-ROW(AT$15),0),15-13*ORÇAMENTO!$AF$11)),
         0)</f>
        <v>0</v>
      </c>
      <c r="AU14" s="352" t="n">
        <f aca="true">IF(AND($D14="Serviço",AU$12&lt;&gt;0,$H14&gt;0,OR(AUTOEVENTO&lt;&gt;"manual",$M14&lt;&gt;$A$15)),
        IF(Import.TipoArredondamento&lt;&gt;"TransfereGOV",
              ROUND(OFFSET($P14,0,AU$13),15-13*ORÇAMENTO!$AF$7)/$H14*OFFSET(ORÇAMENTO!$X$15,ROW(AU14)-ROW(AU$15),0),
              ROUND(ROUND(OFFSET($P14,0,AU$13),15-13*ORÇAMENTO!$AF$7)*OFFSET(ORÇAMENTO!$W$15,ROW(AU14)-ROW(AU$15),0),15-13*ORÇAMENTO!$AF$11)),
         0)</f>
        <v>0</v>
      </c>
      <c r="AV14" s="352" t="n">
        <f aca="true">IF(AND($D14="Serviço",AV$12&lt;&gt;0,$H14&gt;0,OR(AUTOEVENTO&lt;&gt;"manual",$M14&lt;&gt;$A$15)),
        IF(Import.TipoArredondamento&lt;&gt;"TransfereGOV",
              ROUND(OFFSET($P14,0,AV$13),15-13*ORÇAMENTO!$AF$7)/$H14*OFFSET(ORÇAMENTO!$X$15,ROW(AV14)-ROW(AV$15),0),
              ROUND(ROUND(OFFSET($P14,0,AV$13),15-13*ORÇAMENTO!$AF$7)*OFFSET(ORÇAMENTO!$W$15,ROW(AV14)-ROW(AV$15),0),15-13*ORÇAMENTO!$AF$11)),
         0)</f>
        <v>0</v>
      </c>
      <c r="AW14" s="352" t="n">
        <f aca="true">IF(AND($D14="Serviço",AW$12&lt;&gt;0,$H14&gt;0,OR(AUTOEVENTO&lt;&gt;"manual",$M14&lt;&gt;$A$15)),
        IF(Import.TipoArredondamento&lt;&gt;"TransfereGOV",
              ROUND(OFFSET($P14,0,AW$13),15-13*ORÇAMENTO!$AF$7)/$H14*OFFSET(ORÇAMENTO!$X$15,ROW(AW14)-ROW(AW$15),0),
              ROUND(ROUND(OFFSET($P14,0,AW$13),15-13*ORÇAMENTO!$AF$7)*OFFSET(ORÇAMENTO!$W$15,ROW(AW14)-ROW(AW$15),0),15-13*ORÇAMENTO!$AF$11)),
         0)</f>
        <v>0</v>
      </c>
      <c r="AX14" s="352" t="n">
        <f aca="true">IF(AND($D14="Serviço",AX$12&lt;&gt;0,$H14&gt;0,OR(AUTOEVENTO&lt;&gt;"manual",$M14&lt;&gt;$A$15)),
        IF(Import.TipoArredondamento&lt;&gt;"TransfereGOV",
              ROUND(OFFSET($P14,0,AX$13),15-13*ORÇAMENTO!$AF$7)/$H14*OFFSET(ORÇAMENTO!$X$15,ROW(AX14)-ROW(AX$15),0),
              ROUND(ROUND(OFFSET($P14,0,AX$13),15-13*ORÇAMENTO!$AF$7)*OFFSET(ORÇAMENTO!$W$15,ROW(AX14)-ROW(AX$15),0),15-13*ORÇAMENTO!$AF$11)),
         0)</f>
        <v>0</v>
      </c>
      <c r="AY14" s="352" t="n">
        <f aca="true">IF(AND($D14="Serviço",AY$12&lt;&gt;0,$H14&gt;0,OR(AUTOEVENTO&lt;&gt;"manual",$M14&lt;&gt;$A$15)),
        IF(Import.TipoArredondamento&lt;&gt;"TransfereGOV",
              ROUND(OFFSET($P14,0,AY$13),15-13*ORÇAMENTO!$AF$7)/$H14*OFFSET(ORÇAMENTO!$X$15,ROW(AY14)-ROW(AY$15),0),
              ROUND(ROUND(OFFSET($P14,0,AY$13),15-13*ORÇAMENTO!$AF$7)*OFFSET(ORÇAMENTO!$W$15,ROW(AY14)-ROW(AY$15),0),15-13*ORÇAMENTO!$AF$11)),
         0)</f>
        <v>0</v>
      </c>
      <c r="AZ14" s="352" t="n">
        <f aca="true">IF(AND($D14="Serviço",AZ$12&lt;&gt;0,$H14&gt;0,OR(AUTOEVENTO&lt;&gt;"manual",$M14&lt;&gt;$A$15)),
        IF(Import.TipoArredondamento&lt;&gt;"TransfereGOV",
              ROUND(OFFSET($P14,0,AZ$13),15-13*ORÇAMENTO!$AF$7)/$H14*OFFSET(ORÇAMENTO!$X$15,ROW(AZ14)-ROW(AZ$15),0),
              ROUND(ROUND(OFFSET($P14,0,AZ$13),15-13*ORÇAMENTO!$AF$7)*OFFSET(ORÇAMENTO!$W$15,ROW(AZ14)-ROW(AZ$15),0),15-13*ORÇAMENTO!$AF$11)),
         0)</f>
        <v>0</v>
      </c>
      <c r="BA14" s="352" t="n">
        <f aca="true">IF(AND($D14="Serviço",BA$12&lt;&gt;0,$H14&gt;0,OR(AUTOEVENTO&lt;&gt;"manual",$M14&lt;&gt;$A$15)),
        IF(Import.TipoArredondamento&lt;&gt;"TransfereGOV",
              ROUND(OFFSET($P14,0,BA$13),15-13*ORÇAMENTO!$AF$7)/$H14*OFFSET(ORÇAMENTO!$X$15,ROW(BA14)-ROW(BA$15),0),
              ROUND(ROUND(OFFSET($P14,0,BA$13),15-13*ORÇAMENTO!$AF$7)*OFFSET(ORÇAMENTO!$W$15,ROW(BA14)-ROW(BA$15),0),15-13*ORÇAMENTO!$AF$11)),
         0)</f>
        <v>0</v>
      </c>
      <c r="BB14" s="352" t="n">
        <f aca="true">IF(AND($D14="Serviço",BB$12&lt;&gt;0,$H14&gt;0,OR(AUTOEVENTO&lt;&gt;"manual",$M14&lt;&gt;$A$15)),
        IF(Import.TipoArredondamento&lt;&gt;"TransfereGOV",
              ROUND(OFFSET($P14,0,BB$13),15-13*ORÇAMENTO!$AF$7)/$H14*OFFSET(ORÇAMENTO!$X$15,ROW(BB14)-ROW(BB$15),0),
              ROUND(ROUND(OFFSET($P14,0,BB$13),15-13*ORÇAMENTO!$AF$7)*OFFSET(ORÇAMENTO!$W$15,ROW(BB14)-ROW(BB$15),0),15-13*ORÇAMENTO!$AF$11)),
         0)</f>
        <v>0</v>
      </c>
      <c r="BC14" s="352" t="n">
        <f aca="true">IF(AND($D14="Serviço",BC$12&lt;&gt;0,$H14&gt;0,OR(AUTOEVENTO&lt;&gt;"manual",$M14&lt;&gt;$A$15)),
        IF(Import.TipoArredondamento&lt;&gt;"TransfereGOV",
              ROUND(OFFSET($P14,0,BC$13),15-13*ORÇAMENTO!$AF$7)/$H14*OFFSET(ORÇAMENTO!$X$15,ROW(BC14)-ROW(BC$15),0),
              ROUND(ROUND(OFFSET($P14,0,BC$13),15-13*ORÇAMENTO!$AF$7)*OFFSET(ORÇAMENTO!$W$15,ROW(BC14)-ROW(BC$15),0),15-13*ORÇAMENTO!$AF$11)),
         0)</f>
        <v>0</v>
      </c>
      <c r="BD14" s="352" t="n">
        <f aca="true">IF(AND($D14="Serviço",BD$12&lt;&gt;0,$H14&gt;0,OR(AUTOEVENTO&lt;&gt;"manual",$M14&lt;&gt;$A$15)),
        IF(Import.TipoArredondamento&lt;&gt;"TransfereGOV",
              ROUND(OFFSET($P14,0,BD$13),15-13*ORÇAMENTO!$AF$7)/$H14*OFFSET(ORÇAMENTO!$X$15,ROW(BD14)-ROW(BD$15),0),
              ROUND(ROUND(OFFSET($P14,0,BD$13),15-13*ORÇAMENTO!$AF$7)*OFFSET(ORÇAMENTO!$W$15,ROW(BD14)-ROW(BD$15),0),15-13*ORÇAMENTO!$AF$11)),
         0)</f>
        <v>0</v>
      </c>
      <c r="BE14" s="352" t="n">
        <f aca="true">IF(AND($D14="Serviço",BE$12&lt;&gt;0,$H14&gt;0,OR(AUTOEVENTO&lt;&gt;"manual",$M14&lt;&gt;$A$15)),
        IF(Import.TipoArredondamento&lt;&gt;"TransfereGOV",
              ROUND(OFFSET($P14,0,BE$13),15-13*ORÇAMENTO!$AF$7)/$H14*OFFSET(ORÇAMENTO!$X$15,ROW(BE14)-ROW(BE$15),0),
              ROUND(ROUND(OFFSET($P14,0,BE$13),15-13*ORÇAMENTO!$AF$7)*OFFSET(ORÇAMENTO!$W$15,ROW(BE14)-ROW(BE$15),0),15-13*ORÇAMENTO!$AF$11)),
         0)</f>
        <v>0</v>
      </c>
      <c r="BF14" s="352" t="n">
        <f aca="true">IF(AND($D14="Serviço",BF$12&lt;&gt;0,$H14&gt;0,OR(AUTOEVENTO&lt;&gt;"manual",$M14&lt;&gt;$A$15)),
        IF(Import.TipoArredondamento&lt;&gt;"TransfereGOV",
              ROUND(OFFSET($P14,0,BF$13),15-13*ORÇAMENTO!$AF$7)/$H14*OFFSET(ORÇAMENTO!$X$15,ROW(BF14)-ROW(BF$15),0),
              ROUND(ROUND(OFFSET($P14,0,BF$13),15-13*ORÇAMENTO!$AF$7)*OFFSET(ORÇAMENTO!$W$15,ROW(BF14)-ROW(BF$15),0),15-13*ORÇAMENTO!$AF$11)),
         0)</f>
        <v>0</v>
      </c>
      <c r="BG14" s="352" t="n">
        <f aca="true">IF(AND($D14="Serviço",BG$12&lt;&gt;0,$H14&gt;0,OR(AUTOEVENTO&lt;&gt;"manual",$M14&lt;&gt;$A$15)),
        IF(Import.TipoArredondamento&lt;&gt;"TransfereGOV",
              ROUND(OFFSET($P14,0,BG$13),15-13*ORÇAMENTO!$AF$7)/$H14*OFFSET(ORÇAMENTO!$X$15,ROW(BG14)-ROW(BG$15),0),
              ROUND(ROUND(OFFSET($P14,0,BG$13),15-13*ORÇAMENTO!$AF$7)*OFFSET(ORÇAMENTO!$W$15,ROW(BG14)-ROW(BG$15),0),15-13*ORÇAMENTO!$AF$11)),
         0)</f>
        <v>0</v>
      </c>
      <c r="BH14" s="352" t="n">
        <f aca="true">IF(AND($D14="Serviço",BH$12&lt;&gt;0,$H14&gt;0,OR(AUTOEVENTO&lt;&gt;"manual",$M14&lt;&gt;$A$15)),
        IF(Import.TipoArredondamento&lt;&gt;"TransfereGOV",
              ROUND(OFFSET($P14,0,BH$13),15-13*ORÇAMENTO!$AF$7)/$H14*OFFSET(ORÇAMENTO!$X$15,ROW(BH14)-ROW(BH$15),0),
              ROUND(ROUND(OFFSET($P14,0,BH$13),15-13*ORÇAMENTO!$AF$7)*OFFSET(ORÇAMENTO!$W$15,ROW(BH14)-ROW(BH$15),0),15-13*ORÇAMENTO!$AF$11)),
         0)</f>
        <v>0</v>
      </c>
      <c r="BI14" s="352" t="n">
        <f aca="true">IF(AND($D14="Serviço",BI$12&lt;&gt;0,$H14&gt;0,OR(AUTOEVENTO&lt;&gt;"manual",$M14&lt;&gt;$A$15)),
        IF(Import.TipoArredondamento&lt;&gt;"TransfereGOV",
              ROUND(OFFSET($P14,0,BI$13),15-13*ORÇAMENTO!$AF$7)/$H14*OFFSET(ORÇAMENTO!$X$15,ROW(BI14)-ROW(BI$15),0),
              ROUND(ROUND(OFFSET($P14,0,BI$13),15-13*ORÇAMENTO!$AF$7)*OFFSET(ORÇAMENTO!$W$15,ROW(BI14)-ROW(BI$15),0),15-13*ORÇAMENTO!$AF$11)),
         0)</f>
        <v>0</v>
      </c>
      <c r="BJ14" s="352" t="n">
        <f aca="true">IF(AND($D14="Serviço",BJ$12&lt;&gt;0,$H14&gt;0,OR(AUTOEVENTO&lt;&gt;"manual",$M14&lt;&gt;$A$15)),
        IF(Import.TipoArredondamento&lt;&gt;"TransfereGOV",
              ROUND(OFFSET($P14,0,BJ$13),15-13*ORÇAMENTO!$AF$7)/$H14*OFFSET(ORÇAMENTO!$X$15,ROW(BJ14)-ROW(BJ$15),0),
              ROUND(ROUND(OFFSET($P14,0,BJ$13),15-13*ORÇAMENTO!$AF$7)*OFFSET(ORÇAMENTO!$W$15,ROW(BJ14)-ROW(BJ$15),0),15-13*ORÇAMENTO!$AF$11)),
         0)</f>
        <v>0</v>
      </c>
      <c r="BK14" s="352" t="n">
        <f aca="true">IF(AND($D14="Serviço",BK$12&lt;&gt;0,$H14&gt;0,OR(AUTOEVENTO&lt;&gt;"manual",$M14&lt;&gt;$A$15)),
        IF(Import.TipoArredondamento&lt;&gt;"TransfereGOV",
              ROUND(OFFSET($P14,0,BK$13),15-13*ORÇAMENTO!$AF$7)/$H14*OFFSET(ORÇAMENTO!$X$15,ROW(BK14)-ROW(BK$15),0),
              ROUND(ROUND(OFFSET($P14,0,BK$13),15-13*ORÇAMENTO!$AF$7)*OFFSET(ORÇAMENTO!$W$15,ROW(BK14)-ROW(BK$15),0),15-13*ORÇAMENTO!$AF$11)),
         0)</f>
        <v>0</v>
      </c>
      <c r="BL14" s="352" t="n">
        <f aca="true">IF(AND($D14="Serviço",BL$12&lt;&gt;0,$H14&gt;0,OR(AUTOEVENTO&lt;&gt;"manual",$M14&lt;&gt;$A$15)),
        IF(Import.TipoArredondamento&lt;&gt;"TransfereGOV",
              ROUND(OFFSET($P14,0,BL$13),15-13*ORÇAMENTO!$AF$7)/$H14*OFFSET(ORÇAMENTO!$X$15,ROW(BL14)-ROW(BL$15),0),
              ROUND(ROUND(OFFSET($P14,0,BL$13),15-13*ORÇAMENTO!$AF$7)*OFFSET(ORÇAMENTO!$W$15,ROW(BL14)-ROW(BL$15),0),15-13*ORÇAMENTO!$AF$11)),
         0)</f>
        <v>0</v>
      </c>
      <c r="BM14" s="352" t="n">
        <f aca="true">IF(AND($D14="Serviço",BM$12&lt;&gt;0,$H14&gt;0,OR(AUTOEVENTO&lt;&gt;"manual",$M14&lt;&gt;$A$15)),
        IF(Import.TipoArredondamento&lt;&gt;"TransfereGOV",
              ROUND(OFFSET($P14,0,BM$13),15-13*ORÇAMENTO!$AF$7)/$H14*OFFSET(ORÇAMENTO!$X$15,ROW(BM14)-ROW(BM$15),0),
              ROUND(ROUND(OFFSET($P14,0,BM$13),15-13*ORÇAMENTO!$AF$7)*OFFSET(ORÇAMENTO!$W$15,ROW(BM14)-ROW(BM$15),0),15-13*ORÇAMENTO!$AF$11)),
         0)</f>
        <v>0</v>
      </c>
      <c r="BN14" s="352" t="n">
        <f aca="true">IF(AND($D14="Serviço",BN$12&lt;&gt;0,$H14&gt;0,OR(AUTOEVENTO&lt;&gt;"manual",$M14&lt;&gt;$A$15)),
        IF(Import.TipoArredondamento&lt;&gt;"TransfereGOV",
              ROUND(OFFSET($P14,0,BN$13),15-13*ORÇAMENTO!$AF$7)/$H14*OFFSET(ORÇAMENTO!$X$15,ROW(BN14)-ROW(BN$15),0),
              ROUND(ROUND(OFFSET($P14,0,BN$13),15-13*ORÇAMENTO!$AF$7)*OFFSET(ORÇAMENTO!$W$15,ROW(BN14)-ROW(BN$15),0),15-13*ORÇAMENTO!$AF$11)),
         0)</f>
        <v>0</v>
      </c>
      <c r="BO14" s="352" t="n">
        <f aca="true">IF(AND($D14="Serviço",BO$12&lt;&gt;0,$H14&gt;0,OR(AUTOEVENTO&lt;&gt;"manual",$M14&lt;&gt;$A$15)),
        IF(Import.TipoArredondamento&lt;&gt;"TransfereGOV",
              ROUND(OFFSET($P14,0,BO$13),15-13*ORÇAMENTO!$AF$7)/$H14*OFFSET(ORÇAMENTO!$X$15,ROW(BO14)-ROW(BO$15),0),
              ROUND(ROUND(OFFSET($P14,0,BO$13),15-13*ORÇAMENTO!$AF$7)*OFFSET(ORÇAMENTO!$W$15,ROW(BO14)-ROW(BO$15),0),15-13*ORÇAMENTO!$AF$11)),
         0)</f>
        <v>0</v>
      </c>
      <c r="BP14" s="352" t="n">
        <f aca="true">IF(AND($D14="Serviço",BP$12&lt;&gt;0,$H14&gt;0,OR(AUTOEVENTO&lt;&gt;"manual",$M14&lt;&gt;$A$15)),
        IF(Import.TipoArredondamento&lt;&gt;"TransfereGOV",
              ROUND(OFFSET($P14,0,BP$13),15-13*ORÇAMENTO!$AF$7)/$H14*OFFSET(ORÇAMENTO!$X$15,ROW(BP14)-ROW(BP$15),0),
              ROUND(ROUND(OFFSET($P14,0,BP$13),15-13*ORÇAMENTO!$AF$7)*OFFSET(ORÇAMENTO!$W$15,ROW(BP14)-ROW(BP$15),0),15-13*ORÇAMENTO!$AF$11)),
         0)</f>
        <v>0</v>
      </c>
      <c r="BQ14" s="352" t="n">
        <f aca="true">IF(AND($D14="Serviço",BQ$12&lt;&gt;0,$H14&gt;0,OR(AUTOEVENTO&lt;&gt;"manual",$M14&lt;&gt;$A$15)),
        IF(Import.TipoArredondamento&lt;&gt;"TransfereGOV",
              ROUND(OFFSET($P14,0,BQ$13),15-13*ORÇAMENTO!$AF$7)/$H14*OFFSET(ORÇAMENTO!$X$15,ROW(BQ14)-ROW(BQ$15),0),
              ROUND(ROUND(OFFSET($P14,0,BQ$13),15-13*ORÇAMENTO!$AF$7)*OFFSET(ORÇAMENTO!$W$15,ROW(BQ14)-ROW(BQ$15),0),15-13*ORÇAMENTO!$AF$11)),
         0)</f>
        <v>0</v>
      </c>
      <c r="BS14" s="353" t="e">
        <f aca="true">IF(OR($D14&lt;&gt;"Serviço",AND(AUTOEVENTO="Manual",$M14=$A$15)),0,
         IF(OFFSET(CRONOPLE!$F$15,$M14-$A$15,BS$13)=0,10^12,OFFSET(CRONOPLE!$F$15,$M14-$A$15,BS$13)))</f>
        <v>#VALUE!</v>
      </c>
      <c r="BT14" s="353" t="e">
        <f aca="true">IF(OR($D14&lt;&gt;"Serviço",AND(AUTOEVENTO="Manual",$M14=$A$15)),0,
         IF(OFFSET(CRONOPLE!$F$15,$M14-$A$15,BT$13)=0,10^12,OFFSET(CRONOPLE!$F$15,$M14-$A$15,BT$13)))</f>
        <v>#VALUE!</v>
      </c>
      <c r="BU14" s="353" t="e">
        <f aca="true">IF(OR($D14&lt;&gt;"Serviço",AND(AUTOEVENTO="Manual",$M14=$A$15)),0,
         IF(OFFSET(CRONOPLE!$F$15,$M14-$A$15,BU$13)=0,10^12,OFFSET(CRONOPLE!$F$15,$M14-$A$15,BU$13)))</f>
        <v>#VALUE!</v>
      </c>
      <c r="BV14" s="353" t="e">
        <f aca="true">IF(OR($D14&lt;&gt;"Serviço",AND(AUTOEVENTO="Manual",$M14=$A$15)),0,
         IF(OFFSET(CRONOPLE!$F$15,$M14-$A$15,BV$13)=0,10^12,OFFSET(CRONOPLE!$F$15,$M14-$A$15,BV$13)))</f>
        <v>#VALUE!</v>
      </c>
      <c r="BW14" s="353" t="e">
        <f aca="true">IF(OR($D14&lt;&gt;"Serviço",AND(AUTOEVENTO="Manual",$M14=$A$15)),0,
         IF(OFFSET(CRONOPLE!$F$15,$M14-$A$15,BW$13)=0,10^12,OFFSET(CRONOPLE!$F$15,$M14-$A$15,BW$13)))</f>
        <v>#VALUE!</v>
      </c>
      <c r="BX14" s="353" t="e">
        <f aca="true">IF(OR($D14&lt;&gt;"Serviço",AND(AUTOEVENTO="Manual",$M14=$A$15)),0,
         IF(OFFSET(CRONOPLE!$F$15,$M14-$A$15,BX$13)=0,10^12,OFFSET(CRONOPLE!$F$15,$M14-$A$15,BX$13)))</f>
        <v>#VALUE!</v>
      </c>
      <c r="BY14" s="353" t="e">
        <f aca="true">IF(OR($D14&lt;&gt;"Serviço",AND(AUTOEVENTO="Manual",$M14=$A$15)),0,
         IF(OFFSET(CRONOPLE!$F$15,$M14-$A$15,BY$13)=0,10^12,OFFSET(CRONOPLE!$F$15,$M14-$A$15,BY$13)))</f>
        <v>#VALUE!</v>
      </c>
      <c r="BZ14" s="353" t="e">
        <f aca="true">IF(OR($D14&lt;&gt;"Serviço",AND(AUTOEVENTO="Manual",$M14=$A$15)),0,
         IF(OFFSET(CRONOPLE!$F$15,$M14-$A$15,BZ$13)=0,10^12,OFFSET(CRONOPLE!$F$15,$M14-$A$15,BZ$13)))</f>
        <v>#VALUE!</v>
      </c>
      <c r="CA14" s="353" t="e">
        <f aca="true">IF(OR($D14&lt;&gt;"Serviço",AND(AUTOEVENTO="Manual",$M14=$A$15)),0,
         IF(OFFSET(CRONOPLE!$F$15,$M14-$A$15,CA$13)=0,10^12,OFFSET(CRONOPLE!$F$15,$M14-$A$15,CA$13)))</f>
        <v>#VALUE!</v>
      </c>
      <c r="CB14" s="353" t="e">
        <f aca="true">IF(OR($D14&lt;&gt;"Serviço",AND(AUTOEVENTO="Manual",$M14=$A$15)),0,
         IF(OFFSET(CRONOPLE!$F$15,$M14-$A$15,CB$13)=0,10^12,OFFSET(CRONOPLE!$F$15,$M14-$A$15,CB$13)))</f>
        <v>#VALUE!</v>
      </c>
      <c r="CC14" s="353" t="e">
        <f aca="true">IF(OR($D14&lt;&gt;"Serviço",AND(AUTOEVENTO="Manual",$M14=$A$15)),0,
         IF(OFFSET(CRONOPLE!$F$15,$M14-$A$15,CC$13)=0,10^12,OFFSET(CRONOPLE!$F$15,$M14-$A$15,CC$13)))</f>
        <v>#VALUE!</v>
      </c>
      <c r="CD14" s="353" t="e">
        <f aca="true">IF(OR($D14&lt;&gt;"Serviço",AND(AUTOEVENTO="Manual",$M14=$A$15)),0,
         IF(OFFSET(CRONOPLE!$F$15,$M14-$A$15,CD$13)=0,10^12,OFFSET(CRONOPLE!$F$15,$M14-$A$15,CD$13)))</f>
        <v>#VALUE!</v>
      </c>
      <c r="CE14" s="353" t="e">
        <f aca="true">IF(OR($D14&lt;&gt;"Serviço",AND(AUTOEVENTO="Manual",$M14=$A$15)),0,
         IF(OFFSET(CRONOPLE!$F$15,$M14-$A$15,CE$13)=0,10^12,OFFSET(CRONOPLE!$F$15,$M14-$A$15,CE$13)))</f>
        <v>#VALUE!</v>
      </c>
      <c r="CF14" s="353" t="e">
        <f aca="true">IF(OR($D14&lt;&gt;"Serviço",AND(AUTOEVENTO="Manual",$M14=$A$15)),0,
         IF(OFFSET(CRONOPLE!$F$15,$M14-$A$15,CF$13)=0,10^12,OFFSET(CRONOPLE!$F$15,$M14-$A$15,CF$13)))</f>
        <v>#VALUE!</v>
      </c>
      <c r="CG14" s="353" t="e">
        <f aca="true">IF(OR($D14&lt;&gt;"Serviço",AND(AUTOEVENTO="Manual",$M14=$A$15)),0,
         IF(OFFSET(CRONOPLE!$F$15,$M14-$A$15,CG$13)=0,10^12,OFFSET(CRONOPLE!$F$15,$M14-$A$15,CG$13)))</f>
        <v>#VALUE!</v>
      </c>
      <c r="CH14" s="353" t="e">
        <f aca="true">IF(OR($D14&lt;&gt;"Serviço",AND(AUTOEVENTO="Manual",$M14=$A$15)),0,
         IF(OFFSET(CRONOPLE!$F$15,$M14-$A$15,CH$13)=0,10^12,OFFSET(CRONOPLE!$F$15,$M14-$A$15,CH$13)))</f>
        <v>#VALUE!</v>
      </c>
      <c r="CI14" s="353" t="e">
        <f aca="true">IF(OR($D14&lt;&gt;"Serviço",AND(AUTOEVENTO="Manual",$M14=$A$15)),0,
         IF(OFFSET(CRONOPLE!$F$15,$M14-$A$15,CI$13)=0,10^12,OFFSET(CRONOPLE!$F$15,$M14-$A$15,CI$13)))</f>
        <v>#VALUE!</v>
      </c>
      <c r="CJ14" s="353" t="e">
        <f aca="true">IF(OR($D14&lt;&gt;"Serviço",AND(AUTOEVENTO="Manual",$M14=$A$15)),0,
         IF(OFFSET(CRONOPLE!$F$15,$M14-$A$15,CJ$13)=0,10^12,OFFSET(CRONOPLE!$F$15,$M14-$A$15,CJ$13)))</f>
        <v>#VALUE!</v>
      </c>
      <c r="CK14" s="353" t="e">
        <f aca="true">IF(OR($D14&lt;&gt;"Serviço",AND(AUTOEVENTO="Manual",$M14=$A$15)),0,
         IF(OFFSET(CRONOPLE!$F$15,$M14-$A$15,CK$13)=0,10^12,OFFSET(CRONOPLE!$F$15,$M14-$A$15,CK$13)))</f>
        <v>#VALUE!</v>
      </c>
      <c r="CL14" s="353" t="e">
        <f aca="true">IF(OR($D14&lt;&gt;"Serviço",AND(AUTOEVENTO="Manual",$M14=$A$15)),0,
         IF(OFFSET(CRONOPLE!$F$15,$M14-$A$15,CL$13)=0,10^12,OFFSET(CRONOPLE!$F$15,$M14-$A$15,CL$13)))</f>
        <v>#VALUE!</v>
      </c>
      <c r="CM14" s="353" t="e">
        <f aca="true">IF(OR($D14&lt;&gt;"Serviço",AND(AUTOEVENTO="Manual",$M14=$A$15)),0,
         IF(OFFSET(CRONOPLE!$F$15,$M14-$A$15,CM$13)=0,10^12,OFFSET(CRONOPLE!$F$15,$M14-$A$15,CM$13)))</f>
        <v>#VALUE!</v>
      </c>
      <c r="CN14" s="353" t="e">
        <f aca="true">IF(OR($D14&lt;&gt;"Serviço",AND(AUTOEVENTO="Manual",$M14=$A$15)),0,
         IF(OFFSET(CRONOPLE!$F$15,$M14-$A$15,CN$13)=0,10^12,OFFSET(CRONOPLE!$F$15,$M14-$A$15,CN$13)))</f>
        <v>#VALUE!</v>
      </c>
      <c r="CO14" s="353" t="e">
        <f aca="true">IF(OR($D14&lt;&gt;"Serviço",AND(AUTOEVENTO="Manual",$M14=$A$15)),0,
         IF(OFFSET(CRONOPLE!$F$15,$M14-$A$15,CO$13)=0,10^12,OFFSET(CRONOPLE!$F$15,$M14-$A$15,CO$13)))</f>
        <v>#VALUE!</v>
      </c>
      <c r="CP14" s="353" t="e">
        <f aca="true">IF(OR($D14&lt;&gt;"Serviço",AND(AUTOEVENTO="Manual",$M14=$A$15)),0,
         IF(OFFSET(CRONOPLE!$F$15,$M14-$A$15,CP$13)=0,10^12,OFFSET(CRONOPLE!$F$15,$M14-$A$15,CP$13)))</f>
        <v>#VALUE!</v>
      </c>
      <c r="CQ14" s="353" t="e">
        <f aca="true">IF(OR($D14&lt;&gt;"Serviço",AND(AUTOEVENTO="Manual",$M14=$A$15)),0,
         IF(OFFSET(CRONOPLE!$F$15,$M14-$A$15,CQ$13)=0,10^12,OFFSET(CRONOPLE!$F$15,$M14-$A$15,CQ$13)))</f>
        <v>#VALUE!</v>
      </c>
      <c r="CR14" s="353" t="e">
        <f aca="true">IF(OR($D14&lt;&gt;"Serviço",AND(AUTOEVENTO="Manual",$M14=$A$15)),0,
         IF(OFFSET(CRONOPLE!$F$15,$M14-$A$15,CR$13)=0,10^12,OFFSET(CRONOPLE!$F$15,$M14-$A$15,CR$13)))</f>
        <v>#VALUE!</v>
      </c>
      <c r="CT14" s="354" t="n">
        <f aca="true">IF(OR($D14&lt;&gt;"Serviço",AND(AUTOEVENTO="Manual",$M14=$A$15),$M14&gt;(ROW(PLE.lastrow)-ROW(PLE.firstrow))),0,
           IF(OFFSET(PLE!$G$15,$M14-$A$15,CT$13)="",10^12,OFFSET(PLE!$G$15,$M14-$A$15,CT$13)))</f>
        <v>0</v>
      </c>
      <c r="CU14" s="354" t="n">
        <f aca="true">IF(OR($D14&lt;&gt;"Serviço",AND(AUTOEVENTO="Manual",$M14=$A$15),$M14&gt;(ROW(PLE.lastrow)-ROW(PLE.firstrow))),0,
           IF(OFFSET(PLE!$G$15,$M14-$A$15,CU$13)="",10^12,OFFSET(PLE!$G$15,$M14-$A$15,CU$13)))</f>
        <v>0</v>
      </c>
      <c r="CV14" s="354" t="n">
        <f aca="true">IF(OR($D14&lt;&gt;"Serviço",AND(AUTOEVENTO="Manual",$M14=$A$15),$M14&gt;(ROW(PLE.lastrow)-ROW(PLE.firstrow))),0,
           IF(OFFSET(PLE!$G$15,$M14-$A$15,CV$13)="",10^12,OFFSET(PLE!$G$15,$M14-$A$15,CV$13)))</f>
        <v>0</v>
      </c>
      <c r="CW14" s="354" t="n">
        <f aca="true">IF(OR($D14&lt;&gt;"Serviço",AND(AUTOEVENTO="Manual",$M14=$A$15),$M14&gt;(ROW(PLE.lastrow)-ROW(PLE.firstrow))),0,
           IF(OFFSET(PLE!$G$15,$M14-$A$15,CW$13)="",10^12,OFFSET(PLE!$G$15,$M14-$A$15,CW$13)))</f>
        <v>0</v>
      </c>
      <c r="CX14" s="354" t="n">
        <f aca="true">IF(OR($D14&lt;&gt;"Serviço",AND(AUTOEVENTO="Manual",$M14=$A$15),$M14&gt;(ROW(PLE.lastrow)-ROW(PLE.firstrow))),0,
           IF(OFFSET(PLE!$G$15,$M14-$A$15,CX$13)="",10^12,OFFSET(PLE!$G$15,$M14-$A$15,CX$13)))</f>
        <v>0</v>
      </c>
      <c r="CY14" s="354" t="n">
        <f aca="true">IF(OR($D14&lt;&gt;"Serviço",AND(AUTOEVENTO="Manual",$M14=$A$15),$M14&gt;(ROW(PLE.lastrow)-ROW(PLE.firstrow))),0,
           IF(OFFSET(PLE!$G$15,$M14-$A$15,CY$13)="",10^12,OFFSET(PLE!$G$15,$M14-$A$15,CY$13)))</f>
        <v>0</v>
      </c>
      <c r="CZ14" s="354" t="n">
        <f aca="true">IF(OR($D14&lt;&gt;"Serviço",AND(AUTOEVENTO="Manual",$M14=$A$15),$M14&gt;(ROW(PLE.lastrow)-ROW(PLE.firstrow))),0,
           IF(OFFSET(PLE!$G$15,$M14-$A$15,CZ$13)="",10^12,OFFSET(PLE!$G$15,$M14-$A$15,CZ$13)))</f>
        <v>0</v>
      </c>
      <c r="DA14" s="354" t="n">
        <f aca="true">IF(OR($D14&lt;&gt;"Serviço",AND(AUTOEVENTO="Manual",$M14=$A$15),$M14&gt;(ROW(PLE.lastrow)-ROW(PLE.firstrow))),0,
           IF(OFFSET(PLE!$G$15,$M14-$A$15,DA$13)="",10^12,OFFSET(PLE!$G$15,$M14-$A$15,DA$13)))</f>
        <v>0</v>
      </c>
      <c r="DB14" s="354" t="n">
        <f aca="true">IF(OR($D14&lt;&gt;"Serviço",AND(AUTOEVENTO="Manual",$M14=$A$15),$M14&gt;(ROW(PLE.lastrow)-ROW(PLE.firstrow))),0,
           IF(OFFSET(PLE!$G$15,$M14-$A$15,DB$13)="",10^12,OFFSET(PLE!$G$15,$M14-$A$15,DB$13)))</f>
        <v>0</v>
      </c>
      <c r="DC14" s="354" t="n">
        <f aca="true">IF(OR($D14&lt;&gt;"Serviço",AND(AUTOEVENTO="Manual",$M14=$A$15),$M14&gt;(ROW(PLE.lastrow)-ROW(PLE.firstrow))),0,
           IF(OFFSET(PLE!$G$15,$M14-$A$15,DC$13)="",10^12,OFFSET(PLE!$G$15,$M14-$A$15,DC$13)))</f>
        <v>0</v>
      </c>
      <c r="DD14" s="354" t="n">
        <f aca="true">IF(OR($D14&lt;&gt;"Serviço",AND(AUTOEVENTO="Manual",$M14=$A$15),$M14&gt;(ROW(PLE.lastrow)-ROW(PLE.firstrow))),0,
           IF(OFFSET(PLE!$G$15,$M14-$A$15,DD$13)="",10^12,OFFSET(PLE!$G$15,$M14-$A$15,DD$13)))</f>
        <v>0</v>
      </c>
      <c r="DE14" s="354" t="n">
        <f aca="true">IF(OR($D14&lt;&gt;"Serviço",AND(AUTOEVENTO="Manual",$M14=$A$15),$M14&gt;(ROW(PLE.lastrow)-ROW(PLE.firstrow))),0,
           IF(OFFSET(PLE!$G$15,$M14-$A$15,DE$13)="",10^12,OFFSET(PLE!$G$15,$M14-$A$15,DE$13)))</f>
        <v>0</v>
      </c>
      <c r="DF14" s="354" t="n">
        <f aca="true">IF(OR($D14&lt;&gt;"Serviço",AND(AUTOEVENTO="Manual",$M14=$A$15),$M14&gt;(ROW(PLE.lastrow)-ROW(PLE.firstrow))),0,
           IF(OFFSET(PLE!$G$15,$M14-$A$15,DF$13)="",10^12,OFFSET(PLE!$G$15,$M14-$A$15,DF$13)))</f>
        <v>0</v>
      </c>
      <c r="DG14" s="354" t="n">
        <f aca="true">IF(OR($D14&lt;&gt;"Serviço",AND(AUTOEVENTO="Manual",$M14=$A$15),$M14&gt;(ROW(PLE.lastrow)-ROW(PLE.firstrow))),0,
           IF(OFFSET(PLE!$G$15,$M14-$A$15,DG$13)="",10^12,OFFSET(PLE!$G$15,$M14-$A$15,DG$13)))</f>
        <v>0</v>
      </c>
      <c r="DH14" s="354" t="n">
        <f aca="true">IF(OR($D14&lt;&gt;"Serviço",AND(AUTOEVENTO="Manual",$M14=$A$15),$M14&gt;(ROW(PLE.lastrow)-ROW(PLE.firstrow))),0,
           IF(OFFSET(PLE!$G$15,$M14-$A$15,DH$13)="",10^12,OFFSET(PLE!$G$15,$M14-$A$15,DH$13)))</f>
        <v>0</v>
      </c>
      <c r="DI14" s="354" t="n">
        <f aca="true">IF(OR($D14&lt;&gt;"Serviço",AND(AUTOEVENTO="Manual",$M14=$A$15),$M14&gt;(ROW(PLE.lastrow)-ROW(PLE.firstrow))),0,
           IF(OFFSET(PLE!$G$15,$M14-$A$15,DI$13)="",10^12,OFFSET(PLE!$G$15,$M14-$A$15,DI$13)))</f>
        <v>0</v>
      </c>
      <c r="DJ14" s="354" t="n">
        <f aca="true">IF(OR($D14&lt;&gt;"Serviço",AND(AUTOEVENTO="Manual",$M14=$A$15),$M14&gt;(ROW(PLE.lastrow)-ROW(PLE.firstrow))),0,
           IF(OFFSET(PLE!$G$15,$M14-$A$15,DJ$13)="",10^12,OFFSET(PLE!$G$15,$M14-$A$15,DJ$13)))</f>
        <v>0</v>
      </c>
      <c r="DK14" s="354" t="n">
        <f aca="true">IF(OR($D14&lt;&gt;"Serviço",AND(AUTOEVENTO="Manual",$M14=$A$15),$M14&gt;(ROW(PLE.lastrow)-ROW(PLE.firstrow))),0,
           IF(OFFSET(PLE!$G$15,$M14-$A$15,DK$13)="",10^12,OFFSET(PLE!$G$15,$M14-$A$15,DK$13)))</f>
        <v>0</v>
      </c>
      <c r="DL14" s="354" t="n">
        <f aca="true">IF(OR($D14&lt;&gt;"Serviço",AND(AUTOEVENTO="Manual",$M14=$A$15),$M14&gt;(ROW(PLE.lastrow)-ROW(PLE.firstrow))),0,
           IF(OFFSET(PLE!$G$15,$M14-$A$15,DL$13)="",10^12,OFFSET(PLE!$G$15,$M14-$A$15,DL$13)))</f>
        <v>0</v>
      </c>
      <c r="DM14" s="354" t="n">
        <f aca="true">IF(OR($D14&lt;&gt;"Serviço",AND(AUTOEVENTO="Manual",$M14=$A$15),$M14&gt;(ROW(PLE.lastrow)-ROW(PLE.firstrow))),0,
           IF(OFFSET(PLE!$G$15,$M14-$A$15,DM$13)="",10^12,OFFSET(PLE!$G$15,$M14-$A$15,DM$13)))</f>
        <v>0</v>
      </c>
      <c r="DN14" s="354" t="n">
        <f aca="true">IF(OR($D14&lt;&gt;"Serviço",AND(AUTOEVENTO="Manual",$M14=$A$15),$M14&gt;(ROW(PLE.lastrow)-ROW(PLE.firstrow))),0,
           IF(OFFSET(PLE!$G$15,$M14-$A$15,DN$13)="",10^12,OFFSET(PLE!$G$15,$M14-$A$15,DN$13)))</f>
        <v>0</v>
      </c>
      <c r="DO14" s="354" t="n">
        <f aca="true">IF(OR($D14&lt;&gt;"Serviço",AND(AUTOEVENTO="Manual",$M14=$A$15),$M14&gt;(ROW(PLE.lastrow)-ROW(PLE.firstrow))),0,
           IF(OFFSET(PLE!$G$15,$M14-$A$15,DO$13)="",10^12,OFFSET(PLE!$G$15,$M14-$A$15,DO$13)))</f>
        <v>0</v>
      </c>
      <c r="DP14" s="354" t="n">
        <f aca="true">IF(OR($D14&lt;&gt;"Serviço",AND(AUTOEVENTO="Manual",$M14=$A$15),$M14&gt;(ROW(PLE.lastrow)-ROW(PLE.firstrow))),0,
           IF(OFFSET(PLE!$G$15,$M14-$A$15,DP$13)="",10^12,OFFSET(PLE!$G$15,$M14-$A$15,DP$13)))</f>
        <v>0</v>
      </c>
      <c r="DQ14" s="354" t="n">
        <f aca="true">IF(OR($D14&lt;&gt;"Serviço",AND(AUTOEVENTO="Manual",$M14=$A$15),$M14&gt;(ROW(PLE.lastrow)-ROW(PLE.firstrow))),0,
           IF(OFFSET(PLE!$G$15,$M14-$A$15,DQ$13)="",10^12,OFFSET(PLE!$G$15,$M14-$A$15,DQ$13)))</f>
        <v>0</v>
      </c>
      <c r="DR14" s="354" t="n">
        <f aca="true">IF(OR($D14&lt;&gt;"Serviço",AND(AUTOEVENTO="Manual",$M14=$A$15),$M14&gt;(ROW(PLE.lastrow)-ROW(PLE.firstrow))),0,
           IF(OFFSET(PLE!$G$15,$M14-$A$15,DR$13)="",10^12,OFFSET(PLE!$G$15,$M14-$A$15,DR$13)))</f>
        <v>0</v>
      </c>
      <c r="DS14" s="354" t="n">
        <f aca="true">IF(OR($D14&lt;&gt;"Serviço",AND(AUTOEVENTO="Manual",$M14=$A$15),$M14&gt;(ROW(PLE.lastrow)-ROW(PLE.firstrow))),0,
           IF(OFFSET(PLE!$G$15,$M14-$A$15,DS$13)="",10^12,OFFSET(PLE!$G$15,$M14-$A$15,DS$13)))</f>
        <v>0</v>
      </c>
    </row>
    <row r="15" customFormat="false" ht="12.75" hidden="false" customHeight="true" outlineLevel="0" collapsed="false">
      <c r="A15" s="303" t="n">
        <f aca="false" t="array" ref="A15:A15">IF(AdmLocal="Automática",1,0)</f>
        <v>0</v>
      </c>
      <c r="B15" s="50" t="str">
        <f aca="true">OFFSET(ORÇAMENTO!C$15,ROW(B15)-ROW(B$15),0)</f>
        <v>L</v>
      </c>
      <c r="C15" s="50" t="str">
        <f aca="true">OFFSET(ORÇAMENTO!L$15,ROW(C15)-ROW(C$15),0)</f>
        <v>F</v>
      </c>
      <c r="D15" s="221" t="str">
        <f aca="false">IF(TIPOORCAMENTO="LICITADO","CTEF","LOTE")</f>
        <v>LOTE</v>
      </c>
      <c r="E15" s="355" t="str">
        <f aca="false">Import.DescLote</f>
        <v>CONSTRUÇÃO DE UNIDADES HABITACIONAIS EM ÁREAS URBANAS, NO MUNICIPIO DE SALINAS/MG, UTILIZANDO RECURSOS DO FNHIS, PELO PROGRAMA MINHA CASA MINHA VIDA</v>
      </c>
      <c r="F15" s="355"/>
      <c r="G15" s="355"/>
      <c r="H15" s="355"/>
      <c r="I15" s="356"/>
      <c r="J15" s="336"/>
      <c r="K15" s="357"/>
      <c r="L15" s="346" t="s">
        <v>876</v>
      </c>
      <c r="M15" s="358" t="n">
        <v>0</v>
      </c>
      <c r="N15" s="359" t="s">
        <v>913</v>
      </c>
      <c r="O15" s="360" t="e">
        <f aca="true">OFFSET($AQ$15,0,O$13)</f>
        <v>#VALUE!</v>
      </c>
      <c r="Q15" s="361" t="n">
        <f aca="true">OFFSET($AQ$15,0,Q$13)</f>
        <v>165344.74</v>
      </c>
      <c r="R15" s="360" t="n">
        <f aca="true">OFFSET($AQ$15,0,R$13)</f>
        <v>159241.88</v>
      </c>
      <c r="S15" s="360" t="n">
        <f aca="true">OFFSET($AQ$15,0,S$13)</f>
        <v>146245.88</v>
      </c>
      <c r="T15" s="360" t="n">
        <f aca="true">OFFSET($AQ$15,0,T$13)</f>
        <v>144767.48</v>
      </c>
      <c r="U15" s="360" t="n">
        <f aca="true">OFFSET($AQ$15,0,U$13)</f>
        <v>144767.48</v>
      </c>
      <c r="V15" s="360" t="n">
        <f aca="true">OFFSET($AQ$15,0,V$13)</f>
        <v>144767.48</v>
      </c>
      <c r="W15" s="360" t="n">
        <f aca="true">OFFSET($AQ$15,0,W$13)</f>
        <v>144767.48</v>
      </c>
      <c r="X15" s="360" t="n">
        <f aca="true">OFFSET($AQ$15,0,X$13)</f>
        <v>144767.48</v>
      </c>
      <c r="Y15" s="360" t="n">
        <f aca="true">OFFSET($AQ$15,0,Y$13)</f>
        <v>144767.48</v>
      </c>
      <c r="Z15" s="362" t="n">
        <f aca="true">OFFSET($AQ$15,0,Z$13)</f>
        <v>144767.48</v>
      </c>
      <c r="AA15" s="360" t="n">
        <f aca="true">OFFSET($AQ$15,0,AA$13)</f>
        <v>144767.48</v>
      </c>
      <c r="AB15" s="360" t="n">
        <f aca="true">OFFSET($AQ$15,0,AB$13)</f>
        <v>144767.48</v>
      </c>
      <c r="AC15" s="360" t="n">
        <f aca="true">OFFSET($AQ$15,0,AC$13)</f>
        <v>144767.48</v>
      </c>
      <c r="AD15" s="360" t="n">
        <f aca="true">OFFSET($AQ$15,0,AD$13)</f>
        <v>144767.48</v>
      </c>
      <c r="AE15" s="360" t="n">
        <f aca="true">OFFSET($AQ$15,0,AE$13)</f>
        <v>144767.48</v>
      </c>
      <c r="AF15" s="360" t="n">
        <f aca="true">OFFSET($AQ$15,0,AF$13)</f>
        <v>144767.48</v>
      </c>
      <c r="AG15" s="360" t="n">
        <f aca="true">OFFSET($AQ$15,0,AG$13)</f>
        <v>144767.48</v>
      </c>
      <c r="AH15" s="362" t="n">
        <f aca="true">OFFSET($AQ$15,0,AH$13)</f>
        <v>144767.48</v>
      </c>
      <c r="AI15" s="360" t="n">
        <f aca="true">OFFSET($AQ$15,0,AI$13)</f>
        <v>144767.48</v>
      </c>
      <c r="AJ15" s="360" t="n">
        <f aca="true">OFFSET($AQ$15,0,AJ$13)</f>
        <v>144767.48</v>
      </c>
      <c r="AK15" s="360" t="n">
        <f aca="true">OFFSET($AQ$15,0,AK$13)</f>
        <v>144767.48</v>
      </c>
      <c r="AL15" s="360" t="n">
        <f aca="true">OFFSET($AQ$15,0,AL$13)</f>
        <v>144767.48</v>
      </c>
      <c r="AM15" s="360" t="n">
        <f aca="true">OFFSET($AQ$15,0,AM$13)</f>
        <v>144767.48</v>
      </c>
      <c r="AN15" s="360" t="n">
        <f aca="true">OFFSET($AQ$15,0,AN$13)</f>
        <v>144767.48</v>
      </c>
      <c r="AO15" s="360" t="n">
        <f aca="true">OFFSET($AQ$15,0,AO$13)</f>
        <v>144767.48</v>
      </c>
      <c r="AP15" s="362" t="n">
        <f aca="true">OFFSET($AQ$15,0,AP$13)</f>
        <v>0</v>
      </c>
      <c r="AR15" s="363" t="n">
        <f aca="true">ROUND(SUM(OFFSET(AR$15,1,0):AR$205),2)</f>
        <v>165344.74</v>
      </c>
      <c r="AS15" s="363" t="n">
        <f aca="true">SUM(OFFSET(AS$15,1,0):AS$205)</f>
        <v>159241.88</v>
      </c>
      <c r="AT15" s="363" t="n">
        <f aca="true">SUM(OFFSET(AT$15,1,0):AT$205)</f>
        <v>146245.88</v>
      </c>
      <c r="AU15" s="363" t="n">
        <f aca="true">SUM(OFFSET(AU$15,1,0):AU$205)</f>
        <v>144767.48</v>
      </c>
      <c r="AV15" s="363" t="n">
        <f aca="true">SUM(OFFSET(AV$15,1,0):AV$205)</f>
        <v>144767.48</v>
      </c>
      <c r="AW15" s="363" t="n">
        <f aca="true">SUM(OFFSET(AW$15,1,0):AW$205)</f>
        <v>144767.48</v>
      </c>
      <c r="AX15" s="363" t="n">
        <f aca="true">SUM(OFFSET(AX$15,1,0):AX$205)</f>
        <v>144767.48</v>
      </c>
      <c r="AY15" s="363" t="n">
        <f aca="true">SUM(OFFSET(AY$15,1,0):AY$205)</f>
        <v>144767.48</v>
      </c>
      <c r="AZ15" s="363" t="n">
        <f aca="true">SUM(OFFSET(AZ$15,1,0):AZ$205)</f>
        <v>144767.48</v>
      </c>
      <c r="BA15" s="363" t="n">
        <f aca="true">SUM(OFFSET(BA$15,1,0):BA$205)</f>
        <v>144767.48</v>
      </c>
      <c r="BB15" s="363" t="n">
        <f aca="true">SUM(OFFSET(BB$15,1,0):BB$205)</f>
        <v>144767.48</v>
      </c>
      <c r="BC15" s="363" t="n">
        <f aca="true">SUM(OFFSET(BC$15,1,0):BC$205)</f>
        <v>144767.48</v>
      </c>
      <c r="BD15" s="363" t="n">
        <f aca="true">SUM(OFFSET(BD$15,1,0):BD$205)</f>
        <v>144767.48</v>
      </c>
      <c r="BE15" s="363" t="n">
        <f aca="true">SUM(OFFSET(BE$15,1,0):BE$205)</f>
        <v>144767.48</v>
      </c>
      <c r="BF15" s="363" t="n">
        <f aca="true">SUM(OFFSET(BF$15,1,0):BF$205)</f>
        <v>144767.48</v>
      </c>
      <c r="BG15" s="363" t="n">
        <f aca="true">SUM(OFFSET(BG$15,1,0):BG$205)</f>
        <v>144767.48</v>
      </c>
      <c r="BH15" s="363" t="n">
        <f aca="true">SUM(OFFSET(BH$15,1,0):BH$205)</f>
        <v>144767.48</v>
      </c>
      <c r="BI15" s="363" t="n">
        <f aca="true">SUM(OFFSET(BI$15,1,0):BI$205)</f>
        <v>144767.48</v>
      </c>
      <c r="BJ15" s="363" t="n">
        <f aca="true">SUM(OFFSET(BJ$15,1,0):BJ$205)</f>
        <v>144767.48</v>
      </c>
      <c r="BK15" s="363" t="n">
        <f aca="true">SUM(OFFSET(BK$15,1,0):BK$205)</f>
        <v>144767.48</v>
      </c>
      <c r="BL15" s="363" t="n">
        <f aca="true">SUM(OFFSET(BL$15,1,0):BL$205)</f>
        <v>144767.48</v>
      </c>
      <c r="BM15" s="363" t="n">
        <f aca="true">SUM(OFFSET(BM$15,1,0):BM$205)</f>
        <v>144767.48</v>
      </c>
      <c r="BN15" s="363" t="n">
        <f aca="true">SUM(OFFSET(BN$15,1,0):BN$205)</f>
        <v>144767.48</v>
      </c>
      <c r="BO15" s="363" t="n">
        <f aca="true">SUM(OFFSET(BO$15,1,0):BO$205)</f>
        <v>144767.48</v>
      </c>
      <c r="BP15" s="363" t="n">
        <f aca="true">SUM(OFFSET(BP$15,1,0):BP$205)</f>
        <v>144767.48</v>
      </c>
      <c r="BQ15" s="363" t="n">
        <f aca="true">SUM(OFFSET(BQ$15,1,0):BQ$205)</f>
        <v>0</v>
      </c>
      <c r="BS15" s="364" t="n">
        <f aca="false">10^12</f>
        <v>1000000000000</v>
      </c>
      <c r="BT15" s="364" t="n">
        <f aca="false">10^12</f>
        <v>1000000000000</v>
      </c>
      <c r="BU15" s="364" t="n">
        <f aca="false">10^12</f>
        <v>1000000000000</v>
      </c>
      <c r="BV15" s="364" t="n">
        <f aca="false">10^12</f>
        <v>1000000000000</v>
      </c>
      <c r="BW15" s="364" t="n">
        <f aca="false">10^12</f>
        <v>1000000000000</v>
      </c>
      <c r="BX15" s="364" t="n">
        <f aca="false">10^12</f>
        <v>1000000000000</v>
      </c>
      <c r="BY15" s="364" t="n">
        <f aca="false">10^12</f>
        <v>1000000000000</v>
      </c>
      <c r="BZ15" s="364" t="n">
        <f aca="false">10^12</f>
        <v>1000000000000</v>
      </c>
      <c r="CA15" s="364" t="n">
        <f aca="false">10^12</f>
        <v>1000000000000</v>
      </c>
      <c r="CB15" s="364" t="n">
        <f aca="false">10^12</f>
        <v>1000000000000</v>
      </c>
      <c r="CC15" s="364" t="n">
        <f aca="false">10^12</f>
        <v>1000000000000</v>
      </c>
      <c r="CD15" s="364" t="n">
        <f aca="false">10^12</f>
        <v>1000000000000</v>
      </c>
      <c r="CE15" s="364" t="n">
        <f aca="false">10^12</f>
        <v>1000000000000</v>
      </c>
      <c r="CF15" s="364" t="n">
        <f aca="false">10^12</f>
        <v>1000000000000</v>
      </c>
      <c r="CG15" s="364" t="n">
        <f aca="false">10^12</f>
        <v>1000000000000</v>
      </c>
      <c r="CH15" s="364" t="n">
        <f aca="false">10^12</f>
        <v>1000000000000</v>
      </c>
      <c r="CI15" s="364" t="n">
        <f aca="false">10^12</f>
        <v>1000000000000</v>
      </c>
      <c r="CJ15" s="364" t="n">
        <f aca="false">10^12</f>
        <v>1000000000000</v>
      </c>
      <c r="CK15" s="364" t="n">
        <f aca="false">10^12</f>
        <v>1000000000000</v>
      </c>
      <c r="CL15" s="364" t="n">
        <f aca="false">10^12</f>
        <v>1000000000000</v>
      </c>
      <c r="CM15" s="364" t="n">
        <f aca="false">10^12</f>
        <v>1000000000000</v>
      </c>
      <c r="CN15" s="364" t="n">
        <f aca="false">10^12</f>
        <v>1000000000000</v>
      </c>
      <c r="CO15" s="364" t="n">
        <f aca="false">10^12</f>
        <v>1000000000000</v>
      </c>
      <c r="CP15" s="364" t="n">
        <f aca="false">10^12</f>
        <v>1000000000000</v>
      </c>
      <c r="CQ15" s="364" t="n">
        <f aca="false">10^12</f>
        <v>1000000000000</v>
      </c>
      <c r="CR15" s="364" t="n">
        <f aca="false">10^12</f>
        <v>1000000000000</v>
      </c>
      <c r="CT15" s="364" t="n">
        <f aca="false">10^12</f>
        <v>1000000000000</v>
      </c>
      <c r="CU15" s="364" t="n">
        <f aca="false">10^12</f>
        <v>1000000000000</v>
      </c>
      <c r="CV15" s="364" t="n">
        <f aca="false">10^12</f>
        <v>1000000000000</v>
      </c>
      <c r="CW15" s="364" t="n">
        <f aca="false">10^12</f>
        <v>1000000000000</v>
      </c>
      <c r="CX15" s="364" t="n">
        <f aca="false">10^12</f>
        <v>1000000000000</v>
      </c>
      <c r="CY15" s="364" t="n">
        <f aca="false">10^12</f>
        <v>1000000000000</v>
      </c>
      <c r="CZ15" s="364" t="n">
        <f aca="false">10^12</f>
        <v>1000000000000</v>
      </c>
      <c r="DA15" s="364" t="n">
        <f aca="false">10^12</f>
        <v>1000000000000</v>
      </c>
      <c r="DB15" s="364" t="n">
        <f aca="false">10^12</f>
        <v>1000000000000</v>
      </c>
      <c r="DC15" s="364" t="n">
        <f aca="false">10^12</f>
        <v>1000000000000</v>
      </c>
      <c r="DD15" s="364" t="n">
        <f aca="false">10^12</f>
        <v>1000000000000</v>
      </c>
      <c r="DE15" s="364" t="n">
        <f aca="false">10^12</f>
        <v>1000000000000</v>
      </c>
      <c r="DF15" s="364" t="n">
        <f aca="false">10^12</f>
        <v>1000000000000</v>
      </c>
      <c r="DG15" s="364" t="n">
        <f aca="false">10^12</f>
        <v>1000000000000</v>
      </c>
      <c r="DH15" s="364" t="n">
        <f aca="false">10^12</f>
        <v>1000000000000</v>
      </c>
      <c r="DI15" s="364" t="n">
        <f aca="false">10^12</f>
        <v>1000000000000</v>
      </c>
      <c r="DJ15" s="364" t="n">
        <f aca="false">10^12</f>
        <v>1000000000000</v>
      </c>
      <c r="DK15" s="364" t="n">
        <f aca="false">10^12</f>
        <v>1000000000000</v>
      </c>
      <c r="DL15" s="364" t="n">
        <f aca="false">10^12</f>
        <v>1000000000000</v>
      </c>
      <c r="DM15" s="364" t="n">
        <f aca="false">10^12</f>
        <v>1000000000000</v>
      </c>
      <c r="DN15" s="364" t="n">
        <f aca="false">10^12</f>
        <v>1000000000000</v>
      </c>
      <c r="DO15" s="364" t="n">
        <f aca="false">10^12</f>
        <v>1000000000000</v>
      </c>
      <c r="DP15" s="364" t="n">
        <f aca="false">10^12</f>
        <v>1000000000000</v>
      </c>
      <c r="DQ15" s="364" t="n">
        <f aca="false">10^12</f>
        <v>1000000000000</v>
      </c>
      <c r="DR15" s="364" t="n">
        <f aca="false">10^12</f>
        <v>1000000000000</v>
      </c>
      <c r="DS15" s="364" t="n">
        <f aca="false">10^12</f>
        <v>1000000000000</v>
      </c>
    </row>
    <row r="16" customFormat="false" ht="12.75" hidden="false" customHeight="false" outlineLevel="0" collapsed="false">
      <c r="A16" s="50" t="str">
        <f aca="true">IFERROR(IF(AUTOEVENTO="Manual",IF(K16&lt;&gt;"",MIN(VALUE(LEFT(K16,FIND(".",K16)-1)),COUNTA(EVENTOS.Lista)),0),IF(OR($B16&gt;AUTOEVENTO,$B16="S",$B16=0),SUBSTITUTE(OFFSET($A16,-1,0),IF($D16="Serviço",".",""),""),ROW(A16)-ROW($A$15)&amp;".")),0)</f>
        <v>1.</v>
      </c>
      <c r="B16" s="50" t="n">
        <f aca="true">OFFSET(ORÇAMENTO!C$15,ROW(B16)-ROW(B$15),0)</f>
        <v>1</v>
      </c>
      <c r="C16" s="50" t="str">
        <f aca="true">OFFSET(ORÇAMENTO!L$15,ROW(C16)-ROW(C$15),0)</f>
        <v>F</v>
      </c>
      <c r="D16" s="201" t="str">
        <f aca="true">OFFSET(ORÇAMENTO!N$15,ROW(D16)-ROW(D$15),0)</f>
        <v>Meta</v>
      </c>
      <c r="E16" s="202" t="str">
        <f aca="true">OFFSET(ORÇAMENTO!O$15,ROW(E16)-ROW(E$15),0)</f>
        <v>1.</v>
      </c>
      <c r="F16" s="341" t="str">
        <f aca="true">OFFSET(ORÇAMENTO!R$15,ROW(F16)-ROW(F$15),0)</f>
        <v>CONSTRUÇÃO DE CASAS POPULARES</v>
      </c>
      <c r="G16" s="342" t="str">
        <f aca="true">IF($D16&lt;&gt;"Serviço","",OFFSET(ORÇAMENTO!S$15,ROW(G16)-ROW(G$15),0))</f>
        <v/>
      </c>
      <c r="H16" s="207" t="n">
        <f aca="true">IF($D16&lt;&gt;"Serviço",0,IF(ACOMPANHAMENTO="BM",ROUND(OFFSET(ORÇAMENTO!AJ$15,ROW(H16)-ROW(H$15),0),15-13*ORÇAMENTO!$AF$7),SUMPRODUCT(($Q$1:$AQ$1=1)*ROUND($Q16:$AQ16,15-13*ORÇAMENTO!$AF$7))))</f>
        <v>0</v>
      </c>
      <c r="I16" s="343"/>
      <c r="J16" s="344" t="str">
        <f aca="false">IF(OR(B16&lt;&gt;"S",CÁLCULO.FrentesPreenchidas=0),"",IF(AND(ACOMPANHAMENTO="PLE",AUTOEVENTO="Manual",OR(H16&gt;0,ORÇAMENTO!AC16="QUANT."),OR(K16="",M16=0,N16="")),"►",IF(AND(ACOMPANHAMENTO="PLE",ORÇAMENTO!AC16="QUANT."),"►►",IF(AND(COUNTIF($P$11:$AQ$11,"▼")=0,H16&gt;0,I16=""),"◄",""))))</f>
        <v/>
      </c>
      <c r="K16" s="345"/>
      <c r="L16" s="346" t="s">
        <v>876</v>
      </c>
      <c r="M16" s="347" t="str">
        <f aca="true">IF($D16&lt;&gt;"Serviço","",
          IF(AUTOEVENTO="manual",$A16,
                IF(ISERROR(MATCH($A16,$A$15:OFFSET($A16,-1,0),0)),MAX($M$15:OFFSET(M16,-1,0))+1,
                      INDEX($M$15:OFFSET(M16,-1,0),MATCH($A16,$A$15:OFFSET($A16,-1,0),0)))))</f>
        <v/>
      </c>
      <c r="N16" s="348" t="str">
        <f aca="true">IF($D16&lt;&gt;"Serviço","",
         IF(AUTOEVENTO="Manual",
                IF($A16=0,"&lt;-- defina o número do agrupador",
                       OFFSET(EVENTOS!$D$15,$A16-$A$15,0)),
                OFFSET($F$15,$A16,0)))</f>
        <v/>
      </c>
      <c r="O16" s="349"/>
      <c r="Q16" s="349"/>
      <c r="R16" s="350"/>
      <c r="S16" s="350"/>
      <c r="T16" s="350"/>
      <c r="U16" s="350"/>
      <c r="V16" s="350"/>
      <c r="W16" s="350"/>
      <c r="X16" s="350"/>
      <c r="Y16" s="350"/>
      <c r="Z16" s="351"/>
      <c r="AA16" s="350"/>
      <c r="AB16" s="350"/>
      <c r="AC16" s="350"/>
      <c r="AD16" s="350"/>
      <c r="AE16" s="350"/>
      <c r="AF16" s="350"/>
      <c r="AG16" s="350"/>
      <c r="AH16" s="351"/>
      <c r="AI16" s="350"/>
      <c r="AJ16" s="350"/>
      <c r="AK16" s="350"/>
      <c r="AL16" s="350"/>
      <c r="AM16" s="350"/>
      <c r="AN16" s="350"/>
      <c r="AO16" s="350"/>
      <c r="AP16" s="351"/>
      <c r="AR16" s="352" t="n">
        <f aca="true">IF(AND($D16="Serviço",AR$12&lt;&gt;0,$H16&gt;0,OR(AUTOEVENTO&lt;&gt;"manual",$M16&lt;&gt;$A$15)),
        IF(Import.TipoArredondamento&lt;&gt;"TransfereGOV",
              ROUND(OFFSET($P16,0,AR$13),15-13*ORÇAMENTO!$AF$7)/$H16*OFFSET(ORÇAMENTO!$X$15,ROW(AR16)-ROW(AR$15),0),
              ROUND(ROUND(OFFSET($P16,0,AR$13),15-13*ORÇAMENTO!$AF$7)*OFFSET(ORÇAMENTO!$W$15,ROW(AR16)-ROW(AR$15),0),15-13*ORÇAMENTO!$AF$11)),
         0)</f>
        <v>0</v>
      </c>
      <c r="AS16" s="352" t="n">
        <f aca="true">IF(AND($D16="Serviço",AS$12&lt;&gt;0,$H16&gt;0,OR(AUTOEVENTO&lt;&gt;"manual",$M16&lt;&gt;$A$15)),
        IF(Import.TipoArredondamento&lt;&gt;"TransfereGOV",
              ROUND(OFFSET($P16,0,AS$13),15-13*ORÇAMENTO!$AF$7)/$H16*OFFSET(ORÇAMENTO!$X$15,ROW(AS16)-ROW(AS$15),0),
              ROUND(ROUND(OFFSET($P16,0,AS$13),15-13*ORÇAMENTO!$AF$7)*OFFSET(ORÇAMENTO!$W$15,ROW(AS16)-ROW(AS$15),0),15-13*ORÇAMENTO!$AF$11)),
         0)</f>
        <v>0</v>
      </c>
      <c r="AT16" s="352" t="n">
        <f aca="true">IF(AND($D16="Serviço",AT$12&lt;&gt;0,$H16&gt;0,OR(AUTOEVENTO&lt;&gt;"manual",$M16&lt;&gt;$A$15)),
        IF(Import.TipoArredondamento&lt;&gt;"TransfereGOV",
              ROUND(OFFSET($P16,0,AT$13),15-13*ORÇAMENTO!$AF$7)/$H16*OFFSET(ORÇAMENTO!$X$15,ROW(AT16)-ROW(AT$15),0),
              ROUND(ROUND(OFFSET($P16,0,AT$13),15-13*ORÇAMENTO!$AF$7)*OFFSET(ORÇAMENTO!$W$15,ROW(AT16)-ROW(AT$15),0),15-13*ORÇAMENTO!$AF$11)),
         0)</f>
        <v>0</v>
      </c>
      <c r="AU16" s="352" t="n">
        <f aca="true">IF(AND($D16="Serviço",AU$12&lt;&gt;0,$H16&gt;0,OR(AUTOEVENTO&lt;&gt;"manual",$M16&lt;&gt;$A$15)),
        IF(Import.TipoArredondamento&lt;&gt;"TransfereGOV",
              ROUND(OFFSET($P16,0,AU$13),15-13*ORÇAMENTO!$AF$7)/$H16*OFFSET(ORÇAMENTO!$X$15,ROW(AU16)-ROW(AU$15),0),
              ROUND(ROUND(OFFSET($P16,0,AU$13),15-13*ORÇAMENTO!$AF$7)*OFFSET(ORÇAMENTO!$W$15,ROW(AU16)-ROW(AU$15),0),15-13*ORÇAMENTO!$AF$11)),
         0)</f>
        <v>0</v>
      </c>
      <c r="AV16" s="352" t="n">
        <f aca="true">IF(AND($D16="Serviço",AV$12&lt;&gt;0,$H16&gt;0,OR(AUTOEVENTO&lt;&gt;"manual",$M16&lt;&gt;$A$15)),
        IF(Import.TipoArredondamento&lt;&gt;"TransfereGOV",
              ROUND(OFFSET($P16,0,AV$13),15-13*ORÇAMENTO!$AF$7)/$H16*OFFSET(ORÇAMENTO!$X$15,ROW(AV16)-ROW(AV$15),0),
              ROUND(ROUND(OFFSET($P16,0,AV$13),15-13*ORÇAMENTO!$AF$7)*OFFSET(ORÇAMENTO!$W$15,ROW(AV16)-ROW(AV$15),0),15-13*ORÇAMENTO!$AF$11)),
         0)</f>
        <v>0</v>
      </c>
      <c r="AW16" s="352" t="n">
        <f aca="true">IF(AND($D16="Serviço",AW$12&lt;&gt;0,$H16&gt;0,OR(AUTOEVENTO&lt;&gt;"manual",$M16&lt;&gt;$A$15)),
        IF(Import.TipoArredondamento&lt;&gt;"TransfereGOV",
              ROUND(OFFSET($P16,0,AW$13),15-13*ORÇAMENTO!$AF$7)/$H16*OFFSET(ORÇAMENTO!$X$15,ROW(AW16)-ROW(AW$15),0),
              ROUND(ROUND(OFFSET($P16,0,AW$13),15-13*ORÇAMENTO!$AF$7)*OFFSET(ORÇAMENTO!$W$15,ROW(AW16)-ROW(AW$15),0),15-13*ORÇAMENTO!$AF$11)),
         0)</f>
        <v>0</v>
      </c>
      <c r="AX16" s="352" t="n">
        <f aca="true">IF(AND($D16="Serviço",AX$12&lt;&gt;0,$H16&gt;0,OR(AUTOEVENTO&lt;&gt;"manual",$M16&lt;&gt;$A$15)),
        IF(Import.TipoArredondamento&lt;&gt;"TransfereGOV",
              ROUND(OFFSET($P16,0,AX$13),15-13*ORÇAMENTO!$AF$7)/$H16*OFFSET(ORÇAMENTO!$X$15,ROW(AX16)-ROW(AX$15),0),
              ROUND(ROUND(OFFSET($P16,0,AX$13),15-13*ORÇAMENTO!$AF$7)*OFFSET(ORÇAMENTO!$W$15,ROW(AX16)-ROW(AX$15),0),15-13*ORÇAMENTO!$AF$11)),
         0)</f>
        <v>0</v>
      </c>
      <c r="AY16" s="352" t="n">
        <f aca="true">IF(AND($D16="Serviço",AY$12&lt;&gt;0,$H16&gt;0,OR(AUTOEVENTO&lt;&gt;"manual",$M16&lt;&gt;$A$15)),
        IF(Import.TipoArredondamento&lt;&gt;"TransfereGOV",
              ROUND(OFFSET($P16,0,AY$13),15-13*ORÇAMENTO!$AF$7)/$H16*OFFSET(ORÇAMENTO!$X$15,ROW(AY16)-ROW(AY$15),0),
              ROUND(ROUND(OFFSET($P16,0,AY$13),15-13*ORÇAMENTO!$AF$7)*OFFSET(ORÇAMENTO!$W$15,ROW(AY16)-ROW(AY$15),0),15-13*ORÇAMENTO!$AF$11)),
         0)</f>
        <v>0</v>
      </c>
      <c r="AZ16" s="352" t="n">
        <f aca="true">IF(AND($D16="Serviço",AZ$12&lt;&gt;0,$H16&gt;0,OR(AUTOEVENTO&lt;&gt;"manual",$M16&lt;&gt;$A$15)),
        IF(Import.TipoArredondamento&lt;&gt;"TransfereGOV",
              ROUND(OFFSET($P16,0,AZ$13),15-13*ORÇAMENTO!$AF$7)/$H16*OFFSET(ORÇAMENTO!$X$15,ROW(AZ16)-ROW(AZ$15),0),
              ROUND(ROUND(OFFSET($P16,0,AZ$13),15-13*ORÇAMENTO!$AF$7)*OFFSET(ORÇAMENTO!$W$15,ROW(AZ16)-ROW(AZ$15),0),15-13*ORÇAMENTO!$AF$11)),
         0)</f>
        <v>0</v>
      </c>
      <c r="BA16" s="352" t="n">
        <f aca="true">IF(AND($D16="Serviço",BA$12&lt;&gt;0,$H16&gt;0,OR(AUTOEVENTO&lt;&gt;"manual",$M16&lt;&gt;$A$15)),
        IF(Import.TipoArredondamento&lt;&gt;"TransfereGOV",
              ROUND(OFFSET($P16,0,BA$13),15-13*ORÇAMENTO!$AF$7)/$H16*OFFSET(ORÇAMENTO!$X$15,ROW(BA16)-ROW(BA$15),0),
              ROUND(ROUND(OFFSET($P16,0,BA$13),15-13*ORÇAMENTO!$AF$7)*OFFSET(ORÇAMENTO!$W$15,ROW(BA16)-ROW(BA$15),0),15-13*ORÇAMENTO!$AF$11)),
         0)</f>
        <v>0</v>
      </c>
      <c r="BB16" s="352" t="n">
        <f aca="true">IF(AND($D16="Serviço",BB$12&lt;&gt;0,$H16&gt;0,OR(AUTOEVENTO&lt;&gt;"manual",$M16&lt;&gt;$A$15)),
        IF(Import.TipoArredondamento&lt;&gt;"TransfereGOV",
              ROUND(OFFSET($P16,0,BB$13),15-13*ORÇAMENTO!$AF$7)/$H16*OFFSET(ORÇAMENTO!$X$15,ROW(BB16)-ROW(BB$15),0),
              ROUND(ROUND(OFFSET($P16,0,BB$13),15-13*ORÇAMENTO!$AF$7)*OFFSET(ORÇAMENTO!$W$15,ROW(BB16)-ROW(BB$15),0),15-13*ORÇAMENTO!$AF$11)),
         0)</f>
        <v>0</v>
      </c>
      <c r="BC16" s="352" t="n">
        <f aca="true">IF(AND($D16="Serviço",BC$12&lt;&gt;0,$H16&gt;0,OR(AUTOEVENTO&lt;&gt;"manual",$M16&lt;&gt;$A$15)),
        IF(Import.TipoArredondamento&lt;&gt;"TransfereGOV",
              ROUND(OFFSET($P16,0,BC$13),15-13*ORÇAMENTO!$AF$7)/$H16*OFFSET(ORÇAMENTO!$X$15,ROW(BC16)-ROW(BC$15),0),
              ROUND(ROUND(OFFSET($P16,0,BC$13),15-13*ORÇAMENTO!$AF$7)*OFFSET(ORÇAMENTO!$W$15,ROW(BC16)-ROW(BC$15),0),15-13*ORÇAMENTO!$AF$11)),
         0)</f>
        <v>0</v>
      </c>
      <c r="BD16" s="352" t="n">
        <f aca="true">IF(AND($D16="Serviço",BD$12&lt;&gt;0,$H16&gt;0,OR(AUTOEVENTO&lt;&gt;"manual",$M16&lt;&gt;$A$15)),
        IF(Import.TipoArredondamento&lt;&gt;"TransfereGOV",
              ROUND(OFFSET($P16,0,BD$13),15-13*ORÇAMENTO!$AF$7)/$H16*OFFSET(ORÇAMENTO!$X$15,ROW(BD16)-ROW(BD$15),0),
              ROUND(ROUND(OFFSET($P16,0,BD$13),15-13*ORÇAMENTO!$AF$7)*OFFSET(ORÇAMENTO!$W$15,ROW(BD16)-ROW(BD$15),0),15-13*ORÇAMENTO!$AF$11)),
         0)</f>
        <v>0</v>
      </c>
      <c r="BE16" s="352" t="n">
        <f aca="true">IF(AND($D16="Serviço",BE$12&lt;&gt;0,$H16&gt;0,OR(AUTOEVENTO&lt;&gt;"manual",$M16&lt;&gt;$A$15)),
        IF(Import.TipoArredondamento&lt;&gt;"TransfereGOV",
              ROUND(OFFSET($P16,0,BE$13),15-13*ORÇAMENTO!$AF$7)/$H16*OFFSET(ORÇAMENTO!$X$15,ROW(BE16)-ROW(BE$15),0),
              ROUND(ROUND(OFFSET($P16,0,BE$13),15-13*ORÇAMENTO!$AF$7)*OFFSET(ORÇAMENTO!$W$15,ROW(BE16)-ROW(BE$15),0),15-13*ORÇAMENTO!$AF$11)),
         0)</f>
        <v>0</v>
      </c>
      <c r="BF16" s="352" t="n">
        <f aca="true">IF(AND($D16="Serviço",BF$12&lt;&gt;0,$H16&gt;0,OR(AUTOEVENTO&lt;&gt;"manual",$M16&lt;&gt;$A$15)),
        IF(Import.TipoArredondamento&lt;&gt;"TransfereGOV",
              ROUND(OFFSET($P16,0,BF$13),15-13*ORÇAMENTO!$AF$7)/$H16*OFFSET(ORÇAMENTO!$X$15,ROW(BF16)-ROW(BF$15),0),
              ROUND(ROUND(OFFSET($P16,0,BF$13),15-13*ORÇAMENTO!$AF$7)*OFFSET(ORÇAMENTO!$W$15,ROW(BF16)-ROW(BF$15),0),15-13*ORÇAMENTO!$AF$11)),
         0)</f>
        <v>0</v>
      </c>
      <c r="BG16" s="352" t="n">
        <f aca="true">IF(AND($D16="Serviço",BG$12&lt;&gt;0,$H16&gt;0,OR(AUTOEVENTO&lt;&gt;"manual",$M16&lt;&gt;$A$15)),
        IF(Import.TipoArredondamento&lt;&gt;"TransfereGOV",
              ROUND(OFFSET($P16,0,BG$13),15-13*ORÇAMENTO!$AF$7)/$H16*OFFSET(ORÇAMENTO!$X$15,ROW(BG16)-ROW(BG$15),0),
              ROUND(ROUND(OFFSET($P16,0,BG$13),15-13*ORÇAMENTO!$AF$7)*OFFSET(ORÇAMENTO!$W$15,ROW(BG16)-ROW(BG$15),0),15-13*ORÇAMENTO!$AF$11)),
         0)</f>
        <v>0</v>
      </c>
      <c r="BH16" s="352" t="n">
        <f aca="true">IF(AND($D16="Serviço",BH$12&lt;&gt;0,$H16&gt;0,OR(AUTOEVENTO&lt;&gt;"manual",$M16&lt;&gt;$A$15)),
        IF(Import.TipoArredondamento&lt;&gt;"TransfereGOV",
              ROUND(OFFSET($P16,0,BH$13),15-13*ORÇAMENTO!$AF$7)/$H16*OFFSET(ORÇAMENTO!$X$15,ROW(BH16)-ROW(BH$15),0),
              ROUND(ROUND(OFFSET($P16,0,BH$13),15-13*ORÇAMENTO!$AF$7)*OFFSET(ORÇAMENTO!$W$15,ROW(BH16)-ROW(BH$15),0),15-13*ORÇAMENTO!$AF$11)),
         0)</f>
        <v>0</v>
      </c>
      <c r="BI16" s="352" t="n">
        <f aca="true">IF(AND($D16="Serviço",BI$12&lt;&gt;0,$H16&gt;0,OR(AUTOEVENTO&lt;&gt;"manual",$M16&lt;&gt;$A$15)),
        IF(Import.TipoArredondamento&lt;&gt;"TransfereGOV",
              ROUND(OFFSET($P16,0,BI$13),15-13*ORÇAMENTO!$AF$7)/$H16*OFFSET(ORÇAMENTO!$X$15,ROW(BI16)-ROW(BI$15),0),
              ROUND(ROUND(OFFSET($P16,0,BI$13),15-13*ORÇAMENTO!$AF$7)*OFFSET(ORÇAMENTO!$W$15,ROW(BI16)-ROW(BI$15),0),15-13*ORÇAMENTO!$AF$11)),
         0)</f>
        <v>0</v>
      </c>
      <c r="BJ16" s="352" t="n">
        <f aca="true">IF(AND($D16="Serviço",BJ$12&lt;&gt;0,$H16&gt;0,OR(AUTOEVENTO&lt;&gt;"manual",$M16&lt;&gt;$A$15)),
        IF(Import.TipoArredondamento&lt;&gt;"TransfereGOV",
              ROUND(OFFSET($P16,0,BJ$13),15-13*ORÇAMENTO!$AF$7)/$H16*OFFSET(ORÇAMENTO!$X$15,ROW(BJ16)-ROW(BJ$15),0),
              ROUND(ROUND(OFFSET($P16,0,BJ$13),15-13*ORÇAMENTO!$AF$7)*OFFSET(ORÇAMENTO!$W$15,ROW(BJ16)-ROW(BJ$15),0),15-13*ORÇAMENTO!$AF$11)),
         0)</f>
        <v>0</v>
      </c>
      <c r="BK16" s="352" t="n">
        <f aca="true">IF(AND($D16="Serviço",BK$12&lt;&gt;0,$H16&gt;0,OR(AUTOEVENTO&lt;&gt;"manual",$M16&lt;&gt;$A$15)),
        IF(Import.TipoArredondamento&lt;&gt;"TransfereGOV",
              ROUND(OFFSET($P16,0,BK$13),15-13*ORÇAMENTO!$AF$7)/$H16*OFFSET(ORÇAMENTO!$X$15,ROW(BK16)-ROW(BK$15),0),
              ROUND(ROUND(OFFSET($P16,0,BK$13),15-13*ORÇAMENTO!$AF$7)*OFFSET(ORÇAMENTO!$W$15,ROW(BK16)-ROW(BK$15),0),15-13*ORÇAMENTO!$AF$11)),
         0)</f>
        <v>0</v>
      </c>
      <c r="BL16" s="352" t="n">
        <f aca="true">IF(AND($D16="Serviço",BL$12&lt;&gt;0,$H16&gt;0,OR(AUTOEVENTO&lt;&gt;"manual",$M16&lt;&gt;$A$15)),
        IF(Import.TipoArredondamento&lt;&gt;"TransfereGOV",
              ROUND(OFFSET($P16,0,BL$13),15-13*ORÇAMENTO!$AF$7)/$H16*OFFSET(ORÇAMENTO!$X$15,ROW(BL16)-ROW(BL$15),0),
              ROUND(ROUND(OFFSET($P16,0,BL$13),15-13*ORÇAMENTO!$AF$7)*OFFSET(ORÇAMENTO!$W$15,ROW(BL16)-ROW(BL$15),0),15-13*ORÇAMENTO!$AF$11)),
         0)</f>
        <v>0</v>
      </c>
      <c r="BM16" s="352" t="n">
        <f aca="true">IF(AND($D16="Serviço",BM$12&lt;&gt;0,$H16&gt;0,OR(AUTOEVENTO&lt;&gt;"manual",$M16&lt;&gt;$A$15)),
        IF(Import.TipoArredondamento&lt;&gt;"TransfereGOV",
              ROUND(OFFSET($P16,0,BM$13),15-13*ORÇAMENTO!$AF$7)/$H16*OFFSET(ORÇAMENTO!$X$15,ROW(BM16)-ROW(BM$15),0),
              ROUND(ROUND(OFFSET($P16,0,BM$13),15-13*ORÇAMENTO!$AF$7)*OFFSET(ORÇAMENTO!$W$15,ROW(BM16)-ROW(BM$15),0),15-13*ORÇAMENTO!$AF$11)),
         0)</f>
        <v>0</v>
      </c>
      <c r="BN16" s="352" t="n">
        <f aca="true">IF(AND($D16="Serviço",BN$12&lt;&gt;0,$H16&gt;0,OR(AUTOEVENTO&lt;&gt;"manual",$M16&lt;&gt;$A$15)),
        IF(Import.TipoArredondamento&lt;&gt;"TransfereGOV",
              ROUND(OFFSET($P16,0,BN$13),15-13*ORÇAMENTO!$AF$7)/$H16*OFFSET(ORÇAMENTO!$X$15,ROW(BN16)-ROW(BN$15),0),
              ROUND(ROUND(OFFSET($P16,0,BN$13),15-13*ORÇAMENTO!$AF$7)*OFFSET(ORÇAMENTO!$W$15,ROW(BN16)-ROW(BN$15),0),15-13*ORÇAMENTO!$AF$11)),
         0)</f>
        <v>0</v>
      </c>
      <c r="BO16" s="352" t="n">
        <f aca="true">IF(AND($D16="Serviço",BO$12&lt;&gt;0,$H16&gt;0,OR(AUTOEVENTO&lt;&gt;"manual",$M16&lt;&gt;$A$15)),
        IF(Import.TipoArredondamento&lt;&gt;"TransfereGOV",
              ROUND(OFFSET($P16,0,BO$13),15-13*ORÇAMENTO!$AF$7)/$H16*OFFSET(ORÇAMENTO!$X$15,ROW(BO16)-ROW(BO$15),0),
              ROUND(ROUND(OFFSET($P16,0,BO$13),15-13*ORÇAMENTO!$AF$7)*OFFSET(ORÇAMENTO!$W$15,ROW(BO16)-ROW(BO$15),0),15-13*ORÇAMENTO!$AF$11)),
         0)</f>
        <v>0</v>
      </c>
      <c r="BP16" s="352" t="n">
        <f aca="true">IF(AND($D16="Serviço",BP$12&lt;&gt;0,$H16&gt;0,OR(AUTOEVENTO&lt;&gt;"manual",$M16&lt;&gt;$A$15)),
        IF(Import.TipoArredondamento&lt;&gt;"TransfereGOV",
              ROUND(OFFSET($P16,0,BP$13),15-13*ORÇAMENTO!$AF$7)/$H16*OFFSET(ORÇAMENTO!$X$15,ROW(BP16)-ROW(BP$15),0),
              ROUND(ROUND(OFFSET($P16,0,BP$13),15-13*ORÇAMENTO!$AF$7)*OFFSET(ORÇAMENTO!$W$15,ROW(BP16)-ROW(BP$15),0),15-13*ORÇAMENTO!$AF$11)),
         0)</f>
        <v>0</v>
      </c>
      <c r="BQ16" s="352" t="n">
        <f aca="true">IF(AND($D16="Serviço",BQ$12&lt;&gt;0,$H16&gt;0,OR(AUTOEVENTO&lt;&gt;"manual",$M16&lt;&gt;$A$15)),
        IF(Import.TipoArredondamento&lt;&gt;"TransfereGOV",
              ROUND(OFFSET($P16,0,BQ$13),15-13*ORÇAMENTO!$AF$7)/$H16*OFFSET(ORÇAMENTO!$X$15,ROW(BQ16)-ROW(BQ$15),0),
              ROUND(ROUND(OFFSET($P16,0,BQ$13),15-13*ORÇAMENTO!$AF$7)*OFFSET(ORÇAMENTO!$W$15,ROW(BQ16)-ROW(BQ$15),0),15-13*ORÇAMENTO!$AF$11)),
         0)</f>
        <v>0</v>
      </c>
      <c r="BS16" s="353" t="n">
        <f aca="true">IF(OR($D16&lt;&gt;"Serviço",AND(AUTOEVENTO="Manual",$M16=$A$15)),0,
         IF(OFFSET(CRONOPLE!$F$15,$M16-$A$15,BS$13)=0,10^12,OFFSET(CRONOPLE!$F$15,$M16-$A$15,BS$13)))</f>
        <v>0</v>
      </c>
      <c r="BT16" s="353" t="n">
        <f aca="true">IF(OR($D16&lt;&gt;"Serviço",AND(AUTOEVENTO="Manual",$M16=$A$15)),0,
         IF(OFFSET(CRONOPLE!$F$15,$M16-$A$15,BT$13)=0,10^12,OFFSET(CRONOPLE!$F$15,$M16-$A$15,BT$13)))</f>
        <v>0</v>
      </c>
      <c r="BU16" s="353" t="n">
        <f aca="true">IF(OR($D16&lt;&gt;"Serviço",AND(AUTOEVENTO="Manual",$M16=$A$15)),0,
         IF(OFFSET(CRONOPLE!$F$15,$M16-$A$15,BU$13)=0,10^12,OFFSET(CRONOPLE!$F$15,$M16-$A$15,BU$13)))</f>
        <v>0</v>
      </c>
      <c r="BV16" s="353" t="n">
        <f aca="true">IF(OR($D16&lt;&gt;"Serviço",AND(AUTOEVENTO="Manual",$M16=$A$15)),0,
         IF(OFFSET(CRONOPLE!$F$15,$M16-$A$15,BV$13)=0,10^12,OFFSET(CRONOPLE!$F$15,$M16-$A$15,BV$13)))</f>
        <v>0</v>
      </c>
      <c r="BW16" s="353" t="n">
        <f aca="true">IF(OR($D16&lt;&gt;"Serviço",AND(AUTOEVENTO="Manual",$M16=$A$15)),0,
         IF(OFFSET(CRONOPLE!$F$15,$M16-$A$15,BW$13)=0,10^12,OFFSET(CRONOPLE!$F$15,$M16-$A$15,BW$13)))</f>
        <v>0</v>
      </c>
      <c r="BX16" s="353" t="n">
        <f aca="true">IF(OR($D16&lt;&gt;"Serviço",AND(AUTOEVENTO="Manual",$M16=$A$15)),0,
         IF(OFFSET(CRONOPLE!$F$15,$M16-$A$15,BX$13)=0,10^12,OFFSET(CRONOPLE!$F$15,$M16-$A$15,BX$13)))</f>
        <v>0</v>
      </c>
      <c r="BY16" s="353" t="n">
        <f aca="true">IF(OR($D16&lt;&gt;"Serviço",AND(AUTOEVENTO="Manual",$M16=$A$15)),0,
         IF(OFFSET(CRONOPLE!$F$15,$M16-$A$15,BY$13)=0,10^12,OFFSET(CRONOPLE!$F$15,$M16-$A$15,BY$13)))</f>
        <v>0</v>
      </c>
      <c r="BZ16" s="353" t="n">
        <f aca="true">IF(OR($D16&lt;&gt;"Serviço",AND(AUTOEVENTO="Manual",$M16=$A$15)),0,
         IF(OFFSET(CRONOPLE!$F$15,$M16-$A$15,BZ$13)=0,10^12,OFFSET(CRONOPLE!$F$15,$M16-$A$15,BZ$13)))</f>
        <v>0</v>
      </c>
      <c r="CA16" s="353" t="n">
        <f aca="true">IF(OR($D16&lt;&gt;"Serviço",AND(AUTOEVENTO="Manual",$M16=$A$15)),0,
         IF(OFFSET(CRONOPLE!$F$15,$M16-$A$15,CA$13)=0,10^12,OFFSET(CRONOPLE!$F$15,$M16-$A$15,CA$13)))</f>
        <v>0</v>
      </c>
      <c r="CB16" s="353" t="n">
        <f aca="true">IF(OR($D16&lt;&gt;"Serviço",AND(AUTOEVENTO="Manual",$M16=$A$15)),0,
         IF(OFFSET(CRONOPLE!$F$15,$M16-$A$15,CB$13)=0,10^12,OFFSET(CRONOPLE!$F$15,$M16-$A$15,CB$13)))</f>
        <v>0</v>
      </c>
      <c r="CC16" s="353" t="n">
        <f aca="true">IF(OR($D16&lt;&gt;"Serviço",AND(AUTOEVENTO="Manual",$M16=$A$15)),0,
         IF(OFFSET(CRONOPLE!$F$15,$M16-$A$15,CC$13)=0,10^12,OFFSET(CRONOPLE!$F$15,$M16-$A$15,CC$13)))</f>
        <v>0</v>
      </c>
      <c r="CD16" s="353" t="n">
        <f aca="true">IF(OR($D16&lt;&gt;"Serviço",AND(AUTOEVENTO="Manual",$M16=$A$15)),0,
         IF(OFFSET(CRONOPLE!$F$15,$M16-$A$15,CD$13)=0,10^12,OFFSET(CRONOPLE!$F$15,$M16-$A$15,CD$13)))</f>
        <v>0</v>
      </c>
      <c r="CE16" s="353" t="n">
        <f aca="true">IF(OR($D16&lt;&gt;"Serviço",AND(AUTOEVENTO="Manual",$M16=$A$15)),0,
         IF(OFFSET(CRONOPLE!$F$15,$M16-$A$15,CE$13)=0,10^12,OFFSET(CRONOPLE!$F$15,$M16-$A$15,CE$13)))</f>
        <v>0</v>
      </c>
      <c r="CF16" s="353" t="n">
        <f aca="true">IF(OR($D16&lt;&gt;"Serviço",AND(AUTOEVENTO="Manual",$M16=$A$15)),0,
         IF(OFFSET(CRONOPLE!$F$15,$M16-$A$15,CF$13)=0,10^12,OFFSET(CRONOPLE!$F$15,$M16-$A$15,CF$13)))</f>
        <v>0</v>
      </c>
      <c r="CG16" s="353" t="n">
        <f aca="true">IF(OR($D16&lt;&gt;"Serviço",AND(AUTOEVENTO="Manual",$M16=$A$15)),0,
         IF(OFFSET(CRONOPLE!$F$15,$M16-$A$15,CG$13)=0,10^12,OFFSET(CRONOPLE!$F$15,$M16-$A$15,CG$13)))</f>
        <v>0</v>
      </c>
      <c r="CH16" s="353" t="n">
        <f aca="true">IF(OR($D16&lt;&gt;"Serviço",AND(AUTOEVENTO="Manual",$M16=$A$15)),0,
         IF(OFFSET(CRONOPLE!$F$15,$M16-$A$15,CH$13)=0,10^12,OFFSET(CRONOPLE!$F$15,$M16-$A$15,CH$13)))</f>
        <v>0</v>
      </c>
      <c r="CI16" s="353" t="n">
        <f aca="true">IF(OR($D16&lt;&gt;"Serviço",AND(AUTOEVENTO="Manual",$M16=$A$15)),0,
         IF(OFFSET(CRONOPLE!$F$15,$M16-$A$15,CI$13)=0,10^12,OFFSET(CRONOPLE!$F$15,$M16-$A$15,CI$13)))</f>
        <v>0</v>
      </c>
      <c r="CJ16" s="353" t="n">
        <f aca="true">IF(OR($D16&lt;&gt;"Serviço",AND(AUTOEVENTO="Manual",$M16=$A$15)),0,
         IF(OFFSET(CRONOPLE!$F$15,$M16-$A$15,CJ$13)=0,10^12,OFFSET(CRONOPLE!$F$15,$M16-$A$15,CJ$13)))</f>
        <v>0</v>
      </c>
      <c r="CK16" s="353" t="n">
        <f aca="true">IF(OR($D16&lt;&gt;"Serviço",AND(AUTOEVENTO="Manual",$M16=$A$15)),0,
         IF(OFFSET(CRONOPLE!$F$15,$M16-$A$15,CK$13)=0,10^12,OFFSET(CRONOPLE!$F$15,$M16-$A$15,CK$13)))</f>
        <v>0</v>
      </c>
      <c r="CL16" s="353" t="n">
        <f aca="true">IF(OR($D16&lt;&gt;"Serviço",AND(AUTOEVENTO="Manual",$M16=$A$15)),0,
         IF(OFFSET(CRONOPLE!$F$15,$M16-$A$15,CL$13)=0,10^12,OFFSET(CRONOPLE!$F$15,$M16-$A$15,CL$13)))</f>
        <v>0</v>
      </c>
      <c r="CM16" s="353" t="n">
        <f aca="true">IF(OR($D16&lt;&gt;"Serviço",AND(AUTOEVENTO="Manual",$M16=$A$15)),0,
         IF(OFFSET(CRONOPLE!$F$15,$M16-$A$15,CM$13)=0,10^12,OFFSET(CRONOPLE!$F$15,$M16-$A$15,CM$13)))</f>
        <v>0</v>
      </c>
      <c r="CN16" s="353" t="n">
        <f aca="true">IF(OR($D16&lt;&gt;"Serviço",AND(AUTOEVENTO="Manual",$M16=$A$15)),0,
         IF(OFFSET(CRONOPLE!$F$15,$M16-$A$15,CN$13)=0,10^12,OFFSET(CRONOPLE!$F$15,$M16-$A$15,CN$13)))</f>
        <v>0</v>
      </c>
      <c r="CO16" s="353" t="n">
        <f aca="true">IF(OR($D16&lt;&gt;"Serviço",AND(AUTOEVENTO="Manual",$M16=$A$15)),0,
         IF(OFFSET(CRONOPLE!$F$15,$M16-$A$15,CO$13)=0,10^12,OFFSET(CRONOPLE!$F$15,$M16-$A$15,CO$13)))</f>
        <v>0</v>
      </c>
      <c r="CP16" s="353" t="n">
        <f aca="true">IF(OR($D16&lt;&gt;"Serviço",AND(AUTOEVENTO="Manual",$M16=$A$15)),0,
         IF(OFFSET(CRONOPLE!$F$15,$M16-$A$15,CP$13)=0,10^12,OFFSET(CRONOPLE!$F$15,$M16-$A$15,CP$13)))</f>
        <v>0</v>
      </c>
      <c r="CQ16" s="353" t="n">
        <f aca="true">IF(OR($D16&lt;&gt;"Serviço",AND(AUTOEVENTO="Manual",$M16=$A$15)),0,
         IF(OFFSET(CRONOPLE!$F$15,$M16-$A$15,CQ$13)=0,10^12,OFFSET(CRONOPLE!$F$15,$M16-$A$15,CQ$13)))</f>
        <v>0</v>
      </c>
      <c r="CR16" s="353" t="n">
        <f aca="true">IF(OR($D16&lt;&gt;"Serviço",AND(AUTOEVENTO="Manual",$M16=$A$15)),0,
         IF(OFFSET(CRONOPLE!$F$15,$M16-$A$15,CR$13)=0,10^12,OFFSET(CRONOPLE!$F$15,$M16-$A$15,CR$13)))</f>
        <v>0</v>
      </c>
      <c r="CT16" s="354" t="n">
        <f aca="true">IF(OR($D16&lt;&gt;"Serviço",AND(AUTOEVENTO="Manual",$M16=$A$15),$M16&gt;(ROW(PLE.lastrow)-ROW(PLE.firstrow))),0,
           IF(OFFSET(PLE!$G$15,$M16-$A$15,CT$13)="",10^12,OFFSET(PLE!$G$15,$M16-$A$15,CT$13)))</f>
        <v>0</v>
      </c>
      <c r="CU16" s="354" t="n">
        <f aca="true">IF(OR($D16&lt;&gt;"Serviço",AND(AUTOEVENTO="Manual",$M16=$A$15),$M16&gt;(ROW(PLE.lastrow)-ROW(PLE.firstrow))),0,
           IF(OFFSET(PLE!$G$15,$M16-$A$15,CU$13)="",10^12,OFFSET(PLE!$G$15,$M16-$A$15,CU$13)))</f>
        <v>0</v>
      </c>
      <c r="CV16" s="354" t="n">
        <f aca="true">IF(OR($D16&lt;&gt;"Serviço",AND(AUTOEVENTO="Manual",$M16=$A$15),$M16&gt;(ROW(PLE.lastrow)-ROW(PLE.firstrow))),0,
           IF(OFFSET(PLE!$G$15,$M16-$A$15,CV$13)="",10^12,OFFSET(PLE!$G$15,$M16-$A$15,CV$13)))</f>
        <v>0</v>
      </c>
      <c r="CW16" s="354" t="n">
        <f aca="true">IF(OR($D16&lt;&gt;"Serviço",AND(AUTOEVENTO="Manual",$M16=$A$15),$M16&gt;(ROW(PLE.lastrow)-ROW(PLE.firstrow))),0,
           IF(OFFSET(PLE!$G$15,$M16-$A$15,CW$13)="",10^12,OFFSET(PLE!$G$15,$M16-$A$15,CW$13)))</f>
        <v>0</v>
      </c>
      <c r="CX16" s="354" t="n">
        <f aca="true">IF(OR($D16&lt;&gt;"Serviço",AND(AUTOEVENTO="Manual",$M16=$A$15),$M16&gt;(ROW(PLE.lastrow)-ROW(PLE.firstrow))),0,
           IF(OFFSET(PLE!$G$15,$M16-$A$15,CX$13)="",10^12,OFFSET(PLE!$G$15,$M16-$A$15,CX$13)))</f>
        <v>0</v>
      </c>
      <c r="CY16" s="354" t="n">
        <f aca="true">IF(OR($D16&lt;&gt;"Serviço",AND(AUTOEVENTO="Manual",$M16=$A$15),$M16&gt;(ROW(PLE.lastrow)-ROW(PLE.firstrow))),0,
           IF(OFFSET(PLE!$G$15,$M16-$A$15,CY$13)="",10^12,OFFSET(PLE!$G$15,$M16-$A$15,CY$13)))</f>
        <v>0</v>
      </c>
      <c r="CZ16" s="354" t="n">
        <f aca="true">IF(OR($D16&lt;&gt;"Serviço",AND(AUTOEVENTO="Manual",$M16=$A$15),$M16&gt;(ROW(PLE.lastrow)-ROW(PLE.firstrow))),0,
           IF(OFFSET(PLE!$G$15,$M16-$A$15,CZ$13)="",10^12,OFFSET(PLE!$G$15,$M16-$A$15,CZ$13)))</f>
        <v>0</v>
      </c>
      <c r="DA16" s="354" t="n">
        <f aca="true">IF(OR($D16&lt;&gt;"Serviço",AND(AUTOEVENTO="Manual",$M16=$A$15),$M16&gt;(ROW(PLE.lastrow)-ROW(PLE.firstrow))),0,
           IF(OFFSET(PLE!$G$15,$M16-$A$15,DA$13)="",10^12,OFFSET(PLE!$G$15,$M16-$A$15,DA$13)))</f>
        <v>0</v>
      </c>
      <c r="DB16" s="354" t="n">
        <f aca="true">IF(OR($D16&lt;&gt;"Serviço",AND(AUTOEVENTO="Manual",$M16=$A$15),$M16&gt;(ROW(PLE.lastrow)-ROW(PLE.firstrow))),0,
           IF(OFFSET(PLE!$G$15,$M16-$A$15,DB$13)="",10^12,OFFSET(PLE!$G$15,$M16-$A$15,DB$13)))</f>
        <v>0</v>
      </c>
      <c r="DC16" s="354" t="n">
        <f aca="true">IF(OR($D16&lt;&gt;"Serviço",AND(AUTOEVENTO="Manual",$M16=$A$15),$M16&gt;(ROW(PLE.lastrow)-ROW(PLE.firstrow))),0,
           IF(OFFSET(PLE!$G$15,$M16-$A$15,DC$13)="",10^12,OFFSET(PLE!$G$15,$M16-$A$15,DC$13)))</f>
        <v>0</v>
      </c>
      <c r="DD16" s="354" t="n">
        <f aca="true">IF(OR($D16&lt;&gt;"Serviço",AND(AUTOEVENTO="Manual",$M16=$A$15),$M16&gt;(ROW(PLE.lastrow)-ROW(PLE.firstrow))),0,
           IF(OFFSET(PLE!$G$15,$M16-$A$15,DD$13)="",10^12,OFFSET(PLE!$G$15,$M16-$A$15,DD$13)))</f>
        <v>0</v>
      </c>
      <c r="DE16" s="354" t="n">
        <f aca="true">IF(OR($D16&lt;&gt;"Serviço",AND(AUTOEVENTO="Manual",$M16=$A$15),$M16&gt;(ROW(PLE.lastrow)-ROW(PLE.firstrow))),0,
           IF(OFFSET(PLE!$G$15,$M16-$A$15,DE$13)="",10^12,OFFSET(PLE!$G$15,$M16-$A$15,DE$13)))</f>
        <v>0</v>
      </c>
      <c r="DF16" s="354" t="n">
        <f aca="true">IF(OR($D16&lt;&gt;"Serviço",AND(AUTOEVENTO="Manual",$M16=$A$15),$M16&gt;(ROW(PLE.lastrow)-ROW(PLE.firstrow))),0,
           IF(OFFSET(PLE!$G$15,$M16-$A$15,DF$13)="",10^12,OFFSET(PLE!$G$15,$M16-$A$15,DF$13)))</f>
        <v>0</v>
      </c>
      <c r="DG16" s="354" t="n">
        <f aca="true">IF(OR($D16&lt;&gt;"Serviço",AND(AUTOEVENTO="Manual",$M16=$A$15),$M16&gt;(ROW(PLE.lastrow)-ROW(PLE.firstrow))),0,
           IF(OFFSET(PLE!$G$15,$M16-$A$15,DG$13)="",10^12,OFFSET(PLE!$G$15,$M16-$A$15,DG$13)))</f>
        <v>0</v>
      </c>
      <c r="DH16" s="354" t="n">
        <f aca="true">IF(OR($D16&lt;&gt;"Serviço",AND(AUTOEVENTO="Manual",$M16=$A$15),$M16&gt;(ROW(PLE.lastrow)-ROW(PLE.firstrow))),0,
           IF(OFFSET(PLE!$G$15,$M16-$A$15,DH$13)="",10^12,OFFSET(PLE!$G$15,$M16-$A$15,DH$13)))</f>
        <v>0</v>
      </c>
      <c r="DI16" s="354" t="n">
        <f aca="true">IF(OR($D16&lt;&gt;"Serviço",AND(AUTOEVENTO="Manual",$M16=$A$15),$M16&gt;(ROW(PLE.lastrow)-ROW(PLE.firstrow))),0,
           IF(OFFSET(PLE!$G$15,$M16-$A$15,DI$13)="",10^12,OFFSET(PLE!$G$15,$M16-$A$15,DI$13)))</f>
        <v>0</v>
      </c>
      <c r="DJ16" s="354" t="n">
        <f aca="true">IF(OR($D16&lt;&gt;"Serviço",AND(AUTOEVENTO="Manual",$M16=$A$15),$M16&gt;(ROW(PLE.lastrow)-ROW(PLE.firstrow))),0,
           IF(OFFSET(PLE!$G$15,$M16-$A$15,DJ$13)="",10^12,OFFSET(PLE!$G$15,$M16-$A$15,DJ$13)))</f>
        <v>0</v>
      </c>
      <c r="DK16" s="354" t="n">
        <f aca="true">IF(OR($D16&lt;&gt;"Serviço",AND(AUTOEVENTO="Manual",$M16=$A$15),$M16&gt;(ROW(PLE.lastrow)-ROW(PLE.firstrow))),0,
           IF(OFFSET(PLE!$G$15,$M16-$A$15,DK$13)="",10^12,OFFSET(PLE!$G$15,$M16-$A$15,DK$13)))</f>
        <v>0</v>
      </c>
      <c r="DL16" s="354" t="n">
        <f aca="true">IF(OR($D16&lt;&gt;"Serviço",AND(AUTOEVENTO="Manual",$M16=$A$15),$M16&gt;(ROW(PLE.lastrow)-ROW(PLE.firstrow))),0,
           IF(OFFSET(PLE!$G$15,$M16-$A$15,DL$13)="",10^12,OFFSET(PLE!$G$15,$M16-$A$15,DL$13)))</f>
        <v>0</v>
      </c>
      <c r="DM16" s="354" t="n">
        <f aca="true">IF(OR($D16&lt;&gt;"Serviço",AND(AUTOEVENTO="Manual",$M16=$A$15),$M16&gt;(ROW(PLE.lastrow)-ROW(PLE.firstrow))),0,
           IF(OFFSET(PLE!$G$15,$M16-$A$15,DM$13)="",10^12,OFFSET(PLE!$G$15,$M16-$A$15,DM$13)))</f>
        <v>0</v>
      </c>
      <c r="DN16" s="354" t="n">
        <f aca="true">IF(OR($D16&lt;&gt;"Serviço",AND(AUTOEVENTO="Manual",$M16=$A$15),$M16&gt;(ROW(PLE.lastrow)-ROW(PLE.firstrow))),0,
           IF(OFFSET(PLE!$G$15,$M16-$A$15,DN$13)="",10^12,OFFSET(PLE!$G$15,$M16-$A$15,DN$13)))</f>
        <v>0</v>
      </c>
      <c r="DO16" s="354" t="n">
        <f aca="true">IF(OR($D16&lt;&gt;"Serviço",AND(AUTOEVENTO="Manual",$M16=$A$15),$M16&gt;(ROW(PLE.lastrow)-ROW(PLE.firstrow))),0,
           IF(OFFSET(PLE!$G$15,$M16-$A$15,DO$13)="",10^12,OFFSET(PLE!$G$15,$M16-$A$15,DO$13)))</f>
        <v>0</v>
      </c>
      <c r="DP16" s="354" t="n">
        <f aca="true">IF(OR($D16&lt;&gt;"Serviço",AND(AUTOEVENTO="Manual",$M16=$A$15),$M16&gt;(ROW(PLE.lastrow)-ROW(PLE.firstrow))),0,
           IF(OFFSET(PLE!$G$15,$M16-$A$15,DP$13)="",10^12,OFFSET(PLE!$G$15,$M16-$A$15,DP$13)))</f>
        <v>0</v>
      </c>
      <c r="DQ16" s="354" t="n">
        <f aca="true">IF(OR($D16&lt;&gt;"Serviço",AND(AUTOEVENTO="Manual",$M16=$A$15),$M16&gt;(ROW(PLE.lastrow)-ROW(PLE.firstrow))),0,
           IF(OFFSET(PLE!$G$15,$M16-$A$15,DQ$13)="",10^12,OFFSET(PLE!$G$15,$M16-$A$15,DQ$13)))</f>
        <v>0</v>
      </c>
      <c r="DR16" s="354" t="n">
        <f aca="true">IF(OR($D16&lt;&gt;"Serviço",AND(AUTOEVENTO="Manual",$M16=$A$15),$M16&gt;(ROW(PLE.lastrow)-ROW(PLE.firstrow))),0,
           IF(OFFSET(PLE!$G$15,$M16-$A$15,DR$13)="",10^12,OFFSET(PLE!$G$15,$M16-$A$15,DR$13)))</f>
        <v>0</v>
      </c>
      <c r="DS16" s="354" t="n">
        <f aca="true">IF(OR($D16&lt;&gt;"Serviço",AND(AUTOEVENTO="Manual",$M16=$A$15),$M16&gt;(ROW(PLE.lastrow)-ROW(PLE.firstrow))),0,
           IF(OFFSET(PLE!$G$15,$M16-$A$15,DS$13)="",10^12,OFFSET(PLE!$G$15,$M16-$A$15,DS$13)))</f>
        <v>0</v>
      </c>
    </row>
    <row r="17" customFormat="false" ht="12.75" hidden="false" customHeight="false" outlineLevel="0" collapsed="false">
      <c r="A17" s="50" t="str">
        <f aca="true">IFERROR(IF(AUTOEVENTO="Manual",IF(K17&lt;&gt;"",MIN(VALUE(LEFT(K17,FIND(".",K17)-1)),COUNTA(EVENTOS.Lista)),0),IF(OR($B17&gt;AUTOEVENTO,$B17="S",$B17=0),SUBSTITUTE(OFFSET($A17,-1,0),IF($D17="Serviço",".",""),""),ROW(A17)-ROW($A$15)&amp;".")),0)</f>
        <v>2.</v>
      </c>
      <c r="B17" s="50" t="n">
        <f aca="true">OFFSET(ORÇAMENTO!C$15,ROW(B17)-ROW(B$15),0)</f>
        <v>2</v>
      </c>
      <c r="C17" s="50" t="str">
        <f aca="true">OFFSET(ORÇAMENTO!L$15,ROW(C17)-ROW(C$15),0)</f>
        <v>F</v>
      </c>
      <c r="D17" s="201" t="str">
        <f aca="true">OFFSET(ORÇAMENTO!N$15,ROW(D17)-ROW(D$15),0)</f>
        <v>Nível 2</v>
      </c>
      <c r="E17" s="202" t="str">
        <f aca="true">OFFSET(ORÇAMENTO!O$15,ROW(E17)-ROW(E$15),0)</f>
        <v>1.1.</v>
      </c>
      <c r="F17" s="341" t="str">
        <f aca="true">OFFSET(ORÇAMENTO!R$15,ROW(F17)-ROW(F$15),0)</f>
        <v>SERVIÇOS PRELIMINARES</v>
      </c>
      <c r="G17" s="342" t="str">
        <f aca="true">IF($D17&lt;&gt;"Serviço","",OFFSET(ORÇAMENTO!S$15,ROW(G17)-ROW(G$15),0))</f>
        <v/>
      </c>
      <c r="H17" s="207" t="n">
        <f aca="true">IF($D17&lt;&gt;"Serviço",0,IF(ACOMPANHAMENTO="BM",ROUND(OFFSET(ORÇAMENTO!AJ$15,ROW(H17)-ROW(H$15),0),15-13*ORÇAMENTO!$AF$7),SUMPRODUCT(($Q$1:$AQ$1=1)*ROUND($Q17:$AQ17,15-13*ORÇAMENTO!$AF$7))))</f>
        <v>0</v>
      </c>
      <c r="I17" s="343"/>
      <c r="J17" s="344" t="str">
        <f aca="false">IF(OR(B17&lt;&gt;"S",CÁLCULO.FrentesPreenchidas=0),"",IF(AND(ACOMPANHAMENTO="PLE",AUTOEVENTO="Manual",OR(H17&gt;0,ORÇAMENTO!AC17="QUANT."),OR(K17="",M17=0,N17="")),"►",IF(AND(ACOMPANHAMENTO="PLE",ORÇAMENTO!AC17="QUANT."),"►►",IF(AND(COUNTIF($P$11:$AQ$11,"▼")=0,H17&gt;0,I17=""),"◄",""))))</f>
        <v/>
      </c>
      <c r="K17" s="345"/>
      <c r="L17" s="346" t="s">
        <v>876</v>
      </c>
      <c r="M17" s="347" t="str">
        <f aca="true">IF($D17&lt;&gt;"Serviço","",
          IF(AUTOEVENTO="manual",$A17,
                IF(ISERROR(MATCH($A17,$A$15:OFFSET($A17,-1,0),0)),MAX($M$15:OFFSET(M17,-1,0))+1,
                      INDEX($M$15:OFFSET(M17,-1,0),MATCH($A17,$A$15:OFFSET($A17,-1,0),0)))))</f>
        <v/>
      </c>
      <c r="N17" s="348" t="str">
        <f aca="true">IF($D17&lt;&gt;"Serviço","",
         IF(AUTOEVENTO="Manual",
                IF($A17=0,"&lt;-- defina o número do agrupador",
                       OFFSET(EVENTOS!$D$15,$A17-$A$15,0)),
                OFFSET($F$15,$A17,0)))</f>
        <v/>
      </c>
      <c r="O17" s="349"/>
      <c r="Q17" s="349"/>
      <c r="R17" s="350"/>
      <c r="S17" s="350"/>
      <c r="T17" s="350"/>
      <c r="U17" s="350"/>
      <c r="V17" s="350"/>
      <c r="W17" s="350"/>
      <c r="X17" s="350"/>
      <c r="Y17" s="350"/>
      <c r="Z17" s="351"/>
      <c r="AA17" s="350"/>
      <c r="AB17" s="350"/>
      <c r="AC17" s="350"/>
      <c r="AD17" s="350"/>
      <c r="AE17" s="350"/>
      <c r="AF17" s="350"/>
      <c r="AG17" s="350"/>
      <c r="AH17" s="351"/>
      <c r="AI17" s="350"/>
      <c r="AJ17" s="350"/>
      <c r="AK17" s="350"/>
      <c r="AL17" s="350"/>
      <c r="AM17" s="350"/>
      <c r="AN17" s="350"/>
      <c r="AO17" s="350"/>
      <c r="AP17" s="351"/>
      <c r="AR17" s="352" t="n">
        <f aca="true">IF(AND($D17="Serviço",AR$12&lt;&gt;0,$H17&gt;0,OR(AUTOEVENTO&lt;&gt;"manual",$M17&lt;&gt;$A$15)),
        IF(Import.TipoArredondamento&lt;&gt;"TransfereGOV",
              ROUND(OFFSET($P17,0,AR$13),15-13*ORÇAMENTO!$AF$7)/$H17*OFFSET(ORÇAMENTO!$X$15,ROW(AR17)-ROW(AR$15),0),
              ROUND(ROUND(OFFSET($P17,0,AR$13),15-13*ORÇAMENTO!$AF$7)*OFFSET(ORÇAMENTO!$W$15,ROW(AR17)-ROW(AR$15),0),15-13*ORÇAMENTO!$AF$11)),
         0)</f>
        <v>0</v>
      </c>
      <c r="AS17" s="352" t="n">
        <f aca="true">IF(AND($D17="Serviço",AS$12&lt;&gt;0,$H17&gt;0,OR(AUTOEVENTO&lt;&gt;"manual",$M17&lt;&gt;$A$15)),
        IF(Import.TipoArredondamento&lt;&gt;"TransfereGOV",
              ROUND(OFFSET($P17,0,AS$13),15-13*ORÇAMENTO!$AF$7)/$H17*OFFSET(ORÇAMENTO!$X$15,ROW(AS17)-ROW(AS$15),0),
              ROUND(ROUND(OFFSET($P17,0,AS$13),15-13*ORÇAMENTO!$AF$7)*OFFSET(ORÇAMENTO!$W$15,ROW(AS17)-ROW(AS$15),0),15-13*ORÇAMENTO!$AF$11)),
         0)</f>
        <v>0</v>
      </c>
      <c r="AT17" s="352" t="n">
        <f aca="true">IF(AND($D17="Serviço",AT$12&lt;&gt;0,$H17&gt;0,OR(AUTOEVENTO&lt;&gt;"manual",$M17&lt;&gt;$A$15)),
        IF(Import.TipoArredondamento&lt;&gt;"TransfereGOV",
              ROUND(OFFSET($P17,0,AT$13),15-13*ORÇAMENTO!$AF$7)/$H17*OFFSET(ORÇAMENTO!$X$15,ROW(AT17)-ROW(AT$15),0),
              ROUND(ROUND(OFFSET($P17,0,AT$13),15-13*ORÇAMENTO!$AF$7)*OFFSET(ORÇAMENTO!$W$15,ROW(AT17)-ROW(AT$15),0),15-13*ORÇAMENTO!$AF$11)),
         0)</f>
        <v>0</v>
      </c>
      <c r="AU17" s="352" t="n">
        <f aca="true">IF(AND($D17="Serviço",AU$12&lt;&gt;0,$H17&gt;0,OR(AUTOEVENTO&lt;&gt;"manual",$M17&lt;&gt;$A$15)),
        IF(Import.TipoArredondamento&lt;&gt;"TransfereGOV",
              ROUND(OFFSET($P17,0,AU$13),15-13*ORÇAMENTO!$AF$7)/$H17*OFFSET(ORÇAMENTO!$X$15,ROW(AU17)-ROW(AU$15),0),
              ROUND(ROUND(OFFSET($P17,0,AU$13),15-13*ORÇAMENTO!$AF$7)*OFFSET(ORÇAMENTO!$W$15,ROW(AU17)-ROW(AU$15),0),15-13*ORÇAMENTO!$AF$11)),
         0)</f>
        <v>0</v>
      </c>
      <c r="AV17" s="352" t="n">
        <f aca="true">IF(AND($D17="Serviço",AV$12&lt;&gt;0,$H17&gt;0,OR(AUTOEVENTO&lt;&gt;"manual",$M17&lt;&gt;$A$15)),
        IF(Import.TipoArredondamento&lt;&gt;"TransfereGOV",
              ROUND(OFFSET($P17,0,AV$13),15-13*ORÇAMENTO!$AF$7)/$H17*OFFSET(ORÇAMENTO!$X$15,ROW(AV17)-ROW(AV$15),0),
              ROUND(ROUND(OFFSET($P17,0,AV$13),15-13*ORÇAMENTO!$AF$7)*OFFSET(ORÇAMENTO!$W$15,ROW(AV17)-ROW(AV$15),0),15-13*ORÇAMENTO!$AF$11)),
         0)</f>
        <v>0</v>
      </c>
      <c r="AW17" s="352" t="n">
        <f aca="true">IF(AND($D17="Serviço",AW$12&lt;&gt;0,$H17&gt;0,OR(AUTOEVENTO&lt;&gt;"manual",$M17&lt;&gt;$A$15)),
        IF(Import.TipoArredondamento&lt;&gt;"TransfereGOV",
              ROUND(OFFSET($P17,0,AW$13),15-13*ORÇAMENTO!$AF$7)/$H17*OFFSET(ORÇAMENTO!$X$15,ROW(AW17)-ROW(AW$15),0),
              ROUND(ROUND(OFFSET($P17,0,AW$13),15-13*ORÇAMENTO!$AF$7)*OFFSET(ORÇAMENTO!$W$15,ROW(AW17)-ROW(AW$15),0),15-13*ORÇAMENTO!$AF$11)),
         0)</f>
        <v>0</v>
      </c>
      <c r="AX17" s="352" t="n">
        <f aca="true">IF(AND($D17="Serviço",AX$12&lt;&gt;0,$H17&gt;0,OR(AUTOEVENTO&lt;&gt;"manual",$M17&lt;&gt;$A$15)),
        IF(Import.TipoArredondamento&lt;&gt;"TransfereGOV",
              ROUND(OFFSET($P17,0,AX$13),15-13*ORÇAMENTO!$AF$7)/$H17*OFFSET(ORÇAMENTO!$X$15,ROW(AX17)-ROW(AX$15),0),
              ROUND(ROUND(OFFSET($P17,0,AX$13),15-13*ORÇAMENTO!$AF$7)*OFFSET(ORÇAMENTO!$W$15,ROW(AX17)-ROW(AX$15),0),15-13*ORÇAMENTO!$AF$11)),
         0)</f>
        <v>0</v>
      </c>
      <c r="AY17" s="352" t="n">
        <f aca="true">IF(AND($D17="Serviço",AY$12&lt;&gt;0,$H17&gt;0,OR(AUTOEVENTO&lt;&gt;"manual",$M17&lt;&gt;$A$15)),
        IF(Import.TipoArredondamento&lt;&gt;"TransfereGOV",
              ROUND(OFFSET($P17,0,AY$13),15-13*ORÇAMENTO!$AF$7)/$H17*OFFSET(ORÇAMENTO!$X$15,ROW(AY17)-ROW(AY$15),0),
              ROUND(ROUND(OFFSET($P17,0,AY$13),15-13*ORÇAMENTO!$AF$7)*OFFSET(ORÇAMENTO!$W$15,ROW(AY17)-ROW(AY$15),0),15-13*ORÇAMENTO!$AF$11)),
         0)</f>
        <v>0</v>
      </c>
      <c r="AZ17" s="352" t="n">
        <f aca="true">IF(AND($D17="Serviço",AZ$12&lt;&gt;0,$H17&gt;0,OR(AUTOEVENTO&lt;&gt;"manual",$M17&lt;&gt;$A$15)),
        IF(Import.TipoArredondamento&lt;&gt;"TransfereGOV",
              ROUND(OFFSET($P17,0,AZ$13),15-13*ORÇAMENTO!$AF$7)/$H17*OFFSET(ORÇAMENTO!$X$15,ROW(AZ17)-ROW(AZ$15),0),
              ROUND(ROUND(OFFSET($P17,0,AZ$13),15-13*ORÇAMENTO!$AF$7)*OFFSET(ORÇAMENTO!$W$15,ROW(AZ17)-ROW(AZ$15),0),15-13*ORÇAMENTO!$AF$11)),
         0)</f>
        <v>0</v>
      </c>
      <c r="BA17" s="352" t="n">
        <f aca="true">IF(AND($D17="Serviço",BA$12&lt;&gt;0,$H17&gt;0,OR(AUTOEVENTO&lt;&gt;"manual",$M17&lt;&gt;$A$15)),
        IF(Import.TipoArredondamento&lt;&gt;"TransfereGOV",
              ROUND(OFFSET($P17,0,BA$13),15-13*ORÇAMENTO!$AF$7)/$H17*OFFSET(ORÇAMENTO!$X$15,ROW(BA17)-ROW(BA$15),0),
              ROUND(ROUND(OFFSET($P17,0,BA$13),15-13*ORÇAMENTO!$AF$7)*OFFSET(ORÇAMENTO!$W$15,ROW(BA17)-ROW(BA$15),0),15-13*ORÇAMENTO!$AF$11)),
         0)</f>
        <v>0</v>
      </c>
      <c r="BB17" s="352" t="n">
        <f aca="true">IF(AND($D17="Serviço",BB$12&lt;&gt;0,$H17&gt;0,OR(AUTOEVENTO&lt;&gt;"manual",$M17&lt;&gt;$A$15)),
        IF(Import.TipoArredondamento&lt;&gt;"TransfereGOV",
              ROUND(OFFSET($P17,0,BB$13),15-13*ORÇAMENTO!$AF$7)/$H17*OFFSET(ORÇAMENTO!$X$15,ROW(BB17)-ROW(BB$15),0),
              ROUND(ROUND(OFFSET($P17,0,BB$13),15-13*ORÇAMENTO!$AF$7)*OFFSET(ORÇAMENTO!$W$15,ROW(BB17)-ROW(BB$15),0),15-13*ORÇAMENTO!$AF$11)),
         0)</f>
        <v>0</v>
      </c>
      <c r="BC17" s="352" t="n">
        <f aca="true">IF(AND($D17="Serviço",BC$12&lt;&gt;0,$H17&gt;0,OR(AUTOEVENTO&lt;&gt;"manual",$M17&lt;&gt;$A$15)),
        IF(Import.TipoArredondamento&lt;&gt;"TransfereGOV",
              ROUND(OFFSET($P17,0,BC$13),15-13*ORÇAMENTO!$AF$7)/$H17*OFFSET(ORÇAMENTO!$X$15,ROW(BC17)-ROW(BC$15),0),
              ROUND(ROUND(OFFSET($P17,0,BC$13),15-13*ORÇAMENTO!$AF$7)*OFFSET(ORÇAMENTO!$W$15,ROW(BC17)-ROW(BC$15),0),15-13*ORÇAMENTO!$AF$11)),
         0)</f>
        <v>0</v>
      </c>
      <c r="BD17" s="352" t="n">
        <f aca="true">IF(AND($D17="Serviço",BD$12&lt;&gt;0,$H17&gt;0,OR(AUTOEVENTO&lt;&gt;"manual",$M17&lt;&gt;$A$15)),
        IF(Import.TipoArredondamento&lt;&gt;"TransfereGOV",
              ROUND(OFFSET($P17,0,BD$13),15-13*ORÇAMENTO!$AF$7)/$H17*OFFSET(ORÇAMENTO!$X$15,ROW(BD17)-ROW(BD$15),0),
              ROUND(ROUND(OFFSET($P17,0,BD$13),15-13*ORÇAMENTO!$AF$7)*OFFSET(ORÇAMENTO!$W$15,ROW(BD17)-ROW(BD$15),0),15-13*ORÇAMENTO!$AF$11)),
         0)</f>
        <v>0</v>
      </c>
      <c r="BE17" s="352" t="n">
        <f aca="true">IF(AND($D17="Serviço",BE$12&lt;&gt;0,$H17&gt;0,OR(AUTOEVENTO&lt;&gt;"manual",$M17&lt;&gt;$A$15)),
        IF(Import.TipoArredondamento&lt;&gt;"TransfereGOV",
              ROUND(OFFSET($P17,0,BE$13),15-13*ORÇAMENTO!$AF$7)/$H17*OFFSET(ORÇAMENTO!$X$15,ROW(BE17)-ROW(BE$15),0),
              ROUND(ROUND(OFFSET($P17,0,BE$13),15-13*ORÇAMENTO!$AF$7)*OFFSET(ORÇAMENTO!$W$15,ROW(BE17)-ROW(BE$15),0),15-13*ORÇAMENTO!$AF$11)),
         0)</f>
        <v>0</v>
      </c>
      <c r="BF17" s="352" t="n">
        <f aca="true">IF(AND($D17="Serviço",BF$12&lt;&gt;0,$H17&gt;0,OR(AUTOEVENTO&lt;&gt;"manual",$M17&lt;&gt;$A$15)),
        IF(Import.TipoArredondamento&lt;&gt;"TransfereGOV",
              ROUND(OFFSET($P17,0,BF$13),15-13*ORÇAMENTO!$AF$7)/$H17*OFFSET(ORÇAMENTO!$X$15,ROW(BF17)-ROW(BF$15),0),
              ROUND(ROUND(OFFSET($P17,0,BF$13),15-13*ORÇAMENTO!$AF$7)*OFFSET(ORÇAMENTO!$W$15,ROW(BF17)-ROW(BF$15),0),15-13*ORÇAMENTO!$AF$11)),
         0)</f>
        <v>0</v>
      </c>
      <c r="BG17" s="352" t="n">
        <f aca="true">IF(AND($D17="Serviço",BG$12&lt;&gt;0,$H17&gt;0,OR(AUTOEVENTO&lt;&gt;"manual",$M17&lt;&gt;$A$15)),
        IF(Import.TipoArredondamento&lt;&gt;"TransfereGOV",
              ROUND(OFFSET($P17,0,BG$13),15-13*ORÇAMENTO!$AF$7)/$H17*OFFSET(ORÇAMENTO!$X$15,ROW(BG17)-ROW(BG$15),0),
              ROUND(ROUND(OFFSET($P17,0,BG$13),15-13*ORÇAMENTO!$AF$7)*OFFSET(ORÇAMENTO!$W$15,ROW(BG17)-ROW(BG$15),0),15-13*ORÇAMENTO!$AF$11)),
         0)</f>
        <v>0</v>
      </c>
      <c r="BH17" s="352" t="n">
        <f aca="true">IF(AND($D17="Serviço",BH$12&lt;&gt;0,$H17&gt;0,OR(AUTOEVENTO&lt;&gt;"manual",$M17&lt;&gt;$A$15)),
        IF(Import.TipoArredondamento&lt;&gt;"TransfereGOV",
              ROUND(OFFSET($P17,0,BH$13),15-13*ORÇAMENTO!$AF$7)/$H17*OFFSET(ORÇAMENTO!$X$15,ROW(BH17)-ROW(BH$15),0),
              ROUND(ROUND(OFFSET($P17,0,BH$13),15-13*ORÇAMENTO!$AF$7)*OFFSET(ORÇAMENTO!$W$15,ROW(BH17)-ROW(BH$15),0),15-13*ORÇAMENTO!$AF$11)),
         0)</f>
        <v>0</v>
      </c>
      <c r="BI17" s="352" t="n">
        <f aca="true">IF(AND($D17="Serviço",BI$12&lt;&gt;0,$H17&gt;0,OR(AUTOEVENTO&lt;&gt;"manual",$M17&lt;&gt;$A$15)),
        IF(Import.TipoArredondamento&lt;&gt;"TransfereGOV",
              ROUND(OFFSET($P17,0,BI$13),15-13*ORÇAMENTO!$AF$7)/$H17*OFFSET(ORÇAMENTO!$X$15,ROW(BI17)-ROW(BI$15),0),
              ROUND(ROUND(OFFSET($P17,0,BI$13),15-13*ORÇAMENTO!$AF$7)*OFFSET(ORÇAMENTO!$W$15,ROW(BI17)-ROW(BI$15),0),15-13*ORÇAMENTO!$AF$11)),
         0)</f>
        <v>0</v>
      </c>
      <c r="BJ17" s="352" t="n">
        <f aca="true">IF(AND($D17="Serviço",BJ$12&lt;&gt;0,$H17&gt;0,OR(AUTOEVENTO&lt;&gt;"manual",$M17&lt;&gt;$A$15)),
        IF(Import.TipoArredondamento&lt;&gt;"TransfereGOV",
              ROUND(OFFSET($P17,0,BJ$13),15-13*ORÇAMENTO!$AF$7)/$H17*OFFSET(ORÇAMENTO!$X$15,ROW(BJ17)-ROW(BJ$15),0),
              ROUND(ROUND(OFFSET($P17,0,BJ$13),15-13*ORÇAMENTO!$AF$7)*OFFSET(ORÇAMENTO!$W$15,ROW(BJ17)-ROW(BJ$15),0),15-13*ORÇAMENTO!$AF$11)),
         0)</f>
        <v>0</v>
      </c>
      <c r="BK17" s="352" t="n">
        <f aca="true">IF(AND($D17="Serviço",BK$12&lt;&gt;0,$H17&gt;0,OR(AUTOEVENTO&lt;&gt;"manual",$M17&lt;&gt;$A$15)),
        IF(Import.TipoArredondamento&lt;&gt;"TransfereGOV",
              ROUND(OFFSET($P17,0,BK$13),15-13*ORÇAMENTO!$AF$7)/$H17*OFFSET(ORÇAMENTO!$X$15,ROW(BK17)-ROW(BK$15),0),
              ROUND(ROUND(OFFSET($P17,0,BK$13),15-13*ORÇAMENTO!$AF$7)*OFFSET(ORÇAMENTO!$W$15,ROW(BK17)-ROW(BK$15),0),15-13*ORÇAMENTO!$AF$11)),
         0)</f>
        <v>0</v>
      </c>
      <c r="BL17" s="352" t="n">
        <f aca="true">IF(AND($D17="Serviço",BL$12&lt;&gt;0,$H17&gt;0,OR(AUTOEVENTO&lt;&gt;"manual",$M17&lt;&gt;$A$15)),
        IF(Import.TipoArredondamento&lt;&gt;"TransfereGOV",
              ROUND(OFFSET($P17,0,BL$13),15-13*ORÇAMENTO!$AF$7)/$H17*OFFSET(ORÇAMENTO!$X$15,ROW(BL17)-ROW(BL$15),0),
              ROUND(ROUND(OFFSET($P17,0,BL$13),15-13*ORÇAMENTO!$AF$7)*OFFSET(ORÇAMENTO!$W$15,ROW(BL17)-ROW(BL$15),0),15-13*ORÇAMENTO!$AF$11)),
         0)</f>
        <v>0</v>
      </c>
      <c r="BM17" s="352" t="n">
        <f aca="true">IF(AND($D17="Serviço",BM$12&lt;&gt;0,$H17&gt;0,OR(AUTOEVENTO&lt;&gt;"manual",$M17&lt;&gt;$A$15)),
        IF(Import.TipoArredondamento&lt;&gt;"TransfereGOV",
              ROUND(OFFSET($P17,0,BM$13),15-13*ORÇAMENTO!$AF$7)/$H17*OFFSET(ORÇAMENTO!$X$15,ROW(BM17)-ROW(BM$15),0),
              ROUND(ROUND(OFFSET($P17,0,BM$13),15-13*ORÇAMENTO!$AF$7)*OFFSET(ORÇAMENTO!$W$15,ROW(BM17)-ROW(BM$15),0),15-13*ORÇAMENTO!$AF$11)),
         0)</f>
        <v>0</v>
      </c>
      <c r="BN17" s="352" t="n">
        <f aca="true">IF(AND($D17="Serviço",BN$12&lt;&gt;0,$H17&gt;0,OR(AUTOEVENTO&lt;&gt;"manual",$M17&lt;&gt;$A$15)),
        IF(Import.TipoArredondamento&lt;&gt;"TransfereGOV",
              ROUND(OFFSET($P17,0,BN$13),15-13*ORÇAMENTO!$AF$7)/$H17*OFFSET(ORÇAMENTO!$X$15,ROW(BN17)-ROW(BN$15),0),
              ROUND(ROUND(OFFSET($P17,0,BN$13),15-13*ORÇAMENTO!$AF$7)*OFFSET(ORÇAMENTO!$W$15,ROW(BN17)-ROW(BN$15),0),15-13*ORÇAMENTO!$AF$11)),
         0)</f>
        <v>0</v>
      </c>
      <c r="BO17" s="352" t="n">
        <f aca="true">IF(AND($D17="Serviço",BO$12&lt;&gt;0,$H17&gt;0,OR(AUTOEVENTO&lt;&gt;"manual",$M17&lt;&gt;$A$15)),
        IF(Import.TipoArredondamento&lt;&gt;"TransfereGOV",
              ROUND(OFFSET($P17,0,BO$13),15-13*ORÇAMENTO!$AF$7)/$H17*OFFSET(ORÇAMENTO!$X$15,ROW(BO17)-ROW(BO$15),0),
              ROUND(ROUND(OFFSET($P17,0,BO$13),15-13*ORÇAMENTO!$AF$7)*OFFSET(ORÇAMENTO!$W$15,ROW(BO17)-ROW(BO$15),0),15-13*ORÇAMENTO!$AF$11)),
         0)</f>
        <v>0</v>
      </c>
      <c r="BP17" s="352" t="n">
        <f aca="true">IF(AND($D17="Serviço",BP$12&lt;&gt;0,$H17&gt;0,OR(AUTOEVENTO&lt;&gt;"manual",$M17&lt;&gt;$A$15)),
        IF(Import.TipoArredondamento&lt;&gt;"TransfereGOV",
              ROUND(OFFSET($P17,0,BP$13),15-13*ORÇAMENTO!$AF$7)/$H17*OFFSET(ORÇAMENTO!$X$15,ROW(BP17)-ROW(BP$15),0),
              ROUND(ROUND(OFFSET($P17,0,BP$13),15-13*ORÇAMENTO!$AF$7)*OFFSET(ORÇAMENTO!$W$15,ROW(BP17)-ROW(BP$15),0),15-13*ORÇAMENTO!$AF$11)),
         0)</f>
        <v>0</v>
      </c>
      <c r="BQ17" s="352" t="n">
        <f aca="true">IF(AND($D17="Serviço",BQ$12&lt;&gt;0,$H17&gt;0,OR(AUTOEVENTO&lt;&gt;"manual",$M17&lt;&gt;$A$15)),
        IF(Import.TipoArredondamento&lt;&gt;"TransfereGOV",
              ROUND(OFFSET($P17,0,BQ$13),15-13*ORÇAMENTO!$AF$7)/$H17*OFFSET(ORÇAMENTO!$X$15,ROW(BQ17)-ROW(BQ$15),0),
              ROUND(ROUND(OFFSET($P17,0,BQ$13),15-13*ORÇAMENTO!$AF$7)*OFFSET(ORÇAMENTO!$W$15,ROW(BQ17)-ROW(BQ$15),0),15-13*ORÇAMENTO!$AF$11)),
         0)</f>
        <v>0</v>
      </c>
      <c r="BS17" s="353" t="n">
        <f aca="true">IF(OR($D17&lt;&gt;"Serviço",AND(AUTOEVENTO="Manual",$M17=$A$15)),0,
         IF(OFFSET(CRONOPLE!$F$15,$M17-$A$15,BS$13)=0,10^12,OFFSET(CRONOPLE!$F$15,$M17-$A$15,BS$13)))</f>
        <v>0</v>
      </c>
      <c r="BT17" s="353" t="n">
        <f aca="true">IF(OR($D17&lt;&gt;"Serviço",AND(AUTOEVENTO="Manual",$M17=$A$15)),0,
         IF(OFFSET(CRONOPLE!$F$15,$M17-$A$15,BT$13)=0,10^12,OFFSET(CRONOPLE!$F$15,$M17-$A$15,BT$13)))</f>
        <v>0</v>
      </c>
      <c r="BU17" s="353" t="n">
        <f aca="true">IF(OR($D17&lt;&gt;"Serviço",AND(AUTOEVENTO="Manual",$M17=$A$15)),0,
         IF(OFFSET(CRONOPLE!$F$15,$M17-$A$15,BU$13)=0,10^12,OFFSET(CRONOPLE!$F$15,$M17-$A$15,BU$13)))</f>
        <v>0</v>
      </c>
      <c r="BV17" s="353" t="n">
        <f aca="true">IF(OR($D17&lt;&gt;"Serviço",AND(AUTOEVENTO="Manual",$M17=$A$15)),0,
         IF(OFFSET(CRONOPLE!$F$15,$M17-$A$15,BV$13)=0,10^12,OFFSET(CRONOPLE!$F$15,$M17-$A$15,BV$13)))</f>
        <v>0</v>
      </c>
      <c r="BW17" s="353" t="n">
        <f aca="true">IF(OR($D17&lt;&gt;"Serviço",AND(AUTOEVENTO="Manual",$M17=$A$15)),0,
         IF(OFFSET(CRONOPLE!$F$15,$M17-$A$15,BW$13)=0,10^12,OFFSET(CRONOPLE!$F$15,$M17-$A$15,BW$13)))</f>
        <v>0</v>
      </c>
      <c r="BX17" s="353" t="n">
        <f aca="true">IF(OR($D17&lt;&gt;"Serviço",AND(AUTOEVENTO="Manual",$M17=$A$15)),0,
         IF(OFFSET(CRONOPLE!$F$15,$M17-$A$15,BX$13)=0,10^12,OFFSET(CRONOPLE!$F$15,$M17-$A$15,BX$13)))</f>
        <v>0</v>
      </c>
      <c r="BY17" s="353" t="n">
        <f aca="true">IF(OR($D17&lt;&gt;"Serviço",AND(AUTOEVENTO="Manual",$M17=$A$15)),0,
         IF(OFFSET(CRONOPLE!$F$15,$M17-$A$15,BY$13)=0,10^12,OFFSET(CRONOPLE!$F$15,$M17-$A$15,BY$13)))</f>
        <v>0</v>
      </c>
      <c r="BZ17" s="353" t="n">
        <f aca="true">IF(OR($D17&lt;&gt;"Serviço",AND(AUTOEVENTO="Manual",$M17=$A$15)),0,
         IF(OFFSET(CRONOPLE!$F$15,$M17-$A$15,BZ$13)=0,10^12,OFFSET(CRONOPLE!$F$15,$M17-$A$15,BZ$13)))</f>
        <v>0</v>
      </c>
      <c r="CA17" s="353" t="n">
        <f aca="true">IF(OR($D17&lt;&gt;"Serviço",AND(AUTOEVENTO="Manual",$M17=$A$15)),0,
         IF(OFFSET(CRONOPLE!$F$15,$M17-$A$15,CA$13)=0,10^12,OFFSET(CRONOPLE!$F$15,$M17-$A$15,CA$13)))</f>
        <v>0</v>
      </c>
      <c r="CB17" s="353" t="n">
        <f aca="true">IF(OR($D17&lt;&gt;"Serviço",AND(AUTOEVENTO="Manual",$M17=$A$15)),0,
         IF(OFFSET(CRONOPLE!$F$15,$M17-$A$15,CB$13)=0,10^12,OFFSET(CRONOPLE!$F$15,$M17-$A$15,CB$13)))</f>
        <v>0</v>
      </c>
      <c r="CC17" s="353" t="n">
        <f aca="true">IF(OR($D17&lt;&gt;"Serviço",AND(AUTOEVENTO="Manual",$M17=$A$15)),0,
         IF(OFFSET(CRONOPLE!$F$15,$M17-$A$15,CC$13)=0,10^12,OFFSET(CRONOPLE!$F$15,$M17-$A$15,CC$13)))</f>
        <v>0</v>
      </c>
      <c r="CD17" s="353" t="n">
        <f aca="true">IF(OR($D17&lt;&gt;"Serviço",AND(AUTOEVENTO="Manual",$M17=$A$15)),0,
         IF(OFFSET(CRONOPLE!$F$15,$M17-$A$15,CD$13)=0,10^12,OFFSET(CRONOPLE!$F$15,$M17-$A$15,CD$13)))</f>
        <v>0</v>
      </c>
      <c r="CE17" s="353" t="n">
        <f aca="true">IF(OR($D17&lt;&gt;"Serviço",AND(AUTOEVENTO="Manual",$M17=$A$15)),0,
         IF(OFFSET(CRONOPLE!$F$15,$M17-$A$15,CE$13)=0,10^12,OFFSET(CRONOPLE!$F$15,$M17-$A$15,CE$13)))</f>
        <v>0</v>
      </c>
      <c r="CF17" s="353" t="n">
        <f aca="true">IF(OR($D17&lt;&gt;"Serviço",AND(AUTOEVENTO="Manual",$M17=$A$15)),0,
         IF(OFFSET(CRONOPLE!$F$15,$M17-$A$15,CF$13)=0,10^12,OFFSET(CRONOPLE!$F$15,$M17-$A$15,CF$13)))</f>
        <v>0</v>
      </c>
      <c r="CG17" s="353" t="n">
        <f aca="true">IF(OR($D17&lt;&gt;"Serviço",AND(AUTOEVENTO="Manual",$M17=$A$15)),0,
         IF(OFFSET(CRONOPLE!$F$15,$M17-$A$15,CG$13)=0,10^12,OFFSET(CRONOPLE!$F$15,$M17-$A$15,CG$13)))</f>
        <v>0</v>
      </c>
      <c r="CH17" s="353" t="n">
        <f aca="true">IF(OR($D17&lt;&gt;"Serviço",AND(AUTOEVENTO="Manual",$M17=$A$15)),0,
         IF(OFFSET(CRONOPLE!$F$15,$M17-$A$15,CH$13)=0,10^12,OFFSET(CRONOPLE!$F$15,$M17-$A$15,CH$13)))</f>
        <v>0</v>
      </c>
      <c r="CI17" s="353" t="n">
        <f aca="true">IF(OR($D17&lt;&gt;"Serviço",AND(AUTOEVENTO="Manual",$M17=$A$15)),0,
         IF(OFFSET(CRONOPLE!$F$15,$M17-$A$15,CI$13)=0,10^12,OFFSET(CRONOPLE!$F$15,$M17-$A$15,CI$13)))</f>
        <v>0</v>
      </c>
      <c r="CJ17" s="353" t="n">
        <f aca="true">IF(OR($D17&lt;&gt;"Serviço",AND(AUTOEVENTO="Manual",$M17=$A$15)),0,
         IF(OFFSET(CRONOPLE!$F$15,$M17-$A$15,CJ$13)=0,10^12,OFFSET(CRONOPLE!$F$15,$M17-$A$15,CJ$13)))</f>
        <v>0</v>
      </c>
      <c r="CK17" s="353" t="n">
        <f aca="true">IF(OR($D17&lt;&gt;"Serviço",AND(AUTOEVENTO="Manual",$M17=$A$15)),0,
         IF(OFFSET(CRONOPLE!$F$15,$M17-$A$15,CK$13)=0,10^12,OFFSET(CRONOPLE!$F$15,$M17-$A$15,CK$13)))</f>
        <v>0</v>
      </c>
      <c r="CL17" s="353" t="n">
        <f aca="true">IF(OR($D17&lt;&gt;"Serviço",AND(AUTOEVENTO="Manual",$M17=$A$15)),0,
         IF(OFFSET(CRONOPLE!$F$15,$M17-$A$15,CL$13)=0,10^12,OFFSET(CRONOPLE!$F$15,$M17-$A$15,CL$13)))</f>
        <v>0</v>
      </c>
      <c r="CM17" s="353" t="n">
        <f aca="true">IF(OR($D17&lt;&gt;"Serviço",AND(AUTOEVENTO="Manual",$M17=$A$15)),0,
         IF(OFFSET(CRONOPLE!$F$15,$M17-$A$15,CM$13)=0,10^12,OFFSET(CRONOPLE!$F$15,$M17-$A$15,CM$13)))</f>
        <v>0</v>
      </c>
      <c r="CN17" s="353" t="n">
        <f aca="true">IF(OR($D17&lt;&gt;"Serviço",AND(AUTOEVENTO="Manual",$M17=$A$15)),0,
         IF(OFFSET(CRONOPLE!$F$15,$M17-$A$15,CN$13)=0,10^12,OFFSET(CRONOPLE!$F$15,$M17-$A$15,CN$13)))</f>
        <v>0</v>
      </c>
      <c r="CO17" s="353" t="n">
        <f aca="true">IF(OR($D17&lt;&gt;"Serviço",AND(AUTOEVENTO="Manual",$M17=$A$15)),0,
         IF(OFFSET(CRONOPLE!$F$15,$M17-$A$15,CO$13)=0,10^12,OFFSET(CRONOPLE!$F$15,$M17-$A$15,CO$13)))</f>
        <v>0</v>
      </c>
      <c r="CP17" s="353" t="n">
        <f aca="true">IF(OR($D17&lt;&gt;"Serviço",AND(AUTOEVENTO="Manual",$M17=$A$15)),0,
         IF(OFFSET(CRONOPLE!$F$15,$M17-$A$15,CP$13)=0,10^12,OFFSET(CRONOPLE!$F$15,$M17-$A$15,CP$13)))</f>
        <v>0</v>
      </c>
      <c r="CQ17" s="353" t="n">
        <f aca="true">IF(OR($D17&lt;&gt;"Serviço",AND(AUTOEVENTO="Manual",$M17=$A$15)),0,
         IF(OFFSET(CRONOPLE!$F$15,$M17-$A$15,CQ$13)=0,10^12,OFFSET(CRONOPLE!$F$15,$M17-$A$15,CQ$13)))</f>
        <v>0</v>
      </c>
      <c r="CR17" s="353" t="n">
        <f aca="true">IF(OR($D17&lt;&gt;"Serviço",AND(AUTOEVENTO="Manual",$M17=$A$15)),0,
         IF(OFFSET(CRONOPLE!$F$15,$M17-$A$15,CR$13)=0,10^12,OFFSET(CRONOPLE!$F$15,$M17-$A$15,CR$13)))</f>
        <v>0</v>
      </c>
      <c r="CT17" s="354" t="n">
        <f aca="true">IF(OR($D17&lt;&gt;"Serviço",AND(AUTOEVENTO="Manual",$M17=$A$15),$M17&gt;(ROW(PLE.lastrow)-ROW(PLE.firstrow))),0,
           IF(OFFSET(PLE!$G$15,$M17-$A$15,CT$13)="",10^12,OFFSET(PLE!$G$15,$M17-$A$15,CT$13)))</f>
        <v>0</v>
      </c>
      <c r="CU17" s="354" t="n">
        <f aca="true">IF(OR($D17&lt;&gt;"Serviço",AND(AUTOEVENTO="Manual",$M17=$A$15),$M17&gt;(ROW(PLE.lastrow)-ROW(PLE.firstrow))),0,
           IF(OFFSET(PLE!$G$15,$M17-$A$15,CU$13)="",10^12,OFFSET(PLE!$G$15,$M17-$A$15,CU$13)))</f>
        <v>0</v>
      </c>
      <c r="CV17" s="354" t="n">
        <f aca="true">IF(OR($D17&lt;&gt;"Serviço",AND(AUTOEVENTO="Manual",$M17=$A$15),$M17&gt;(ROW(PLE.lastrow)-ROW(PLE.firstrow))),0,
           IF(OFFSET(PLE!$G$15,$M17-$A$15,CV$13)="",10^12,OFFSET(PLE!$G$15,$M17-$A$15,CV$13)))</f>
        <v>0</v>
      </c>
      <c r="CW17" s="354" t="n">
        <f aca="true">IF(OR($D17&lt;&gt;"Serviço",AND(AUTOEVENTO="Manual",$M17=$A$15),$M17&gt;(ROW(PLE.lastrow)-ROW(PLE.firstrow))),0,
           IF(OFFSET(PLE!$G$15,$M17-$A$15,CW$13)="",10^12,OFFSET(PLE!$G$15,$M17-$A$15,CW$13)))</f>
        <v>0</v>
      </c>
      <c r="CX17" s="354" t="n">
        <f aca="true">IF(OR($D17&lt;&gt;"Serviço",AND(AUTOEVENTO="Manual",$M17=$A$15),$M17&gt;(ROW(PLE.lastrow)-ROW(PLE.firstrow))),0,
           IF(OFFSET(PLE!$G$15,$M17-$A$15,CX$13)="",10^12,OFFSET(PLE!$G$15,$M17-$A$15,CX$13)))</f>
        <v>0</v>
      </c>
      <c r="CY17" s="354" t="n">
        <f aca="true">IF(OR($D17&lt;&gt;"Serviço",AND(AUTOEVENTO="Manual",$M17=$A$15),$M17&gt;(ROW(PLE.lastrow)-ROW(PLE.firstrow))),0,
           IF(OFFSET(PLE!$G$15,$M17-$A$15,CY$13)="",10^12,OFFSET(PLE!$G$15,$M17-$A$15,CY$13)))</f>
        <v>0</v>
      </c>
      <c r="CZ17" s="354" t="n">
        <f aca="true">IF(OR($D17&lt;&gt;"Serviço",AND(AUTOEVENTO="Manual",$M17=$A$15),$M17&gt;(ROW(PLE.lastrow)-ROW(PLE.firstrow))),0,
           IF(OFFSET(PLE!$G$15,$M17-$A$15,CZ$13)="",10^12,OFFSET(PLE!$G$15,$M17-$A$15,CZ$13)))</f>
        <v>0</v>
      </c>
      <c r="DA17" s="354" t="n">
        <f aca="true">IF(OR($D17&lt;&gt;"Serviço",AND(AUTOEVENTO="Manual",$M17=$A$15),$M17&gt;(ROW(PLE.lastrow)-ROW(PLE.firstrow))),0,
           IF(OFFSET(PLE!$G$15,$M17-$A$15,DA$13)="",10^12,OFFSET(PLE!$G$15,$M17-$A$15,DA$13)))</f>
        <v>0</v>
      </c>
      <c r="DB17" s="354" t="n">
        <f aca="true">IF(OR($D17&lt;&gt;"Serviço",AND(AUTOEVENTO="Manual",$M17=$A$15),$M17&gt;(ROW(PLE.lastrow)-ROW(PLE.firstrow))),0,
           IF(OFFSET(PLE!$G$15,$M17-$A$15,DB$13)="",10^12,OFFSET(PLE!$G$15,$M17-$A$15,DB$13)))</f>
        <v>0</v>
      </c>
      <c r="DC17" s="354" t="n">
        <f aca="true">IF(OR($D17&lt;&gt;"Serviço",AND(AUTOEVENTO="Manual",$M17=$A$15),$M17&gt;(ROW(PLE.lastrow)-ROW(PLE.firstrow))),0,
           IF(OFFSET(PLE!$G$15,$M17-$A$15,DC$13)="",10^12,OFFSET(PLE!$G$15,$M17-$A$15,DC$13)))</f>
        <v>0</v>
      </c>
      <c r="DD17" s="354" t="n">
        <f aca="true">IF(OR($D17&lt;&gt;"Serviço",AND(AUTOEVENTO="Manual",$M17=$A$15),$M17&gt;(ROW(PLE.lastrow)-ROW(PLE.firstrow))),0,
           IF(OFFSET(PLE!$G$15,$M17-$A$15,DD$13)="",10^12,OFFSET(PLE!$G$15,$M17-$A$15,DD$13)))</f>
        <v>0</v>
      </c>
      <c r="DE17" s="354" t="n">
        <f aca="true">IF(OR($D17&lt;&gt;"Serviço",AND(AUTOEVENTO="Manual",$M17=$A$15),$M17&gt;(ROW(PLE.lastrow)-ROW(PLE.firstrow))),0,
           IF(OFFSET(PLE!$G$15,$M17-$A$15,DE$13)="",10^12,OFFSET(PLE!$G$15,$M17-$A$15,DE$13)))</f>
        <v>0</v>
      </c>
      <c r="DF17" s="354" t="n">
        <f aca="true">IF(OR($D17&lt;&gt;"Serviço",AND(AUTOEVENTO="Manual",$M17=$A$15),$M17&gt;(ROW(PLE.lastrow)-ROW(PLE.firstrow))),0,
           IF(OFFSET(PLE!$G$15,$M17-$A$15,DF$13)="",10^12,OFFSET(PLE!$G$15,$M17-$A$15,DF$13)))</f>
        <v>0</v>
      </c>
      <c r="DG17" s="354" t="n">
        <f aca="true">IF(OR($D17&lt;&gt;"Serviço",AND(AUTOEVENTO="Manual",$M17=$A$15),$M17&gt;(ROW(PLE.lastrow)-ROW(PLE.firstrow))),0,
           IF(OFFSET(PLE!$G$15,$M17-$A$15,DG$13)="",10^12,OFFSET(PLE!$G$15,$M17-$A$15,DG$13)))</f>
        <v>0</v>
      </c>
      <c r="DH17" s="354" t="n">
        <f aca="true">IF(OR($D17&lt;&gt;"Serviço",AND(AUTOEVENTO="Manual",$M17=$A$15),$M17&gt;(ROW(PLE.lastrow)-ROW(PLE.firstrow))),0,
           IF(OFFSET(PLE!$G$15,$M17-$A$15,DH$13)="",10^12,OFFSET(PLE!$G$15,$M17-$A$15,DH$13)))</f>
        <v>0</v>
      </c>
      <c r="DI17" s="354" t="n">
        <f aca="true">IF(OR($D17&lt;&gt;"Serviço",AND(AUTOEVENTO="Manual",$M17=$A$15),$M17&gt;(ROW(PLE.lastrow)-ROW(PLE.firstrow))),0,
           IF(OFFSET(PLE!$G$15,$M17-$A$15,DI$13)="",10^12,OFFSET(PLE!$G$15,$M17-$A$15,DI$13)))</f>
        <v>0</v>
      </c>
      <c r="DJ17" s="354" t="n">
        <f aca="true">IF(OR($D17&lt;&gt;"Serviço",AND(AUTOEVENTO="Manual",$M17=$A$15),$M17&gt;(ROW(PLE.lastrow)-ROW(PLE.firstrow))),0,
           IF(OFFSET(PLE!$G$15,$M17-$A$15,DJ$13)="",10^12,OFFSET(PLE!$G$15,$M17-$A$15,DJ$13)))</f>
        <v>0</v>
      </c>
      <c r="DK17" s="354" t="n">
        <f aca="true">IF(OR($D17&lt;&gt;"Serviço",AND(AUTOEVENTO="Manual",$M17=$A$15),$M17&gt;(ROW(PLE.lastrow)-ROW(PLE.firstrow))),0,
           IF(OFFSET(PLE!$G$15,$M17-$A$15,DK$13)="",10^12,OFFSET(PLE!$G$15,$M17-$A$15,DK$13)))</f>
        <v>0</v>
      </c>
      <c r="DL17" s="354" t="n">
        <f aca="true">IF(OR($D17&lt;&gt;"Serviço",AND(AUTOEVENTO="Manual",$M17=$A$15),$M17&gt;(ROW(PLE.lastrow)-ROW(PLE.firstrow))),0,
           IF(OFFSET(PLE!$G$15,$M17-$A$15,DL$13)="",10^12,OFFSET(PLE!$G$15,$M17-$A$15,DL$13)))</f>
        <v>0</v>
      </c>
      <c r="DM17" s="354" t="n">
        <f aca="true">IF(OR($D17&lt;&gt;"Serviço",AND(AUTOEVENTO="Manual",$M17=$A$15),$M17&gt;(ROW(PLE.lastrow)-ROW(PLE.firstrow))),0,
           IF(OFFSET(PLE!$G$15,$M17-$A$15,DM$13)="",10^12,OFFSET(PLE!$G$15,$M17-$A$15,DM$13)))</f>
        <v>0</v>
      </c>
      <c r="DN17" s="354" t="n">
        <f aca="true">IF(OR($D17&lt;&gt;"Serviço",AND(AUTOEVENTO="Manual",$M17=$A$15),$M17&gt;(ROW(PLE.lastrow)-ROW(PLE.firstrow))),0,
           IF(OFFSET(PLE!$G$15,$M17-$A$15,DN$13)="",10^12,OFFSET(PLE!$G$15,$M17-$A$15,DN$13)))</f>
        <v>0</v>
      </c>
      <c r="DO17" s="354" t="n">
        <f aca="true">IF(OR($D17&lt;&gt;"Serviço",AND(AUTOEVENTO="Manual",$M17=$A$15),$M17&gt;(ROW(PLE.lastrow)-ROW(PLE.firstrow))),0,
           IF(OFFSET(PLE!$G$15,$M17-$A$15,DO$13)="",10^12,OFFSET(PLE!$G$15,$M17-$A$15,DO$13)))</f>
        <v>0</v>
      </c>
      <c r="DP17" s="354" t="n">
        <f aca="true">IF(OR($D17&lt;&gt;"Serviço",AND(AUTOEVENTO="Manual",$M17=$A$15),$M17&gt;(ROW(PLE.lastrow)-ROW(PLE.firstrow))),0,
           IF(OFFSET(PLE!$G$15,$M17-$A$15,DP$13)="",10^12,OFFSET(PLE!$G$15,$M17-$A$15,DP$13)))</f>
        <v>0</v>
      </c>
      <c r="DQ17" s="354" t="n">
        <f aca="true">IF(OR($D17&lt;&gt;"Serviço",AND(AUTOEVENTO="Manual",$M17=$A$15),$M17&gt;(ROW(PLE.lastrow)-ROW(PLE.firstrow))),0,
           IF(OFFSET(PLE!$G$15,$M17-$A$15,DQ$13)="",10^12,OFFSET(PLE!$G$15,$M17-$A$15,DQ$13)))</f>
        <v>0</v>
      </c>
      <c r="DR17" s="354" t="n">
        <f aca="true">IF(OR($D17&lt;&gt;"Serviço",AND(AUTOEVENTO="Manual",$M17=$A$15),$M17&gt;(ROW(PLE.lastrow)-ROW(PLE.firstrow))),0,
           IF(OFFSET(PLE!$G$15,$M17-$A$15,DR$13)="",10^12,OFFSET(PLE!$G$15,$M17-$A$15,DR$13)))</f>
        <v>0</v>
      </c>
      <c r="DS17" s="354" t="n">
        <f aca="true">IF(OR($D17&lt;&gt;"Serviço",AND(AUTOEVENTO="Manual",$M17=$A$15),$M17&gt;(ROW(PLE.lastrow)-ROW(PLE.firstrow))),0,
           IF(OFFSET(PLE!$G$15,$M17-$A$15,DS$13)="",10^12,OFFSET(PLE!$G$15,$M17-$A$15,DS$13)))</f>
        <v>0</v>
      </c>
    </row>
    <row r="18" customFormat="false" ht="23.85" hidden="false" customHeight="false" outlineLevel="0" collapsed="false">
      <c r="A18" s="50" t="str">
        <f aca="true">IFERROR(IF(AUTOEVENTO="Manual",IF(K18&lt;&gt;"",MIN(VALUE(LEFT(K18,FIND(".",K18)-1)),COUNTA(EVENTOS.Lista)),0),IF(OR($B18&gt;AUTOEVENTO,$B18="S",$B18=0),SUBSTITUTE(OFFSET($A18,-1,0),IF($D18="Serviço",".",""),""),ROW(A18)-ROW($A$15)&amp;".")),0)</f>
        <v>2</v>
      </c>
      <c r="B18" s="50" t="str">
        <f aca="true">OFFSET(ORÇAMENTO!C$15,ROW(B18)-ROW(B$15),0)</f>
        <v>S</v>
      </c>
      <c r="C18" s="50" t="str">
        <f aca="true">OFFSET(ORÇAMENTO!L$15,ROW(C18)-ROW(C$15),0)</f>
        <v>F</v>
      </c>
      <c r="D18" s="201" t="str">
        <f aca="true">OFFSET(ORÇAMENTO!N$15,ROW(D18)-ROW(D$15),0)</f>
        <v>Serviço</v>
      </c>
      <c r="E18" s="202" t="str">
        <f aca="true">OFFSET(ORÇAMENTO!O$15,ROW(E18)-ROW(E$15),0)</f>
        <v>1.1.1.</v>
      </c>
      <c r="F18" s="341" t="str">
        <f aca="true">OFFSET(ORÇAMENTO!R$15,ROW(F18)-ROW(F$15),0)</f>
        <v>FORNECIMENTO E INSTALAÇÃO DE PLACA DE OBRA COM CHAPA GALVANIZADA E ESTRUTURA DE MADEIRA. AF_03/2022_PS </v>
      </c>
      <c r="G18" s="342" t="str">
        <f aca="true">IF($D18&lt;&gt;"Serviço","",OFFSET(ORÇAMENTO!S$15,ROW(G18)-ROW(G$15),0))</f>
        <v>M2</v>
      </c>
      <c r="H18" s="207" t="n">
        <f aca="true">IF($D18&lt;&gt;"Serviço",0,IF(ACOMPANHAMENTO="BM",ROUND(OFFSET(ORÇAMENTO!AJ$15,ROW(H18)-ROW(H$15),0),15-13*ORÇAMENTO!$AF$7),SUMPRODUCT(($Q$1:$AQ$1=1)*ROUND($Q18:$AQ18,15-13*ORÇAMENTO!$AF$7))))</f>
        <v>6.5</v>
      </c>
      <c r="I18" s="343" t="s">
        <v>914</v>
      </c>
      <c r="J18" s="344" t="e">
        <f aca="false">IF(OR(B18&lt;&gt;"S",CÁLCULO.FrentesPreenchidas=0),"",IF(AND(ACOMPANHAMENTO="PLE",AUTOEVENTO="Manual",OR(H18&gt;0,ORÇAMENTO!AC18="QUANT."),OR(K18="",M18=0,N18="")),"►",IF(AND(ACOMPANHAMENTO="PLE",ORÇAMENTO!AC18="QUANT."),"►►",IF(AND(COUNTIF($P$11:$AQ$11,"▼")=0,H18&gt;0,I18=""),"◄",""))))</f>
        <v>#NAME?</v>
      </c>
      <c r="K18" s="345"/>
      <c r="L18" s="346" t="s">
        <v>876</v>
      </c>
      <c r="M18" s="347" t="n">
        <f aca="true">IF($D18&lt;&gt;"Serviço","",
          IF(AUTOEVENTO="manual",$A18,
                IF(ISERROR(MATCH($A18,$A$15:OFFSET($A18,-1,0),0)),MAX($M$15:OFFSET(M18,-1,0))+1,
                      INDEX($M$15:OFFSET(M18,-1,0),MATCH($A18,$A$15:OFFSET($A18,-1,0),0)))))</f>
        <v>1</v>
      </c>
      <c r="N18" s="348" t="str">
        <f aca="true">IF($D18&lt;&gt;"Serviço","",
         IF(AUTOEVENTO="Manual",
                IF($A18=0,"&lt;-- defina o número do agrupador",
                       OFFSET(EVENTOS!$D$15,$A18-$A$15,0)),
                OFFSET($F$15,$A18,0)))</f>
        <v>SERVIÇOS PRELIMINARES</v>
      </c>
      <c r="O18" s="349"/>
      <c r="Q18" s="349" t="n">
        <v>6.5</v>
      </c>
      <c r="R18" s="350"/>
      <c r="S18" s="350"/>
      <c r="T18" s="350"/>
      <c r="U18" s="350"/>
      <c r="V18" s="350"/>
      <c r="W18" s="350"/>
      <c r="X18" s="350"/>
      <c r="Y18" s="350"/>
      <c r="Z18" s="351"/>
      <c r="AA18" s="350"/>
      <c r="AB18" s="350"/>
      <c r="AC18" s="350"/>
      <c r="AD18" s="350"/>
      <c r="AE18" s="350"/>
      <c r="AF18" s="350"/>
      <c r="AG18" s="350"/>
      <c r="AH18" s="351"/>
      <c r="AI18" s="350"/>
      <c r="AJ18" s="350"/>
      <c r="AK18" s="350"/>
      <c r="AL18" s="350"/>
      <c r="AM18" s="350"/>
      <c r="AN18" s="350"/>
      <c r="AO18" s="350"/>
      <c r="AP18" s="351"/>
      <c r="AR18" s="352" t="n">
        <f aca="true">IF(AND($D18="Serviço",AR$12&lt;&gt;0,$H18&gt;0,OR(AUTOEVENTO&lt;&gt;"manual",$M18&lt;&gt;$A$15)),
        IF(Import.TipoArredondamento&lt;&gt;"TransfereGOV",
              ROUND(OFFSET($P18,0,AR$13),15-13*ORÇAMENTO!$AF$7)/$H18*OFFSET(ORÇAMENTO!$X$15,ROW(AR18)-ROW(AR$15),0),
              ROUND(ROUND(OFFSET($P18,0,AR$13),15-13*ORÇAMENTO!$AF$7)*OFFSET(ORÇAMENTO!$W$15,ROW(AR18)-ROW(AR$15),0),15-13*ORÇAMENTO!$AF$11)),
         0)</f>
        <v>4181.65</v>
      </c>
      <c r="AS18" s="352" t="n">
        <f aca="true">IF(AND($D18="Serviço",AS$12&lt;&gt;0,$H18&gt;0,OR(AUTOEVENTO&lt;&gt;"manual",$M18&lt;&gt;$A$15)),
        IF(Import.TipoArredondamento&lt;&gt;"TransfereGOV",
              ROUND(OFFSET($P18,0,AS$13),15-13*ORÇAMENTO!$AF$7)/$H18*OFFSET(ORÇAMENTO!$X$15,ROW(AS18)-ROW(AS$15),0),
              ROUND(ROUND(OFFSET($P18,0,AS$13),15-13*ORÇAMENTO!$AF$7)*OFFSET(ORÇAMENTO!$W$15,ROW(AS18)-ROW(AS$15),0),15-13*ORÇAMENTO!$AF$11)),
         0)</f>
        <v>0</v>
      </c>
      <c r="AT18" s="352" t="n">
        <f aca="true">IF(AND($D18="Serviço",AT$12&lt;&gt;0,$H18&gt;0,OR(AUTOEVENTO&lt;&gt;"manual",$M18&lt;&gt;$A$15)),
        IF(Import.TipoArredondamento&lt;&gt;"TransfereGOV",
              ROUND(OFFSET($P18,0,AT$13),15-13*ORÇAMENTO!$AF$7)/$H18*OFFSET(ORÇAMENTO!$X$15,ROW(AT18)-ROW(AT$15),0),
              ROUND(ROUND(OFFSET($P18,0,AT$13),15-13*ORÇAMENTO!$AF$7)*OFFSET(ORÇAMENTO!$W$15,ROW(AT18)-ROW(AT$15),0),15-13*ORÇAMENTO!$AF$11)),
         0)</f>
        <v>0</v>
      </c>
      <c r="AU18" s="352" t="n">
        <f aca="true">IF(AND($D18="Serviço",AU$12&lt;&gt;0,$H18&gt;0,OR(AUTOEVENTO&lt;&gt;"manual",$M18&lt;&gt;$A$15)),
        IF(Import.TipoArredondamento&lt;&gt;"TransfereGOV",
              ROUND(OFFSET($P18,0,AU$13),15-13*ORÇAMENTO!$AF$7)/$H18*OFFSET(ORÇAMENTO!$X$15,ROW(AU18)-ROW(AU$15),0),
              ROUND(ROUND(OFFSET($P18,0,AU$13),15-13*ORÇAMENTO!$AF$7)*OFFSET(ORÇAMENTO!$W$15,ROW(AU18)-ROW(AU$15),0),15-13*ORÇAMENTO!$AF$11)),
         0)</f>
        <v>0</v>
      </c>
      <c r="AV18" s="352" t="n">
        <f aca="true">IF(AND($D18="Serviço",AV$12&lt;&gt;0,$H18&gt;0,OR(AUTOEVENTO&lt;&gt;"manual",$M18&lt;&gt;$A$15)),
        IF(Import.TipoArredondamento&lt;&gt;"TransfereGOV",
              ROUND(OFFSET($P18,0,AV$13),15-13*ORÇAMENTO!$AF$7)/$H18*OFFSET(ORÇAMENTO!$X$15,ROW(AV18)-ROW(AV$15),0),
              ROUND(ROUND(OFFSET($P18,0,AV$13),15-13*ORÇAMENTO!$AF$7)*OFFSET(ORÇAMENTO!$W$15,ROW(AV18)-ROW(AV$15),0),15-13*ORÇAMENTO!$AF$11)),
         0)</f>
        <v>0</v>
      </c>
      <c r="AW18" s="352" t="n">
        <f aca="true">IF(AND($D18="Serviço",AW$12&lt;&gt;0,$H18&gt;0,OR(AUTOEVENTO&lt;&gt;"manual",$M18&lt;&gt;$A$15)),
        IF(Import.TipoArredondamento&lt;&gt;"TransfereGOV",
              ROUND(OFFSET($P18,0,AW$13),15-13*ORÇAMENTO!$AF$7)/$H18*OFFSET(ORÇAMENTO!$X$15,ROW(AW18)-ROW(AW$15),0),
              ROUND(ROUND(OFFSET($P18,0,AW$13),15-13*ORÇAMENTO!$AF$7)*OFFSET(ORÇAMENTO!$W$15,ROW(AW18)-ROW(AW$15),0),15-13*ORÇAMENTO!$AF$11)),
         0)</f>
        <v>0</v>
      </c>
      <c r="AX18" s="352" t="n">
        <f aca="true">IF(AND($D18="Serviço",AX$12&lt;&gt;0,$H18&gt;0,OR(AUTOEVENTO&lt;&gt;"manual",$M18&lt;&gt;$A$15)),
        IF(Import.TipoArredondamento&lt;&gt;"TransfereGOV",
              ROUND(OFFSET($P18,0,AX$13),15-13*ORÇAMENTO!$AF$7)/$H18*OFFSET(ORÇAMENTO!$X$15,ROW(AX18)-ROW(AX$15),0),
              ROUND(ROUND(OFFSET($P18,0,AX$13),15-13*ORÇAMENTO!$AF$7)*OFFSET(ORÇAMENTO!$W$15,ROW(AX18)-ROW(AX$15),0),15-13*ORÇAMENTO!$AF$11)),
         0)</f>
        <v>0</v>
      </c>
      <c r="AY18" s="352" t="n">
        <f aca="true">IF(AND($D18="Serviço",AY$12&lt;&gt;0,$H18&gt;0,OR(AUTOEVENTO&lt;&gt;"manual",$M18&lt;&gt;$A$15)),
        IF(Import.TipoArredondamento&lt;&gt;"TransfereGOV",
              ROUND(OFFSET($P18,0,AY$13),15-13*ORÇAMENTO!$AF$7)/$H18*OFFSET(ORÇAMENTO!$X$15,ROW(AY18)-ROW(AY$15),0),
              ROUND(ROUND(OFFSET($P18,0,AY$13),15-13*ORÇAMENTO!$AF$7)*OFFSET(ORÇAMENTO!$W$15,ROW(AY18)-ROW(AY$15),0),15-13*ORÇAMENTO!$AF$11)),
         0)</f>
        <v>0</v>
      </c>
      <c r="AZ18" s="352" t="n">
        <f aca="true">IF(AND($D18="Serviço",AZ$12&lt;&gt;0,$H18&gt;0,OR(AUTOEVENTO&lt;&gt;"manual",$M18&lt;&gt;$A$15)),
        IF(Import.TipoArredondamento&lt;&gt;"TransfereGOV",
              ROUND(OFFSET($P18,0,AZ$13),15-13*ORÇAMENTO!$AF$7)/$H18*OFFSET(ORÇAMENTO!$X$15,ROW(AZ18)-ROW(AZ$15),0),
              ROUND(ROUND(OFFSET($P18,0,AZ$13),15-13*ORÇAMENTO!$AF$7)*OFFSET(ORÇAMENTO!$W$15,ROW(AZ18)-ROW(AZ$15),0),15-13*ORÇAMENTO!$AF$11)),
         0)</f>
        <v>0</v>
      </c>
      <c r="BA18" s="352" t="n">
        <f aca="true">IF(AND($D18="Serviço",BA$12&lt;&gt;0,$H18&gt;0,OR(AUTOEVENTO&lt;&gt;"manual",$M18&lt;&gt;$A$15)),
        IF(Import.TipoArredondamento&lt;&gt;"TransfereGOV",
              ROUND(OFFSET($P18,0,BA$13),15-13*ORÇAMENTO!$AF$7)/$H18*OFFSET(ORÇAMENTO!$X$15,ROW(BA18)-ROW(BA$15),0),
              ROUND(ROUND(OFFSET($P18,0,BA$13),15-13*ORÇAMENTO!$AF$7)*OFFSET(ORÇAMENTO!$W$15,ROW(BA18)-ROW(BA$15),0),15-13*ORÇAMENTO!$AF$11)),
         0)</f>
        <v>0</v>
      </c>
      <c r="BB18" s="352" t="n">
        <f aca="true">IF(AND($D18="Serviço",BB$12&lt;&gt;0,$H18&gt;0,OR(AUTOEVENTO&lt;&gt;"manual",$M18&lt;&gt;$A$15)),
        IF(Import.TipoArredondamento&lt;&gt;"TransfereGOV",
              ROUND(OFFSET($P18,0,BB$13),15-13*ORÇAMENTO!$AF$7)/$H18*OFFSET(ORÇAMENTO!$X$15,ROW(BB18)-ROW(BB$15),0),
              ROUND(ROUND(OFFSET($P18,0,BB$13),15-13*ORÇAMENTO!$AF$7)*OFFSET(ORÇAMENTO!$W$15,ROW(BB18)-ROW(BB$15),0),15-13*ORÇAMENTO!$AF$11)),
         0)</f>
        <v>0</v>
      </c>
      <c r="BC18" s="352" t="n">
        <f aca="true">IF(AND($D18="Serviço",BC$12&lt;&gt;0,$H18&gt;0,OR(AUTOEVENTO&lt;&gt;"manual",$M18&lt;&gt;$A$15)),
        IF(Import.TipoArredondamento&lt;&gt;"TransfereGOV",
              ROUND(OFFSET($P18,0,BC$13),15-13*ORÇAMENTO!$AF$7)/$H18*OFFSET(ORÇAMENTO!$X$15,ROW(BC18)-ROW(BC$15),0),
              ROUND(ROUND(OFFSET($P18,0,BC$13),15-13*ORÇAMENTO!$AF$7)*OFFSET(ORÇAMENTO!$W$15,ROW(BC18)-ROW(BC$15),0),15-13*ORÇAMENTO!$AF$11)),
         0)</f>
        <v>0</v>
      </c>
      <c r="BD18" s="352" t="n">
        <f aca="true">IF(AND($D18="Serviço",BD$12&lt;&gt;0,$H18&gt;0,OR(AUTOEVENTO&lt;&gt;"manual",$M18&lt;&gt;$A$15)),
        IF(Import.TipoArredondamento&lt;&gt;"TransfereGOV",
              ROUND(OFFSET($P18,0,BD$13),15-13*ORÇAMENTO!$AF$7)/$H18*OFFSET(ORÇAMENTO!$X$15,ROW(BD18)-ROW(BD$15),0),
              ROUND(ROUND(OFFSET($P18,0,BD$13),15-13*ORÇAMENTO!$AF$7)*OFFSET(ORÇAMENTO!$W$15,ROW(BD18)-ROW(BD$15),0),15-13*ORÇAMENTO!$AF$11)),
         0)</f>
        <v>0</v>
      </c>
      <c r="BE18" s="352" t="n">
        <f aca="true">IF(AND($D18="Serviço",BE$12&lt;&gt;0,$H18&gt;0,OR(AUTOEVENTO&lt;&gt;"manual",$M18&lt;&gt;$A$15)),
        IF(Import.TipoArredondamento&lt;&gt;"TransfereGOV",
              ROUND(OFFSET($P18,0,BE$13),15-13*ORÇAMENTO!$AF$7)/$H18*OFFSET(ORÇAMENTO!$X$15,ROW(BE18)-ROW(BE$15),0),
              ROUND(ROUND(OFFSET($P18,0,BE$13),15-13*ORÇAMENTO!$AF$7)*OFFSET(ORÇAMENTO!$W$15,ROW(BE18)-ROW(BE$15),0),15-13*ORÇAMENTO!$AF$11)),
         0)</f>
        <v>0</v>
      </c>
      <c r="BF18" s="352" t="n">
        <f aca="true">IF(AND($D18="Serviço",BF$12&lt;&gt;0,$H18&gt;0,OR(AUTOEVENTO&lt;&gt;"manual",$M18&lt;&gt;$A$15)),
        IF(Import.TipoArredondamento&lt;&gt;"TransfereGOV",
              ROUND(OFFSET($P18,0,BF$13),15-13*ORÇAMENTO!$AF$7)/$H18*OFFSET(ORÇAMENTO!$X$15,ROW(BF18)-ROW(BF$15),0),
              ROUND(ROUND(OFFSET($P18,0,BF$13),15-13*ORÇAMENTO!$AF$7)*OFFSET(ORÇAMENTO!$W$15,ROW(BF18)-ROW(BF$15),0),15-13*ORÇAMENTO!$AF$11)),
         0)</f>
        <v>0</v>
      </c>
      <c r="BG18" s="352" t="n">
        <f aca="true">IF(AND($D18="Serviço",BG$12&lt;&gt;0,$H18&gt;0,OR(AUTOEVENTO&lt;&gt;"manual",$M18&lt;&gt;$A$15)),
        IF(Import.TipoArredondamento&lt;&gt;"TransfereGOV",
              ROUND(OFFSET($P18,0,BG$13),15-13*ORÇAMENTO!$AF$7)/$H18*OFFSET(ORÇAMENTO!$X$15,ROW(BG18)-ROW(BG$15),0),
              ROUND(ROUND(OFFSET($P18,0,BG$13),15-13*ORÇAMENTO!$AF$7)*OFFSET(ORÇAMENTO!$W$15,ROW(BG18)-ROW(BG$15),0),15-13*ORÇAMENTO!$AF$11)),
         0)</f>
        <v>0</v>
      </c>
      <c r="BH18" s="352" t="n">
        <f aca="true">IF(AND($D18="Serviço",BH$12&lt;&gt;0,$H18&gt;0,OR(AUTOEVENTO&lt;&gt;"manual",$M18&lt;&gt;$A$15)),
        IF(Import.TipoArredondamento&lt;&gt;"TransfereGOV",
              ROUND(OFFSET($P18,0,BH$13),15-13*ORÇAMENTO!$AF$7)/$H18*OFFSET(ORÇAMENTO!$X$15,ROW(BH18)-ROW(BH$15),0),
              ROUND(ROUND(OFFSET($P18,0,BH$13),15-13*ORÇAMENTO!$AF$7)*OFFSET(ORÇAMENTO!$W$15,ROW(BH18)-ROW(BH$15),0),15-13*ORÇAMENTO!$AF$11)),
         0)</f>
        <v>0</v>
      </c>
      <c r="BI18" s="352" t="n">
        <f aca="true">IF(AND($D18="Serviço",BI$12&lt;&gt;0,$H18&gt;0,OR(AUTOEVENTO&lt;&gt;"manual",$M18&lt;&gt;$A$15)),
        IF(Import.TipoArredondamento&lt;&gt;"TransfereGOV",
              ROUND(OFFSET($P18,0,BI$13),15-13*ORÇAMENTO!$AF$7)/$H18*OFFSET(ORÇAMENTO!$X$15,ROW(BI18)-ROW(BI$15),0),
              ROUND(ROUND(OFFSET($P18,0,BI$13),15-13*ORÇAMENTO!$AF$7)*OFFSET(ORÇAMENTO!$W$15,ROW(BI18)-ROW(BI$15),0),15-13*ORÇAMENTO!$AF$11)),
         0)</f>
        <v>0</v>
      </c>
      <c r="BJ18" s="352" t="n">
        <f aca="true">IF(AND($D18="Serviço",BJ$12&lt;&gt;0,$H18&gt;0,OR(AUTOEVENTO&lt;&gt;"manual",$M18&lt;&gt;$A$15)),
        IF(Import.TipoArredondamento&lt;&gt;"TransfereGOV",
              ROUND(OFFSET($P18,0,BJ$13),15-13*ORÇAMENTO!$AF$7)/$H18*OFFSET(ORÇAMENTO!$X$15,ROW(BJ18)-ROW(BJ$15),0),
              ROUND(ROUND(OFFSET($P18,0,BJ$13),15-13*ORÇAMENTO!$AF$7)*OFFSET(ORÇAMENTO!$W$15,ROW(BJ18)-ROW(BJ$15),0),15-13*ORÇAMENTO!$AF$11)),
         0)</f>
        <v>0</v>
      </c>
      <c r="BK18" s="352" t="n">
        <f aca="true">IF(AND($D18="Serviço",BK$12&lt;&gt;0,$H18&gt;0,OR(AUTOEVENTO&lt;&gt;"manual",$M18&lt;&gt;$A$15)),
        IF(Import.TipoArredondamento&lt;&gt;"TransfereGOV",
              ROUND(OFFSET($P18,0,BK$13),15-13*ORÇAMENTO!$AF$7)/$H18*OFFSET(ORÇAMENTO!$X$15,ROW(BK18)-ROW(BK$15),0),
              ROUND(ROUND(OFFSET($P18,0,BK$13),15-13*ORÇAMENTO!$AF$7)*OFFSET(ORÇAMENTO!$W$15,ROW(BK18)-ROW(BK$15),0),15-13*ORÇAMENTO!$AF$11)),
         0)</f>
        <v>0</v>
      </c>
      <c r="BL18" s="352" t="n">
        <f aca="true">IF(AND($D18="Serviço",BL$12&lt;&gt;0,$H18&gt;0,OR(AUTOEVENTO&lt;&gt;"manual",$M18&lt;&gt;$A$15)),
        IF(Import.TipoArredondamento&lt;&gt;"TransfereGOV",
              ROUND(OFFSET($P18,0,BL$13),15-13*ORÇAMENTO!$AF$7)/$H18*OFFSET(ORÇAMENTO!$X$15,ROW(BL18)-ROW(BL$15),0),
              ROUND(ROUND(OFFSET($P18,0,BL$13),15-13*ORÇAMENTO!$AF$7)*OFFSET(ORÇAMENTO!$W$15,ROW(BL18)-ROW(BL$15),0),15-13*ORÇAMENTO!$AF$11)),
         0)</f>
        <v>0</v>
      </c>
      <c r="BM18" s="352" t="n">
        <f aca="true">IF(AND($D18="Serviço",BM$12&lt;&gt;0,$H18&gt;0,OR(AUTOEVENTO&lt;&gt;"manual",$M18&lt;&gt;$A$15)),
        IF(Import.TipoArredondamento&lt;&gt;"TransfereGOV",
              ROUND(OFFSET($P18,0,BM$13),15-13*ORÇAMENTO!$AF$7)/$H18*OFFSET(ORÇAMENTO!$X$15,ROW(BM18)-ROW(BM$15),0),
              ROUND(ROUND(OFFSET($P18,0,BM$13),15-13*ORÇAMENTO!$AF$7)*OFFSET(ORÇAMENTO!$W$15,ROW(BM18)-ROW(BM$15),0),15-13*ORÇAMENTO!$AF$11)),
         0)</f>
        <v>0</v>
      </c>
      <c r="BN18" s="352" t="n">
        <f aca="true">IF(AND($D18="Serviço",BN$12&lt;&gt;0,$H18&gt;0,OR(AUTOEVENTO&lt;&gt;"manual",$M18&lt;&gt;$A$15)),
        IF(Import.TipoArredondamento&lt;&gt;"TransfereGOV",
              ROUND(OFFSET($P18,0,BN$13),15-13*ORÇAMENTO!$AF$7)/$H18*OFFSET(ORÇAMENTO!$X$15,ROW(BN18)-ROW(BN$15),0),
              ROUND(ROUND(OFFSET($P18,0,BN$13),15-13*ORÇAMENTO!$AF$7)*OFFSET(ORÇAMENTO!$W$15,ROW(BN18)-ROW(BN$15),0),15-13*ORÇAMENTO!$AF$11)),
         0)</f>
        <v>0</v>
      </c>
      <c r="BO18" s="352" t="n">
        <f aca="true">IF(AND($D18="Serviço",BO$12&lt;&gt;0,$H18&gt;0,OR(AUTOEVENTO&lt;&gt;"manual",$M18&lt;&gt;$A$15)),
        IF(Import.TipoArredondamento&lt;&gt;"TransfereGOV",
              ROUND(OFFSET($P18,0,BO$13),15-13*ORÇAMENTO!$AF$7)/$H18*OFFSET(ORÇAMENTO!$X$15,ROW(BO18)-ROW(BO$15),0),
              ROUND(ROUND(OFFSET($P18,0,BO$13),15-13*ORÇAMENTO!$AF$7)*OFFSET(ORÇAMENTO!$W$15,ROW(BO18)-ROW(BO$15),0),15-13*ORÇAMENTO!$AF$11)),
         0)</f>
        <v>0</v>
      </c>
      <c r="BP18" s="352" t="n">
        <f aca="true">IF(AND($D18="Serviço",BP$12&lt;&gt;0,$H18&gt;0,OR(AUTOEVENTO&lt;&gt;"manual",$M18&lt;&gt;$A$15)),
        IF(Import.TipoArredondamento&lt;&gt;"TransfereGOV",
              ROUND(OFFSET($P18,0,BP$13),15-13*ORÇAMENTO!$AF$7)/$H18*OFFSET(ORÇAMENTO!$X$15,ROW(BP18)-ROW(BP$15),0),
              ROUND(ROUND(OFFSET($P18,0,BP$13),15-13*ORÇAMENTO!$AF$7)*OFFSET(ORÇAMENTO!$W$15,ROW(BP18)-ROW(BP$15),0),15-13*ORÇAMENTO!$AF$11)),
         0)</f>
        <v>0</v>
      </c>
      <c r="BQ18" s="352" t="n">
        <f aca="true">IF(AND($D18="Serviço",BQ$12&lt;&gt;0,$H18&gt;0,OR(AUTOEVENTO&lt;&gt;"manual",$M18&lt;&gt;$A$15)),
        IF(Import.TipoArredondamento&lt;&gt;"TransfereGOV",
              ROUND(OFFSET($P18,0,BQ$13),15-13*ORÇAMENTO!$AF$7)/$H18*OFFSET(ORÇAMENTO!$X$15,ROW(BQ18)-ROW(BQ$15),0),
              ROUND(ROUND(OFFSET($P18,0,BQ$13),15-13*ORÇAMENTO!$AF$7)*OFFSET(ORÇAMENTO!$W$15,ROW(BQ18)-ROW(BQ$15),0),15-13*ORÇAMENTO!$AF$11)),
         0)</f>
        <v>0</v>
      </c>
      <c r="BS18" s="353" t="n">
        <f aca="true">IF(OR($D18&lt;&gt;"Serviço",AND(AUTOEVENTO="Manual",$M18=$A$15)),0,
         IF(OFFSET(CRONOPLE!$F$15,$M18-$A$15,BS$13)=0,10^12,OFFSET(CRONOPLE!$F$15,$M18-$A$15,BS$13)))</f>
        <v>1</v>
      </c>
      <c r="BT18" s="353" t="n">
        <f aca="true">IF(OR($D18&lt;&gt;"Serviço",AND(AUTOEVENTO="Manual",$M18=$A$15)),0,
         IF(OFFSET(CRONOPLE!$F$15,$M18-$A$15,BT$13)=0,10^12,OFFSET(CRONOPLE!$F$15,$M18-$A$15,BT$13)))</f>
        <v>2</v>
      </c>
      <c r="BU18" s="353" t="n">
        <f aca="true">IF(OR($D18&lt;&gt;"Serviço",AND(AUTOEVENTO="Manual",$M18=$A$15)),0,
         IF(OFFSET(CRONOPLE!$F$15,$M18-$A$15,BU$13)=0,10^12,OFFSET(CRONOPLE!$F$15,$M18-$A$15,BU$13)))</f>
        <v>3</v>
      </c>
      <c r="BV18" s="353" t="n">
        <f aca="true">IF(OR($D18&lt;&gt;"Serviço",AND(AUTOEVENTO="Manual",$M18=$A$15)),0,
         IF(OFFSET(CRONOPLE!$F$15,$M18-$A$15,BV$13)=0,10^12,OFFSET(CRONOPLE!$F$15,$M18-$A$15,BV$13)))</f>
        <v>4</v>
      </c>
      <c r="BW18" s="353" t="n">
        <f aca="true">IF(OR($D18&lt;&gt;"Serviço",AND(AUTOEVENTO="Manual",$M18=$A$15)),0,
         IF(OFFSET(CRONOPLE!$F$15,$M18-$A$15,BW$13)=0,10^12,OFFSET(CRONOPLE!$F$15,$M18-$A$15,BW$13)))</f>
        <v>5</v>
      </c>
      <c r="BX18" s="353" t="n">
        <f aca="true">IF(OR($D18&lt;&gt;"Serviço",AND(AUTOEVENTO="Manual",$M18=$A$15)),0,
         IF(OFFSET(CRONOPLE!$F$15,$M18-$A$15,BX$13)=0,10^12,OFFSET(CRONOPLE!$F$15,$M18-$A$15,BX$13)))</f>
        <v>6</v>
      </c>
      <c r="BY18" s="353" t="n">
        <f aca="true">IF(OR($D18&lt;&gt;"Serviço",AND(AUTOEVENTO="Manual",$M18=$A$15)),0,
         IF(OFFSET(CRONOPLE!$F$15,$M18-$A$15,BY$13)=0,10^12,OFFSET(CRONOPLE!$F$15,$M18-$A$15,BY$13)))</f>
        <v>7</v>
      </c>
      <c r="BZ18" s="353" t="n">
        <f aca="true">IF(OR($D18&lt;&gt;"Serviço",AND(AUTOEVENTO="Manual",$M18=$A$15)),0,
         IF(OFFSET(CRONOPLE!$F$15,$M18-$A$15,BZ$13)=0,10^12,OFFSET(CRONOPLE!$F$15,$M18-$A$15,BZ$13)))</f>
        <v>8</v>
      </c>
      <c r="CA18" s="353" t="n">
        <f aca="true">IF(OR($D18&lt;&gt;"Serviço",AND(AUTOEVENTO="Manual",$M18=$A$15)),0,
         IF(OFFSET(CRONOPLE!$F$15,$M18-$A$15,CA$13)=0,10^12,OFFSET(CRONOPLE!$F$15,$M18-$A$15,CA$13)))</f>
        <v>9</v>
      </c>
      <c r="CB18" s="353" t="n">
        <f aca="true">IF(OR($D18&lt;&gt;"Serviço",AND(AUTOEVENTO="Manual",$M18=$A$15)),0,
         IF(OFFSET(CRONOPLE!$F$15,$M18-$A$15,CB$13)=0,10^12,OFFSET(CRONOPLE!$F$15,$M18-$A$15,CB$13)))</f>
        <v>10</v>
      </c>
      <c r="CC18" s="353" t="n">
        <f aca="true">IF(OR($D18&lt;&gt;"Serviço",AND(AUTOEVENTO="Manual",$M18=$A$15)),0,
         IF(OFFSET(CRONOPLE!$F$15,$M18-$A$15,CC$13)=0,10^12,OFFSET(CRONOPLE!$F$15,$M18-$A$15,CC$13)))</f>
        <v>11</v>
      </c>
      <c r="CD18" s="353" t="n">
        <f aca="true">IF(OR($D18&lt;&gt;"Serviço",AND(AUTOEVENTO="Manual",$M18=$A$15)),0,
         IF(OFFSET(CRONOPLE!$F$15,$M18-$A$15,CD$13)=0,10^12,OFFSET(CRONOPLE!$F$15,$M18-$A$15,CD$13)))</f>
        <v>12</v>
      </c>
      <c r="CE18" s="353" t="n">
        <f aca="true">IF(OR($D18&lt;&gt;"Serviço",AND(AUTOEVENTO="Manual",$M18=$A$15)),0,
         IF(OFFSET(CRONOPLE!$F$15,$M18-$A$15,CE$13)=0,10^12,OFFSET(CRONOPLE!$F$15,$M18-$A$15,CE$13)))</f>
        <v>13</v>
      </c>
      <c r="CF18" s="353" t="n">
        <f aca="true">IF(OR($D18&lt;&gt;"Serviço",AND(AUTOEVENTO="Manual",$M18=$A$15)),0,
         IF(OFFSET(CRONOPLE!$F$15,$M18-$A$15,CF$13)=0,10^12,OFFSET(CRONOPLE!$F$15,$M18-$A$15,CF$13)))</f>
        <v>14</v>
      </c>
      <c r="CG18" s="353" t="n">
        <f aca="true">IF(OR($D18&lt;&gt;"Serviço",AND(AUTOEVENTO="Manual",$M18=$A$15)),0,
         IF(OFFSET(CRONOPLE!$F$15,$M18-$A$15,CG$13)=0,10^12,OFFSET(CRONOPLE!$F$15,$M18-$A$15,CG$13)))</f>
        <v>15</v>
      </c>
      <c r="CH18" s="353" t="n">
        <f aca="true">IF(OR($D18&lt;&gt;"Serviço",AND(AUTOEVENTO="Manual",$M18=$A$15)),0,
         IF(OFFSET(CRONOPLE!$F$15,$M18-$A$15,CH$13)=0,10^12,OFFSET(CRONOPLE!$F$15,$M18-$A$15,CH$13)))</f>
        <v>16</v>
      </c>
      <c r="CI18" s="353" t="n">
        <f aca="true">IF(OR($D18&lt;&gt;"Serviço",AND(AUTOEVENTO="Manual",$M18=$A$15)),0,
         IF(OFFSET(CRONOPLE!$F$15,$M18-$A$15,CI$13)=0,10^12,OFFSET(CRONOPLE!$F$15,$M18-$A$15,CI$13)))</f>
        <v>17</v>
      </c>
      <c r="CJ18" s="353" t="n">
        <f aca="true">IF(OR($D18&lt;&gt;"Serviço",AND(AUTOEVENTO="Manual",$M18=$A$15)),0,
         IF(OFFSET(CRONOPLE!$F$15,$M18-$A$15,CJ$13)=0,10^12,OFFSET(CRONOPLE!$F$15,$M18-$A$15,CJ$13)))</f>
        <v>18</v>
      </c>
      <c r="CK18" s="353" t="n">
        <f aca="true">IF(OR($D18&lt;&gt;"Serviço",AND(AUTOEVENTO="Manual",$M18=$A$15)),0,
         IF(OFFSET(CRONOPLE!$F$15,$M18-$A$15,CK$13)=0,10^12,OFFSET(CRONOPLE!$F$15,$M18-$A$15,CK$13)))</f>
        <v>19</v>
      </c>
      <c r="CL18" s="353" t="n">
        <f aca="true">IF(OR($D18&lt;&gt;"Serviço",AND(AUTOEVENTO="Manual",$M18=$A$15)),0,
         IF(OFFSET(CRONOPLE!$F$15,$M18-$A$15,CL$13)=0,10^12,OFFSET(CRONOPLE!$F$15,$M18-$A$15,CL$13)))</f>
        <v>20</v>
      </c>
      <c r="CM18" s="353" t="n">
        <f aca="true">IF(OR($D18&lt;&gt;"Serviço",AND(AUTOEVENTO="Manual",$M18=$A$15)),0,
         IF(OFFSET(CRONOPLE!$F$15,$M18-$A$15,CM$13)=0,10^12,OFFSET(CRONOPLE!$F$15,$M18-$A$15,CM$13)))</f>
        <v>21</v>
      </c>
      <c r="CN18" s="353" t="n">
        <f aca="true">IF(OR($D18&lt;&gt;"Serviço",AND(AUTOEVENTO="Manual",$M18=$A$15)),0,
         IF(OFFSET(CRONOPLE!$F$15,$M18-$A$15,CN$13)=0,10^12,OFFSET(CRONOPLE!$F$15,$M18-$A$15,CN$13)))</f>
        <v>22</v>
      </c>
      <c r="CO18" s="353" t="n">
        <f aca="true">IF(OR($D18&lt;&gt;"Serviço",AND(AUTOEVENTO="Manual",$M18=$A$15)),0,
         IF(OFFSET(CRONOPLE!$F$15,$M18-$A$15,CO$13)=0,10^12,OFFSET(CRONOPLE!$F$15,$M18-$A$15,CO$13)))</f>
        <v>23</v>
      </c>
      <c r="CP18" s="353" t="n">
        <f aca="true">IF(OR($D18&lt;&gt;"Serviço",AND(AUTOEVENTO="Manual",$M18=$A$15)),0,
         IF(OFFSET(CRONOPLE!$F$15,$M18-$A$15,CP$13)=0,10^12,OFFSET(CRONOPLE!$F$15,$M18-$A$15,CP$13)))</f>
        <v>24</v>
      </c>
      <c r="CQ18" s="353" t="n">
        <f aca="true">IF(OR($D18&lt;&gt;"Serviço",AND(AUTOEVENTO="Manual",$M18=$A$15)),0,
         IF(OFFSET(CRONOPLE!$F$15,$M18-$A$15,CQ$13)=0,10^12,OFFSET(CRONOPLE!$F$15,$M18-$A$15,CQ$13)))</f>
        <v>25</v>
      </c>
      <c r="CR18" s="353" t="n">
        <f aca="true">IF(OR($D18&lt;&gt;"Serviço",AND(AUTOEVENTO="Manual",$M18=$A$15)),0,
         IF(OFFSET(CRONOPLE!$F$15,$M18-$A$15,CR$13)=0,10^12,OFFSET(CRONOPLE!$F$15,$M18-$A$15,CR$13)))</f>
        <v>1000000000000</v>
      </c>
      <c r="CT18" s="354" t="n">
        <f aca="true">IF(OR($D18&lt;&gt;"Serviço",AND(AUTOEVENTO="Manual",$M18=$A$15),$M18&gt;(ROW(PLE.lastrow)-ROW(PLE.firstrow))),0,
           IF(OFFSET(PLE!$G$15,$M18-$A$15,CT$13)="",10^12,OFFSET(PLE!$G$15,$M18-$A$15,CT$13)))</f>
        <v>1000000000000</v>
      </c>
      <c r="CU18" s="354" t="n">
        <f aca="true">IF(OR($D18&lt;&gt;"Serviço",AND(AUTOEVENTO="Manual",$M18=$A$15),$M18&gt;(ROW(PLE.lastrow)-ROW(PLE.firstrow))),0,
           IF(OFFSET(PLE!$G$15,$M18-$A$15,CU$13)="",10^12,OFFSET(PLE!$G$15,$M18-$A$15,CU$13)))</f>
        <v>1000000000000</v>
      </c>
      <c r="CV18" s="354" t="n">
        <f aca="true">IF(OR($D18&lt;&gt;"Serviço",AND(AUTOEVENTO="Manual",$M18=$A$15),$M18&gt;(ROW(PLE.lastrow)-ROW(PLE.firstrow))),0,
           IF(OFFSET(PLE!$G$15,$M18-$A$15,CV$13)="",10^12,OFFSET(PLE!$G$15,$M18-$A$15,CV$13)))</f>
        <v>1000000000000</v>
      </c>
      <c r="CW18" s="354" t="n">
        <f aca="true">IF(OR($D18&lt;&gt;"Serviço",AND(AUTOEVENTO="Manual",$M18=$A$15),$M18&gt;(ROW(PLE.lastrow)-ROW(PLE.firstrow))),0,
           IF(OFFSET(PLE!$G$15,$M18-$A$15,CW$13)="",10^12,OFFSET(PLE!$G$15,$M18-$A$15,CW$13)))</f>
        <v>1000000000000</v>
      </c>
      <c r="CX18" s="354" t="n">
        <f aca="true">IF(OR($D18&lt;&gt;"Serviço",AND(AUTOEVENTO="Manual",$M18=$A$15),$M18&gt;(ROW(PLE.lastrow)-ROW(PLE.firstrow))),0,
           IF(OFFSET(PLE!$G$15,$M18-$A$15,CX$13)="",10^12,OFFSET(PLE!$G$15,$M18-$A$15,CX$13)))</f>
        <v>1000000000000</v>
      </c>
      <c r="CY18" s="354" t="n">
        <f aca="true">IF(OR($D18&lt;&gt;"Serviço",AND(AUTOEVENTO="Manual",$M18=$A$15),$M18&gt;(ROW(PLE.lastrow)-ROW(PLE.firstrow))),0,
           IF(OFFSET(PLE!$G$15,$M18-$A$15,CY$13)="",10^12,OFFSET(PLE!$G$15,$M18-$A$15,CY$13)))</f>
        <v>1000000000000</v>
      </c>
      <c r="CZ18" s="354" t="n">
        <f aca="true">IF(OR($D18&lt;&gt;"Serviço",AND(AUTOEVENTO="Manual",$M18=$A$15),$M18&gt;(ROW(PLE.lastrow)-ROW(PLE.firstrow))),0,
           IF(OFFSET(PLE!$G$15,$M18-$A$15,CZ$13)="",10^12,OFFSET(PLE!$G$15,$M18-$A$15,CZ$13)))</f>
        <v>1000000000000</v>
      </c>
      <c r="DA18" s="354" t="n">
        <f aca="true">IF(OR($D18&lt;&gt;"Serviço",AND(AUTOEVENTO="Manual",$M18=$A$15),$M18&gt;(ROW(PLE.lastrow)-ROW(PLE.firstrow))),0,
           IF(OFFSET(PLE!$G$15,$M18-$A$15,DA$13)="",10^12,OFFSET(PLE!$G$15,$M18-$A$15,DA$13)))</f>
        <v>1000000000000</v>
      </c>
      <c r="DB18" s="354" t="n">
        <f aca="true">IF(OR($D18&lt;&gt;"Serviço",AND(AUTOEVENTO="Manual",$M18=$A$15),$M18&gt;(ROW(PLE.lastrow)-ROW(PLE.firstrow))),0,
           IF(OFFSET(PLE!$G$15,$M18-$A$15,DB$13)="",10^12,OFFSET(PLE!$G$15,$M18-$A$15,DB$13)))</f>
        <v>1000000000000</v>
      </c>
      <c r="DC18" s="354" t="n">
        <f aca="true">IF(OR($D18&lt;&gt;"Serviço",AND(AUTOEVENTO="Manual",$M18=$A$15),$M18&gt;(ROW(PLE.lastrow)-ROW(PLE.firstrow))),0,
           IF(OFFSET(PLE!$G$15,$M18-$A$15,DC$13)="",10^12,OFFSET(PLE!$G$15,$M18-$A$15,DC$13)))</f>
        <v>1000000000000</v>
      </c>
      <c r="DD18" s="354" t="n">
        <f aca="true">IF(OR($D18&lt;&gt;"Serviço",AND(AUTOEVENTO="Manual",$M18=$A$15),$M18&gt;(ROW(PLE.lastrow)-ROW(PLE.firstrow))),0,
           IF(OFFSET(PLE!$G$15,$M18-$A$15,DD$13)="",10^12,OFFSET(PLE!$G$15,$M18-$A$15,DD$13)))</f>
        <v>1000000000000</v>
      </c>
      <c r="DE18" s="354" t="n">
        <f aca="true">IF(OR($D18&lt;&gt;"Serviço",AND(AUTOEVENTO="Manual",$M18=$A$15),$M18&gt;(ROW(PLE.lastrow)-ROW(PLE.firstrow))),0,
           IF(OFFSET(PLE!$G$15,$M18-$A$15,DE$13)="",10^12,OFFSET(PLE!$G$15,$M18-$A$15,DE$13)))</f>
        <v>1000000000000</v>
      </c>
      <c r="DF18" s="354" t="n">
        <f aca="true">IF(OR($D18&lt;&gt;"Serviço",AND(AUTOEVENTO="Manual",$M18=$A$15),$M18&gt;(ROW(PLE.lastrow)-ROW(PLE.firstrow))),0,
           IF(OFFSET(PLE!$G$15,$M18-$A$15,DF$13)="",10^12,OFFSET(PLE!$G$15,$M18-$A$15,DF$13)))</f>
        <v>1000000000000</v>
      </c>
      <c r="DG18" s="354" t="n">
        <f aca="true">IF(OR($D18&lt;&gt;"Serviço",AND(AUTOEVENTO="Manual",$M18=$A$15),$M18&gt;(ROW(PLE.lastrow)-ROW(PLE.firstrow))),0,
           IF(OFFSET(PLE!$G$15,$M18-$A$15,DG$13)="",10^12,OFFSET(PLE!$G$15,$M18-$A$15,DG$13)))</f>
        <v>1000000000000</v>
      </c>
      <c r="DH18" s="354" t="n">
        <f aca="true">IF(OR($D18&lt;&gt;"Serviço",AND(AUTOEVENTO="Manual",$M18=$A$15),$M18&gt;(ROW(PLE.lastrow)-ROW(PLE.firstrow))),0,
           IF(OFFSET(PLE!$G$15,$M18-$A$15,DH$13)="",10^12,OFFSET(PLE!$G$15,$M18-$A$15,DH$13)))</f>
        <v>1000000000000</v>
      </c>
      <c r="DI18" s="354" t="n">
        <f aca="true">IF(OR($D18&lt;&gt;"Serviço",AND(AUTOEVENTO="Manual",$M18=$A$15),$M18&gt;(ROW(PLE.lastrow)-ROW(PLE.firstrow))),0,
           IF(OFFSET(PLE!$G$15,$M18-$A$15,DI$13)="",10^12,OFFSET(PLE!$G$15,$M18-$A$15,DI$13)))</f>
        <v>1000000000000</v>
      </c>
      <c r="DJ18" s="354" t="n">
        <f aca="true">IF(OR($D18&lt;&gt;"Serviço",AND(AUTOEVENTO="Manual",$M18=$A$15),$M18&gt;(ROW(PLE.lastrow)-ROW(PLE.firstrow))),0,
           IF(OFFSET(PLE!$G$15,$M18-$A$15,DJ$13)="",10^12,OFFSET(PLE!$G$15,$M18-$A$15,DJ$13)))</f>
        <v>1000000000000</v>
      </c>
      <c r="DK18" s="354" t="n">
        <f aca="true">IF(OR($D18&lt;&gt;"Serviço",AND(AUTOEVENTO="Manual",$M18=$A$15),$M18&gt;(ROW(PLE.lastrow)-ROW(PLE.firstrow))),0,
           IF(OFFSET(PLE!$G$15,$M18-$A$15,DK$13)="",10^12,OFFSET(PLE!$G$15,$M18-$A$15,DK$13)))</f>
        <v>1000000000000</v>
      </c>
      <c r="DL18" s="354" t="n">
        <f aca="true">IF(OR($D18&lt;&gt;"Serviço",AND(AUTOEVENTO="Manual",$M18=$A$15),$M18&gt;(ROW(PLE.lastrow)-ROW(PLE.firstrow))),0,
           IF(OFFSET(PLE!$G$15,$M18-$A$15,DL$13)="",10^12,OFFSET(PLE!$G$15,$M18-$A$15,DL$13)))</f>
        <v>1000000000000</v>
      </c>
      <c r="DM18" s="354" t="n">
        <f aca="true">IF(OR($D18&lt;&gt;"Serviço",AND(AUTOEVENTO="Manual",$M18=$A$15),$M18&gt;(ROW(PLE.lastrow)-ROW(PLE.firstrow))),0,
           IF(OFFSET(PLE!$G$15,$M18-$A$15,DM$13)="",10^12,OFFSET(PLE!$G$15,$M18-$A$15,DM$13)))</f>
        <v>1000000000000</v>
      </c>
      <c r="DN18" s="354" t="n">
        <f aca="true">IF(OR($D18&lt;&gt;"Serviço",AND(AUTOEVENTO="Manual",$M18=$A$15),$M18&gt;(ROW(PLE.lastrow)-ROW(PLE.firstrow))),0,
           IF(OFFSET(PLE!$G$15,$M18-$A$15,DN$13)="",10^12,OFFSET(PLE!$G$15,$M18-$A$15,DN$13)))</f>
        <v>1000000000000</v>
      </c>
      <c r="DO18" s="354" t="n">
        <f aca="true">IF(OR($D18&lt;&gt;"Serviço",AND(AUTOEVENTO="Manual",$M18=$A$15),$M18&gt;(ROW(PLE.lastrow)-ROW(PLE.firstrow))),0,
           IF(OFFSET(PLE!$G$15,$M18-$A$15,DO$13)="",10^12,OFFSET(PLE!$G$15,$M18-$A$15,DO$13)))</f>
        <v>1000000000000</v>
      </c>
      <c r="DP18" s="354" t="n">
        <f aca="true">IF(OR($D18&lt;&gt;"Serviço",AND(AUTOEVENTO="Manual",$M18=$A$15),$M18&gt;(ROW(PLE.lastrow)-ROW(PLE.firstrow))),0,
           IF(OFFSET(PLE!$G$15,$M18-$A$15,DP$13)="",10^12,OFFSET(PLE!$G$15,$M18-$A$15,DP$13)))</f>
        <v>1000000000000</v>
      </c>
      <c r="DQ18" s="354" t="n">
        <f aca="true">IF(OR($D18&lt;&gt;"Serviço",AND(AUTOEVENTO="Manual",$M18=$A$15),$M18&gt;(ROW(PLE.lastrow)-ROW(PLE.firstrow))),0,
           IF(OFFSET(PLE!$G$15,$M18-$A$15,DQ$13)="",10^12,OFFSET(PLE!$G$15,$M18-$A$15,DQ$13)))</f>
        <v>1000000000000</v>
      </c>
      <c r="DR18" s="354" t="n">
        <f aca="true">IF(OR($D18&lt;&gt;"Serviço",AND(AUTOEVENTO="Manual",$M18=$A$15),$M18&gt;(ROW(PLE.lastrow)-ROW(PLE.firstrow))),0,
           IF(OFFSET(PLE!$G$15,$M18-$A$15,DR$13)="",10^12,OFFSET(PLE!$G$15,$M18-$A$15,DR$13)))</f>
        <v>1000000000000</v>
      </c>
      <c r="DS18" s="354" t="n">
        <f aca="true">IF(OR($D18&lt;&gt;"Serviço",AND(AUTOEVENTO="Manual",$M18=$A$15),$M18&gt;(ROW(PLE.lastrow)-ROW(PLE.firstrow))),0,
           IF(OFFSET(PLE!$G$15,$M18-$A$15,DS$13)="",10^12,OFFSET(PLE!$G$15,$M18-$A$15,DS$13)))</f>
        <v>1000000000000</v>
      </c>
    </row>
    <row r="19" customFormat="false" ht="23.85" hidden="false" customHeight="false" outlineLevel="0" collapsed="false">
      <c r="A19" s="50" t="str">
        <f aca="true">IFERROR(IF(AUTOEVENTO="Manual",IF(K19&lt;&gt;"",MIN(VALUE(LEFT(K19,FIND(".",K19)-1)),COUNTA(EVENTOS.Lista)),0),IF(OR($B19&gt;AUTOEVENTO,$B19="S",$B19=0),SUBSTITUTE(OFFSET($A19,-1,0),IF($D19="Serviço",".",""),""),ROW(A19)-ROW($A$15)&amp;".")),0)</f>
        <v>2</v>
      </c>
      <c r="B19" s="50" t="str">
        <f aca="true">OFFSET(ORÇAMENTO!C$15,ROW(B19)-ROW(B$15),0)</f>
        <v>S</v>
      </c>
      <c r="C19" s="50" t="str">
        <f aca="true">OFFSET(ORÇAMENTO!L$15,ROW(C19)-ROW(C$15),0)</f>
        <v>F</v>
      </c>
      <c r="D19" s="201" t="str">
        <f aca="true">OFFSET(ORÇAMENTO!N$15,ROW(D19)-ROW(D$15),0)</f>
        <v>Serviço</v>
      </c>
      <c r="E19" s="202" t="str">
        <f aca="true">OFFSET(ORÇAMENTO!O$15,ROW(E19)-ROW(E$15),0)</f>
        <v>1.1.2.</v>
      </c>
      <c r="F19" s="341" t="str">
        <f aca="true">OFFSET(ORÇAMENTO!R$15,ROW(F19)-ROW(F$15),0)</f>
        <v>LOCAÇÃO CONVENCIONAL DE OBRA, UTILIZANDO GABARITO DE TÁBUAS CORRIDAS PONTALETADAS A CADA 2,00M - 2 UTILIZAÇÕES. AF_03/2024</v>
      </c>
      <c r="G19" s="342" t="str">
        <f aca="true">IF($D19&lt;&gt;"Serviço","",OFFSET(ORÇAMENTO!S$15,ROW(G19)-ROW(G$15),0))</f>
        <v>M</v>
      </c>
      <c r="H19" s="207" t="n">
        <f aca="true">IF($D19&lt;&gt;"Serviço",0,IF(ACOMPANHAMENTO="BM",ROUND(OFFSET(ORÇAMENTO!AJ$15,ROW(H19)-ROW(H$15),0),15-13*ORÇAMENTO!$AF$7),SUMPRODUCT(($Q$1:$AQ$1=1)*ROUND($Q19:$AQ19,15-13*ORÇAMENTO!$AF$7))))</f>
        <v>288</v>
      </c>
      <c r="I19" s="343" t="s">
        <v>915</v>
      </c>
      <c r="J19" s="344" t="e">
        <f aca="false">IF(OR(B19&lt;&gt;"S",CÁLCULO.FrentesPreenchidas=0),"",IF(AND(ACOMPANHAMENTO="PLE",AUTOEVENTO="Manual",OR(H19&gt;0,ORÇAMENTO!AC19="QUANT."),OR(K19="",M19=0,N19="")),"►",IF(AND(ACOMPANHAMENTO="PLE",ORÇAMENTO!AC19="QUANT."),"►►",IF(AND(COUNTIF($P$11:$AQ$11,"▼")=0,H19&gt;0,I19=""),"◄",""))))</f>
        <v>#NAME?</v>
      </c>
      <c r="K19" s="345"/>
      <c r="L19" s="346" t="s">
        <v>876</v>
      </c>
      <c r="M19" s="347" t="n">
        <f aca="true">IF($D19&lt;&gt;"Serviço","",
          IF(AUTOEVENTO="manual",$A19,
                IF(ISERROR(MATCH($A19,$A$15:OFFSET($A19,-1,0),0)),MAX($M$15:OFFSET(M19,-1,0))+1,
                      INDEX($M$15:OFFSET(M19,-1,0),MATCH($A19,$A$15:OFFSET($A19,-1,0),0)))))</f>
        <v>1</v>
      </c>
      <c r="N19" s="348" t="str">
        <f aca="true">IF($D19&lt;&gt;"Serviço","",
         IF(AUTOEVENTO="Manual",
                IF($A19=0,"&lt;-- defina o número do agrupador",
                       OFFSET(EVENTOS!$D$15,$A19-$A$15,0)),
                OFFSET($F$15,$A19,0)))</f>
        <v>SERVIÇOS PRELIMINARES</v>
      </c>
      <c r="O19" s="349"/>
      <c r="Q19" s="349" t="n">
        <v>144</v>
      </c>
      <c r="R19" s="350" t="n">
        <v>144</v>
      </c>
      <c r="S19" s="350"/>
      <c r="T19" s="350"/>
      <c r="U19" s="350"/>
      <c r="V19" s="350"/>
      <c r="W19" s="350"/>
      <c r="X19" s="350"/>
      <c r="Y19" s="350"/>
      <c r="Z19" s="351"/>
      <c r="AA19" s="350"/>
      <c r="AB19" s="350"/>
      <c r="AC19" s="350"/>
      <c r="AD19" s="350"/>
      <c r="AE19" s="350"/>
      <c r="AF19" s="350"/>
      <c r="AG19" s="350"/>
      <c r="AH19" s="351"/>
      <c r="AI19" s="350"/>
      <c r="AJ19" s="350"/>
      <c r="AK19" s="350"/>
      <c r="AL19" s="350"/>
      <c r="AM19" s="350"/>
      <c r="AN19" s="350"/>
      <c r="AO19" s="350"/>
      <c r="AP19" s="351"/>
      <c r="AR19" s="352" t="n">
        <f aca="true">IF(AND($D19="Serviço",AR$12&lt;&gt;0,$H19&gt;0,OR(AUTOEVENTO&lt;&gt;"manual",$M19&lt;&gt;$A$15)),
        IF(Import.TipoArredondamento&lt;&gt;"TransfereGOV",
              ROUND(OFFSET($P19,0,AR$13),15-13*ORÇAMENTO!$AF$7)/$H19*OFFSET(ORÇAMENTO!$X$15,ROW(AR19)-ROW(AR$15),0),
              ROUND(ROUND(OFFSET($P19,0,AR$13),15-13*ORÇAMENTO!$AF$7)*OFFSET(ORÇAMENTO!$W$15,ROW(AR19)-ROW(AR$15),0),15-13*ORÇAMENTO!$AF$11)),
         0)</f>
        <v>12996</v>
      </c>
      <c r="AS19" s="352" t="n">
        <f aca="true">IF(AND($D19="Serviço",AS$12&lt;&gt;0,$H19&gt;0,OR(AUTOEVENTO&lt;&gt;"manual",$M19&lt;&gt;$A$15)),
        IF(Import.TipoArredondamento&lt;&gt;"TransfereGOV",
              ROUND(OFFSET($P19,0,AS$13),15-13*ORÇAMENTO!$AF$7)/$H19*OFFSET(ORÇAMENTO!$X$15,ROW(AS19)-ROW(AS$15),0),
              ROUND(ROUND(OFFSET($P19,0,AS$13),15-13*ORÇAMENTO!$AF$7)*OFFSET(ORÇAMENTO!$W$15,ROW(AS19)-ROW(AS$15),0),15-13*ORÇAMENTO!$AF$11)),
         0)</f>
        <v>12996</v>
      </c>
      <c r="AT19" s="352" t="n">
        <f aca="true">IF(AND($D19="Serviço",AT$12&lt;&gt;0,$H19&gt;0,OR(AUTOEVENTO&lt;&gt;"manual",$M19&lt;&gt;$A$15)),
        IF(Import.TipoArredondamento&lt;&gt;"TransfereGOV",
              ROUND(OFFSET($P19,0,AT$13),15-13*ORÇAMENTO!$AF$7)/$H19*OFFSET(ORÇAMENTO!$X$15,ROW(AT19)-ROW(AT$15),0),
              ROUND(ROUND(OFFSET($P19,0,AT$13),15-13*ORÇAMENTO!$AF$7)*OFFSET(ORÇAMENTO!$W$15,ROW(AT19)-ROW(AT$15),0),15-13*ORÇAMENTO!$AF$11)),
         0)</f>
        <v>0</v>
      </c>
      <c r="AU19" s="352" t="n">
        <f aca="true">IF(AND($D19="Serviço",AU$12&lt;&gt;0,$H19&gt;0,OR(AUTOEVENTO&lt;&gt;"manual",$M19&lt;&gt;$A$15)),
        IF(Import.TipoArredondamento&lt;&gt;"TransfereGOV",
              ROUND(OFFSET($P19,0,AU$13),15-13*ORÇAMENTO!$AF$7)/$H19*OFFSET(ORÇAMENTO!$X$15,ROW(AU19)-ROW(AU$15),0),
              ROUND(ROUND(OFFSET($P19,0,AU$13),15-13*ORÇAMENTO!$AF$7)*OFFSET(ORÇAMENTO!$W$15,ROW(AU19)-ROW(AU$15),0),15-13*ORÇAMENTO!$AF$11)),
         0)</f>
        <v>0</v>
      </c>
      <c r="AV19" s="352" t="n">
        <f aca="true">IF(AND($D19="Serviço",AV$12&lt;&gt;0,$H19&gt;0,OR(AUTOEVENTO&lt;&gt;"manual",$M19&lt;&gt;$A$15)),
        IF(Import.TipoArredondamento&lt;&gt;"TransfereGOV",
              ROUND(OFFSET($P19,0,AV$13),15-13*ORÇAMENTO!$AF$7)/$H19*OFFSET(ORÇAMENTO!$X$15,ROW(AV19)-ROW(AV$15),0),
              ROUND(ROUND(OFFSET($P19,0,AV$13),15-13*ORÇAMENTO!$AF$7)*OFFSET(ORÇAMENTO!$W$15,ROW(AV19)-ROW(AV$15),0),15-13*ORÇAMENTO!$AF$11)),
         0)</f>
        <v>0</v>
      </c>
      <c r="AW19" s="352" t="n">
        <f aca="true">IF(AND($D19="Serviço",AW$12&lt;&gt;0,$H19&gt;0,OR(AUTOEVENTO&lt;&gt;"manual",$M19&lt;&gt;$A$15)),
        IF(Import.TipoArredondamento&lt;&gt;"TransfereGOV",
              ROUND(OFFSET($P19,0,AW$13),15-13*ORÇAMENTO!$AF$7)/$H19*OFFSET(ORÇAMENTO!$X$15,ROW(AW19)-ROW(AW$15),0),
              ROUND(ROUND(OFFSET($P19,0,AW$13),15-13*ORÇAMENTO!$AF$7)*OFFSET(ORÇAMENTO!$W$15,ROW(AW19)-ROW(AW$15),0),15-13*ORÇAMENTO!$AF$11)),
         0)</f>
        <v>0</v>
      </c>
      <c r="AX19" s="352" t="n">
        <f aca="true">IF(AND($D19="Serviço",AX$12&lt;&gt;0,$H19&gt;0,OR(AUTOEVENTO&lt;&gt;"manual",$M19&lt;&gt;$A$15)),
        IF(Import.TipoArredondamento&lt;&gt;"TransfereGOV",
              ROUND(OFFSET($P19,0,AX$13),15-13*ORÇAMENTO!$AF$7)/$H19*OFFSET(ORÇAMENTO!$X$15,ROW(AX19)-ROW(AX$15),0),
              ROUND(ROUND(OFFSET($P19,0,AX$13),15-13*ORÇAMENTO!$AF$7)*OFFSET(ORÇAMENTO!$W$15,ROW(AX19)-ROW(AX$15),0),15-13*ORÇAMENTO!$AF$11)),
         0)</f>
        <v>0</v>
      </c>
      <c r="AY19" s="352" t="n">
        <f aca="true">IF(AND($D19="Serviço",AY$12&lt;&gt;0,$H19&gt;0,OR(AUTOEVENTO&lt;&gt;"manual",$M19&lt;&gt;$A$15)),
        IF(Import.TipoArredondamento&lt;&gt;"TransfereGOV",
              ROUND(OFFSET($P19,0,AY$13),15-13*ORÇAMENTO!$AF$7)/$H19*OFFSET(ORÇAMENTO!$X$15,ROW(AY19)-ROW(AY$15),0),
              ROUND(ROUND(OFFSET($P19,0,AY$13),15-13*ORÇAMENTO!$AF$7)*OFFSET(ORÇAMENTO!$W$15,ROW(AY19)-ROW(AY$15),0),15-13*ORÇAMENTO!$AF$11)),
         0)</f>
        <v>0</v>
      </c>
      <c r="AZ19" s="352" t="n">
        <f aca="true">IF(AND($D19="Serviço",AZ$12&lt;&gt;0,$H19&gt;0,OR(AUTOEVENTO&lt;&gt;"manual",$M19&lt;&gt;$A$15)),
        IF(Import.TipoArredondamento&lt;&gt;"TransfereGOV",
              ROUND(OFFSET($P19,0,AZ$13),15-13*ORÇAMENTO!$AF$7)/$H19*OFFSET(ORÇAMENTO!$X$15,ROW(AZ19)-ROW(AZ$15),0),
              ROUND(ROUND(OFFSET($P19,0,AZ$13),15-13*ORÇAMENTO!$AF$7)*OFFSET(ORÇAMENTO!$W$15,ROW(AZ19)-ROW(AZ$15),0),15-13*ORÇAMENTO!$AF$11)),
         0)</f>
        <v>0</v>
      </c>
      <c r="BA19" s="352" t="n">
        <f aca="true">IF(AND($D19="Serviço",BA$12&lt;&gt;0,$H19&gt;0,OR(AUTOEVENTO&lt;&gt;"manual",$M19&lt;&gt;$A$15)),
        IF(Import.TipoArredondamento&lt;&gt;"TransfereGOV",
              ROUND(OFFSET($P19,0,BA$13),15-13*ORÇAMENTO!$AF$7)/$H19*OFFSET(ORÇAMENTO!$X$15,ROW(BA19)-ROW(BA$15),0),
              ROUND(ROUND(OFFSET($P19,0,BA$13),15-13*ORÇAMENTO!$AF$7)*OFFSET(ORÇAMENTO!$W$15,ROW(BA19)-ROW(BA$15),0),15-13*ORÇAMENTO!$AF$11)),
         0)</f>
        <v>0</v>
      </c>
      <c r="BB19" s="352" t="n">
        <f aca="true">IF(AND($D19="Serviço",BB$12&lt;&gt;0,$H19&gt;0,OR(AUTOEVENTO&lt;&gt;"manual",$M19&lt;&gt;$A$15)),
        IF(Import.TipoArredondamento&lt;&gt;"TransfereGOV",
              ROUND(OFFSET($P19,0,BB$13),15-13*ORÇAMENTO!$AF$7)/$H19*OFFSET(ORÇAMENTO!$X$15,ROW(BB19)-ROW(BB$15),0),
              ROUND(ROUND(OFFSET($P19,0,BB$13),15-13*ORÇAMENTO!$AF$7)*OFFSET(ORÇAMENTO!$W$15,ROW(BB19)-ROW(BB$15),0),15-13*ORÇAMENTO!$AF$11)),
         0)</f>
        <v>0</v>
      </c>
      <c r="BC19" s="352" t="n">
        <f aca="true">IF(AND($D19="Serviço",BC$12&lt;&gt;0,$H19&gt;0,OR(AUTOEVENTO&lt;&gt;"manual",$M19&lt;&gt;$A$15)),
        IF(Import.TipoArredondamento&lt;&gt;"TransfereGOV",
              ROUND(OFFSET($P19,0,BC$13),15-13*ORÇAMENTO!$AF$7)/$H19*OFFSET(ORÇAMENTO!$X$15,ROW(BC19)-ROW(BC$15),0),
              ROUND(ROUND(OFFSET($P19,0,BC$13),15-13*ORÇAMENTO!$AF$7)*OFFSET(ORÇAMENTO!$W$15,ROW(BC19)-ROW(BC$15),0),15-13*ORÇAMENTO!$AF$11)),
         0)</f>
        <v>0</v>
      </c>
      <c r="BD19" s="352" t="n">
        <f aca="true">IF(AND($D19="Serviço",BD$12&lt;&gt;0,$H19&gt;0,OR(AUTOEVENTO&lt;&gt;"manual",$M19&lt;&gt;$A$15)),
        IF(Import.TipoArredondamento&lt;&gt;"TransfereGOV",
              ROUND(OFFSET($P19,0,BD$13),15-13*ORÇAMENTO!$AF$7)/$H19*OFFSET(ORÇAMENTO!$X$15,ROW(BD19)-ROW(BD$15),0),
              ROUND(ROUND(OFFSET($P19,0,BD$13),15-13*ORÇAMENTO!$AF$7)*OFFSET(ORÇAMENTO!$W$15,ROW(BD19)-ROW(BD$15),0),15-13*ORÇAMENTO!$AF$11)),
         0)</f>
        <v>0</v>
      </c>
      <c r="BE19" s="352" t="n">
        <f aca="true">IF(AND($D19="Serviço",BE$12&lt;&gt;0,$H19&gt;0,OR(AUTOEVENTO&lt;&gt;"manual",$M19&lt;&gt;$A$15)),
        IF(Import.TipoArredondamento&lt;&gt;"TransfereGOV",
              ROUND(OFFSET($P19,0,BE$13),15-13*ORÇAMENTO!$AF$7)/$H19*OFFSET(ORÇAMENTO!$X$15,ROW(BE19)-ROW(BE$15),0),
              ROUND(ROUND(OFFSET($P19,0,BE$13),15-13*ORÇAMENTO!$AF$7)*OFFSET(ORÇAMENTO!$W$15,ROW(BE19)-ROW(BE$15),0),15-13*ORÇAMENTO!$AF$11)),
         0)</f>
        <v>0</v>
      </c>
      <c r="BF19" s="352" t="n">
        <f aca="true">IF(AND($D19="Serviço",BF$12&lt;&gt;0,$H19&gt;0,OR(AUTOEVENTO&lt;&gt;"manual",$M19&lt;&gt;$A$15)),
        IF(Import.TipoArredondamento&lt;&gt;"TransfereGOV",
              ROUND(OFFSET($P19,0,BF$13),15-13*ORÇAMENTO!$AF$7)/$H19*OFFSET(ORÇAMENTO!$X$15,ROW(BF19)-ROW(BF$15),0),
              ROUND(ROUND(OFFSET($P19,0,BF$13),15-13*ORÇAMENTO!$AF$7)*OFFSET(ORÇAMENTO!$W$15,ROW(BF19)-ROW(BF$15),0),15-13*ORÇAMENTO!$AF$11)),
         0)</f>
        <v>0</v>
      </c>
      <c r="BG19" s="352" t="n">
        <f aca="true">IF(AND($D19="Serviço",BG$12&lt;&gt;0,$H19&gt;0,OR(AUTOEVENTO&lt;&gt;"manual",$M19&lt;&gt;$A$15)),
        IF(Import.TipoArredondamento&lt;&gt;"TransfereGOV",
              ROUND(OFFSET($P19,0,BG$13),15-13*ORÇAMENTO!$AF$7)/$H19*OFFSET(ORÇAMENTO!$X$15,ROW(BG19)-ROW(BG$15),0),
              ROUND(ROUND(OFFSET($P19,0,BG$13),15-13*ORÇAMENTO!$AF$7)*OFFSET(ORÇAMENTO!$W$15,ROW(BG19)-ROW(BG$15),0),15-13*ORÇAMENTO!$AF$11)),
         0)</f>
        <v>0</v>
      </c>
      <c r="BH19" s="352" t="n">
        <f aca="true">IF(AND($D19="Serviço",BH$12&lt;&gt;0,$H19&gt;0,OR(AUTOEVENTO&lt;&gt;"manual",$M19&lt;&gt;$A$15)),
        IF(Import.TipoArredondamento&lt;&gt;"TransfereGOV",
              ROUND(OFFSET($P19,0,BH$13),15-13*ORÇAMENTO!$AF$7)/$H19*OFFSET(ORÇAMENTO!$X$15,ROW(BH19)-ROW(BH$15),0),
              ROUND(ROUND(OFFSET($P19,0,BH$13),15-13*ORÇAMENTO!$AF$7)*OFFSET(ORÇAMENTO!$W$15,ROW(BH19)-ROW(BH$15),0),15-13*ORÇAMENTO!$AF$11)),
         0)</f>
        <v>0</v>
      </c>
      <c r="BI19" s="352" t="n">
        <f aca="true">IF(AND($D19="Serviço",BI$12&lt;&gt;0,$H19&gt;0,OR(AUTOEVENTO&lt;&gt;"manual",$M19&lt;&gt;$A$15)),
        IF(Import.TipoArredondamento&lt;&gt;"TransfereGOV",
              ROUND(OFFSET($P19,0,BI$13),15-13*ORÇAMENTO!$AF$7)/$H19*OFFSET(ORÇAMENTO!$X$15,ROW(BI19)-ROW(BI$15),0),
              ROUND(ROUND(OFFSET($P19,0,BI$13),15-13*ORÇAMENTO!$AF$7)*OFFSET(ORÇAMENTO!$W$15,ROW(BI19)-ROW(BI$15),0),15-13*ORÇAMENTO!$AF$11)),
         0)</f>
        <v>0</v>
      </c>
      <c r="BJ19" s="352" t="n">
        <f aca="true">IF(AND($D19="Serviço",BJ$12&lt;&gt;0,$H19&gt;0,OR(AUTOEVENTO&lt;&gt;"manual",$M19&lt;&gt;$A$15)),
        IF(Import.TipoArredondamento&lt;&gt;"TransfereGOV",
              ROUND(OFFSET($P19,0,BJ$13),15-13*ORÇAMENTO!$AF$7)/$H19*OFFSET(ORÇAMENTO!$X$15,ROW(BJ19)-ROW(BJ$15),0),
              ROUND(ROUND(OFFSET($P19,0,BJ$13),15-13*ORÇAMENTO!$AF$7)*OFFSET(ORÇAMENTO!$W$15,ROW(BJ19)-ROW(BJ$15),0),15-13*ORÇAMENTO!$AF$11)),
         0)</f>
        <v>0</v>
      </c>
      <c r="BK19" s="352" t="n">
        <f aca="true">IF(AND($D19="Serviço",BK$12&lt;&gt;0,$H19&gt;0,OR(AUTOEVENTO&lt;&gt;"manual",$M19&lt;&gt;$A$15)),
        IF(Import.TipoArredondamento&lt;&gt;"TransfereGOV",
              ROUND(OFFSET($P19,0,BK$13),15-13*ORÇAMENTO!$AF$7)/$H19*OFFSET(ORÇAMENTO!$X$15,ROW(BK19)-ROW(BK$15),0),
              ROUND(ROUND(OFFSET($P19,0,BK$13),15-13*ORÇAMENTO!$AF$7)*OFFSET(ORÇAMENTO!$W$15,ROW(BK19)-ROW(BK$15),0),15-13*ORÇAMENTO!$AF$11)),
         0)</f>
        <v>0</v>
      </c>
      <c r="BL19" s="352" t="n">
        <f aca="true">IF(AND($D19="Serviço",BL$12&lt;&gt;0,$H19&gt;0,OR(AUTOEVENTO&lt;&gt;"manual",$M19&lt;&gt;$A$15)),
        IF(Import.TipoArredondamento&lt;&gt;"TransfereGOV",
              ROUND(OFFSET($P19,0,BL$13),15-13*ORÇAMENTO!$AF$7)/$H19*OFFSET(ORÇAMENTO!$X$15,ROW(BL19)-ROW(BL$15),0),
              ROUND(ROUND(OFFSET($P19,0,BL$13),15-13*ORÇAMENTO!$AF$7)*OFFSET(ORÇAMENTO!$W$15,ROW(BL19)-ROW(BL$15),0),15-13*ORÇAMENTO!$AF$11)),
         0)</f>
        <v>0</v>
      </c>
      <c r="BM19" s="352" t="n">
        <f aca="true">IF(AND($D19="Serviço",BM$12&lt;&gt;0,$H19&gt;0,OR(AUTOEVENTO&lt;&gt;"manual",$M19&lt;&gt;$A$15)),
        IF(Import.TipoArredondamento&lt;&gt;"TransfereGOV",
              ROUND(OFFSET($P19,0,BM$13),15-13*ORÇAMENTO!$AF$7)/$H19*OFFSET(ORÇAMENTO!$X$15,ROW(BM19)-ROW(BM$15),0),
              ROUND(ROUND(OFFSET($P19,0,BM$13),15-13*ORÇAMENTO!$AF$7)*OFFSET(ORÇAMENTO!$W$15,ROW(BM19)-ROW(BM$15),0),15-13*ORÇAMENTO!$AF$11)),
         0)</f>
        <v>0</v>
      </c>
      <c r="BN19" s="352" t="n">
        <f aca="true">IF(AND($D19="Serviço",BN$12&lt;&gt;0,$H19&gt;0,OR(AUTOEVENTO&lt;&gt;"manual",$M19&lt;&gt;$A$15)),
        IF(Import.TipoArredondamento&lt;&gt;"TransfereGOV",
              ROUND(OFFSET($P19,0,BN$13),15-13*ORÇAMENTO!$AF$7)/$H19*OFFSET(ORÇAMENTO!$X$15,ROW(BN19)-ROW(BN$15),0),
              ROUND(ROUND(OFFSET($P19,0,BN$13),15-13*ORÇAMENTO!$AF$7)*OFFSET(ORÇAMENTO!$W$15,ROW(BN19)-ROW(BN$15),0),15-13*ORÇAMENTO!$AF$11)),
         0)</f>
        <v>0</v>
      </c>
      <c r="BO19" s="352" t="n">
        <f aca="true">IF(AND($D19="Serviço",BO$12&lt;&gt;0,$H19&gt;0,OR(AUTOEVENTO&lt;&gt;"manual",$M19&lt;&gt;$A$15)),
        IF(Import.TipoArredondamento&lt;&gt;"TransfereGOV",
              ROUND(OFFSET($P19,0,BO$13),15-13*ORÇAMENTO!$AF$7)/$H19*OFFSET(ORÇAMENTO!$X$15,ROW(BO19)-ROW(BO$15),0),
              ROUND(ROUND(OFFSET($P19,0,BO$13),15-13*ORÇAMENTO!$AF$7)*OFFSET(ORÇAMENTO!$W$15,ROW(BO19)-ROW(BO$15),0),15-13*ORÇAMENTO!$AF$11)),
         0)</f>
        <v>0</v>
      </c>
      <c r="BP19" s="352" t="n">
        <f aca="true">IF(AND($D19="Serviço",BP$12&lt;&gt;0,$H19&gt;0,OR(AUTOEVENTO&lt;&gt;"manual",$M19&lt;&gt;$A$15)),
        IF(Import.TipoArredondamento&lt;&gt;"TransfereGOV",
              ROUND(OFFSET($P19,0,BP$13),15-13*ORÇAMENTO!$AF$7)/$H19*OFFSET(ORÇAMENTO!$X$15,ROW(BP19)-ROW(BP$15),0),
              ROUND(ROUND(OFFSET($P19,0,BP$13),15-13*ORÇAMENTO!$AF$7)*OFFSET(ORÇAMENTO!$W$15,ROW(BP19)-ROW(BP$15),0),15-13*ORÇAMENTO!$AF$11)),
         0)</f>
        <v>0</v>
      </c>
      <c r="BQ19" s="352" t="n">
        <f aca="true">IF(AND($D19="Serviço",BQ$12&lt;&gt;0,$H19&gt;0,OR(AUTOEVENTO&lt;&gt;"manual",$M19&lt;&gt;$A$15)),
        IF(Import.TipoArredondamento&lt;&gt;"TransfereGOV",
              ROUND(OFFSET($P19,0,BQ$13),15-13*ORÇAMENTO!$AF$7)/$H19*OFFSET(ORÇAMENTO!$X$15,ROW(BQ19)-ROW(BQ$15),0),
              ROUND(ROUND(OFFSET($P19,0,BQ$13),15-13*ORÇAMENTO!$AF$7)*OFFSET(ORÇAMENTO!$W$15,ROW(BQ19)-ROW(BQ$15),0),15-13*ORÇAMENTO!$AF$11)),
         0)</f>
        <v>0</v>
      </c>
      <c r="BS19" s="353" t="n">
        <f aca="true">IF(OR($D19&lt;&gt;"Serviço",AND(AUTOEVENTO="Manual",$M19=$A$15)),0,
         IF(OFFSET(CRONOPLE!$F$15,$M19-$A$15,BS$13)=0,10^12,OFFSET(CRONOPLE!$F$15,$M19-$A$15,BS$13)))</f>
        <v>1</v>
      </c>
      <c r="BT19" s="353" t="n">
        <f aca="true">IF(OR($D19&lt;&gt;"Serviço",AND(AUTOEVENTO="Manual",$M19=$A$15)),0,
         IF(OFFSET(CRONOPLE!$F$15,$M19-$A$15,BT$13)=0,10^12,OFFSET(CRONOPLE!$F$15,$M19-$A$15,BT$13)))</f>
        <v>2</v>
      </c>
      <c r="BU19" s="353" t="n">
        <f aca="true">IF(OR($D19&lt;&gt;"Serviço",AND(AUTOEVENTO="Manual",$M19=$A$15)),0,
         IF(OFFSET(CRONOPLE!$F$15,$M19-$A$15,BU$13)=0,10^12,OFFSET(CRONOPLE!$F$15,$M19-$A$15,BU$13)))</f>
        <v>3</v>
      </c>
      <c r="BV19" s="353" t="n">
        <f aca="true">IF(OR($D19&lt;&gt;"Serviço",AND(AUTOEVENTO="Manual",$M19=$A$15)),0,
         IF(OFFSET(CRONOPLE!$F$15,$M19-$A$15,BV$13)=0,10^12,OFFSET(CRONOPLE!$F$15,$M19-$A$15,BV$13)))</f>
        <v>4</v>
      </c>
      <c r="BW19" s="353" t="n">
        <f aca="true">IF(OR($D19&lt;&gt;"Serviço",AND(AUTOEVENTO="Manual",$M19=$A$15)),0,
         IF(OFFSET(CRONOPLE!$F$15,$M19-$A$15,BW$13)=0,10^12,OFFSET(CRONOPLE!$F$15,$M19-$A$15,BW$13)))</f>
        <v>5</v>
      </c>
      <c r="BX19" s="353" t="n">
        <f aca="true">IF(OR($D19&lt;&gt;"Serviço",AND(AUTOEVENTO="Manual",$M19=$A$15)),0,
         IF(OFFSET(CRONOPLE!$F$15,$M19-$A$15,BX$13)=0,10^12,OFFSET(CRONOPLE!$F$15,$M19-$A$15,BX$13)))</f>
        <v>6</v>
      </c>
      <c r="BY19" s="353" t="n">
        <f aca="true">IF(OR($D19&lt;&gt;"Serviço",AND(AUTOEVENTO="Manual",$M19=$A$15)),0,
         IF(OFFSET(CRONOPLE!$F$15,$M19-$A$15,BY$13)=0,10^12,OFFSET(CRONOPLE!$F$15,$M19-$A$15,BY$13)))</f>
        <v>7</v>
      </c>
      <c r="BZ19" s="353" t="n">
        <f aca="true">IF(OR($D19&lt;&gt;"Serviço",AND(AUTOEVENTO="Manual",$M19=$A$15)),0,
         IF(OFFSET(CRONOPLE!$F$15,$M19-$A$15,BZ$13)=0,10^12,OFFSET(CRONOPLE!$F$15,$M19-$A$15,BZ$13)))</f>
        <v>8</v>
      </c>
      <c r="CA19" s="353" t="n">
        <f aca="true">IF(OR($D19&lt;&gt;"Serviço",AND(AUTOEVENTO="Manual",$M19=$A$15)),0,
         IF(OFFSET(CRONOPLE!$F$15,$M19-$A$15,CA$13)=0,10^12,OFFSET(CRONOPLE!$F$15,$M19-$A$15,CA$13)))</f>
        <v>9</v>
      </c>
      <c r="CB19" s="353" t="n">
        <f aca="true">IF(OR($D19&lt;&gt;"Serviço",AND(AUTOEVENTO="Manual",$M19=$A$15)),0,
         IF(OFFSET(CRONOPLE!$F$15,$M19-$A$15,CB$13)=0,10^12,OFFSET(CRONOPLE!$F$15,$M19-$A$15,CB$13)))</f>
        <v>10</v>
      </c>
      <c r="CC19" s="353" t="n">
        <f aca="true">IF(OR($D19&lt;&gt;"Serviço",AND(AUTOEVENTO="Manual",$M19=$A$15)),0,
         IF(OFFSET(CRONOPLE!$F$15,$M19-$A$15,CC$13)=0,10^12,OFFSET(CRONOPLE!$F$15,$M19-$A$15,CC$13)))</f>
        <v>11</v>
      </c>
      <c r="CD19" s="353" t="n">
        <f aca="true">IF(OR($D19&lt;&gt;"Serviço",AND(AUTOEVENTO="Manual",$M19=$A$15)),0,
         IF(OFFSET(CRONOPLE!$F$15,$M19-$A$15,CD$13)=0,10^12,OFFSET(CRONOPLE!$F$15,$M19-$A$15,CD$13)))</f>
        <v>12</v>
      </c>
      <c r="CE19" s="353" t="n">
        <f aca="true">IF(OR($D19&lt;&gt;"Serviço",AND(AUTOEVENTO="Manual",$M19=$A$15)),0,
         IF(OFFSET(CRONOPLE!$F$15,$M19-$A$15,CE$13)=0,10^12,OFFSET(CRONOPLE!$F$15,$M19-$A$15,CE$13)))</f>
        <v>13</v>
      </c>
      <c r="CF19" s="353" t="n">
        <f aca="true">IF(OR($D19&lt;&gt;"Serviço",AND(AUTOEVENTO="Manual",$M19=$A$15)),0,
         IF(OFFSET(CRONOPLE!$F$15,$M19-$A$15,CF$13)=0,10^12,OFFSET(CRONOPLE!$F$15,$M19-$A$15,CF$13)))</f>
        <v>14</v>
      </c>
      <c r="CG19" s="353" t="n">
        <f aca="true">IF(OR($D19&lt;&gt;"Serviço",AND(AUTOEVENTO="Manual",$M19=$A$15)),0,
         IF(OFFSET(CRONOPLE!$F$15,$M19-$A$15,CG$13)=0,10^12,OFFSET(CRONOPLE!$F$15,$M19-$A$15,CG$13)))</f>
        <v>15</v>
      </c>
      <c r="CH19" s="353" t="n">
        <f aca="true">IF(OR($D19&lt;&gt;"Serviço",AND(AUTOEVENTO="Manual",$M19=$A$15)),0,
         IF(OFFSET(CRONOPLE!$F$15,$M19-$A$15,CH$13)=0,10^12,OFFSET(CRONOPLE!$F$15,$M19-$A$15,CH$13)))</f>
        <v>16</v>
      </c>
      <c r="CI19" s="353" t="n">
        <f aca="true">IF(OR($D19&lt;&gt;"Serviço",AND(AUTOEVENTO="Manual",$M19=$A$15)),0,
         IF(OFFSET(CRONOPLE!$F$15,$M19-$A$15,CI$13)=0,10^12,OFFSET(CRONOPLE!$F$15,$M19-$A$15,CI$13)))</f>
        <v>17</v>
      </c>
      <c r="CJ19" s="353" t="n">
        <f aca="true">IF(OR($D19&lt;&gt;"Serviço",AND(AUTOEVENTO="Manual",$M19=$A$15)),0,
         IF(OFFSET(CRONOPLE!$F$15,$M19-$A$15,CJ$13)=0,10^12,OFFSET(CRONOPLE!$F$15,$M19-$A$15,CJ$13)))</f>
        <v>18</v>
      </c>
      <c r="CK19" s="353" t="n">
        <f aca="true">IF(OR($D19&lt;&gt;"Serviço",AND(AUTOEVENTO="Manual",$M19=$A$15)),0,
         IF(OFFSET(CRONOPLE!$F$15,$M19-$A$15,CK$13)=0,10^12,OFFSET(CRONOPLE!$F$15,$M19-$A$15,CK$13)))</f>
        <v>19</v>
      </c>
      <c r="CL19" s="353" t="n">
        <f aca="true">IF(OR($D19&lt;&gt;"Serviço",AND(AUTOEVENTO="Manual",$M19=$A$15)),0,
         IF(OFFSET(CRONOPLE!$F$15,$M19-$A$15,CL$13)=0,10^12,OFFSET(CRONOPLE!$F$15,$M19-$A$15,CL$13)))</f>
        <v>20</v>
      </c>
      <c r="CM19" s="353" t="n">
        <f aca="true">IF(OR($D19&lt;&gt;"Serviço",AND(AUTOEVENTO="Manual",$M19=$A$15)),0,
         IF(OFFSET(CRONOPLE!$F$15,$M19-$A$15,CM$13)=0,10^12,OFFSET(CRONOPLE!$F$15,$M19-$A$15,CM$13)))</f>
        <v>21</v>
      </c>
      <c r="CN19" s="353" t="n">
        <f aca="true">IF(OR($D19&lt;&gt;"Serviço",AND(AUTOEVENTO="Manual",$M19=$A$15)),0,
         IF(OFFSET(CRONOPLE!$F$15,$M19-$A$15,CN$13)=0,10^12,OFFSET(CRONOPLE!$F$15,$M19-$A$15,CN$13)))</f>
        <v>22</v>
      </c>
      <c r="CO19" s="353" t="n">
        <f aca="true">IF(OR($D19&lt;&gt;"Serviço",AND(AUTOEVENTO="Manual",$M19=$A$15)),0,
         IF(OFFSET(CRONOPLE!$F$15,$M19-$A$15,CO$13)=0,10^12,OFFSET(CRONOPLE!$F$15,$M19-$A$15,CO$13)))</f>
        <v>23</v>
      </c>
      <c r="CP19" s="353" t="n">
        <f aca="true">IF(OR($D19&lt;&gt;"Serviço",AND(AUTOEVENTO="Manual",$M19=$A$15)),0,
         IF(OFFSET(CRONOPLE!$F$15,$M19-$A$15,CP$13)=0,10^12,OFFSET(CRONOPLE!$F$15,$M19-$A$15,CP$13)))</f>
        <v>24</v>
      </c>
      <c r="CQ19" s="353" t="n">
        <f aca="true">IF(OR($D19&lt;&gt;"Serviço",AND(AUTOEVENTO="Manual",$M19=$A$15)),0,
         IF(OFFSET(CRONOPLE!$F$15,$M19-$A$15,CQ$13)=0,10^12,OFFSET(CRONOPLE!$F$15,$M19-$A$15,CQ$13)))</f>
        <v>25</v>
      </c>
      <c r="CR19" s="353" t="n">
        <f aca="true">IF(OR($D19&lt;&gt;"Serviço",AND(AUTOEVENTO="Manual",$M19=$A$15)),0,
         IF(OFFSET(CRONOPLE!$F$15,$M19-$A$15,CR$13)=0,10^12,OFFSET(CRONOPLE!$F$15,$M19-$A$15,CR$13)))</f>
        <v>1000000000000</v>
      </c>
      <c r="CT19" s="354" t="n">
        <f aca="true">IF(OR($D19&lt;&gt;"Serviço",AND(AUTOEVENTO="Manual",$M19=$A$15),$M19&gt;(ROW(PLE.lastrow)-ROW(PLE.firstrow))),0,
           IF(OFFSET(PLE!$G$15,$M19-$A$15,CT$13)="",10^12,OFFSET(PLE!$G$15,$M19-$A$15,CT$13)))</f>
        <v>1000000000000</v>
      </c>
      <c r="CU19" s="354" t="n">
        <f aca="true">IF(OR($D19&lt;&gt;"Serviço",AND(AUTOEVENTO="Manual",$M19=$A$15),$M19&gt;(ROW(PLE.lastrow)-ROW(PLE.firstrow))),0,
           IF(OFFSET(PLE!$G$15,$M19-$A$15,CU$13)="",10^12,OFFSET(PLE!$G$15,$M19-$A$15,CU$13)))</f>
        <v>1000000000000</v>
      </c>
      <c r="CV19" s="354" t="n">
        <f aca="true">IF(OR($D19&lt;&gt;"Serviço",AND(AUTOEVENTO="Manual",$M19=$A$15),$M19&gt;(ROW(PLE.lastrow)-ROW(PLE.firstrow))),0,
           IF(OFFSET(PLE!$G$15,$M19-$A$15,CV$13)="",10^12,OFFSET(PLE!$G$15,$M19-$A$15,CV$13)))</f>
        <v>1000000000000</v>
      </c>
      <c r="CW19" s="354" t="n">
        <f aca="true">IF(OR($D19&lt;&gt;"Serviço",AND(AUTOEVENTO="Manual",$M19=$A$15),$M19&gt;(ROW(PLE.lastrow)-ROW(PLE.firstrow))),0,
           IF(OFFSET(PLE!$G$15,$M19-$A$15,CW$13)="",10^12,OFFSET(PLE!$G$15,$M19-$A$15,CW$13)))</f>
        <v>1000000000000</v>
      </c>
      <c r="CX19" s="354" t="n">
        <f aca="true">IF(OR($D19&lt;&gt;"Serviço",AND(AUTOEVENTO="Manual",$M19=$A$15),$M19&gt;(ROW(PLE.lastrow)-ROW(PLE.firstrow))),0,
           IF(OFFSET(PLE!$G$15,$M19-$A$15,CX$13)="",10^12,OFFSET(PLE!$G$15,$M19-$A$15,CX$13)))</f>
        <v>1000000000000</v>
      </c>
      <c r="CY19" s="354" t="n">
        <f aca="true">IF(OR($D19&lt;&gt;"Serviço",AND(AUTOEVENTO="Manual",$M19=$A$15),$M19&gt;(ROW(PLE.lastrow)-ROW(PLE.firstrow))),0,
           IF(OFFSET(PLE!$G$15,$M19-$A$15,CY$13)="",10^12,OFFSET(PLE!$G$15,$M19-$A$15,CY$13)))</f>
        <v>1000000000000</v>
      </c>
      <c r="CZ19" s="354" t="n">
        <f aca="true">IF(OR($D19&lt;&gt;"Serviço",AND(AUTOEVENTO="Manual",$M19=$A$15),$M19&gt;(ROW(PLE.lastrow)-ROW(PLE.firstrow))),0,
           IF(OFFSET(PLE!$G$15,$M19-$A$15,CZ$13)="",10^12,OFFSET(PLE!$G$15,$M19-$A$15,CZ$13)))</f>
        <v>1000000000000</v>
      </c>
      <c r="DA19" s="354" t="n">
        <f aca="true">IF(OR($D19&lt;&gt;"Serviço",AND(AUTOEVENTO="Manual",$M19=$A$15),$M19&gt;(ROW(PLE.lastrow)-ROW(PLE.firstrow))),0,
           IF(OFFSET(PLE!$G$15,$M19-$A$15,DA$13)="",10^12,OFFSET(PLE!$G$15,$M19-$A$15,DA$13)))</f>
        <v>1000000000000</v>
      </c>
      <c r="DB19" s="354" t="n">
        <f aca="true">IF(OR($D19&lt;&gt;"Serviço",AND(AUTOEVENTO="Manual",$M19=$A$15),$M19&gt;(ROW(PLE.lastrow)-ROW(PLE.firstrow))),0,
           IF(OFFSET(PLE!$G$15,$M19-$A$15,DB$13)="",10^12,OFFSET(PLE!$G$15,$M19-$A$15,DB$13)))</f>
        <v>1000000000000</v>
      </c>
      <c r="DC19" s="354" t="n">
        <f aca="true">IF(OR($D19&lt;&gt;"Serviço",AND(AUTOEVENTO="Manual",$M19=$A$15),$M19&gt;(ROW(PLE.lastrow)-ROW(PLE.firstrow))),0,
           IF(OFFSET(PLE!$G$15,$M19-$A$15,DC$13)="",10^12,OFFSET(PLE!$G$15,$M19-$A$15,DC$13)))</f>
        <v>1000000000000</v>
      </c>
      <c r="DD19" s="354" t="n">
        <f aca="true">IF(OR($D19&lt;&gt;"Serviço",AND(AUTOEVENTO="Manual",$M19=$A$15),$M19&gt;(ROW(PLE.lastrow)-ROW(PLE.firstrow))),0,
           IF(OFFSET(PLE!$G$15,$M19-$A$15,DD$13)="",10^12,OFFSET(PLE!$G$15,$M19-$A$15,DD$13)))</f>
        <v>1000000000000</v>
      </c>
      <c r="DE19" s="354" t="n">
        <f aca="true">IF(OR($D19&lt;&gt;"Serviço",AND(AUTOEVENTO="Manual",$M19=$A$15),$M19&gt;(ROW(PLE.lastrow)-ROW(PLE.firstrow))),0,
           IF(OFFSET(PLE!$G$15,$M19-$A$15,DE$13)="",10^12,OFFSET(PLE!$G$15,$M19-$A$15,DE$13)))</f>
        <v>1000000000000</v>
      </c>
      <c r="DF19" s="354" t="n">
        <f aca="true">IF(OR($D19&lt;&gt;"Serviço",AND(AUTOEVENTO="Manual",$M19=$A$15),$M19&gt;(ROW(PLE.lastrow)-ROW(PLE.firstrow))),0,
           IF(OFFSET(PLE!$G$15,$M19-$A$15,DF$13)="",10^12,OFFSET(PLE!$G$15,$M19-$A$15,DF$13)))</f>
        <v>1000000000000</v>
      </c>
      <c r="DG19" s="354" t="n">
        <f aca="true">IF(OR($D19&lt;&gt;"Serviço",AND(AUTOEVENTO="Manual",$M19=$A$15),$M19&gt;(ROW(PLE.lastrow)-ROW(PLE.firstrow))),0,
           IF(OFFSET(PLE!$G$15,$M19-$A$15,DG$13)="",10^12,OFFSET(PLE!$G$15,$M19-$A$15,DG$13)))</f>
        <v>1000000000000</v>
      </c>
      <c r="DH19" s="354" t="n">
        <f aca="true">IF(OR($D19&lt;&gt;"Serviço",AND(AUTOEVENTO="Manual",$M19=$A$15),$M19&gt;(ROW(PLE.lastrow)-ROW(PLE.firstrow))),0,
           IF(OFFSET(PLE!$G$15,$M19-$A$15,DH$13)="",10^12,OFFSET(PLE!$G$15,$M19-$A$15,DH$13)))</f>
        <v>1000000000000</v>
      </c>
      <c r="DI19" s="354" t="n">
        <f aca="true">IF(OR($D19&lt;&gt;"Serviço",AND(AUTOEVENTO="Manual",$M19=$A$15),$M19&gt;(ROW(PLE.lastrow)-ROW(PLE.firstrow))),0,
           IF(OFFSET(PLE!$G$15,$M19-$A$15,DI$13)="",10^12,OFFSET(PLE!$G$15,$M19-$A$15,DI$13)))</f>
        <v>1000000000000</v>
      </c>
      <c r="DJ19" s="354" t="n">
        <f aca="true">IF(OR($D19&lt;&gt;"Serviço",AND(AUTOEVENTO="Manual",$M19=$A$15),$M19&gt;(ROW(PLE.lastrow)-ROW(PLE.firstrow))),0,
           IF(OFFSET(PLE!$G$15,$M19-$A$15,DJ$13)="",10^12,OFFSET(PLE!$G$15,$M19-$A$15,DJ$13)))</f>
        <v>1000000000000</v>
      </c>
      <c r="DK19" s="354" t="n">
        <f aca="true">IF(OR($D19&lt;&gt;"Serviço",AND(AUTOEVENTO="Manual",$M19=$A$15),$M19&gt;(ROW(PLE.lastrow)-ROW(PLE.firstrow))),0,
           IF(OFFSET(PLE!$G$15,$M19-$A$15,DK$13)="",10^12,OFFSET(PLE!$G$15,$M19-$A$15,DK$13)))</f>
        <v>1000000000000</v>
      </c>
      <c r="DL19" s="354" t="n">
        <f aca="true">IF(OR($D19&lt;&gt;"Serviço",AND(AUTOEVENTO="Manual",$M19=$A$15),$M19&gt;(ROW(PLE.lastrow)-ROW(PLE.firstrow))),0,
           IF(OFFSET(PLE!$G$15,$M19-$A$15,DL$13)="",10^12,OFFSET(PLE!$G$15,$M19-$A$15,DL$13)))</f>
        <v>1000000000000</v>
      </c>
      <c r="DM19" s="354" t="n">
        <f aca="true">IF(OR($D19&lt;&gt;"Serviço",AND(AUTOEVENTO="Manual",$M19=$A$15),$M19&gt;(ROW(PLE.lastrow)-ROW(PLE.firstrow))),0,
           IF(OFFSET(PLE!$G$15,$M19-$A$15,DM$13)="",10^12,OFFSET(PLE!$G$15,$M19-$A$15,DM$13)))</f>
        <v>1000000000000</v>
      </c>
      <c r="DN19" s="354" t="n">
        <f aca="true">IF(OR($D19&lt;&gt;"Serviço",AND(AUTOEVENTO="Manual",$M19=$A$15),$M19&gt;(ROW(PLE.lastrow)-ROW(PLE.firstrow))),0,
           IF(OFFSET(PLE!$G$15,$M19-$A$15,DN$13)="",10^12,OFFSET(PLE!$G$15,$M19-$A$15,DN$13)))</f>
        <v>1000000000000</v>
      </c>
      <c r="DO19" s="354" t="n">
        <f aca="true">IF(OR($D19&lt;&gt;"Serviço",AND(AUTOEVENTO="Manual",$M19=$A$15),$M19&gt;(ROW(PLE.lastrow)-ROW(PLE.firstrow))),0,
           IF(OFFSET(PLE!$G$15,$M19-$A$15,DO$13)="",10^12,OFFSET(PLE!$G$15,$M19-$A$15,DO$13)))</f>
        <v>1000000000000</v>
      </c>
      <c r="DP19" s="354" t="n">
        <f aca="true">IF(OR($D19&lt;&gt;"Serviço",AND(AUTOEVENTO="Manual",$M19=$A$15),$M19&gt;(ROW(PLE.lastrow)-ROW(PLE.firstrow))),0,
           IF(OFFSET(PLE!$G$15,$M19-$A$15,DP$13)="",10^12,OFFSET(PLE!$G$15,$M19-$A$15,DP$13)))</f>
        <v>1000000000000</v>
      </c>
      <c r="DQ19" s="354" t="n">
        <f aca="true">IF(OR($D19&lt;&gt;"Serviço",AND(AUTOEVENTO="Manual",$M19=$A$15),$M19&gt;(ROW(PLE.lastrow)-ROW(PLE.firstrow))),0,
           IF(OFFSET(PLE!$G$15,$M19-$A$15,DQ$13)="",10^12,OFFSET(PLE!$G$15,$M19-$A$15,DQ$13)))</f>
        <v>1000000000000</v>
      </c>
      <c r="DR19" s="354" t="n">
        <f aca="true">IF(OR($D19&lt;&gt;"Serviço",AND(AUTOEVENTO="Manual",$M19=$A$15),$M19&gt;(ROW(PLE.lastrow)-ROW(PLE.firstrow))),0,
           IF(OFFSET(PLE!$G$15,$M19-$A$15,DR$13)="",10^12,OFFSET(PLE!$G$15,$M19-$A$15,DR$13)))</f>
        <v>1000000000000</v>
      </c>
      <c r="DS19" s="354" t="n">
        <f aca="true">IF(OR($D19&lt;&gt;"Serviço",AND(AUTOEVENTO="Manual",$M19=$A$15),$M19&gt;(ROW(PLE.lastrow)-ROW(PLE.firstrow))),0,
           IF(OFFSET(PLE!$G$15,$M19-$A$15,DS$13)="",10^12,OFFSET(PLE!$G$15,$M19-$A$15,DS$13)))</f>
        <v>1000000000000</v>
      </c>
    </row>
    <row r="20" customFormat="false" ht="46.25" hidden="false" customHeight="false" outlineLevel="0" collapsed="false">
      <c r="A20" s="50" t="str">
        <f aca="true">IFERROR(IF(AUTOEVENTO="Manual",IF(K20&lt;&gt;"",MIN(VALUE(LEFT(K20,FIND(".",K20)-1)),COUNTA(EVENTOS.Lista)),0),IF(OR($B20&gt;AUTOEVENTO,$B20="S",$B20=0),SUBSTITUTE(OFFSET($A20,-1,0),IF($D20="Serviço",".",""),""),ROW(A20)-ROW($A$15)&amp;".")),0)</f>
        <v>2</v>
      </c>
      <c r="B20" s="50" t="str">
        <f aca="true">OFFSET(ORÇAMENTO!C$15,ROW(B20)-ROW(B$15),0)</f>
        <v>S</v>
      </c>
      <c r="C20" s="50" t="str">
        <f aca="true">OFFSET(ORÇAMENTO!L$15,ROW(C20)-ROW(C$15),0)</f>
        <v>F</v>
      </c>
      <c r="D20" s="201" t="str">
        <f aca="true">OFFSET(ORÇAMENTO!N$15,ROW(D20)-ROW(D$15),0)</f>
        <v>Serviço</v>
      </c>
      <c r="E20" s="202" t="str">
        <f aca="true">OFFSET(ORÇAMENTO!O$15,ROW(E20)-ROW(E$15),0)</f>
        <v>1.1.3.</v>
      </c>
      <c r="F20" s="341" t="str">
        <f aca="true">OFFSET(ORÇAMENTO!R$15,ROW(F20)-ROW(F$15),0)</f>
        <v>LIGAÇÃO DE ÁGUA PROVISÓRIA PARA CANTEIRO, INCLUSIVE
HIDRÔMETRO E CAVALETE PARA MEDIÇÃO DE ÁGUA - ENTRADA
PRINCIPAL,EM AÇO GALVANIZADO DN 20MM (1/2") - PADRÃO
CONCESSIONÁRIA</v>
      </c>
      <c r="G20" s="342" t="str">
        <f aca="true">IF($D20&lt;&gt;"Serviço","",OFFSET(ORÇAMENTO!S$15,ROW(G20)-ROW(G$15),0))</f>
        <v>UN</v>
      </c>
      <c r="H20" s="207" t="n">
        <f aca="true">IF($D20&lt;&gt;"Serviço",0,IF(ACOMPANHAMENTO="BM",ROUND(OFFSET(ORÇAMENTO!AJ$15,ROW(H20)-ROW(H$15),0),15-13*ORÇAMENTO!$AF$7),SUMPRODUCT(($Q$1:$AQ$1=1)*ROUND($Q20:$AQ20,15-13*ORÇAMENTO!$AF$7))))</f>
        <v>1</v>
      </c>
      <c r="I20" s="343" t="s">
        <v>916</v>
      </c>
      <c r="J20" s="344" t="e">
        <f aca="false">IF(OR(B20&lt;&gt;"S",CÁLCULO.FrentesPreenchidas=0),"",IF(AND(ACOMPANHAMENTO="PLE",AUTOEVENTO="Manual",OR(H20&gt;0,ORÇAMENTO!AC20="QUANT."),OR(K20="",M20=0,N20="")),"►",IF(AND(ACOMPANHAMENTO="PLE",ORÇAMENTO!AC20="QUANT."),"►►",IF(AND(COUNTIF($P$11:$AQ$11,"▼")=0,H20&gt;0,I20=""),"◄",""))))</f>
        <v>#NAME?</v>
      </c>
      <c r="K20" s="345"/>
      <c r="L20" s="346" t="s">
        <v>876</v>
      </c>
      <c r="M20" s="347" t="n">
        <f aca="true">IF($D20&lt;&gt;"Serviço","",
          IF(AUTOEVENTO="manual",$A20,
                IF(ISERROR(MATCH($A20,$A$15:OFFSET($A20,-1,0),0)),MAX($M$15:OFFSET(M20,-1,0))+1,
                      INDEX($M$15:OFFSET(M20,-1,0),MATCH($A20,$A$15:OFFSET($A20,-1,0),0)))))</f>
        <v>1</v>
      </c>
      <c r="N20" s="348" t="str">
        <f aca="true">IF($D20&lt;&gt;"Serviço","",
         IF(AUTOEVENTO="Manual",
                IF($A20=0,"&lt;-- defina o número do agrupador",
                       OFFSET(EVENTOS!$D$15,$A20-$A$15,0)),
                OFFSET($F$15,$A20,0)))</f>
        <v>SERVIÇOS PRELIMINARES</v>
      </c>
      <c r="O20" s="349"/>
      <c r="Q20" s="349" t="n">
        <v>1</v>
      </c>
      <c r="R20" s="350"/>
      <c r="S20" s="350"/>
      <c r="T20" s="350"/>
      <c r="U20" s="350"/>
      <c r="V20" s="350"/>
      <c r="W20" s="350"/>
      <c r="X20" s="350"/>
      <c r="Y20" s="350"/>
      <c r="Z20" s="351"/>
      <c r="AA20" s="350"/>
      <c r="AB20" s="350"/>
      <c r="AC20" s="350"/>
      <c r="AD20" s="350"/>
      <c r="AE20" s="350"/>
      <c r="AF20" s="350"/>
      <c r="AG20" s="350"/>
      <c r="AH20" s="351"/>
      <c r="AI20" s="350"/>
      <c r="AJ20" s="350"/>
      <c r="AK20" s="350"/>
      <c r="AL20" s="350"/>
      <c r="AM20" s="350"/>
      <c r="AN20" s="350"/>
      <c r="AO20" s="350"/>
      <c r="AP20" s="351"/>
      <c r="AR20" s="352" t="n">
        <f aca="true">IF(AND($D20="Serviço",AR$12&lt;&gt;0,$H20&gt;0,OR(AUTOEVENTO&lt;&gt;"manual",$M20&lt;&gt;$A$15)),
        IF(Import.TipoArredondamento&lt;&gt;"TransfereGOV",
              ROUND(OFFSET($P20,0,AR$13),15-13*ORÇAMENTO!$AF$7)/$H20*OFFSET(ORÇAMENTO!$X$15,ROW(AR20)-ROW(AR$15),0),
              ROUND(ROUND(OFFSET($P20,0,AR$13),15-13*ORÇAMENTO!$AF$7)*OFFSET(ORÇAMENTO!$W$15,ROW(AR20)-ROW(AR$15),0),15-13*ORÇAMENTO!$AF$11)),
         0)</f>
        <v>714.29</v>
      </c>
      <c r="AS20" s="352" t="n">
        <f aca="true">IF(AND($D20="Serviço",AS$12&lt;&gt;0,$H20&gt;0,OR(AUTOEVENTO&lt;&gt;"manual",$M20&lt;&gt;$A$15)),
        IF(Import.TipoArredondamento&lt;&gt;"TransfereGOV",
              ROUND(OFFSET($P20,0,AS$13),15-13*ORÇAMENTO!$AF$7)/$H20*OFFSET(ORÇAMENTO!$X$15,ROW(AS20)-ROW(AS$15),0),
              ROUND(ROUND(OFFSET($P20,0,AS$13),15-13*ORÇAMENTO!$AF$7)*OFFSET(ORÇAMENTO!$W$15,ROW(AS20)-ROW(AS$15),0),15-13*ORÇAMENTO!$AF$11)),
         0)</f>
        <v>0</v>
      </c>
      <c r="AT20" s="352" t="n">
        <f aca="true">IF(AND($D20="Serviço",AT$12&lt;&gt;0,$H20&gt;0,OR(AUTOEVENTO&lt;&gt;"manual",$M20&lt;&gt;$A$15)),
        IF(Import.TipoArredondamento&lt;&gt;"TransfereGOV",
              ROUND(OFFSET($P20,0,AT$13),15-13*ORÇAMENTO!$AF$7)/$H20*OFFSET(ORÇAMENTO!$X$15,ROW(AT20)-ROW(AT$15),0),
              ROUND(ROUND(OFFSET($P20,0,AT$13),15-13*ORÇAMENTO!$AF$7)*OFFSET(ORÇAMENTO!$W$15,ROW(AT20)-ROW(AT$15),0),15-13*ORÇAMENTO!$AF$11)),
         0)</f>
        <v>0</v>
      </c>
      <c r="AU20" s="352" t="n">
        <f aca="true">IF(AND($D20="Serviço",AU$12&lt;&gt;0,$H20&gt;0,OR(AUTOEVENTO&lt;&gt;"manual",$M20&lt;&gt;$A$15)),
        IF(Import.TipoArredondamento&lt;&gt;"TransfereGOV",
              ROUND(OFFSET($P20,0,AU$13),15-13*ORÇAMENTO!$AF$7)/$H20*OFFSET(ORÇAMENTO!$X$15,ROW(AU20)-ROW(AU$15),0),
              ROUND(ROUND(OFFSET($P20,0,AU$13),15-13*ORÇAMENTO!$AF$7)*OFFSET(ORÇAMENTO!$W$15,ROW(AU20)-ROW(AU$15),0),15-13*ORÇAMENTO!$AF$11)),
         0)</f>
        <v>0</v>
      </c>
      <c r="AV20" s="352" t="n">
        <f aca="true">IF(AND($D20="Serviço",AV$12&lt;&gt;0,$H20&gt;0,OR(AUTOEVENTO&lt;&gt;"manual",$M20&lt;&gt;$A$15)),
        IF(Import.TipoArredondamento&lt;&gt;"TransfereGOV",
              ROUND(OFFSET($P20,0,AV$13),15-13*ORÇAMENTO!$AF$7)/$H20*OFFSET(ORÇAMENTO!$X$15,ROW(AV20)-ROW(AV$15),0),
              ROUND(ROUND(OFFSET($P20,0,AV$13),15-13*ORÇAMENTO!$AF$7)*OFFSET(ORÇAMENTO!$W$15,ROW(AV20)-ROW(AV$15),0),15-13*ORÇAMENTO!$AF$11)),
         0)</f>
        <v>0</v>
      </c>
      <c r="AW20" s="352" t="n">
        <f aca="true">IF(AND($D20="Serviço",AW$12&lt;&gt;0,$H20&gt;0,OR(AUTOEVENTO&lt;&gt;"manual",$M20&lt;&gt;$A$15)),
        IF(Import.TipoArredondamento&lt;&gt;"TransfereGOV",
              ROUND(OFFSET($P20,0,AW$13),15-13*ORÇAMENTO!$AF$7)/$H20*OFFSET(ORÇAMENTO!$X$15,ROW(AW20)-ROW(AW$15),0),
              ROUND(ROUND(OFFSET($P20,0,AW$13),15-13*ORÇAMENTO!$AF$7)*OFFSET(ORÇAMENTO!$W$15,ROW(AW20)-ROW(AW$15),0),15-13*ORÇAMENTO!$AF$11)),
         0)</f>
        <v>0</v>
      </c>
      <c r="AX20" s="352" t="n">
        <f aca="true">IF(AND($D20="Serviço",AX$12&lt;&gt;0,$H20&gt;0,OR(AUTOEVENTO&lt;&gt;"manual",$M20&lt;&gt;$A$15)),
        IF(Import.TipoArredondamento&lt;&gt;"TransfereGOV",
              ROUND(OFFSET($P20,0,AX$13),15-13*ORÇAMENTO!$AF$7)/$H20*OFFSET(ORÇAMENTO!$X$15,ROW(AX20)-ROW(AX$15),0),
              ROUND(ROUND(OFFSET($P20,0,AX$13),15-13*ORÇAMENTO!$AF$7)*OFFSET(ORÇAMENTO!$W$15,ROW(AX20)-ROW(AX$15),0),15-13*ORÇAMENTO!$AF$11)),
         0)</f>
        <v>0</v>
      </c>
      <c r="AY20" s="352" t="n">
        <f aca="true">IF(AND($D20="Serviço",AY$12&lt;&gt;0,$H20&gt;0,OR(AUTOEVENTO&lt;&gt;"manual",$M20&lt;&gt;$A$15)),
        IF(Import.TipoArredondamento&lt;&gt;"TransfereGOV",
              ROUND(OFFSET($P20,0,AY$13),15-13*ORÇAMENTO!$AF$7)/$H20*OFFSET(ORÇAMENTO!$X$15,ROW(AY20)-ROW(AY$15),0),
              ROUND(ROUND(OFFSET($P20,0,AY$13),15-13*ORÇAMENTO!$AF$7)*OFFSET(ORÇAMENTO!$W$15,ROW(AY20)-ROW(AY$15),0),15-13*ORÇAMENTO!$AF$11)),
         0)</f>
        <v>0</v>
      </c>
      <c r="AZ20" s="352" t="n">
        <f aca="true">IF(AND($D20="Serviço",AZ$12&lt;&gt;0,$H20&gt;0,OR(AUTOEVENTO&lt;&gt;"manual",$M20&lt;&gt;$A$15)),
        IF(Import.TipoArredondamento&lt;&gt;"TransfereGOV",
              ROUND(OFFSET($P20,0,AZ$13),15-13*ORÇAMENTO!$AF$7)/$H20*OFFSET(ORÇAMENTO!$X$15,ROW(AZ20)-ROW(AZ$15),0),
              ROUND(ROUND(OFFSET($P20,0,AZ$13),15-13*ORÇAMENTO!$AF$7)*OFFSET(ORÇAMENTO!$W$15,ROW(AZ20)-ROW(AZ$15),0),15-13*ORÇAMENTO!$AF$11)),
         0)</f>
        <v>0</v>
      </c>
      <c r="BA20" s="352" t="n">
        <f aca="true">IF(AND($D20="Serviço",BA$12&lt;&gt;0,$H20&gt;0,OR(AUTOEVENTO&lt;&gt;"manual",$M20&lt;&gt;$A$15)),
        IF(Import.TipoArredondamento&lt;&gt;"TransfereGOV",
              ROUND(OFFSET($P20,0,BA$13),15-13*ORÇAMENTO!$AF$7)/$H20*OFFSET(ORÇAMENTO!$X$15,ROW(BA20)-ROW(BA$15),0),
              ROUND(ROUND(OFFSET($P20,0,BA$13),15-13*ORÇAMENTO!$AF$7)*OFFSET(ORÇAMENTO!$W$15,ROW(BA20)-ROW(BA$15),0),15-13*ORÇAMENTO!$AF$11)),
         0)</f>
        <v>0</v>
      </c>
      <c r="BB20" s="352" t="n">
        <f aca="true">IF(AND($D20="Serviço",BB$12&lt;&gt;0,$H20&gt;0,OR(AUTOEVENTO&lt;&gt;"manual",$M20&lt;&gt;$A$15)),
        IF(Import.TipoArredondamento&lt;&gt;"TransfereGOV",
              ROUND(OFFSET($P20,0,BB$13),15-13*ORÇAMENTO!$AF$7)/$H20*OFFSET(ORÇAMENTO!$X$15,ROW(BB20)-ROW(BB$15),0),
              ROUND(ROUND(OFFSET($P20,0,BB$13),15-13*ORÇAMENTO!$AF$7)*OFFSET(ORÇAMENTO!$W$15,ROW(BB20)-ROW(BB$15),0),15-13*ORÇAMENTO!$AF$11)),
         0)</f>
        <v>0</v>
      </c>
      <c r="BC20" s="352" t="n">
        <f aca="true">IF(AND($D20="Serviço",BC$12&lt;&gt;0,$H20&gt;0,OR(AUTOEVENTO&lt;&gt;"manual",$M20&lt;&gt;$A$15)),
        IF(Import.TipoArredondamento&lt;&gt;"TransfereGOV",
              ROUND(OFFSET($P20,0,BC$13),15-13*ORÇAMENTO!$AF$7)/$H20*OFFSET(ORÇAMENTO!$X$15,ROW(BC20)-ROW(BC$15),0),
              ROUND(ROUND(OFFSET($P20,0,BC$13),15-13*ORÇAMENTO!$AF$7)*OFFSET(ORÇAMENTO!$W$15,ROW(BC20)-ROW(BC$15),0),15-13*ORÇAMENTO!$AF$11)),
         0)</f>
        <v>0</v>
      </c>
      <c r="BD20" s="352" t="n">
        <f aca="true">IF(AND($D20="Serviço",BD$12&lt;&gt;0,$H20&gt;0,OR(AUTOEVENTO&lt;&gt;"manual",$M20&lt;&gt;$A$15)),
        IF(Import.TipoArredondamento&lt;&gt;"TransfereGOV",
              ROUND(OFFSET($P20,0,BD$13),15-13*ORÇAMENTO!$AF$7)/$H20*OFFSET(ORÇAMENTO!$X$15,ROW(BD20)-ROW(BD$15),0),
              ROUND(ROUND(OFFSET($P20,0,BD$13),15-13*ORÇAMENTO!$AF$7)*OFFSET(ORÇAMENTO!$W$15,ROW(BD20)-ROW(BD$15),0),15-13*ORÇAMENTO!$AF$11)),
         0)</f>
        <v>0</v>
      </c>
      <c r="BE20" s="352" t="n">
        <f aca="true">IF(AND($D20="Serviço",BE$12&lt;&gt;0,$H20&gt;0,OR(AUTOEVENTO&lt;&gt;"manual",$M20&lt;&gt;$A$15)),
        IF(Import.TipoArredondamento&lt;&gt;"TransfereGOV",
              ROUND(OFFSET($P20,0,BE$13),15-13*ORÇAMENTO!$AF$7)/$H20*OFFSET(ORÇAMENTO!$X$15,ROW(BE20)-ROW(BE$15),0),
              ROUND(ROUND(OFFSET($P20,0,BE$13),15-13*ORÇAMENTO!$AF$7)*OFFSET(ORÇAMENTO!$W$15,ROW(BE20)-ROW(BE$15),0),15-13*ORÇAMENTO!$AF$11)),
         0)</f>
        <v>0</v>
      </c>
      <c r="BF20" s="352" t="n">
        <f aca="true">IF(AND($D20="Serviço",BF$12&lt;&gt;0,$H20&gt;0,OR(AUTOEVENTO&lt;&gt;"manual",$M20&lt;&gt;$A$15)),
        IF(Import.TipoArredondamento&lt;&gt;"TransfereGOV",
              ROUND(OFFSET($P20,0,BF$13),15-13*ORÇAMENTO!$AF$7)/$H20*OFFSET(ORÇAMENTO!$X$15,ROW(BF20)-ROW(BF$15),0),
              ROUND(ROUND(OFFSET($P20,0,BF$13),15-13*ORÇAMENTO!$AF$7)*OFFSET(ORÇAMENTO!$W$15,ROW(BF20)-ROW(BF$15),0),15-13*ORÇAMENTO!$AF$11)),
         0)</f>
        <v>0</v>
      </c>
      <c r="BG20" s="352" t="n">
        <f aca="true">IF(AND($D20="Serviço",BG$12&lt;&gt;0,$H20&gt;0,OR(AUTOEVENTO&lt;&gt;"manual",$M20&lt;&gt;$A$15)),
        IF(Import.TipoArredondamento&lt;&gt;"TransfereGOV",
              ROUND(OFFSET($P20,0,BG$13),15-13*ORÇAMENTO!$AF$7)/$H20*OFFSET(ORÇAMENTO!$X$15,ROW(BG20)-ROW(BG$15),0),
              ROUND(ROUND(OFFSET($P20,0,BG$13),15-13*ORÇAMENTO!$AF$7)*OFFSET(ORÇAMENTO!$W$15,ROW(BG20)-ROW(BG$15),0),15-13*ORÇAMENTO!$AF$11)),
         0)</f>
        <v>0</v>
      </c>
      <c r="BH20" s="352" t="n">
        <f aca="true">IF(AND($D20="Serviço",BH$12&lt;&gt;0,$H20&gt;0,OR(AUTOEVENTO&lt;&gt;"manual",$M20&lt;&gt;$A$15)),
        IF(Import.TipoArredondamento&lt;&gt;"TransfereGOV",
              ROUND(OFFSET($P20,0,BH$13),15-13*ORÇAMENTO!$AF$7)/$H20*OFFSET(ORÇAMENTO!$X$15,ROW(BH20)-ROW(BH$15),0),
              ROUND(ROUND(OFFSET($P20,0,BH$13),15-13*ORÇAMENTO!$AF$7)*OFFSET(ORÇAMENTO!$W$15,ROW(BH20)-ROW(BH$15),0),15-13*ORÇAMENTO!$AF$11)),
         0)</f>
        <v>0</v>
      </c>
      <c r="BI20" s="352" t="n">
        <f aca="true">IF(AND($D20="Serviço",BI$12&lt;&gt;0,$H20&gt;0,OR(AUTOEVENTO&lt;&gt;"manual",$M20&lt;&gt;$A$15)),
        IF(Import.TipoArredondamento&lt;&gt;"TransfereGOV",
              ROUND(OFFSET($P20,0,BI$13),15-13*ORÇAMENTO!$AF$7)/$H20*OFFSET(ORÇAMENTO!$X$15,ROW(BI20)-ROW(BI$15),0),
              ROUND(ROUND(OFFSET($P20,0,BI$13),15-13*ORÇAMENTO!$AF$7)*OFFSET(ORÇAMENTO!$W$15,ROW(BI20)-ROW(BI$15),0),15-13*ORÇAMENTO!$AF$11)),
         0)</f>
        <v>0</v>
      </c>
      <c r="BJ20" s="352" t="n">
        <f aca="true">IF(AND($D20="Serviço",BJ$12&lt;&gt;0,$H20&gt;0,OR(AUTOEVENTO&lt;&gt;"manual",$M20&lt;&gt;$A$15)),
        IF(Import.TipoArredondamento&lt;&gt;"TransfereGOV",
              ROUND(OFFSET($P20,0,BJ$13),15-13*ORÇAMENTO!$AF$7)/$H20*OFFSET(ORÇAMENTO!$X$15,ROW(BJ20)-ROW(BJ$15),0),
              ROUND(ROUND(OFFSET($P20,0,BJ$13),15-13*ORÇAMENTO!$AF$7)*OFFSET(ORÇAMENTO!$W$15,ROW(BJ20)-ROW(BJ$15),0),15-13*ORÇAMENTO!$AF$11)),
         0)</f>
        <v>0</v>
      </c>
      <c r="BK20" s="352" t="n">
        <f aca="true">IF(AND($D20="Serviço",BK$12&lt;&gt;0,$H20&gt;0,OR(AUTOEVENTO&lt;&gt;"manual",$M20&lt;&gt;$A$15)),
        IF(Import.TipoArredondamento&lt;&gt;"TransfereGOV",
              ROUND(OFFSET($P20,0,BK$13),15-13*ORÇAMENTO!$AF$7)/$H20*OFFSET(ORÇAMENTO!$X$15,ROW(BK20)-ROW(BK$15),0),
              ROUND(ROUND(OFFSET($P20,0,BK$13),15-13*ORÇAMENTO!$AF$7)*OFFSET(ORÇAMENTO!$W$15,ROW(BK20)-ROW(BK$15),0),15-13*ORÇAMENTO!$AF$11)),
         0)</f>
        <v>0</v>
      </c>
      <c r="BL20" s="352" t="n">
        <f aca="true">IF(AND($D20="Serviço",BL$12&lt;&gt;0,$H20&gt;0,OR(AUTOEVENTO&lt;&gt;"manual",$M20&lt;&gt;$A$15)),
        IF(Import.TipoArredondamento&lt;&gt;"TransfereGOV",
              ROUND(OFFSET($P20,0,BL$13),15-13*ORÇAMENTO!$AF$7)/$H20*OFFSET(ORÇAMENTO!$X$15,ROW(BL20)-ROW(BL$15),0),
              ROUND(ROUND(OFFSET($P20,0,BL$13),15-13*ORÇAMENTO!$AF$7)*OFFSET(ORÇAMENTO!$W$15,ROW(BL20)-ROW(BL$15),0),15-13*ORÇAMENTO!$AF$11)),
         0)</f>
        <v>0</v>
      </c>
      <c r="BM20" s="352" t="n">
        <f aca="true">IF(AND($D20="Serviço",BM$12&lt;&gt;0,$H20&gt;0,OR(AUTOEVENTO&lt;&gt;"manual",$M20&lt;&gt;$A$15)),
        IF(Import.TipoArredondamento&lt;&gt;"TransfereGOV",
              ROUND(OFFSET($P20,0,BM$13),15-13*ORÇAMENTO!$AF$7)/$H20*OFFSET(ORÇAMENTO!$X$15,ROW(BM20)-ROW(BM$15),0),
              ROUND(ROUND(OFFSET($P20,0,BM$13),15-13*ORÇAMENTO!$AF$7)*OFFSET(ORÇAMENTO!$W$15,ROW(BM20)-ROW(BM$15),0),15-13*ORÇAMENTO!$AF$11)),
         0)</f>
        <v>0</v>
      </c>
      <c r="BN20" s="352" t="n">
        <f aca="true">IF(AND($D20="Serviço",BN$12&lt;&gt;0,$H20&gt;0,OR(AUTOEVENTO&lt;&gt;"manual",$M20&lt;&gt;$A$15)),
        IF(Import.TipoArredondamento&lt;&gt;"TransfereGOV",
              ROUND(OFFSET($P20,0,BN$13),15-13*ORÇAMENTO!$AF$7)/$H20*OFFSET(ORÇAMENTO!$X$15,ROW(BN20)-ROW(BN$15),0),
              ROUND(ROUND(OFFSET($P20,0,BN$13),15-13*ORÇAMENTO!$AF$7)*OFFSET(ORÇAMENTO!$W$15,ROW(BN20)-ROW(BN$15),0),15-13*ORÇAMENTO!$AF$11)),
         0)</f>
        <v>0</v>
      </c>
      <c r="BO20" s="352" t="n">
        <f aca="true">IF(AND($D20="Serviço",BO$12&lt;&gt;0,$H20&gt;0,OR(AUTOEVENTO&lt;&gt;"manual",$M20&lt;&gt;$A$15)),
        IF(Import.TipoArredondamento&lt;&gt;"TransfereGOV",
              ROUND(OFFSET($P20,0,BO$13),15-13*ORÇAMENTO!$AF$7)/$H20*OFFSET(ORÇAMENTO!$X$15,ROW(BO20)-ROW(BO$15),0),
              ROUND(ROUND(OFFSET($P20,0,BO$13),15-13*ORÇAMENTO!$AF$7)*OFFSET(ORÇAMENTO!$W$15,ROW(BO20)-ROW(BO$15),0),15-13*ORÇAMENTO!$AF$11)),
         0)</f>
        <v>0</v>
      </c>
      <c r="BP20" s="352" t="n">
        <f aca="true">IF(AND($D20="Serviço",BP$12&lt;&gt;0,$H20&gt;0,OR(AUTOEVENTO&lt;&gt;"manual",$M20&lt;&gt;$A$15)),
        IF(Import.TipoArredondamento&lt;&gt;"TransfereGOV",
              ROUND(OFFSET($P20,0,BP$13),15-13*ORÇAMENTO!$AF$7)/$H20*OFFSET(ORÇAMENTO!$X$15,ROW(BP20)-ROW(BP$15),0),
              ROUND(ROUND(OFFSET($P20,0,BP$13),15-13*ORÇAMENTO!$AF$7)*OFFSET(ORÇAMENTO!$W$15,ROW(BP20)-ROW(BP$15),0),15-13*ORÇAMENTO!$AF$11)),
         0)</f>
        <v>0</v>
      </c>
      <c r="BQ20" s="352" t="n">
        <f aca="true">IF(AND($D20="Serviço",BQ$12&lt;&gt;0,$H20&gt;0,OR(AUTOEVENTO&lt;&gt;"manual",$M20&lt;&gt;$A$15)),
        IF(Import.TipoArredondamento&lt;&gt;"TransfereGOV",
              ROUND(OFFSET($P20,0,BQ$13),15-13*ORÇAMENTO!$AF$7)/$H20*OFFSET(ORÇAMENTO!$X$15,ROW(BQ20)-ROW(BQ$15),0),
              ROUND(ROUND(OFFSET($P20,0,BQ$13),15-13*ORÇAMENTO!$AF$7)*OFFSET(ORÇAMENTO!$W$15,ROW(BQ20)-ROW(BQ$15),0),15-13*ORÇAMENTO!$AF$11)),
         0)</f>
        <v>0</v>
      </c>
      <c r="BS20" s="353" t="n">
        <f aca="true">IF(OR($D20&lt;&gt;"Serviço",AND(AUTOEVENTO="Manual",$M20=$A$15)),0,
         IF(OFFSET(CRONOPLE!$F$15,$M20-$A$15,BS$13)=0,10^12,OFFSET(CRONOPLE!$F$15,$M20-$A$15,BS$13)))</f>
        <v>1</v>
      </c>
      <c r="BT20" s="353" t="n">
        <f aca="true">IF(OR($D20&lt;&gt;"Serviço",AND(AUTOEVENTO="Manual",$M20=$A$15)),0,
         IF(OFFSET(CRONOPLE!$F$15,$M20-$A$15,BT$13)=0,10^12,OFFSET(CRONOPLE!$F$15,$M20-$A$15,BT$13)))</f>
        <v>2</v>
      </c>
      <c r="BU20" s="353" t="n">
        <f aca="true">IF(OR($D20&lt;&gt;"Serviço",AND(AUTOEVENTO="Manual",$M20=$A$15)),0,
         IF(OFFSET(CRONOPLE!$F$15,$M20-$A$15,BU$13)=0,10^12,OFFSET(CRONOPLE!$F$15,$M20-$A$15,BU$13)))</f>
        <v>3</v>
      </c>
      <c r="BV20" s="353" t="n">
        <f aca="true">IF(OR($D20&lt;&gt;"Serviço",AND(AUTOEVENTO="Manual",$M20=$A$15)),0,
         IF(OFFSET(CRONOPLE!$F$15,$M20-$A$15,BV$13)=0,10^12,OFFSET(CRONOPLE!$F$15,$M20-$A$15,BV$13)))</f>
        <v>4</v>
      </c>
      <c r="BW20" s="353" t="n">
        <f aca="true">IF(OR($D20&lt;&gt;"Serviço",AND(AUTOEVENTO="Manual",$M20=$A$15)),0,
         IF(OFFSET(CRONOPLE!$F$15,$M20-$A$15,BW$13)=0,10^12,OFFSET(CRONOPLE!$F$15,$M20-$A$15,BW$13)))</f>
        <v>5</v>
      </c>
      <c r="BX20" s="353" t="n">
        <f aca="true">IF(OR($D20&lt;&gt;"Serviço",AND(AUTOEVENTO="Manual",$M20=$A$15)),0,
         IF(OFFSET(CRONOPLE!$F$15,$M20-$A$15,BX$13)=0,10^12,OFFSET(CRONOPLE!$F$15,$M20-$A$15,BX$13)))</f>
        <v>6</v>
      </c>
      <c r="BY20" s="353" t="n">
        <f aca="true">IF(OR($D20&lt;&gt;"Serviço",AND(AUTOEVENTO="Manual",$M20=$A$15)),0,
         IF(OFFSET(CRONOPLE!$F$15,$M20-$A$15,BY$13)=0,10^12,OFFSET(CRONOPLE!$F$15,$M20-$A$15,BY$13)))</f>
        <v>7</v>
      </c>
      <c r="BZ20" s="353" t="n">
        <f aca="true">IF(OR($D20&lt;&gt;"Serviço",AND(AUTOEVENTO="Manual",$M20=$A$15)),0,
         IF(OFFSET(CRONOPLE!$F$15,$M20-$A$15,BZ$13)=0,10^12,OFFSET(CRONOPLE!$F$15,$M20-$A$15,BZ$13)))</f>
        <v>8</v>
      </c>
      <c r="CA20" s="353" t="n">
        <f aca="true">IF(OR($D20&lt;&gt;"Serviço",AND(AUTOEVENTO="Manual",$M20=$A$15)),0,
         IF(OFFSET(CRONOPLE!$F$15,$M20-$A$15,CA$13)=0,10^12,OFFSET(CRONOPLE!$F$15,$M20-$A$15,CA$13)))</f>
        <v>9</v>
      </c>
      <c r="CB20" s="353" t="n">
        <f aca="true">IF(OR($D20&lt;&gt;"Serviço",AND(AUTOEVENTO="Manual",$M20=$A$15)),0,
         IF(OFFSET(CRONOPLE!$F$15,$M20-$A$15,CB$13)=0,10^12,OFFSET(CRONOPLE!$F$15,$M20-$A$15,CB$13)))</f>
        <v>10</v>
      </c>
      <c r="CC20" s="353" t="n">
        <f aca="true">IF(OR($D20&lt;&gt;"Serviço",AND(AUTOEVENTO="Manual",$M20=$A$15)),0,
         IF(OFFSET(CRONOPLE!$F$15,$M20-$A$15,CC$13)=0,10^12,OFFSET(CRONOPLE!$F$15,$M20-$A$15,CC$13)))</f>
        <v>11</v>
      </c>
      <c r="CD20" s="353" t="n">
        <f aca="true">IF(OR($D20&lt;&gt;"Serviço",AND(AUTOEVENTO="Manual",$M20=$A$15)),0,
         IF(OFFSET(CRONOPLE!$F$15,$M20-$A$15,CD$13)=0,10^12,OFFSET(CRONOPLE!$F$15,$M20-$A$15,CD$13)))</f>
        <v>12</v>
      </c>
      <c r="CE20" s="353" t="n">
        <f aca="true">IF(OR($D20&lt;&gt;"Serviço",AND(AUTOEVENTO="Manual",$M20=$A$15)),0,
         IF(OFFSET(CRONOPLE!$F$15,$M20-$A$15,CE$13)=0,10^12,OFFSET(CRONOPLE!$F$15,$M20-$A$15,CE$13)))</f>
        <v>13</v>
      </c>
      <c r="CF20" s="353" t="n">
        <f aca="true">IF(OR($D20&lt;&gt;"Serviço",AND(AUTOEVENTO="Manual",$M20=$A$15)),0,
         IF(OFFSET(CRONOPLE!$F$15,$M20-$A$15,CF$13)=0,10^12,OFFSET(CRONOPLE!$F$15,$M20-$A$15,CF$13)))</f>
        <v>14</v>
      </c>
      <c r="CG20" s="353" t="n">
        <f aca="true">IF(OR($D20&lt;&gt;"Serviço",AND(AUTOEVENTO="Manual",$M20=$A$15)),0,
         IF(OFFSET(CRONOPLE!$F$15,$M20-$A$15,CG$13)=0,10^12,OFFSET(CRONOPLE!$F$15,$M20-$A$15,CG$13)))</f>
        <v>15</v>
      </c>
      <c r="CH20" s="353" t="n">
        <f aca="true">IF(OR($D20&lt;&gt;"Serviço",AND(AUTOEVENTO="Manual",$M20=$A$15)),0,
         IF(OFFSET(CRONOPLE!$F$15,$M20-$A$15,CH$13)=0,10^12,OFFSET(CRONOPLE!$F$15,$M20-$A$15,CH$13)))</f>
        <v>16</v>
      </c>
      <c r="CI20" s="353" t="n">
        <f aca="true">IF(OR($D20&lt;&gt;"Serviço",AND(AUTOEVENTO="Manual",$M20=$A$15)),0,
         IF(OFFSET(CRONOPLE!$F$15,$M20-$A$15,CI$13)=0,10^12,OFFSET(CRONOPLE!$F$15,$M20-$A$15,CI$13)))</f>
        <v>17</v>
      </c>
      <c r="CJ20" s="353" t="n">
        <f aca="true">IF(OR($D20&lt;&gt;"Serviço",AND(AUTOEVENTO="Manual",$M20=$A$15)),0,
         IF(OFFSET(CRONOPLE!$F$15,$M20-$A$15,CJ$13)=0,10^12,OFFSET(CRONOPLE!$F$15,$M20-$A$15,CJ$13)))</f>
        <v>18</v>
      </c>
      <c r="CK20" s="353" t="n">
        <f aca="true">IF(OR($D20&lt;&gt;"Serviço",AND(AUTOEVENTO="Manual",$M20=$A$15)),0,
         IF(OFFSET(CRONOPLE!$F$15,$M20-$A$15,CK$13)=0,10^12,OFFSET(CRONOPLE!$F$15,$M20-$A$15,CK$13)))</f>
        <v>19</v>
      </c>
      <c r="CL20" s="353" t="n">
        <f aca="true">IF(OR($D20&lt;&gt;"Serviço",AND(AUTOEVENTO="Manual",$M20=$A$15)),0,
         IF(OFFSET(CRONOPLE!$F$15,$M20-$A$15,CL$13)=0,10^12,OFFSET(CRONOPLE!$F$15,$M20-$A$15,CL$13)))</f>
        <v>20</v>
      </c>
      <c r="CM20" s="353" t="n">
        <f aca="true">IF(OR($D20&lt;&gt;"Serviço",AND(AUTOEVENTO="Manual",$M20=$A$15)),0,
         IF(OFFSET(CRONOPLE!$F$15,$M20-$A$15,CM$13)=0,10^12,OFFSET(CRONOPLE!$F$15,$M20-$A$15,CM$13)))</f>
        <v>21</v>
      </c>
      <c r="CN20" s="353" t="n">
        <f aca="true">IF(OR($D20&lt;&gt;"Serviço",AND(AUTOEVENTO="Manual",$M20=$A$15)),0,
         IF(OFFSET(CRONOPLE!$F$15,$M20-$A$15,CN$13)=0,10^12,OFFSET(CRONOPLE!$F$15,$M20-$A$15,CN$13)))</f>
        <v>22</v>
      </c>
      <c r="CO20" s="353" t="n">
        <f aca="true">IF(OR($D20&lt;&gt;"Serviço",AND(AUTOEVENTO="Manual",$M20=$A$15)),0,
         IF(OFFSET(CRONOPLE!$F$15,$M20-$A$15,CO$13)=0,10^12,OFFSET(CRONOPLE!$F$15,$M20-$A$15,CO$13)))</f>
        <v>23</v>
      </c>
      <c r="CP20" s="353" t="n">
        <f aca="true">IF(OR($D20&lt;&gt;"Serviço",AND(AUTOEVENTO="Manual",$M20=$A$15)),0,
         IF(OFFSET(CRONOPLE!$F$15,$M20-$A$15,CP$13)=0,10^12,OFFSET(CRONOPLE!$F$15,$M20-$A$15,CP$13)))</f>
        <v>24</v>
      </c>
      <c r="CQ20" s="353" t="n">
        <f aca="true">IF(OR($D20&lt;&gt;"Serviço",AND(AUTOEVENTO="Manual",$M20=$A$15)),0,
         IF(OFFSET(CRONOPLE!$F$15,$M20-$A$15,CQ$13)=0,10^12,OFFSET(CRONOPLE!$F$15,$M20-$A$15,CQ$13)))</f>
        <v>25</v>
      </c>
      <c r="CR20" s="353" t="n">
        <f aca="true">IF(OR($D20&lt;&gt;"Serviço",AND(AUTOEVENTO="Manual",$M20=$A$15)),0,
         IF(OFFSET(CRONOPLE!$F$15,$M20-$A$15,CR$13)=0,10^12,OFFSET(CRONOPLE!$F$15,$M20-$A$15,CR$13)))</f>
        <v>1000000000000</v>
      </c>
      <c r="CT20" s="354" t="n">
        <f aca="true">IF(OR($D20&lt;&gt;"Serviço",AND(AUTOEVENTO="Manual",$M20=$A$15),$M20&gt;(ROW(PLE.lastrow)-ROW(PLE.firstrow))),0,
           IF(OFFSET(PLE!$G$15,$M20-$A$15,CT$13)="",10^12,OFFSET(PLE!$G$15,$M20-$A$15,CT$13)))</f>
        <v>1000000000000</v>
      </c>
      <c r="CU20" s="354" t="n">
        <f aca="true">IF(OR($D20&lt;&gt;"Serviço",AND(AUTOEVENTO="Manual",$M20=$A$15),$M20&gt;(ROW(PLE.lastrow)-ROW(PLE.firstrow))),0,
           IF(OFFSET(PLE!$G$15,$M20-$A$15,CU$13)="",10^12,OFFSET(PLE!$G$15,$M20-$A$15,CU$13)))</f>
        <v>1000000000000</v>
      </c>
      <c r="CV20" s="354" t="n">
        <f aca="true">IF(OR($D20&lt;&gt;"Serviço",AND(AUTOEVENTO="Manual",$M20=$A$15),$M20&gt;(ROW(PLE.lastrow)-ROW(PLE.firstrow))),0,
           IF(OFFSET(PLE!$G$15,$M20-$A$15,CV$13)="",10^12,OFFSET(PLE!$G$15,$M20-$A$15,CV$13)))</f>
        <v>1000000000000</v>
      </c>
      <c r="CW20" s="354" t="n">
        <f aca="true">IF(OR($D20&lt;&gt;"Serviço",AND(AUTOEVENTO="Manual",$M20=$A$15),$M20&gt;(ROW(PLE.lastrow)-ROW(PLE.firstrow))),0,
           IF(OFFSET(PLE!$G$15,$M20-$A$15,CW$13)="",10^12,OFFSET(PLE!$G$15,$M20-$A$15,CW$13)))</f>
        <v>1000000000000</v>
      </c>
      <c r="CX20" s="354" t="n">
        <f aca="true">IF(OR($D20&lt;&gt;"Serviço",AND(AUTOEVENTO="Manual",$M20=$A$15),$M20&gt;(ROW(PLE.lastrow)-ROW(PLE.firstrow))),0,
           IF(OFFSET(PLE!$G$15,$M20-$A$15,CX$13)="",10^12,OFFSET(PLE!$G$15,$M20-$A$15,CX$13)))</f>
        <v>1000000000000</v>
      </c>
      <c r="CY20" s="354" t="n">
        <f aca="true">IF(OR($D20&lt;&gt;"Serviço",AND(AUTOEVENTO="Manual",$M20=$A$15),$M20&gt;(ROW(PLE.lastrow)-ROW(PLE.firstrow))),0,
           IF(OFFSET(PLE!$G$15,$M20-$A$15,CY$13)="",10^12,OFFSET(PLE!$G$15,$M20-$A$15,CY$13)))</f>
        <v>1000000000000</v>
      </c>
      <c r="CZ20" s="354" t="n">
        <f aca="true">IF(OR($D20&lt;&gt;"Serviço",AND(AUTOEVENTO="Manual",$M20=$A$15),$M20&gt;(ROW(PLE.lastrow)-ROW(PLE.firstrow))),0,
           IF(OFFSET(PLE!$G$15,$M20-$A$15,CZ$13)="",10^12,OFFSET(PLE!$G$15,$M20-$A$15,CZ$13)))</f>
        <v>1000000000000</v>
      </c>
      <c r="DA20" s="354" t="n">
        <f aca="true">IF(OR($D20&lt;&gt;"Serviço",AND(AUTOEVENTO="Manual",$M20=$A$15),$M20&gt;(ROW(PLE.lastrow)-ROW(PLE.firstrow))),0,
           IF(OFFSET(PLE!$G$15,$M20-$A$15,DA$13)="",10^12,OFFSET(PLE!$G$15,$M20-$A$15,DA$13)))</f>
        <v>1000000000000</v>
      </c>
      <c r="DB20" s="354" t="n">
        <f aca="true">IF(OR($D20&lt;&gt;"Serviço",AND(AUTOEVENTO="Manual",$M20=$A$15),$M20&gt;(ROW(PLE.lastrow)-ROW(PLE.firstrow))),0,
           IF(OFFSET(PLE!$G$15,$M20-$A$15,DB$13)="",10^12,OFFSET(PLE!$G$15,$M20-$A$15,DB$13)))</f>
        <v>1000000000000</v>
      </c>
      <c r="DC20" s="354" t="n">
        <f aca="true">IF(OR($D20&lt;&gt;"Serviço",AND(AUTOEVENTO="Manual",$M20=$A$15),$M20&gt;(ROW(PLE.lastrow)-ROW(PLE.firstrow))),0,
           IF(OFFSET(PLE!$G$15,$M20-$A$15,DC$13)="",10^12,OFFSET(PLE!$G$15,$M20-$A$15,DC$13)))</f>
        <v>1000000000000</v>
      </c>
      <c r="DD20" s="354" t="n">
        <f aca="true">IF(OR($D20&lt;&gt;"Serviço",AND(AUTOEVENTO="Manual",$M20=$A$15),$M20&gt;(ROW(PLE.lastrow)-ROW(PLE.firstrow))),0,
           IF(OFFSET(PLE!$G$15,$M20-$A$15,DD$13)="",10^12,OFFSET(PLE!$G$15,$M20-$A$15,DD$13)))</f>
        <v>1000000000000</v>
      </c>
      <c r="DE20" s="354" t="n">
        <f aca="true">IF(OR($D20&lt;&gt;"Serviço",AND(AUTOEVENTO="Manual",$M20=$A$15),$M20&gt;(ROW(PLE.lastrow)-ROW(PLE.firstrow))),0,
           IF(OFFSET(PLE!$G$15,$M20-$A$15,DE$13)="",10^12,OFFSET(PLE!$G$15,$M20-$A$15,DE$13)))</f>
        <v>1000000000000</v>
      </c>
      <c r="DF20" s="354" t="n">
        <f aca="true">IF(OR($D20&lt;&gt;"Serviço",AND(AUTOEVENTO="Manual",$M20=$A$15),$M20&gt;(ROW(PLE.lastrow)-ROW(PLE.firstrow))),0,
           IF(OFFSET(PLE!$G$15,$M20-$A$15,DF$13)="",10^12,OFFSET(PLE!$G$15,$M20-$A$15,DF$13)))</f>
        <v>1000000000000</v>
      </c>
      <c r="DG20" s="354" t="n">
        <f aca="true">IF(OR($D20&lt;&gt;"Serviço",AND(AUTOEVENTO="Manual",$M20=$A$15),$M20&gt;(ROW(PLE.lastrow)-ROW(PLE.firstrow))),0,
           IF(OFFSET(PLE!$G$15,$M20-$A$15,DG$13)="",10^12,OFFSET(PLE!$G$15,$M20-$A$15,DG$13)))</f>
        <v>1000000000000</v>
      </c>
      <c r="DH20" s="354" t="n">
        <f aca="true">IF(OR($D20&lt;&gt;"Serviço",AND(AUTOEVENTO="Manual",$M20=$A$15),$M20&gt;(ROW(PLE.lastrow)-ROW(PLE.firstrow))),0,
           IF(OFFSET(PLE!$G$15,$M20-$A$15,DH$13)="",10^12,OFFSET(PLE!$G$15,$M20-$A$15,DH$13)))</f>
        <v>1000000000000</v>
      </c>
      <c r="DI20" s="354" t="n">
        <f aca="true">IF(OR($D20&lt;&gt;"Serviço",AND(AUTOEVENTO="Manual",$M20=$A$15),$M20&gt;(ROW(PLE.lastrow)-ROW(PLE.firstrow))),0,
           IF(OFFSET(PLE!$G$15,$M20-$A$15,DI$13)="",10^12,OFFSET(PLE!$G$15,$M20-$A$15,DI$13)))</f>
        <v>1000000000000</v>
      </c>
      <c r="DJ20" s="354" t="n">
        <f aca="true">IF(OR($D20&lt;&gt;"Serviço",AND(AUTOEVENTO="Manual",$M20=$A$15),$M20&gt;(ROW(PLE.lastrow)-ROW(PLE.firstrow))),0,
           IF(OFFSET(PLE!$G$15,$M20-$A$15,DJ$13)="",10^12,OFFSET(PLE!$G$15,$M20-$A$15,DJ$13)))</f>
        <v>1000000000000</v>
      </c>
      <c r="DK20" s="354" t="n">
        <f aca="true">IF(OR($D20&lt;&gt;"Serviço",AND(AUTOEVENTO="Manual",$M20=$A$15),$M20&gt;(ROW(PLE.lastrow)-ROW(PLE.firstrow))),0,
           IF(OFFSET(PLE!$G$15,$M20-$A$15,DK$13)="",10^12,OFFSET(PLE!$G$15,$M20-$A$15,DK$13)))</f>
        <v>1000000000000</v>
      </c>
      <c r="DL20" s="354" t="n">
        <f aca="true">IF(OR($D20&lt;&gt;"Serviço",AND(AUTOEVENTO="Manual",$M20=$A$15),$M20&gt;(ROW(PLE.lastrow)-ROW(PLE.firstrow))),0,
           IF(OFFSET(PLE!$G$15,$M20-$A$15,DL$13)="",10^12,OFFSET(PLE!$G$15,$M20-$A$15,DL$13)))</f>
        <v>1000000000000</v>
      </c>
      <c r="DM20" s="354" t="n">
        <f aca="true">IF(OR($D20&lt;&gt;"Serviço",AND(AUTOEVENTO="Manual",$M20=$A$15),$M20&gt;(ROW(PLE.lastrow)-ROW(PLE.firstrow))),0,
           IF(OFFSET(PLE!$G$15,$M20-$A$15,DM$13)="",10^12,OFFSET(PLE!$G$15,$M20-$A$15,DM$13)))</f>
        <v>1000000000000</v>
      </c>
      <c r="DN20" s="354" t="n">
        <f aca="true">IF(OR($D20&lt;&gt;"Serviço",AND(AUTOEVENTO="Manual",$M20=$A$15),$M20&gt;(ROW(PLE.lastrow)-ROW(PLE.firstrow))),0,
           IF(OFFSET(PLE!$G$15,$M20-$A$15,DN$13)="",10^12,OFFSET(PLE!$G$15,$M20-$A$15,DN$13)))</f>
        <v>1000000000000</v>
      </c>
      <c r="DO20" s="354" t="n">
        <f aca="true">IF(OR($D20&lt;&gt;"Serviço",AND(AUTOEVENTO="Manual",$M20=$A$15),$M20&gt;(ROW(PLE.lastrow)-ROW(PLE.firstrow))),0,
           IF(OFFSET(PLE!$G$15,$M20-$A$15,DO$13)="",10^12,OFFSET(PLE!$G$15,$M20-$A$15,DO$13)))</f>
        <v>1000000000000</v>
      </c>
      <c r="DP20" s="354" t="n">
        <f aca="true">IF(OR($D20&lt;&gt;"Serviço",AND(AUTOEVENTO="Manual",$M20=$A$15),$M20&gt;(ROW(PLE.lastrow)-ROW(PLE.firstrow))),0,
           IF(OFFSET(PLE!$G$15,$M20-$A$15,DP$13)="",10^12,OFFSET(PLE!$G$15,$M20-$A$15,DP$13)))</f>
        <v>1000000000000</v>
      </c>
      <c r="DQ20" s="354" t="n">
        <f aca="true">IF(OR($D20&lt;&gt;"Serviço",AND(AUTOEVENTO="Manual",$M20=$A$15),$M20&gt;(ROW(PLE.lastrow)-ROW(PLE.firstrow))),0,
           IF(OFFSET(PLE!$G$15,$M20-$A$15,DQ$13)="",10^12,OFFSET(PLE!$G$15,$M20-$A$15,DQ$13)))</f>
        <v>1000000000000</v>
      </c>
      <c r="DR20" s="354" t="n">
        <f aca="true">IF(OR($D20&lt;&gt;"Serviço",AND(AUTOEVENTO="Manual",$M20=$A$15),$M20&gt;(ROW(PLE.lastrow)-ROW(PLE.firstrow))),0,
           IF(OFFSET(PLE!$G$15,$M20-$A$15,DR$13)="",10^12,OFFSET(PLE!$G$15,$M20-$A$15,DR$13)))</f>
        <v>1000000000000</v>
      </c>
      <c r="DS20" s="354" t="n">
        <f aca="true">IF(OR($D20&lt;&gt;"Serviço",AND(AUTOEVENTO="Manual",$M20=$A$15),$M20&gt;(ROW(PLE.lastrow)-ROW(PLE.firstrow))),0,
           IF(OFFSET(PLE!$G$15,$M20-$A$15,DS$13)="",10^12,OFFSET(PLE!$G$15,$M20-$A$15,DS$13)))</f>
        <v>1000000000000</v>
      </c>
    </row>
    <row r="21" customFormat="false" ht="57.45" hidden="false" customHeight="false" outlineLevel="0" collapsed="false">
      <c r="A21" s="50" t="str">
        <f aca="true">IFERROR(IF(AUTOEVENTO="Manual",IF(K21&lt;&gt;"",MIN(VALUE(LEFT(K21,FIND(".",K21)-1)),COUNTA(EVENTOS.Lista)),0),IF(OR($B21&gt;AUTOEVENTO,$B21="S",$B21=0),SUBSTITUTE(OFFSET($A21,-1,0),IF($D21="Serviço",".",""),""),ROW(A21)-ROW($A$15)&amp;".")),0)</f>
        <v>2</v>
      </c>
      <c r="B21" s="50" t="str">
        <f aca="true">OFFSET(ORÇAMENTO!C$15,ROW(B21)-ROW(B$15),0)</f>
        <v>S</v>
      </c>
      <c r="C21" s="50" t="str">
        <f aca="true">OFFSET(ORÇAMENTO!L$15,ROW(C21)-ROW(C$15),0)</f>
        <v>F</v>
      </c>
      <c r="D21" s="201" t="str">
        <f aca="true">OFFSET(ORÇAMENTO!N$15,ROW(D21)-ROW(D$15),0)</f>
        <v>Serviço</v>
      </c>
      <c r="E21" s="202" t="str">
        <f aca="true">OFFSET(ORÇAMENTO!O$15,ROW(E21)-ROW(E$15),0)</f>
        <v>1.1.4.</v>
      </c>
      <c r="F21" s="341" t="str">
        <f aca="true">OFFSET(ORÇAMENTO!R$15,ROW(F21)-ROW(F$15),0)</f>
        <v>LIGAÇÃO PROVISÓRIA COM ENTRADA DE ENERGIA AÉREA,
PADRÃO CEMIG, CARGA INSTALADA DE 15,1KVA ATÉ 30KVA,
TRIFÁSICO, COM SAÍDA SUBTERRÂNEA, INCLUSIVE POSTE, CAIXA
PARA MEDIDOR, DISJUNTOR, BARRAMENTO, ATERRAMENTO E
ACESSÓRIOS</v>
      </c>
      <c r="G21" s="342" t="str">
        <f aca="true">IF($D21&lt;&gt;"Serviço","",OFFSET(ORÇAMENTO!S$15,ROW(G21)-ROW(G$15),0))</f>
        <v>UN</v>
      </c>
      <c r="H21" s="207" t="n">
        <f aca="true">IF($D21&lt;&gt;"Serviço",0,IF(ACOMPANHAMENTO="BM",ROUND(OFFSET(ORÇAMENTO!AJ$15,ROW(H21)-ROW(H$15),0),15-13*ORÇAMENTO!$AF$7),SUMPRODUCT(($Q$1:$AQ$1=1)*ROUND($Q21:$AQ21,15-13*ORÇAMENTO!$AF$7))))</f>
        <v>1</v>
      </c>
      <c r="I21" s="343" t="s">
        <v>916</v>
      </c>
      <c r="J21" s="344" t="e">
        <f aca="false">IF(OR(B21&lt;&gt;"S",CÁLCULO.FrentesPreenchidas=0),"",IF(AND(ACOMPANHAMENTO="PLE",AUTOEVENTO="Manual",OR(H21&gt;0,ORÇAMENTO!AC21="QUANT."),OR(K21="",M21=0,N21="")),"►",IF(AND(ACOMPANHAMENTO="PLE",ORÇAMENTO!AC21="QUANT."),"►►",IF(AND(COUNTIF($P$11:$AQ$11,"▼")=0,H21&gt;0,I21=""),"◄",""))))</f>
        <v>#NAME?</v>
      </c>
      <c r="K21" s="345"/>
      <c r="L21" s="346" t="s">
        <v>876</v>
      </c>
      <c r="M21" s="347" t="n">
        <f aca="true">IF($D21&lt;&gt;"Serviço","",
          IF(AUTOEVENTO="manual",$A21,
                IF(ISERROR(MATCH($A21,$A$15:OFFSET($A21,-1,0),0)),MAX($M$15:OFFSET(M21,-1,0))+1,
                      INDEX($M$15:OFFSET(M21,-1,0),MATCH($A21,$A$15:OFFSET($A21,-1,0),0)))))</f>
        <v>1</v>
      </c>
      <c r="N21" s="348" t="str">
        <f aca="true">IF($D21&lt;&gt;"Serviço","",
         IF(AUTOEVENTO="Manual",
                IF($A21=0,"&lt;-- defina o número do agrupador",
                       OFFSET(EVENTOS!$D$15,$A21-$A$15,0)),
                OFFSET($F$15,$A21,0)))</f>
        <v>SERVIÇOS PRELIMINARES</v>
      </c>
      <c r="O21" s="349"/>
      <c r="Q21" s="349" t="n">
        <v>1</v>
      </c>
      <c r="R21" s="350"/>
      <c r="S21" s="350"/>
      <c r="T21" s="350"/>
      <c r="U21" s="350"/>
      <c r="V21" s="350"/>
      <c r="W21" s="350"/>
      <c r="X21" s="350"/>
      <c r="Y21" s="350"/>
      <c r="Z21" s="351"/>
      <c r="AA21" s="350"/>
      <c r="AB21" s="350"/>
      <c r="AC21" s="350"/>
      <c r="AD21" s="350"/>
      <c r="AE21" s="350"/>
      <c r="AF21" s="350"/>
      <c r="AG21" s="350"/>
      <c r="AH21" s="351"/>
      <c r="AI21" s="350"/>
      <c r="AJ21" s="350"/>
      <c r="AK21" s="350"/>
      <c r="AL21" s="350"/>
      <c r="AM21" s="350"/>
      <c r="AN21" s="350"/>
      <c r="AO21" s="350"/>
      <c r="AP21" s="351"/>
      <c r="AR21" s="352" t="n">
        <f aca="true">IF(AND($D21="Serviço",AR$12&lt;&gt;0,$H21&gt;0,OR(AUTOEVENTO&lt;&gt;"manual",$M21&lt;&gt;$A$15)),
        IF(Import.TipoArredondamento&lt;&gt;"TransfereGOV",
              ROUND(OFFSET($P21,0,AR$13),15-13*ORÇAMENTO!$AF$7)/$H21*OFFSET(ORÇAMENTO!$X$15,ROW(AR21)-ROW(AR$15),0),
              ROUND(ROUND(OFFSET($P21,0,AR$13),15-13*ORÇAMENTO!$AF$7)*OFFSET(ORÇAMENTO!$W$15,ROW(AR21)-ROW(AR$15),0),15-13*ORÇAMENTO!$AF$11)),
         0)</f>
        <v>1206.92</v>
      </c>
      <c r="AS21" s="352" t="n">
        <f aca="true">IF(AND($D21="Serviço",AS$12&lt;&gt;0,$H21&gt;0,OR(AUTOEVENTO&lt;&gt;"manual",$M21&lt;&gt;$A$15)),
        IF(Import.TipoArredondamento&lt;&gt;"TransfereGOV",
              ROUND(OFFSET($P21,0,AS$13),15-13*ORÇAMENTO!$AF$7)/$H21*OFFSET(ORÇAMENTO!$X$15,ROW(AS21)-ROW(AS$15),0),
              ROUND(ROUND(OFFSET($P21,0,AS$13),15-13*ORÇAMENTO!$AF$7)*OFFSET(ORÇAMENTO!$W$15,ROW(AS21)-ROW(AS$15),0),15-13*ORÇAMENTO!$AF$11)),
         0)</f>
        <v>0</v>
      </c>
      <c r="AT21" s="352" t="n">
        <f aca="true">IF(AND($D21="Serviço",AT$12&lt;&gt;0,$H21&gt;0,OR(AUTOEVENTO&lt;&gt;"manual",$M21&lt;&gt;$A$15)),
        IF(Import.TipoArredondamento&lt;&gt;"TransfereGOV",
              ROUND(OFFSET($P21,0,AT$13),15-13*ORÇAMENTO!$AF$7)/$H21*OFFSET(ORÇAMENTO!$X$15,ROW(AT21)-ROW(AT$15),0),
              ROUND(ROUND(OFFSET($P21,0,AT$13),15-13*ORÇAMENTO!$AF$7)*OFFSET(ORÇAMENTO!$W$15,ROW(AT21)-ROW(AT$15),0),15-13*ORÇAMENTO!$AF$11)),
         0)</f>
        <v>0</v>
      </c>
      <c r="AU21" s="352" t="n">
        <f aca="true">IF(AND($D21="Serviço",AU$12&lt;&gt;0,$H21&gt;0,OR(AUTOEVENTO&lt;&gt;"manual",$M21&lt;&gt;$A$15)),
        IF(Import.TipoArredondamento&lt;&gt;"TransfereGOV",
              ROUND(OFFSET($P21,0,AU$13),15-13*ORÇAMENTO!$AF$7)/$H21*OFFSET(ORÇAMENTO!$X$15,ROW(AU21)-ROW(AU$15),0),
              ROUND(ROUND(OFFSET($P21,0,AU$13),15-13*ORÇAMENTO!$AF$7)*OFFSET(ORÇAMENTO!$W$15,ROW(AU21)-ROW(AU$15),0),15-13*ORÇAMENTO!$AF$11)),
         0)</f>
        <v>0</v>
      </c>
      <c r="AV21" s="352" t="n">
        <f aca="true">IF(AND($D21="Serviço",AV$12&lt;&gt;0,$H21&gt;0,OR(AUTOEVENTO&lt;&gt;"manual",$M21&lt;&gt;$A$15)),
        IF(Import.TipoArredondamento&lt;&gt;"TransfereGOV",
              ROUND(OFFSET($P21,0,AV$13),15-13*ORÇAMENTO!$AF$7)/$H21*OFFSET(ORÇAMENTO!$X$15,ROW(AV21)-ROW(AV$15),0),
              ROUND(ROUND(OFFSET($P21,0,AV$13),15-13*ORÇAMENTO!$AF$7)*OFFSET(ORÇAMENTO!$W$15,ROW(AV21)-ROW(AV$15),0),15-13*ORÇAMENTO!$AF$11)),
         0)</f>
        <v>0</v>
      </c>
      <c r="AW21" s="352" t="n">
        <f aca="true">IF(AND($D21="Serviço",AW$12&lt;&gt;0,$H21&gt;0,OR(AUTOEVENTO&lt;&gt;"manual",$M21&lt;&gt;$A$15)),
        IF(Import.TipoArredondamento&lt;&gt;"TransfereGOV",
              ROUND(OFFSET($P21,0,AW$13),15-13*ORÇAMENTO!$AF$7)/$H21*OFFSET(ORÇAMENTO!$X$15,ROW(AW21)-ROW(AW$15),0),
              ROUND(ROUND(OFFSET($P21,0,AW$13),15-13*ORÇAMENTO!$AF$7)*OFFSET(ORÇAMENTO!$W$15,ROW(AW21)-ROW(AW$15),0),15-13*ORÇAMENTO!$AF$11)),
         0)</f>
        <v>0</v>
      </c>
      <c r="AX21" s="352" t="n">
        <f aca="true">IF(AND($D21="Serviço",AX$12&lt;&gt;0,$H21&gt;0,OR(AUTOEVENTO&lt;&gt;"manual",$M21&lt;&gt;$A$15)),
        IF(Import.TipoArredondamento&lt;&gt;"TransfereGOV",
              ROUND(OFFSET($P21,0,AX$13),15-13*ORÇAMENTO!$AF$7)/$H21*OFFSET(ORÇAMENTO!$X$15,ROW(AX21)-ROW(AX$15),0),
              ROUND(ROUND(OFFSET($P21,0,AX$13),15-13*ORÇAMENTO!$AF$7)*OFFSET(ORÇAMENTO!$W$15,ROW(AX21)-ROW(AX$15),0),15-13*ORÇAMENTO!$AF$11)),
         0)</f>
        <v>0</v>
      </c>
      <c r="AY21" s="352" t="n">
        <f aca="true">IF(AND($D21="Serviço",AY$12&lt;&gt;0,$H21&gt;0,OR(AUTOEVENTO&lt;&gt;"manual",$M21&lt;&gt;$A$15)),
        IF(Import.TipoArredondamento&lt;&gt;"TransfereGOV",
              ROUND(OFFSET($P21,0,AY$13),15-13*ORÇAMENTO!$AF$7)/$H21*OFFSET(ORÇAMENTO!$X$15,ROW(AY21)-ROW(AY$15),0),
              ROUND(ROUND(OFFSET($P21,0,AY$13),15-13*ORÇAMENTO!$AF$7)*OFFSET(ORÇAMENTO!$W$15,ROW(AY21)-ROW(AY$15),0),15-13*ORÇAMENTO!$AF$11)),
         0)</f>
        <v>0</v>
      </c>
      <c r="AZ21" s="352" t="n">
        <f aca="true">IF(AND($D21="Serviço",AZ$12&lt;&gt;0,$H21&gt;0,OR(AUTOEVENTO&lt;&gt;"manual",$M21&lt;&gt;$A$15)),
        IF(Import.TipoArredondamento&lt;&gt;"TransfereGOV",
              ROUND(OFFSET($P21,0,AZ$13),15-13*ORÇAMENTO!$AF$7)/$H21*OFFSET(ORÇAMENTO!$X$15,ROW(AZ21)-ROW(AZ$15),0),
              ROUND(ROUND(OFFSET($P21,0,AZ$13),15-13*ORÇAMENTO!$AF$7)*OFFSET(ORÇAMENTO!$W$15,ROW(AZ21)-ROW(AZ$15),0),15-13*ORÇAMENTO!$AF$11)),
         0)</f>
        <v>0</v>
      </c>
      <c r="BA21" s="352" t="n">
        <f aca="true">IF(AND($D21="Serviço",BA$12&lt;&gt;0,$H21&gt;0,OR(AUTOEVENTO&lt;&gt;"manual",$M21&lt;&gt;$A$15)),
        IF(Import.TipoArredondamento&lt;&gt;"TransfereGOV",
              ROUND(OFFSET($P21,0,BA$13),15-13*ORÇAMENTO!$AF$7)/$H21*OFFSET(ORÇAMENTO!$X$15,ROW(BA21)-ROW(BA$15),0),
              ROUND(ROUND(OFFSET($P21,0,BA$13),15-13*ORÇAMENTO!$AF$7)*OFFSET(ORÇAMENTO!$W$15,ROW(BA21)-ROW(BA$15),0),15-13*ORÇAMENTO!$AF$11)),
         0)</f>
        <v>0</v>
      </c>
      <c r="BB21" s="352" t="n">
        <f aca="true">IF(AND($D21="Serviço",BB$12&lt;&gt;0,$H21&gt;0,OR(AUTOEVENTO&lt;&gt;"manual",$M21&lt;&gt;$A$15)),
        IF(Import.TipoArredondamento&lt;&gt;"TransfereGOV",
              ROUND(OFFSET($P21,0,BB$13),15-13*ORÇAMENTO!$AF$7)/$H21*OFFSET(ORÇAMENTO!$X$15,ROW(BB21)-ROW(BB$15),0),
              ROUND(ROUND(OFFSET($P21,0,BB$13),15-13*ORÇAMENTO!$AF$7)*OFFSET(ORÇAMENTO!$W$15,ROW(BB21)-ROW(BB$15),0),15-13*ORÇAMENTO!$AF$11)),
         0)</f>
        <v>0</v>
      </c>
      <c r="BC21" s="352" t="n">
        <f aca="true">IF(AND($D21="Serviço",BC$12&lt;&gt;0,$H21&gt;0,OR(AUTOEVENTO&lt;&gt;"manual",$M21&lt;&gt;$A$15)),
        IF(Import.TipoArredondamento&lt;&gt;"TransfereGOV",
              ROUND(OFFSET($P21,0,BC$13),15-13*ORÇAMENTO!$AF$7)/$H21*OFFSET(ORÇAMENTO!$X$15,ROW(BC21)-ROW(BC$15),0),
              ROUND(ROUND(OFFSET($P21,0,BC$13),15-13*ORÇAMENTO!$AF$7)*OFFSET(ORÇAMENTO!$W$15,ROW(BC21)-ROW(BC$15),0),15-13*ORÇAMENTO!$AF$11)),
         0)</f>
        <v>0</v>
      </c>
      <c r="BD21" s="352" t="n">
        <f aca="true">IF(AND($D21="Serviço",BD$12&lt;&gt;0,$H21&gt;0,OR(AUTOEVENTO&lt;&gt;"manual",$M21&lt;&gt;$A$15)),
        IF(Import.TipoArredondamento&lt;&gt;"TransfereGOV",
              ROUND(OFFSET($P21,0,BD$13),15-13*ORÇAMENTO!$AF$7)/$H21*OFFSET(ORÇAMENTO!$X$15,ROW(BD21)-ROW(BD$15),0),
              ROUND(ROUND(OFFSET($P21,0,BD$13),15-13*ORÇAMENTO!$AF$7)*OFFSET(ORÇAMENTO!$W$15,ROW(BD21)-ROW(BD$15),0),15-13*ORÇAMENTO!$AF$11)),
         0)</f>
        <v>0</v>
      </c>
      <c r="BE21" s="352" t="n">
        <f aca="true">IF(AND($D21="Serviço",BE$12&lt;&gt;0,$H21&gt;0,OR(AUTOEVENTO&lt;&gt;"manual",$M21&lt;&gt;$A$15)),
        IF(Import.TipoArredondamento&lt;&gt;"TransfereGOV",
              ROUND(OFFSET($P21,0,BE$13),15-13*ORÇAMENTO!$AF$7)/$H21*OFFSET(ORÇAMENTO!$X$15,ROW(BE21)-ROW(BE$15),0),
              ROUND(ROUND(OFFSET($P21,0,BE$13),15-13*ORÇAMENTO!$AF$7)*OFFSET(ORÇAMENTO!$W$15,ROW(BE21)-ROW(BE$15),0),15-13*ORÇAMENTO!$AF$11)),
         0)</f>
        <v>0</v>
      </c>
      <c r="BF21" s="352" t="n">
        <f aca="true">IF(AND($D21="Serviço",BF$12&lt;&gt;0,$H21&gt;0,OR(AUTOEVENTO&lt;&gt;"manual",$M21&lt;&gt;$A$15)),
        IF(Import.TipoArredondamento&lt;&gt;"TransfereGOV",
              ROUND(OFFSET($P21,0,BF$13),15-13*ORÇAMENTO!$AF$7)/$H21*OFFSET(ORÇAMENTO!$X$15,ROW(BF21)-ROW(BF$15),0),
              ROUND(ROUND(OFFSET($P21,0,BF$13),15-13*ORÇAMENTO!$AF$7)*OFFSET(ORÇAMENTO!$W$15,ROW(BF21)-ROW(BF$15),0),15-13*ORÇAMENTO!$AF$11)),
         0)</f>
        <v>0</v>
      </c>
      <c r="BG21" s="352" t="n">
        <f aca="true">IF(AND($D21="Serviço",BG$12&lt;&gt;0,$H21&gt;0,OR(AUTOEVENTO&lt;&gt;"manual",$M21&lt;&gt;$A$15)),
        IF(Import.TipoArredondamento&lt;&gt;"TransfereGOV",
              ROUND(OFFSET($P21,0,BG$13),15-13*ORÇAMENTO!$AF$7)/$H21*OFFSET(ORÇAMENTO!$X$15,ROW(BG21)-ROW(BG$15),0),
              ROUND(ROUND(OFFSET($P21,0,BG$13),15-13*ORÇAMENTO!$AF$7)*OFFSET(ORÇAMENTO!$W$15,ROW(BG21)-ROW(BG$15),0),15-13*ORÇAMENTO!$AF$11)),
         0)</f>
        <v>0</v>
      </c>
      <c r="BH21" s="352" t="n">
        <f aca="true">IF(AND($D21="Serviço",BH$12&lt;&gt;0,$H21&gt;0,OR(AUTOEVENTO&lt;&gt;"manual",$M21&lt;&gt;$A$15)),
        IF(Import.TipoArredondamento&lt;&gt;"TransfereGOV",
              ROUND(OFFSET($P21,0,BH$13),15-13*ORÇAMENTO!$AF$7)/$H21*OFFSET(ORÇAMENTO!$X$15,ROW(BH21)-ROW(BH$15),0),
              ROUND(ROUND(OFFSET($P21,0,BH$13),15-13*ORÇAMENTO!$AF$7)*OFFSET(ORÇAMENTO!$W$15,ROW(BH21)-ROW(BH$15),0),15-13*ORÇAMENTO!$AF$11)),
         0)</f>
        <v>0</v>
      </c>
      <c r="BI21" s="352" t="n">
        <f aca="true">IF(AND($D21="Serviço",BI$12&lt;&gt;0,$H21&gt;0,OR(AUTOEVENTO&lt;&gt;"manual",$M21&lt;&gt;$A$15)),
        IF(Import.TipoArredondamento&lt;&gt;"TransfereGOV",
              ROUND(OFFSET($P21,0,BI$13),15-13*ORÇAMENTO!$AF$7)/$H21*OFFSET(ORÇAMENTO!$X$15,ROW(BI21)-ROW(BI$15),0),
              ROUND(ROUND(OFFSET($P21,0,BI$13),15-13*ORÇAMENTO!$AF$7)*OFFSET(ORÇAMENTO!$W$15,ROW(BI21)-ROW(BI$15),0),15-13*ORÇAMENTO!$AF$11)),
         0)</f>
        <v>0</v>
      </c>
      <c r="BJ21" s="352" t="n">
        <f aca="true">IF(AND($D21="Serviço",BJ$12&lt;&gt;0,$H21&gt;0,OR(AUTOEVENTO&lt;&gt;"manual",$M21&lt;&gt;$A$15)),
        IF(Import.TipoArredondamento&lt;&gt;"TransfereGOV",
              ROUND(OFFSET($P21,0,BJ$13),15-13*ORÇAMENTO!$AF$7)/$H21*OFFSET(ORÇAMENTO!$X$15,ROW(BJ21)-ROW(BJ$15),0),
              ROUND(ROUND(OFFSET($P21,0,BJ$13),15-13*ORÇAMENTO!$AF$7)*OFFSET(ORÇAMENTO!$W$15,ROW(BJ21)-ROW(BJ$15),0),15-13*ORÇAMENTO!$AF$11)),
         0)</f>
        <v>0</v>
      </c>
      <c r="BK21" s="352" t="n">
        <f aca="true">IF(AND($D21="Serviço",BK$12&lt;&gt;0,$H21&gt;0,OR(AUTOEVENTO&lt;&gt;"manual",$M21&lt;&gt;$A$15)),
        IF(Import.TipoArredondamento&lt;&gt;"TransfereGOV",
              ROUND(OFFSET($P21,0,BK$13),15-13*ORÇAMENTO!$AF$7)/$H21*OFFSET(ORÇAMENTO!$X$15,ROW(BK21)-ROW(BK$15),0),
              ROUND(ROUND(OFFSET($P21,0,BK$13),15-13*ORÇAMENTO!$AF$7)*OFFSET(ORÇAMENTO!$W$15,ROW(BK21)-ROW(BK$15),0),15-13*ORÇAMENTO!$AF$11)),
         0)</f>
        <v>0</v>
      </c>
      <c r="BL21" s="352" t="n">
        <f aca="true">IF(AND($D21="Serviço",BL$12&lt;&gt;0,$H21&gt;0,OR(AUTOEVENTO&lt;&gt;"manual",$M21&lt;&gt;$A$15)),
        IF(Import.TipoArredondamento&lt;&gt;"TransfereGOV",
              ROUND(OFFSET($P21,0,BL$13),15-13*ORÇAMENTO!$AF$7)/$H21*OFFSET(ORÇAMENTO!$X$15,ROW(BL21)-ROW(BL$15),0),
              ROUND(ROUND(OFFSET($P21,0,BL$13),15-13*ORÇAMENTO!$AF$7)*OFFSET(ORÇAMENTO!$W$15,ROW(BL21)-ROW(BL$15),0),15-13*ORÇAMENTO!$AF$11)),
         0)</f>
        <v>0</v>
      </c>
      <c r="BM21" s="352" t="n">
        <f aca="true">IF(AND($D21="Serviço",BM$12&lt;&gt;0,$H21&gt;0,OR(AUTOEVENTO&lt;&gt;"manual",$M21&lt;&gt;$A$15)),
        IF(Import.TipoArredondamento&lt;&gt;"TransfereGOV",
              ROUND(OFFSET($P21,0,BM$13),15-13*ORÇAMENTO!$AF$7)/$H21*OFFSET(ORÇAMENTO!$X$15,ROW(BM21)-ROW(BM$15),0),
              ROUND(ROUND(OFFSET($P21,0,BM$13),15-13*ORÇAMENTO!$AF$7)*OFFSET(ORÇAMENTO!$W$15,ROW(BM21)-ROW(BM$15),0),15-13*ORÇAMENTO!$AF$11)),
         0)</f>
        <v>0</v>
      </c>
      <c r="BN21" s="352" t="n">
        <f aca="true">IF(AND($D21="Serviço",BN$12&lt;&gt;0,$H21&gt;0,OR(AUTOEVENTO&lt;&gt;"manual",$M21&lt;&gt;$A$15)),
        IF(Import.TipoArredondamento&lt;&gt;"TransfereGOV",
              ROUND(OFFSET($P21,0,BN$13),15-13*ORÇAMENTO!$AF$7)/$H21*OFFSET(ORÇAMENTO!$X$15,ROW(BN21)-ROW(BN$15),0),
              ROUND(ROUND(OFFSET($P21,0,BN$13),15-13*ORÇAMENTO!$AF$7)*OFFSET(ORÇAMENTO!$W$15,ROW(BN21)-ROW(BN$15),0),15-13*ORÇAMENTO!$AF$11)),
         0)</f>
        <v>0</v>
      </c>
      <c r="BO21" s="352" t="n">
        <f aca="true">IF(AND($D21="Serviço",BO$12&lt;&gt;0,$H21&gt;0,OR(AUTOEVENTO&lt;&gt;"manual",$M21&lt;&gt;$A$15)),
        IF(Import.TipoArredondamento&lt;&gt;"TransfereGOV",
              ROUND(OFFSET($P21,0,BO$13),15-13*ORÇAMENTO!$AF$7)/$H21*OFFSET(ORÇAMENTO!$X$15,ROW(BO21)-ROW(BO$15),0),
              ROUND(ROUND(OFFSET($P21,0,BO$13),15-13*ORÇAMENTO!$AF$7)*OFFSET(ORÇAMENTO!$W$15,ROW(BO21)-ROW(BO$15),0),15-13*ORÇAMENTO!$AF$11)),
         0)</f>
        <v>0</v>
      </c>
      <c r="BP21" s="352" t="n">
        <f aca="true">IF(AND($D21="Serviço",BP$12&lt;&gt;0,$H21&gt;0,OR(AUTOEVENTO&lt;&gt;"manual",$M21&lt;&gt;$A$15)),
        IF(Import.TipoArredondamento&lt;&gt;"TransfereGOV",
              ROUND(OFFSET($P21,0,BP$13),15-13*ORÇAMENTO!$AF$7)/$H21*OFFSET(ORÇAMENTO!$X$15,ROW(BP21)-ROW(BP$15),0),
              ROUND(ROUND(OFFSET($P21,0,BP$13),15-13*ORÇAMENTO!$AF$7)*OFFSET(ORÇAMENTO!$W$15,ROW(BP21)-ROW(BP$15),0),15-13*ORÇAMENTO!$AF$11)),
         0)</f>
        <v>0</v>
      </c>
      <c r="BQ21" s="352" t="n">
        <f aca="true">IF(AND($D21="Serviço",BQ$12&lt;&gt;0,$H21&gt;0,OR(AUTOEVENTO&lt;&gt;"manual",$M21&lt;&gt;$A$15)),
        IF(Import.TipoArredondamento&lt;&gt;"TransfereGOV",
              ROUND(OFFSET($P21,0,BQ$13),15-13*ORÇAMENTO!$AF$7)/$H21*OFFSET(ORÇAMENTO!$X$15,ROW(BQ21)-ROW(BQ$15),0),
              ROUND(ROUND(OFFSET($P21,0,BQ$13),15-13*ORÇAMENTO!$AF$7)*OFFSET(ORÇAMENTO!$W$15,ROW(BQ21)-ROW(BQ$15),0),15-13*ORÇAMENTO!$AF$11)),
         0)</f>
        <v>0</v>
      </c>
      <c r="BS21" s="353" t="n">
        <f aca="true">IF(OR($D21&lt;&gt;"Serviço",AND(AUTOEVENTO="Manual",$M21=$A$15)),0,
         IF(OFFSET(CRONOPLE!$F$15,$M21-$A$15,BS$13)=0,10^12,OFFSET(CRONOPLE!$F$15,$M21-$A$15,BS$13)))</f>
        <v>1</v>
      </c>
      <c r="BT21" s="353" t="n">
        <f aca="true">IF(OR($D21&lt;&gt;"Serviço",AND(AUTOEVENTO="Manual",$M21=$A$15)),0,
         IF(OFFSET(CRONOPLE!$F$15,$M21-$A$15,BT$13)=0,10^12,OFFSET(CRONOPLE!$F$15,$M21-$A$15,BT$13)))</f>
        <v>2</v>
      </c>
      <c r="BU21" s="353" t="n">
        <f aca="true">IF(OR($D21&lt;&gt;"Serviço",AND(AUTOEVENTO="Manual",$M21=$A$15)),0,
         IF(OFFSET(CRONOPLE!$F$15,$M21-$A$15,BU$13)=0,10^12,OFFSET(CRONOPLE!$F$15,$M21-$A$15,BU$13)))</f>
        <v>3</v>
      </c>
      <c r="BV21" s="353" t="n">
        <f aca="true">IF(OR($D21&lt;&gt;"Serviço",AND(AUTOEVENTO="Manual",$M21=$A$15)),0,
         IF(OFFSET(CRONOPLE!$F$15,$M21-$A$15,BV$13)=0,10^12,OFFSET(CRONOPLE!$F$15,$M21-$A$15,BV$13)))</f>
        <v>4</v>
      </c>
      <c r="BW21" s="353" t="n">
        <f aca="true">IF(OR($D21&lt;&gt;"Serviço",AND(AUTOEVENTO="Manual",$M21=$A$15)),0,
         IF(OFFSET(CRONOPLE!$F$15,$M21-$A$15,BW$13)=0,10^12,OFFSET(CRONOPLE!$F$15,$M21-$A$15,BW$13)))</f>
        <v>5</v>
      </c>
      <c r="BX21" s="353" t="n">
        <f aca="true">IF(OR($D21&lt;&gt;"Serviço",AND(AUTOEVENTO="Manual",$M21=$A$15)),0,
         IF(OFFSET(CRONOPLE!$F$15,$M21-$A$15,BX$13)=0,10^12,OFFSET(CRONOPLE!$F$15,$M21-$A$15,BX$13)))</f>
        <v>6</v>
      </c>
      <c r="BY21" s="353" t="n">
        <f aca="true">IF(OR($D21&lt;&gt;"Serviço",AND(AUTOEVENTO="Manual",$M21=$A$15)),0,
         IF(OFFSET(CRONOPLE!$F$15,$M21-$A$15,BY$13)=0,10^12,OFFSET(CRONOPLE!$F$15,$M21-$A$15,BY$13)))</f>
        <v>7</v>
      </c>
      <c r="BZ21" s="353" t="n">
        <f aca="true">IF(OR($D21&lt;&gt;"Serviço",AND(AUTOEVENTO="Manual",$M21=$A$15)),0,
         IF(OFFSET(CRONOPLE!$F$15,$M21-$A$15,BZ$13)=0,10^12,OFFSET(CRONOPLE!$F$15,$M21-$A$15,BZ$13)))</f>
        <v>8</v>
      </c>
      <c r="CA21" s="353" t="n">
        <f aca="true">IF(OR($D21&lt;&gt;"Serviço",AND(AUTOEVENTO="Manual",$M21=$A$15)),0,
         IF(OFFSET(CRONOPLE!$F$15,$M21-$A$15,CA$13)=0,10^12,OFFSET(CRONOPLE!$F$15,$M21-$A$15,CA$13)))</f>
        <v>9</v>
      </c>
      <c r="CB21" s="353" t="n">
        <f aca="true">IF(OR($D21&lt;&gt;"Serviço",AND(AUTOEVENTO="Manual",$M21=$A$15)),0,
         IF(OFFSET(CRONOPLE!$F$15,$M21-$A$15,CB$13)=0,10^12,OFFSET(CRONOPLE!$F$15,$M21-$A$15,CB$13)))</f>
        <v>10</v>
      </c>
      <c r="CC21" s="353" t="n">
        <f aca="true">IF(OR($D21&lt;&gt;"Serviço",AND(AUTOEVENTO="Manual",$M21=$A$15)),0,
         IF(OFFSET(CRONOPLE!$F$15,$M21-$A$15,CC$13)=0,10^12,OFFSET(CRONOPLE!$F$15,$M21-$A$15,CC$13)))</f>
        <v>11</v>
      </c>
      <c r="CD21" s="353" t="n">
        <f aca="true">IF(OR($D21&lt;&gt;"Serviço",AND(AUTOEVENTO="Manual",$M21=$A$15)),0,
         IF(OFFSET(CRONOPLE!$F$15,$M21-$A$15,CD$13)=0,10^12,OFFSET(CRONOPLE!$F$15,$M21-$A$15,CD$13)))</f>
        <v>12</v>
      </c>
      <c r="CE21" s="353" t="n">
        <f aca="true">IF(OR($D21&lt;&gt;"Serviço",AND(AUTOEVENTO="Manual",$M21=$A$15)),0,
         IF(OFFSET(CRONOPLE!$F$15,$M21-$A$15,CE$13)=0,10^12,OFFSET(CRONOPLE!$F$15,$M21-$A$15,CE$13)))</f>
        <v>13</v>
      </c>
      <c r="CF21" s="353" t="n">
        <f aca="true">IF(OR($D21&lt;&gt;"Serviço",AND(AUTOEVENTO="Manual",$M21=$A$15)),0,
         IF(OFFSET(CRONOPLE!$F$15,$M21-$A$15,CF$13)=0,10^12,OFFSET(CRONOPLE!$F$15,$M21-$A$15,CF$13)))</f>
        <v>14</v>
      </c>
      <c r="CG21" s="353" t="n">
        <f aca="true">IF(OR($D21&lt;&gt;"Serviço",AND(AUTOEVENTO="Manual",$M21=$A$15)),0,
         IF(OFFSET(CRONOPLE!$F$15,$M21-$A$15,CG$13)=0,10^12,OFFSET(CRONOPLE!$F$15,$M21-$A$15,CG$13)))</f>
        <v>15</v>
      </c>
      <c r="CH21" s="353" t="n">
        <f aca="true">IF(OR($D21&lt;&gt;"Serviço",AND(AUTOEVENTO="Manual",$M21=$A$15)),0,
         IF(OFFSET(CRONOPLE!$F$15,$M21-$A$15,CH$13)=0,10^12,OFFSET(CRONOPLE!$F$15,$M21-$A$15,CH$13)))</f>
        <v>16</v>
      </c>
      <c r="CI21" s="353" t="n">
        <f aca="true">IF(OR($D21&lt;&gt;"Serviço",AND(AUTOEVENTO="Manual",$M21=$A$15)),0,
         IF(OFFSET(CRONOPLE!$F$15,$M21-$A$15,CI$13)=0,10^12,OFFSET(CRONOPLE!$F$15,$M21-$A$15,CI$13)))</f>
        <v>17</v>
      </c>
      <c r="CJ21" s="353" t="n">
        <f aca="true">IF(OR($D21&lt;&gt;"Serviço",AND(AUTOEVENTO="Manual",$M21=$A$15)),0,
         IF(OFFSET(CRONOPLE!$F$15,$M21-$A$15,CJ$13)=0,10^12,OFFSET(CRONOPLE!$F$15,$M21-$A$15,CJ$13)))</f>
        <v>18</v>
      </c>
      <c r="CK21" s="353" t="n">
        <f aca="true">IF(OR($D21&lt;&gt;"Serviço",AND(AUTOEVENTO="Manual",$M21=$A$15)),0,
         IF(OFFSET(CRONOPLE!$F$15,$M21-$A$15,CK$13)=0,10^12,OFFSET(CRONOPLE!$F$15,$M21-$A$15,CK$13)))</f>
        <v>19</v>
      </c>
      <c r="CL21" s="353" t="n">
        <f aca="true">IF(OR($D21&lt;&gt;"Serviço",AND(AUTOEVENTO="Manual",$M21=$A$15)),0,
         IF(OFFSET(CRONOPLE!$F$15,$M21-$A$15,CL$13)=0,10^12,OFFSET(CRONOPLE!$F$15,$M21-$A$15,CL$13)))</f>
        <v>20</v>
      </c>
      <c r="CM21" s="353" t="n">
        <f aca="true">IF(OR($D21&lt;&gt;"Serviço",AND(AUTOEVENTO="Manual",$M21=$A$15)),0,
         IF(OFFSET(CRONOPLE!$F$15,$M21-$A$15,CM$13)=0,10^12,OFFSET(CRONOPLE!$F$15,$M21-$A$15,CM$13)))</f>
        <v>21</v>
      </c>
      <c r="CN21" s="353" t="n">
        <f aca="true">IF(OR($D21&lt;&gt;"Serviço",AND(AUTOEVENTO="Manual",$M21=$A$15)),0,
         IF(OFFSET(CRONOPLE!$F$15,$M21-$A$15,CN$13)=0,10^12,OFFSET(CRONOPLE!$F$15,$M21-$A$15,CN$13)))</f>
        <v>22</v>
      </c>
      <c r="CO21" s="353" t="n">
        <f aca="true">IF(OR($D21&lt;&gt;"Serviço",AND(AUTOEVENTO="Manual",$M21=$A$15)),0,
         IF(OFFSET(CRONOPLE!$F$15,$M21-$A$15,CO$13)=0,10^12,OFFSET(CRONOPLE!$F$15,$M21-$A$15,CO$13)))</f>
        <v>23</v>
      </c>
      <c r="CP21" s="353" t="n">
        <f aca="true">IF(OR($D21&lt;&gt;"Serviço",AND(AUTOEVENTO="Manual",$M21=$A$15)),0,
         IF(OFFSET(CRONOPLE!$F$15,$M21-$A$15,CP$13)=0,10^12,OFFSET(CRONOPLE!$F$15,$M21-$A$15,CP$13)))</f>
        <v>24</v>
      </c>
      <c r="CQ21" s="353" t="n">
        <f aca="true">IF(OR($D21&lt;&gt;"Serviço",AND(AUTOEVENTO="Manual",$M21=$A$15)),0,
         IF(OFFSET(CRONOPLE!$F$15,$M21-$A$15,CQ$13)=0,10^12,OFFSET(CRONOPLE!$F$15,$M21-$A$15,CQ$13)))</f>
        <v>25</v>
      </c>
      <c r="CR21" s="353" t="n">
        <f aca="true">IF(OR($D21&lt;&gt;"Serviço",AND(AUTOEVENTO="Manual",$M21=$A$15)),0,
         IF(OFFSET(CRONOPLE!$F$15,$M21-$A$15,CR$13)=0,10^12,OFFSET(CRONOPLE!$F$15,$M21-$A$15,CR$13)))</f>
        <v>1000000000000</v>
      </c>
      <c r="CT21" s="354" t="n">
        <f aca="true">IF(OR($D21&lt;&gt;"Serviço",AND(AUTOEVENTO="Manual",$M21=$A$15),$M21&gt;(ROW(PLE.lastrow)-ROW(PLE.firstrow))),0,
           IF(OFFSET(PLE!$G$15,$M21-$A$15,CT$13)="",10^12,OFFSET(PLE!$G$15,$M21-$A$15,CT$13)))</f>
        <v>1000000000000</v>
      </c>
      <c r="CU21" s="354" t="n">
        <f aca="true">IF(OR($D21&lt;&gt;"Serviço",AND(AUTOEVENTO="Manual",$M21=$A$15),$M21&gt;(ROW(PLE.lastrow)-ROW(PLE.firstrow))),0,
           IF(OFFSET(PLE!$G$15,$M21-$A$15,CU$13)="",10^12,OFFSET(PLE!$G$15,$M21-$A$15,CU$13)))</f>
        <v>1000000000000</v>
      </c>
      <c r="CV21" s="354" t="n">
        <f aca="true">IF(OR($D21&lt;&gt;"Serviço",AND(AUTOEVENTO="Manual",$M21=$A$15),$M21&gt;(ROW(PLE.lastrow)-ROW(PLE.firstrow))),0,
           IF(OFFSET(PLE!$G$15,$M21-$A$15,CV$13)="",10^12,OFFSET(PLE!$G$15,$M21-$A$15,CV$13)))</f>
        <v>1000000000000</v>
      </c>
      <c r="CW21" s="354" t="n">
        <f aca="true">IF(OR($D21&lt;&gt;"Serviço",AND(AUTOEVENTO="Manual",$M21=$A$15),$M21&gt;(ROW(PLE.lastrow)-ROW(PLE.firstrow))),0,
           IF(OFFSET(PLE!$G$15,$M21-$A$15,CW$13)="",10^12,OFFSET(PLE!$G$15,$M21-$A$15,CW$13)))</f>
        <v>1000000000000</v>
      </c>
      <c r="CX21" s="354" t="n">
        <f aca="true">IF(OR($D21&lt;&gt;"Serviço",AND(AUTOEVENTO="Manual",$M21=$A$15),$M21&gt;(ROW(PLE.lastrow)-ROW(PLE.firstrow))),0,
           IF(OFFSET(PLE!$G$15,$M21-$A$15,CX$13)="",10^12,OFFSET(PLE!$G$15,$M21-$A$15,CX$13)))</f>
        <v>1000000000000</v>
      </c>
      <c r="CY21" s="354" t="n">
        <f aca="true">IF(OR($D21&lt;&gt;"Serviço",AND(AUTOEVENTO="Manual",$M21=$A$15),$M21&gt;(ROW(PLE.lastrow)-ROW(PLE.firstrow))),0,
           IF(OFFSET(PLE!$G$15,$M21-$A$15,CY$13)="",10^12,OFFSET(PLE!$G$15,$M21-$A$15,CY$13)))</f>
        <v>1000000000000</v>
      </c>
      <c r="CZ21" s="354" t="n">
        <f aca="true">IF(OR($D21&lt;&gt;"Serviço",AND(AUTOEVENTO="Manual",$M21=$A$15),$M21&gt;(ROW(PLE.lastrow)-ROW(PLE.firstrow))),0,
           IF(OFFSET(PLE!$G$15,$M21-$A$15,CZ$13)="",10^12,OFFSET(PLE!$G$15,$M21-$A$15,CZ$13)))</f>
        <v>1000000000000</v>
      </c>
      <c r="DA21" s="354" t="n">
        <f aca="true">IF(OR($D21&lt;&gt;"Serviço",AND(AUTOEVENTO="Manual",$M21=$A$15),$M21&gt;(ROW(PLE.lastrow)-ROW(PLE.firstrow))),0,
           IF(OFFSET(PLE!$G$15,$M21-$A$15,DA$13)="",10^12,OFFSET(PLE!$G$15,$M21-$A$15,DA$13)))</f>
        <v>1000000000000</v>
      </c>
      <c r="DB21" s="354" t="n">
        <f aca="true">IF(OR($D21&lt;&gt;"Serviço",AND(AUTOEVENTO="Manual",$M21=$A$15),$M21&gt;(ROW(PLE.lastrow)-ROW(PLE.firstrow))),0,
           IF(OFFSET(PLE!$G$15,$M21-$A$15,DB$13)="",10^12,OFFSET(PLE!$G$15,$M21-$A$15,DB$13)))</f>
        <v>1000000000000</v>
      </c>
      <c r="DC21" s="354" t="n">
        <f aca="true">IF(OR($D21&lt;&gt;"Serviço",AND(AUTOEVENTO="Manual",$M21=$A$15),$M21&gt;(ROW(PLE.lastrow)-ROW(PLE.firstrow))),0,
           IF(OFFSET(PLE!$G$15,$M21-$A$15,DC$13)="",10^12,OFFSET(PLE!$G$15,$M21-$A$15,DC$13)))</f>
        <v>1000000000000</v>
      </c>
      <c r="DD21" s="354" t="n">
        <f aca="true">IF(OR($D21&lt;&gt;"Serviço",AND(AUTOEVENTO="Manual",$M21=$A$15),$M21&gt;(ROW(PLE.lastrow)-ROW(PLE.firstrow))),0,
           IF(OFFSET(PLE!$G$15,$M21-$A$15,DD$13)="",10^12,OFFSET(PLE!$G$15,$M21-$A$15,DD$13)))</f>
        <v>1000000000000</v>
      </c>
      <c r="DE21" s="354" t="n">
        <f aca="true">IF(OR($D21&lt;&gt;"Serviço",AND(AUTOEVENTO="Manual",$M21=$A$15),$M21&gt;(ROW(PLE.lastrow)-ROW(PLE.firstrow))),0,
           IF(OFFSET(PLE!$G$15,$M21-$A$15,DE$13)="",10^12,OFFSET(PLE!$G$15,$M21-$A$15,DE$13)))</f>
        <v>1000000000000</v>
      </c>
      <c r="DF21" s="354" t="n">
        <f aca="true">IF(OR($D21&lt;&gt;"Serviço",AND(AUTOEVENTO="Manual",$M21=$A$15),$M21&gt;(ROW(PLE.lastrow)-ROW(PLE.firstrow))),0,
           IF(OFFSET(PLE!$G$15,$M21-$A$15,DF$13)="",10^12,OFFSET(PLE!$G$15,$M21-$A$15,DF$13)))</f>
        <v>1000000000000</v>
      </c>
      <c r="DG21" s="354" t="n">
        <f aca="true">IF(OR($D21&lt;&gt;"Serviço",AND(AUTOEVENTO="Manual",$M21=$A$15),$M21&gt;(ROW(PLE.lastrow)-ROW(PLE.firstrow))),0,
           IF(OFFSET(PLE!$G$15,$M21-$A$15,DG$13)="",10^12,OFFSET(PLE!$G$15,$M21-$A$15,DG$13)))</f>
        <v>1000000000000</v>
      </c>
      <c r="DH21" s="354" t="n">
        <f aca="true">IF(OR($D21&lt;&gt;"Serviço",AND(AUTOEVENTO="Manual",$M21=$A$15),$M21&gt;(ROW(PLE.lastrow)-ROW(PLE.firstrow))),0,
           IF(OFFSET(PLE!$G$15,$M21-$A$15,DH$13)="",10^12,OFFSET(PLE!$G$15,$M21-$A$15,DH$13)))</f>
        <v>1000000000000</v>
      </c>
      <c r="DI21" s="354" t="n">
        <f aca="true">IF(OR($D21&lt;&gt;"Serviço",AND(AUTOEVENTO="Manual",$M21=$A$15),$M21&gt;(ROW(PLE.lastrow)-ROW(PLE.firstrow))),0,
           IF(OFFSET(PLE!$G$15,$M21-$A$15,DI$13)="",10^12,OFFSET(PLE!$G$15,$M21-$A$15,DI$13)))</f>
        <v>1000000000000</v>
      </c>
      <c r="DJ21" s="354" t="n">
        <f aca="true">IF(OR($D21&lt;&gt;"Serviço",AND(AUTOEVENTO="Manual",$M21=$A$15),$M21&gt;(ROW(PLE.lastrow)-ROW(PLE.firstrow))),0,
           IF(OFFSET(PLE!$G$15,$M21-$A$15,DJ$13)="",10^12,OFFSET(PLE!$G$15,$M21-$A$15,DJ$13)))</f>
        <v>1000000000000</v>
      </c>
      <c r="DK21" s="354" t="n">
        <f aca="true">IF(OR($D21&lt;&gt;"Serviço",AND(AUTOEVENTO="Manual",$M21=$A$15),$M21&gt;(ROW(PLE.lastrow)-ROW(PLE.firstrow))),0,
           IF(OFFSET(PLE!$G$15,$M21-$A$15,DK$13)="",10^12,OFFSET(PLE!$G$15,$M21-$A$15,DK$13)))</f>
        <v>1000000000000</v>
      </c>
      <c r="DL21" s="354" t="n">
        <f aca="true">IF(OR($D21&lt;&gt;"Serviço",AND(AUTOEVENTO="Manual",$M21=$A$15),$M21&gt;(ROW(PLE.lastrow)-ROW(PLE.firstrow))),0,
           IF(OFFSET(PLE!$G$15,$M21-$A$15,DL$13)="",10^12,OFFSET(PLE!$G$15,$M21-$A$15,DL$13)))</f>
        <v>1000000000000</v>
      </c>
      <c r="DM21" s="354" t="n">
        <f aca="true">IF(OR($D21&lt;&gt;"Serviço",AND(AUTOEVENTO="Manual",$M21=$A$15),$M21&gt;(ROW(PLE.lastrow)-ROW(PLE.firstrow))),0,
           IF(OFFSET(PLE!$G$15,$M21-$A$15,DM$13)="",10^12,OFFSET(PLE!$G$15,$M21-$A$15,DM$13)))</f>
        <v>1000000000000</v>
      </c>
      <c r="DN21" s="354" t="n">
        <f aca="true">IF(OR($D21&lt;&gt;"Serviço",AND(AUTOEVENTO="Manual",$M21=$A$15),$M21&gt;(ROW(PLE.lastrow)-ROW(PLE.firstrow))),0,
           IF(OFFSET(PLE!$G$15,$M21-$A$15,DN$13)="",10^12,OFFSET(PLE!$G$15,$M21-$A$15,DN$13)))</f>
        <v>1000000000000</v>
      </c>
      <c r="DO21" s="354" t="n">
        <f aca="true">IF(OR($D21&lt;&gt;"Serviço",AND(AUTOEVENTO="Manual",$M21=$A$15),$M21&gt;(ROW(PLE.lastrow)-ROW(PLE.firstrow))),0,
           IF(OFFSET(PLE!$G$15,$M21-$A$15,DO$13)="",10^12,OFFSET(PLE!$G$15,$M21-$A$15,DO$13)))</f>
        <v>1000000000000</v>
      </c>
      <c r="DP21" s="354" t="n">
        <f aca="true">IF(OR($D21&lt;&gt;"Serviço",AND(AUTOEVENTO="Manual",$M21=$A$15),$M21&gt;(ROW(PLE.lastrow)-ROW(PLE.firstrow))),0,
           IF(OFFSET(PLE!$G$15,$M21-$A$15,DP$13)="",10^12,OFFSET(PLE!$G$15,$M21-$A$15,DP$13)))</f>
        <v>1000000000000</v>
      </c>
      <c r="DQ21" s="354" t="n">
        <f aca="true">IF(OR($D21&lt;&gt;"Serviço",AND(AUTOEVENTO="Manual",$M21=$A$15),$M21&gt;(ROW(PLE.lastrow)-ROW(PLE.firstrow))),0,
           IF(OFFSET(PLE!$G$15,$M21-$A$15,DQ$13)="",10^12,OFFSET(PLE!$G$15,$M21-$A$15,DQ$13)))</f>
        <v>1000000000000</v>
      </c>
      <c r="DR21" s="354" t="n">
        <f aca="true">IF(OR($D21&lt;&gt;"Serviço",AND(AUTOEVENTO="Manual",$M21=$A$15),$M21&gt;(ROW(PLE.lastrow)-ROW(PLE.firstrow))),0,
           IF(OFFSET(PLE!$G$15,$M21-$A$15,DR$13)="",10^12,OFFSET(PLE!$G$15,$M21-$A$15,DR$13)))</f>
        <v>1000000000000</v>
      </c>
      <c r="DS21" s="354" t="n">
        <f aca="true">IF(OR($D21&lt;&gt;"Serviço",AND(AUTOEVENTO="Manual",$M21=$A$15),$M21&gt;(ROW(PLE.lastrow)-ROW(PLE.firstrow))),0,
           IF(OFFSET(PLE!$G$15,$M21-$A$15,DS$13)="",10^12,OFFSET(PLE!$G$15,$M21-$A$15,DS$13)))</f>
        <v>1000000000000</v>
      </c>
    </row>
    <row r="22" customFormat="false" ht="35.05" hidden="false" customHeight="false" outlineLevel="0" collapsed="false">
      <c r="A22" s="50" t="str">
        <f aca="true">IFERROR(IF(AUTOEVENTO="Manual",IF(K22&lt;&gt;"",MIN(VALUE(LEFT(K22,FIND(".",K22)-1)),COUNTA(EVENTOS.Lista)),0),IF(OR($B22&gt;AUTOEVENTO,$B22="S",$B22=0),SUBSTITUTE(OFFSET($A22,-1,0),IF($D22="Serviço",".",""),""),ROW(A22)-ROW($A$15)&amp;".")),0)</f>
        <v>2</v>
      </c>
      <c r="B22" s="50" t="str">
        <f aca="true">OFFSET(ORÇAMENTO!C$15,ROW(B22)-ROW(B$15),0)</f>
        <v>S</v>
      </c>
      <c r="C22" s="50" t="str">
        <f aca="true">OFFSET(ORÇAMENTO!L$15,ROW(C22)-ROW(C$15),0)</f>
        <v>F</v>
      </c>
      <c r="D22" s="201" t="str">
        <f aca="true">OFFSET(ORÇAMENTO!N$15,ROW(D22)-ROW(D$15),0)</f>
        <v>Serviço</v>
      </c>
      <c r="E22" s="202" t="str">
        <f aca="true">OFFSET(ORÇAMENTO!O$15,ROW(E22)-ROW(E$15),0)</f>
        <v>1.1.5.</v>
      </c>
      <c r="F22" s="341" t="str">
        <f aca="true">OFFSET(ORÇAMENTO!R$15,ROW(F22)-ROW(F$15),0)</f>
        <v>LIMPEZA MECANIZADA DE CAMADA VEGETAL, VEGETAÇÃO E PEQUENAS ÁRVORES DIÂMETRO DE TRONCO MENOR QUE 0,20 M), COM TRATOR DE ESTEIRAS. AF_03/2024</v>
      </c>
      <c r="G22" s="342" t="str">
        <f aca="true">IF($D22&lt;&gt;"Serviço","",OFFSET(ORÇAMENTO!S$15,ROW(G22)-ROW(G$15),0))</f>
        <v>M2</v>
      </c>
      <c r="H22" s="207" t="n">
        <f aca="true">IF($D22&lt;&gt;"Serviço",0,IF(ACOMPANHAMENTO="BM",ROUND(OFFSET(ORÇAMENTO!AJ$15,ROW(H22)-ROW(H$15),0),15-13*ORÇAMENTO!$AF$7),SUMPRODUCT(($Q$1:$AQ$1=1)*ROUND($Q22:$AQ22,15-13*ORÇAMENTO!$AF$7))))</f>
        <v>5040</v>
      </c>
      <c r="I22" s="343" t="s">
        <v>917</v>
      </c>
      <c r="J22" s="344" t="e">
        <f aca="false">IF(OR(B22&lt;&gt;"S",CÁLCULO.FrentesPreenchidas=0),"",IF(AND(ACOMPANHAMENTO="PLE",AUTOEVENTO="Manual",OR(H22&gt;0,ORÇAMENTO!AC22="QUANT."),OR(K22="",M22=0,N22="")),"►",IF(AND(ACOMPANHAMENTO="PLE",ORÇAMENTO!AC22="QUANT."),"►►",IF(AND(COUNTIF($P$11:$AQ$11,"▼")=0,H22&gt;0,I22=""),"◄",""))))</f>
        <v>#NAME?</v>
      </c>
      <c r="K22" s="345"/>
      <c r="L22" s="346" t="s">
        <v>876</v>
      </c>
      <c r="M22" s="347" t="n">
        <f aca="true">IF($D22&lt;&gt;"Serviço","",
          IF(AUTOEVENTO="manual",$A22,
                IF(ISERROR(MATCH($A22,$A$15:OFFSET($A22,-1,0),0)),MAX($M$15:OFFSET(M22,-1,0))+1,
                      INDEX($M$15:OFFSET(M22,-1,0),MATCH($A22,$A$15:OFFSET($A22,-1,0),0)))))</f>
        <v>1</v>
      </c>
      <c r="N22" s="348" t="str">
        <f aca="true">IF($D22&lt;&gt;"Serviço","",
         IF(AUTOEVENTO="Manual",
                IF($A22=0,"&lt;-- defina o número do agrupador",
                       OFFSET(EVENTOS!$D$15,$A22-$A$15,0)),
                OFFSET($F$15,$A22,0)))</f>
        <v>SERVIÇOS PRELIMINARES</v>
      </c>
      <c r="O22" s="349"/>
      <c r="Q22" s="349" t="n">
        <f aca="false">5040/3</f>
        <v>1680</v>
      </c>
      <c r="R22" s="350" t="n">
        <v>1680</v>
      </c>
      <c r="S22" s="350" t="n">
        <v>1680</v>
      </c>
      <c r="T22" s="350"/>
      <c r="U22" s="350"/>
      <c r="V22" s="350"/>
      <c r="W22" s="350"/>
      <c r="X22" s="350"/>
      <c r="Y22" s="350"/>
      <c r="Z22" s="351"/>
      <c r="AA22" s="350"/>
      <c r="AB22" s="350"/>
      <c r="AC22" s="350"/>
      <c r="AD22" s="350"/>
      <c r="AE22" s="350"/>
      <c r="AF22" s="350"/>
      <c r="AG22" s="350"/>
      <c r="AH22" s="351"/>
      <c r="AI22" s="350"/>
      <c r="AJ22" s="350"/>
      <c r="AK22" s="350"/>
      <c r="AL22" s="350"/>
      <c r="AM22" s="350"/>
      <c r="AN22" s="350"/>
      <c r="AO22" s="350"/>
      <c r="AP22" s="351"/>
      <c r="AR22" s="352" t="n">
        <f aca="true">IF(AND($D22="Serviço",AR$12&lt;&gt;0,$H22&gt;0,OR(AUTOEVENTO&lt;&gt;"manual",$M22&lt;&gt;$A$15)),
        IF(Import.TipoArredondamento&lt;&gt;"TransfereGOV",
              ROUND(OFFSET($P22,0,AR$13),15-13*ORÇAMENTO!$AF$7)/$H22*OFFSET(ORÇAMENTO!$X$15,ROW(AR22)-ROW(AR$15),0),
              ROUND(ROUND(OFFSET($P22,0,AR$13),15-13*ORÇAMENTO!$AF$7)*OFFSET(ORÇAMENTO!$W$15,ROW(AR22)-ROW(AR$15),0),15-13*ORÇAMENTO!$AF$11)),
         0)</f>
        <v>1478.4</v>
      </c>
      <c r="AS22" s="352" t="n">
        <f aca="true">IF(AND($D22="Serviço",AS$12&lt;&gt;0,$H22&gt;0,OR(AUTOEVENTO&lt;&gt;"manual",$M22&lt;&gt;$A$15)),
        IF(Import.TipoArredondamento&lt;&gt;"TransfereGOV",
              ROUND(OFFSET($P22,0,AS$13),15-13*ORÇAMENTO!$AF$7)/$H22*OFFSET(ORÇAMENTO!$X$15,ROW(AS22)-ROW(AS$15),0),
              ROUND(ROUND(OFFSET($P22,0,AS$13),15-13*ORÇAMENTO!$AF$7)*OFFSET(ORÇAMENTO!$W$15,ROW(AS22)-ROW(AS$15),0),15-13*ORÇAMENTO!$AF$11)),
         0)</f>
        <v>1478.4</v>
      </c>
      <c r="AT22" s="352" t="n">
        <f aca="true">IF(AND($D22="Serviço",AT$12&lt;&gt;0,$H22&gt;0,OR(AUTOEVENTO&lt;&gt;"manual",$M22&lt;&gt;$A$15)),
        IF(Import.TipoArredondamento&lt;&gt;"TransfereGOV",
              ROUND(OFFSET($P22,0,AT$13),15-13*ORÇAMENTO!$AF$7)/$H22*OFFSET(ORÇAMENTO!$X$15,ROW(AT22)-ROW(AT$15),0),
              ROUND(ROUND(OFFSET($P22,0,AT$13),15-13*ORÇAMENTO!$AF$7)*OFFSET(ORÇAMENTO!$W$15,ROW(AT22)-ROW(AT$15),0),15-13*ORÇAMENTO!$AF$11)),
         0)</f>
        <v>1478.4</v>
      </c>
      <c r="AU22" s="352" t="n">
        <f aca="true">IF(AND($D22="Serviço",AU$12&lt;&gt;0,$H22&gt;0,OR(AUTOEVENTO&lt;&gt;"manual",$M22&lt;&gt;$A$15)),
        IF(Import.TipoArredondamento&lt;&gt;"TransfereGOV",
              ROUND(OFFSET($P22,0,AU$13),15-13*ORÇAMENTO!$AF$7)/$H22*OFFSET(ORÇAMENTO!$X$15,ROW(AU22)-ROW(AU$15),0),
              ROUND(ROUND(OFFSET($P22,0,AU$13),15-13*ORÇAMENTO!$AF$7)*OFFSET(ORÇAMENTO!$W$15,ROW(AU22)-ROW(AU$15),0),15-13*ORÇAMENTO!$AF$11)),
         0)</f>
        <v>0</v>
      </c>
      <c r="AV22" s="352" t="n">
        <f aca="true">IF(AND($D22="Serviço",AV$12&lt;&gt;0,$H22&gt;0,OR(AUTOEVENTO&lt;&gt;"manual",$M22&lt;&gt;$A$15)),
        IF(Import.TipoArredondamento&lt;&gt;"TransfereGOV",
              ROUND(OFFSET($P22,0,AV$13),15-13*ORÇAMENTO!$AF$7)/$H22*OFFSET(ORÇAMENTO!$X$15,ROW(AV22)-ROW(AV$15),0),
              ROUND(ROUND(OFFSET($P22,0,AV$13),15-13*ORÇAMENTO!$AF$7)*OFFSET(ORÇAMENTO!$W$15,ROW(AV22)-ROW(AV$15),0),15-13*ORÇAMENTO!$AF$11)),
         0)</f>
        <v>0</v>
      </c>
      <c r="AW22" s="352" t="n">
        <f aca="true">IF(AND($D22="Serviço",AW$12&lt;&gt;0,$H22&gt;0,OR(AUTOEVENTO&lt;&gt;"manual",$M22&lt;&gt;$A$15)),
        IF(Import.TipoArredondamento&lt;&gt;"TransfereGOV",
              ROUND(OFFSET($P22,0,AW$13),15-13*ORÇAMENTO!$AF$7)/$H22*OFFSET(ORÇAMENTO!$X$15,ROW(AW22)-ROW(AW$15),0),
              ROUND(ROUND(OFFSET($P22,0,AW$13),15-13*ORÇAMENTO!$AF$7)*OFFSET(ORÇAMENTO!$W$15,ROW(AW22)-ROW(AW$15),0),15-13*ORÇAMENTO!$AF$11)),
         0)</f>
        <v>0</v>
      </c>
      <c r="AX22" s="352" t="n">
        <f aca="true">IF(AND($D22="Serviço",AX$12&lt;&gt;0,$H22&gt;0,OR(AUTOEVENTO&lt;&gt;"manual",$M22&lt;&gt;$A$15)),
        IF(Import.TipoArredondamento&lt;&gt;"TransfereGOV",
              ROUND(OFFSET($P22,0,AX$13),15-13*ORÇAMENTO!$AF$7)/$H22*OFFSET(ORÇAMENTO!$X$15,ROW(AX22)-ROW(AX$15),0),
              ROUND(ROUND(OFFSET($P22,0,AX$13),15-13*ORÇAMENTO!$AF$7)*OFFSET(ORÇAMENTO!$W$15,ROW(AX22)-ROW(AX$15),0),15-13*ORÇAMENTO!$AF$11)),
         0)</f>
        <v>0</v>
      </c>
      <c r="AY22" s="352" t="n">
        <f aca="true">IF(AND($D22="Serviço",AY$12&lt;&gt;0,$H22&gt;0,OR(AUTOEVENTO&lt;&gt;"manual",$M22&lt;&gt;$A$15)),
        IF(Import.TipoArredondamento&lt;&gt;"TransfereGOV",
              ROUND(OFFSET($P22,0,AY$13),15-13*ORÇAMENTO!$AF$7)/$H22*OFFSET(ORÇAMENTO!$X$15,ROW(AY22)-ROW(AY$15),0),
              ROUND(ROUND(OFFSET($P22,0,AY$13),15-13*ORÇAMENTO!$AF$7)*OFFSET(ORÇAMENTO!$W$15,ROW(AY22)-ROW(AY$15),0),15-13*ORÇAMENTO!$AF$11)),
         0)</f>
        <v>0</v>
      </c>
      <c r="AZ22" s="352" t="n">
        <f aca="true">IF(AND($D22="Serviço",AZ$12&lt;&gt;0,$H22&gt;0,OR(AUTOEVENTO&lt;&gt;"manual",$M22&lt;&gt;$A$15)),
        IF(Import.TipoArredondamento&lt;&gt;"TransfereGOV",
              ROUND(OFFSET($P22,0,AZ$13),15-13*ORÇAMENTO!$AF$7)/$H22*OFFSET(ORÇAMENTO!$X$15,ROW(AZ22)-ROW(AZ$15),0),
              ROUND(ROUND(OFFSET($P22,0,AZ$13),15-13*ORÇAMENTO!$AF$7)*OFFSET(ORÇAMENTO!$W$15,ROW(AZ22)-ROW(AZ$15),0),15-13*ORÇAMENTO!$AF$11)),
         0)</f>
        <v>0</v>
      </c>
      <c r="BA22" s="352" t="n">
        <f aca="true">IF(AND($D22="Serviço",BA$12&lt;&gt;0,$H22&gt;0,OR(AUTOEVENTO&lt;&gt;"manual",$M22&lt;&gt;$A$15)),
        IF(Import.TipoArredondamento&lt;&gt;"TransfereGOV",
              ROUND(OFFSET($P22,0,BA$13),15-13*ORÇAMENTO!$AF$7)/$H22*OFFSET(ORÇAMENTO!$X$15,ROW(BA22)-ROW(BA$15),0),
              ROUND(ROUND(OFFSET($P22,0,BA$13),15-13*ORÇAMENTO!$AF$7)*OFFSET(ORÇAMENTO!$W$15,ROW(BA22)-ROW(BA$15),0),15-13*ORÇAMENTO!$AF$11)),
         0)</f>
        <v>0</v>
      </c>
      <c r="BB22" s="352" t="n">
        <f aca="true">IF(AND($D22="Serviço",BB$12&lt;&gt;0,$H22&gt;0,OR(AUTOEVENTO&lt;&gt;"manual",$M22&lt;&gt;$A$15)),
        IF(Import.TipoArredondamento&lt;&gt;"TransfereGOV",
              ROUND(OFFSET($P22,0,BB$13),15-13*ORÇAMENTO!$AF$7)/$H22*OFFSET(ORÇAMENTO!$X$15,ROW(BB22)-ROW(BB$15),0),
              ROUND(ROUND(OFFSET($P22,0,BB$13),15-13*ORÇAMENTO!$AF$7)*OFFSET(ORÇAMENTO!$W$15,ROW(BB22)-ROW(BB$15),0),15-13*ORÇAMENTO!$AF$11)),
         0)</f>
        <v>0</v>
      </c>
      <c r="BC22" s="352" t="n">
        <f aca="true">IF(AND($D22="Serviço",BC$12&lt;&gt;0,$H22&gt;0,OR(AUTOEVENTO&lt;&gt;"manual",$M22&lt;&gt;$A$15)),
        IF(Import.TipoArredondamento&lt;&gt;"TransfereGOV",
              ROUND(OFFSET($P22,0,BC$13),15-13*ORÇAMENTO!$AF$7)/$H22*OFFSET(ORÇAMENTO!$X$15,ROW(BC22)-ROW(BC$15),0),
              ROUND(ROUND(OFFSET($P22,0,BC$13),15-13*ORÇAMENTO!$AF$7)*OFFSET(ORÇAMENTO!$W$15,ROW(BC22)-ROW(BC$15),0),15-13*ORÇAMENTO!$AF$11)),
         0)</f>
        <v>0</v>
      </c>
      <c r="BD22" s="352" t="n">
        <f aca="true">IF(AND($D22="Serviço",BD$12&lt;&gt;0,$H22&gt;0,OR(AUTOEVENTO&lt;&gt;"manual",$M22&lt;&gt;$A$15)),
        IF(Import.TipoArredondamento&lt;&gt;"TransfereGOV",
              ROUND(OFFSET($P22,0,BD$13),15-13*ORÇAMENTO!$AF$7)/$H22*OFFSET(ORÇAMENTO!$X$15,ROW(BD22)-ROW(BD$15),0),
              ROUND(ROUND(OFFSET($P22,0,BD$13),15-13*ORÇAMENTO!$AF$7)*OFFSET(ORÇAMENTO!$W$15,ROW(BD22)-ROW(BD$15),0),15-13*ORÇAMENTO!$AF$11)),
         0)</f>
        <v>0</v>
      </c>
      <c r="BE22" s="352" t="n">
        <f aca="true">IF(AND($D22="Serviço",BE$12&lt;&gt;0,$H22&gt;0,OR(AUTOEVENTO&lt;&gt;"manual",$M22&lt;&gt;$A$15)),
        IF(Import.TipoArredondamento&lt;&gt;"TransfereGOV",
              ROUND(OFFSET($P22,0,BE$13),15-13*ORÇAMENTO!$AF$7)/$H22*OFFSET(ORÇAMENTO!$X$15,ROW(BE22)-ROW(BE$15),0),
              ROUND(ROUND(OFFSET($P22,0,BE$13),15-13*ORÇAMENTO!$AF$7)*OFFSET(ORÇAMENTO!$W$15,ROW(BE22)-ROW(BE$15),0),15-13*ORÇAMENTO!$AF$11)),
         0)</f>
        <v>0</v>
      </c>
      <c r="BF22" s="352" t="n">
        <f aca="true">IF(AND($D22="Serviço",BF$12&lt;&gt;0,$H22&gt;0,OR(AUTOEVENTO&lt;&gt;"manual",$M22&lt;&gt;$A$15)),
        IF(Import.TipoArredondamento&lt;&gt;"TransfereGOV",
              ROUND(OFFSET($P22,0,BF$13),15-13*ORÇAMENTO!$AF$7)/$H22*OFFSET(ORÇAMENTO!$X$15,ROW(BF22)-ROW(BF$15),0),
              ROUND(ROUND(OFFSET($P22,0,BF$13),15-13*ORÇAMENTO!$AF$7)*OFFSET(ORÇAMENTO!$W$15,ROW(BF22)-ROW(BF$15),0),15-13*ORÇAMENTO!$AF$11)),
         0)</f>
        <v>0</v>
      </c>
      <c r="BG22" s="352" t="n">
        <f aca="true">IF(AND($D22="Serviço",BG$12&lt;&gt;0,$H22&gt;0,OR(AUTOEVENTO&lt;&gt;"manual",$M22&lt;&gt;$A$15)),
        IF(Import.TipoArredondamento&lt;&gt;"TransfereGOV",
              ROUND(OFFSET($P22,0,BG$13),15-13*ORÇAMENTO!$AF$7)/$H22*OFFSET(ORÇAMENTO!$X$15,ROW(BG22)-ROW(BG$15),0),
              ROUND(ROUND(OFFSET($P22,0,BG$13),15-13*ORÇAMENTO!$AF$7)*OFFSET(ORÇAMENTO!$W$15,ROW(BG22)-ROW(BG$15),0),15-13*ORÇAMENTO!$AF$11)),
         0)</f>
        <v>0</v>
      </c>
      <c r="BH22" s="352" t="n">
        <f aca="true">IF(AND($D22="Serviço",BH$12&lt;&gt;0,$H22&gt;0,OR(AUTOEVENTO&lt;&gt;"manual",$M22&lt;&gt;$A$15)),
        IF(Import.TipoArredondamento&lt;&gt;"TransfereGOV",
              ROUND(OFFSET($P22,0,BH$13),15-13*ORÇAMENTO!$AF$7)/$H22*OFFSET(ORÇAMENTO!$X$15,ROW(BH22)-ROW(BH$15),0),
              ROUND(ROUND(OFFSET($P22,0,BH$13),15-13*ORÇAMENTO!$AF$7)*OFFSET(ORÇAMENTO!$W$15,ROW(BH22)-ROW(BH$15),0),15-13*ORÇAMENTO!$AF$11)),
         0)</f>
        <v>0</v>
      </c>
      <c r="BI22" s="352" t="n">
        <f aca="true">IF(AND($D22="Serviço",BI$12&lt;&gt;0,$H22&gt;0,OR(AUTOEVENTO&lt;&gt;"manual",$M22&lt;&gt;$A$15)),
        IF(Import.TipoArredondamento&lt;&gt;"TransfereGOV",
              ROUND(OFFSET($P22,0,BI$13),15-13*ORÇAMENTO!$AF$7)/$H22*OFFSET(ORÇAMENTO!$X$15,ROW(BI22)-ROW(BI$15),0),
              ROUND(ROUND(OFFSET($P22,0,BI$13),15-13*ORÇAMENTO!$AF$7)*OFFSET(ORÇAMENTO!$W$15,ROW(BI22)-ROW(BI$15),0),15-13*ORÇAMENTO!$AF$11)),
         0)</f>
        <v>0</v>
      </c>
      <c r="BJ22" s="352" t="n">
        <f aca="true">IF(AND($D22="Serviço",BJ$12&lt;&gt;0,$H22&gt;0,OR(AUTOEVENTO&lt;&gt;"manual",$M22&lt;&gt;$A$15)),
        IF(Import.TipoArredondamento&lt;&gt;"TransfereGOV",
              ROUND(OFFSET($P22,0,BJ$13),15-13*ORÇAMENTO!$AF$7)/$H22*OFFSET(ORÇAMENTO!$X$15,ROW(BJ22)-ROW(BJ$15),0),
              ROUND(ROUND(OFFSET($P22,0,BJ$13),15-13*ORÇAMENTO!$AF$7)*OFFSET(ORÇAMENTO!$W$15,ROW(BJ22)-ROW(BJ$15),0),15-13*ORÇAMENTO!$AF$11)),
         0)</f>
        <v>0</v>
      </c>
      <c r="BK22" s="352" t="n">
        <f aca="true">IF(AND($D22="Serviço",BK$12&lt;&gt;0,$H22&gt;0,OR(AUTOEVENTO&lt;&gt;"manual",$M22&lt;&gt;$A$15)),
        IF(Import.TipoArredondamento&lt;&gt;"TransfereGOV",
              ROUND(OFFSET($P22,0,BK$13),15-13*ORÇAMENTO!$AF$7)/$H22*OFFSET(ORÇAMENTO!$X$15,ROW(BK22)-ROW(BK$15),0),
              ROUND(ROUND(OFFSET($P22,0,BK$13),15-13*ORÇAMENTO!$AF$7)*OFFSET(ORÇAMENTO!$W$15,ROW(BK22)-ROW(BK$15),0),15-13*ORÇAMENTO!$AF$11)),
         0)</f>
        <v>0</v>
      </c>
      <c r="BL22" s="352" t="n">
        <f aca="true">IF(AND($D22="Serviço",BL$12&lt;&gt;0,$H22&gt;0,OR(AUTOEVENTO&lt;&gt;"manual",$M22&lt;&gt;$A$15)),
        IF(Import.TipoArredondamento&lt;&gt;"TransfereGOV",
              ROUND(OFFSET($P22,0,BL$13),15-13*ORÇAMENTO!$AF$7)/$H22*OFFSET(ORÇAMENTO!$X$15,ROW(BL22)-ROW(BL$15),0),
              ROUND(ROUND(OFFSET($P22,0,BL$13),15-13*ORÇAMENTO!$AF$7)*OFFSET(ORÇAMENTO!$W$15,ROW(BL22)-ROW(BL$15),0),15-13*ORÇAMENTO!$AF$11)),
         0)</f>
        <v>0</v>
      </c>
      <c r="BM22" s="352" t="n">
        <f aca="true">IF(AND($D22="Serviço",BM$12&lt;&gt;0,$H22&gt;0,OR(AUTOEVENTO&lt;&gt;"manual",$M22&lt;&gt;$A$15)),
        IF(Import.TipoArredondamento&lt;&gt;"TransfereGOV",
              ROUND(OFFSET($P22,0,BM$13),15-13*ORÇAMENTO!$AF$7)/$H22*OFFSET(ORÇAMENTO!$X$15,ROW(BM22)-ROW(BM$15),0),
              ROUND(ROUND(OFFSET($P22,0,BM$13),15-13*ORÇAMENTO!$AF$7)*OFFSET(ORÇAMENTO!$W$15,ROW(BM22)-ROW(BM$15),0),15-13*ORÇAMENTO!$AF$11)),
         0)</f>
        <v>0</v>
      </c>
      <c r="BN22" s="352" t="n">
        <f aca="true">IF(AND($D22="Serviço",BN$12&lt;&gt;0,$H22&gt;0,OR(AUTOEVENTO&lt;&gt;"manual",$M22&lt;&gt;$A$15)),
        IF(Import.TipoArredondamento&lt;&gt;"TransfereGOV",
              ROUND(OFFSET($P22,0,BN$13),15-13*ORÇAMENTO!$AF$7)/$H22*OFFSET(ORÇAMENTO!$X$15,ROW(BN22)-ROW(BN$15),0),
              ROUND(ROUND(OFFSET($P22,0,BN$13),15-13*ORÇAMENTO!$AF$7)*OFFSET(ORÇAMENTO!$W$15,ROW(BN22)-ROW(BN$15),0),15-13*ORÇAMENTO!$AF$11)),
         0)</f>
        <v>0</v>
      </c>
      <c r="BO22" s="352" t="n">
        <f aca="true">IF(AND($D22="Serviço",BO$12&lt;&gt;0,$H22&gt;0,OR(AUTOEVENTO&lt;&gt;"manual",$M22&lt;&gt;$A$15)),
        IF(Import.TipoArredondamento&lt;&gt;"TransfereGOV",
              ROUND(OFFSET($P22,0,BO$13),15-13*ORÇAMENTO!$AF$7)/$H22*OFFSET(ORÇAMENTO!$X$15,ROW(BO22)-ROW(BO$15),0),
              ROUND(ROUND(OFFSET($P22,0,BO$13),15-13*ORÇAMENTO!$AF$7)*OFFSET(ORÇAMENTO!$W$15,ROW(BO22)-ROW(BO$15),0),15-13*ORÇAMENTO!$AF$11)),
         0)</f>
        <v>0</v>
      </c>
      <c r="BP22" s="352" t="n">
        <f aca="true">IF(AND($D22="Serviço",BP$12&lt;&gt;0,$H22&gt;0,OR(AUTOEVENTO&lt;&gt;"manual",$M22&lt;&gt;$A$15)),
        IF(Import.TipoArredondamento&lt;&gt;"TransfereGOV",
              ROUND(OFFSET($P22,0,BP$13),15-13*ORÇAMENTO!$AF$7)/$H22*OFFSET(ORÇAMENTO!$X$15,ROW(BP22)-ROW(BP$15),0),
              ROUND(ROUND(OFFSET($P22,0,BP$13),15-13*ORÇAMENTO!$AF$7)*OFFSET(ORÇAMENTO!$W$15,ROW(BP22)-ROW(BP$15),0),15-13*ORÇAMENTO!$AF$11)),
         0)</f>
        <v>0</v>
      </c>
      <c r="BQ22" s="352" t="n">
        <f aca="true">IF(AND($D22="Serviço",BQ$12&lt;&gt;0,$H22&gt;0,OR(AUTOEVENTO&lt;&gt;"manual",$M22&lt;&gt;$A$15)),
        IF(Import.TipoArredondamento&lt;&gt;"TransfereGOV",
              ROUND(OFFSET($P22,0,BQ$13),15-13*ORÇAMENTO!$AF$7)/$H22*OFFSET(ORÇAMENTO!$X$15,ROW(BQ22)-ROW(BQ$15),0),
              ROUND(ROUND(OFFSET($P22,0,BQ$13),15-13*ORÇAMENTO!$AF$7)*OFFSET(ORÇAMENTO!$W$15,ROW(BQ22)-ROW(BQ$15),0),15-13*ORÇAMENTO!$AF$11)),
         0)</f>
        <v>0</v>
      </c>
      <c r="BS22" s="353" t="n">
        <f aca="true">IF(OR($D22&lt;&gt;"Serviço",AND(AUTOEVENTO="Manual",$M22=$A$15)),0,
         IF(OFFSET(CRONOPLE!$F$15,$M22-$A$15,BS$13)=0,10^12,OFFSET(CRONOPLE!$F$15,$M22-$A$15,BS$13)))</f>
        <v>1</v>
      </c>
      <c r="BT22" s="353" t="n">
        <f aca="true">IF(OR($D22&lt;&gt;"Serviço",AND(AUTOEVENTO="Manual",$M22=$A$15)),0,
         IF(OFFSET(CRONOPLE!$F$15,$M22-$A$15,BT$13)=0,10^12,OFFSET(CRONOPLE!$F$15,$M22-$A$15,BT$13)))</f>
        <v>2</v>
      </c>
      <c r="BU22" s="353" t="n">
        <f aca="true">IF(OR($D22&lt;&gt;"Serviço",AND(AUTOEVENTO="Manual",$M22=$A$15)),0,
         IF(OFFSET(CRONOPLE!$F$15,$M22-$A$15,BU$13)=0,10^12,OFFSET(CRONOPLE!$F$15,$M22-$A$15,BU$13)))</f>
        <v>3</v>
      </c>
      <c r="BV22" s="353" t="n">
        <f aca="true">IF(OR($D22&lt;&gt;"Serviço",AND(AUTOEVENTO="Manual",$M22=$A$15)),0,
         IF(OFFSET(CRONOPLE!$F$15,$M22-$A$15,BV$13)=0,10^12,OFFSET(CRONOPLE!$F$15,$M22-$A$15,BV$13)))</f>
        <v>4</v>
      </c>
      <c r="BW22" s="353" t="n">
        <f aca="true">IF(OR($D22&lt;&gt;"Serviço",AND(AUTOEVENTO="Manual",$M22=$A$15)),0,
         IF(OFFSET(CRONOPLE!$F$15,$M22-$A$15,BW$13)=0,10^12,OFFSET(CRONOPLE!$F$15,$M22-$A$15,BW$13)))</f>
        <v>5</v>
      </c>
      <c r="BX22" s="353" t="n">
        <f aca="true">IF(OR($D22&lt;&gt;"Serviço",AND(AUTOEVENTO="Manual",$M22=$A$15)),0,
         IF(OFFSET(CRONOPLE!$F$15,$M22-$A$15,BX$13)=0,10^12,OFFSET(CRONOPLE!$F$15,$M22-$A$15,BX$13)))</f>
        <v>6</v>
      </c>
      <c r="BY22" s="353" t="n">
        <f aca="true">IF(OR($D22&lt;&gt;"Serviço",AND(AUTOEVENTO="Manual",$M22=$A$15)),0,
         IF(OFFSET(CRONOPLE!$F$15,$M22-$A$15,BY$13)=0,10^12,OFFSET(CRONOPLE!$F$15,$M22-$A$15,BY$13)))</f>
        <v>7</v>
      </c>
      <c r="BZ22" s="353" t="n">
        <f aca="true">IF(OR($D22&lt;&gt;"Serviço",AND(AUTOEVENTO="Manual",$M22=$A$15)),0,
         IF(OFFSET(CRONOPLE!$F$15,$M22-$A$15,BZ$13)=0,10^12,OFFSET(CRONOPLE!$F$15,$M22-$A$15,BZ$13)))</f>
        <v>8</v>
      </c>
      <c r="CA22" s="353" t="n">
        <f aca="true">IF(OR($D22&lt;&gt;"Serviço",AND(AUTOEVENTO="Manual",$M22=$A$15)),0,
         IF(OFFSET(CRONOPLE!$F$15,$M22-$A$15,CA$13)=0,10^12,OFFSET(CRONOPLE!$F$15,$M22-$A$15,CA$13)))</f>
        <v>9</v>
      </c>
      <c r="CB22" s="353" t="n">
        <f aca="true">IF(OR($D22&lt;&gt;"Serviço",AND(AUTOEVENTO="Manual",$M22=$A$15)),0,
         IF(OFFSET(CRONOPLE!$F$15,$M22-$A$15,CB$13)=0,10^12,OFFSET(CRONOPLE!$F$15,$M22-$A$15,CB$13)))</f>
        <v>10</v>
      </c>
      <c r="CC22" s="353" t="n">
        <f aca="true">IF(OR($D22&lt;&gt;"Serviço",AND(AUTOEVENTO="Manual",$M22=$A$15)),0,
         IF(OFFSET(CRONOPLE!$F$15,$M22-$A$15,CC$13)=0,10^12,OFFSET(CRONOPLE!$F$15,$M22-$A$15,CC$13)))</f>
        <v>11</v>
      </c>
      <c r="CD22" s="353" t="n">
        <f aca="true">IF(OR($D22&lt;&gt;"Serviço",AND(AUTOEVENTO="Manual",$M22=$A$15)),0,
         IF(OFFSET(CRONOPLE!$F$15,$M22-$A$15,CD$13)=0,10^12,OFFSET(CRONOPLE!$F$15,$M22-$A$15,CD$13)))</f>
        <v>12</v>
      </c>
      <c r="CE22" s="353" t="n">
        <f aca="true">IF(OR($D22&lt;&gt;"Serviço",AND(AUTOEVENTO="Manual",$M22=$A$15)),0,
         IF(OFFSET(CRONOPLE!$F$15,$M22-$A$15,CE$13)=0,10^12,OFFSET(CRONOPLE!$F$15,$M22-$A$15,CE$13)))</f>
        <v>13</v>
      </c>
      <c r="CF22" s="353" t="n">
        <f aca="true">IF(OR($D22&lt;&gt;"Serviço",AND(AUTOEVENTO="Manual",$M22=$A$15)),0,
         IF(OFFSET(CRONOPLE!$F$15,$M22-$A$15,CF$13)=0,10^12,OFFSET(CRONOPLE!$F$15,$M22-$A$15,CF$13)))</f>
        <v>14</v>
      </c>
      <c r="CG22" s="353" t="n">
        <f aca="true">IF(OR($D22&lt;&gt;"Serviço",AND(AUTOEVENTO="Manual",$M22=$A$15)),0,
         IF(OFFSET(CRONOPLE!$F$15,$M22-$A$15,CG$13)=0,10^12,OFFSET(CRONOPLE!$F$15,$M22-$A$15,CG$13)))</f>
        <v>15</v>
      </c>
      <c r="CH22" s="353" t="n">
        <f aca="true">IF(OR($D22&lt;&gt;"Serviço",AND(AUTOEVENTO="Manual",$M22=$A$15)),0,
         IF(OFFSET(CRONOPLE!$F$15,$M22-$A$15,CH$13)=0,10^12,OFFSET(CRONOPLE!$F$15,$M22-$A$15,CH$13)))</f>
        <v>16</v>
      </c>
      <c r="CI22" s="353" t="n">
        <f aca="true">IF(OR($D22&lt;&gt;"Serviço",AND(AUTOEVENTO="Manual",$M22=$A$15)),0,
         IF(OFFSET(CRONOPLE!$F$15,$M22-$A$15,CI$13)=0,10^12,OFFSET(CRONOPLE!$F$15,$M22-$A$15,CI$13)))</f>
        <v>17</v>
      </c>
      <c r="CJ22" s="353" t="n">
        <f aca="true">IF(OR($D22&lt;&gt;"Serviço",AND(AUTOEVENTO="Manual",$M22=$A$15)),0,
         IF(OFFSET(CRONOPLE!$F$15,$M22-$A$15,CJ$13)=0,10^12,OFFSET(CRONOPLE!$F$15,$M22-$A$15,CJ$13)))</f>
        <v>18</v>
      </c>
      <c r="CK22" s="353" t="n">
        <f aca="true">IF(OR($D22&lt;&gt;"Serviço",AND(AUTOEVENTO="Manual",$M22=$A$15)),0,
         IF(OFFSET(CRONOPLE!$F$15,$M22-$A$15,CK$13)=0,10^12,OFFSET(CRONOPLE!$F$15,$M22-$A$15,CK$13)))</f>
        <v>19</v>
      </c>
      <c r="CL22" s="353" t="n">
        <f aca="true">IF(OR($D22&lt;&gt;"Serviço",AND(AUTOEVENTO="Manual",$M22=$A$15)),0,
         IF(OFFSET(CRONOPLE!$F$15,$M22-$A$15,CL$13)=0,10^12,OFFSET(CRONOPLE!$F$15,$M22-$A$15,CL$13)))</f>
        <v>20</v>
      </c>
      <c r="CM22" s="353" t="n">
        <f aca="true">IF(OR($D22&lt;&gt;"Serviço",AND(AUTOEVENTO="Manual",$M22=$A$15)),0,
         IF(OFFSET(CRONOPLE!$F$15,$M22-$A$15,CM$13)=0,10^12,OFFSET(CRONOPLE!$F$15,$M22-$A$15,CM$13)))</f>
        <v>21</v>
      </c>
      <c r="CN22" s="353" t="n">
        <f aca="true">IF(OR($D22&lt;&gt;"Serviço",AND(AUTOEVENTO="Manual",$M22=$A$15)),0,
         IF(OFFSET(CRONOPLE!$F$15,$M22-$A$15,CN$13)=0,10^12,OFFSET(CRONOPLE!$F$15,$M22-$A$15,CN$13)))</f>
        <v>22</v>
      </c>
      <c r="CO22" s="353" t="n">
        <f aca="true">IF(OR($D22&lt;&gt;"Serviço",AND(AUTOEVENTO="Manual",$M22=$A$15)),0,
         IF(OFFSET(CRONOPLE!$F$15,$M22-$A$15,CO$13)=0,10^12,OFFSET(CRONOPLE!$F$15,$M22-$A$15,CO$13)))</f>
        <v>23</v>
      </c>
      <c r="CP22" s="353" t="n">
        <f aca="true">IF(OR($D22&lt;&gt;"Serviço",AND(AUTOEVENTO="Manual",$M22=$A$15)),0,
         IF(OFFSET(CRONOPLE!$F$15,$M22-$A$15,CP$13)=0,10^12,OFFSET(CRONOPLE!$F$15,$M22-$A$15,CP$13)))</f>
        <v>24</v>
      </c>
      <c r="CQ22" s="353" t="n">
        <f aca="true">IF(OR($D22&lt;&gt;"Serviço",AND(AUTOEVENTO="Manual",$M22=$A$15)),0,
         IF(OFFSET(CRONOPLE!$F$15,$M22-$A$15,CQ$13)=0,10^12,OFFSET(CRONOPLE!$F$15,$M22-$A$15,CQ$13)))</f>
        <v>25</v>
      </c>
      <c r="CR22" s="353" t="n">
        <f aca="true">IF(OR($D22&lt;&gt;"Serviço",AND(AUTOEVENTO="Manual",$M22=$A$15)),0,
         IF(OFFSET(CRONOPLE!$F$15,$M22-$A$15,CR$13)=0,10^12,OFFSET(CRONOPLE!$F$15,$M22-$A$15,CR$13)))</f>
        <v>1000000000000</v>
      </c>
      <c r="CT22" s="354" t="n">
        <f aca="true">IF(OR($D22&lt;&gt;"Serviço",AND(AUTOEVENTO="Manual",$M22=$A$15),$M22&gt;(ROW(PLE.lastrow)-ROW(PLE.firstrow))),0,
           IF(OFFSET(PLE!$G$15,$M22-$A$15,CT$13)="",10^12,OFFSET(PLE!$G$15,$M22-$A$15,CT$13)))</f>
        <v>1000000000000</v>
      </c>
      <c r="CU22" s="354" t="n">
        <f aca="true">IF(OR($D22&lt;&gt;"Serviço",AND(AUTOEVENTO="Manual",$M22=$A$15),$M22&gt;(ROW(PLE.lastrow)-ROW(PLE.firstrow))),0,
           IF(OFFSET(PLE!$G$15,$M22-$A$15,CU$13)="",10^12,OFFSET(PLE!$G$15,$M22-$A$15,CU$13)))</f>
        <v>1000000000000</v>
      </c>
      <c r="CV22" s="354" t="n">
        <f aca="true">IF(OR($D22&lt;&gt;"Serviço",AND(AUTOEVENTO="Manual",$M22=$A$15),$M22&gt;(ROW(PLE.lastrow)-ROW(PLE.firstrow))),0,
           IF(OFFSET(PLE!$G$15,$M22-$A$15,CV$13)="",10^12,OFFSET(PLE!$G$15,$M22-$A$15,CV$13)))</f>
        <v>1000000000000</v>
      </c>
      <c r="CW22" s="354" t="n">
        <f aca="true">IF(OR($D22&lt;&gt;"Serviço",AND(AUTOEVENTO="Manual",$M22=$A$15),$M22&gt;(ROW(PLE.lastrow)-ROW(PLE.firstrow))),0,
           IF(OFFSET(PLE!$G$15,$M22-$A$15,CW$13)="",10^12,OFFSET(PLE!$G$15,$M22-$A$15,CW$13)))</f>
        <v>1000000000000</v>
      </c>
      <c r="CX22" s="354" t="n">
        <f aca="true">IF(OR($D22&lt;&gt;"Serviço",AND(AUTOEVENTO="Manual",$M22=$A$15),$M22&gt;(ROW(PLE.lastrow)-ROW(PLE.firstrow))),0,
           IF(OFFSET(PLE!$G$15,$M22-$A$15,CX$13)="",10^12,OFFSET(PLE!$G$15,$M22-$A$15,CX$13)))</f>
        <v>1000000000000</v>
      </c>
      <c r="CY22" s="354" t="n">
        <f aca="true">IF(OR($D22&lt;&gt;"Serviço",AND(AUTOEVENTO="Manual",$M22=$A$15),$M22&gt;(ROW(PLE.lastrow)-ROW(PLE.firstrow))),0,
           IF(OFFSET(PLE!$G$15,$M22-$A$15,CY$13)="",10^12,OFFSET(PLE!$G$15,$M22-$A$15,CY$13)))</f>
        <v>1000000000000</v>
      </c>
      <c r="CZ22" s="354" t="n">
        <f aca="true">IF(OR($D22&lt;&gt;"Serviço",AND(AUTOEVENTO="Manual",$M22=$A$15),$M22&gt;(ROW(PLE.lastrow)-ROW(PLE.firstrow))),0,
           IF(OFFSET(PLE!$G$15,$M22-$A$15,CZ$13)="",10^12,OFFSET(PLE!$G$15,$M22-$A$15,CZ$13)))</f>
        <v>1000000000000</v>
      </c>
      <c r="DA22" s="354" t="n">
        <f aca="true">IF(OR($D22&lt;&gt;"Serviço",AND(AUTOEVENTO="Manual",$M22=$A$15),$M22&gt;(ROW(PLE.lastrow)-ROW(PLE.firstrow))),0,
           IF(OFFSET(PLE!$G$15,$M22-$A$15,DA$13)="",10^12,OFFSET(PLE!$G$15,$M22-$A$15,DA$13)))</f>
        <v>1000000000000</v>
      </c>
      <c r="DB22" s="354" t="n">
        <f aca="true">IF(OR($D22&lt;&gt;"Serviço",AND(AUTOEVENTO="Manual",$M22=$A$15),$M22&gt;(ROW(PLE.lastrow)-ROW(PLE.firstrow))),0,
           IF(OFFSET(PLE!$G$15,$M22-$A$15,DB$13)="",10^12,OFFSET(PLE!$G$15,$M22-$A$15,DB$13)))</f>
        <v>1000000000000</v>
      </c>
      <c r="DC22" s="354" t="n">
        <f aca="true">IF(OR($D22&lt;&gt;"Serviço",AND(AUTOEVENTO="Manual",$M22=$A$15),$M22&gt;(ROW(PLE.lastrow)-ROW(PLE.firstrow))),0,
           IF(OFFSET(PLE!$G$15,$M22-$A$15,DC$13)="",10^12,OFFSET(PLE!$G$15,$M22-$A$15,DC$13)))</f>
        <v>1000000000000</v>
      </c>
      <c r="DD22" s="354" t="n">
        <f aca="true">IF(OR($D22&lt;&gt;"Serviço",AND(AUTOEVENTO="Manual",$M22=$A$15),$M22&gt;(ROW(PLE.lastrow)-ROW(PLE.firstrow))),0,
           IF(OFFSET(PLE!$G$15,$M22-$A$15,DD$13)="",10^12,OFFSET(PLE!$G$15,$M22-$A$15,DD$13)))</f>
        <v>1000000000000</v>
      </c>
      <c r="DE22" s="354" t="n">
        <f aca="true">IF(OR($D22&lt;&gt;"Serviço",AND(AUTOEVENTO="Manual",$M22=$A$15),$M22&gt;(ROW(PLE.lastrow)-ROW(PLE.firstrow))),0,
           IF(OFFSET(PLE!$G$15,$M22-$A$15,DE$13)="",10^12,OFFSET(PLE!$G$15,$M22-$A$15,DE$13)))</f>
        <v>1000000000000</v>
      </c>
      <c r="DF22" s="354" t="n">
        <f aca="true">IF(OR($D22&lt;&gt;"Serviço",AND(AUTOEVENTO="Manual",$M22=$A$15),$M22&gt;(ROW(PLE.lastrow)-ROW(PLE.firstrow))),0,
           IF(OFFSET(PLE!$G$15,$M22-$A$15,DF$13)="",10^12,OFFSET(PLE!$G$15,$M22-$A$15,DF$13)))</f>
        <v>1000000000000</v>
      </c>
      <c r="DG22" s="354" t="n">
        <f aca="true">IF(OR($D22&lt;&gt;"Serviço",AND(AUTOEVENTO="Manual",$M22=$A$15),$M22&gt;(ROW(PLE.lastrow)-ROW(PLE.firstrow))),0,
           IF(OFFSET(PLE!$G$15,$M22-$A$15,DG$13)="",10^12,OFFSET(PLE!$G$15,$M22-$A$15,DG$13)))</f>
        <v>1000000000000</v>
      </c>
      <c r="DH22" s="354" t="n">
        <f aca="true">IF(OR($D22&lt;&gt;"Serviço",AND(AUTOEVENTO="Manual",$M22=$A$15),$M22&gt;(ROW(PLE.lastrow)-ROW(PLE.firstrow))),0,
           IF(OFFSET(PLE!$G$15,$M22-$A$15,DH$13)="",10^12,OFFSET(PLE!$G$15,$M22-$A$15,DH$13)))</f>
        <v>1000000000000</v>
      </c>
      <c r="DI22" s="354" t="n">
        <f aca="true">IF(OR($D22&lt;&gt;"Serviço",AND(AUTOEVENTO="Manual",$M22=$A$15),$M22&gt;(ROW(PLE.lastrow)-ROW(PLE.firstrow))),0,
           IF(OFFSET(PLE!$G$15,$M22-$A$15,DI$13)="",10^12,OFFSET(PLE!$G$15,$M22-$A$15,DI$13)))</f>
        <v>1000000000000</v>
      </c>
      <c r="DJ22" s="354" t="n">
        <f aca="true">IF(OR($D22&lt;&gt;"Serviço",AND(AUTOEVENTO="Manual",$M22=$A$15),$M22&gt;(ROW(PLE.lastrow)-ROW(PLE.firstrow))),0,
           IF(OFFSET(PLE!$G$15,$M22-$A$15,DJ$13)="",10^12,OFFSET(PLE!$G$15,$M22-$A$15,DJ$13)))</f>
        <v>1000000000000</v>
      </c>
      <c r="DK22" s="354" t="n">
        <f aca="true">IF(OR($D22&lt;&gt;"Serviço",AND(AUTOEVENTO="Manual",$M22=$A$15),$M22&gt;(ROW(PLE.lastrow)-ROW(PLE.firstrow))),0,
           IF(OFFSET(PLE!$G$15,$M22-$A$15,DK$13)="",10^12,OFFSET(PLE!$G$15,$M22-$A$15,DK$13)))</f>
        <v>1000000000000</v>
      </c>
      <c r="DL22" s="354" t="n">
        <f aca="true">IF(OR($D22&lt;&gt;"Serviço",AND(AUTOEVENTO="Manual",$M22=$A$15),$M22&gt;(ROW(PLE.lastrow)-ROW(PLE.firstrow))),0,
           IF(OFFSET(PLE!$G$15,$M22-$A$15,DL$13)="",10^12,OFFSET(PLE!$G$15,$M22-$A$15,DL$13)))</f>
        <v>1000000000000</v>
      </c>
      <c r="DM22" s="354" t="n">
        <f aca="true">IF(OR($D22&lt;&gt;"Serviço",AND(AUTOEVENTO="Manual",$M22=$A$15),$M22&gt;(ROW(PLE.lastrow)-ROW(PLE.firstrow))),0,
           IF(OFFSET(PLE!$G$15,$M22-$A$15,DM$13)="",10^12,OFFSET(PLE!$G$15,$M22-$A$15,DM$13)))</f>
        <v>1000000000000</v>
      </c>
      <c r="DN22" s="354" t="n">
        <f aca="true">IF(OR($D22&lt;&gt;"Serviço",AND(AUTOEVENTO="Manual",$M22=$A$15),$M22&gt;(ROW(PLE.lastrow)-ROW(PLE.firstrow))),0,
           IF(OFFSET(PLE!$G$15,$M22-$A$15,DN$13)="",10^12,OFFSET(PLE!$G$15,$M22-$A$15,DN$13)))</f>
        <v>1000000000000</v>
      </c>
      <c r="DO22" s="354" t="n">
        <f aca="true">IF(OR($D22&lt;&gt;"Serviço",AND(AUTOEVENTO="Manual",$M22=$A$15),$M22&gt;(ROW(PLE.lastrow)-ROW(PLE.firstrow))),0,
           IF(OFFSET(PLE!$G$15,$M22-$A$15,DO$13)="",10^12,OFFSET(PLE!$G$15,$M22-$A$15,DO$13)))</f>
        <v>1000000000000</v>
      </c>
      <c r="DP22" s="354" t="n">
        <f aca="true">IF(OR($D22&lt;&gt;"Serviço",AND(AUTOEVENTO="Manual",$M22=$A$15),$M22&gt;(ROW(PLE.lastrow)-ROW(PLE.firstrow))),0,
           IF(OFFSET(PLE!$G$15,$M22-$A$15,DP$13)="",10^12,OFFSET(PLE!$G$15,$M22-$A$15,DP$13)))</f>
        <v>1000000000000</v>
      </c>
      <c r="DQ22" s="354" t="n">
        <f aca="true">IF(OR($D22&lt;&gt;"Serviço",AND(AUTOEVENTO="Manual",$M22=$A$15),$M22&gt;(ROW(PLE.lastrow)-ROW(PLE.firstrow))),0,
           IF(OFFSET(PLE!$G$15,$M22-$A$15,DQ$13)="",10^12,OFFSET(PLE!$G$15,$M22-$A$15,DQ$13)))</f>
        <v>1000000000000</v>
      </c>
      <c r="DR22" s="354" t="n">
        <f aca="true">IF(OR($D22&lt;&gt;"Serviço",AND(AUTOEVENTO="Manual",$M22=$A$15),$M22&gt;(ROW(PLE.lastrow)-ROW(PLE.firstrow))),0,
           IF(OFFSET(PLE!$G$15,$M22-$A$15,DR$13)="",10^12,OFFSET(PLE!$G$15,$M22-$A$15,DR$13)))</f>
        <v>1000000000000</v>
      </c>
      <c r="DS22" s="354" t="n">
        <f aca="true">IF(OR($D22&lt;&gt;"Serviço",AND(AUTOEVENTO="Manual",$M22=$A$15),$M22&gt;(ROW(PLE.lastrow)-ROW(PLE.firstrow))),0,
           IF(OFFSET(PLE!$G$15,$M22-$A$15,DS$13)="",10^12,OFFSET(PLE!$G$15,$M22-$A$15,DS$13)))</f>
        <v>1000000000000</v>
      </c>
    </row>
    <row r="23" customFormat="false" ht="12.75" hidden="false" customHeight="false" outlineLevel="0" collapsed="false">
      <c r="A23" s="50" t="str">
        <f aca="true">IFERROR(IF(AUTOEVENTO="Manual",IF(K23&lt;&gt;"",MIN(VALUE(LEFT(K23,FIND(".",K23)-1)),COUNTA(EVENTOS.Lista)),0),IF(OR($B23&gt;AUTOEVENTO,$B23="S",$B23=0),SUBSTITUTE(OFFSET($A23,-1,0),IF($D23="Serviço",".",""),""),ROW(A23)-ROW($A$15)&amp;".")),0)</f>
        <v>8.</v>
      </c>
      <c r="B23" s="50" t="n">
        <f aca="true">OFFSET(ORÇAMENTO!C$15,ROW(B23)-ROW(B$15),0)</f>
        <v>2</v>
      </c>
      <c r="C23" s="50" t="str">
        <f aca="true">OFFSET(ORÇAMENTO!L$15,ROW(C23)-ROW(C$15),0)</f>
        <v>F</v>
      </c>
      <c r="D23" s="201" t="str">
        <f aca="true">OFFSET(ORÇAMENTO!N$15,ROW(D23)-ROW(D$15),0)</f>
        <v>Nível 2</v>
      </c>
      <c r="E23" s="202" t="str">
        <f aca="true">OFFSET(ORÇAMENTO!O$15,ROW(E23)-ROW(E$15),0)</f>
        <v>1.2.</v>
      </c>
      <c r="F23" s="341" t="str">
        <f aca="true">OFFSET(ORÇAMENTO!R$15,ROW(F23)-ROW(F$15),0)</f>
        <v>ADMINISRAÇÃO LOCAL</v>
      </c>
      <c r="G23" s="342" t="str">
        <f aca="true">IF($D23&lt;&gt;"Serviço","",OFFSET(ORÇAMENTO!S$15,ROW(G23)-ROW(G$15),0))</f>
        <v/>
      </c>
      <c r="H23" s="207" t="n">
        <f aca="true">IF($D23&lt;&gt;"Serviço",0,IF(ACOMPANHAMENTO="BM",ROUND(OFFSET(ORÇAMENTO!AJ$15,ROW(H23)-ROW(H$15),0),15-13*ORÇAMENTO!$AF$7),SUMPRODUCT(($Q$1:$AQ$1=1)*ROUND($Q23:$AQ23,15-13*ORÇAMENTO!$AF$7))))</f>
        <v>0</v>
      </c>
      <c r="I23" s="343"/>
      <c r="J23" s="344" t="str">
        <f aca="false">IF(OR(B23&lt;&gt;"S",CÁLCULO.FrentesPreenchidas=0),"",IF(AND(ACOMPANHAMENTO="PLE",AUTOEVENTO="Manual",OR(H23&gt;0,ORÇAMENTO!AC23="QUANT."),OR(K23="",M23=0,N23="")),"►",IF(AND(ACOMPANHAMENTO="PLE",ORÇAMENTO!AC23="QUANT."),"►►",IF(AND(COUNTIF($P$11:$AQ$11,"▼")=0,H23&gt;0,I23=""),"◄",""))))</f>
        <v/>
      </c>
      <c r="K23" s="345"/>
      <c r="L23" s="346" t="s">
        <v>876</v>
      </c>
      <c r="M23" s="347" t="str">
        <f aca="true">IF($D23&lt;&gt;"Serviço","",
          IF(AUTOEVENTO="manual",$A23,
                IF(ISERROR(MATCH($A23,$A$15:OFFSET($A23,-1,0),0)),MAX($M$15:OFFSET(M23,-1,0))+1,
                      INDEX($M$15:OFFSET(M23,-1,0),MATCH($A23,$A$15:OFFSET($A23,-1,0),0)))))</f>
        <v/>
      </c>
      <c r="N23" s="348" t="str">
        <f aca="true">IF($D23&lt;&gt;"Serviço","",
         IF(AUTOEVENTO="Manual",
                IF($A23=0,"&lt;-- defina o número do agrupador",
                       OFFSET(EVENTOS!$D$15,$A23-$A$15,0)),
                OFFSET($F$15,$A23,0)))</f>
        <v/>
      </c>
      <c r="O23" s="349"/>
      <c r="Q23" s="349"/>
      <c r="R23" s="350"/>
      <c r="S23" s="350"/>
      <c r="T23" s="350"/>
      <c r="U23" s="350"/>
      <c r="V23" s="350"/>
      <c r="W23" s="350"/>
      <c r="X23" s="350"/>
      <c r="Y23" s="350"/>
      <c r="Z23" s="351"/>
      <c r="AA23" s="350"/>
      <c r="AB23" s="350"/>
      <c r="AC23" s="350"/>
      <c r="AD23" s="350"/>
      <c r="AE23" s="350"/>
      <c r="AF23" s="350"/>
      <c r="AG23" s="350"/>
      <c r="AH23" s="351"/>
      <c r="AI23" s="350"/>
      <c r="AJ23" s="350"/>
      <c r="AK23" s="350"/>
      <c r="AL23" s="350"/>
      <c r="AM23" s="350"/>
      <c r="AN23" s="350"/>
      <c r="AO23" s="350"/>
      <c r="AP23" s="351"/>
      <c r="AR23" s="352" t="n">
        <f aca="true">IF(AND($D23="Serviço",AR$12&lt;&gt;0,$H23&gt;0,OR(AUTOEVENTO&lt;&gt;"manual",$M23&lt;&gt;$A$15)),
        IF(Import.TipoArredondamento&lt;&gt;"TransfereGOV",
              ROUND(OFFSET($P23,0,AR$13),15-13*ORÇAMENTO!$AF$7)/$H23*OFFSET(ORÇAMENTO!$X$15,ROW(AR23)-ROW(AR$15),0),
              ROUND(ROUND(OFFSET($P23,0,AR$13),15-13*ORÇAMENTO!$AF$7)*OFFSET(ORÇAMENTO!$W$15,ROW(AR23)-ROW(AR$15),0),15-13*ORÇAMENTO!$AF$11)),
         0)</f>
        <v>0</v>
      </c>
      <c r="AS23" s="352" t="n">
        <f aca="true">IF(AND($D23="Serviço",AS$12&lt;&gt;0,$H23&gt;0,OR(AUTOEVENTO&lt;&gt;"manual",$M23&lt;&gt;$A$15)),
        IF(Import.TipoArredondamento&lt;&gt;"TransfereGOV",
              ROUND(OFFSET($P23,0,AS$13),15-13*ORÇAMENTO!$AF$7)/$H23*OFFSET(ORÇAMENTO!$X$15,ROW(AS23)-ROW(AS$15),0),
              ROUND(ROUND(OFFSET($P23,0,AS$13),15-13*ORÇAMENTO!$AF$7)*OFFSET(ORÇAMENTO!$W$15,ROW(AS23)-ROW(AS$15),0),15-13*ORÇAMENTO!$AF$11)),
         0)</f>
        <v>0</v>
      </c>
      <c r="AT23" s="352" t="n">
        <f aca="true">IF(AND($D23="Serviço",AT$12&lt;&gt;0,$H23&gt;0,OR(AUTOEVENTO&lt;&gt;"manual",$M23&lt;&gt;$A$15)),
        IF(Import.TipoArredondamento&lt;&gt;"TransfereGOV",
              ROUND(OFFSET($P23,0,AT$13),15-13*ORÇAMENTO!$AF$7)/$H23*OFFSET(ORÇAMENTO!$X$15,ROW(AT23)-ROW(AT$15),0),
              ROUND(ROUND(OFFSET($P23,0,AT$13),15-13*ORÇAMENTO!$AF$7)*OFFSET(ORÇAMENTO!$W$15,ROW(AT23)-ROW(AT$15),0),15-13*ORÇAMENTO!$AF$11)),
         0)</f>
        <v>0</v>
      </c>
      <c r="AU23" s="352" t="n">
        <f aca="true">IF(AND($D23="Serviço",AU$12&lt;&gt;0,$H23&gt;0,OR(AUTOEVENTO&lt;&gt;"manual",$M23&lt;&gt;$A$15)),
        IF(Import.TipoArredondamento&lt;&gt;"TransfereGOV",
              ROUND(OFFSET($P23,0,AU$13),15-13*ORÇAMENTO!$AF$7)/$H23*OFFSET(ORÇAMENTO!$X$15,ROW(AU23)-ROW(AU$15),0),
              ROUND(ROUND(OFFSET($P23,0,AU$13),15-13*ORÇAMENTO!$AF$7)*OFFSET(ORÇAMENTO!$W$15,ROW(AU23)-ROW(AU$15),0),15-13*ORÇAMENTO!$AF$11)),
         0)</f>
        <v>0</v>
      </c>
      <c r="AV23" s="352" t="n">
        <f aca="true">IF(AND($D23="Serviço",AV$12&lt;&gt;0,$H23&gt;0,OR(AUTOEVENTO&lt;&gt;"manual",$M23&lt;&gt;$A$15)),
        IF(Import.TipoArredondamento&lt;&gt;"TransfereGOV",
              ROUND(OFFSET($P23,0,AV$13),15-13*ORÇAMENTO!$AF$7)/$H23*OFFSET(ORÇAMENTO!$X$15,ROW(AV23)-ROW(AV$15),0),
              ROUND(ROUND(OFFSET($P23,0,AV$13),15-13*ORÇAMENTO!$AF$7)*OFFSET(ORÇAMENTO!$W$15,ROW(AV23)-ROW(AV$15),0),15-13*ORÇAMENTO!$AF$11)),
         0)</f>
        <v>0</v>
      </c>
      <c r="AW23" s="352" t="n">
        <f aca="true">IF(AND($D23="Serviço",AW$12&lt;&gt;0,$H23&gt;0,OR(AUTOEVENTO&lt;&gt;"manual",$M23&lt;&gt;$A$15)),
        IF(Import.TipoArredondamento&lt;&gt;"TransfereGOV",
              ROUND(OFFSET($P23,0,AW$13),15-13*ORÇAMENTO!$AF$7)/$H23*OFFSET(ORÇAMENTO!$X$15,ROW(AW23)-ROW(AW$15),0),
              ROUND(ROUND(OFFSET($P23,0,AW$13),15-13*ORÇAMENTO!$AF$7)*OFFSET(ORÇAMENTO!$W$15,ROW(AW23)-ROW(AW$15),0),15-13*ORÇAMENTO!$AF$11)),
         0)</f>
        <v>0</v>
      </c>
      <c r="AX23" s="352" t="n">
        <f aca="true">IF(AND($D23="Serviço",AX$12&lt;&gt;0,$H23&gt;0,OR(AUTOEVENTO&lt;&gt;"manual",$M23&lt;&gt;$A$15)),
        IF(Import.TipoArredondamento&lt;&gt;"TransfereGOV",
              ROUND(OFFSET($P23,0,AX$13),15-13*ORÇAMENTO!$AF$7)/$H23*OFFSET(ORÇAMENTO!$X$15,ROW(AX23)-ROW(AX$15),0),
              ROUND(ROUND(OFFSET($P23,0,AX$13),15-13*ORÇAMENTO!$AF$7)*OFFSET(ORÇAMENTO!$W$15,ROW(AX23)-ROW(AX$15),0),15-13*ORÇAMENTO!$AF$11)),
         0)</f>
        <v>0</v>
      </c>
      <c r="AY23" s="352" t="n">
        <f aca="true">IF(AND($D23="Serviço",AY$12&lt;&gt;0,$H23&gt;0,OR(AUTOEVENTO&lt;&gt;"manual",$M23&lt;&gt;$A$15)),
        IF(Import.TipoArredondamento&lt;&gt;"TransfereGOV",
              ROUND(OFFSET($P23,0,AY$13),15-13*ORÇAMENTO!$AF$7)/$H23*OFFSET(ORÇAMENTO!$X$15,ROW(AY23)-ROW(AY$15),0),
              ROUND(ROUND(OFFSET($P23,0,AY$13),15-13*ORÇAMENTO!$AF$7)*OFFSET(ORÇAMENTO!$W$15,ROW(AY23)-ROW(AY$15),0),15-13*ORÇAMENTO!$AF$11)),
         0)</f>
        <v>0</v>
      </c>
      <c r="AZ23" s="352" t="n">
        <f aca="true">IF(AND($D23="Serviço",AZ$12&lt;&gt;0,$H23&gt;0,OR(AUTOEVENTO&lt;&gt;"manual",$M23&lt;&gt;$A$15)),
        IF(Import.TipoArredondamento&lt;&gt;"TransfereGOV",
              ROUND(OFFSET($P23,0,AZ$13),15-13*ORÇAMENTO!$AF$7)/$H23*OFFSET(ORÇAMENTO!$X$15,ROW(AZ23)-ROW(AZ$15),0),
              ROUND(ROUND(OFFSET($P23,0,AZ$13),15-13*ORÇAMENTO!$AF$7)*OFFSET(ORÇAMENTO!$W$15,ROW(AZ23)-ROW(AZ$15),0),15-13*ORÇAMENTO!$AF$11)),
         0)</f>
        <v>0</v>
      </c>
      <c r="BA23" s="352" t="n">
        <f aca="true">IF(AND($D23="Serviço",BA$12&lt;&gt;0,$H23&gt;0,OR(AUTOEVENTO&lt;&gt;"manual",$M23&lt;&gt;$A$15)),
        IF(Import.TipoArredondamento&lt;&gt;"TransfereGOV",
              ROUND(OFFSET($P23,0,BA$13),15-13*ORÇAMENTO!$AF$7)/$H23*OFFSET(ORÇAMENTO!$X$15,ROW(BA23)-ROW(BA$15),0),
              ROUND(ROUND(OFFSET($P23,0,BA$13),15-13*ORÇAMENTO!$AF$7)*OFFSET(ORÇAMENTO!$W$15,ROW(BA23)-ROW(BA$15),0),15-13*ORÇAMENTO!$AF$11)),
         0)</f>
        <v>0</v>
      </c>
      <c r="BB23" s="352" t="n">
        <f aca="true">IF(AND($D23="Serviço",BB$12&lt;&gt;0,$H23&gt;0,OR(AUTOEVENTO&lt;&gt;"manual",$M23&lt;&gt;$A$15)),
        IF(Import.TipoArredondamento&lt;&gt;"TransfereGOV",
              ROUND(OFFSET($P23,0,BB$13),15-13*ORÇAMENTO!$AF$7)/$H23*OFFSET(ORÇAMENTO!$X$15,ROW(BB23)-ROW(BB$15),0),
              ROUND(ROUND(OFFSET($P23,0,BB$13),15-13*ORÇAMENTO!$AF$7)*OFFSET(ORÇAMENTO!$W$15,ROW(BB23)-ROW(BB$15),0),15-13*ORÇAMENTO!$AF$11)),
         0)</f>
        <v>0</v>
      </c>
      <c r="BC23" s="352" t="n">
        <f aca="true">IF(AND($D23="Serviço",BC$12&lt;&gt;0,$H23&gt;0,OR(AUTOEVENTO&lt;&gt;"manual",$M23&lt;&gt;$A$15)),
        IF(Import.TipoArredondamento&lt;&gt;"TransfereGOV",
              ROUND(OFFSET($P23,0,BC$13),15-13*ORÇAMENTO!$AF$7)/$H23*OFFSET(ORÇAMENTO!$X$15,ROW(BC23)-ROW(BC$15),0),
              ROUND(ROUND(OFFSET($P23,0,BC$13),15-13*ORÇAMENTO!$AF$7)*OFFSET(ORÇAMENTO!$W$15,ROW(BC23)-ROW(BC$15),0),15-13*ORÇAMENTO!$AF$11)),
         0)</f>
        <v>0</v>
      </c>
      <c r="BD23" s="352" t="n">
        <f aca="true">IF(AND($D23="Serviço",BD$12&lt;&gt;0,$H23&gt;0,OR(AUTOEVENTO&lt;&gt;"manual",$M23&lt;&gt;$A$15)),
        IF(Import.TipoArredondamento&lt;&gt;"TransfereGOV",
              ROUND(OFFSET($P23,0,BD$13),15-13*ORÇAMENTO!$AF$7)/$H23*OFFSET(ORÇAMENTO!$X$15,ROW(BD23)-ROW(BD$15),0),
              ROUND(ROUND(OFFSET($P23,0,BD$13),15-13*ORÇAMENTO!$AF$7)*OFFSET(ORÇAMENTO!$W$15,ROW(BD23)-ROW(BD$15),0),15-13*ORÇAMENTO!$AF$11)),
         0)</f>
        <v>0</v>
      </c>
      <c r="BE23" s="352" t="n">
        <f aca="true">IF(AND($D23="Serviço",BE$12&lt;&gt;0,$H23&gt;0,OR(AUTOEVENTO&lt;&gt;"manual",$M23&lt;&gt;$A$15)),
        IF(Import.TipoArredondamento&lt;&gt;"TransfereGOV",
              ROUND(OFFSET($P23,0,BE$13),15-13*ORÇAMENTO!$AF$7)/$H23*OFFSET(ORÇAMENTO!$X$15,ROW(BE23)-ROW(BE$15),0),
              ROUND(ROUND(OFFSET($P23,0,BE$13),15-13*ORÇAMENTO!$AF$7)*OFFSET(ORÇAMENTO!$W$15,ROW(BE23)-ROW(BE$15),0),15-13*ORÇAMENTO!$AF$11)),
         0)</f>
        <v>0</v>
      </c>
      <c r="BF23" s="352" t="n">
        <f aca="true">IF(AND($D23="Serviço",BF$12&lt;&gt;0,$H23&gt;0,OR(AUTOEVENTO&lt;&gt;"manual",$M23&lt;&gt;$A$15)),
        IF(Import.TipoArredondamento&lt;&gt;"TransfereGOV",
              ROUND(OFFSET($P23,0,BF$13),15-13*ORÇAMENTO!$AF$7)/$H23*OFFSET(ORÇAMENTO!$X$15,ROW(BF23)-ROW(BF$15),0),
              ROUND(ROUND(OFFSET($P23,0,BF$13),15-13*ORÇAMENTO!$AF$7)*OFFSET(ORÇAMENTO!$W$15,ROW(BF23)-ROW(BF$15),0),15-13*ORÇAMENTO!$AF$11)),
         0)</f>
        <v>0</v>
      </c>
      <c r="BG23" s="352" t="n">
        <f aca="true">IF(AND($D23="Serviço",BG$12&lt;&gt;0,$H23&gt;0,OR(AUTOEVENTO&lt;&gt;"manual",$M23&lt;&gt;$A$15)),
        IF(Import.TipoArredondamento&lt;&gt;"TransfereGOV",
              ROUND(OFFSET($P23,0,BG$13),15-13*ORÇAMENTO!$AF$7)/$H23*OFFSET(ORÇAMENTO!$X$15,ROW(BG23)-ROW(BG$15),0),
              ROUND(ROUND(OFFSET($P23,0,BG$13),15-13*ORÇAMENTO!$AF$7)*OFFSET(ORÇAMENTO!$W$15,ROW(BG23)-ROW(BG$15),0),15-13*ORÇAMENTO!$AF$11)),
         0)</f>
        <v>0</v>
      </c>
      <c r="BH23" s="352" t="n">
        <f aca="true">IF(AND($D23="Serviço",BH$12&lt;&gt;0,$H23&gt;0,OR(AUTOEVENTO&lt;&gt;"manual",$M23&lt;&gt;$A$15)),
        IF(Import.TipoArredondamento&lt;&gt;"TransfereGOV",
              ROUND(OFFSET($P23,0,BH$13),15-13*ORÇAMENTO!$AF$7)/$H23*OFFSET(ORÇAMENTO!$X$15,ROW(BH23)-ROW(BH$15),0),
              ROUND(ROUND(OFFSET($P23,0,BH$13),15-13*ORÇAMENTO!$AF$7)*OFFSET(ORÇAMENTO!$W$15,ROW(BH23)-ROW(BH$15),0),15-13*ORÇAMENTO!$AF$11)),
         0)</f>
        <v>0</v>
      </c>
      <c r="BI23" s="352" t="n">
        <f aca="true">IF(AND($D23="Serviço",BI$12&lt;&gt;0,$H23&gt;0,OR(AUTOEVENTO&lt;&gt;"manual",$M23&lt;&gt;$A$15)),
        IF(Import.TipoArredondamento&lt;&gt;"TransfereGOV",
              ROUND(OFFSET($P23,0,BI$13),15-13*ORÇAMENTO!$AF$7)/$H23*OFFSET(ORÇAMENTO!$X$15,ROW(BI23)-ROW(BI$15),0),
              ROUND(ROUND(OFFSET($P23,0,BI$13),15-13*ORÇAMENTO!$AF$7)*OFFSET(ORÇAMENTO!$W$15,ROW(BI23)-ROW(BI$15),0),15-13*ORÇAMENTO!$AF$11)),
         0)</f>
        <v>0</v>
      </c>
      <c r="BJ23" s="352" t="n">
        <f aca="true">IF(AND($D23="Serviço",BJ$12&lt;&gt;0,$H23&gt;0,OR(AUTOEVENTO&lt;&gt;"manual",$M23&lt;&gt;$A$15)),
        IF(Import.TipoArredondamento&lt;&gt;"TransfereGOV",
              ROUND(OFFSET($P23,0,BJ$13),15-13*ORÇAMENTO!$AF$7)/$H23*OFFSET(ORÇAMENTO!$X$15,ROW(BJ23)-ROW(BJ$15),0),
              ROUND(ROUND(OFFSET($P23,0,BJ$13),15-13*ORÇAMENTO!$AF$7)*OFFSET(ORÇAMENTO!$W$15,ROW(BJ23)-ROW(BJ$15),0),15-13*ORÇAMENTO!$AF$11)),
         0)</f>
        <v>0</v>
      </c>
      <c r="BK23" s="352" t="n">
        <f aca="true">IF(AND($D23="Serviço",BK$12&lt;&gt;0,$H23&gt;0,OR(AUTOEVENTO&lt;&gt;"manual",$M23&lt;&gt;$A$15)),
        IF(Import.TipoArredondamento&lt;&gt;"TransfereGOV",
              ROUND(OFFSET($P23,0,BK$13),15-13*ORÇAMENTO!$AF$7)/$H23*OFFSET(ORÇAMENTO!$X$15,ROW(BK23)-ROW(BK$15),0),
              ROUND(ROUND(OFFSET($P23,0,BK$13),15-13*ORÇAMENTO!$AF$7)*OFFSET(ORÇAMENTO!$W$15,ROW(BK23)-ROW(BK$15),0),15-13*ORÇAMENTO!$AF$11)),
         0)</f>
        <v>0</v>
      </c>
      <c r="BL23" s="352" t="n">
        <f aca="true">IF(AND($D23="Serviço",BL$12&lt;&gt;0,$H23&gt;0,OR(AUTOEVENTO&lt;&gt;"manual",$M23&lt;&gt;$A$15)),
        IF(Import.TipoArredondamento&lt;&gt;"TransfereGOV",
              ROUND(OFFSET($P23,0,BL$13),15-13*ORÇAMENTO!$AF$7)/$H23*OFFSET(ORÇAMENTO!$X$15,ROW(BL23)-ROW(BL$15),0),
              ROUND(ROUND(OFFSET($P23,0,BL$13),15-13*ORÇAMENTO!$AF$7)*OFFSET(ORÇAMENTO!$W$15,ROW(BL23)-ROW(BL$15),0),15-13*ORÇAMENTO!$AF$11)),
         0)</f>
        <v>0</v>
      </c>
      <c r="BM23" s="352" t="n">
        <f aca="true">IF(AND($D23="Serviço",BM$12&lt;&gt;0,$H23&gt;0,OR(AUTOEVENTO&lt;&gt;"manual",$M23&lt;&gt;$A$15)),
        IF(Import.TipoArredondamento&lt;&gt;"TransfereGOV",
              ROUND(OFFSET($P23,0,BM$13),15-13*ORÇAMENTO!$AF$7)/$H23*OFFSET(ORÇAMENTO!$X$15,ROW(BM23)-ROW(BM$15),0),
              ROUND(ROUND(OFFSET($P23,0,BM$13),15-13*ORÇAMENTO!$AF$7)*OFFSET(ORÇAMENTO!$W$15,ROW(BM23)-ROW(BM$15),0),15-13*ORÇAMENTO!$AF$11)),
         0)</f>
        <v>0</v>
      </c>
      <c r="BN23" s="352" t="n">
        <f aca="true">IF(AND($D23="Serviço",BN$12&lt;&gt;0,$H23&gt;0,OR(AUTOEVENTO&lt;&gt;"manual",$M23&lt;&gt;$A$15)),
        IF(Import.TipoArredondamento&lt;&gt;"TransfereGOV",
              ROUND(OFFSET($P23,0,BN$13),15-13*ORÇAMENTO!$AF$7)/$H23*OFFSET(ORÇAMENTO!$X$15,ROW(BN23)-ROW(BN$15),0),
              ROUND(ROUND(OFFSET($P23,0,BN$13),15-13*ORÇAMENTO!$AF$7)*OFFSET(ORÇAMENTO!$W$15,ROW(BN23)-ROW(BN$15),0),15-13*ORÇAMENTO!$AF$11)),
         0)</f>
        <v>0</v>
      </c>
      <c r="BO23" s="352" t="n">
        <f aca="true">IF(AND($D23="Serviço",BO$12&lt;&gt;0,$H23&gt;0,OR(AUTOEVENTO&lt;&gt;"manual",$M23&lt;&gt;$A$15)),
        IF(Import.TipoArredondamento&lt;&gt;"TransfereGOV",
              ROUND(OFFSET($P23,0,BO$13),15-13*ORÇAMENTO!$AF$7)/$H23*OFFSET(ORÇAMENTO!$X$15,ROW(BO23)-ROW(BO$15),0),
              ROUND(ROUND(OFFSET($P23,0,BO$13),15-13*ORÇAMENTO!$AF$7)*OFFSET(ORÇAMENTO!$W$15,ROW(BO23)-ROW(BO$15),0),15-13*ORÇAMENTO!$AF$11)),
         0)</f>
        <v>0</v>
      </c>
      <c r="BP23" s="352" t="n">
        <f aca="true">IF(AND($D23="Serviço",BP$12&lt;&gt;0,$H23&gt;0,OR(AUTOEVENTO&lt;&gt;"manual",$M23&lt;&gt;$A$15)),
        IF(Import.TipoArredondamento&lt;&gt;"TransfereGOV",
              ROUND(OFFSET($P23,0,BP$13),15-13*ORÇAMENTO!$AF$7)/$H23*OFFSET(ORÇAMENTO!$X$15,ROW(BP23)-ROW(BP$15),0),
              ROUND(ROUND(OFFSET($P23,0,BP$13),15-13*ORÇAMENTO!$AF$7)*OFFSET(ORÇAMENTO!$W$15,ROW(BP23)-ROW(BP$15),0),15-13*ORÇAMENTO!$AF$11)),
         0)</f>
        <v>0</v>
      </c>
      <c r="BQ23" s="352" t="n">
        <f aca="true">IF(AND($D23="Serviço",BQ$12&lt;&gt;0,$H23&gt;0,OR(AUTOEVENTO&lt;&gt;"manual",$M23&lt;&gt;$A$15)),
        IF(Import.TipoArredondamento&lt;&gt;"TransfereGOV",
              ROUND(OFFSET($P23,0,BQ$13),15-13*ORÇAMENTO!$AF$7)/$H23*OFFSET(ORÇAMENTO!$X$15,ROW(BQ23)-ROW(BQ$15),0),
              ROUND(ROUND(OFFSET($P23,0,BQ$13),15-13*ORÇAMENTO!$AF$7)*OFFSET(ORÇAMENTO!$W$15,ROW(BQ23)-ROW(BQ$15),0),15-13*ORÇAMENTO!$AF$11)),
         0)</f>
        <v>0</v>
      </c>
      <c r="BS23" s="353" t="n">
        <f aca="true">IF(OR($D23&lt;&gt;"Serviço",AND(AUTOEVENTO="Manual",$M23=$A$15)),0,
         IF(OFFSET(CRONOPLE!$F$15,$M23-$A$15,BS$13)=0,10^12,OFFSET(CRONOPLE!$F$15,$M23-$A$15,BS$13)))</f>
        <v>0</v>
      </c>
      <c r="BT23" s="353" t="n">
        <f aca="true">IF(OR($D23&lt;&gt;"Serviço",AND(AUTOEVENTO="Manual",$M23=$A$15)),0,
         IF(OFFSET(CRONOPLE!$F$15,$M23-$A$15,BT$13)=0,10^12,OFFSET(CRONOPLE!$F$15,$M23-$A$15,BT$13)))</f>
        <v>0</v>
      </c>
      <c r="BU23" s="353" t="n">
        <f aca="true">IF(OR($D23&lt;&gt;"Serviço",AND(AUTOEVENTO="Manual",$M23=$A$15)),0,
         IF(OFFSET(CRONOPLE!$F$15,$M23-$A$15,BU$13)=0,10^12,OFFSET(CRONOPLE!$F$15,$M23-$A$15,BU$13)))</f>
        <v>0</v>
      </c>
      <c r="BV23" s="353" t="n">
        <f aca="true">IF(OR($D23&lt;&gt;"Serviço",AND(AUTOEVENTO="Manual",$M23=$A$15)),0,
         IF(OFFSET(CRONOPLE!$F$15,$M23-$A$15,BV$13)=0,10^12,OFFSET(CRONOPLE!$F$15,$M23-$A$15,BV$13)))</f>
        <v>0</v>
      </c>
      <c r="BW23" s="353" t="n">
        <f aca="true">IF(OR($D23&lt;&gt;"Serviço",AND(AUTOEVENTO="Manual",$M23=$A$15)),0,
         IF(OFFSET(CRONOPLE!$F$15,$M23-$A$15,BW$13)=0,10^12,OFFSET(CRONOPLE!$F$15,$M23-$A$15,BW$13)))</f>
        <v>0</v>
      </c>
      <c r="BX23" s="353" t="n">
        <f aca="true">IF(OR($D23&lt;&gt;"Serviço",AND(AUTOEVENTO="Manual",$M23=$A$15)),0,
         IF(OFFSET(CRONOPLE!$F$15,$M23-$A$15,BX$13)=0,10^12,OFFSET(CRONOPLE!$F$15,$M23-$A$15,BX$13)))</f>
        <v>0</v>
      </c>
      <c r="BY23" s="353" t="n">
        <f aca="true">IF(OR($D23&lt;&gt;"Serviço",AND(AUTOEVENTO="Manual",$M23=$A$15)),0,
         IF(OFFSET(CRONOPLE!$F$15,$M23-$A$15,BY$13)=0,10^12,OFFSET(CRONOPLE!$F$15,$M23-$A$15,BY$13)))</f>
        <v>0</v>
      </c>
      <c r="BZ23" s="353" t="n">
        <f aca="true">IF(OR($D23&lt;&gt;"Serviço",AND(AUTOEVENTO="Manual",$M23=$A$15)),0,
         IF(OFFSET(CRONOPLE!$F$15,$M23-$A$15,BZ$13)=0,10^12,OFFSET(CRONOPLE!$F$15,$M23-$A$15,BZ$13)))</f>
        <v>0</v>
      </c>
      <c r="CA23" s="353" t="n">
        <f aca="true">IF(OR($D23&lt;&gt;"Serviço",AND(AUTOEVENTO="Manual",$M23=$A$15)),0,
         IF(OFFSET(CRONOPLE!$F$15,$M23-$A$15,CA$13)=0,10^12,OFFSET(CRONOPLE!$F$15,$M23-$A$15,CA$13)))</f>
        <v>0</v>
      </c>
      <c r="CB23" s="353" t="n">
        <f aca="true">IF(OR($D23&lt;&gt;"Serviço",AND(AUTOEVENTO="Manual",$M23=$A$15)),0,
         IF(OFFSET(CRONOPLE!$F$15,$M23-$A$15,CB$13)=0,10^12,OFFSET(CRONOPLE!$F$15,$M23-$A$15,CB$13)))</f>
        <v>0</v>
      </c>
      <c r="CC23" s="353" t="n">
        <f aca="true">IF(OR($D23&lt;&gt;"Serviço",AND(AUTOEVENTO="Manual",$M23=$A$15)),0,
         IF(OFFSET(CRONOPLE!$F$15,$M23-$A$15,CC$13)=0,10^12,OFFSET(CRONOPLE!$F$15,$M23-$A$15,CC$13)))</f>
        <v>0</v>
      </c>
      <c r="CD23" s="353" t="n">
        <f aca="true">IF(OR($D23&lt;&gt;"Serviço",AND(AUTOEVENTO="Manual",$M23=$A$15)),0,
         IF(OFFSET(CRONOPLE!$F$15,$M23-$A$15,CD$13)=0,10^12,OFFSET(CRONOPLE!$F$15,$M23-$A$15,CD$13)))</f>
        <v>0</v>
      </c>
      <c r="CE23" s="353" t="n">
        <f aca="true">IF(OR($D23&lt;&gt;"Serviço",AND(AUTOEVENTO="Manual",$M23=$A$15)),0,
         IF(OFFSET(CRONOPLE!$F$15,$M23-$A$15,CE$13)=0,10^12,OFFSET(CRONOPLE!$F$15,$M23-$A$15,CE$13)))</f>
        <v>0</v>
      </c>
      <c r="CF23" s="353" t="n">
        <f aca="true">IF(OR($D23&lt;&gt;"Serviço",AND(AUTOEVENTO="Manual",$M23=$A$15)),0,
         IF(OFFSET(CRONOPLE!$F$15,$M23-$A$15,CF$13)=0,10^12,OFFSET(CRONOPLE!$F$15,$M23-$A$15,CF$13)))</f>
        <v>0</v>
      </c>
      <c r="CG23" s="353" t="n">
        <f aca="true">IF(OR($D23&lt;&gt;"Serviço",AND(AUTOEVENTO="Manual",$M23=$A$15)),0,
         IF(OFFSET(CRONOPLE!$F$15,$M23-$A$15,CG$13)=0,10^12,OFFSET(CRONOPLE!$F$15,$M23-$A$15,CG$13)))</f>
        <v>0</v>
      </c>
      <c r="CH23" s="353" t="n">
        <f aca="true">IF(OR($D23&lt;&gt;"Serviço",AND(AUTOEVENTO="Manual",$M23=$A$15)),0,
         IF(OFFSET(CRONOPLE!$F$15,$M23-$A$15,CH$13)=0,10^12,OFFSET(CRONOPLE!$F$15,$M23-$A$15,CH$13)))</f>
        <v>0</v>
      </c>
      <c r="CI23" s="353" t="n">
        <f aca="true">IF(OR($D23&lt;&gt;"Serviço",AND(AUTOEVENTO="Manual",$M23=$A$15)),0,
         IF(OFFSET(CRONOPLE!$F$15,$M23-$A$15,CI$13)=0,10^12,OFFSET(CRONOPLE!$F$15,$M23-$A$15,CI$13)))</f>
        <v>0</v>
      </c>
      <c r="CJ23" s="353" t="n">
        <f aca="true">IF(OR($D23&lt;&gt;"Serviço",AND(AUTOEVENTO="Manual",$M23=$A$15)),0,
         IF(OFFSET(CRONOPLE!$F$15,$M23-$A$15,CJ$13)=0,10^12,OFFSET(CRONOPLE!$F$15,$M23-$A$15,CJ$13)))</f>
        <v>0</v>
      </c>
      <c r="CK23" s="353" t="n">
        <f aca="true">IF(OR($D23&lt;&gt;"Serviço",AND(AUTOEVENTO="Manual",$M23=$A$15)),0,
         IF(OFFSET(CRONOPLE!$F$15,$M23-$A$15,CK$13)=0,10^12,OFFSET(CRONOPLE!$F$15,$M23-$A$15,CK$13)))</f>
        <v>0</v>
      </c>
      <c r="CL23" s="353" t="n">
        <f aca="true">IF(OR($D23&lt;&gt;"Serviço",AND(AUTOEVENTO="Manual",$M23=$A$15)),0,
         IF(OFFSET(CRONOPLE!$F$15,$M23-$A$15,CL$13)=0,10^12,OFFSET(CRONOPLE!$F$15,$M23-$A$15,CL$13)))</f>
        <v>0</v>
      </c>
      <c r="CM23" s="353" t="n">
        <f aca="true">IF(OR($D23&lt;&gt;"Serviço",AND(AUTOEVENTO="Manual",$M23=$A$15)),0,
         IF(OFFSET(CRONOPLE!$F$15,$M23-$A$15,CM$13)=0,10^12,OFFSET(CRONOPLE!$F$15,$M23-$A$15,CM$13)))</f>
        <v>0</v>
      </c>
      <c r="CN23" s="353" t="n">
        <f aca="true">IF(OR($D23&lt;&gt;"Serviço",AND(AUTOEVENTO="Manual",$M23=$A$15)),0,
         IF(OFFSET(CRONOPLE!$F$15,$M23-$A$15,CN$13)=0,10^12,OFFSET(CRONOPLE!$F$15,$M23-$A$15,CN$13)))</f>
        <v>0</v>
      </c>
      <c r="CO23" s="353" t="n">
        <f aca="true">IF(OR($D23&lt;&gt;"Serviço",AND(AUTOEVENTO="Manual",$M23=$A$15)),0,
         IF(OFFSET(CRONOPLE!$F$15,$M23-$A$15,CO$13)=0,10^12,OFFSET(CRONOPLE!$F$15,$M23-$A$15,CO$13)))</f>
        <v>0</v>
      </c>
      <c r="CP23" s="353" t="n">
        <f aca="true">IF(OR($D23&lt;&gt;"Serviço",AND(AUTOEVENTO="Manual",$M23=$A$15)),0,
         IF(OFFSET(CRONOPLE!$F$15,$M23-$A$15,CP$13)=0,10^12,OFFSET(CRONOPLE!$F$15,$M23-$A$15,CP$13)))</f>
        <v>0</v>
      </c>
      <c r="CQ23" s="353" t="n">
        <f aca="true">IF(OR($D23&lt;&gt;"Serviço",AND(AUTOEVENTO="Manual",$M23=$A$15)),0,
         IF(OFFSET(CRONOPLE!$F$15,$M23-$A$15,CQ$13)=0,10^12,OFFSET(CRONOPLE!$F$15,$M23-$A$15,CQ$13)))</f>
        <v>0</v>
      </c>
      <c r="CR23" s="353" t="n">
        <f aca="true">IF(OR($D23&lt;&gt;"Serviço",AND(AUTOEVENTO="Manual",$M23=$A$15)),0,
         IF(OFFSET(CRONOPLE!$F$15,$M23-$A$15,CR$13)=0,10^12,OFFSET(CRONOPLE!$F$15,$M23-$A$15,CR$13)))</f>
        <v>0</v>
      </c>
      <c r="CT23" s="354" t="n">
        <f aca="true">IF(OR($D23&lt;&gt;"Serviço",AND(AUTOEVENTO="Manual",$M23=$A$15),$M23&gt;(ROW(PLE.lastrow)-ROW(PLE.firstrow))),0,
           IF(OFFSET(PLE!$G$15,$M23-$A$15,CT$13)="",10^12,OFFSET(PLE!$G$15,$M23-$A$15,CT$13)))</f>
        <v>0</v>
      </c>
      <c r="CU23" s="354" t="n">
        <f aca="true">IF(OR($D23&lt;&gt;"Serviço",AND(AUTOEVENTO="Manual",$M23=$A$15),$M23&gt;(ROW(PLE.lastrow)-ROW(PLE.firstrow))),0,
           IF(OFFSET(PLE!$G$15,$M23-$A$15,CU$13)="",10^12,OFFSET(PLE!$G$15,$M23-$A$15,CU$13)))</f>
        <v>0</v>
      </c>
      <c r="CV23" s="354" t="n">
        <f aca="true">IF(OR($D23&lt;&gt;"Serviço",AND(AUTOEVENTO="Manual",$M23=$A$15),$M23&gt;(ROW(PLE.lastrow)-ROW(PLE.firstrow))),0,
           IF(OFFSET(PLE!$G$15,$M23-$A$15,CV$13)="",10^12,OFFSET(PLE!$G$15,$M23-$A$15,CV$13)))</f>
        <v>0</v>
      </c>
      <c r="CW23" s="354" t="n">
        <f aca="true">IF(OR($D23&lt;&gt;"Serviço",AND(AUTOEVENTO="Manual",$M23=$A$15),$M23&gt;(ROW(PLE.lastrow)-ROW(PLE.firstrow))),0,
           IF(OFFSET(PLE!$G$15,$M23-$A$15,CW$13)="",10^12,OFFSET(PLE!$G$15,$M23-$A$15,CW$13)))</f>
        <v>0</v>
      </c>
      <c r="CX23" s="354" t="n">
        <f aca="true">IF(OR($D23&lt;&gt;"Serviço",AND(AUTOEVENTO="Manual",$M23=$A$15),$M23&gt;(ROW(PLE.lastrow)-ROW(PLE.firstrow))),0,
           IF(OFFSET(PLE!$G$15,$M23-$A$15,CX$13)="",10^12,OFFSET(PLE!$G$15,$M23-$A$15,CX$13)))</f>
        <v>0</v>
      </c>
      <c r="CY23" s="354" t="n">
        <f aca="true">IF(OR($D23&lt;&gt;"Serviço",AND(AUTOEVENTO="Manual",$M23=$A$15),$M23&gt;(ROW(PLE.lastrow)-ROW(PLE.firstrow))),0,
           IF(OFFSET(PLE!$G$15,$M23-$A$15,CY$13)="",10^12,OFFSET(PLE!$G$15,$M23-$A$15,CY$13)))</f>
        <v>0</v>
      </c>
      <c r="CZ23" s="354" t="n">
        <f aca="true">IF(OR($D23&lt;&gt;"Serviço",AND(AUTOEVENTO="Manual",$M23=$A$15),$M23&gt;(ROW(PLE.lastrow)-ROW(PLE.firstrow))),0,
           IF(OFFSET(PLE!$G$15,$M23-$A$15,CZ$13)="",10^12,OFFSET(PLE!$G$15,$M23-$A$15,CZ$13)))</f>
        <v>0</v>
      </c>
      <c r="DA23" s="354" t="n">
        <f aca="true">IF(OR($D23&lt;&gt;"Serviço",AND(AUTOEVENTO="Manual",$M23=$A$15),$M23&gt;(ROW(PLE.lastrow)-ROW(PLE.firstrow))),0,
           IF(OFFSET(PLE!$G$15,$M23-$A$15,DA$13)="",10^12,OFFSET(PLE!$G$15,$M23-$A$15,DA$13)))</f>
        <v>0</v>
      </c>
      <c r="DB23" s="354" t="n">
        <f aca="true">IF(OR($D23&lt;&gt;"Serviço",AND(AUTOEVENTO="Manual",$M23=$A$15),$M23&gt;(ROW(PLE.lastrow)-ROW(PLE.firstrow))),0,
           IF(OFFSET(PLE!$G$15,$M23-$A$15,DB$13)="",10^12,OFFSET(PLE!$G$15,$M23-$A$15,DB$13)))</f>
        <v>0</v>
      </c>
      <c r="DC23" s="354" t="n">
        <f aca="true">IF(OR($D23&lt;&gt;"Serviço",AND(AUTOEVENTO="Manual",$M23=$A$15),$M23&gt;(ROW(PLE.lastrow)-ROW(PLE.firstrow))),0,
           IF(OFFSET(PLE!$G$15,$M23-$A$15,DC$13)="",10^12,OFFSET(PLE!$G$15,$M23-$A$15,DC$13)))</f>
        <v>0</v>
      </c>
      <c r="DD23" s="354" t="n">
        <f aca="true">IF(OR($D23&lt;&gt;"Serviço",AND(AUTOEVENTO="Manual",$M23=$A$15),$M23&gt;(ROW(PLE.lastrow)-ROW(PLE.firstrow))),0,
           IF(OFFSET(PLE!$G$15,$M23-$A$15,DD$13)="",10^12,OFFSET(PLE!$G$15,$M23-$A$15,DD$13)))</f>
        <v>0</v>
      </c>
      <c r="DE23" s="354" t="n">
        <f aca="true">IF(OR($D23&lt;&gt;"Serviço",AND(AUTOEVENTO="Manual",$M23=$A$15),$M23&gt;(ROW(PLE.lastrow)-ROW(PLE.firstrow))),0,
           IF(OFFSET(PLE!$G$15,$M23-$A$15,DE$13)="",10^12,OFFSET(PLE!$G$15,$M23-$A$15,DE$13)))</f>
        <v>0</v>
      </c>
      <c r="DF23" s="354" t="n">
        <f aca="true">IF(OR($D23&lt;&gt;"Serviço",AND(AUTOEVENTO="Manual",$M23=$A$15),$M23&gt;(ROW(PLE.lastrow)-ROW(PLE.firstrow))),0,
           IF(OFFSET(PLE!$G$15,$M23-$A$15,DF$13)="",10^12,OFFSET(PLE!$G$15,$M23-$A$15,DF$13)))</f>
        <v>0</v>
      </c>
      <c r="DG23" s="354" t="n">
        <f aca="true">IF(OR($D23&lt;&gt;"Serviço",AND(AUTOEVENTO="Manual",$M23=$A$15),$M23&gt;(ROW(PLE.lastrow)-ROW(PLE.firstrow))),0,
           IF(OFFSET(PLE!$G$15,$M23-$A$15,DG$13)="",10^12,OFFSET(PLE!$G$15,$M23-$A$15,DG$13)))</f>
        <v>0</v>
      </c>
      <c r="DH23" s="354" t="n">
        <f aca="true">IF(OR($D23&lt;&gt;"Serviço",AND(AUTOEVENTO="Manual",$M23=$A$15),$M23&gt;(ROW(PLE.lastrow)-ROW(PLE.firstrow))),0,
           IF(OFFSET(PLE!$G$15,$M23-$A$15,DH$13)="",10^12,OFFSET(PLE!$G$15,$M23-$A$15,DH$13)))</f>
        <v>0</v>
      </c>
      <c r="DI23" s="354" t="n">
        <f aca="true">IF(OR($D23&lt;&gt;"Serviço",AND(AUTOEVENTO="Manual",$M23=$A$15),$M23&gt;(ROW(PLE.lastrow)-ROW(PLE.firstrow))),0,
           IF(OFFSET(PLE!$G$15,$M23-$A$15,DI$13)="",10^12,OFFSET(PLE!$G$15,$M23-$A$15,DI$13)))</f>
        <v>0</v>
      </c>
      <c r="DJ23" s="354" t="n">
        <f aca="true">IF(OR($D23&lt;&gt;"Serviço",AND(AUTOEVENTO="Manual",$M23=$A$15),$M23&gt;(ROW(PLE.lastrow)-ROW(PLE.firstrow))),0,
           IF(OFFSET(PLE!$G$15,$M23-$A$15,DJ$13)="",10^12,OFFSET(PLE!$G$15,$M23-$A$15,DJ$13)))</f>
        <v>0</v>
      </c>
      <c r="DK23" s="354" t="n">
        <f aca="true">IF(OR($D23&lt;&gt;"Serviço",AND(AUTOEVENTO="Manual",$M23=$A$15),$M23&gt;(ROW(PLE.lastrow)-ROW(PLE.firstrow))),0,
           IF(OFFSET(PLE!$G$15,$M23-$A$15,DK$13)="",10^12,OFFSET(PLE!$G$15,$M23-$A$15,DK$13)))</f>
        <v>0</v>
      </c>
      <c r="DL23" s="354" t="n">
        <f aca="true">IF(OR($D23&lt;&gt;"Serviço",AND(AUTOEVENTO="Manual",$M23=$A$15),$M23&gt;(ROW(PLE.lastrow)-ROW(PLE.firstrow))),0,
           IF(OFFSET(PLE!$G$15,$M23-$A$15,DL$13)="",10^12,OFFSET(PLE!$G$15,$M23-$A$15,DL$13)))</f>
        <v>0</v>
      </c>
      <c r="DM23" s="354" t="n">
        <f aca="true">IF(OR($D23&lt;&gt;"Serviço",AND(AUTOEVENTO="Manual",$M23=$A$15),$M23&gt;(ROW(PLE.lastrow)-ROW(PLE.firstrow))),0,
           IF(OFFSET(PLE!$G$15,$M23-$A$15,DM$13)="",10^12,OFFSET(PLE!$G$15,$M23-$A$15,DM$13)))</f>
        <v>0</v>
      </c>
      <c r="DN23" s="354" t="n">
        <f aca="true">IF(OR($D23&lt;&gt;"Serviço",AND(AUTOEVENTO="Manual",$M23=$A$15),$M23&gt;(ROW(PLE.lastrow)-ROW(PLE.firstrow))),0,
           IF(OFFSET(PLE!$G$15,$M23-$A$15,DN$13)="",10^12,OFFSET(PLE!$G$15,$M23-$A$15,DN$13)))</f>
        <v>0</v>
      </c>
      <c r="DO23" s="354" t="n">
        <f aca="true">IF(OR($D23&lt;&gt;"Serviço",AND(AUTOEVENTO="Manual",$M23=$A$15),$M23&gt;(ROW(PLE.lastrow)-ROW(PLE.firstrow))),0,
           IF(OFFSET(PLE!$G$15,$M23-$A$15,DO$13)="",10^12,OFFSET(PLE!$G$15,$M23-$A$15,DO$13)))</f>
        <v>0</v>
      </c>
      <c r="DP23" s="354" t="n">
        <f aca="true">IF(OR($D23&lt;&gt;"Serviço",AND(AUTOEVENTO="Manual",$M23=$A$15),$M23&gt;(ROW(PLE.lastrow)-ROW(PLE.firstrow))),0,
           IF(OFFSET(PLE!$G$15,$M23-$A$15,DP$13)="",10^12,OFFSET(PLE!$G$15,$M23-$A$15,DP$13)))</f>
        <v>0</v>
      </c>
      <c r="DQ23" s="354" t="n">
        <f aca="true">IF(OR($D23&lt;&gt;"Serviço",AND(AUTOEVENTO="Manual",$M23=$A$15),$M23&gt;(ROW(PLE.lastrow)-ROW(PLE.firstrow))),0,
           IF(OFFSET(PLE!$G$15,$M23-$A$15,DQ$13)="",10^12,OFFSET(PLE!$G$15,$M23-$A$15,DQ$13)))</f>
        <v>0</v>
      </c>
      <c r="DR23" s="354" t="n">
        <f aca="true">IF(OR($D23&lt;&gt;"Serviço",AND(AUTOEVENTO="Manual",$M23=$A$15),$M23&gt;(ROW(PLE.lastrow)-ROW(PLE.firstrow))),0,
           IF(OFFSET(PLE!$G$15,$M23-$A$15,DR$13)="",10^12,OFFSET(PLE!$G$15,$M23-$A$15,DR$13)))</f>
        <v>0</v>
      </c>
      <c r="DS23" s="354" t="n">
        <f aca="true">IF(OR($D23&lt;&gt;"Serviço",AND(AUTOEVENTO="Manual",$M23=$A$15),$M23&gt;(ROW(PLE.lastrow)-ROW(PLE.firstrow))),0,
           IF(OFFSET(PLE!$G$15,$M23-$A$15,DS$13)="",10^12,OFFSET(PLE!$G$15,$M23-$A$15,DS$13)))</f>
        <v>0</v>
      </c>
    </row>
    <row r="24" customFormat="false" ht="23.85" hidden="false" customHeight="false" outlineLevel="0" collapsed="false">
      <c r="A24" s="50" t="str">
        <f aca="true">IFERROR(IF(AUTOEVENTO="Manual",IF(K24&lt;&gt;"",MIN(VALUE(LEFT(K24,FIND(".",K24)-1)),COUNTA(EVENTOS.Lista)),0),IF(OR($B24&gt;AUTOEVENTO,$B24="S",$B24=0),SUBSTITUTE(OFFSET($A24,-1,0),IF($D24="Serviço",".",""),""),ROW(A24)-ROW($A$15)&amp;".")),0)</f>
        <v>8</v>
      </c>
      <c r="B24" s="50" t="str">
        <f aca="true">OFFSET(ORÇAMENTO!C$15,ROW(B24)-ROW(B$15),0)</f>
        <v>S</v>
      </c>
      <c r="C24" s="50" t="str">
        <f aca="true">OFFSET(ORÇAMENTO!L$15,ROW(C24)-ROW(C$15),0)</f>
        <v>F</v>
      </c>
      <c r="D24" s="201" t="str">
        <f aca="true">OFFSET(ORÇAMENTO!N$15,ROW(D24)-ROW(D$15),0)</f>
        <v>Serviço</v>
      </c>
      <c r="E24" s="202" t="str">
        <f aca="true">OFFSET(ORÇAMENTO!O$15,ROW(E24)-ROW(E$15),0)</f>
        <v>1.2.1.</v>
      </c>
      <c r="F24" s="341" t="str">
        <f aca="true">OFFSET(ORÇAMENTO!R$15,ROW(F24)-ROW(F$15),0)</f>
        <v>ENGENHEIRO CIVIL DE OBRA PLENO COM ENCARGOS COMPLEMENTARES </v>
      </c>
      <c r="G24" s="342" t="str">
        <f aca="true">IF($D24&lt;&gt;"Serviço","",OFFSET(ORÇAMENTO!S$15,ROW(G24)-ROW(G$15),0))</f>
        <v>H</v>
      </c>
      <c r="H24" s="207" t="n">
        <f aca="true">IF($D24&lt;&gt;"Serviço",0,IF(ACOMPANHAMENTO="BM",ROUND(OFFSET(ORÇAMENTO!AJ$15,ROW(H24)-ROW(H$15),0),15-13*ORÇAMENTO!$AF$7),SUMPRODUCT(($Q$1:$AQ$1=1)*ROUND($Q24:$AQ24,15-13*ORÇAMENTO!$AF$7))))</f>
        <v>50</v>
      </c>
      <c r="I24" s="343" t="s">
        <v>918</v>
      </c>
      <c r="J24" s="344" t="e">
        <f aca="false">IF(OR(B24&lt;&gt;"S",CÁLCULO.FrentesPreenchidas=0),"",IF(AND(ACOMPANHAMENTO="PLE",AUTOEVENTO="Manual",OR(H24&gt;0,ORÇAMENTO!AC24="QUANT."),OR(K24="",M24=0,N24="")),"►",IF(AND(ACOMPANHAMENTO="PLE",ORÇAMENTO!AC24="QUANT."),"►►",IF(AND(COUNTIF($P$11:$AQ$11,"▼")=0,H24&gt;0,I24=""),"◄",""))))</f>
        <v>#NAME?</v>
      </c>
      <c r="K24" s="345"/>
      <c r="L24" s="346" t="s">
        <v>876</v>
      </c>
      <c r="M24" s="347" t="n">
        <f aca="true">IF($D24&lt;&gt;"Serviço","",
          IF(AUTOEVENTO="manual",$A24,
                IF(ISERROR(MATCH($A24,$A$15:OFFSET($A24,-1,0),0)),MAX($M$15:OFFSET(M24,-1,0))+1,
                      INDEX($M$15:OFFSET(M24,-1,0),MATCH($A24,$A$15:OFFSET($A24,-1,0),0)))))</f>
        <v>2</v>
      </c>
      <c r="N24" s="348" t="str">
        <f aca="true">IF($D24&lt;&gt;"Serviço","",
         IF(AUTOEVENTO="Manual",
                IF($A24=0,"&lt;-- defina o número do agrupador",
                       OFFSET(EVENTOS!$D$15,$A24-$A$15,0)),
                OFFSET($F$15,$A24,0)))</f>
        <v>ADMINISRAÇÃO LOCAL</v>
      </c>
      <c r="O24" s="349"/>
      <c r="Q24" s="349" t="n">
        <v>2</v>
      </c>
      <c r="R24" s="350" t="n">
        <f aca="false">Q24</f>
        <v>2</v>
      </c>
      <c r="S24" s="350" t="n">
        <f aca="false">R24</f>
        <v>2</v>
      </c>
      <c r="T24" s="350" t="n">
        <f aca="false">S24</f>
        <v>2</v>
      </c>
      <c r="U24" s="350" t="n">
        <f aca="false">T24</f>
        <v>2</v>
      </c>
      <c r="V24" s="350" t="n">
        <f aca="false">U24</f>
        <v>2</v>
      </c>
      <c r="W24" s="350" t="n">
        <f aca="false">V24</f>
        <v>2</v>
      </c>
      <c r="X24" s="350" t="n">
        <f aca="false">W24</f>
        <v>2</v>
      </c>
      <c r="Y24" s="350" t="n">
        <f aca="false">X24</f>
        <v>2</v>
      </c>
      <c r="Z24" s="351" t="n">
        <f aca="false">Y24</f>
        <v>2</v>
      </c>
      <c r="AA24" s="350" t="n">
        <f aca="false">Z24</f>
        <v>2</v>
      </c>
      <c r="AB24" s="350" t="n">
        <f aca="false">AA24</f>
        <v>2</v>
      </c>
      <c r="AC24" s="350" t="n">
        <f aca="false">AB24</f>
        <v>2</v>
      </c>
      <c r="AD24" s="350" t="n">
        <f aca="false">AC24</f>
        <v>2</v>
      </c>
      <c r="AE24" s="350" t="n">
        <f aca="false">AD24</f>
        <v>2</v>
      </c>
      <c r="AF24" s="350" t="n">
        <f aca="false">AE24</f>
        <v>2</v>
      </c>
      <c r="AG24" s="350" t="n">
        <f aca="false">AF24</f>
        <v>2</v>
      </c>
      <c r="AH24" s="351" t="n">
        <f aca="false">AG24</f>
        <v>2</v>
      </c>
      <c r="AI24" s="350" t="n">
        <f aca="false">AH24</f>
        <v>2</v>
      </c>
      <c r="AJ24" s="350" t="n">
        <f aca="false">AI24</f>
        <v>2</v>
      </c>
      <c r="AK24" s="350" t="n">
        <f aca="false">AJ24</f>
        <v>2</v>
      </c>
      <c r="AL24" s="350" t="n">
        <f aca="false">AK24</f>
        <v>2</v>
      </c>
      <c r="AM24" s="350" t="n">
        <f aca="false">AL24</f>
        <v>2</v>
      </c>
      <c r="AN24" s="350" t="n">
        <f aca="false">AM24</f>
        <v>2</v>
      </c>
      <c r="AO24" s="350" t="n">
        <f aca="false">AN24</f>
        <v>2</v>
      </c>
      <c r="AP24" s="351"/>
      <c r="AR24" s="352" t="n">
        <f aca="true">IF(AND($D24="Serviço",AR$12&lt;&gt;0,$H24&gt;0,OR(AUTOEVENTO&lt;&gt;"manual",$M24&lt;&gt;$A$15)),
        IF(Import.TipoArredondamento&lt;&gt;"TransfereGOV",
              ROUND(OFFSET($P24,0,AR$13),15-13*ORÇAMENTO!$AF$7)/$H24*OFFSET(ORÇAMENTO!$X$15,ROW(AR24)-ROW(AR$15),0),
              ROUND(ROUND(OFFSET($P24,0,AR$13),15-13*ORÇAMENTO!$AF$7)*OFFSET(ORÇAMENTO!$W$15,ROW(AR24)-ROW(AR$15),0),15-13*ORÇAMENTO!$AF$11)),
         0)</f>
        <v>313.86</v>
      </c>
      <c r="AS24" s="352" t="n">
        <f aca="true">IF(AND($D24="Serviço",AS$12&lt;&gt;0,$H24&gt;0,OR(AUTOEVENTO&lt;&gt;"manual",$M24&lt;&gt;$A$15)),
        IF(Import.TipoArredondamento&lt;&gt;"TransfereGOV",
              ROUND(OFFSET($P24,0,AS$13),15-13*ORÇAMENTO!$AF$7)/$H24*OFFSET(ORÇAMENTO!$X$15,ROW(AS24)-ROW(AS$15),0),
              ROUND(ROUND(OFFSET($P24,0,AS$13),15-13*ORÇAMENTO!$AF$7)*OFFSET(ORÇAMENTO!$W$15,ROW(AS24)-ROW(AS$15),0),15-13*ORÇAMENTO!$AF$11)),
         0)</f>
        <v>313.86</v>
      </c>
      <c r="AT24" s="352" t="n">
        <f aca="true">IF(AND($D24="Serviço",AT$12&lt;&gt;0,$H24&gt;0,OR(AUTOEVENTO&lt;&gt;"manual",$M24&lt;&gt;$A$15)),
        IF(Import.TipoArredondamento&lt;&gt;"TransfereGOV",
              ROUND(OFFSET($P24,0,AT$13),15-13*ORÇAMENTO!$AF$7)/$H24*OFFSET(ORÇAMENTO!$X$15,ROW(AT24)-ROW(AT$15),0),
              ROUND(ROUND(OFFSET($P24,0,AT$13),15-13*ORÇAMENTO!$AF$7)*OFFSET(ORÇAMENTO!$W$15,ROW(AT24)-ROW(AT$15),0),15-13*ORÇAMENTO!$AF$11)),
         0)</f>
        <v>313.86</v>
      </c>
      <c r="AU24" s="352" t="n">
        <f aca="true">IF(AND($D24="Serviço",AU$12&lt;&gt;0,$H24&gt;0,OR(AUTOEVENTO&lt;&gt;"manual",$M24&lt;&gt;$A$15)),
        IF(Import.TipoArredondamento&lt;&gt;"TransfereGOV",
              ROUND(OFFSET($P24,0,AU$13),15-13*ORÇAMENTO!$AF$7)/$H24*OFFSET(ORÇAMENTO!$X$15,ROW(AU24)-ROW(AU$15),0),
              ROUND(ROUND(OFFSET($P24,0,AU$13),15-13*ORÇAMENTO!$AF$7)*OFFSET(ORÇAMENTO!$W$15,ROW(AU24)-ROW(AU$15),0),15-13*ORÇAMENTO!$AF$11)),
         0)</f>
        <v>313.86</v>
      </c>
      <c r="AV24" s="352" t="n">
        <f aca="true">IF(AND($D24="Serviço",AV$12&lt;&gt;0,$H24&gt;0,OR(AUTOEVENTO&lt;&gt;"manual",$M24&lt;&gt;$A$15)),
        IF(Import.TipoArredondamento&lt;&gt;"TransfereGOV",
              ROUND(OFFSET($P24,0,AV$13),15-13*ORÇAMENTO!$AF$7)/$H24*OFFSET(ORÇAMENTO!$X$15,ROW(AV24)-ROW(AV$15),0),
              ROUND(ROUND(OFFSET($P24,0,AV$13),15-13*ORÇAMENTO!$AF$7)*OFFSET(ORÇAMENTO!$W$15,ROW(AV24)-ROW(AV$15),0),15-13*ORÇAMENTO!$AF$11)),
         0)</f>
        <v>313.86</v>
      </c>
      <c r="AW24" s="352" t="n">
        <f aca="true">IF(AND($D24="Serviço",AW$12&lt;&gt;0,$H24&gt;0,OR(AUTOEVENTO&lt;&gt;"manual",$M24&lt;&gt;$A$15)),
        IF(Import.TipoArredondamento&lt;&gt;"TransfereGOV",
              ROUND(OFFSET($P24,0,AW$13),15-13*ORÇAMENTO!$AF$7)/$H24*OFFSET(ORÇAMENTO!$X$15,ROW(AW24)-ROW(AW$15),0),
              ROUND(ROUND(OFFSET($P24,0,AW$13),15-13*ORÇAMENTO!$AF$7)*OFFSET(ORÇAMENTO!$W$15,ROW(AW24)-ROW(AW$15),0),15-13*ORÇAMENTO!$AF$11)),
         0)</f>
        <v>313.86</v>
      </c>
      <c r="AX24" s="352" t="n">
        <f aca="true">IF(AND($D24="Serviço",AX$12&lt;&gt;0,$H24&gt;0,OR(AUTOEVENTO&lt;&gt;"manual",$M24&lt;&gt;$A$15)),
        IF(Import.TipoArredondamento&lt;&gt;"TransfereGOV",
              ROUND(OFFSET($P24,0,AX$13),15-13*ORÇAMENTO!$AF$7)/$H24*OFFSET(ORÇAMENTO!$X$15,ROW(AX24)-ROW(AX$15),0),
              ROUND(ROUND(OFFSET($P24,0,AX$13),15-13*ORÇAMENTO!$AF$7)*OFFSET(ORÇAMENTO!$W$15,ROW(AX24)-ROW(AX$15),0),15-13*ORÇAMENTO!$AF$11)),
         0)</f>
        <v>313.86</v>
      </c>
      <c r="AY24" s="352" t="n">
        <f aca="true">IF(AND($D24="Serviço",AY$12&lt;&gt;0,$H24&gt;0,OR(AUTOEVENTO&lt;&gt;"manual",$M24&lt;&gt;$A$15)),
        IF(Import.TipoArredondamento&lt;&gt;"TransfereGOV",
              ROUND(OFFSET($P24,0,AY$13),15-13*ORÇAMENTO!$AF$7)/$H24*OFFSET(ORÇAMENTO!$X$15,ROW(AY24)-ROW(AY$15),0),
              ROUND(ROUND(OFFSET($P24,0,AY$13),15-13*ORÇAMENTO!$AF$7)*OFFSET(ORÇAMENTO!$W$15,ROW(AY24)-ROW(AY$15),0),15-13*ORÇAMENTO!$AF$11)),
         0)</f>
        <v>313.86</v>
      </c>
      <c r="AZ24" s="352" t="n">
        <f aca="true">IF(AND($D24="Serviço",AZ$12&lt;&gt;0,$H24&gt;0,OR(AUTOEVENTO&lt;&gt;"manual",$M24&lt;&gt;$A$15)),
        IF(Import.TipoArredondamento&lt;&gt;"TransfereGOV",
              ROUND(OFFSET($P24,0,AZ$13),15-13*ORÇAMENTO!$AF$7)/$H24*OFFSET(ORÇAMENTO!$X$15,ROW(AZ24)-ROW(AZ$15),0),
              ROUND(ROUND(OFFSET($P24,0,AZ$13),15-13*ORÇAMENTO!$AF$7)*OFFSET(ORÇAMENTO!$W$15,ROW(AZ24)-ROW(AZ$15),0),15-13*ORÇAMENTO!$AF$11)),
         0)</f>
        <v>313.86</v>
      </c>
      <c r="BA24" s="352" t="n">
        <f aca="true">IF(AND($D24="Serviço",BA$12&lt;&gt;0,$H24&gt;0,OR(AUTOEVENTO&lt;&gt;"manual",$M24&lt;&gt;$A$15)),
        IF(Import.TipoArredondamento&lt;&gt;"TransfereGOV",
              ROUND(OFFSET($P24,0,BA$13),15-13*ORÇAMENTO!$AF$7)/$H24*OFFSET(ORÇAMENTO!$X$15,ROW(BA24)-ROW(BA$15),0),
              ROUND(ROUND(OFFSET($P24,0,BA$13),15-13*ORÇAMENTO!$AF$7)*OFFSET(ORÇAMENTO!$W$15,ROW(BA24)-ROW(BA$15),0),15-13*ORÇAMENTO!$AF$11)),
         0)</f>
        <v>313.86</v>
      </c>
      <c r="BB24" s="352" t="n">
        <f aca="true">IF(AND($D24="Serviço",BB$12&lt;&gt;0,$H24&gt;0,OR(AUTOEVENTO&lt;&gt;"manual",$M24&lt;&gt;$A$15)),
        IF(Import.TipoArredondamento&lt;&gt;"TransfereGOV",
              ROUND(OFFSET($P24,0,BB$13),15-13*ORÇAMENTO!$AF$7)/$H24*OFFSET(ORÇAMENTO!$X$15,ROW(BB24)-ROW(BB$15),0),
              ROUND(ROUND(OFFSET($P24,0,BB$13),15-13*ORÇAMENTO!$AF$7)*OFFSET(ORÇAMENTO!$W$15,ROW(BB24)-ROW(BB$15),0),15-13*ORÇAMENTO!$AF$11)),
         0)</f>
        <v>313.86</v>
      </c>
      <c r="BC24" s="352" t="n">
        <f aca="true">IF(AND($D24="Serviço",BC$12&lt;&gt;0,$H24&gt;0,OR(AUTOEVENTO&lt;&gt;"manual",$M24&lt;&gt;$A$15)),
        IF(Import.TipoArredondamento&lt;&gt;"TransfereGOV",
              ROUND(OFFSET($P24,0,BC$13),15-13*ORÇAMENTO!$AF$7)/$H24*OFFSET(ORÇAMENTO!$X$15,ROW(BC24)-ROW(BC$15),0),
              ROUND(ROUND(OFFSET($P24,0,BC$13),15-13*ORÇAMENTO!$AF$7)*OFFSET(ORÇAMENTO!$W$15,ROW(BC24)-ROW(BC$15),0),15-13*ORÇAMENTO!$AF$11)),
         0)</f>
        <v>313.86</v>
      </c>
      <c r="BD24" s="352" t="n">
        <f aca="true">IF(AND($D24="Serviço",BD$12&lt;&gt;0,$H24&gt;0,OR(AUTOEVENTO&lt;&gt;"manual",$M24&lt;&gt;$A$15)),
        IF(Import.TipoArredondamento&lt;&gt;"TransfereGOV",
              ROUND(OFFSET($P24,0,BD$13),15-13*ORÇAMENTO!$AF$7)/$H24*OFFSET(ORÇAMENTO!$X$15,ROW(BD24)-ROW(BD$15),0),
              ROUND(ROUND(OFFSET($P24,0,BD$13),15-13*ORÇAMENTO!$AF$7)*OFFSET(ORÇAMENTO!$W$15,ROW(BD24)-ROW(BD$15),0),15-13*ORÇAMENTO!$AF$11)),
         0)</f>
        <v>313.86</v>
      </c>
      <c r="BE24" s="352" t="n">
        <f aca="true">IF(AND($D24="Serviço",BE$12&lt;&gt;0,$H24&gt;0,OR(AUTOEVENTO&lt;&gt;"manual",$M24&lt;&gt;$A$15)),
        IF(Import.TipoArredondamento&lt;&gt;"TransfereGOV",
              ROUND(OFFSET($P24,0,BE$13),15-13*ORÇAMENTO!$AF$7)/$H24*OFFSET(ORÇAMENTO!$X$15,ROW(BE24)-ROW(BE$15),0),
              ROUND(ROUND(OFFSET($P24,0,BE$13),15-13*ORÇAMENTO!$AF$7)*OFFSET(ORÇAMENTO!$W$15,ROW(BE24)-ROW(BE$15),0),15-13*ORÇAMENTO!$AF$11)),
         0)</f>
        <v>313.86</v>
      </c>
      <c r="BF24" s="352" t="n">
        <f aca="true">IF(AND($D24="Serviço",BF$12&lt;&gt;0,$H24&gt;0,OR(AUTOEVENTO&lt;&gt;"manual",$M24&lt;&gt;$A$15)),
        IF(Import.TipoArredondamento&lt;&gt;"TransfereGOV",
              ROUND(OFFSET($P24,0,BF$13),15-13*ORÇAMENTO!$AF$7)/$H24*OFFSET(ORÇAMENTO!$X$15,ROW(BF24)-ROW(BF$15),0),
              ROUND(ROUND(OFFSET($P24,0,BF$13),15-13*ORÇAMENTO!$AF$7)*OFFSET(ORÇAMENTO!$W$15,ROW(BF24)-ROW(BF$15),0),15-13*ORÇAMENTO!$AF$11)),
         0)</f>
        <v>313.86</v>
      </c>
      <c r="BG24" s="352" t="n">
        <f aca="true">IF(AND($D24="Serviço",BG$12&lt;&gt;0,$H24&gt;0,OR(AUTOEVENTO&lt;&gt;"manual",$M24&lt;&gt;$A$15)),
        IF(Import.TipoArredondamento&lt;&gt;"TransfereGOV",
              ROUND(OFFSET($P24,0,BG$13),15-13*ORÇAMENTO!$AF$7)/$H24*OFFSET(ORÇAMENTO!$X$15,ROW(BG24)-ROW(BG$15),0),
              ROUND(ROUND(OFFSET($P24,0,BG$13),15-13*ORÇAMENTO!$AF$7)*OFFSET(ORÇAMENTO!$W$15,ROW(BG24)-ROW(BG$15),0),15-13*ORÇAMENTO!$AF$11)),
         0)</f>
        <v>313.86</v>
      </c>
      <c r="BH24" s="352" t="n">
        <f aca="true">IF(AND($D24="Serviço",BH$12&lt;&gt;0,$H24&gt;0,OR(AUTOEVENTO&lt;&gt;"manual",$M24&lt;&gt;$A$15)),
        IF(Import.TipoArredondamento&lt;&gt;"TransfereGOV",
              ROUND(OFFSET($P24,0,BH$13),15-13*ORÇAMENTO!$AF$7)/$H24*OFFSET(ORÇAMENTO!$X$15,ROW(BH24)-ROW(BH$15),0),
              ROUND(ROUND(OFFSET($P24,0,BH$13),15-13*ORÇAMENTO!$AF$7)*OFFSET(ORÇAMENTO!$W$15,ROW(BH24)-ROW(BH$15),0),15-13*ORÇAMENTO!$AF$11)),
         0)</f>
        <v>313.86</v>
      </c>
      <c r="BI24" s="352" t="n">
        <f aca="true">IF(AND($D24="Serviço",BI$12&lt;&gt;0,$H24&gt;0,OR(AUTOEVENTO&lt;&gt;"manual",$M24&lt;&gt;$A$15)),
        IF(Import.TipoArredondamento&lt;&gt;"TransfereGOV",
              ROUND(OFFSET($P24,0,BI$13),15-13*ORÇAMENTO!$AF$7)/$H24*OFFSET(ORÇAMENTO!$X$15,ROW(BI24)-ROW(BI$15),0),
              ROUND(ROUND(OFFSET($P24,0,BI$13),15-13*ORÇAMENTO!$AF$7)*OFFSET(ORÇAMENTO!$W$15,ROW(BI24)-ROW(BI$15),0),15-13*ORÇAMENTO!$AF$11)),
         0)</f>
        <v>313.86</v>
      </c>
      <c r="BJ24" s="352" t="n">
        <f aca="true">IF(AND($D24="Serviço",BJ$12&lt;&gt;0,$H24&gt;0,OR(AUTOEVENTO&lt;&gt;"manual",$M24&lt;&gt;$A$15)),
        IF(Import.TipoArredondamento&lt;&gt;"TransfereGOV",
              ROUND(OFFSET($P24,0,BJ$13),15-13*ORÇAMENTO!$AF$7)/$H24*OFFSET(ORÇAMENTO!$X$15,ROW(BJ24)-ROW(BJ$15),0),
              ROUND(ROUND(OFFSET($P24,0,BJ$13),15-13*ORÇAMENTO!$AF$7)*OFFSET(ORÇAMENTO!$W$15,ROW(BJ24)-ROW(BJ$15),0),15-13*ORÇAMENTO!$AF$11)),
         0)</f>
        <v>313.86</v>
      </c>
      <c r="BK24" s="352" t="n">
        <f aca="true">IF(AND($D24="Serviço",BK$12&lt;&gt;0,$H24&gt;0,OR(AUTOEVENTO&lt;&gt;"manual",$M24&lt;&gt;$A$15)),
        IF(Import.TipoArredondamento&lt;&gt;"TransfereGOV",
              ROUND(OFFSET($P24,0,BK$13),15-13*ORÇAMENTO!$AF$7)/$H24*OFFSET(ORÇAMENTO!$X$15,ROW(BK24)-ROW(BK$15),0),
              ROUND(ROUND(OFFSET($P24,0,BK$13),15-13*ORÇAMENTO!$AF$7)*OFFSET(ORÇAMENTO!$W$15,ROW(BK24)-ROW(BK$15),0),15-13*ORÇAMENTO!$AF$11)),
         0)</f>
        <v>313.86</v>
      </c>
      <c r="BL24" s="352" t="n">
        <f aca="true">IF(AND($D24="Serviço",BL$12&lt;&gt;0,$H24&gt;0,OR(AUTOEVENTO&lt;&gt;"manual",$M24&lt;&gt;$A$15)),
        IF(Import.TipoArredondamento&lt;&gt;"TransfereGOV",
              ROUND(OFFSET($P24,0,BL$13),15-13*ORÇAMENTO!$AF$7)/$H24*OFFSET(ORÇAMENTO!$X$15,ROW(BL24)-ROW(BL$15),0),
              ROUND(ROUND(OFFSET($P24,0,BL$13),15-13*ORÇAMENTO!$AF$7)*OFFSET(ORÇAMENTO!$W$15,ROW(BL24)-ROW(BL$15),0),15-13*ORÇAMENTO!$AF$11)),
         0)</f>
        <v>313.86</v>
      </c>
      <c r="BM24" s="352" t="n">
        <f aca="true">IF(AND($D24="Serviço",BM$12&lt;&gt;0,$H24&gt;0,OR(AUTOEVENTO&lt;&gt;"manual",$M24&lt;&gt;$A$15)),
        IF(Import.TipoArredondamento&lt;&gt;"TransfereGOV",
              ROUND(OFFSET($P24,0,BM$13),15-13*ORÇAMENTO!$AF$7)/$H24*OFFSET(ORÇAMENTO!$X$15,ROW(BM24)-ROW(BM$15),0),
              ROUND(ROUND(OFFSET($P24,0,BM$13),15-13*ORÇAMENTO!$AF$7)*OFFSET(ORÇAMENTO!$W$15,ROW(BM24)-ROW(BM$15),0),15-13*ORÇAMENTO!$AF$11)),
         0)</f>
        <v>313.86</v>
      </c>
      <c r="BN24" s="352" t="n">
        <f aca="true">IF(AND($D24="Serviço",BN$12&lt;&gt;0,$H24&gt;0,OR(AUTOEVENTO&lt;&gt;"manual",$M24&lt;&gt;$A$15)),
        IF(Import.TipoArredondamento&lt;&gt;"TransfereGOV",
              ROUND(OFFSET($P24,0,BN$13),15-13*ORÇAMENTO!$AF$7)/$H24*OFFSET(ORÇAMENTO!$X$15,ROW(BN24)-ROW(BN$15),0),
              ROUND(ROUND(OFFSET($P24,0,BN$13),15-13*ORÇAMENTO!$AF$7)*OFFSET(ORÇAMENTO!$W$15,ROW(BN24)-ROW(BN$15),0),15-13*ORÇAMENTO!$AF$11)),
         0)</f>
        <v>313.86</v>
      </c>
      <c r="BO24" s="352" t="n">
        <f aca="true">IF(AND($D24="Serviço",BO$12&lt;&gt;0,$H24&gt;0,OR(AUTOEVENTO&lt;&gt;"manual",$M24&lt;&gt;$A$15)),
        IF(Import.TipoArredondamento&lt;&gt;"TransfereGOV",
              ROUND(OFFSET($P24,0,BO$13),15-13*ORÇAMENTO!$AF$7)/$H24*OFFSET(ORÇAMENTO!$X$15,ROW(BO24)-ROW(BO$15),0),
              ROUND(ROUND(OFFSET($P24,0,BO$13),15-13*ORÇAMENTO!$AF$7)*OFFSET(ORÇAMENTO!$W$15,ROW(BO24)-ROW(BO$15),0),15-13*ORÇAMENTO!$AF$11)),
         0)</f>
        <v>313.86</v>
      </c>
      <c r="BP24" s="352" t="n">
        <f aca="true">IF(AND($D24="Serviço",BP$12&lt;&gt;0,$H24&gt;0,OR(AUTOEVENTO&lt;&gt;"manual",$M24&lt;&gt;$A$15)),
        IF(Import.TipoArredondamento&lt;&gt;"TransfereGOV",
              ROUND(OFFSET($P24,0,BP$13),15-13*ORÇAMENTO!$AF$7)/$H24*OFFSET(ORÇAMENTO!$X$15,ROW(BP24)-ROW(BP$15),0),
              ROUND(ROUND(OFFSET($P24,0,BP$13),15-13*ORÇAMENTO!$AF$7)*OFFSET(ORÇAMENTO!$W$15,ROW(BP24)-ROW(BP$15),0),15-13*ORÇAMENTO!$AF$11)),
         0)</f>
        <v>313.86</v>
      </c>
      <c r="BQ24" s="352" t="n">
        <f aca="true">IF(AND($D24="Serviço",BQ$12&lt;&gt;0,$H24&gt;0,OR(AUTOEVENTO&lt;&gt;"manual",$M24&lt;&gt;$A$15)),
        IF(Import.TipoArredondamento&lt;&gt;"TransfereGOV",
              ROUND(OFFSET($P24,0,BQ$13),15-13*ORÇAMENTO!$AF$7)/$H24*OFFSET(ORÇAMENTO!$X$15,ROW(BQ24)-ROW(BQ$15),0),
              ROUND(ROUND(OFFSET($P24,0,BQ$13),15-13*ORÇAMENTO!$AF$7)*OFFSET(ORÇAMENTO!$W$15,ROW(BQ24)-ROW(BQ$15),0),15-13*ORÇAMENTO!$AF$11)),
         0)</f>
        <v>0</v>
      </c>
      <c r="BS24" s="353" t="n">
        <f aca="true">IF(OR($D24&lt;&gt;"Serviço",AND(AUTOEVENTO="Manual",$M24=$A$15)),0,
         IF(OFFSET(CRONOPLE!$F$15,$M24-$A$15,BS$13)=0,10^12,OFFSET(CRONOPLE!$F$15,$M24-$A$15,BS$13)))</f>
        <v>1</v>
      </c>
      <c r="BT24" s="353" t="n">
        <f aca="true">IF(OR($D24&lt;&gt;"Serviço",AND(AUTOEVENTO="Manual",$M24=$A$15)),0,
         IF(OFFSET(CRONOPLE!$F$15,$M24-$A$15,BT$13)=0,10^12,OFFSET(CRONOPLE!$F$15,$M24-$A$15,BT$13)))</f>
        <v>2</v>
      </c>
      <c r="BU24" s="353" t="n">
        <f aca="true">IF(OR($D24&lt;&gt;"Serviço",AND(AUTOEVENTO="Manual",$M24=$A$15)),0,
         IF(OFFSET(CRONOPLE!$F$15,$M24-$A$15,BU$13)=0,10^12,OFFSET(CRONOPLE!$F$15,$M24-$A$15,BU$13)))</f>
        <v>3</v>
      </c>
      <c r="BV24" s="353" t="n">
        <f aca="true">IF(OR($D24&lt;&gt;"Serviço",AND(AUTOEVENTO="Manual",$M24=$A$15)),0,
         IF(OFFSET(CRONOPLE!$F$15,$M24-$A$15,BV$13)=0,10^12,OFFSET(CRONOPLE!$F$15,$M24-$A$15,BV$13)))</f>
        <v>4</v>
      </c>
      <c r="BW24" s="353" t="n">
        <f aca="true">IF(OR($D24&lt;&gt;"Serviço",AND(AUTOEVENTO="Manual",$M24=$A$15)),0,
         IF(OFFSET(CRONOPLE!$F$15,$M24-$A$15,BW$13)=0,10^12,OFFSET(CRONOPLE!$F$15,$M24-$A$15,BW$13)))</f>
        <v>5</v>
      </c>
      <c r="BX24" s="353" t="n">
        <f aca="true">IF(OR($D24&lt;&gt;"Serviço",AND(AUTOEVENTO="Manual",$M24=$A$15)),0,
         IF(OFFSET(CRONOPLE!$F$15,$M24-$A$15,BX$13)=0,10^12,OFFSET(CRONOPLE!$F$15,$M24-$A$15,BX$13)))</f>
        <v>6</v>
      </c>
      <c r="BY24" s="353" t="n">
        <f aca="true">IF(OR($D24&lt;&gt;"Serviço",AND(AUTOEVENTO="Manual",$M24=$A$15)),0,
         IF(OFFSET(CRONOPLE!$F$15,$M24-$A$15,BY$13)=0,10^12,OFFSET(CRONOPLE!$F$15,$M24-$A$15,BY$13)))</f>
        <v>7</v>
      </c>
      <c r="BZ24" s="353" t="n">
        <f aca="true">IF(OR($D24&lt;&gt;"Serviço",AND(AUTOEVENTO="Manual",$M24=$A$15)),0,
         IF(OFFSET(CRONOPLE!$F$15,$M24-$A$15,BZ$13)=0,10^12,OFFSET(CRONOPLE!$F$15,$M24-$A$15,BZ$13)))</f>
        <v>8</v>
      </c>
      <c r="CA24" s="353" t="n">
        <f aca="true">IF(OR($D24&lt;&gt;"Serviço",AND(AUTOEVENTO="Manual",$M24=$A$15)),0,
         IF(OFFSET(CRONOPLE!$F$15,$M24-$A$15,CA$13)=0,10^12,OFFSET(CRONOPLE!$F$15,$M24-$A$15,CA$13)))</f>
        <v>9</v>
      </c>
      <c r="CB24" s="353" t="n">
        <f aca="true">IF(OR($D24&lt;&gt;"Serviço",AND(AUTOEVENTO="Manual",$M24=$A$15)),0,
         IF(OFFSET(CRONOPLE!$F$15,$M24-$A$15,CB$13)=0,10^12,OFFSET(CRONOPLE!$F$15,$M24-$A$15,CB$13)))</f>
        <v>10</v>
      </c>
      <c r="CC24" s="353" t="n">
        <f aca="true">IF(OR($D24&lt;&gt;"Serviço",AND(AUTOEVENTO="Manual",$M24=$A$15)),0,
         IF(OFFSET(CRONOPLE!$F$15,$M24-$A$15,CC$13)=0,10^12,OFFSET(CRONOPLE!$F$15,$M24-$A$15,CC$13)))</f>
        <v>11</v>
      </c>
      <c r="CD24" s="353" t="n">
        <f aca="true">IF(OR($D24&lt;&gt;"Serviço",AND(AUTOEVENTO="Manual",$M24=$A$15)),0,
         IF(OFFSET(CRONOPLE!$F$15,$M24-$A$15,CD$13)=0,10^12,OFFSET(CRONOPLE!$F$15,$M24-$A$15,CD$13)))</f>
        <v>12</v>
      </c>
      <c r="CE24" s="353" t="n">
        <f aca="true">IF(OR($D24&lt;&gt;"Serviço",AND(AUTOEVENTO="Manual",$M24=$A$15)),0,
         IF(OFFSET(CRONOPLE!$F$15,$M24-$A$15,CE$13)=0,10^12,OFFSET(CRONOPLE!$F$15,$M24-$A$15,CE$13)))</f>
        <v>13</v>
      </c>
      <c r="CF24" s="353" t="n">
        <f aca="true">IF(OR($D24&lt;&gt;"Serviço",AND(AUTOEVENTO="Manual",$M24=$A$15)),0,
         IF(OFFSET(CRONOPLE!$F$15,$M24-$A$15,CF$13)=0,10^12,OFFSET(CRONOPLE!$F$15,$M24-$A$15,CF$13)))</f>
        <v>14</v>
      </c>
      <c r="CG24" s="353" t="n">
        <f aca="true">IF(OR($D24&lt;&gt;"Serviço",AND(AUTOEVENTO="Manual",$M24=$A$15)),0,
         IF(OFFSET(CRONOPLE!$F$15,$M24-$A$15,CG$13)=0,10^12,OFFSET(CRONOPLE!$F$15,$M24-$A$15,CG$13)))</f>
        <v>15</v>
      </c>
      <c r="CH24" s="353" t="n">
        <f aca="true">IF(OR($D24&lt;&gt;"Serviço",AND(AUTOEVENTO="Manual",$M24=$A$15)),0,
         IF(OFFSET(CRONOPLE!$F$15,$M24-$A$15,CH$13)=0,10^12,OFFSET(CRONOPLE!$F$15,$M24-$A$15,CH$13)))</f>
        <v>16</v>
      </c>
      <c r="CI24" s="353" t="n">
        <f aca="true">IF(OR($D24&lt;&gt;"Serviço",AND(AUTOEVENTO="Manual",$M24=$A$15)),0,
         IF(OFFSET(CRONOPLE!$F$15,$M24-$A$15,CI$13)=0,10^12,OFFSET(CRONOPLE!$F$15,$M24-$A$15,CI$13)))</f>
        <v>17</v>
      </c>
      <c r="CJ24" s="353" t="n">
        <f aca="true">IF(OR($D24&lt;&gt;"Serviço",AND(AUTOEVENTO="Manual",$M24=$A$15)),0,
         IF(OFFSET(CRONOPLE!$F$15,$M24-$A$15,CJ$13)=0,10^12,OFFSET(CRONOPLE!$F$15,$M24-$A$15,CJ$13)))</f>
        <v>18</v>
      </c>
      <c r="CK24" s="353" t="n">
        <f aca="true">IF(OR($D24&lt;&gt;"Serviço",AND(AUTOEVENTO="Manual",$M24=$A$15)),0,
         IF(OFFSET(CRONOPLE!$F$15,$M24-$A$15,CK$13)=0,10^12,OFFSET(CRONOPLE!$F$15,$M24-$A$15,CK$13)))</f>
        <v>19</v>
      </c>
      <c r="CL24" s="353" t="n">
        <f aca="true">IF(OR($D24&lt;&gt;"Serviço",AND(AUTOEVENTO="Manual",$M24=$A$15)),0,
         IF(OFFSET(CRONOPLE!$F$15,$M24-$A$15,CL$13)=0,10^12,OFFSET(CRONOPLE!$F$15,$M24-$A$15,CL$13)))</f>
        <v>20</v>
      </c>
      <c r="CM24" s="353" t="n">
        <f aca="true">IF(OR($D24&lt;&gt;"Serviço",AND(AUTOEVENTO="Manual",$M24=$A$15)),0,
         IF(OFFSET(CRONOPLE!$F$15,$M24-$A$15,CM$13)=0,10^12,OFFSET(CRONOPLE!$F$15,$M24-$A$15,CM$13)))</f>
        <v>21</v>
      </c>
      <c r="CN24" s="353" t="n">
        <f aca="true">IF(OR($D24&lt;&gt;"Serviço",AND(AUTOEVENTO="Manual",$M24=$A$15)),0,
         IF(OFFSET(CRONOPLE!$F$15,$M24-$A$15,CN$13)=0,10^12,OFFSET(CRONOPLE!$F$15,$M24-$A$15,CN$13)))</f>
        <v>22</v>
      </c>
      <c r="CO24" s="353" t="n">
        <f aca="true">IF(OR($D24&lt;&gt;"Serviço",AND(AUTOEVENTO="Manual",$M24=$A$15)),0,
         IF(OFFSET(CRONOPLE!$F$15,$M24-$A$15,CO$13)=0,10^12,OFFSET(CRONOPLE!$F$15,$M24-$A$15,CO$13)))</f>
        <v>23</v>
      </c>
      <c r="CP24" s="353" t="n">
        <f aca="true">IF(OR($D24&lt;&gt;"Serviço",AND(AUTOEVENTO="Manual",$M24=$A$15)),0,
         IF(OFFSET(CRONOPLE!$F$15,$M24-$A$15,CP$13)=0,10^12,OFFSET(CRONOPLE!$F$15,$M24-$A$15,CP$13)))</f>
        <v>24</v>
      </c>
      <c r="CQ24" s="353" t="n">
        <f aca="true">IF(OR($D24&lt;&gt;"Serviço",AND(AUTOEVENTO="Manual",$M24=$A$15)),0,
         IF(OFFSET(CRONOPLE!$F$15,$M24-$A$15,CQ$13)=0,10^12,OFFSET(CRONOPLE!$F$15,$M24-$A$15,CQ$13)))</f>
        <v>25</v>
      </c>
      <c r="CR24" s="353" t="n">
        <f aca="true">IF(OR($D24&lt;&gt;"Serviço",AND(AUTOEVENTO="Manual",$M24=$A$15)),0,
         IF(OFFSET(CRONOPLE!$F$15,$M24-$A$15,CR$13)=0,10^12,OFFSET(CRONOPLE!$F$15,$M24-$A$15,CR$13)))</f>
        <v>1000000000000</v>
      </c>
      <c r="CT24" s="354" t="n">
        <f aca="true">IF(OR($D24&lt;&gt;"Serviço",AND(AUTOEVENTO="Manual",$M24=$A$15),$M24&gt;(ROW(PLE.lastrow)-ROW(PLE.firstrow))),0,
           IF(OFFSET(PLE!$G$15,$M24-$A$15,CT$13)="",10^12,OFFSET(PLE!$G$15,$M24-$A$15,CT$13)))</f>
        <v>1000000000000</v>
      </c>
      <c r="CU24" s="354" t="n">
        <f aca="true">IF(OR($D24&lt;&gt;"Serviço",AND(AUTOEVENTO="Manual",$M24=$A$15),$M24&gt;(ROW(PLE.lastrow)-ROW(PLE.firstrow))),0,
           IF(OFFSET(PLE!$G$15,$M24-$A$15,CU$13)="",10^12,OFFSET(PLE!$G$15,$M24-$A$15,CU$13)))</f>
        <v>1000000000000</v>
      </c>
      <c r="CV24" s="354" t="n">
        <f aca="true">IF(OR($D24&lt;&gt;"Serviço",AND(AUTOEVENTO="Manual",$M24=$A$15),$M24&gt;(ROW(PLE.lastrow)-ROW(PLE.firstrow))),0,
           IF(OFFSET(PLE!$G$15,$M24-$A$15,CV$13)="",10^12,OFFSET(PLE!$G$15,$M24-$A$15,CV$13)))</f>
        <v>1000000000000</v>
      </c>
      <c r="CW24" s="354" t="n">
        <f aca="true">IF(OR($D24&lt;&gt;"Serviço",AND(AUTOEVENTO="Manual",$M24=$A$15),$M24&gt;(ROW(PLE.lastrow)-ROW(PLE.firstrow))),0,
           IF(OFFSET(PLE!$G$15,$M24-$A$15,CW$13)="",10^12,OFFSET(PLE!$G$15,$M24-$A$15,CW$13)))</f>
        <v>1000000000000</v>
      </c>
      <c r="CX24" s="354" t="n">
        <f aca="true">IF(OR($D24&lt;&gt;"Serviço",AND(AUTOEVENTO="Manual",$M24=$A$15),$M24&gt;(ROW(PLE.lastrow)-ROW(PLE.firstrow))),0,
           IF(OFFSET(PLE!$G$15,$M24-$A$15,CX$13)="",10^12,OFFSET(PLE!$G$15,$M24-$A$15,CX$13)))</f>
        <v>1000000000000</v>
      </c>
      <c r="CY24" s="354" t="n">
        <f aca="true">IF(OR($D24&lt;&gt;"Serviço",AND(AUTOEVENTO="Manual",$M24=$A$15),$M24&gt;(ROW(PLE.lastrow)-ROW(PLE.firstrow))),0,
           IF(OFFSET(PLE!$G$15,$M24-$A$15,CY$13)="",10^12,OFFSET(PLE!$G$15,$M24-$A$15,CY$13)))</f>
        <v>1000000000000</v>
      </c>
      <c r="CZ24" s="354" t="n">
        <f aca="true">IF(OR($D24&lt;&gt;"Serviço",AND(AUTOEVENTO="Manual",$M24=$A$15),$M24&gt;(ROW(PLE.lastrow)-ROW(PLE.firstrow))),0,
           IF(OFFSET(PLE!$G$15,$M24-$A$15,CZ$13)="",10^12,OFFSET(PLE!$G$15,$M24-$A$15,CZ$13)))</f>
        <v>1000000000000</v>
      </c>
      <c r="DA24" s="354" t="n">
        <f aca="true">IF(OR($D24&lt;&gt;"Serviço",AND(AUTOEVENTO="Manual",$M24=$A$15),$M24&gt;(ROW(PLE.lastrow)-ROW(PLE.firstrow))),0,
           IF(OFFSET(PLE!$G$15,$M24-$A$15,DA$13)="",10^12,OFFSET(PLE!$G$15,$M24-$A$15,DA$13)))</f>
        <v>1000000000000</v>
      </c>
      <c r="DB24" s="354" t="n">
        <f aca="true">IF(OR($D24&lt;&gt;"Serviço",AND(AUTOEVENTO="Manual",$M24=$A$15),$M24&gt;(ROW(PLE.lastrow)-ROW(PLE.firstrow))),0,
           IF(OFFSET(PLE!$G$15,$M24-$A$15,DB$13)="",10^12,OFFSET(PLE!$G$15,$M24-$A$15,DB$13)))</f>
        <v>1000000000000</v>
      </c>
      <c r="DC24" s="354" t="n">
        <f aca="true">IF(OR($D24&lt;&gt;"Serviço",AND(AUTOEVENTO="Manual",$M24=$A$15),$M24&gt;(ROW(PLE.lastrow)-ROW(PLE.firstrow))),0,
           IF(OFFSET(PLE!$G$15,$M24-$A$15,DC$13)="",10^12,OFFSET(PLE!$G$15,$M24-$A$15,DC$13)))</f>
        <v>1000000000000</v>
      </c>
      <c r="DD24" s="354" t="n">
        <f aca="true">IF(OR($D24&lt;&gt;"Serviço",AND(AUTOEVENTO="Manual",$M24=$A$15),$M24&gt;(ROW(PLE.lastrow)-ROW(PLE.firstrow))),0,
           IF(OFFSET(PLE!$G$15,$M24-$A$15,DD$13)="",10^12,OFFSET(PLE!$G$15,$M24-$A$15,DD$13)))</f>
        <v>1000000000000</v>
      </c>
      <c r="DE24" s="354" t="n">
        <f aca="true">IF(OR($D24&lt;&gt;"Serviço",AND(AUTOEVENTO="Manual",$M24=$A$15),$M24&gt;(ROW(PLE.lastrow)-ROW(PLE.firstrow))),0,
           IF(OFFSET(PLE!$G$15,$M24-$A$15,DE$13)="",10^12,OFFSET(PLE!$G$15,$M24-$A$15,DE$13)))</f>
        <v>1000000000000</v>
      </c>
      <c r="DF24" s="354" t="n">
        <f aca="true">IF(OR($D24&lt;&gt;"Serviço",AND(AUTOEVENTO="Manual",$M24=$A$15),$M24&gt;(ROW(PLE.lastrow)-ROW(PLE.firstrow))),0,
           IF(OFFSET(PLE!$G$15,$M24-$A$15,DF$13)="",10^12,OFFSET(PLE!$G$15,$M24-$A$15,DF$13)))</f>
        <v>1000000000000</v>
      </c>
      <c r="DG24" s="354" t="n">
        <f aca="true">IF(OR($D24&lt;&gt;"Serviço",AND(AUTOEVENTO="Manual",$M24=$A$15),$M24&gt;(ROW(PLE.lastrow)-ROW(PLE.firstrow))),0,
           IF(OFFSET(PLE!$G$15,$M24-$A$15,DG$13)="",10^12,OFFSET(PLE!$G$15,$M24-$A$15,DG$13)))</f>
        <v>1000000000000</v>
      </c>
      <c r="DH24" s="354" t="n">
        <f aca="true">IF(OR($D24&lt;&gt;"Serviço",AND(AUTOEVENTO="Manual",$M24=$A$15),$M24&gt;(ROW(PLE.lastrow)-ROW(PLE.firstrow))),0,
           IF(OFFSET(PLE!$G$15,$M24-$A$15,DH$13)="",10^12,OFFSET(PLE!$G$15,$M24-$A$15,DH$13)))</f>
        <v>1000000000000</v>
      </c>
      <c r="DI24" s="354" t="n">
        <f aca="true">IF(OR($D24&lt;&gt;"Serviço",AND(AUTOEVENTO="Manual",$M24=$A$15),$M24&gt;(ROW(PLE.lastrow)-ROW(PLE.firstrow))),0,
           IF(OFFSET(PLE!$G$15,$M24-$A$15,DI$13)="",10^12,OFFSET(PLE!$G$15,$M24-$A$15,DI$13)))</f>
        <v>1000000000000</v>
      </c>
      <c r="DJ24" s="354" t="n">
        <f aca="true">IF(OR($D24&lt;&gt;"Serviço",AND(AUTOEVENTO="Manual",$M24=$A$15),$M24&gt;(ROW(PLE.lastrow)-ROW(PLE.firstrow))),0,
           IF(OFFSET(PLE!$G$15,$M24-$A$15,DJ$13)="",10^12,OFFSET(PLE!$G$15,$M24-$A$15,DJ$13)))</f>
        <v>1000000000000</v>
      </c>
      <c r="DK24" s="354" t="n">
        <f aca="true">IF(OR($D24&lt;&gt;"Serviço",AND(AUTOEVENTO="Manual",$M24=$A$15),$M24&gt;(ROW(PLE.lastrow)-ROW(PLE.firstrow))),0,
           IF(OFFSET(PLE!$G$15,$M24-$A$15,DK$13)="",10^12,OFFSET(PLE!$G$15,$M24-$A$15,DK$13)))</f>
        <v>1000000000000</v>
      </c>
      <c r="DL24" s="354" t="n">
        <f aca="true">IF(OR($D24&lt;&gt;"Serviço",AND(AUTOEVENTO="Manual",$M24=$A$15),$M24&gt;(ROW(PLE.lastrow)-ROW(PLE.firstrow))),0,
           IF(OFFSET(PLE!$G$15,$M24-$A$15,DL$13)="",10^12,OFFSET(PLE!$G$15,$M24-$A$15,DL$13)))</f>
        <v>1000000000000</v>
      </c>
      <c r="DM24" s="354" t="n">
        <f aca="true">IF(OR($D24&lt;&gt;"Serviço",AND(AUTOEVENTO="Manual",$M24=$A$15),$M24&gt;(ROW(PLE.lastrow)-ROW(PLE.firstrow))),0,
           IF(OFFSET(PLE!$G$15,$M24-$A$15,DM$13)="",10^12,OFFSET(PLE!$G$15,$M24-$A$15,DM$13)))</f>
        <v>1000000000000</v>
      </c>
      <c r="DN24" s="354" t="n">
        <f aca="true">IF(OR($D24&lt;&gt;"Serviço",AND(AUTOEVENTO="Manual",$M24=$A$15),$M24&gt;(ROW(PLE.lastrow)-ROW(PLE.firstrow))),0,
           IF(OFFSET(PLE!$G$15,$M24-$A$15,DN$13)="",10^12,OFFSET(PLE!$G$15,$M24-$A$15,DN$13)))</f>
        <v>1000000000000</v>
      </c>
      <c r="DO24" s="354" t="n">
        <f aca="true">IF(OR($D24&lt;&gt;"Serviço",AND(AUTOEVENTO="Manual",$M24=$A$15),$M24&gt;(ROW(PLE.lastrow)-ROW(PLE.firstrow))),0,
           IF(OFFSET(PLE!$G$15,$M24-$A$15,DO$13)="",10^12,OFFSET(PLE!$G$15,$M24-$A$15,DO$13)))</f>
        <v>1000000000000</v>
      </c>
      <c r="DP24" s="354" t="n">
        <f aca="true">IF(OR($D24&lt;&gt;"Serviço",AND(AUTOEVENTO="Manual",$M24=$A$15),$M24&gt;(ROW(PLE.lastrow)-ROW(PLE.firstrow))),0,
           IF(OFFSET(PLE!$G$15,$M24-$A$15,DP$13)="",10^12,OFFSET(PLE!$G$15,$M24-$A$15,DP$13)))</f>
        <v>1000000000000</v>
      </c>
      <c r="DQ24" s="354" t="n">
        <f aca="true">IF(OR($D24&lt;&gt;"Serviço",AND(AUTOEVENTO="Manual",$M24=$A$15),$M24&gt;(ROW(PLE.lastrow)-ROW(PLE.firstrow))),0,
           IF(OFFSET(PLE!$G$15,$M24-$A$15,DQ$13)="",10^12,OFFSET(PLE!$G$15,$M24-$A$15,DQ$13)))</f>
        <v>1000000000000</v>
      </c>
      <c r="DR24" s="354" t="n">
        <f aca="true">IF(OR($D24&lt;&gt;"Serviço",AND(AUTOEVENTO="Manual",$M24=$A$15),$M24&gt;(ROW(PLE.lastrow)-ROW(PLE.firstrow))),0,
           IF(OFFSET(PLE!$G$15,$M24-$A$15,DR$13)="",10^12,OFFSET(PLE!$G$15,$M24-$A$15,DR$13)))</f>
        <v>1000000000000</v>
      </c>
      <c r="DS24" s="354" t="n">
        <f aca="true">IF(OR($D24&lt;&gt;"Serviço",AND(AUTOEVENTO="Manual",$M24=$A$15),$M24&gt;(ROW(PLE.lastrow)-ROW(PLE.firstrow))),0,
           IF(OFFSET(PLE!$G$15,$M24-$A$15,DS$13)="",10^12,OFFSET(PLE!$G$15,$M24-$A$15,DS$13)))</f>
        <v>1000000000000</v>
      </c>
    </row>
    <row r="25" customFormat="false" ht="12.75" hidden="false" customHeight="false" outlineLevel="0" collapsed="false">
      <c r="A25" s="50" t="str">
        <f aca="true">IFERROR(IF(AUTOEVENTO="Manual",IF(K25&lt;&gt;"",MIN(VALUE(LEFT(K25,FIND(".",K25)-1)),COUNTA(EVENTOS.Lista)),0),IF(OR($B25&gt;AUTOEVENTO,$B25="S",$B25=0),SUBSTITUTE(OFFSET($A25,-1,0),IF($D25="Serviço",".",""),""),ROW(A25)-ROW($A$15)&amp;".")),0)</f>
        <v>8</v>
      </c>
      <c r="B25" s="50" t="str">
        <f aca="true">OFFSET(ORÇAMENTO!C$15,ROW(B25)-ROW(B$15),0)</f>
        <v>S</v>
      </c>
      <c r="C25" s="50" t="str">
        <f aca="true">OFFSET(ORÇAMENTO!L$15,ROW(C25)-ROW(C$15),0)</f>
        <v>F</v>
      </c>
      <c r="D25" s="201" t="str">
        <f aca="true">OFFSET(ORÇAMENTO!N$15,ROW(D25)-ROW(D$15),0)</f>
        <v>Serviço</v>
      </c>
      <c r="E25" s="202" t="str">
        <f aca="true">OFFSET(ORÇAMENTO!O$15,ROW(E25)-ROW(E$15),0)</f>
        <v>1.2.2.</v>
      </c>
      <c r="F25" s="341" t="str">
        <f aca="true">OFFSET(ORÇAMENTO!R$15,ROW(F25)-ROW(F$15),0)</f>
        <v>ENCARREGADO GERAL COM ENCARGOS COMPLEMENTARES</v>
      </c>
      <c r="G25" s="342" t="str">
        <f aca="true">IF($D25&lt;&gt;"Serviço","",OFFSET(ORÇAMENTO!S$15,ROW(G25)-ROW(G$15),0))</f>
        <v>H</v>
      </c>
      <c r="H25" s="207" t="n">
        <f aca="true">IF($D25&lt;&gt;"Serviço",0,IF(ACOMPANHAMENTO="BM",ROUND(OFFSET(ORÇAMENTO!AJ$15,ROW(H25)-ROW(H$15),0),15-13*ORÇAMENTO!$AF$7),SUMPRODUCT(($Q$1:$AQ$1=1)*ROUND($Q25:$AQ25,15-13*ORÇAMENTO!$AF$7))))</f>
        <v>100</v>
      </c>
      <c r="I25" s="343" t="s">
        <v>919</v>
      </c>
      <c r="J25" s="344" t="e">
        <f aca="false">IF(OR(B25&lt;&gt;"S",CÁLCULO.FrentesPreenchidas=0),"",IF(AND(ACOMPANHAMENTO="PLE",AUTOEVENTO="Manual",OR(H25&gt;0,ORÇAMENTO!AC25="QUANT."),OR(K25="",M25=0,N25="")),"►",IF(AND(ACOMPANHAMENTO="PLE",ORÇAMENTO!AC25="QUANT."),"►►",IF(AND(COUNTIF($P$11:$AQ$11,"▼")=0,H25&gt;0,I25=""),"◄",""))))</f>
        <v>#NAME?</v>
      </c>
      <c r="K25" s="345"/>
      <c r="L25" s="346" t="s">
        <v>876</v>
      </c>
      <c r="M25" s="347" t="n">
        <f aca="true">IF($D25&lt;&gt;"Serviço","",
          IF(AUTOEVENTO="manual",$A25,
                IF(ISERROR(MATCH($A25,$A$15:OFFSET($A25,-1,0),0)),MAX($M$15:OFFSET(M25,-1,0))+1,
                      INDEX($M$15:OFFSET(M25,-1,0),MATCH($A25,$A$15:OFFSET($A25,-1,0),0)))))</f>
        <v>2</v>
      </c>
      <c r="N25" s="348" t="str">
        <f aca="true">IF($D25&lt;&gt;"Serviço","",
         IF(AUTOEVENTO="Manual",
                IF($A25=0,"&lt;-- defina o número do agrupador",
                       OFFSET(EVENTOS!$D$15,$A25-$A$15,0)),
                OFFSET($F$15,$A25,0)))</f>
        <v>ADMINISRAÇÃO LOCAL</v>
      </c>
      <c r="O25" s="349"/>
      <c r="Q25" s="349" t="n">
        <v>4</v>
      </c>
      <c r="R25" s="350" t="n">
        <f aca="false">Q25</f>
        <v>4</v>
      </c>
      <c r="S25" s="350" t="n">
        <f aca="false">R25</f>
        <v>4</v>
      </c>
      <c r="T25" s="350" t="n">
        <f aca="false">S25</f>
        <v>4</v>
      </c>
      <c r="U25" s="350" t="n">
        <f aca="false">T25</f>
        <v>4</v>
      </c>
      <c r="V25" s="350" t="n">
        <f aca="false">U25</f>
        <v>4</v>
      </c>
      <c r="W25" s="350" t="n">
        <f aca="false">V25</f>
        <v>4</v>
      </c>
      <c r="X25" s="350" t="n">
        <f aca="false">W25</f>
        <v>4</v>
      </c>
      <c r="Y25" s="350" t="n">
        <f aca="false">X25</f>
        <v>4</v>
      </c>
      <c r="Z25" s="351" t="n">
        <f aca="false">Y25</f>
        <v>4</v>
      </c>
      <c r="AA25" s="350" t="n">
        <f aca="false">Z25</f>
        <v>4</v>
      </c>
      <c r="AB25" s="350" t="n">
        <f aca="false">AA25</f>
        <v>4</v>
      </c>
      <c r="AC25" s="350" t="n">
        <f aca="false">AB25</f>
        <v>4</v>
      </c>
      <c r="AD25" s="350" t="n">
        <f aca="false">AC25</f>
        <v>4</v>
      </c>
      <c r="AE25" s="350" t="n">
        <f aca="false">AD25</f>
        <v>4</v>
      </c>
      <c r="AF25" s="350" t="n">
        <f aca="false">AE25</f>
        <v>4</v>
      </c>
      <c r="AG25" s="350" t="n">
        <f aca="false">AF25</f>
        <v>4</v>
      </c>
      <c r="AH25" s="351" t="n">
        <f aca="false">AG25</f>
        <v>4</v>
      </c>
      <c r="AI25" s="350" t="n">
        <f aca="false">AH25</f>
        <v>4</v>
      </c>
      <c r="AJ25" s="350" t="n">
        <f aca="false">AI25</f>
        <v>4</v>
      </c>
      <c r="AK25" s="350" t="n">
        <f aca="false">AJ25</f>
        <v>4</v>
      </c>
      <c r="AL25" s="350" t="n">
        <f aca="false">AK25</f>
        <v>4</v>
      </c>
      <c r="AM25" s="350" t="n">
        <f aca="false">AL25</f>
        <v>4</v>
      </c>
      <c r="AN25" s="350" t="n">
        <f aca="false">AM25</f>
        <v>4</v>
      </c>
      <c r="AO25" s="350" t="n">
        <f aca="false">AN25</f>
        <v>4</v>
      </c>
      <c r="AP25" s="351"/>
      <c r="AR25" s="352" t="n">
        <f aca="true">IF(AND($D25="Serviço",AR$12&lt;&gt;0,$H25&gt;0,OR(AUTOEVENTO&lt;&gt;"manual",$M25&lt;&gt;$A$15)),
        IF(Import.TipoArredondamento&lt;&gt;"TransfereGOV",
              ROUND(OFFSET($P25,0,AR$13),15-13*ORÇAMENTO!$AF$7)/$H25*OFFSET(ORÇAMENTO!$X$15,ROW(AR25)-ROW(AR$15),0),
              ROUND(ROUND(OFFSET($P25,0,AR$13),15-13*ORÇAMENTO!$AF$7)*OFFSET(ORÇAMENTO!$W$15,ROW(AR25)-ROW(AR$15),0),15-13*ORÇAMENTO!$AF$11)),
         0)</f>
        <v>315</v>
      </c>
      <c r="AS25" s="352" t="n">
        <f aca="true">IF(AND($D25="Serviço",AS$12&lt;&gt;0,$H25&gt;0,OR(AUTOEVENTO&lt;&gt;"manual",$M25&lt;&gt;$A$15)),
        IF(Import.TipoArredondamento&lt;&gt;"TransfereGOV",
              ROUND(OFFSET($P25,0,AS$13),15-13*ORÇAMENTO!$AF$7)/$H25*OFFSET(ORÇAMENTO!$X$15,ROW(AS25)-ROW(AS$15),0),
              ROUND(ROUND(OFFSET($P25,0,AS$13),15-13*ORÇAMENTO!$AF$7)*OFFSET(ORÇAMENTO!$W$15,ROW(AS25)-ROW(AS$15),0),15-13*ORÇAMENTO!$AF$11)),
         0)</f>
        <v>315</v>
      </c>
      <c r="AT25" s="352" t="n">
        <f aca="true">IF(AND($D25="Serviço",AT$12&lt;&gt;0,$H25&gt;0,OR(AUTOEVENTO&lt;&gt;"manual",$M25&lt;&gt;$A$15)),
        IF(Import.TipoArredondamento&lt;&gt;"TransfereGOV",
              ROUND(OFFSET($P25,0,AT$13),15-13*ORÇAMENTO!$AF$7)/$H25*OFFSET(ORÇAMENTO!$X$15,ROW(AT25)-ROW(AT$15),0),
              ROUND(ROUND(OFFSET($P25,0,AT$13),15-13*ORÇAMENTO!$AF$7)*OFFSET(ORÇAMENTO!$W$15,ROW(AT25)-ROW(AT$15),0),15-13*ORÇAMENTO!$AF$11)),
         0)</f>
        <v>315</v>
      </c>
      <c r="AU25" s="352" t="n">
        <f aca="true">IF(AND($D25="Serviço",AU$12&lt;&gt;0,$H25&gt;0,OR(AUTOEVENTO&lt;&gt;"manual",$M25&lt;&gt;$A$15)),
        IF(Import.TipoArredondamento&lt;&gt;"TransfereGOV",
              ROUND(OFFSET($P25,0,AU$13),15-13*ORÇAMENTO!$AF$7)/$H25*OFFSET(ORÇAMENTO!$X$15,ROW(AU25)-ROW(AU$15),0),
              ROUND(ROUND(OFFSET($P25,0,AU$13),15-13*ORÇAMENTO!$AF$7)*OFFSET(ORÇAMENTO!$W$15,ROW(AU25)-ROW(AU$15),0),15-13*ORÇAMENTO!$AF$11)),
         0)</f>
        <v>315</v>
      </c>
      <c r="AV25" s="352" t="n">
        <f aca="true">IF(AND($D25="Serviço",AV$12&lt;&gt;0,$H25&gt;0,OR(AUTOEVENTO&lt;&gt;"manual",$M25&lt;&gt;$A$15)),
        IF(Import.TipoArredondamento&lt;&gt;"TransfereGOV",
              ROUND(OFFSET($P25,0,AV$13),15-13*ORÇAMENTO!$AF$7)/$H25*OFFSET(ORÇAMENTO!$X$15,ROW(AV25)-ROW(AV$15),0),
              ROUND(ROUND(OFFSET($P25,0,AV$13),15-13*ORÇAMENTO!$AF$7)*OFFSET(ORÇAMENTO!$W$15,ROW(AV25)-ROW(AV$15),0),15-13*ORÇAMENTO!$AF$11)),
         0)</f>
        <v>315</v>
      </c>
      <c r="AW25" s="352" t="n">
        <f aca="true">IF(AND($D25="Serviço",AW$12&lt;&gt;0,$H25&gt;0,OR(AUTOEVENTO&lt;&gt;"manual",$M25&lt;&gt;$A$15)),
        IF(Import.TipoArredondamento&lt;&gt;"TransfereGOV",
              ROUND(OFFSET($P25,0,AW$13),15-13*ORÇAMENTO!$AF$7)/$H25*OFFSET(ORÇAMENTO!$X$15,ROW(AW25)-ROW(AW$15),0),
              ROUND(ROUND(OFFSET($P25,0,AW$13),15-13*ORÇAMENTO!$AF$7)*OFFSET(ORÇAMENTO!$W$15,ROW(AW25)-ROW(AW$15),0),15-13*ORÇAMENTO!$AF$11)),
         0)</f>
        <v>315</v>
      </c>
      <c r="AX25" s="352" t="n">
        <f aca="true">IF(AND($D25="Serviço",AX$12&lt;&gt;0,$H25&gt;0,OR(AUTOEVENTO&lt;&gt;"manual",$M25&lt;&gt;$A$15)),
        IF(Import.TipoArredondamento&lt;&gt;"TransfereGOV",
              ROUND(OFFSET($P25,0,AX$13),15-13*ORÇAMENTO!$AF$7)/$H25*OFFSET(ORÇAMENTO!$X$15,ROW(AX25)-ROW(AX$15),0),
              ROUND(ROUND(OFFSET($P25,0,AX$13),15-13*ORÇAMENTO!$AF$7)*OFFSET(ORÇAMENTO!$W$15,ROW(AX25)-ROW(AX$15),0),15-13*ORÇAMENTO!$AF$11)),
         0)</f>
        <v>315</v>
      </c>
      <c r="AY25" s="352" t="n">
        <f aca="true">IF(AND($D25="Serviço",AY$12&lt;&gt;0,$H25&gt;0,OR(AUTOEVENTO&lt;&gt;"manual",$M25&lt;&gt;$A$15)),
        IF(Import.TipoArredondamento&lt;&gt;"TransfereGOV",
              ROUND(OFFSET($P25,0,AY$13),15-13*ORÇAMENTO!$AF$7)/$H25*OFFSET(ORÇAMENTO!$X$15,ROW(AY25)-ROW(AY$15),0),
              ROUND(ROUND(OFFSET($P25,0,AY$13),15-13*ORÇAMENTO!$AF$7)*OFFSET(ORÇAMENTO!$W$15,ROW(AY25)-ROW(AY$15),0),15-13*ORÇAMENTO!$AF$11)),
         0)</f>
        <v>315</v>
      </c>
      <c r="AZ25" s="352" t="n">
        <f aca="true">IF(AND($D25="Serviço",AZ$12&lt;&gt;0,$H25&gt;0,OR(AUTOEVENTO&lt;&gt;"manual",$M25&lt;&gt;$A$15)),
        IF(Import.TipoArredondamento&lt;&gt;"TransfereGOV",
              ROUND(OFFSET($P25,0,AZ$13),15-13*ORÇAMENTO!$AF$7)/$H25*OFFSET(ORÇAMENTO!$X$15,ROW(AZ25)-ROW(AZ$15),0),
              ROUND(ROUND(OFFSET($P25,0,AZ$13),15-13*ORÇAMENTO!$AF$7)*OFFSET(ORÇAMENTO!$W$15,ROW(AZ25)-ROW(AZ$15),0),15-13*ORÇAMENTO!$AF$11)),
         0)</f>
        <v>315</v>
      </c>
      <c r="BA25" s="352" t="n">
        <f aca="true">IF(AND($D25="Serviço",BA$12&lt;&gt;0,$H25&gt;0,OR(AUTOEVENTO&lt;&gt;"manual",$M25&lt;&gt;$A$15)),
        IF(Import.TipoArredondamento&lt;&gt;"TransfereGOV",
              ROUND(OFFSET($P25,0,BA$13),15-13*ORÇAMENTO!$AF$7)/$H25*OFFSET(ORÇAMENTO!$X$15,ROW(BA25)-ROW(BA$15),0),
              ROUND(ROUND(OFFSET($P25,0,BA$13),15-13*ORÇAMENTO!$AF$7)*OFFSET(ORÇAMENTO!$W$15,ROW(BA25)-ROW(BA$15),0),15-13*ORÇAMENTO!$AF$11)),
         0)</f>
        <v>315</v>
      </c>
      <c r="BB25" s="352" t="n">
        <f aca="true">IF(AND($D25="Serviço",BB$12&lt;&gt;0,$H25&gt;0,OR(AUTOEVENTO&lt;&gt;"manual",$M25&lt;&gt;$A$15)),
        IF(Import.TipoArredondamento&lt;&gt;"TransfereGOV",
              ROUND(OFFSET($P25,0,BB$13),15-13*ORÇAMENTO!$AF$7)/$H25*OFFSET(ORÇAMENTO!$X$15,ROW(BB25)-ROW(BB$15),0),
              ROUND(ROUND(OFFSET($P25,0,BB$13),15-13*ORÇAMENTO!$AF$7)*OFFSET(ORÇAMENTO!$W$15,ROW(BB25)-ROW(BB$15),0),15-13*ORÇAMENTO!$AF$11)),
         0)</f>
        <v>315</v>
      </c>
      <c r="BC25" s="352" t="n">
        <f aca="true">IF(AND($D25="Serviço",BC$12&lt;&gt;0,$H25&gt;0,OR(AUTOEVENTO&lt;&gt;"manual",$M25&lt;&gt;$A$15)),
        IF(Import.TipoArredondamento&lt;&gt;"TransfereGOV",
              ROUND(OFFSET($P25,0,BC$13),15-13*ORÇAMENTO!$AF$7)/$H25*OFFSET(ORÇAMENTO!$X$15,ROW(BC25)-ROW(BC$15),0),
              ROUND(ROUND(OFFSET($P25,0,BC$13),15-13*ORÇAMENTO!$AF$7)*OFFSET(ORÇAMENTO!$W$15,ROW(BC25)-ROW(BC$15),0),15-13*ORÇAMENTO!$AF$11)),
         0)</f>
        <v>315</v>
      </c>
      <c r="BD25" s="352" t="n">
        <f aca="true">IF(AND($D25="Serviço",BD$12&lt;&gt;0,$H25&gt;0,OR(AUTOEVENTO&lt;&gt;"manual",$M25&lt;&gt;$A$15)),
        IF(Import.TipoArredondamento&lt;&gt;"TransfereGOV",
              ROUND(OFFSET($P25,0,BD$13),15-13*ORÇAMENTO!$AF$7)/$H25*OFFSET(ORÇAMENTO!$X$15,ROW(BD25)-ROW(BD$15),0),
              ROUND(ROUND(OFFSET($P25,0,BD$13),15-13*ORÇAMENTO!$AF$7)*OFFSET(ORÇAMENTO!$W$15,ROW(BD25)-ROW(BD$15),0),15-13*ORÇAMENTO!$AF$11)),
         0)</f>
        <v>315</v>
      </c>
      <c r="BE25" s="352" t="n">
        <f aca="true">IF(AND($D25="Serviço",BE$12&lt;&gt;0,$H25&gt;0,OR(AUTOEVENTO&lt;&gt;"manual",$M25&lt;&gt;$A$15)),
        IF(Import.TipoArredondamento&lt;&gt;"TransfereGOV",
              ROUND(OFFSET($P25,0,BE$13),15-13*ORÇAMENTO!$AF$7)/$H25*OFFSET(ORÇAMENTO!$X$15,ROW(BE25)-ROW(BE$15),0),
              ROUND(ROUND(OFFSET($P25,0,BE$13),15-13*ORÇAMENTO!$AF$7)*OFFSET(ORÇAMENTO!$W$15,ROW(BE25)-ROW(BE$15),0),15-13*ORÇAMENTO!$AF$11)),
         0)</f>
        <v>315</v>
      </c>
      <c r="BF25" s="352" t="n">
        <f aca="true">IF(AND($D25="Serviço",BF$12&lt;&gt;0,$H25&gt;0,OR(AUTOEVENTO&lt;&gt;"manual",$M25&lt;&gt;$A$15)),
        IF(Import.TipoArredondamento&lt;&gt;"TransfereGOV",
              ROUND(OFFSET($P25,0,BF$13),15-13*ORÇAMENTO!$AF$7)/$H25*OFFSET(ORÇAMENTO!$X$15,ROW(BF25)-ROW(BF$15),0),
              ROUND(ROUND(OFFSET($P25,0,BF$13),15-13*ORÇAMENTO!$AF$7)*OFFSET(ORÇAMENTO!$W$15,ROW(BF25)-ROW(BF$15),0),15-13*ORÇAMENTO!$AF$11)),
         0)</f>
        <v>315</v>
      </c>
      <c r="BG25" s="352" t="n">
        <f aca="true">IF(AND($D25="Serviço",BG$12&lt;&gt;0,$H25&gt;0,OR(AUTOEVENTO&lt;&gt;"manual",$M25&lt;&gt;$A$15)),
        IF(Import.TipoArredondamento&lt;&gt;"TransfereGOV",
              ROUND(OFFSET($P25,0,BG$13),15-13*ORÇAMENTO!$AF$7)/$H25*OFFSET(ORÇAMENTO!$X$15,ROW(BG25)-ROW(BG$15),0),
              ROUND(ROUND(OFFSET($P25,0,BG$13),15-13*ORÇAMENTO!$AF$7)*OFFSET(ORÇAMENTO!$W$15,ROW(BG25)-ROW(BG$15),0),15-13*ORÇAMENTO!$AF$11)),
         0)</f>
        <v>315</v>
      </c>
      <c r="BH25" s="352" t="n">
        <f aca="true">IF(AND($D25="Serviço",BH$12&lt;&gt;0,$H25&gt;0,OR(AUTOEVENTO&lt;&gt;"manual",$M25&lt;&gt;$A$15)),
        IF(Import.TipoArredondamento&lt;&gt;"TransfereGOV",
              ROUND(OFFSET($P25,0,BH$13),15-13*ORÇAMENTO!$AF$7)/$H25*OFFSET(ORÇAMENTO!$X$15,ROW(BH25)-ROW(BH$15),0),
              ROUND(ROUND(OFFSET($P25,0,BH$13),15-13*ORÇAMENTO!$AF$7)*OFFSET(ORÇAMENTO!$W$15,ROW(BH25)-ROW(BH$15),0),15-13*ORÇAMENTO!$AF$11)),
         0)</f>
        <v>315</v>
      </c>
      <c r="BI25" s="352" t="n">
        <f aca="true">IF(AND($D25="Serviço",BI$12&lt;&gt;0,$H25&gt;0,OR(AUTOEVENTO&lt;&gt;"manual",$M25&lt;&gt;$A$15)),
        IF(Import.TipoArredondamento&lt;&gt;"TransfereGOV",
              ROUND(OFFSET($P25,0,BI$13),15-13*ORÇAMENTO!$AF$7)/$H25*OFFSET(ORÇAMENTO!$X$15,ROW(BI25)-ROW(BI$15),0),
              ROUND(ROUND(OFFSET($P25,0,BI$13),15-13*ORÇAMENTO!$AF$7)*OFFSET(ORÇAMENTO!$W$15,ROW(BI25)-ROW(BI$15),0),15-13*ORÇAMENTO!$AF$11)),
         0)</f>
        <v>315</v>
      </c>
      <c r="BJ25" s="352" t="n">
        <f aca="true">IF(AND($D25="Serviço",BJ$12&lt;&gt;0,$H25&gt;0,OR(AUTOEVENTO&lt;&gt;"manual",$M25&lt;&gt;$A$15)),
        IF(Import.TipoArredondamento&lt;&gt;"TransfereGOV",
              ROUND(OFFSET($P25,0,BJ$13),15-13*ORÇAMENTO!$AF$7)/$H25*OFFSET(ORÇAMENTO!$X$15,ROW(BJ25)-ROW(BJ$15),0),
              ROUND(ROUND(OFFSET($P25,0,BJ$13),15-13*ORÇAMENTO!$AF$7)*OFFSET(ORÇAMENTO!$W$15,ROW(BJ25)-ROW(BJ$15),0),15-13*ORÇAMENTO!$AF$11)),
         0)</f>
        <v>315</v>
      </c>
      <c r="BK25" s="352" t="n">
        <f aca="true">IF(AND($D25="Serviço",BK$12&lt;&gt;0,$H25&gt;0,OR(AUTOEVENTO&lt;&gt;"manual",$M25&lt;&gt;$A$15)),
        IF(Import.TipoArredondamento&lt;&gt;"TransfereGOV",
              ROUND(OFFSET($P25,0,BK$13),15-13*ORÇAMENTO!$AF$7)/$H25*OFFSET(ORÇAMENTO!$X$15,ROW(BK25)-ROW(BK$15),0),
              ROUND(ROUND(OFFSET($P25,0,BK$13),15-13*ORÇAMENTO!$AF$7)*OFFSET(ORÇAMENTO!$W$15,ROW(BK25)-ROW(BK$15),0),15-13*ORÇAMENTO!$AF$11)),
         0)</f>
        <v>315</v>
      </c>
      <c r="BL25" s="352" t="n">
        <f aca="true">IF(AND($D25="Serviço",BL$12&lt;&gt;0,$H25&gt;0,OR(AUTOEVENTO&lt;&gt;"manual",$M25&lt;&gt;$A$15)),
        IF(Import.TipoArredondamento&lt;&gt;"TransfereGOV",
              ROUND(OFFSET($P25,0,BL$13),15-13*ORÇAMENTO!$AF$7)/$H25*OFFSET(ORÇAMENTO!$X$15,ROW(BL25)-ROW(BL$15),0),
              ROUND(ROUND(OFFSET($P25,0,BL$13),15-13*ORÇAMENTO!$AF$7)*OFFSET(ORÇAMENTO!$W$15,ROW(BL25)-ROW(BL$15),0),15-13*ORÇAMENTO!$AF$11)),
         0)</f>
        <v>315</v>
      </c>
      <c r="BM25" s="352" t="n">
        <f aca="true">IF(AND($D25="Serviço",BM$12&lt;&gt;0,$H25&gt;0,OR(AUTOEVENTO&lt;&gt;"manual",$M25&lt;&gt;$A$15)),
        IF(Import.TipoArredondamento&lt;&gt;"TransfereGOV",
              ROUND(OFFSET($P25,0,BM$13),15-13*ORÇAMENTO!$AF$7)/$H25*OFFSET(ORÇAMENTO!$X$15,ROW(BM25)-ROW(BM$15),0),
              ROUND(ROUND(OFFSET($P25,0,BM$13),15-13*ORÇAMENTO!$AF$7)*OFFSET(ORÇAMENTO!$W$15,ROW(BM25)-ROW(BM$15),0),15-13*ORÇAMENTO!$AF$11)),
         0)</f>
        <v>315</v>
      </c>
      <c r="BN25" s="352" t="n">
        <f aca="true">IF(AND($D25="Serviço",BN$12&lt;&gt;0,$H25&gt;0,OR(AUTOEVENTO&lt;&gt;"manual",$M25&lt;&gt;$A$15)),
        IF(Import.TipoArredondamento&lt;&gt;"TransfereGOV",
              ROUND(OFFSET($P25,0,BN$13),15-13*ORÇAMENTO!$AF$7)/$H25*OFFSET(ORÇAMENTO!$X$15,ROW(BN25)-ROW(BN$15),0),
              ROUND(ROUND(OFFSET($P25,0,BN$13),15-13*ORÇAMENTO!$AF$7)*OFFSET(ORÇAMENTO!$W$15,ROW(BN25)-ROW(BN$15),0),15-13*ORÇAMENTO!$AF$11)),
         0)</f>
        <v>315</v>
      </c>
      <c r="BO25" s="352" t="n">
        <f aca="true">IF(AND($D25="Serviço",BO$12&lt;&gt;0,$H25&gt;0,OR(AUTOEVENTO&lt;&gt;"manual",$M25&lt;&gt;$A$15)),
        IF(Import.TipoArredondamento&lt;&gt;"TransfereGOV",
              ROUND(OFFSET($P25,0,BO$13),15-13*ORÇAMENTO!$AF$7)/$H25*OFFSET(ORÇAMENTO!$X$15,ROW(BO25)-ROW(BO$15),0),
              ROUND(ROUND(OFFSET($P25,0,BO$13),15-13*ORÇAMENTO!$AF$7)*OFFSET(ORÇAMENTO!$W$15,ROW(BO25)-ROW(BO$15),0),15-13*ORÇAMENTO!$AF$11)),
         0)</f>
        <v>315</v>
      </c>
      <c r="BP25" s="352" t="n">
        <f aca="true">IF(AND($D25="Serviço",BP$12&lt;&gt;0,$H25&gt;0,OR(AUTOEVENTO&lt;&gt;"manual",$M25&lt;&gt;$A$15)),
        IF(Import.TipoArredondamento&lt;&gt;"TransfereGOV",
              ROUND(OFFSET($P25,0,BP$13),15-13*ORÇAMENTO!$AF$7)/$H25*OFFSET(ORÇAMENTO!$X$15,ROW(BP25)-ROW(BP$15),0),
              ROUND(ROUND(OFFSET($P25,0,BP$13),15-13*ORÇAMENTO!$AF$7)*OFFSET(ORÇAMENTO!$W$15,ROW(BP25)-ROW(BP$15),0),15-13*ORÇAMENTO!$AF$11)),
         0)</f>
        <v>315</v>
      </c>
      <c r="BQ25" s="352" t="n">
        <f aca="true">IF(AND($D25="Serviço",BQ$12&lt;&gt;0,$H25&gt;0,OR(AUTOEVENTO&lt;&gt;"manual",$M25&lt;&gt;$A$15)),
        IF(Import.TipoArredondamento&lt;&gt;"TransfereGOV",
              ROUND(OFFSET($P25,0,BQ$13),15-13*ORÇAMENTO!$AF$7)/$H25*OFFSET(ORÇAMENTO!$X$15,ROW(BQ25)-ROW(BQ$15),0),
              ROUND(ROUND(OFFSET($P25,0,BQ$13),15-13*ORÇAMENTO!$AF$7)*OFFSET(ORÇAMENTO!$W$15,ROW(BQ25)-ROW(BQ$15),0),15-13*ORÇAMENTO!$AF$11)),
         0)</f>
        <v>0</v>
      </c>
      <c r="BS25" s="353" t="n">
        <f aca="true">IF(OR($D25&lt;&gt;"Serviço",AND(AUTOEVENTO="Manual",$M25=$A$15)),0,
         IF(OFFSET(CRONOPLE!$F$15,$M25-$A$15,BS$13)=0,10^12,OFFSET(CRONOPLE!$F$15,$M25-$A$15,BS$13)))</f>
        <v>1</v>
      </c>
      <c r="BT25" s="353" t="n">
        <f aca="true">IF(OR($D25&lt;&gt;"Serviço",AND(AUTOEVENTO="Manual",$M25=$A$15)),0,
         IF(OFFSET(CRONOPLE!$F$15,$M25-$A$15,BT$13)=0,10^12,OFFSET(CRONOPLE!$F$15,$M25-$A$15,BT$13)))</f>
        <v>2</v>
      </c>
      <c r="BU25" s="353" t="n">
        <f aca="true">IF(OR($D25&lt;&gt;"Serviço",AND(AUTOEVENTO="Manual",$M25=$A$15)),0,
         IF(OFFSET(CRONOPLE!$F$15,$M25-$A$15,BU$13)=0,10^12,OFFSET(CRONOPLE!$F$15,$M25-$A$15,BU$13)))</f>
        <v>3</v>
      </c>
      <c r="BV25" s="353" t="n">
        <f aca="true">IF(OR($D25&lt;&gt;"Serviço",AND(AUTOEVENTO="Manual",$M25=$A$15)),0,
         IF(OFFSET(CRONOPLE!$F$15,$M25-$A$15,BV$13)=0,10^12,OFFSET(CRONOPLE!$F$15,$M25-$A$15,BV$13)))</f>
        <v>4</v>
      </c>
      <c r="BW25" s="353" t="n">
        <f aca="true">IF(OR($D25&lt;&gt;"Serviço",AND(AUTOEVENTO="Manual",$M25=$A$15)),0,
         IF(OFFSET(CRONOPLE!$F$15,$M25-$A$15,BW$13)=0,10^12,OFFSET(CRONOPLE!$F$15,$M25-$A$15,BW$13)))</f>
        <v>5</v>
      </c>
      <c r="BX25" s="353" t="n">
        <f aca="true">IF(OR($D25&lt;&gt;"Serviço",AND(AUTOEVENTO="Manual",$M25=$A$15)),0,
         IF(OFFSET(CRONOPLE!$F$15,$M25-$A$15,BX$13)=0,10^12,OFFSET(CRONOPLE!$F$15,$M25-$A$15,BX$13)))</f>
        <v>6</v>
      </c>
      <c r="BY25" s="353" t="n">
        <f aca="true">IF(OR($D25&lt;&gt;"Serviço",AND(AUTOEVENTO="Manual",$M25=$A$15)),0,
         IF(OFFSET(CRONOPLE!$F$15,$M25-$A$15,BY$13)=0,10^12,OFFSET(CRONOPLE!$F$15,$M25-$A$15,BY$13)))</f>
        <v>7</v>
      </c>
      <c r="BZ25" s="353" t="n">
        <f aca="true">IF(OR($D25&lt;&gt;"Serviço",AND(AUTOEVENTO="Manual",$M25=$A$15)),0,
         IF(OFFSET(CRONOPLE!$F$15,$M25-$A$15,BZ$13)=0,10^12,OFFSET(CRONOPLE!$F$15,$M25-$A$15,BZ$13)))</f>
        <v>8</v>
      </c>
      <c r="CA25" s="353" t="n">
        <f aca="true">IF(OR($D25&lt;&gt;"Serviço",AND(AUTOEVENTO="Manual",$M25=$A$15)),0,
         IF(OFFSET(CRONOPLE!$F$15,$M25-$A$15,CA$13)=0,10^12,OFFSET(CRONOPLE!$F$15,$M25-$A$15,CA$13)))</f>
        <v>9</v>
      </c>
      <c r="CB25" s="353" t="n">
        <f aca="true">IF(OR($D25&lt;&gt;"Serviço",AND(AUTOEVENTO="Manual",$M25=$A$15)),0,
         IF(OFFSET(CRONOPLE!$F$15,$M25-$A$15,CB$13)=0,10^12,OFFSET(CRONOPLE!$F$15,$M25-$A$15,CB$13)))</f>
        <v>10</v>
      </c>
      <c r="CC25" s="353" t="n">
        <f aca="true">IF(OR($D25&lt;&gt;"Serviço",AND(AUTOEVENTO="Manual",$M25=$A$15)),0,
         IF(OFFSET(CRONOPLE!$F$15,$M25-$A$15,CC$13)=0,10^12,OFFSET(CRONOPLE!$F$15,$M25-$A$15,CC$13)))</f>
        <v>11</v>
      </c>
      <c r="CD25" s="353" t="n">
        <f aca="true">IF(OR($D25&lt;&gt;"Serviço",AND(AUTOEVENTO="Manual",$M25=$A$15)),0,
         IF(OFFSET(CRONOPLE!$F$15,$M25-$A$15,CD$13)=0,10^12,OFFSET(CRONOPLE!$F$15,$M25-$A$15,CD$13)))</f>
        <v>12</v>
      </c>
      <c r="CE25" s="353" t="n">
        <f aca="true">IF(OR($D25&lt;&gt;"Serviço",AND(AUTOEVENTO="Manual",$M25=$A$15)),0,
         IF(OFFSET(CRONOPLE!$F$15,$M25-$A$15,CE$13)=0,10^12,OFFSET(CRONOPLE!$F$15,$M25-$A$15,CE$13)))</f>
        <v>13</v>
      </c>
      <c r="CF25" s="353" t="n">
        <f aca="true">IF(OR($D25&lt;&gt;"Serviço",AND(AUTOEVENTO="Manual",$M25=$A$15)),0,
         IF(OFFSET(CRONOPLE!$F$15,$M25-$A$15,CF$13)=0,10^12,OFFSET(CRONOPLE!$F$15,$M25-$A$15,CF$13)))</f>
        <v>14</v>
      </c>
      <c r="CG25" s="353" t="n">
        <f aca="true">IF(OR($D25&lt;&gt;"Serviço",AND(AUTOEVENTO="Manual",$M25=$A$15)),0,
         IF(OFFSET(CRONOPLE!$F$15,$M25-$A$15,CG$13)=0,10^12,OFFSET(CRONOPLE!$F$15,$M25-$A$15,CG$13)))</f>
        <v>15</v>
      </c>
      <c r="CH25" s="353" t="n">
        <f aca="true">IF(OR($D25&lt;&gt;"Serviço",AND(AUTOEVENTO="Manual",$M25=$A$15)),0,
         IF(OFFSET(CRONOPLE!$F$15,$M25-$A$15,CH$13)=0,10^12,OFFSET(CRONOPLE!$F$15,$M25-$A$15,CH$13)))</f>
        <v>16</v>
      </c>
      <c r="CI25" s="353" t="n">
        <f aca="true">IF(OR($D25&lt;&gt;"Serviço",AND(AUTOEVENTO="Manual",$M25=$A$15)),0,
         IF(OFFSET(CRONOPLE!$F$15,$M25-$A$15,CI$13)=0,10^12,OFFSET(CRONOPLE!$F$15,$M25-$A$15,CI$13)))</f>
        <v>17</v>
      </c>
      <c r="CJ25" s="353" t="n">
        <f aca="true">IF(OR($D25&lt;&gt;"Serviço",AND(AUTOEVENTO="Manual",$M25=$A$15)),0,
         IF(OFFSET(CRONOPLE!$F$15,$M25-$A$15,CJ$13)=0,10^12,OFFSET(CRONOPLE!$F$15,$M25-$A$15,CJ$13)))</f>
        <v>18</v>
      </c>
      <c r="CK25" s="353" t="n">
        <f aca="true">IF(OR($D25&lt;&gt;"Serviço",AND(AUTOEVENTO="Manual",$M25=$A$15)),0,
         IF(OFFSET(CRONOPLE!$F$15,$M25-$A$15,CK$13)=0,10^12,OFFSET(CRONOPLE!$F$15,$M25-$A$15,CK$13)))</f>
        <v>19</v>
      </c>
      <c r="CL25" s="353" t="n">
        <f aca="true">IF(OR($D25&lt;&gt;"Serviço",AND(AUTOEVENTO="Manual",$M25=$A$15)),0,
         IF(OFFSET(CRONOPLE!$F$15,$M25-$A$15,CL$13)=0,10^12,OFFSET(CRONOPLE!$F$15,$M25-$A$15,CL$13)))</f>
        <v>20</v>
      </c>
      <c r="CM25" s="353" t="n">
        <f aca="true">IF(OR($D25&lt;&gt;"Serviço",AND(AUTOEVENTO="Manual",$M25=$A$15)),0,
         IF(OFFSET(CRONOPLE!$F$15,$M25-$A$15,CM$13)=0,10^12,OFFSET(CRONOPLE!$F$15,$M25-$A$15,CM$13)))</f>
        <v>21</v>
      </c>
      <c r="CN25" s="353" t="n">
        <f aca="true">IF(OR($D25&lt;&gt;"Serviço",AND(AUTOEVENTO="Manual",$M25=$A$15)),0,
         IF(OFFSET(CRONOPLE!$F$15,$M25-$A$15,CN$13)=0,10^12,OFFSET(CRONOPLE!$F$15,$M25-$A$15,CN$13)))</f>
        <v>22</v>
      </c>
      <c r="CO25" s="353" t="n">
        <f aca="true">IF(OR($D25&lt;&gt;"Serviço",AND(AUTOEVENTO="Manual",$M25=$A$15)),0,
         IF(OFFSET(CRONOPLE!$F$15,$M25-$A$15,CO$13)=0,10^12,OFFSET(CRONOPLE!$F$15,$M25-$A$15,CO$13)))</f>
        <v>23</v>
      </c>
      <c r="CP25" s="353" t="n">
        <f aca="true">IF(OR($D25&lt;&gt;"Serviço",AND(AUTOEVENTO="Manual",$M25=$A$15)),0,
         IF(OFFSET(CRONOPLE!$F$15,$M25-$A$15,CP$13)=0,10^12,OFFSET(CRONOPLE!$F$15,$M25-$A$15,CP$13)))</f>
        <v>24</v>
      </c>
      <c r="CQ25" s="353" t="n">
        <f aca="true">IF(OR($D25&lt;&gt;"Serviço",AND(AUTOEVENTO="Manual",$M25=$A$15)),0,
         IF(OFFSET(CRONOPLE!$F$15,$M25-$A$15,CQ$13)=0,10^12,OFFSET(CRONOPLE!$F$15,$M25-$A$15,CQ$13)))</f>
        <v>25</v>
      </c>
      <c r="CR25" s="353" t="n">
        <f aca="true">IF(OR($D25&lt;&gt;"Serviço",AND(AUTOEVENTO="Manual",$M25=$A$15)),0,
         IF(OFFSET(CRONOPLE!$F$15,$M25-$A$15,CR$13)=0,10^12,OFFSET(CRONOPLE!$F$15,$M25-$A$15,CR$13)))</f>
        <v>1000000000000</v>
      </c>
      <c r="CT25" s="354" t="n">
        <f aca="true">IF(OR($D25&lt;&gt;"Serviço",AND(AUTOEVENTO="Manual",$M25=$A$15),$M25&gt;(ROW(PLE.lastrow)-ROW(PLE.firstrow))),0,
           IF(OFFSET(PLE!$G$15,$M25-$A$15,CT$13)="",10^12,OFFSET(PLE!$G$15,$M25-$A$15,CT$13)))</f>
        <v>1000000000000</v>
      </c>
      <c r="CU25" s="354" t="n">
        <f aca="true">IF(OR($D25&lt;&gt;"Serviço",AND(AUTOEVENTO="Manual",$M25=$A$15),$M25&gt;(ROW(PLE.lastrow)-ROW(PLE.firstrow))),0,
           IF(OFFSET(PLE!$G$15,$M25-$A$15,CU$13)="",10^12,OFFSET(PLE!$G$15,$M25-$A$15,CU$13)))</f>
        <v>1000000000000</v>
      </c>
      <c r="CV25" s="354" t="n">
        <f aca="true">IF(OR($D25&lt;&gt;"Serviço",AND(AUTOEVENTO="Manual",$M25=$A$15),$M25&gt;(ROW(PLE.lastrow)-ROW(PLE.firstrow))),0,
           IF(OFFSET(PLE!$G$15,$M25-$A$15,CV$13)="",10^12,OFFSET(PLE!$G$15,$M25-$A$15,CV$13)))</f>
        <v>1000000000000</v>
      </c>
      <c r="CW25" s="354" t="n">
        <f aca="true">IF(OR($D25&lt;&gt;"Serviço",AND(AUTOEVENTO="Manual",$M25=$A$15),$M25&gt;(ROW(PLE.lastrow)-ROW(PLE.firstrow))),0,
           IF(OFFSET(PLE!$G$15,$M25-$A$15,CW$13)="",10^12,OFFSET(PLE!$G$15,$M25-$A$15,CW$13)))</f>
        <v>1000000000000</v>
      </c>
      <c r="CX25" s="354" t="n">
        <f aca="true">IF(OR($D25&lt;&gt;"Serviço",AND(AUTOEVENTO="Manual",$M25=$A$15),$M25&gt;(ROW(PLE.lastrow)-ROW(PLE.firstrow))),0,
           IF(OFFSET(PLE!$G$15,$M25-$A$15,CX$13)="",10^12,OFFSET(PLE!$G$15,$M25-$A$15,CX$13)))</f>
        <v>1000000000000</v>
      </c>
      <c r="CY25" s="354" t="n">
        <f aca="true">IF(OR($D25&lt;&gt;"Serviço",AND(AUTOEVENTO="Manual",$M25=$A$15),$M25&gt;(ROW(PLE.lastrow)-ROW(PLE.firstrow))),0,
           IF(OFFSET(PLE!$G$15,$M25-$A$15,CY$13)="",10^12,OFFSET(PLE!$G$15,$M25-$A$15,CY$13)))</f>
        <v>1000000000000</v>
      </c>
      <c r="CZ25" s="354" t="n">
        <f aca="true">IF(OR($D25&lt;&gt;"Serviço",AND(AUTOEVENTO="Manual",$M25=$A$15),$M25&gt;(ROW(PLE.lastrow)-ROW(PLE.firstrow))),0,
           IF(OFFSET(PLE!$G$15,$M25-$A$15,CZ$13)="",10^12,OFFSET(PLE!$G$15,$M25-$A$15,CZ$13)))</f>
        <v>1000000000000</v>
      </c>
      <c r="DA25" s="354" t="n">
        <f aca="true">IF(OR($D25&lt;&gt;"Serviço",AND(AUTOEVENTO="Manual",$M25=$A$15),$M25&gt;(ROW(PLE.lastrow)-ROW(PLE.firstrow))),0,
           IF(OFFSET(PLE!$G$15,$M25-$A$15,DA$13)="",10^12,OFFSET(PLE!$G$15,$M25-$A$15,DA$13)))</f>
        <v>1000000000000</v>
      </c>
      <c r="DB25" s="354" t="n">
        <f aca="true">IF(OR($D25&lt;&gt;"Serviço",AND(AUTOEVENTO="Manual",$M25=$A$15),$M25&gt;(ROW(PLE.lastrow)-ROW(PLE.firstrow))),0,
           IF(OFFSET(PLE!$G$15,$M25-$A$15,DB$13)="",10^12,OFFSET(PLE!$G$15,$M25-$A$15,DB$13)))</f>
        <v>1000000000000</v>
      </c>
      <c r="DC25" s="354" t="n">
        <f aca="true">IF(OR($D25&lt;&gt;"Serviço",AND(AUTOEVENTO="Manual",$M25=$A$15),$M25&gt;(ROW(PLE.lastrow)-ROW(PLE.firstrow))),0,
           IF(OFFSET(PLE!$G$15,$M25-$A$15,DC$13)="",10^12,OFFSET(PLE!$G$15,$M25-$A$15,DC$13)))</f>
        <v>1000000000000</v>
      </c>
      <c r="DD25" s="354" t="n">
        <f aca="true">IF(OR($D25&lt;&gt;"Serviço",AND(AUTOEVENTO="Manual",$M25=$A$15),$M25&gt;(ROW(PLE.lastrow)-ROW(PLE.firstrow))),0,
           IF(OFFSET(PLE!$G$15,$M25-$A$15,DD$13)="",10^12,OFFSET(PLE!$G$15,$M25-$A$15,DD$13)))</f>
        <v>1000000000000</v>
      </c>
      <c r="DE25" s="354" t="n">
        <f aca="true">IF(OR($D25&lt;&gt;"Serviço",AND(AUTOEVENTO="Manual",$M25=$A$15),$M25&gt;(ROW(PLE.lastrow)-ROW(PLE.firstrow))),0,
           IF(OFFSET(PLE!$G$15,$M25-$A$15,DE$13)="",10^12,OFFSET(PLE!$G$15,$M25-$A$15,DE$13)))</f>
        <v>1000000000000</v>
      </c>
      <c r="DF25" s="354" t="n">
        <f aca="true">IF(OR($D25&lt;&gt;"Serviço",AND(AUTOEVENTO="Manual",$M25=$A$15),$M25&gt;(ROW(PLE.lastrow)-ROW(PLE.firstrow))),0,
           IF(OFFSET(PLE!$G$15,$M25-$A$15,DF$13)="",10^12,OFFSET(PLE!$G$15,$M25-$A$15,DF$13)))</f>
        <v>1000000000000</v>
      </c>
      <c r="DG25" s="354" t="n">
        <f aca="true">IF(OR($D25&lt;&gt;"Serviço",AND(AUTOEVENTO="Manual",$M25=$A$15),$M25&gt;(ROW(PLE.lastrow)-ROW(PLE.firstrow))),0,
           IF(OFFSET(PLE!$G$15,$M25-$A$15,DG$13)="",10^12,OFFSET(PLE!$G$15,$M25-$A$15,DG$13)))</f>
        <v>1000000000000</v>
      </c>
      <c r="DH25" s="354" t="n">
        <f aca="true">IF(OR($D25&lt;&gt;"Serviço",AND(AUTOEVENTO="Manual",$M25=$A$15),$M25&gt;(ROW(PLE.lastrow)-ROW(PLE.firstrow))),0,
           IF(OFFSET(PLE!$G$15,$M25-$A$15,DH$13)="",10^12,OFFSET(PLE!$G$15,$M25-$A$15,DH$13)))</f>
        <v>1000000000000</v>
      </c>
      <c r="DI25" s="354" t="n">
        <f aca="true">IF(OR($D25&lt;&gt;"Serviço",AND(AUTOEVENTO="Manual",$M25=$A$15),$M25&gt;(ROW(PLE.lastrow)-ROW(PLE.firstrow))),0,
           IF(OFFSET(PLE!$G$15,$M25-$A$15,DI$13)="",10^12,OFFSET(PLE!$G$15,$M25-$A$15,DI$13)))</f>
        <v>1000000000000</v>
      </c>
      <c r="DJ25" s="354" t="n">
        <f aca="true">IF(OR($D25&lt;&gt;"Serviço",AND(AUTOEVENTO="Manual",$M25=$A$15),$M25&gt;(ROW(PLE.lastrow)-ROW(PLE.firstrow))),0,
           IF(OFFSET(PLE!$G$15,$M25-$A$15,DJ$13)="",10^12,OFFSET(PLE!$G$15,$M25-$A$15,DJ$13)))</f>
        <v>1000000000000</v>
      </c>
      <c r="DK25" s="354" t="n">
        <f aca="true">IF(OR($D25&lt;&gt;"Serviço",AND(AUTOEVENTO="Manual",$M25=$A$15),$M25&gt;(ROW(PLE.lastrow)-ROW(PLE.firstrow))),0,
           IF(OFFSET(PLE!$G$15,$M25-$A$15,DK$13)="",10^12,OFFSET(PLE!$G$15,$M25-$A$15,DK$13)))</f>
        <v>1000000000000</v>
      </c>
      <c r="DL25" s="354" t="n">
        <f aca="true">IF(OR($D25&lt;&gt;"Serviço",AND(AUTOEVENTO="Manual",$M25=$A$15),$M25&gt;(ROW(PLE.lastrow)-ROW(PLE.firstrow))),0,
           IF(OFFSET(PLE!$G$15,$M25-$A$15,DL$13)="",10^12,OFFSET(PLE!$G$15,$M25-$A$15,DL$13)))</f>
        <v>1000000000000</v>
      </c>
      <c r="DM25" s="354" t="n">
        <f aca="true">IF(OR($D25&lt;&gt;"Serviço",AND(AUTOEVENTO="Manual",$M25=$A$15),$M25&gt;(ROW(PLE.lastrow)-ROW(PLE.firstrow))),0,
           IF(OFFSET(PLE!$G$15,$M25-$A$15,DM$13)="",10^12,OFFSET(PLE!$G$15,$M25-$A$15,DM$13)))</f>
        <v>1000000000000</v>
      </c>
      <c r="DN25" s="354" t="n">
        <f aca="true">IF(OR($D25&lt;&gt;"Serviço",AND(AUTOEVENTO="Manual",$M25=$A$15),$M25&gt;(ROW(PLE.lastrow)-ROW(PLE.firstrow))),0,
           IF(OFFSET(PLE!$G$15,$M25-$A$15,DN$13)="",10^12,OFFSET(PLE!$G$15,$M25-$A$15,DN$13)))</f>
        <v>1000000000000</v>
      </c>
      <c r="DO25" s="354" t="n">
        <f aca="true">IF(OR($D25&lt;&gt;"Serviço",AND(AUTOEVENTO="Manual",$M25=$A$15),$M25&gt;(ROW(PLE.lastrow)-ROW(PLE.firstrow))),0,
           IF(OFFSET(PLE!$G$15,$M25-$A$15,DO$13)="",10^12,OFFSET(PLE!$G$15,$M25-$A$15,DO$13)))</f>
        <v>1000000000000</v>
      </c>
      <c r="DP25" s="354" t="n">
        <f aca="true">IF(OR($D25&lt;&gt;"Serviço",AND(AUTOEVENTO="Manual",$M25=$A$15),$M25&gt;(ROW(PLE.lastrow)-ROW(PLE.firstrow))),0,
           IF(OFFSET(PLE!$G$15,$M25-$A$15,DP$13)="",10^12,OFFSET(PLE!$G$15,$M25-$A$15,DP$13)))</f>
        <v>1000000000000</v>
      </c>
      <c r="DQ25" s="354" t="n">
        <f aca="true">IF(OR($D25&lt;&gt;"Serviço",AND(AUTOEVENTO="Manual",$M25=$A$15),$M25&gt;(ROW(PLE.lastrow)-ROW(PLE.firstrow))),0,
           IF(OFFSET(PLE!$G$15,$M25-$A$15,DQ$13)="",10^12,OFFSET(PLE!$G$15,$M25-$A$15,DQ$13)))</f>
        <v>1000000000000</v>
      </c>
      <c r="DR25" s="354" t="n">
        <f aca="true">IF(OR($D25&lt;&gt;"Serviço",AND(AUTOEVENTO="Manual",$M25=$A$15),$M25&gt;(ROW(PLE.lastrow)-ROW(PLE.firstrow))),0,
           IF(OFFSET(PLE!$G$15,$M25-$A$15,DR$13)="",10^12,OFFSET(PLE!$G$15,$M25-$A$15,DR$13)))</f>
        <v>1000000000000</v>
      </c>
      <c r="DS25" s="354" t="n">
        <f aca="true">IF(OR($D25&lt;&gt;"Serviço",AND(AUTOEVENTO="Manual",$M25=$A$15),$M25&gt;(ROW(PLE.lastrow)-ROW(PLE.firstrow))),0,
           IF(OFFSET(PLE!$G$15,$M25-$A$15,DS$13)="",10^12,OFFSET(PLE!$G$15,$M25-$A$15,DS$13)))</f>
        <v>1000000000000</v>
      </c>
    </row>
    <row r="26" customFormat="false" ht="12.75" hidden="false" customHeight="false" outlineLevel="0" collapsed="false">
      <c r="A26" s="50" t="str">
        <f aca="true">IFERROR(IF(AUTOEVENTO="Manual",IF(K26&lt;&gt;"",MIN(VALUE(LEFT(K26,FIND(".",K26)-1)),COUNTA(EVENTOS.Lista)),0),IF(OR($B26&gt;AUTOEVENTO,$B26="S",$B26=0),SUBSTITUTE(OFFSET($A26,-1,0),IF($D26="Serviço",".",""),""),ROW(A26)-ROW($A$15)&amp;".")),0)</f>
        <v>8</v>
      </c>
      <c r="B26" s="50" t="str">
        <f aca="true">OFFSET(ORÇAMENTO!C$15,ROW(B26)-ROW(B$15),0)</f>
        <v>S</v>
      </c>
      <c r="C26" s="50" t="str">
        <f aca="true">OFFSET(ORÇAMENTO!L$15,ROW(C26)-ROW(C$15),0)</f>
        <v>F</v>
      </c>
      <c r="D26" s="201" t="str">
        <f aca="true">OFFSET(ORÇAMENTO!N$15,ROW(D26)-ROW(D$15),0)</f>
        <v>Serviço</v>
      </c>
      <c r="E26" s="202" t="str">
        <f aca="true">OFFSET(ORÇAMENTO!O$15,ROW(E26)-ROW(E$15),0)</f>
        <v>1.2.3.</v>
      </c>
      <c r="F26" s="341" t="str">
        <f aca="true">OFFSET(ORÇAMENTO!R$15,ROW(F26)-ROW(F$15),0)</f>
        <v>MESTRE DE OBRAS COM ENCARGOS COMPLEMENTARES</v>
      </c>
      <c r="G26" s="342" t="str">
        <f aca="true">IF($D26&lt;&gt;"Serviço","",OFFSET(ORÇAMENTO!S$15,ROW(G26)-ROW(G$15),0))</f>
        <v>H</v>
      </c>
      <c r="H26" s="207" t="n">
        <f aca="true">IF($D26&lt;&gt;"Serviço",0,IF(ACOMPANHAMENTO="BM",ROUND(OFFSET(ORÇAMENTO!AJ$15,ROW(H26)-ROW(H$15),0),15-13*ORÇAMENTO!$AF$7),SUMPRODUCT(($Q$1:$AQ$1=1)*ROUND($Q26:$AQ26,15-13*ORÇAMENTO!$AF$7))))</f>
        <v>125</v>
      </c>
      <c r="I26" s="343" t="s">
        <v>919</v>
      </c>
      <c r="J26" s="344" t="e">
        <f aca="false">IF(OR(B26&lt;&gt;"S",CÁLCULO.FrentesPreenchidas=0),"",IF(AND(ACOMPANHAMENTO="PLE",AUTOEVENTO="Manual",OR(H26&gt;0,ORÇAMENTO!AC26="QUANT."),OR(K26="",M26=0,N26="")),"►",IF(AND(ACOMPANHAMENTO="PLE",ORÇAMENTO!AC26="QUANT."),"►►",IF(AND(COUNTIF($P$11:$AQ$11,"▼")=0,H26&gt;0,I26=""),"◄",""))))</f>
        <v>#NAME?</v>
      </c>
      <c r="K26" s="345"/>
      <c r="L26" s="346" t="s">
        <v>876</v>
      </c>
      <c r="M26" s="347" t="n">
        <f aca="true">IF($D26&lt;&gt;"Serviço","",
          IF(AUTOEVENTO="manual",$A26,
                IF(ISERROR(MATCH($A26,$A$15:OFFSET($A26,-1,0),0)),MAX($M$15:OFFSET(M26,-1,0))+1,
                      INDEX($M$15:OFFSET(M26,-1,0),MATCH($A26,$A$15:OFFSET($A26,-1,0),0)))))</f>
        <v>2</v>
      </c>
      <c r="N26" s="348" t="str">
        <f aca="true">IF($D26&lt;&gt;"Serviço","",
         IF(AUTOEVENTO="Manual",
                IF($A26=0,"&lt;-- defina o número do agrupador",
                       OFFSET(EVENTOS!$D$15,$A26-$A$15,0)),
                OFFSET($F$15,$A26,0)))</f>
        <v>ADMINISRAÇÃO LOCAL</v>
      </c>
      <c r="O26" s="349"/>
      <c r="Q26" s="349" t="n">
        <v>5</v>
      </c>
      <c r="R26" s="350" t="n">
        <f aca="false">Q26</f>
        <v>5</v>
      </c>
      <c r="S26" s="350" t="n">
        <f aca="false">R26</f>
        <v>5</v>
      </c>
      <c r="T26" s="350" t="n">
        <f aca="false">S26</f>
        <v>5</v>
      </c>
      <c r="U26" s="350" t="n">
        <f aca="false">T26</f>
        <v>5</v>
      </c>
      <c r="V26" s="350" t="n">
        <f aca="false">U26</f>
        <v>5</v>
      </c>
      <c r="W26" s="350" t="n">
        <f aca="false">V26</f>
        <v>5</v>
      </c>
      <c r="X26" s="350" t="n">
        <f aca="false">W26</f>
        <v>5</v>
      </c>
      <c r="Y26" s="350" t="n">
        <f aca="false">X26</f>
        <v>5</v>
      </c>
      <c r="Z26" s="351" t="n">
        <f aca="false">Y26</f>
        <v>5</v>
      </c>
      <c r="AA26" s="350" t="n">
        <f aca="false">Z26</f>
        <v>5</v>
      </c>
      <c r="AB26" s="350" t="n">
        <f aca="false">AA26</f>
        <v>5</v>
      </c>
      <c r="AC26" s="350" t="n">
        <f aca="false">AB26</f>
        <v>5</v>
      </c>
      <c r="AD26" s="350" t="n">
        <f aca="false">AC26</f>
        <v>5</v>
      </c>
      <c r="AE26" s="350" t="n">
        <f aca="false">AD26</f>
        <v>5</v>
      </c>
      <c r="AF26" s="350" t="n">
        <f aca="false">AE26</f>
        <v>5</v>
      </c>
      <c r="AG26" s="350" t="n">
        <f aca="false">AF26</f>
        <v>5</v>
      </c>
      <c r="AH26" s="351" t="n">
        <f aca="false">AG26</f>
        <v>5</v>
      </c>
      <c r="AI26" s="350" t="n">
        <f aca="false">AH26</f>
        <v>5</v>
      </c>
      <c r="AJ26" s="350" t="n">
        <f aca="false">AI26</f>
        <v>5</v>
      </c>
      <c r="AK26" s="350" t="n">
        <f aca="false">AJ26</f>
        <v>5</v>
      </c>
      <c r="AL26" s="350" t="n">
        <f aca="false">AK26</f>
        <v>5</v>
      </c>
      <c r="AM26" s="350" t="n">
        <f aca="false">AL26</f>
        <v>5</v>
      </c>
      <c r="AN26" s="350" t="n">
        <f aca="false">AM26</f>
        <v>5</v>
      </c>
      <c r="AO26" s="350" t="n">
        <f aca="false">AN26</f>
        <v>5</v>
      </c>
      <c r="AP26" s="351"/>
      <c r="AR26" s="352" t="n">
        <f aca="true">IF(AND($D26="Serviço",AR$12&lt;&gt;0,$H26&gt;0,OR(AUTOEVENTO&lt;&gt;"manual",$M26&lt;&gt;$A$15)),
        IF(Import.TipoArredondamento&lt;&gt;"TransfereGOV",
              ROUND(OFFSET($P26,0,AR$13),15-13*ORÇAMENTO!$AF$7)/$H26*OFFSET(ORÇAMENTO!$X$15,ROW(AR26)-ROW(AR$15),0),
              ROUND(ROUND(OFFSET($P26,0,AR$13),15-13*ORÇAMENTO!$AF$7)*OFFSET(ORÇAMENTO!$W$15,ROW(AR26)-ROW(AR$15),0),15-13*ORÇAMENTO!$AF$11)),
         0)</f>
        <v>630.7</v>
      </c>
      <c r="AS26" s="352" t="n">
        <f aca="true">IF(AND($D26="Serviço",AS$12&lt;&gt;0,$H26&gt;0,OR(AUTOEVENTO&lt;&gt;"manual",$M26&lt;&gt;$A$15)),
        IF(Import.TipoArredondamento&lt;&gt;"TransfereGOV",
              ROUND(OFFSET($P26,0,AS$13),15-13*ORÇAMENTO!$AF$7)/$H26*OFFSET(ORÇAMENTO!$X$15,ROW(AS26)-ROW(AS$15),0),
              ROUND(ROUND(OFFSET($P26,0,AS$13),15-13*ORÇAMENTO!$AF$7)*OFFSET(ORÇAMENTO!$W$15,ROW(AS26)-ROW(AS$15),0),15-13*ORÇAMENTO!$AF$11)),
         0)</f>
        <v>630.7</v>
      </c>
      <c r="AT26" s="352" t="n">
        <f aca="true">IF(AND($D26="Serviço",AT$12&lt;&gt;0,$H26&gt;0,OR(AUTOEVENTO&lt;&gt;"manual",$M26&lt;&gt;$A$15)),
        IF(Import.TipoArredondamento&lt;&gt;"TransfereGOV",
              ROUND(OFFSET($P26,0,AT$13),15-13*ORÇAMENTO!$AF$7)/$H26*OFFSET(ORÇAMENTO!$X$15,ROW(AT26)-ROW(AT$15),0),
              ROUND(ROUND(OFFSET($P26,0,AT$13),15-13*ORÇAMENTO!$AF$7)*OFFSET(ORÇAMENTO!$W$15,ROW(AT26)-ROW(AT$15),0),15-13*ORÇAMENTO!$AF$11)),
         0)</f>
        <v>630.7</v>
      </c>
      <c r="AU26" s="352" t="n">
        <f aca="true">IF(AND($D26="Serviço",AU$12&lt;&gt;0,$H26&gt;0,OR(AUTOEVENTO&lt;&gt;"manual",$M26&lt;&gt;$A$15)),
        IF(Import.TipoArredondamento&lt;&gt;"TransfereGOV",
              ROUND(OFFSET($P26,0,AU$13),15-13*ORÇAMENTO!$AF$7)/$H26*OFFSET(ORÇAMENTO!$X$15,ROW(AU26)-ROW(AU$15),0),
              ROUND(ROUND(OFFSET($P26,0,AU$13),15-13*ORÇAMENTO!$AF$7)*OFFSET(ORÇAMENTO!$W$15,ROW(AU26)-ROW(AU$15),0),15-13*ORÇAMENTO!$AF$11)),
         0)</f>
        <v>630.7</v>
      </c>
      <c r="AV26" s="352" t="n">
        <f aca="true">IF(AND($D26="Serviço",AV$12&lt;&gt;0,$H26&gt;0,OR(AUTOEVENTO&lt;&gt;"manual",$M26&lt;&gt;$A$15)),
        IF(Import.TipoArredondamento&lt;&gt;"TransfereGOV",
              ROUND(OFFSET($P26,0,AV$13),15-13*ORÇAMENTO!$AF$7)/$H26*OFFSET(ORÇAMENTO!$X$15,ROW(AV26)-ROW(AV$15),0),
              ROUND(ROUND(OFFSET($P26,0,AV$13),15-13*ORÇAMENTO!$AF$7)*OFFSET(ORÇAMENTO!$W$15,ROW(AV26)-ROW(AV$15),0),15-13*ORÇAMENTO!$AF$11)),
         0)</f>
        <v>630.7</v>
      </c>
      <c r="AW26" s="352" t="n">
        <f aca="true">IF(AND($D26="Serviço",AW$12&lt;&gt;0,$H26&gt;0,OR(AUTOEVENTO&lt;&gt;"manual",$M26&lt;&gt;$A$15)),
        IF(Import.TipoArredondamento&lt;&gt;"TransfereGOV",
              ROUND(OFFSET($P26,0,AW$13),15-13*ORÇAMENTO!$AF$7)/$H26*OFFSET(ORÇAMENTO!$X$15,ROW(AW26)-ROW(AW$15),0),
              ROUND(ROUND(OFFSET($P26,0,AW$13),15-13*ORÇAMENTO!$AF$7)*OFFSET(ORÇAMENTO!$W$15,ROW(AW26)-ROW(AW$15),0),15-13*ORÇAMENTO!$AF$11)),
         0)</f>
        <v>630.7</v>
      </c>
      <c r="AX26" s="352" t="n">
        <f aca="true">IF(AND($D26="Serviço",AX$12&lt;&gt;0,$H26&gt;0,OR(AUTOEVENTO&lt;&gt;"manual",$M26&lt;&gt;$A$15)),
        IF(Import.TipoArredondamento&lt;&gt;"TransfereGOV",
              ROUND(OFFSET($P26,0,AX$13),15-13*ORÇAMENTO!$AF$7)/$H26*OFFSET(ORÇAMENTO!$X$15,ROW(AX26)-ROW(AX$15),0),
              ROUND(ROUND(OFFSET($P26,0,AX$13),15-13*ORÇAMENTO!$AF$7)*OFFSET(ORÇAMENTO!$W$15,ROW(AX26)-ROW(AX$15),0),15-13*ORÇAMENTO!$AF$11)),
         0)</f>
        <v>630.7</v>
      </c>
      <c r="AY26" s="352" t="n">
        <f aca="true">IF(AND($D26="Serviço",AY$12&lt;&gt;0,$H26&gt;0,OR(AUTOEVENTO&lt;&gt;"manual",$M26&lt;&gt;$A$15)),
        IF(Import.TipoArredondamento&lt;&gt;"TransfereGOV",
              ROUND(OFFSET($P26,0,AY$13),15-13*ORÇAMENTO!$AF$7)/$H26*OFFSET(ORÇAMENTO!$X$15,ROW(AY26)-ROW(AY$15),0),
              ROUND(ROUND(OFFSET($P26,0,AY$13),15-13*ORÇAMENTO!$AF$7)*OFFSET(ORÇAMENTO!$W$15,ROW(AY26)-ROW(AY$15),0),15-13*ORÇAMENTO!$AF$11)),
         0)</f>
        <v>630.7</v>
      </c>
      <c r="AZ26" s="352" t="n">
        <f aca="true">IF(AND($D26="Serviço",AZ$12&lt;&gt;0,$H26&gt;0,OR(AUTOEVENTO&lt;&gt;"manual",$M26&lt;&gt;$A$15)),
        IF(Import.TipoArredondamento&lt;&gt;"TransfereGOV",
              ROUND(OFFSET($P26,0,AZ$13),15-13*ORÇAMENTO!$AF$7)/$H26*OFFSET(ORÇAMENTO!$X$15,ROW(AZ26)-ROW(AZ$15),0),
              ROUND(ROUND(OFFSET($P26,0,AZ$13),15-13*ORÇAMENTO!$AF$7)*OFFSET(ORÇAMENTO!$W$15,ROW(AZ26)-ROW(AZ$15),0),15-13*ORÇAMENTO!$AF$11)),
         0)</f>
        <v>630.7</v>
      </c>
      <c r="BA26" s="352" t="n">
        <f aca="true">IF(AND($D26="Serviço",BA$12&lt;&gt;0,$H26&gt;0,OR(AUTOEVENTO&lt;&gt;"manual",$M26&lt;&gt;$A$15)),
        IF(Import.TipoArredondamento&lt;&gt;"TransfereGOV",
              ROUND(OFFSET($P26,0,BA$13),15-13*ORÇAMENTO!$AF$7)/$H26*OFFSET(ORÇAMENTO!$X$15,ROW(BA26)-ROW(BA$15),0),
              ROUND(ROUND(OFFSET($P26,0,BA$13),15-13*ORÇAMENTO!$AF$7)*OFFSET(ORÇAMENTO!$W$15,ROW(BA26)-ROW(BA$15),0),15-13*ORÇAMENTO!$AF$11)),
         0)</f>
        <v>630.7</v>
      </c>
      <c r="BB26" s="352" t="n">
        <f aca="true">IF(AND($D26="Serviço",BB$12&lt;&gt;0,$H26&gt;0,OR(AUTOEVENTO&lt;&gt;"manual",$M26&lt;&gt;$A$15)),
        IF(Import.TipoArredondamento&lt;&gt;"TransfereGOV",
              ROUND(OFFSET($P26,0,BB$13),15-13*ORÇAMENTO!$AF$7)/$H26*OFFSET(ORÇAMENTO!$X$15,ROW(BB26)-ROW(BB$15),0),
              ROUND(ROUND(OFFSET($P26,0,BB$13),15-13*ORÇAMENTO!$AF$7)*OFFSET(ORÇAMENTO!$W$15,ROW(BB26)-ROW(BB$15),0),15-13*ORÇAMENTO!$AF$11)),
         0)</f>
        <v>630.7</v>
      </c>
      <c r="BC26" s="352" t="n">
        <f aca="true">IF(AND($D26="Serviço",BC$12&lt;&gt;0,$H26&gt;0,OR(AUTOEVENTO&lt;&gt;"manual",$M26&lt;&gt;$A$15)),
        IF(Import.TipoArredondamento&lt;&gt;"TransfereGOV",
              ROUND(OFFSET($P26,0,BC$13),15-13*ORÇAMENTO!$AF$7)/$H26*OFFSET(ORÇAMENTO!$X$15,ROW(BC26)-ROW(BC$15),0),
              ROUND(ROUND(OFFSET($P26,0,BC$13),15-13*ORÇAMENTO!$AF$7)*OFFSET(ORÇAMENTO!$W$15,ROW(BC26)-ROW(BC$15),0),15-13*ORÇAMENTO!$AF$11)),
         0)</f>
        <v>630.7</v>
      </c>
      <c r="BD26" s="352" t="n">
        <f aca="true">IF(AND($D26="Serviço",BD$12&lt;&gt;0,$H26&gt;0,OR(AUTOEVENTO&lt;&gt;"manual",$M26&lt;&gt;$A$15)),
        IF(Import.TipoArredondamento&lt;&gt;"TransfereGOV",
              ROUND(OFFSET($P26,0,BD$13),15-13*ORÇAMENTO!$AF$7)/$H26*OFFSET(ORÇAMENTO!$X$15,ROW(BD26)-ROW(BD$15),0),
              ROUND(ROUND(OFFSET($P26,0,BD$13),15-13*ORÇAMENTO!$AF$7)*OFFSET(ORÇAMENTO!$W$15,ROW(BD26)-ROW(BD$15),0),15-13*ORÇAMENTO!$AF$11)),
         0)</f>
        <v>630.7</v>
      </c>
      <c r="BE26" s="352" t="n">
        <f aca="true">IF(AND($D26="Serviço",BE$12&lt;&gt;0,$H26&gt;0,OR(AUTOEVENTO&lt;&gt;"manual",$M26&lt;&gt;$A$15)),
        IF(Import.TipoArredondamento&lt;&gt;"TransfereGOV",
              ROUND(OFFSET($P26,0,BE$13),15-13*ORÇAMENTO!$AF$7)/$H26*OFFSET(ORÇAMENTO!$X$15,ROW(BE26)-ROW(BE$15),0),
              ROUND(ROUND(OFFSET($P26,0,BE$13),15-13*ORÇAMENTO!$AF$7)*OFFSET(ORÇAMENTO!$W$15,ROW(BE26)-ROW(BE$15),0),15-13*ORÇAMENTO!$AF$11)),
         0)</f>
        <v>630.7</v>
      </c>
      <c r="BF26" s="352" t="n">
        <f aca="true">IF(AND($D26="Serviço",BF$12&lt;&gt;0,$H26&gt;0,OR(AUTOEVENTO&lt;&gt;"manual",$M26&lt;&gt;$A$15)),
        IF(Import.TipoArredondamento&lt;&gt;"TransfereGOV",
              ROUND(OFFSET($P26,0,BF$13),15-13*ORÇAMENTO!$AF$7)/$H26*OFFSET(ORÇAMENTO!$X$15,ROW(BF26)-ROW(BF$15),0),
              ROUND(ROUND(OFFSET($P26,0,BF$13),15-13*ORÇAMENTO!$AF$7)*OFFSET(ORÇAMENTO!$W$15,ROW(BF26)-ROW(BF$15),0),15-13*ORÇAMENTO!$AF$11)),
         0)</f>
        <v>630.7</v>
      </c>
      <c r="BG26" s="352" t="n">
        <f aca="true">IF(AND($D26="Serviço",BG$12&lt;&gt;0,$H26&gt;0,OR(AUTOEVENTO&lt;&gt;"manual",$M26&lt;&gt;$A$15)),
        IF(Import.TipoArredondamento&lt;&gt;"TransfereGOV",
              ROUND(OFFSET($P26,0,BG$13),15-13*ORÇAMENTO!$AF$7)/$H26*OFFSET(ORÇAMENTO!$X$15,ROW(BG26)-ROW(BG$15),0),
              ROUND(ROUND(OFFSET($P26,0,BG$13),15-13*ORÇAMENTO!$AF$7)*OFFSET(ORÇAMENTO!$W$15,ROW(BG26)-ROW(BG$15),0),15-13*ORÇAMENTO!$AF$11)),
         0)</f>
        <v>630.7</v>
      </c>
      <c r="BH26" s="352" t="n">
        <f aca="true">IF(AND($D26="Serviço",BH$12&lt;&gt;0,$H26&gt;0,OR(AUTOEVENTO&lt;&gt;"manual",$M26&lt;&gt;$A$15)),
        IF(Import.TipoArredondamento&lt;&gt;"TransfereGOV",
              ROUND(OFFSET($P26,0,BH$13),15-13*ORÇAMENTO!$AF$7)/$H26*OFFSET(ORÇAMENTO!$X$15,ROW(BH26)-ROW(BH$15),0),
              ROUND(ROUND(OFFSET($P26,0,BH$13),15-13*ORÇAMENTO!$AF$7)*OFFSET(ORÇAMENTO!$W$15,ROW(BH26)-ROW(BH$15),0),15-13*ORÇAMENTO!$AF$11)),
         0)</f>
        <v>630.7</v>
      </c>
      <c r="BI26" s="352" t="n">
        <f aca="true">IF(AND($D26="Serviço",BI$12&lt;&gt;0,$H26&gt;0,OR(AUTOEVENTO&lt;&gt;"manual",$M26&lt;&gt;$A$15)),
        IF(Import.TipoArredondamento&lt;&gt;"TransfereGOV",
              ROUND(OFFSET($P26,0,BI$13),15-13*ORÇAMENTO!$AF$7)/$H26*OFFSET(ORÇAMENTO!$X$15,ROW(BI26)-ROW(BI$15),0),
              ROUND(ROUND(OFFSET($P26,0,BI$13),15-13*ORÇAMENTO!$AF$7)*OFFSET(ORÇAMENTO!$W$15,ROW(BI26)-ROW(BI$15),0),15-13*ORÇAMENTO!$AF$11)),
         0)</f>
        <v>630.7</v>
      </c>
      <c r="BJ26" s="352" t="n">
        <f aca="true">IF(AND($D26="Serviço",BJ$12&lt;&gt;0,$H26&gt;0,OR(AUTOEVENTO&lt;&gt;"manual",$M26&lt;&gt;$A$15)),
        IF(Import.TipoArredondamento&lt;&gt;"TransfereGOV",
              ROUND(OFFSET($P26,0,BJ$13),15-13*ORÇAMENTO!$AF$7)/$H26*OFFSET(ORÇAMENTO!$X$15,ROW(BJ26)-ROW(BJ$15),0),
              ROUND(ROUND(OFFSET($P26,0,BJ$13),15-13*ORÇAMENTO!$AF$7)*OFFSET(ORÇAMENTO!$W$15,ROW(BJ26)-ROW(BJ$15),0),15-13*ORÇAMENTO!$AF$11)),
         0)</f>
        <v>630.7</v>
      </c>
      <c r="BK26" s="352" t="n">
        <f aca="true">IF(AND($D26="Serviço",BK$12&lt;&gt;0,$H26&gt;0,OR(AUTOEVENTO&lt;&gt;"manual",$M26&lt;&gt;$A$15)),
        IF(Import.TipoArredondamento&lt;&gt;"TransfereGOV",
              ROUND(OFFSET($P26,0,BK$13),15-13*ORÇAMENTO!$AF$7)/$H26*OFFSET(ORÇAMENTO!$X$15,ROW(BK26)-ROW(BK$15),0),
              ROUND(ROUND(OFFSET($P26,0,BK$13),15-13*ORÇAMENTO!$AF$7)*OFFSET(ORÇAMENTO!$W$15,ROW(BK26)-ROW(BK$15),0),15-13*ORÇAMENTO!$AF$11)),
         0)</f>
        <v>630.7</v>
      </c>
      <c r="BL26" s="352" t="n">
        <f aca="true">IF(AND($D26="Serviço",BL$12&lt;&gt;0,$H26&gt;0,OR(AUTOEVENTO&lt;&gt;"manual",$M26&lt;&gt;$A$15)),
        IF(Import.TipoArredondamento&lt;&gt;"TransfereGOV",
              ROUND(OFFSET($P26,0,BL$13),15-13*ORÇAMENTO!$AF$7)/$H26*OFFSET(ORÇAMENTO!$X$15,ROW(BL26)-ROW(BL$15),0),
              ROUND(ROUND(OFFSET($P26,0,BL$13),15-13*ORÇAMENTO!$AF$7)*OFFSET(ORÇAMENTO!$W$15,ROW(BL26)-ROW(BL$15),0),15-13*ORÇAMENTO!$AF$11)),
         0)</f>
        <v>630.7</v>
      </c>
      <c r="BM26" s="352" t="n">
        <f aca="true">IF(AND($D26="Serviço",BM$12&lt;&gt;0,$H26&gt;0,OR(AUTOEVENTO&lt;&gt;"manual",$M26&lt;&gt;$A$15)),
        IF(Import.TipoArredondamento&lt;&gt;"TransfereGOV",
              ROUND(OFFSET($P26,0,BM$13),15-13*ORÇAMENTO!$AF$7)/$H26*OFFSET(ORÇAMENTO!$X$15,ROW(BM26)-ROW(BM$15),0),
              ROUND(ROUND(OFFSET($P26,0,BM$13),15-13*ORÇAMENTO!$AF$7)*OFFSET(ORÇAMENTO!$W$15,ROW(BM26)-ROW(BM$15),0),15-13*ORÇAMENTO!$AF$11)),
         0)</f>
        <v>630.7</v>
      </c>
      <c r="BN26" s="352" t="n">
        <f aca="true">IF(AND($D26="Serviço",BN$12&lt;&gt;0,$H26&gt;0,OR(AUTOEVENTO&lt;&gt;"manual",$M26&lt;&gt;$A$15)),
        IF(Import.TipoArredondamento&lt;&gt;"TransfereGOV",
              ROUND(OFFSET($P26,0,BN$13),15-13*ORÇAMENTO!$AF$7)/$H26*OFFSET(ORÇAMENTO!$X$15,ROW(BN26)-ROW(BN$15),0),
              ROUND(ROUND(OFFSET($P26,0,BN$13),15-13*ORÇAMENTO!$AF$7)*OFFSET(ORÇAMENTO!$W$15,ROW(BN26)-ROW(BN$15),0),15-13*ORÇAMENTO!$AF$11)),
         0)</f>
        <v>630.7</v>
      </c>
      <c r="BO26" s="352" t="n">
        <f aca="true">IF(AND($D26="Serviço",BO$12&lt;&gt;0,$H26&gt;0,OR(AUTOEVENTO&lt;&gt;"manual",$M26&lt;&gt;$A$15)),
        IF(Import.TipoArredondamento&lt;&gt;"TransfereGOV",
              ROUND(OFFSET($P26,0,BO$13),15-13*ORÇAMENTO!$AF$7)/$H26*OFFSET(ORÇAMENTO!$X$15,ROW(BO26)-ROW(BO$15),0),
              ROUND(ROUND(OFFSET($P26,0,BO$13),15-13*ORÇAMENTO!$AF$7)*OFFSET(ORÇAMENTO!$W$15,ROW(BO26)-ROW(BO$15),0),15-13*ORÇAMENTO!$AF$11)),
         0)</f>
        <v>630.7</v>
      </c>
      <c r="BP26" s="352" t="n">
        <f aca="true">IF(AND($D26="Serviço",BP$12&lt;&gt;0,$H26&gt;0,OR(AUTOEVENTO&lt;&gt;"manual",$M26&lt;&gt;$A$15)),
        IF(Import.TipoArredondamento&lt;&gt;"TransfereGOV",
              ROUND(OFFSET($P26,0,BP$13),15-13*ORÇAMENTO!$AF$7)/$H26*OFFSET(ORÇAMENTO!$X$15,ROW(BP26)-ROW(BP$15),0),
              ROUND(ROUND(OFFSET($P26,0,BP$13),15-13*ORÇAMENTO!$AF$7)*OFFSET(ORÇAMENTO!$W$15,ROW(BP26)-ROW(BP$15),0),15-13*ORÇAMENTO!$AF$11)),
         0)</f>
        <v>630.7</v>
      </c>
      <c r="BQ26" s="352" t="n">
        <f aca="true">IF(AND($D26="Serviço",BQ$12&lt;&gt;0,$H26&gt;0,OR(AUTOEVENTO&lt;&gt;"manual",$M26&lt;&gt;$A$15)),
        IF(Import.TipoArredondamento&lt;&gt;"TransfereGOV",
              ROUND(OFFSET($P26,0,BQ$13),15-13*ORÇAMENTO!$AF$7)/$H26*OFFSET(ORÇAMENTO!$X$15,ROW(BQ26)-ROW(BQ$15),0),
              ROUND(ROUND(OFFSET($P26,0,BQ$13),15-13*ORÇAMENTO!$AF$7)*OFFSET(ORÇAMENTO!$W$15,ROW(BQ26)-ROW(BQ$15),0),15-13*ORÇAMENTO!$AF$11)),
         0)</f>
        <v>0</v>
      </c>
      <c r="BS26" s="353" t="n">
        <f aca="true">IF(OR($D26&lt;&gt;"Serviço",AND(AUTOEVENTO="Manual",$M26=$A$15)),0,
         IF(OFFSET(CRONOPLE!$F$15,$M26-$A$15,BS$13)=0,10^12,OFFSET(CRONOPLE!$F$15,$M26-$A$15,BS$13)))</f>
        <v>1</v>
      </c>
      <c r="BT26" s="353" t="n">
        <f aca="true">IF(OR($D26&lt;&gt;"Serviço",AND(AUTOEVENTO="Manual",$M26=$A$15)),0,
         IF(OFFSET(CRONOPLE!$F$15,$M26-$A$15,BT$13)=0,10^12,OFFSET(CRONOPLE!$F$15,$M26-$A$15,BT$13)))</f>
        <v>2</v>
      </c>
      <c r="BU26" s="353" t="n">
        <f aca="true">IF(OR($D26&lt;&gt;"Serviço",AND(AUTOEVENTO="Manual",$M26=$A$15)),0,
         IF(OFFSET(CRONOPLE!$F$15,$M26-$A$15,BU$13)=0,10^12,OFFSET(CRONOPLE!$F$15,$M26-$A$15,BU$13)))</f>
        <v>3</v>
      </c>
      <c r="BV26" s="353" t="n">
        <f aca="true">IF(OR($D26&lt;&gt;"Serviço",AND(AUTOEVENTO="Manual",$M26=$A$15)),0,
         IF(OFFSET(CRONOPLE!$F$15,$M26-$A$15,BV$13)=0,10^12,OFFSET(CRONOPLE!$F$15,$M26-$A$15,BV$13)))</f>
        <v>4</v>
      </c>
      <c r="BW26" s="353" t="n">
        <f aca="true">IF(OR($D26&lt;&gt;"Serviço",AND(AUTOEVENTO="Manual",$M26=$A$15)),0,
         IF(OFFSET(CRONOPLE!$F$15,$M26-$A$15,BW$13)=0,10^12,OFFSET(CRONOPLE!$F$15,$M26-$A$15,BW$13)))</f>
        <v>5</v>
      </c>
      <c r="BX26" s="353" t="n">
        <f aca="true">IF(OR($D26&lt;&gt;"Serviço",AND(AUTOEVENTO="Manual",$M26=$A$15)),0,
         IF(OFFSET(CRONOPLE!$F$15,$M26-$A$15,BX$13)=0,10^12,OFFSET(CRONOPLE!$F$15,$M26-$A$15,BX$13)))</f>
        <v>6</v>
      </c>
      <c r="BY26" s="353" t="n">
        <f aca="true">IF(OR($D26&lt;&gt;"Serviço",AND(AUTOEVENTO="Manual",$M26=$A$15)),0,
         IF(OFFSET(CRONOPLE!$F$15,$M26-$A$15,BY$13)=0,10^12,OFFSET(CRONOPLE!$F$15,$M26-$A$15,BY$13)))</f>
        <v>7</v>
      </c>
      <c r="BZ26" s="353" t="n">
        <f aca="true">IF(OR($D26&lt;&gt;"Serviço",AND(AUTOEVENTO="Manual",$M26=$A$15)),0,
         IF(OFFSET(CRONOPLE!$F$15,$M26-$A$15,BZ$13)=0,10^12,OFFSET(CRONOPLE!$F$15,$M26-$A$15,BZ$13)))</f>
        <v>8</v>
      </c>
      <c r="CA26" s="353" t="n">
        <f aca="true">IF(OR($D26&lt;&gt;"Serviço",AND(AUTOEVENTO="Manual",$M26=$A$15)),0,
         IF(OFFSET(CRONOPLE!$F$15,$M26-$A$15,CA$13)=0,10^12,OFFSET(CRONOPLE!$F$15,$M26-$A$15,CA$13)))</f>
        <v>9</v>
      </c>
      <c r="CB26" s="353" t="n">
        <f aca="true">IF(OR($D26&lt;&gt;"Serviço",AND(AUTOEVENTO="Manual",$M26=$A$15)),0,
         IF(OFFSET(CRONOPLE!$F$15,$M26-$A$15,CB$13)=0,10^12,OFFSET(CRONOPLE!$F$15,$M26-$A$15,CB$13)))</f>
        <v>10</v>
      </c>
      <c r="CC26" s="353" t="n">
        <f aca="true">IF(OR($D26&lt;&gt;"Serviço",AND(AUTOEVENTO="Manual",$M26=$A$15)),0,
         IF(OFFSET(CRONOPLE!$F$15,$M26-$A$15,CC$13)=0,10^12,OFFSET(CRONOPLE!$F$15,$M26-$A$15,CC$13)))</f>
        <v>11</v>
      </c>
      <c r="CD26" s="353" t="n">
        <f aca="true">IF(OR($D26&lt;&gt;"Serviço",AND(AUTOEVENTO="Manual",$M26=$A$15)),0,
         IF(OFFSET(CRONOPLE!$F$15,$M26-$A$15,CD$13)=0,10^12,OFFSET(CRONOPLE!$F$15,$M26-$A$15,CD$13)))</f>
        <v>12</v>
      </c>
      <c r="CE26" s="353" t="n">
        <f aca="true">IF(OR($D26&lt;&gt;"Serviço",AND(AUTOEVENTO="Manual",$M26=$A$15)),0,
         IF(OFFSET(CRONOPLE!$F$15,$M26-$A$15,CE$13)=0,10^12,OFFSET(CRONOPLE!$F$15,$M26-$A$15,CE$13)))</f>
        <v>13</v>
      </c>
      <c r="CF26" s="353" t="n">
        <f aca="true">IF(OR($D26&lt;&gt;"Serviço",AND(AUTOEVENTO="Manual",$M26=$A$15)),0,
         IF(OFFSET(CRONOPLE!$F$15,$M26-$A$15,CF$13)=0,10^12,OFFSET(CRONOPLE!$F$15,$M26-$A$15,CF$13)))</f>
        <v>14</v>
      </c>
      <c r="CG26" s="353" t="n">
        <f aca="true">IF(OR($D26&lt;&gt;"Serviço",AND(AUTOEVENTO="Manual",$M26=$A$15)),0,
         IF(OFFSET(CRONOPLE!$F$15,$M26-$A$15,CG$13)=0,10^12,OFFSET(CRONOPLE!$F$15,$M26-$A$15,CG$13)))</f>
        <v>15</v>
      </c>
      <c r="CH26" s="353" t="n">
        <f aca="true">IF(OR($D26&lt;&gt;"Serviço",AND(AUTOEVENTO="Manual",$M26=$A$15)),0,
         IF(OFFSET(CRONOPLE!$F$15,$M26-$A$15,CH$13)=0,10^12,OFFSET(CRONOPLE!$F$15,$M26-$A$15,CH$13)))</f>
        <v>16</v>
      </c>
      <c r="CI26" s="353" t="n">
        <f aca="true">IF(OR($D26&lt;&gt;"Serviço",AND(AUTOEVENTO="Manual",$M26=$A$15)),0,
         IF(OFFSET(CRONOPLE!$F$15,$M26-$A$15,CI$13)=0,10^12,OFFSET(CRONOPLE!$F$15,$M26-$A$15,CI$13)))</f>
        <v>17</v>
      </c>
      <c r="CJ26" s="353" t="n">
        <f aca="true">IF(OR($D26&lt;&gt;"Serviço",AND(AUTOEVENTO="Manual",$M26=$A$15)),0,
         IF(OFFSET(CRONOPLE!$F$15,$M26-$A$15,CJ$13)=0,10^12,OFFSET(CRONOPLE!$F$15,$M26-$A$15,CJ$13)))</f>
        <v>18</v>
      </c>
      <c r="CK26" s="353" t="n">
        <f aca="true">IF(OR($D26&lt;&gt;"Serviço",AND(AUTOEVENTO="Manual",$M26=$A$15)),0,
         IF(OFFSET(CRONOPLE!$F$15,$M26-$A$15,CK$13)=0,10^12,OFFSET(CRONOPLE!$F$15,$M26-$A$15,CK$13)))</f>
        <v>19</v>
      </c>
      <c r="CL26" s="353" t="n">
        <f aca="true">IF(OR($D26&lt;&gt;"Serviço",AND(AUTOEVENTO="Manual",$M26=$A$15)),0,
         IF(OFFSET(CRONOPLE!$F$15,$M26-$A$15,CL$13)=0,10^12,OFFSET(CRONOPLE!$F$15,$M26-$A$15,CL$13)))</f>
        <v>20</v>
      </c>
      <c r="CM26" s="353" t="n">
        <f aca="true">IF(OR($D26&lt;&gt;"Serviço",AND(AUTOEVENTO="Manual",$M26=$A$15)),0,
         IF(OFFSET(CRONOPLE!$F$15,$M26-$A$15,CM$13)=0,10^12,OFFSET(CRONOPLE!$F$15,$M26-$A$15,CM$13)))</f>
        <v>21</v>
      </c>
      <c r="CN26" s="353" t="n">
        <f aca="true">IF(OR($D26&lt;&gt;"Serviço",AND(AUTOEVENTO="Manual",$M26=$A$15)),0,
         IF(OFFSET(CRONOPLE!$F$15,$M26-$A$15,CN$13)=0,10^12,OFFSET(CRONOPLE!$F$15,$M26-$A$15,CN$13)))</f>
        <v>22</v>
      </c>
      <c r="CO26" s="353" t="n">
        <f aca="true">IF(OR($D26&lt;&gt;"Serviço",AND(AUTOEVENTO="Manual",$M26=$A$15)),0,
         IF(OFFSET(CRONOPLE!$F$15,$M26-$A$15,CO$13)=0,10^12,OFFSET(CRONOPLE!$F$15,$M26-$A$15,CO$13)))</f>
        <v>23</v>
      </c>
      <c r="CP26" s="353" t="n">
        <f aca="true">IF(OR($D26&lt;&gt;"Serviço",AND(AUTOEVENTO="Manual",$M26=$A$15)),0,
         IF(OFFSET(CRONOPLE!$F$15,$M26-$A$15,CP$13)=0,10^12,OFFSET(CRONOPLE!$F$15,$M26-$A$15,CP$13)))</f>
        <v>24</v>
      </c>
      <c r="CQ26" s="353" t="n">
        <f aca="true">IF(OR($D26&lt;&gt;"Serviço",AND(AUTOEVENTO="Manual",$M26=$A$15)),0,
         IF(OFFSET(CRONOPLE!$F$15,$M26-$A$15,CQ$13)=0,10^12,OFFSET(CRONOPLE!$F$15,$M26-$A$15,CQ$13)))</f>
        <v>25</v>
      </c>
      <c r="CR26" s="353" t="n">
        <f aca="true">IF(OR($D26&lt;&gt;"Serviço",AND(AUTOEVENTO="Manual",$M26=$A$15)),0,
         IF(OFFSET(CRONOPLE!$F$15,$M26-$A$15,CR$13)=0,10^12,OFFSET(CRONOPLE!$F$15,$M26-$A$15,CR$13)))</f>
        <v>1000000000000</v>
      </c>
      <c r="CT26" s="354" t="n">
        <f aca="true">IF(OR($D26&lt;&gt;"Serviço",AND(AUTOEVENTO="Manual",$M26=$A$15),$M26&gt;(ROW(PLE.lastrow)-ROW(PLE.firstrow))),0,
           IF(OFFSET(PLE!$G$15,$M26-$A$15,CT$13)="",10^12,OFFSET(PLE!$G$15,$M26-$A$15,CT$13)))</f>
        <v>1000000000000</v>
      </c>
      <c r="CU26" s="354" t="n">
        <f aca="true">IF(OR($D26&lt;&gt;"Serviço",AND(AUTOEVENTO="Manual",$M26=$A$15),$M26&gt;(ROW(PLE.lastrow)-ROW(PLE.firstrow))),0,
           IF(OFFSET(PLE!$G$15,$M26-$A$15,CU$13)="",10^12,OFFSET(PLE!$G$15,$M26-$A$15,CU$13)))</f>
        <v>1000000000000</v>
      </c>
      <c r="CV26" s="354" t="n">
        <f aca="true">IF(OR($D26&lt;&gt;"Serviço",AND(AUTOEVENTO="Manual",$M26=$A$15),$M26&gt;(ROW(PLE.lastrow)-ROW(PLE.firstrow))),0,
           IF(OFFSET(PLE!$G$15,$M26-$A$15,CV$13)="",10^12,OFFSET(PLE!$G$15,$M26-$A$15,CV$13)))</f>
        <v>1000000000000</v>
      </c>
      <c r="CW26" s="354" t="n">
        <f aca="true">IF(OR($D26&lt;&gt;"Serviço",AND(AUTOEVENTO="Manual",$M26=$A$15),$M26&gt;(ROW(PLE.lastrow)-ROW(PLE.firstrow))),0,
           IF(OFFSET(PLE!$G$15,$M26-$A$15,CW$13)="",10^12,OFFSET(PLE!$G$15,$M26-$A$15,CW$13)))</f>
        <v>1000000000000</v>
      </c>
      <c r="CX26" s="354" t="n">
        <f aca="true">IF(OR($D26&lt;&gt;"Serviço",AND(AUTOEVENTO="Manual",$M26=$A$15),$M26&gt;(ROW(PLE.lastrow)-ROW(PLE.firstrow))),0,
           IF(OFFSET(PLE!$G$15,$M26-$A$15,CX$13)="",10^12,OFFSET(PLE!$G$15,$M26-$A$15,CX$13)))</f>
        <v>1000000000000</v>
      </c>
      <c r="CY26" s="354" t="n">
        <f aca="true">IF(OR($D26&lt;&gt;"Serviço",AND(AUTOEVENTO="Manual",$M26=$A$15),$M26&gt;(ROW(PLE.lastrow)-ROW(PLE.firstrow))),0,
           IF(OFFSET(PLE!$G$15,$M26-$A$15,CY$13)="",10^12,OFFSET(PLE!$G$15,$M26-$A$15,CY$13)))</f>
        <v>1000000000000</v>
      </c>
      <c r="CZ26" s="354" t="n">
        <f aca="true">IF(OR($D26&lt;&gt;"Serviço",AND(AUTOEVENTO="Manual",$M26=$A$15),$M26&gt;(ROW(PLE.lastrow)-ROW(PLE.firstrow))),0,
           IF(OFFSET(PLE!$G$15,$M26-$A$15,CZ$13)="",10^12,OFFSET(PLE!$G$15,$M26-$A$15,CZ$13)))</f>
        <v>1000000000000</v>
      </c>
      <c r="DA26" s="354" t="n">
        <f aca="true">IF(OR($D26&lt;&gt;"Serviço",AND(AUTOEVENTO="Manual",$M26=$A$15),$M26&gt;(ROW(PLE.lastrow)-ROW(PLE.firstrow))),0,
           IF(OFFSET(PLE!$G$15,$M26-$A$15,DA$13)="",10^12,OFFSET(PLE!$G$15,$M26-$A$15,DA$13)))</f>
        <v>1000000000000</v>
      </c>
      <c r="DB26" s="354" t="n">
        <f aca="true">IF(OR($D26&lt;&gt;"Serviço",AND(AUTOEVENTO="Manual",$M26=$A$15),$M26&gt;(ROW(PLE.lastrow)-ROW(PLE.firstrow))),0,
           IF(OFFSET(PLE!$G$15,$M26-$A$15,DB$13)="",10^12,OFFSET(PLE!$G$15,$M26-$A$15,DB$13)))</f>
        <v>1000000000000</v>
      </c>
      <c r="DC26" s="354" t="n">
        <f aca="true">IF(OR($D26&lt;&gt;"Serviço",AND(AUTOEVENTO="Manual",$M26=$A$15),$M26&gt;(ROW(PLE.lastrow)-ROW(PLE.firstrow))),0,
           IF(OFFSET(PLE!$G$15,$M26-$A$15,DC$13)="",10^12,OFFSET(PLE!$G$15,$M26-$A$15,DC$13)))</f>
        <v>1000000000000</v>
      </c>
      <c r="DD26" s="354" t="n">
        <f aca="true">IF(OR($D26&lt;&gt;"Serviço",AND(AUTOEVENTO="Manual",$M26=$A$15),$M26&gt;(ROW(PLE.lastrow)-ROW(PLE.firstrow))),0,
           IF(OFFSET(PLE!$G$15,$M26-$A$15,DD$13)="",10^12,OFFSET(PLE!$G$15,$M26-$A$15,DD$13)))</f>
        <v>1000000000000</v>
      </c>
      <c r="DE26" s="354" t="n">
        <f aca="true">IF(OR($D26&lt;&gt;"Serviço",AND(AUTOEVENTO="Manual",$M26=$A$15),$M26&gt;(ROW(PLE.lastrow)-ROW(PLE.firstrow))),0,
           IF(OFFSET(PLE!$G$15,$M26-$A$15,DE$13)="",10^12,OFFSET(PLE!$G$15,$M26-$A$15,DE$13)))</f>
        <v>1000000000000</v>
      </c>
      <c r="DF26" s="354" t="n">
        <f aca="true">IF(OR($D26&lt;&gt;"Serviço",AND(AUTOEVENTO="Manual",$M26=$A$15),$M26&gt;(ROW(PLE.lastrow)-ROW(PLE.firstrow))),0,
           IF(OFFSET(PLE!$G$15,$M26-$A$15,DF$13)="",10^12,OFFSET(PLE!$G$15,$M26-$A$15,DF$13)))</f>
        <v>1000000000000</v>
      </c>
      <c r="DG26" s="354" t="n">
        <f aca="true">IF(OR($D26&lt;&gt;"Serviço",AND(AUTOEVENTO="Manual",$M26=$A$15),$M26&gt;(ROW(PLE.lastrow)-ROW(PLE.firstrow))),0,
           IF(OFFSET(PLE!$G$15,$M26-$A$15,DG$13)="",10^12,OFFSET(PLE!$G$15,$M26-$A$15,DG$13)))</f>
        <v>1000000000000</v>
      </c>
      <c r="DH26" s="354" t="n">
        <f aca="true">IF(OR($D26&lt;&gt;"Serviço",AND(AUTOEVENTO="Manual",$M26=$A$15),$M26&gt;(ROW(PLE.lastrow)-ROW(PLE.firstrow))),0,
           IF(OFFSET(PLE!$G$15,$M26-$A$15,DH$13)="",10^12,OFFSET(PLE!$G$15,$M26-$A$15,DH$13)))</f>
        <v>1000000000000</v>
      </c>
      <c r="DI26" s="354" t="n">
        <f aca="true">IF(OR($D26&lt;&gt;"Serviço",AND(AUTOEVENTO="Manual",$M26=$A$15),$M26&gt;(ROW(PLE.lastrow)-ROW(PLE.firstrow))),0,
           IF(OFFSET(PLE!$G$15,$M26-$A$15,DI$13)="",10^12,OFFSET(PLE!$G$15,$M26-$A$15,DI$13)))</f>
        <v>1000000000000</v>
      </c>
      <c r="DJ26" s="354" t="n">
        <f aca="true">IF(OR($D26&lt;&gt;"Serviço",AND(AUTOEVENTO="Manual",$M26=$A$15),$M26&gt;(ROW(PLE.lastrow)-ROW(PLE.firstrow))),0,
           IF(OFFSET(PLE!$G$15,$M26-$A$15,DJ$13)="",10^12,OFFSET(PLE!$G$15,$M26-$A$15,DJ$13)))</f>
        <v>1000000000000</v>
      </c>
      <c r="DK26" s="354" t="n">
        <f aca="true">IF(OR($D26&lt;&gt;"Serviço",AND(AUTOEVENTO="Manual",$M26=$A$15),$M26&gt;(ROW(PLE.lastrow)-ROW(PLE.firstrow))),0,
           IF(OFFSET(PLE!$G$15,$M26-$A$15,DK$13)="",10^12,OFFSET(PLE!$G$15,$M26-$A$15,DK$13)))</f>
        <v>1000000000000</v>
      </c>
      <c r="DL26" s="354" t="n">
        <f aca="true">IF(OR($D26&lt;&gt;"Serviço",AND(AUTOEVENTO="Manual",$M26=$A$15),$M26&gt;(ROW(PLE.lastrow)-ROW(PLE.firstrow))),0,
           IF(OFFSET(PLE!$G$15,$M26-$A$15,DL$13)="",10^12,OFFSET(PLE!$G$15,$M26-$A$15,DL$13)))</f>
        <v>1000000000000</v>
      </c>
      <c r="DM26" s="354" t="n">
        <f aca="true">IF(OR($D26&lt;&gt;"Serviço",AND(AUTOEVENTO="Manual",$M26=$A$15),$M26&gt;(ROW(PLE.lastrow)-ROW(PLE.firstrow))),0,
           IF(OFFSET(PLE!$G$15,$M26-$A$15,DM$13)="",10^12,OFFSET(PLE!$G$15,$M26-$A$15,DM$13)))</f>
        <v>1000000000000</v>
      </c>
      <c r="DN26" s="354" t="n">
        <f aca="true">IF(OR($D26&lt;&gt;"Serviço",AND(AUTOEVENTO="Manual",$M26=$A$15),$M26&gt;(ROW(PLE.lastrow)-ROW(PLE.firstrow))),0,
           IF(OFFSET(PLE!$G$15,$M26-$A$15,DN$13)="",10^12,OFFSET(PLE!$G$15,$M26-$A$15,DN$13)))</f>
        <v>1000000000000</v>
      </c>
      <c r="DO26" s="354" t="n">
        <f aca="true">IF(OR($D26&lt;&gt;"Serviço",AND(AUTOEVENTO="Manual",$M26=$A$15),$M26&gt;(ROW(PLE.lastrow)-ROW(PLE.firstrow))),0,
           IF(OFFSET(PLE!$G$15,$M26-$A$15,DO$13)="",10^12,OFFSET(PLE!$G$15,$M26-$A$15,DO$13)))</f>
        <v>1000000000000</v>
      </c>
      <c r="DP26" s="354" t="n">
        <f aca="true">IF(OR($D26&lt;&gt;"Serviço",AND(AUTOEVENTO="Manual",$M26=$A$15),$M26&gt;(ROW(PLE.lastrow)-ROW(PLE.firstrow))),0,
           IF(OFFSET(PLE!$G$15,$M26-$A$15,DP$13)="",10^12,OFFSET(PLE!$G$15,$M26-$A$15,DP$13)))</f>
        <v>1000000000000</v>
      </c>
      <c r="DQ26" s="354" t="n">
        <f aca="true">IF(OR($D26&lt;&gt;"Serviço",AND(AUTOEVENTO="Manual",$M26=$A$15),$M26&gt;(ROW(PLE.lastrow)-ROW(PLE.firstrow))),0,
           IF(OFFSET(PLE!$G$15,$M26-$A$15,DQ$13)="",10^12,OFFSET(PLE!$G$15,$M26-$A$15,DQ$13)))</f>
        <v>1000000000000</v>
      </c>
      <c r="DR26" s="354" t="n">
        <f aca="true">IF(OR($D26&lt;&gt;"Serviço",AND(AUTOEVENTO="Manual",$M26=$A$15),$M26&gt;(ROW(PLE.lastrow)-ROW(PLE.firstrow))),0,
           IF(OFFSET(PLE!$G$15,$M26-$A$15,DR$13)="",10^12,OFFSET(PLE!$G$15,$M26-$A$15,DR$13)))</f>
        <v>1000000000000</v>
      </c>
      <c r="DS26" s="354" t="n">
        <f aca="true">IF(OR($D26&lt;&gt;"Serviço",AND(AUTOEVENTO="Manual",$M26=$A$15),$M26&gt;(ROW(PLE.lastrow)-ROW(PLE.firstrow))),0,
           IF(OFFSET(PLE!$G$15,$M26-$A$15,DS$13)="",10^12,OFFSET(PLE!$G$15,$M26-$A$15,DS$13)))</f>
        <v>1000000000000</v>
      </c>
    </row>
    <row r="27" customFormat="false" ht="12.75" hidden="false" customHeight="false" outlineLevel="0" collapsed="false">
      <c r="A27" s="50" t="str">
        <f aca="true">IFERROR(IF(AUTOEVENTO="Manual",IF(K27&lt;&gt;"",MIN(VALUE(LEFT(K27,FIND(".",K27)-1)),COUNTA(EVENTOS.Lista)),0),IF(OR($B27&gt;AUTOEVENTO,$B27="S",$B27=0),SUBSTITUTE(OFFSET($A27,-1,0),IF($D27="Serviço",".",""),""),ROW(A27)-ROW($A$15)&amp;".")),0)</f>
        <v>12.</v>
      </c>
      <c r="B27" s="50" t="n">
        <f aca="true">OFFSET(ORÇAMENTO!C$15,ROW(B27)-ROW(B$15),0)</f>
        <v>2</v>
      </c>
      <c r="C27" s="50" t="str">
        <f aca="true">OFFSET(ORÇAMENTO!L$15,ROW(C27)-ROW(C$15),0)</f>
        <v>F</v>
      </c>
      <c r="D27" s="201" t="str">
        <f aca="true">OFFSET(ORÇAMENTO!N$15,ROW(D27)-ROW(D$15),0)</f>
        <v>Nível 2</v>
      </c>
      <c r="E27" s="202" t="str">
        <f aca="true">OFFSET(ORÇAMENTO!O$15,ROW(E27)-ROW(E$15),0)</f>
        <v>1.3.</v>
      </c>
      <c r="F27" s="341" t="str">
        <f aca="true">OFFSET(ORÇAMENTO!R$15,ROW(F27)-ROW(F$15),0)</f>
        <v>FUNDAÇÕES E CONTENÇÕES</v>
      </c>
      <c r="G27" s="342" t="str">
        <f aca="true">IF($D27&lt;&gt;"Serviço","",OFFSET(ORÇAMENTO!S$15,ROW(G27)-ROW(G$15),0))</f>
        <v/>
      </c>
      <c r="H27" s="207" t="n">
        <f aca="true">IF($D27&lt;&gt;"Serviço",0,IF(ACOMPANHAMENTO="BM",ROUND(OFFSET(ORÇAMENTO!AJ$15,ROW(H27)-ROW(H$15),0),15-13*ORÇAMENTO!$AF$7),SUMPRODUCT(($Q$1:$AQ$1=1)*ROUND($Q27:$AQ27,15-13*ORÇAMENTO!$AF$7))))</f>
        <v>0</v>
      </c>
      <c r="I27" s="343"/>
      <c r="J27" s="344" t="str">
        <f aca="false">IF(OR(B27&lt;&gt;"S",CÁLCULO.FrentesPreenchidas=0),"",IF(AND(ACOMPANHAMENTO="PLE",AUTOEVENTO="Manual",OR(H27&gt;0,ORÇAMENTO!AC27="QUANT."),OR(K27="",M27=0,N27="")),"►",IF(AND(ACOMPANHAMENTO="PLE",ORÇAMENTO!AC27="QUANT."),"►►",IF(AND(COUNTIF($P$11:$AQ$11,"▼")=0,H27&gt;0,I27=""),"◄",""))))</f>
        <v/>
      </c>
      <c r="K27" s="345"/>
      <c r="L27" s="346" t="s">
        <v>876</v>
      </c>
      <c r="M27" s="347" t="str">
        <f aca="true">IF($D27&lt;&gt;"Serviço","",
          IF(AUTOEVENTO="manual",$A27,
                IF(ISERROR(MATCH($A27,$A$15:OFFSET($A27,-1,0),0)),MAX($M$15:OFFSET(M27,-1,0))+1,
                      INDEX($M$15:OFFSET(M27,-1,0),MATCH($A27,$A$15:OFFSET($A27,-1,0),0)))))</f>
        <v/>
      </c>
      <c r="N27" s="348" t="str">
        <f aca="true">IF($D27&lt;&gt;"Serviço","",
         IF(AUTOEVENTO="Manual",
                IF($A27=0,"&lt;-- defina o número do agrupador",
                       OFFSET(EVENTOS!$D$15,$A27-$A$15,0)),
                OFFSET($F$15,$A27,0)))</f>
        <v/>
      </c>
      <c r="O27" s="349"/>
      <c r="Q27" s="349"/>
      <c r="R27" s="350"/>
      <c r="S27" s="350"/>
      <c r="T27" s="350"/>
      <c r="U27" s="350"/>
      <c r="V27" s="350"/>
      <c r="W27" s="350"/>
      <c r="X27" s="350"/>
      <c r="Y27" s="350"/>
      <c r="Z27" s="351"/>
      <c r="AA27" s="350"/>
      <c r="AB27" s="350"/>
      <c r="AC27" s="350"/>
      <c r="AD27" s="350"/>
      <c r="AE27" s="350"/>
      <c r="AF27" s="350"/>
      <c r="AG27" s="350"/>
      <c r="AH27" s="351"/>
      <c r="AI27" s="350"/>
      <c r="AJ27" s="350"/>
      <c r="AK27" s="350"/>
      <c r="AL27" s="350"/>
      <c r="AM27" s="350"/>
      <c r="AN27" s="350"/>
      <c r="AO27" s="350"/>
      <c r="AP27" s="351"/>
      <c r="AR27" s="352" t="n">
        <f aca="true">IF(AND($D27="Serviço",AR$12&lt;&gt;0,$H27&gt;0,OR(AUTOEVENTO&lt;&gt;"manual",$M27&lt;&gt;$A$15)),
        IF(Import.TipoArredondamento&lt;&gt;"TransfereGOV",
              ROUND(OFFSET($P27,0,AR$13),15-13*ORÇAMENTO!$AF$7)/$H27*OFFSET(ORÇAMENTO!$X$15,ROW(AR27)-ROW(AR$15),0),
              ROUND(ROUND(OFFSET($P27,0,AR$13),15-13*ORÇAMENTO!$AF$7)*OFFSET(ORÇAMENTO!$W$15,ROW(AR27)-ROW(AR$15),0),15-13*ORÇAMENTO!$AF$11)),
         0)</f>
        <v>0</v>
      </c>
      <c r="AS27" s="352" t="n">
        <f aca="true">IF(AND($D27="Serviço",AS$12&lt;&gt;0,$H27&gt;0,OR(AUTOEVENTO&lt;&gt;"manual",$M27&lt;&gt;$A$15)),
        IF(Import.TipoArredondamento&lt;&gt;"TransfereGOV",
              ROUND(OFFSET($P27,0,AS$13),15-13*ORÇAMENTO!$AF$7)/$H27*OFFSET(ORÇAMENTO!$X$15,ROW(AS27)-ROW(AS$15),0),
              ROUND(ROUND(OFFSET($P27,0,AS$13),15-13*ORÇAMENTO!$AF$7)*OFFSET(ORÇAMENTO!$W$15,ROW(AS27)-ROW(AS$15),0),15-13*ORÇAMENTO!$AF$11)),
         0)</f>
        <v>0</v>
      </c>
      <c r="AT27" s="352" t="n">
        <f aca="true">IF(AND($D27="Serviço",AT$12&lt;&gt;0,$H27&gt;0,OR(AUTOEVENTO&lt;&gt;"manual",$M27&lt;&gt;$A$15)),
        IF(Import.TipoArredondamento&lt;&gt;"TransfereGOV",
              ROUND(OFFSET($P27,0,AT$13),15-13*ORÇAMENTO!$AF$7)/$H27*OFFSET(ORÇAMENTO!$X$15,ROW(AT27)-ROW(AT$15),0),
              ROUND(ROUND(OFFSET($P27,0,AT$13),15-13*ORÇAMENTO!$AF$7)*OFFSET(ORÇAMENTO!$W$15,ROW(AT27)-ROW(AT$15),0),15-13*ORÇAMENTO!$AF$11)),
         0)</f>
        <v>0</v>
      </c>
      <c r="AU27" s="352" t="n">
        <f aca="true">IF(AND($D27="Serviço",AU$12&lt;&gt;0,$H27&gt;0,OR(AUTOEVENTO&lt;&gt;"manual",$M27&lt;&gt;$A$15)),
        IF(Import.TipoArredondamento&lt;&gt;"TransfereGOV",
              ROUND(OFFSET($P27,0,AU$13),15-13*ORÇAMENTO!$AF$7)/$H27*OFFSET(ORÇAMENTO!$X$15,ROW(AU27)-ROW(AU$15),0),
              ROUND(ROUND(OFFSET($P27,0,AU$13),15-13*ORÇAMENTO!$AF$7)*OFFSET(ORÇAMENTO!$W$15,ROW(AU27)-ROW(AU$15),0),15-13*ORÇAMENTO!$AF$11)),
         0)</f>
        <v>0</v>
      </c>
      <c r="AV27" s="352" t="n">
        <f aca="true">IF(AND($D27="Serviço",AV$12&lt;&gt;0,$H27&gt;0,OR(AUTOEVENTO&lt;&gt;"manual",$M27&lt;&gt;$A$15)),
        IF(Import.TipoArredondamento&lt;&gt;"TransfereGOV",
              ROUND(OFFSET($P27,0,AV$13),15-13*ORÇAMENTO!$AF$7)/$H27*OFFSET(ORÇAMENTO!$X$15,ROW(AV27)-ROW(AV$15),0),
              ROUND(ROUND(OFFSET($P27,0,AV$13),15-13*ORÇAMENTO!$AF$7)*OFFSET(ORÇAMENTO!$W$15,ROW(AV27)-ROW(AV$15),0),15-13*ORÇAMENTO!$AF$11)),
         0)</f>
        <v>0</v>
      </c>
      <c r="AW27" s="352" t="n">
        <f aca="true">IF(AND($D27="Serviço",AW$12&lt;&gt;0,$H27&gt;0,OR(AUTOEVENTO&lt;&gt;"manual",$M27&lt;&gt;$A$15)),
        IF(Import.TipoArredondamento&lt;&gt;"TransfereGOV",
              ROUND(OFFSET($P27,0,AW$13),15-13*ORÇAMENTO!$AF$7)/$H27*OFFSET(ORÇAMENTO!$X$15,ROW(AW27)-ROW(AW$15),0),
              ROUND(ROUND(OFFSET($P27,0,AW$13),15-13*ORÇAMENTO!$AF$7)*OFFSET(ORÇAMENTO!$W$15,ROW(AW27)-ROW(AW$15),0),15-13*ORÇAMENTO!$AF$11)),
         0)</f>
        <v>0</v>
      </c>
      <c r="AX27" s="352" t="n">
        <f aca="true">IF(AND($D27="Serviço",AX$12&lt;&gt;0,$H27&gt;0,OR(AUTOEVENTO&lt;&gt;"manual",$M27&lt;&gt;$A$15)),
        IF(Import.TipoArredondamento&lt;&gt;"TransfereGOV",
              ROUND(OFFSET($P27,0,AX$13),15-13*ORÇAMENTO!$AF$7)/$H27*OFFSET(ORÇAMENTO!$X$15,ROW(AX27)-ROW(AX$15),0),
              ROUND(ROUND(OFFSET($P27,0,AX$13),15-13*ORÇAMENTO!$AF$7)*OFFSET(ORÇAMENTO!$W$15,ROW(AX27)-ROW(AX$15),0),15-13*ORÇAMENTO!$AF$11)),
         0)</f>
        <v>0</v>
      </c>
      <c r="AY27" s="352" t="n">
        <f aca="true">IF(AND($D27="Serviço",AY$12&lt;&gt;0,$H27&gt;0,OR(AUTOEVENTO&lt;&gt;"manual",$M27&lt;&gt;$A$15)),
        IF(Import.TipoArredondamento&lt;&gt;"TransfereGOV",
              ROUND(OFFSET($P27,0,AY$13),15-13*ORÇAMENTO!$AF$7)/$H27*OFFSET(ORÇAMENTO!$X$15,ROW(AY27)-ROW(AY$15),0),
              ROUND(ROUND(OFFSET($P27,0,AY$13),15-13*ORÇAMENTO!$AF$7)*OFFSET(ORÇAMENTO!$W$15,ROW(AY27)-ROW(AY$15),0),15-13*ORÇAMENTO!$AF$11)),
         0)</f>
        <v>0</v>
      </c>
      <c r="AZ27" s="352" t="n">
        <f aca="true">IF(AND($D27="Serviço",AZ$12&lt;&gt;0,$H27&gt;0,OR(AUTOEVENTO&lt;&gt;"manual",$M27&lt;&gt;$A$15)),
        IF(Import.TipoArredondamento&lt;&gt;"TransfereGOV",
              ROUND(OFFSET($P27,0,AZ$13),15-13*ORÇAMENTO!$AF$7)/$H27*OFFSET(ORÇAMENTO!$X$15,ROW(AZ27)-ROW(AZ$15),0),
              ROUND(ROUND(OFFSET($P27,0,AZ$13),15-13*ORÇAMENTO!$AF$7)*OFFSET(ORÇAMENTO!$W$15,ROW(AZ27)-ROW(AZ$15),0),15-13*ORÇAMENTO!$AF$11)),
         0)</f>
        <v>0</v>
      </c>
      <c r="BA27" s="352" t="n">
        <f aca="true">IF(AND($D27="Serviço",BA$12&lt;&gt;0,$H27&gt;0,OR(AUTOEVENTO&lt;&gt;"manual",$M27&lt;&gt;$A$15)),
        IF(Import.TipoArredondamento&lt;&gt;"TransfereGOV",
              ROUND(OFFSET($P27,0,BA$13),15-13*ORÇAMENTO!$AF$7)/$H27*OFFSET(ORÇAMENTO!$X$15,ROW(BA27)-ROW(BA$15),0),
              ROUND(ROUND(OFFSET($P27,0,BA$13),15-13*ORÇAMENTO!$AF$7)*OFFSET(ORÇAMENTO!$W$15,ROW(BA27)-ROW(BA$15),0),15-13*ORÇAMENTO!$AF$11)),
         0)</f>
        <v>0</v>
      </c>
      <c r="BB27" s="352" t="n">
        <f aca="true">IF(AND($D27="Serviço",BB$12&lt;&gt;0,$H27&gt;0,OR(AUTOEVENTO&lt;&gt;"manual",$M27&lt;&gt;$A$15)),
        IF(Import.TipoArredondamento&lt;&gt;"TransfereGOV",
              ROUND(OFFSET($P27,0,BB$13),15-13*ORÇAMENTO!$AF$7)/$H27*OFFSET(ORÇAMENTO!$X$15,ROW(BB27)-ROW(BB$15),0),
              ROUND(ROUND(OFFSET($P27,0,BB$13),15-13*ORÇAMENTO!$AF$7)*OFFSET(ORÇAMENTO!$W$15,ROW(BB27)-ROW(BB$15),0),15-13*ORÇAMENTO!$AF$11)),
         0)</f>
        <v>0</v>
      </c>
      <c r="BC27" s="352" t="n">
        <f aca="true">IF(AND($D27="Serviço",BC$12&lt;&gt;0,$H27&gt;0,OR(AUTOEVENTO&lt;&gt;"manual",$M27&lt;&gt;$A$15)),
        IF(Import.TipoArredondamento&lt;&gt;"TransfereGOV",
              ROUND(OFFSET($P27,0,BC$13),15-13*ORÇAMENTO!$AF$7)/$H27*OFFSET(ORÇAMENTO!$X$15,ROW(BC27)-ROW(BC$15),0),
              ROUND(ROUND(OFFSET($P27,0,BC$13),15-13*ORÇAMENTO!$AF$7)*OFFSET(ORÇAMENTO!$W$15,ROW(BC27)-ROW(BC$15),0),15-13*ORÇAMENTO!$AF$11)),
         0)</f>
        <v>0</v>
      </c>
      <c r="BD27" s="352" t="n">
        <f aca="true">IF(AND($D27="Serviço",BD$12&lt;&gt;0,$H27&gt;0,OR(AUTOEVENTO&lt;&gt;"manual",$M27&lt;&gt;$A$15)),
        IF(Import.TipoArredondamento&lt;&gt;"TransfereGOV",
              ROUND(OFFSET($P27,0,BD$13),15-13*ORÇAMENTO!$AF$7)/$H27*OFFSET(ORÇAMENTO!$X$15,ROW(BD27)-ROW(BD$15),0),
              ROUND(ROUND(OFFSET($P27,0,BD$13),15-13*ORÇAMENTO!$AF$7)*OFFSET(ORÇAMENTO!$W$15,ROW(BD27)-ROW(BD$15),0),15-13*ORÇAMENTO!$AF$11)),
         0)</f>
        <v>0</v>
      </c>
      <c r="BE27" s="352" t="n">
        <f aca="true">IF(AND($D27="Serviço",BE$12&lt;&gt;0,$H27&gt;0,OR(AUTOEVENTO&lt;&gt;"manual",$M27&lt;&gt;$A$15)),
        IF(Import.TipoArredondamento&lt;&gt;"TransfereGOV",
              ROUND(OFFSET($P27,0,BE$13),15-13*ORÇAMENTO!$AF$7)/$H27*OFFSET(ORÇAMENTO!$X$15,ROW(BE27)-ROW(BE$15),0),
              ROUND(ROUND(OFFSET($P27,0,BE$13),15-13*ORÇAMENTO!$AF$7)*OFFSET(ORÇAMENTO!$W$15,ROW(BE27)-ROW(BE$15),0),15-13*ORÇAMENTO!$AF$11)),
         0)</f>
        <v>0</v>
      </c>
      <c r="BF27" s="352" t="n">
        <f aca="true">IF(AND($D27="Serviço",BF$12&lt;&gt;0,$H27&gt;0,OR(AUTOEVENTO&lt;&gt;"manual",$M27&lt;&gt;$A$15)),
        IF(Import.TipoArredondamento&lt;&gt;"TransfereGOV",
              ROUND(OFFSET($P27,0,BF$13),15-13*ORÇAMENTO!$AF$7)/$H27*OFFSET(ORÇAMENTO!$X$15,ROW(BF27)-ROW(BF$15),0),
              ROUND(ROUND(OFFSET($P27,0,BF$13),15-13*ORÇAMENTO!$AF$7)*OFFSET(ORÇAMENTO!$W$15,ROW(BF27)-ROW(BF$15),0),15-13*ORÇAMENTO!$AF$11)),
         0)</f>
        <v>0</v>
      </c>
      <c r="BG27" s="352" t="n">
        <f aca="true">IF(AND($D27="Serviço",BG$12&lt;&gt;0,$H27&gt;0,OR(AUTOEVENTO&lt;&gt;"manual",$M27&lt;&gt;$A$15)),
        IF(Import.TipoArredondamento&lt;&gt;"TransfereGOV",
              ROUND(OFFSET($P27,0,BG$13),15-13*ORÇAMENTO!$AF$7)/$H27*OFFSET(ORÇAMENTO!$X$15,ROW(BG27)-ROW(BG$15),0),
              ROUND(ROUND(OFFSET($P27,0,BG$13),15-13*ORÇAMENTO!$AF$7)*OFFSET(ORÇAMENTO!$W$15,ROW(BG27)-ROW(BG$15),0),15-13*ORÇAMENTO!$AF$11)),
         0)</f>
        <v>0</v>
      </c>
      <c r="BH27" s="352" t="n">
        <f aca="true">IF(AND($D27="Serviço",BH$12&lt;&gt;0,$H27&gt;0,OR(AUTOEVENTO&lt;&gt;"manual",$M27&lt;&gt;$A$15)),
        IF(Import.TipoArredondamento&lt;&gt;"TransfereGOV",
              ROUND(OFFSET($P27,0,BH$13),15-13*ORÇAMENTO!$AF$7)/$H27*OFFSET(ORÇAMENTO!$X$15,ROW(BH27)-ROW(BH$15),0),
              ROUND(ROUND(OFFSET($P27,0,BH$13),15-13*ORÇAMENTO!$AF$7)*OFFSET(ORÇAMENTO!$W$15,ROW(BH27)-ROW(BH$15),0),15-13*ORÇAMENTO!$AF$11)),
         0)</f>
        <v>0</v>
      </c>
      <c r="BI27" s="352" t="n">
        <f aca="true">IF(AND($D27="Serviço",BI$12&lt;&gt;0,$H27&gt;0,OR(AUTOEVENTO&lt;&gt;"manual",$M27&lt;&gt;$A$15)),
        IF(Import.TipoArredondamento&lt;&gt;"TransfereGOV",
              ROUND(OFFSET($P27,0,BI$13),15-13*ORÇAMENTO!$AF$7)/$H27*OFFSET(ORÇAMENTO!$X$15,ROW(BI27)-ROW(BI$15),0),
              ROUND(ROUND(OFFSET($P27,0,BI$13),15-13*ORÇAMENTO!$AF$7)*OFFSET(ORÇAMENTO!$W$15,ROW(BI27)-ROW(BI$15),0),15-13*ORÇAMENTO!$AF$11)),
         0)</f>
        <v>0</v>
      </c>
      <c r="BJ27" s="352" t="n">
        <f aca="true">IF(AND($D27="Serviço",BJ$12&lt;&gt;0,$H27&gt;0,OR(AUTOEVENTO&lt;&gt;"manual",$M27&lt;&gt;$A$15)),
        IF(Import.TipoArredondamento&lt;&gt;"TransfereGOV",
              ROUND(OFFSET($P27,0,BJ$13),15-13*ORÇAMENTO!$AF$7)/$H27*OFFSET(ORÇAMENTO!$X$15,ROW(BJ27)-ROW(BJ$15),0),
              ROUND(ROUND(OFFSET($P27,0,BJ$13),15-13*ORÇAMENTO!$AF$7)*OFFSET(ORÇAMENTO!$W$15,ROW(BJ27)-ROW(BJ$15),0),15-13*ORÇAMENTO!$AF$11)),
         0)</f>
        <v>0</v>
      </c>
      <c r="BK27" s="352" t="n">
        <f aca="true">IF(AND($D27="Serviço",BK$12&lt;&gt;0,$H27&gt;0,OR(AUTOEVENTO&lt;&gt;"manual",$M27&lt;&gt;$A$15)),
        IF(Import.TipoArredondamento&lt;&gt;"TransfereGOV",
              ROUND(OFFSET($P27,0,BK$13),15-13*ORÇAMENTO!$AF$7)/$H27*OFFSET(ORÇAMENTO!$X$15,ROW(BK27)-ROW(BK$15),0),
              ROUND(ROUND(OFFSET($P27,0,BK$13),15-13*ORÇAMENTO!$AF$7)*OFFSET(ORÇAMENTO!$W$15,ROW(BK27)-ROW(BK$15),0),15-13*ORÇAMENTO!$AF$11)),
         0)</f>
        <v>0</v>
      </c>
      <c r="BL27" s="352" t="n">
        <f aca="true">IF(AND($D27="Serviço",BL$12&lt;&gt;0,$H27&gt;0,OR(AUTOEVENTO&lt;&gt;"manual",$M27&lt;&gt;$A$15)),
        IF(Import.TipoArredondamento&lt;&gt;"TransfereGOV",
              ROUND(OFFSET($P27,0,BL$13),15-13*ORÇAMENTO!$AF$7)/$H27*OFFSET(ORÇAMENTO!$X$15,ROW(BL27)-ROW(BL$15),0),
              ROUND(ROUND(OFFSET($P27,0,BL$13),15-13*ORÇAMENTO!$AF$7)*OFFSET(ORÇAMENTO!$W$15,ROW(BL27)-ROW(BL$15),0),15-13*ORÇAMENTO!$AF$11)),
         0)</f>
        <v>0</v>
      </c>
      <c r="BM27" s="352" t="n">
        <f aca="true">IF(AND($D27="Serviço",BM$12&lt;&gt;0,$H27&gt;0,OR(AUTOEVENTO&lt;&gt;"manual",$M27&lt;&gt;$A$15)),
        IF(Import.TipoArredondamento&lt;&gt;"TransfereGOV",
              ROUND(OFFSET($P27,0,BM$13),15-13*ORÇAMENTO!$AF$7)/$H27*OFFSET(ORÇAMENTO!$X$15,ROW(BM27)-ROW(BM$15),0),
              ROUND(ROUND(OFFSET($P27,0,BM$13),15-13*ORÇAMENTO!$AF$7)*OFFSET(ORÇAMENTO!$W$15,ROW(BM27)-ROW(BM$15),0),15-13*ORÇAMENTO!$AF$11)),
         0)</f>
        <v>0</v>
      </c>
      <c r="BN27" s="352" t="n">
        <f aca="true">IF(AND($D27="Serviço",BN$12&lt;&gt;0,$H27&gt;0,OR(AUTOEVENTO&lt;&gt;"manual",$M27&lt;&gt;$A$15)),
        IF(Import.TipoArredondamento&lt;&gt;"TransfereGOV",
              ROUND(OFFSET($P27,0,BN$13),15-13*ORÇAMENTO!$AF$7)/$H27*OFFSET(ORÇAMENTO!$X$15,ROW(BN27)-ROW(BN$15),0),
              ROUND(ROUND(OFFSET($P27,0,BN$13),15-13*ORÇAMENTO!$AF$7)*OFFSET(ORÇAMENTO!$W$15,ROW(BN27)-ROW(BN$15),0),15-13*ORÇAMENTO!$AF$11)),
         0)</f>
        <v>0</v>
      </c>
      <c r="BO27" s="352" t="n">
        <f aca="true">IF(AND($D27="Serviço",BO$12&lt;&gt;0,$H27&gt;0,OR(AUTOEVENTO&lt;&gt;"manual",$M27&lt;&gt;$A$15)),
        IF(Import.TipoArredondamento&lt;&gt;"TransfereGOV",
              ROUND(OFFSET($P27,0,BO$13),15-13*ORÇAMENTO!$AF$7)/$H27*OFFSET(ORÇAMENTO!$X$15,ROW(BO27)-ROW(BO$15),0),
              ROUND(ROUND(OFFSET($P27,0,BO$13),15-13*ORÇAMENTO!$AF$7)*OFFSET(ORÇAMENTO!$W$15,ROW(BO27)-ROW(BO$15),0),15-13*ORÇAMENTO!$AF$11)),
         0)</f>
        <v>0</v>
      </c>
      <c r="BP27" s="352" t="n">
        <f aca="true">IF(AND($D27="Serviço",BP$12&lt;&gt;0,$H27&gt;0,OR(AUTOEVENTO&lt;&gt;"manual",$M27&lt;&gt;$A$15)),
        IF(Import.TipoArredondamento&lt;&gt;"TransfereGOV",
              ROUND(OFFSET($P27,0,BP$13),15-13*ORÇAMENTO!$AF$7)/$H27*OFFSET(ORÇAMENTO!$X$15,ROW(BP27)-ROW(BP$15),0),
              ROUND(ROUND(OFFSET($P27,0,BP$13),15-13*ORÇAMENTO!$AF$7)*OFFSET(ORÇAMENTO!$W$15,ROW(BP27)-ROW(BP$15),0),15-13*ORÇAMENTO!$AF$11)),
         0)</f>
        <v>0</v>
      </c>
      <c r="BQ27" s="352" t="n">
        <f aca="true">IF(AND($D27="Serviço",BQ$12&lt;&gt;0,$H27&gt;0,OR(AUTOEVENTO&lt;&gt;"manual",$M27&lt;&gt;$A$15)),
        IF(Import.TipoArredondamento&lt;&gt;"TransfereGOV",
              ROUND(OFFSET($P27,0,BQ$13),15-13*ORÇAMENTO!$AF$7)/$H27*OFFSET(ORÇAMENTO!$X$15,ROW(BQ27)-ROW(BQ$15),0),
              ROUND(ROUND(OFFSET($P27,0,BQ$13),15-13*ORÇAMENTO!$AF$7)*OFFSET(ORÇAMENTO!$W$15,ROW(BQ27)-ROW(BQ$15),0),15-13*ORÇAMENTO!$AF$11)),
         0)</f>
        <v>0</v>
      </c>
      <c r="BS27" s="353" t="n">
        <f aca="true">IF(OR($D27&lt;&gt;"Serviço",AND(AUTOEVENTO="Manual",$M27=$A$15)),0,
         IF(OFFSET(CRONOPLE!$F$15,$M27-$A$15,BS$13)=0,10^12,OFFSET(CRONOPLE!$F$15,$M27-$A$15,BS$13)))</f>
        <v>0</v>
      </c>
      <c r="BT27" s="353" t="n">
        <f aca="true">IF(OR($D27&lt;&gt;"Serviço",AND(AUTOEVENTO="Manual",$M27=$A$15)),0,
         IF(OFFSET(CRONOPLE!$F$15,$M27-$A$15,BT$13)=0,10^12,OFFSET(CRONOPLE!$F$15,$M27-$A$15,BT$13)))</f>
        <v>0</v>
      </c>
      <c r="BU27" s="353" t="n">
        <f aca="true">IF(OR($D27&lt;&gt;"Serviço",AND(AUTOEVENTO="Manual",$M27=$A$15)),0,
         IF(OFFSET(CRONOPLE!$F$15,$M27-$A$15,BU$13)=0,10^12,OFFSET(CRONOPLE!$F$15,$M27-$A$15,BU$13)))</f>
        <v>0</v>
      </c>
      <c r="BV27" s="353" t="n">
        <f aca="true">IF(OR($D27&lt;&gt;"Serviço",AND(AUTOEVENTO="Manual",$M27=$A$15)),0,
         IF(OFFSET(CRONOPLE!$F$15,$M27-$A$15,BV$13)=0,10^12,OFFSET(CRONOPLE!$F$15,$M27-$A$15,BV$13)))</f>
        <v>0</v>
      </c>
      <c r="BW27" s="353" t="n">
        <f aca="true">IF(OR($D27&lt;&gt;"Serviço",AND(AUTOEVENTO="Manual",$M27=$A$15)),0,
         IF(OFFSET(CRONOPLE!$F$15,$M27-$A$15,BW$13)=0,10^12,OFFSET(CRONOPLE!$F$15,$M27-$A$15,BW$13)))</f>
        <v>0</v>
      </c>
      <c r="BX27" s="353" t="n">
        <f aca="true">IF(OR($D27&lt;&gt;"Serviço",AND(AUTOEVENTO="Manual",$M27=$A$15)),0,
         IF(OFFSET(CRONOPLE!$F$15,$M27-$A$15,BX$13)=0,10^12,OFFSET(CRONOPLE!$F$15,$M27-$A$15,BX$13)))</f>
        <v>0</v>
      </c>
      <c r="BY27" s="353" t="n">
        <f aca="true">IF(OR($D27&lt;&gt;"Serviço",AND(AUTOEVENTO="Manual",$M27=$A$15)),0,
         IF(OFFSET(CRONOPLE!$F$15,$M27-$A$15,BY$13)=0,10^12,OFFSET(CRONOPLE!$F$15,$M27-$A$15,BY$13)))</f>
        <v>0</v>
      </c>
      <c r="BZ27" s="353" t="n">
        <f aca="true">IF(OR($D27&lt;&gt;"Serviço",AND(AUTOEVENTO="Manual",$M27=$A$15)),0,
         IF(OFFSET(CRONOPLE!$F$15,$M27-$A$15,BZ$13)=0,10^12,OFFSET(CRONOPLE!$F$15,$M27-$A$15,BZ$13)))</f>
        <v>0</v>
      </c>
      <c r="CA27" s="353" t="n">
        <f aca="true">IF(OR($D27&lt;&gt;"Serviço",AND(AUTOEVENTO="Manual",$M27=$A$15)),0,
         IF(OFFSET(CRONOPLE!$F$15,$M27-$A$15,CA$13)=0,10^12,OFFSET(CRONOPLE!$F$15,$M27-$A$15,CA$13)))</f>
        <v>0</v>
      </c>
      <c r="CB27" s="353" t="n">
        <f aca="true">IF(OR($D27&lt;&gt;"Serviço",AND(AUTOEVENTO="Manual",$M27=$A$15)),0,
         IF(OFFSET(CRONOPLE!$F$15,$M27-$A$15,CB$13)=0,10^12,OFFSET(CRONOPLE!$F$15,$M27-$A$15,CB$13)))</f>
        <v>0</v>
      </c>
      <c r="CC27" s="353" t="n">
        <f aca="true">IF(OR($D27&lt;&gt;"Serviço",AND(AUTOEVENTO="Manual",$M27=$A$15)),0,
         IF(OFFSET(CRONOPLE!$F$15,$M27-$A$15,CC$13)=0,10^12,OFFSET(CRONOPLE!$F$15,$M27-$A$15,CC$13)))</f>
        <v>0</v>
      </c>
      <c r="CD27" s="353" t="n">
        <f aca="true">IF(OR($D27&lt;&gt;"Serviço",AND(AUTOEVENTO="Manual",$M27=$A$15)),0,
         IF(OFFSET(CRONOPLE!$F$15,$M27-$A$15,CD$13)=0,10^12,OFFSET(CRONOPLE!$F$15,$M27-$A$15,CD$13)))</f>
        <v>0</v>
      </c>
      <c r="CE27" s="353" t="n">
        <f aca="true">IF(OR($D27&lt;&gt;"Serviço",AND(AUTOEVENTO="Manual",$M27=$A$15)),0,
         IF(OFFSET(CRONOPLE!$F$15,$M27-$A$15,CE$13)=0,10^12,OFFSET(CRONOPLE!$F$15,$M27-$A$15,CE$13)))</f>
        <v>0</v>
      </c>
      <c r="CF27" s="353" t="n">
        <f aca="true">IF(OR($D27&lt;&gt;"Serviço",AND(AUTOEVENTO="Manual",$M27=$A$15)),0,
         IF(OFFSET(CRONOPLE!$F$15,$M27-$A$15,CF$13)=0,10^12,OFFSET(CRONOPLE!$F$15,$M27-$A$15,CF$13)))</f>
        <v>0</v>
      </c>
      <c r="CG27" s="353" t="n">
        <f aca="true">IF(OR($D27&lt;&gt;"Serviço",AND(AUTOEVENTO="Manual",$M27=$A$15)),0,
         IF(OFFSET(CRONOPLE!$F$15,$M27-$A$15,CG$13)=0,10^12,OFFSET(CRONOPLE!$F$15,$M27-$A$15,CG$13)))</f>
        <v>0</v>
      </c>
      <c r="CH27" s="353" t="n">
        <f aca="true">IF(OR($D27&lt;&gt;"Serviço",AND(AUTOEVENTO="Manual",$M27=$A$15)),0,
         IF(OFFSET(CRONOPLE!$F$15,$M27-$A$15,CH$13)=0,10^12,OFFSET(CRONOPLE!$F$15,$M27-$A$15,CH$13)))</f>
        <v>0</v>
      </c>
      <c r="CI27" s="353" t="n">
        <f aca="true">IF(OR($D27&lt;&gt;"Serviço",AND(AUTOEVENTO="Manual",$M27=$A$15)),0,
         IF(OFFSET(CRONOPLE!$F$15,$M27-$A$15,CI$13)=0,10^12,OFFSET(CRONOPLE!$F$15,$M27-$A$15,CI$13)))</f>
        <v>0</v>
      </c>
      <c r="CJ27" s="353" t="n">
        <f aca="true">IF(OR($D27&lt;&gt;"Serviço",AND(AUTOEVENTO="Manual",$M27=$A$15)),0,
         IF(OFFSET(CRONOPLE!$F$15,$M27-$A$15,CJ$13)=0,10^12,OFFSET(CRONOPLE!$F$15,$M27-$A$15,CJ$13)))</f>
        <v>0</v>
      </c>
      <c r="CK27" s="353" t="n">
        <f aca="true">IF(OR($D27&lt;&gt;"Serviço",AND(AUTOEVENTO="Manual",$M27=$A$15)),0,
         IF(OFFSET(CRONOPLE!$F$15,$M27-$A$15,CK$13)=0,10^12,OFFSET(CRONOPLE!$F$15,$M27-$A$15,CK$13)))</f>
        <v>0</v>
      </c>
      <c r="CL27" s="353" t="n">
        <f aca="true">IF(OR($D27&lt;&gt;"Serviço",AND(AUTOEVENTO="Manual",$M27=$A$15)),0,
         IF(OFFSET(CRONOPLE!$F$15,$M27-$A$15,CL$13)=0,10^12,OFFSET(CRONOPLE!$F$15,$M27-$A$15,CL$13)))</f>
        <v>0</v>
      </c>
      <c r="CM27" s="353" t="n">
        <f aca="true">IF(OR($D27&lt;&gt;"Serviço",AND(AUTOEVENTO="Manual",$M27=$A$15)),0,
         IF(OFFSET(CRONOPLE!$F$15,$M27-$A$15,CM$13)=0,10^12,OFFSET(CRONOPLE!$F$15,$M27-$A$15,CM$13)))</f>
        <v>0</v>
      </c>
      <c r="CN27" s="353" t="n">
        <f aca="true">IF(OR($D27&lt;&gt;"Serviço",AND(AUTOEVENTO="Manual",$M27=$A$15)),0,
         IF(OFFSET(CRONOPLE!$F$15,$M27-$A$15,CN$13)=0,10^12,OFFSET(CRONOPLE!$F$15,$M27-$A$15,CN$13)))</f>
        <v>0</v>
      </c>
      <c r="CO27" s="353" t="n">
        <f aca="true">IF(OR($D27&lt;&gt;"Serviço",AND(AUTOEVENTO="Manual",$M27=$A$15)),0,
         IF(OFFSET(CRONOPLE!$F$15,$M27-$A$15,CO$13)=0,10^12,OFFSET(CRONOPLE!$F$15,$M27-$A$15,CO$13)))</f>
        <v>0</v>
      </c>
      <c r="CP27" s="353" t="n">
        <f aca="true">IF(OR($D27&lt;&gt;"Serviço",AND(AUTOEVENTO="Manual",$M27=$A$15)),0,
         IF(OFFSET(CRONOPLE!$F$15,$M27-$A$15,CP$13)=0,10^12,OFFSET(CRONOPLE!$F$15,$M27-$A$15,CP$13)))</f>
        <v>0</v>
      </c>
      <c r="CQ27" s="353" t="n">
        <f aca="true">IF(OR($D27&lt;&gt;"Serviço",AND(AUTOEVENTO="Manual",$M27=$A$15)),0,
         IF(OFFSET(CRONOPLE!$F$15,$M27-$A$15,CQ$13)=0,10^12,OFFSET(CRONOPLE!$F$15,$M27-$A$15,CQ$13)))</f>
        <v>0</v>
      </c>
      <c r="CR27" s="353" t="n">
        <f aca="true">IF(OR($D27&lt;&gt;"Serviço",AND(AUTOEVENTO="Manual",$M27=$A$15)),0,
         IF(OFFSET(CRONOPLE!$F$15,$M27-$A$15,CR$13)=0,10^12,OFFSET(CRONOPLE!$F$15,$M27-$A$15,CR$13)))</f>
        <v>0</v>
      </c>
      <c r="CT27" s="354" t="n">
        <f aca="true">IF(OR($D27&lt;&gt;"Serviço",AND(AUTOEVENTO="Manual",$M27=$A$15),$M27&gt;(ROW(PLE.lastrow)-ROW(PLE.firstrow))),0,
           IF(OFFSET(PLE!$G$15,$M27-$A$15,CT$13)="",10^12,OFFSET(PLE!$G$15,$M27-$A$15,CT$13)))</f>
        <v>0</v>
      </c>
      <c r="CU27" s="354" t="n">
        <f aca="true">IF(OR($D27&lt;&gt;"Serviço",AND(AUTOEVENTO="Manual",$M27=$A$15),$M27&gt;(ROW(PLE.lastrow)-ROW(PLE.firstrow))),0,
           IF(OFFSET(PLE!$G$15,$M27-$A$15,CU$13)="",10^12,OFFSET(PLE!$G$15,$M27-$A$15,CU$13)))</f>
        <v>0</v>
      </c>
      <c r="CV27" s="354" t="n">
        <f aca="true">IF(OR($D27&lt;&gt;"Serviço",AND(AUTOEVENTO="Manual",$M27=$A$15),$M27&gt;(ROW(PLE.lastrow)-ROW(PLE.firstrow))),0,
           IF(OFFSET(PLE!$G$15,$M27-$A$15,CV$13)="",10^12,OFFSET(PLE!$G$15,$M27-$A$15,CV$13)))</f>
        <v>0</v>
      </c>
      <c r="CW27" s="354" t="n">
        <f aca="true">IF(OR($D27&lt;&gt;"Serviço",AND(AUTOEVENTO="Manual",$M27=$A$15),$M27&gt;(ROW(PLE.lastrow)-ROW(PLE.firstrow))),0,
           IF(OFFSET(PLE!$G$15,$M27-$A$15,CW$13)="",10^12,OFFSET(PLE!$G$15,$M27-$A$15,CW$13)))</f>
        <v>0</v>
      </c>
      <c r="CX27" s="354" t="n">
        <f aca="true">IF(OR($D27&lt;&gt;"Serviço",AND(AUTOEVENTO="Manual",$M27=$A$15),$M27&gt;(ROW(PLE.lastrow)-ROW(PLE.firstrow))),0,
           IF(OFFSET(PLE!$G$15,$M27-$A$15,CX$13)="",10^12,OFFSET(PLE!$G$15,$M27-$A$15,CX$13)))</f>
        <v>0</v>
      </c>
      <c r="CY27" s="354" t="n">
        <f aca="true">IF(OR($D27&lt;&gt;"Serviço",AND(AUTOEVENTO="Manual",$M27=$A$15),$M27&gt;(ROW(PLE.lastrow)-ROW(PLE.firstrow))),0,
           IF(OFFSET(PLE!$G$15,$M27-$A$15,CY$13)="",10^12,OFFSET(PLE!$G$15,$M27-$A$15,CY$13)))</f>
        <v>0</v>
      </c>
      <c r="CZ27" s="354" t="n">
        <f aca="true">IF(OR($D27&lt;&gt;"Serviço",AND(AUTOEVENTO="Manual",$M27=$A$15),$M27&gt;(ROW(PLE.lastrow)-ROW(PLE.firstrow))),0,
           IF(OFFSET(PLE!$G$15,$M27-$A$15,CZ$13)="",10^12,OFFSET(PLE!$G$15,$M27-$A$15,CZ$13)))</f>
        <v>0</v>
      </c>
      <c r="DA27" s="354" t="n">
        <f aca="true">IF(OR($D27&lt;&gt;"Serviço",AND(AUTOEVENTO="Manual",$M27=$A$15),$M27&gt;(ROW(PLE.lastrow)-ROW(PLE.firstrow))),0,
           IF(OFFSET(PLE!$G$15,$M27-$A$15,DA$13)="",10^12,OFFSET(PLE!$G$15,$M27-$A$15,DA$13)))</f>
        <v>0</v>
      </c>
      <c r="DB27" s="354" t="n">
        <f aca="true">IF(OR($D27&lt;&gt;"Serviço",AND(AUTOEVENTO="Manual",$M27=$A$15),$M27&gt;(ROW(PLE.lastrow)-ROW(PLE.firstrow))),0,
           IF(OFFSET(PLE!$G$15,$M27-$A$15,DB$13)="",10^12,OFFSET(PLE!$G$15,$M27-$A$15,DB$13)))</f>
        <v>0</v>
      </c>
      <c r="DC27" s="354" t="n">
        <f aca="true">IF(OR($D27&lt;&gt;"Serviço",AND(AUTOEVENTO="Manual",$M27=$A$15),$M27&gt;(ROW(PLE.lastrow)-ROW(PLE.firstrow))),0,
           IF(OFFSET(PLE!$G$15,$M27-$A$15,DC$13)="",10^12,OFFSET(PLE!$G$15,$M27-$A$15,DC$13)))</f>
        <v>0</v>
      </c>
      <c r="DD27" s="354" t="n">
        <f aca="true">IF(OR($D27&lt;&gt;"Serviço",AND(AUTOEVENTO="Manual",$M27=$A$15),$M27&gt;(ROW(PLE.lastrow)-ROW(PLE.firstrow))),0,
           IF(OFFSET(PLE!$G$15,$M27-$A$15,DD$13)="",10^12,OFFSET(PLE!$G$15,$M27-$A$15,DD$13)))</f>
        <v>0</v>
      </c>
      <c r="DE27" s="354" t="n">
        <f aca="true">IF(OR($D27&lt;&gt;"Serviço",AND(AUTOEVENTO="Manual",$M27=$A$15),$M27&gt;(ROW(PLE.lastrow)-ROW(PLE.firstrow))),0,
           IF(OFFSET(PLE!$G$15,$M27-$A$15,DE$13)="",10^12,OFFSET(PLE!$G$15,$M27-$A$15,DE$13)))</f>
        <v>0</v>
      </c>
      <c r="DF27" s="354" t="n">
        <f aca="true">IF(OR($D27&lt;&gt;"Serviço",AND(AUTOEVENTO="Manual",$M27=$A$15),$M27&gt;(ROW(PLE.lastrow)-ROW(PLE.firstrow))),0,
           IF(OFFSET(PLE!$G$15,$M27-$A$15,DF$13)="",10^12,OFFSET(PLE!$G$15,$M27-$A$15,DF$13)))</f>
        <v>0</v>
      </c>
      <c r="DG27" s="354" t="n">
        <f aca="true">IF(OR($D27&lt;&gt;"Serviço",AND(AUTOEVENTO="Manual",$M27=$A$15),$M27&gt;(ROW(PLE.lastrow)-ROW(PLE.firstrow))),0,
           IF(OFFSET(PLE!$G$15,$M27-$A$15,DG$13)="",10^12,OFFSET(PLE!$G$15,$M27-$A$15,DG$13)))</f>
        <v>0</v>
      </c>
      <c r="DH27" s="354" t="n">
        <f aca="true">IF(OR($D27&lt;&gt;"Serviço",AND(AUTOEVENTO="Manual",$M27=$A$15),$M27&gt;(ROW(PLE.lastrow)-ROW(PLE.firstrow))),0,
           IF(OFFSET(PLE!$G$15,$M27-$A$15,DH$13)="",10^12,OFFSET(PLE!$G$15,$M27-$A$15,DH$13)))</f>
        <v>0</v>
      </c>
      <c r="DI27" s="354" t="n">
        <f aca="true">IF(OR($D27&lt;&gt;"Serviço",AND(AUTOEVENTO="Manual",$M27=$A$15),$M27&gt;(ROW(PLE.lastrow)-ROW(PLE.firstrow))),0,
           IF(OFFSET(PLE!$G$15,$M27-$A$15,DI$13)="",10^12,OFFSET(PLE!$G$15,$M27-$A$15,DI$13)))</f>
        <v>0</v>
      </c>
      <c r="DJ27" s="354" t="n">
        <f aca="true">IF(OR($D27&lt;&gt;"Serviço",AND(AUTOEVENTO="Manual",$M27=$A$15),$M27&gt;(ROW(PLE.lastrow)-ROW(PLE.firstrow))),0,
           IF(OFFSET(PLE!$G$15,$M27-$A$15,DJ$13)="",10^12,OFFSET(PLE!$G$15,$M27-$A$15,DJ$13)))</f>
        <v>0</v>
      </c>
      <c r="DK27" s="354" t="n">
        <f aca="true">IF(OR($D27&lt;&gt;"Serviço",AND(AUTOEVENTO="Manual",$M27=$A$15),$M27&gt;(ROW(PLE.lastrow)-ROW(PLE.firstrow))),0,
           IF(OFFSET(PLE!$G$15,$M27-$A$15,DK$13)="",10^12,OFFSET(PLE!$G$15,$M27-$A$15,DK$13)))</f>
        <v>0</v>
      </c>
      <c r="DL27" s="354" t="n">
        <f aca="true">IF(OR($D27&lt;&gt;"Serviço",AND(AUTOEVENTO="Manual",$M27=$A$15),$M27&gt;(ROW(PLE.lastrow)-ROW(PLE.firstrow))),0,
           IF(OFFSET(PLE!$G$15,$M27-$A$15,DL$13)="",10^12,OFFSET(PLE!$G$15,$M27-$A$15,DL$13)))</f>
        <v>0</v>
      </c>
      <c r="DM27" s="354" t="n">
        <f aca="true">IF(OR($D27&lt;&gt;"Serviço",AND(AUTOEVENTO="Manual",$M27=$A$15),$M27&gt;(ROW(PLE.lastrow)-ROW(PLE.firstrow))),0,
           IF(OFFSET(PLE!$G$15,$M27-$A$15,DM$13)="",10^12,OFFSET(PLE!$G$15,$M27-$A$15,DM$13)))</f>
        <v>0</v>
      </c>
      <c r="DN27" s="354" t="n">
        <f aca="true">IF(OR($D27&lt;&gt;"Serviço",AND(AUTOEVENTO="Manual",$M27=$A$15),$M27&gt;(ROW(PLE.lastrow)-ROW(PLE.firstrow))),0,
           IF(OFFSET(PLE!$G$15,$M27-$A$15,DN$13)="",10^12,OFFSET(PLE!$G$15,$M27-$A$15,DN$13)))</f>
        <v>0</v>
      </c>
      <c r="DO27" s="354" t="n">
        <f aca="true">IF(OR($D27&lt;&gt;"Serviço",AND(AUTOEVENTO="Manual",$M27=$A$15),$M27&gt;(ROW(PLE.lastrow)-ROW(PLE.firstrow))),0,
           IF(OFFSET(PLE!$G$15,$M27-$A$15,DO$13)="",10^12,OFFSET(PLE!$G$15,$M27-$A$15,DO$13)))</f>
        <v>0</v>
      </c>
      <c r="DP27" s="354" t="n">
        <f aca="true">IF(OR($D27&lt;&gt;"Serviço",AND(AUTOEVENTO="Manual",$M27=$A$15),$M27&gt;(ROW(PLE.lastrow)-ROW(PLE.firstrow))),0,
           IF(OFFSET(PLE!$G$15,$M27-$A$15,DP$13)="",10^12,OFFSET(PLE!$G$15,$M27-$A$15,DP$13)))</f>
        <v>0</v>
      </c>
      <c r="DQ27" s="354" t="n">
        <f aca="true">IF(OR($D27&lt;&gt;"Serviço",AND(AUTOEVENTO="Manual",$M27=$A$15),$M27&gt;(ROW(PLE.lastrow)-ROW(PLE.firstrow))),0,
           IF(OFFSET(PLE!$G$15,$M27-$A$15,DQ$13)="",10^12,OFFSET(PLE!$G$15,$M27-$A$15,DQ$13)))</f>
        <v>0</v>
      </c>
      <c r="DR27" s="354" t="n">
        <f aca="true">IF(OR($D27&lt;&gt;"Serviço",AND(AUTOEVENTO="Manual",$M27=$A$15),$M27&gt;(ROW(PLE.lastrow)-ROW(PLE.firstrow))),0,
           IF(OFFSET(PLE!$G$15,$M27-$A$15,DR$13)="",10^12,OFFSET(PLE!$G$15,$M27-$A$15,DR$13)))</f>
        <v>0</v>
      </c>
      <c r="DS27" s="354" t="n">
        <f aca="true">IF(OR($D27&lt;&gt;"Serviço",AND(AUTOEVENTO="Manual",$M27=$A$15),$M27&gt;(ROW(PLE.lastrow)-ROW(PLE.firstrow))),0,
           IF(OFFSET(PLE!$G$15,$M27-$A$15,DS$13)="",10^12,OFFSET(PLE!$G$15,$M27-$A$15,DS$13)))</f>
        <v>0</v>
      </c>
    </row>
    <row r="28" customFormat="false" ht="12.75" hidden="false" customHeight="false" outlineLevel="0" collapsed="false">
      <c r="A28" s="50" t="str">
        <f aca="true">IFERROR(IF(AUTOEVENTO="Manual",IF(K28&lt;&gt;"",MIN(VALUE(LEFT(K28,FIND(".",K28)-1)),COUNTA(EVENTOS.Lista)),0),IF(OR($B28&gt;AUTOEVENTO,$B28="S",$B28=0),SUBSTITUTE(OFFSET($A28,-1,0),IF($D28="Serviço",".",""),""),ROW(A28)-ROW($A$15)&amp;".")),0)</f>
        <v>13.</v>
      </c>
      <c r="B28" s="50" t="n">
        <f aca="true">OFFSET(ORÇAMENTO!C$15,ROW(B28)-ROW(B$15),0)</f>
        <v>2</v>
      </c>
      <c r="C28" s="50" t="str">
        <f aca="true">OFFSET(ORÇAMENTO!L$15,ROW(C28)-ROW(C$15),0)</f>
        <v>F</v>
      </c>
      <c r="D28" s="201" t="str">
        <f aca="true">OFFSET(ORÇAMENTO!N$15,ROW(D28)-ROW(D$15),0)</f>
        <v>Nível 2</v>
      </c>
      <c r="E28" s="202" t="str">
        <f aca="true">OFFSET(ORÇAMENTO!O$15,ROW(E28)-ROW(E$15),0)</f>
        <v>1.4.</v>
      </c>
      <c r="F28" s="341" t="str">
        <f aca="true">OFFSET(ORÇAMENTO!R$15,ROW(F28)-ROW(F$15),0)</f>
        <v>FUNDAÇÕES</v>
      </c>
      <c r="G28" s="342" t="str">
        <f aca="true">IF($D28&lt;&gt;"Serviço","",OFFSET(ORÇAMENTO!S$15,ROW(G28)-ROW(G$15),0))</f>
        <v/>
      </c>
      <c r="H28" s="207" t="n">
        <f aca="true">IF($D28&lt;&gt;"Serviço",0,IF(ACOMPANHAMENTO="BM",ROUND(OFFSET(ORÇAMENTO!AJ$15,ROW(H28)-ROW(H$15),0),15-13*ORÇAMENTO!$AF$7),SUMPRODUCT(($Q$1:$AQ$1=1)*ROUND($Q28:$AQ28,15-13*ORÇAMENTO!$AF$7))))</f>
        <v>0</v>
      </c>
      <c r="I28" s="343"/>
      <c r="J28" s="344" t="str">
        <f aca="false">IF(OR(B28&lt;&gt;"S",CÁLCULO.FrentesPreenchidas=0),"",IF(AND(ACOMPANHAMENTO="PLE",AUTOEVENTO="Manual",OR(H28&gt;0,ORÇAMENTO!AC28="QUANT."),OR(K28="",M28=0,N28="")),"►",IF(AND(ACOMPANHAMENTO="PLE",ORÇAMENTO!AC28="QUANT."),"►►",IF(AND(COUNTIF($P$11:$AQ$11,"▼")=0,H28&gt;0,I28=""),"◄",""))))</f>
        <v/>
      </c>
      <c r="K28" s="345"/>
      <c r="L28" s="346" t="s">
        <v>876</v>
      </c>
      <c r="M28" s="347" t="str">
        <f aca="true">IF($D28&lt;&gt;"Serviço","",
          IF(AUTOEVENTO="manual",$A28,
                IF(ISERROR(MATCH($A28,$A$15:OFFSET($A28,-1,0),0)),MAX($M$15:OFFSET(M28,-1,0))+1,
                      INDEX($M$15:OFFSET(M28,-1,0),MATCH($A28,$A$15:OFFSET($A28,-1,0),0)))))</f>
        <v/>
      </c>
      <c r="N28" s="348" t="str">
        <f aca="true">IF($D28&lt;&gt;"Serviço","",
         IF(AUTOEVENTO="Manual",
                IF($A28=0,"&lt;-- defina o número do agrupador",
                       OFFSET(EVENTOS!$D$15,$A28-$A$15,0)),
                OFFSET($F$15,$A28,0)))</f>
        <v/>
      </c>
      <c r="O28" s="349"/>
      <c r="Q28" s="349"/>
      <c r="R28" s="350"/>
      <c r="S28" s="350"/>
      <c r="T28" s="350"/>
      <c r="U28" s="350"/>
      <c r="V28" s="350"/>
      <c r="W28" s="350"/>
      <c r="X28" s="350"/>
      <c r="Y28" s="350"/>
      <c r="Z28" s="351"/>
      <c r="AA28" s="350"/>
      <c r="AB28" s="350"/>
      <c r="AC28" s="350"/>
      <c r="AD28" s="350"/>
      <c r="AE28" s="350"/>
      <c r="AF28" s="350"/>
      <c r="AG28" s="350"/>
      <c r="AH28" s="351"/>
      <c r="AI28" s="350"/>
      <c r="AJ28" s="350"/>
      <c r="AK28" s="350"/>
      <c r="AL28" s="350"/>
      <c r="AM28" s="350"/>
      <c r="AN28" s="350"/>
      <c r="AO28" s="350"/>
      <c r="AP28" s="351"/>
      <c r="AR28" s="352" t="n">
        <f aca="true">IF(AND($D28="Serviço",AR$12&lt;&gt;0,$H28&gt;0,OR(AUTOEVENTO&lt;&gt;"manual",$M28&lt;&gt;$A$15)),
        IF(Import.TipoArredondamento&lt;&gt;"TransfereGOV",
              ROUND(OFFSET($P28,0,AR$13),15-13*ORÇAMENTO!$AF$7)/$H28*OFFSET(ORÇAMENTO!$X$15,ROW(AR28)-ROW(AR$15),0),
              ROUND(ROUND(OFFSET($P28,0,AR$13),15-13*ORÇAMENTO!$AF$7)*OFFSET(ORÇAMENTO!$W$15,ROW(AR28)-ROW(AR$15),0),15-13*ORÇAMENTO!$AF$11)),
         0)</f>
        <v>0</v>
      </c>
      <c r="AS28" s="352" t="n">
        <f aca="true">IF(AND($D28="Serviço",AS$12&lt;&gt;0,$H28&gt;0,OR(AUTOEVENTO&lt;&gt;"manual",$M28&lt;&gt;$A$15)),
        IF(Import.TipoArredondamento&lt;&gt;"TransfereGOV",
              ROUND(OFFSET($P28,0,AS$13),15-13*ORÇAMENTO!$AF$7)/$H28*OFFSET(ORÇAMENTO!$X$15,ROW(AS28)-ROW(AS$15),0),
              ROUND(ROUND(OFFSET($P28,0,AS$13),15-13*ORÇAMENTO!$AF$7)*OFFSET(ORÇAMENTO!$W$15,ROW(AS28)-ROW(AS$15),0),15-13*ORÇAMENTO!$AF$11)),
         0)</f>
        <v>0</v>
      </c>
      <c r="AT28" s="352" t="n">
        <f aca="true">IF(AND($D28="Serviço",AT$12&lt;&gt;0,$H28&gt;0,OR(AUTOEVENTO&lt;&gt;"manual",$M28&lt;&gt;$A$15)),
        IF(Import.TipoArredondamento&lt;&gt;"TransfereGOV",
              ROUND(OFFSET($P28,0,AT$13),15-13*ORÇAMENTO!$AF$7)/$H28*OFFSET(ORÇAMENTO!$X$15,ROW(AT28)-ROW(AT$15),0),
              ROUND(ROUND(OFFSET($P28,0,AT$13),15-13*ORÇAMENTO!$AF$7)*OFFSET(ORÇAMENTO!$W$15,ROW(AT28)-ROW(AT$15),0),15-13*ORÇAMENTO!$AF$11)),
         0)</f>
        <v>0</v>
      </c>
      <c r="AU28" s="352" t="n">
        <f aca="true">IF(AND($D28="Serviço",AU$12&lt;&gt;0,$H28&gt;0,OR(AUTOEVENTO&lt;&gt;"manual",$M28&lt;&gt;$A$15)),
        IF(Import.TipoArredondamento&lt;&gt;"TransfereGOV",
              ROUND(OFFSET($P28,0,AU$13),15-13*ORÇAMENTO!$AF$7)/$H28*OFFSET(ORÇAMENTO!$X$15,ROW(AU28)-ROW(AU$15),0),
              ROUND(ROUND(OFFSET($P28,0,AU$13),15-13*ORÇAMENTO!$AF$7)*OFFSET(ORÇAMENTO!$W$15,ROW(AU28)-ROW(AU$15),0),15-13*ORÇAMENTO!$AF$11)),
         0)</f>
        <v>0</v>
      </c>
      <c r="AV28" s="352" t="n">
        <f aca="true">IF(AND($D28="Serviço",AV$12&lt;&gt;0,$H28&gt;0,OR(AUTOEVENTO&lt;&gt;"manual",$M28&lt;&gt;$A$15)),
        IF(Import.TipoArredondamento&lt;&gt;"TransfereGOV",
              ROUND(OFFSET($P28,0,AV$13),15-13*ORÇAMENTO!$AF$7)/$H28*OFFSET(ORÇAMENTO!$X$15,ROW(AV28)-ROW(AV$15),0),
              ROUND(ROUND(OFFSET($P28,0,AV$13),15-13*ORÇAMENTO!$AF$7)*OFFSET(ORÇAMENTO!$W$15,ROW(AV28)-ROW(AV$15),0),15-13*ORÇAMENTO!$AF$11)),
         0)</f>
        <v>0</v>
      </c>
      <c r="AW28" s="352" t="n">
        <f aca="true">IF(AND($D28="Serviço",AW$12&lt;&gt;0,$H28&gt;0,OR(AUTOEVENTO&lt;&gt;"manual",$M28&lt;&gt;$A$15)),
        IF(Import.TipoArredondamento&lt;&gt;"TransfereGOV",
              ROUND(OFFSET($P28,0,AW$13),15-13*ORÇAMENTO!$AF$7)/$H28*OFFSET(ORÇAMENTO!$X$15,ROW(AW28)-ROW(AW$15),0),
              ROUND(ROUND(OFFSET($P28,0,AW$13),15-13*ORÇAMENTO!$AF$7)*OFFSET(ORÇAMENTO!$W$15,ROW(AW28)-ROW(AW$15),0),15-13*ORÇAMENTO!$AF$11)),
         0)</f>
        <v>0</v>
      </c>
      <c r="AX28" s="352" t="n">
        <f aca="true">IF(AND($D28="Serviço",AX$12&lt;&gt;0,$H28&gt;0,OR(AUTOEVENTO&lt;&gt;"manual",$M28&lt;&gt;$A$15)),
        IF(Import.TipoArredondamento&lt;&gt;"TransfereGOV",
              ROUND(OFFSET($P28,0,AX$13),15-13*ORÇAMENTO!$AF$7)/$H28*OFFSET(ORÇAMENTO!$X$15,ROW(AX28)-ROW(AX$15),0),
              ROUND(ROUND(OFFSET($P28,0,AX$13),15-13*ORÇAMENTO!$AF$7)*OFFSET(ORÇAMENTO!$W$15,ROW(AX28)-ROW(AX$15),0),15-13*ORÇAMENTO!$AF$11)),
         0)</f>
        <v>0</v>
      </c>
      <c r="AY28" s="352" t="n">
        <f aca="true">IF(AND($D28="Serviço",AY$12&lt;&gt;0,$H28&gt;0,OR(AUTOEVENTO&lt;&gt;"manual",$M28&lt;&gt;$A$15)),
        IF(Import.TipoArredondamento&lt;&gt;"TransfereGOV",
              ROUND(OFFSET($P28,0,AY$13),15-13*ORÇAMENTO!$AF$7)/$H28*OFFSET(ORÇAMENTO!$X$15,ROW(AY28)-ROW(AY$15),0),
              ROUND(ROUND(OFFSET($P28,0,AY$13),15-13*ORÇAMENTO!$AF$7)*OFFSET(ORÇAMENTO!$W$15,ROW(AY28)-ROW(AY$15),0),15-13*ORÇAMENTO!$AF$11)),
         0)</f>
        <v>0</v>
      </c>
      <c r="AZ28" s="352" t="n">
        <f aca="true">IF(AND($D28="Serviço",AZ$12&lt;&gt;0,$H28&gt;0,OR(AUTOEVENTO&lt;&gt;"manual",$M28&lt;&gt;$A$15)),
        IF(Import.TipoArredondamento&lt;&gt;"TransfereGOV",
              ROUND(OFFSET($P28,0,AZ$13),15-13*ORÇAMENTO!$AF$7)/$H28*OFFSET(ORÇAMENTO!$X$15,ROW(AZ28)-ROW(AZ$15),0),
              ROUND(ROUND(OFFSET($P28,0,AZ$13),15-13*ORÇAMENTO!$AF$7)*OFFSET(ORÇAMENTO!$W$15,ROW(AZ28)-ROW(AZ$15),0),15-13*ORÇAMENTO!$AF$11)),
         0)</f>
        <v>0</v>
      </c>
      <c r="BA28" s="352" t="n">
        <f aca="true">IF(AND($D28="Serviço",BA$12&lt;&gt;0,$H28&gt;0,OR(AUTOEVENTO&lt;&gt;"manual",$M28&lt;&gt;$A$15)),
        IF(Import.TipoArredondamento&lt;&gt;"TransfereGOV",
              ROUND(OFFSET($P28,0,BA$13),15-13*ORÇAMENTO!$AF$7)/$H28*OFFSET(ORÇAMENTO!$X$15,ROW(BA28)-ROW(BA$15),0),
              ROUND(ROUND(OFFSET($P28,0,BA$13),15-13*ORÇAMENTO!$AF$7)*OFFSET(ORÇAMENTO!$W$15,ROW(BA28)-ROW(BA$15),0),15-13*ORÇAMENTO!$AF$11)),
         0)</f>
        <v>0</v>
      </c>
      <c r="BB28" s="352" t="n">
        <f aca="true">IF(AND($D28="Serviço",BB$12&lt;&gt;0,$H28&gt;0,OR(AUTOEVENTO&lt;&gt;"manual",$M28&lt;&gt;$A$15)),
        IF(Import.TipoArredondamento&lt;&gt;"TransfereGOV",
              ROUND(OFFSET($P28,0,BB$13),15-13*ORÇAMENTO!$AF$7)/$H28*OFFSET(ORÇAMENTO!$X$15,ROW(BB28)-ROW(BB$15),0),
              ROUND(ROUND(OFFSET($P28,0,BB$13),15-13*ORÇAMENTO!$AF$7)*OFFSET(ORÇAMENTO!$W$15,ROW(BB28)-ROW(BB$15),0),15-13*ORÇAMENTO!$AF$11)),
         0)</f>
        <v>0</v>
      </c>
      <c r="BC28" s="352" t="n">
        <f aca="true">IF(AND($D28="Serviço",BC$12&lt;&gt;0,$H28&gt;0,OR(AUTOEVENTO&lt;&gt;"manual",$M28&lt;&gt;$A$15)),
        IF(Import.TipoArredondamento&lt;&gt;"TransfereGOV",
              ROUND(OFFSET($P28,0,BC$13),15-13*ORÇAMENTO!$AF$7)/$H28*OFFSET(ORÇAMENTO!$X$15,ROW(BC28)-ROW(BC$15),0),
              ROUND(ROUND(OFFSET($P28,0,BC$13),15-13*ORÇAMENTO!$AF$7)*OFFSET(ORÇAMENTO!$W$15,ROW(BC28)-ROW(BC$15),0),15-13*ORÇAMENTO!$AF$11)),
         0)</f>
        <v>0</v>
      </c>
      <c r="BD28" s="352" t="n">
        <f aca="true">IF(AND($D28="Serviço",BD$12&lt;&gt;0,$H28&gt;0,OR(AUTOEVENTO&lt;&gt;"manual",$M28&lt;&gt;$A$15)),
        IF(Import.TipoArredondamento&lt;&gt;"TransfereGOV",
              ROUND(OFFSET($P28,0,BD$13),15-13*ORÇAMENTO!$AF$7)/$H28*OFFSET(ORÇAMENTO!$X$15,ROW(BD28)-ROW(BD$15),0),
              ROUND(ROUND(OFFSET($P28,0,BD$13),15-13*ORÇAMENTO!$AF$7)*OFFSET(ORÇAMENTO!$W$15,ROW(BD28)-ROW(BD$15),0),15-13*ORÇAMENTO!$AF$11)),
         0)</f>
        <v>0</v>
      </c>
      <c r="BE28" s="352" t="n">
        <f aca="true">IF(AND($D28="Serviço",BE$12&lt;&gt;0,$H28&gt;0,OR(AUTOEVENTO&lt;&gt;"manual",$M28&lt;&gt;$A$15)),
        IF(Import.TipoArredondamento&lt;&gt;"TransfereGOV",
              ROUND(OFFSET($P28,0,BE$13),15-13*ORÇAMENTO!$AF$7)/$H28*OFFSET(ORÇAMENTO!$X$15,ROW(BE28)-ROW(BE$15),0),
              ROUND(ROUND(OFFSET($P28,0,BE$13),15-13*ORÇAMENTO!$AF$7)*OFFSET(ORÇAMENTO!$W$15,ROW(BE28)-ROW(BE$15),0),15-13*ORÇAMENTO!$AF$11)),
         0)</f>
        <v>0</v>
      </c>
      <c r="BF28" s="352" t="n">
        <f aca="true">IF(AND($D28="Serviço",BF$12&lt;&gt;0,$H28&gt;0,OR(AUTOEVENTO&lt;&gt;"manual",$M28&lt;&gt;$A$15)),
        IF(Import.TipoArredondamento&lt;&gt;"TransfereGOV",
              ROUND(OFFSET($P28,0,BF$13),15-13*ORÇAMENTO!$AF$7)/$H28*OFFSET(ORÇAMENTO!$X$15,ROW(BF28)-ROW(BF$15),0),
              ROUND(ROUND(OFFSET($P28,0,BF$13),15-13*ORÇAMENTO!$AF$7)*OFFSET(ORÇAMENTO!$W$15,ROW(BF28)-ROW(BF$15),0),15-13*ORÇAMENTO!$AF$11)),
         0)</f>
        <v>0</v>
      </c>
      <c r="BG28" s="352" t="n">
        <f aca="true">IF(AND($D28="Serviço",BG$12&lt;&gt;0,$H28&gt;0,OR(AUTOEVENTO&lt;&gt;"manual",$M28&lt;&gt;$A$15)),
        IF(Import.TipoArredondamento&lt;&gt;"TransfereGOV",
              ROUND(OFFSET($P28,0,BG$13),15-13*ORÇAMENTO!$AF$7)/$H28*OFFSET(ORÇAMENTO!$X$15,ROW(BG28)-ROW(BG$15),0),
              ROUND(ROUND(OFFSET($P28,0,BG$13),15-13*ORÇAMENTO!$AF$7)*OFFSET(ORÇAMENTO!$W$15,ROW(BG28)-ROW(BG$15),0),15-13*ORÇAMENTO!$AF$11)),
         0)</f>
        <v>0</v>
      </c>
      <c r="BH28" s="352" t="n">
        <f aca="true">IF(AND($D28="Serviço",BH$12&lt;&gt;0,$H28&gt;0,OR(AUTOEVENTO&lt;&gt;"manual",$M28&lt;&gt;$A$15)),
        IF(Import.TipoArredondamento&lt;&gt;"TransfereGOV",
              ROUND(OFFSET($P28,0,BH$13),15-13*ORÇAMENTO!$AF$7)/$H28*OFFSET(ORÇAMENTO!$X$15,ROW(BH28)-ROW(BH$15),0),
              ROUND(ROUND(OFFSET($P28,0,BH$13),15-13*ORÇAMENTO!$AF$7)*OFFSET(ORÇAMENTO!$W$15,ROW(BH28)-ROW(BH$15),0),15-13*ORÇAMENTO!$AF$11)),
         0)</f>
        <v>0</v>
      </c>
      <c r="BI28" s="352" t="n">
        <f aca="true">IF(AND($D28="Serviço",BI$12&lt;&gt;0,$H28&gt;0,OR(AUTOEVENTO&lt;&gt;"manual",$M28&lt;&gt;$A$15)),
        IF(Import.TipoArredondamento&lt;&gt;"TransfereGOV",
              ROUND(OFFSET($P28,0,BI$13),15-13*ORÇAMENTO!$AF$7)/$H28*OFFSET(ORÇAMENTO!$X$15,ROW(BI28)-ROW(BI$15),0),
              ROUND(ROUND(OFFSET($P28,0,BI$13),15-13*ORÇAMENTO!$AF$7)*OFFSET(ORÇAMENTO!$W$15,ROW(BI28)-ROW(BI$15),0),15-13*ORÇAMENTO!$AF$11)),
         0)</f>
        <v>0</v>
      </c>
      <c r="BJ28" s="352" t="n">
        <f aca="true">IF(AND($D28="Serviço",BJ$12&lt;&gt;0,$H28&gt;0,OR(AUTOEVENTO&lt;&gt;"manual",$M28&lt;&gt;$A$15)),
        IF(Import.TipoArredondamento&lt;&gt;"TransfereGOV",
              ROUND(OFFSET($P28,0,BJ$13),15-13*ORÇAMENTO!$AF$7)/$H28*OFFSET(ORÇAMENTO!$X$15,ROW(BJ28)-ROW(BJ$15),0),
              ROUND(ROUND(OFFSET($P28,0,BJ$13),15-13*ORÇAMENTO!$AF$7)*OFFSET(ORÇAMENTO!$W$15,ROW(BJ28)-ROW(BJ$15),0),15-13*ORÇAMENTO!$AF$11)),
         0)</f>
        <v>0</v>
      </c>
      <c r="BK28" s="352" t="n">
        <f aca="true">IF(AND($D28="Serviço",BK$12&lt;&gt;0,$H28&gt;0,OR(AUTOEVENTO&lt;&gt;"manual",$M28&lt;&gt;$A$15)),
        IF(Import.TipoArredondamento&lt;&gt;"TransfereGOV",
              ROUND(OFFSET($P28,0,BK$13),15-13*ORÇAMENTO!$AF$7)/$H28*OFFSET(ORÇAMENTO!$X$15,ROW(BK28)-ROW(BK$15),0),
              ROUND(ROUND(OFFSET($P28,0,BK$13),15-13*ORÇAMENTO!$AF$7)*OFFSET(ORÇAMENTO!$W$15,ROW(BK28)-ROW(BK$15),0),15-13*ORÇAMENTO!$AF$11)),
         0)</f>
        <v>0</v>
      </c>
      <c r="BL28" s="352" t="n">
        <f aca="true">IF(AND($D28="Serviço",BL$12&lt;&gt;0,$H28&gt;0,OR(AUTOEVENTO&lt;&gt;"manual",$M28&lt;&gt;$A$15)),
        IF(Import.TipoArredondamento&lt;&gt;"TransfereGOV",
              ROUND(OFFSET($P28,0,BL$13),15-13*ORÇAMENTO!$AF$7)/$H28*OFFSET(ORÇAMENTO!$X$15,ROW(BL28)-ROW(BL$15),0),
              ROUND(ROUND(OFFSET($P28,0,BL$13),15-13*ORÇAMENTO!$AF$7)*OFFSET(ORÇAMENTO!$W$15,ROW(BL28)-ROW(BL$15),0),15-13*ORÇAMENTO!$AF$11)),
         0)</f>
        <v>0</v>
      </c>
      <c r="BM28" s="352" t="n">
        <f aca="true">IF(AND($D28="Serviço",BM$12&lt;&gt;0,$H28&gt;0,OR(AUTOEVENTO&lt;&gt;"manual",$M28&lt;&gt;$A$15)),
        IF(Import.TipoArredondamento&lt;&gt;"TransfereGOV",
              ROUND(OFFSET($P28,0,BM$13),15-13*ORÇAMENTO!$AF$7)/$H28*OFFSET(ORÇAMENTO!$X$15,ROW(BM28)-ROW(BM$15),0),
              ROUND(ROUND(OFFSET($P28,0,BM$13),15-13*ORÇAMENTO!$AF$7)*OFFSET(ORÇAMENTO!$W$15,ROW(BM28)-ROW(BM$15),0),15-13*ORÇAMENTO!$AF$11)),
         0)</f>
        <v>0</v>
      </c>
      <c r="BN28" s="352" t="n">
        <f aca="true">IF(AND($D28="Serviço",BN$12&lt;&gt;0,$H28&gt;0,OR(AUTOEVENTO&lt;&gt;"manual",$M28&lt;&gt;$A$15)),
        IF(Import.TipoArredondamento&lt;&gt;"TransfereGOV",
              ROUND(OFFSET($P28,0,BN$13),15-13*ORÇAMENTO!$AF$7)/$H28*OFFSET(ORÇAMENTO!$X$15,ROW(BN28)-ROW(BN$15),0),
              ROUND(ROUND(OFFSET($P28,0,BN$13),15-13*ORÇAMENTO!$AF$7)*OFFSET(ORÇAMENTO!$W$15,ROW(BN28)-ROW(BN$15),0),15-13*ORÇAMENTO!$AF$11)),
         0)</f>
        <v>0</v>
      </c>
      <c r="BO28" s="352" t="n">
        <f aca="true">IF(AND($D28="Serviço",BO$12&lt;&gt;0,$H28&gt;0,OR(AUTOEVENTO&lt;&gt;"manual",$M28&lt;&gt;$A$15)),
        IF(Import.TipoArredondamento&lt;&gt;"TransfereGOV",
              ROUND(OFFSET($P28,0,BO$13),15-13*ORÇAMENTO!$AF$7)/$H28*OFFSET(ORÇAMENTO!$X$15,ROW(BO28)-ROW(BO$15),0),
              ROUND(ROUND(OFFSET($P28,0,BO$13),15-13*ORÇAMENTO!$AF$7)*OFFSET(ORÇAMENTO!$W$15,ROW(BO28)-ROW(BO$15),0),15-13*ORÇAMENTO!$AF$11)),
         0)</f>
        <v>0</v>
      </c>
      <c r="BP28" s="352" t="n">
        <f aca="true">IF(AND($D28="Serviço",BP$12&lt;&gt;0,$H28&gt;0,OR(AUTOEVENTO&lt;&gt;"manual",$M28&lt;&gt;$A$15)),
        IF(Import.TipoArredondamento&lt;&gt;"TransfereGOV",
              ROUND(OFFSET($P28,0,BP$13),15-13*ORÇAMENTO!$AF$7)/$H28*OFFSET(ORÇAMENTO!$X$15,ROW(BP28)-ROW(BP$15),0),
              ROUND(ROUND(OFFSET($P28,0,BP$13),15-13*ORÇAMENTO!$AF$7)*OFFSET(ORÇAMENTO!$W$15,ROW(BP28)-ROW(BP$15),0),15-13*ORÇAMENTO!$AF$11)),
         0)</f>
        <v>0</v>
      </c>
      <c r="BQ28" s="352" t="n">
        <f aca="true">IF(AND($D28="Serviço",BQ$12&lt;&gt;0,$H28&gt;0,OR(AUTOEVENTO&lt;&gt;"manual",$M28&lt;&gt;$A$15)),
        IF(Import.TipoArredondamento&lt;&gt;"TransfereGOV",
              ROUND(OFFSET($P28,0,BQ$13),15-13*ORÇAMENTO!$AF$7)/$H28*OFFSET(ORÇAMENTO!$X$15,ROW(BQ28)-ROW(BQ$15),0),
              ROUND(ROUND(OFFSET($P28,0,BQ$13),15-13*ORÇAMENTO!$AF$7)*OFFSET(ORÇAMENTO!$W$15,ROW(BQ28)-ROW(BQ$15),0),15-13*ORÇAMENTO!$AF$11)),
         0)</f>
        <v>0</v>
      </c>
      <c r="BS28" s="353" t="n">
        <f aca="true">IF(OR($D28&lt;&gt;"Serviço",AND(AUTOEVENTO="Manual",$M28=$A$15)),0,
         IF(OFFSET(CRONOPLE!$F$15,$M28-$A$15,BS$13)=0,10^12,OFFSET(CRONOPLE!$F$15,$M28-$A$15,BS$13)))</f>
        <v>0</v>
      </c>
      <c r="BT28" s="353" t="n">
        <f aca="true">IF(OR($D28&lt;&gt;"Serviço",AND(AUTOEVENTO="Manual",$M28=$A$15)),0,
         IF(OFFSET(CRONOPLE!$F$15,$M28-$A$15,BT$13)=0,10^12,OFFSET(CRONOPLE!$F$15,$M28-$A$15,BT$13)))</f>
        <v>0</v>
      </c>
      <c r="BU28" s="353" t="n">
        <f aca="true">IF(OR($D28&lt;&gt;"Serviço",AND(AUTOEVENTO="Manual",$M28=$A$15)),0,
         IF(OFFSET(CRONOPLE!$F$15,$M28-$A$15,BU$13)=0,10^12,OFFSET(CRONOPLE!$F$15,$M28-$A$15,BU$13)))</f>
        <v>0</v>
      </c>
      <c r="BV28" s="353" t="n">
        <f aca="true">IF(OR($D28&lt;&gt;"Serviço",AND(AUTOEVENTO="Manual",$M28=$A$15)),0,
         IF(OFFSET(CRONOPLE!$F$15,$M28-$A$15,BV$13)=0,10^12,OFFSET(CRONOPLE!$F$15,$M28-$A$15,BV$13)))</f>
        <v>0</v>
      </c>
      <c r="BW28" s="353" t="n">
        <f aca="true">IF(OR($D28&lt;&gt;"Serviço",AND(AUTOEVENTO="Manual",$M28=$A$15)),0,
         IF(OFFSET(CRONOPLE!$F$15,$M28-$A$15,BW$13)=0,10^12,OFFSET(CRONOPLE!$F$15,$M28-$A$15,BW$13)))</f>
        <v>0</v>
      </c>
      <c r="BX28" s="353" t="n">
        <f aca="true">IF(OR($D28&lt;&gt;"Serviço",AND(AUTOEVENTO="Manual",$M28=$A$15)),0,
         IF(OFFSET(CRONOPLE!$F$15,$M28-$A$15,BX$13)=0,10^12,OFFSET(CRONOPLE!$F$15,$M28-$A$15,BX$13)))</f>
        <v>0</v>
      </c>
      <c r="BY28" s="353" t="n">
        <f aca="true">IF(OR($D28&lt;&gt;"Serviço",AND(AUTOEVENTO="Manual",$M28=$A$15)),0,
         IF(OFFSET(CRONOPLE!$F$15,$M28-$A$15,BY$13)=0,10^12,OFFSET(CRONOPLE!$F$15,$M28-$A$15,BY$13)))</f>
        <v>0</v>
      </c>
      <c r="BZ28" s="353" t="n">
        <f aca="true">IF(OR($D28&lt;&gt;"Serviço",AND(AUTOEVENTO="Manual",$M28=$A$15)),0,
         IF(OFFSET(CRONOPLE!$F$15,$M28-$A$15,BZ$13)=0,10^12,OFFSET(CRONOPLE!$F$15,$M28-$A$15,BZ$13)))</f>
        <v>0</v>
      </c>
      <c r="CA28" s="353" t="n">
        <f aca="true">IF(OR($D28&lt;&gt;"Serviço",AND(AUTOEVENTO="Manual",$M28=$A$15)),0,
         IF(OFFSET(CRONOPLE!$F$15,$M28-$A$15,CA$13)=0,10^12,OFFSET(CRONOPLE!$F$15,$M28-$A$15,CA$13)))</f>
        <v>0</v>
      </c>
      <c r="CB28" s="353" t="n">
        <f aca="true">IF(OR($D28&lt;&gt;"Serviço",AND(AUTOEVENTO="Manual",$M28=$A$15)),0,
         IF(OFFSET(CRONOPLE!$F$15,$M28-$A$15,CB$13)=0,10^12,OFFSET(CRONOPLE!$F$15,$M28-$A$15,CB$13)))</f>
        <v>0</v>
      </c>
      <c r="CC28" s="353" t="n">
        <f aca="true">IF(OR($D28&lt;&gt;"Serviço",AND(AUTOEVENTO="Manual",$M28=$A$15)),0,
         IF(OFFSET(CRONOPLE!$F$15,$M28-$A$15,CC$13)=0,10^12,OFFSET(CRONOPLE!$F$15,$M28-$A$15,CC$13)))</f>
        <v>0</v>
      </c>
      <c r="CD28" s="353" t="n">
        <f aca="true">IF(OR($D28&lt;&gt;"Serviço",AND(AUTOEVENTO="Manual",$M28=$A$15)),0,
         IF(OFFSET(CRONOPLE!$F$15,$M28-$A$15,CD$13)=0,10^12,OFFSET(CRONOPLE!$F$15,$M28-$A$15,CD$13)))</f>
        <v>0</v>
      </c>
      <c r="CE28" s="353" t="n">
        <f aca="true">IF(OR($D28&lt;&gt;"Serviço",AND(AUTOEVENTO="Manual",$M28=$A$15)),0,
         IF(OFFSET(CRONOPLE!$F$15,$M28-$A$15,CE$13)=0,10^12,OFFSET(CRONOPLE!$F$15,$M28-$A$15,CE$13)))</f>
        <v>0</v>
      </c>
      <c r="CF28" s="353" t="n">
        <f aca="true">IF(OR($D28&lt;&gt;"Serviço",AND(AUTOEVENTO="Manual",$M28=$A$15)),0,
         IF(OFFSET(CRONOPLE!$F$15,$M28-$A$15,CF$13)=0,10^12,OFFSET(CRONOPLE!$F$15,$M28-$A$15,CF$13)))</f>
        <v>0</v>
      </c>
      <c r="CG28" s="353" t="n">
        <f aca="true">IF(OR($D28&lt;&gt;"Serviço",AND(AUTOEVENTO="Manual",$M28=$A$15)),0,
         IF(OFFSET(CRONOPLE!$F$15,$M28-$A$15,CG$13)=0,10^12,OFFSET(CRONOPLE!$F$15,$M28-$A$15,CG$13)))</f>
        <v>0</v>
      </c>
      <c r="CH28" s="353" t="n">
        <f aca="true">IF(OR($D28&lt;&gt;"Serviço",AND(AUTOEVENTO="Manual",$M28=$A$15)),0,
         IF(OFFSET(CRONOPLE!$F$15,$M28-$A$15,CH$13)=0,10^12,OFFSET(CRONOPLE!$F$15,$M28-$A$15,CH$13)))</f>
        <v>0</v>
      </c>
      <c r="CI28" s="353" t="n">
        <f aca="true">IF(OR($D28&lt;&gt;"Serviço",AND(AUTOEVENTO="Manual",$M28=$A$15)),0,
         IF(OFFSET(CRONOPLE!$F$15,$M28-$A$15,CI$13)=0,10^12,OFFSET(CRONOPLE!$F$15,$M28-$A$15,CI$13)))</f>
        <v>0</v>
      </c>
      <c r="CJ28" s="353" t="n">
        <f aca="true">IF(OR($D28&lt;&gt;"Serviço",AND(AUTOEVENTO="Manual",$M28=$A$15)),0,
         IF(OFFSET(CRONOPLE!$F$15,$M28-$A$15,CJ$13)=0,10^12,OFFSET(CRONOPLE!$F$15,$M28-$A$15,CJ$13)))</f>
        <v>0</v>
      </c>
      <c r="CK28" s="353" t="n">
        <f aca="true">IF(OR($D28&lt;&gt;"Serviço",AND(AUTOEVENTO="Manual",$M28=$A$15)),0,
         IF(OFFSET(CRONOPLE!$F$15,$M28-$A$15,CK$13)=0,10^12,OFFSET(CRONOPLE!$F$15,$M28-$A$15,CK$13)))</f>
        <v>0</v>
      </c>
      <c r="CL28" s="353" t="n">
        <f aca="true">IF(OR($D28&lt;&gt;"Serviço",AND(AUTOEVENTO="Manual",$M28=$A$15)),0,
         IF(OFFSET(CRONOPLE!$F$15,$M28-$A$15,CL$13)=0,10^12,OFFSET(CRONOPLE!$F$15,$M28-$A$15,CL$13)))</f>
        <v>0</v>
      </c>
      <c r="CM28" s="353" t="n">
        <f aca="true">IF(OR($D28&lt;&gt;"Serviço",AND(AUTOEVENTO="Manual",$M28=$A$15)),0,
         IF(OFFSET(CRONOPLE!$F$15,$M28-$A$15,CM$13)=0,10^12,OFFSET(CRONOPLE!$F$15,$M28-$A$15,CM$13)))</f>
        <v>0</v>
      </c>
      <c r="CN28" s="353" t="n">
        <f aca="true">IF(OR($D28&lt;&gt;"Serviço",AND(AUTOEVENTO="Manual",$M28=$A$15)),0,
         IF(OFFSET(CRONOPLE!$F$15,$M28-$A$15,CN$13)=0,10^12,OFFSET(CRONOPLE!$F$15,$M28-$A$15,CN$13)))</f>
        <v>0</v>
      </c>
      <c r="CO28" s="353" t="n">
        <f aca="true">IF(OR($D28&lt;&gt;"Serviço",AND(AUTOEVENTO="Manual",$M28=$A$15)),0,
         IF(OFFSET(CRONOPLE!$F$15,$M28-$A$15,CO$13)=0,10^12,OFFSET(CRONOPLE!$F$15,$M28-$A$15,CO$13)))</f>
        <v>0</v>
      </c>
      <c r="CP28" s="353" t="n">
        <f aca="true">IF(OR($D28&lt;&gt;"Serviço",AND(AUTOEVENTO="Manual",$M28=$A$15)),0,
         IF(OFFSET(CRONOPLE!$F$15,$M28-$A$15,CP$13)=0,10^12,OFFSET(CRONOPLE!$F$15,$M28-$A$15,CP$13)))</f>
        <v>0</v>
      </c>
      <c r="CQ28" s="353" t="n">
        <f aca="true">IF(OR($D28&lt;&gt;"Serviço",AND(AUTOEVENTO="Manual",$M28=$A$15)),0,
         IF(OFFSET(CRONOPLE!$F$15,$M28-$A$15,CQ$13)=0,10^12,OFFSET(CRONOPLE!$F$15,$M28-$A$15,CQ$13)))</f>
        <v>0</v>
      </c>
      <c r="CR28" s="353" t="n">
        <f aca="true">IF(OR($D28&lt;&gt;"Serviço",AND(AUTOEVENTO="Manual",$M28=$A$15)),0,
         IF(OFFSET(CRONOPLE!$F$15,$M28-$A$15,CR$13)=0,10^12,OFFSET(CRONOPLE!$F$15,$M28-$A$15,CR$13)))</f>
        <v>0</v>
      </c>
      <c r="CT28" s="354" t="n">
        <f aca="true">IF(OR($D28&lt;&gt;"Serviço",AND(AUTOEVENTO="Manual",$M28=$A$15),$M28&gt;(ROW(PLE.lastrow)-ROW(PLE.firstrow))),0,
           IF(OFFSET(PLE!$G$15,$M28-$A$15,CT$13)="",10^12,OFFSET(PLE!$G$15,$M28-$A$15,CT$13)))</f>
        <v>0</v>
      </c>
      <c r="CU28" s="354" t="n">
        <f aca="true">IF(OR($D28&lt;&gt;"Serviço",AND(AUTOEVENTO="Manual",$M28=$A$15),$M28&gt;(ROW(PLE.lastrow)-ROW(PLE.firstrow))),0,
           IF(OFFSET(PLE!$G$15,$M28-$A$15,CU$13)="",10^12,OFFSET(PLE!$G$15,$M28-$A$15,CU$13)))</f>
        <v>0</v>
      </c>
      <c r="CV28" s="354" t="n">
        <f aca="true">IF(OR($D28&lt;&gt;"Serviço",AND(AUTOEVENTO="Manual",$M28=$A$15),$M28&gt;(ROW(PLE.lastrow)-ROW(PLE.firstrow))),0,
           IF(OFFSET(PLE!$G$15,$M28-$A$15,CV$13)="",10^12,OFFSET(PLE!$G$15,$M28-$A$15,CV$13)))</f>
        <v>0</v>
      </c>
      <c r="CW28" s="354" t="n">
        <f aca="true">IF(OR($D28&lt;&gt;"Serviço",AND(AUTOEVENTO="Manual",$M28=$A$15),$M28&gt;(ROW(PLE.lastrow)-ROW(PLE.firstrow))),0,
           IF(OFFSET(PLE!$G$15,$M28-$A$15,CW$13)="",10^12,OFFSET(PLE!$G$15,$M28-$A$15,CW$13)))</f>
        <v>0</v>
      </c>
      <c r="CX28" s="354" t="n">
        <f aca="true">IF(OR($D28&lt;&gt;"Serviço",AND(AUTOEVENTO="Manual",$M28=$A$15),$M28&gt;(ROW(PLE.lastrow)-ROW(PLE.firstrow))),0,
           IF(OFFSET(PLE!$G$15,$M28-$A$15,CX$13)="",10^12,OFFSET(PLE!$G$15,$M28-$A$15,CX$13)))</f>
        <v>0</v>
      </c>
      <c r="CY28" s="354" t="n">
        <f aca="true">IF(OR($D28&lt;&gt;"Serviço",AND(AUTOEVENTO="Manual",$M28=$A$15),$M28&gt;(ROW(PLE.lastrow)-ROW(PLE.firstrow))),0,
           IF(OFFSET(PLE!$G$15,$M28-$A$15,CY$13)="",10^12,OFFSET(PLE!$G$15,$M28-$A$15,CY$13)))</f>
        <v>0</v>
      </c>
      <c r="CZ28" s="354" t="n">
        <f aca="true">IF(OR($D28&lt;&gt;"Serviço",AND(AUTOEVENTO="Manual",$M28=$A$15),$M28&gt;(ROW(PLE.lastrow)-ROW(PLE.firstrow))),0,
           IF(OFFSET(PLE!$G$15,$M28-$A$15,CZ$13)="",10^12,OFFSET(PLE!$G$15,$M28-$A$15,CZ$13)))</f>
        <v>0</v>
      </c>
      <c r="DA28" s="354" t="n">
        <f aca="true">IF(OR($D28&lt;&gt;"Serviço",AND(AUTOEVENTO="Manual",$M28=$A$15),$M28&gt;(ROW(PLE.lastrow)-ROW(PLE.firstrow))),0,
           IF(OFFSET(PLE!$G$15,$M28-$A$15,DA$13)="",10^12,OFFSET(PLE!$G$15,$M28-$A$15,DA$13)))</f>
        <v>0</v>
      </c>
      <c r="DB28" s="354" t="n">
        <f aca="true">IF(OR($D28&lt;&gt;"Serviço",AND(AUTOEVENTO="Manual",$M28=$A$15),$M28&gt;(ROW(PLE.lastrow)-ROW(PLE.firstrow))),0,
           IF(OFFSET(PLE!$G$15,$M28-$A$15,DB$13)="",10^12,OFFSET(PLE!$G$15,$M28-$A$15,DB$13)))</f>
        <v>0</v>
      </c>
      <c r="DC28" s="354" t="n">
        <f aca="true">IF(OR($D28&lt;&gt;"Serviço",AND(AUTOEVENTO="Manual",$M28=$A$15),$M28&gt;(ROW(PLE.lastrow)-ROW(PLE.firstrow))),0,
           IF(OFFSET(PLE!$G$15,$M28-$A$15,DC$13)="",10^12,OFFSET(PLE!$G$15,$M28-$A$15,DC$13)))</f>
        <v>0</v>
      </c>
      <c r="DD28" s="354" t="n">
        <f aca="true">IF(OR($D28&lt;&gt;"Serviço",AND(AUTOEVENTO="Manual",$M28=$A$15),$M28&gt;(ROW(PLE.lastrow)-ROW(PLE.firstrow))),0,
           IF(OFFSET(PLE!$G$15,$M28-$A$15,DD$13)="",10^12,OFFSET(PLE!$G$15,$M28-$A$15,DD$13)))</f>
        <v>0</v>
      </c>
      <c r="DE28" s="354" t="n">
        <f aca="true">IF(OR($D28&lt;&gt;"Serviço",AND(AUTOEVENTO="Manual",$M28=$A$15),$M28&gt;(ROW(PLE.lastrow)-ROW(PLE.firstrow))),0,
           IF(OFFSET(PLE!$G$15,$M28-$A$15,DE$13)="",10^12,OFFSET(PLE!$G$15,$M28-$A$15,DE$13)))</f>
        <v>0</v>
      </c>
      <c r="DF28" s="354" t="n">
        <f aca="true">IF(OR($D28&lt;&gt;"Serviço",AND(AUTOEVENTO="Manual",$M28=$A$15),$M28&gt;(ROW(PLE.lastrow)-ROW(PLE.firstrow))),0,
           IF(OFFSET(PLE!$G$15,$M28-$A$15,DF$13)="",10^12,OFFSET(PLE!$G$15,$M28-$A$15,DF$13)))</f>
        <v>0</v>
      </c>
      <c r="DG28" s="354" t="n">
        <f aca="true">IF(OR($D28&lt;&gt;"Serviço",AND(AUTOEVENTO="Manual",$M28=$A$15),$M28&gt;(ROW(PLE.lastrow)-ROW(PLE.firstrow))),0,
           IF(OFFSET(PLE!$G$15,$M28-$A$15,DG$13)="",10^12,OFFSET(PLE!$G$15,$M28-$A$15,DG$13)))</f>
        <v>0</v>
      </c>
      <c r="DH28" s="354" t="n">
        <f aca="true">IF(OR($D28&lt;&gt;"Serviço",AND(AUTOEVENTO="Manual",$M28=$A$15),$M28&gt;(ROW(PLE.lastrow)-ROW(PLE.firstrow))),0,
           IF(OFFSET(PLE!$G$15,$M28-$A$15,DH$13)="",10^12,OFFSET(PLE!$G$15,$M28-$A$15,DH$13)))</f>
        <v>0</v>
      </c>
      <c r="DI28" s="354" t="n">
        <f aca="true">IF(OR($D28&lt;&gt;"Serviço",AND(AUTOEVENTO="Manual",$M28=$A$15),$M28&gt;(ROW(PLE.lastrow)-ROW(PLE.firstrow))),0,
           IF(OFFSET(PLE!$G$15,$M28-$A$15,DI$13)="",10^12,OFFSET(PLE!$G$15,$M28-$A$15,DI$13)))</f>
        <v>0</v>
      </c>
      <c r="DJ28" s="354" t="n">
        <f aca="true">IF(OR($D28&lt;&gt;"Serviço",AND(AUTOEVENTO="Manual",$M28=$A$15),$M28&gt;(ROW(PLE.lastrow)-ROW(PLE.firstrow))),0,
           IF(OFFSET(PLE!$G$15,$M28-$A$15,DJ$13)="",10^12,OFFSET(PLE!$G$15,$M28-$A$15,DJ$13)))</f>
        <v>0</v>
      </c>
      <c r="DK28" s="354" t="n">
        <f aca="true">IF(OR($D28&lt;&gt;"Serviço",AND(AUTOEVENTO="Manual",$M28=$A$15),$M28&gt;(ROW(PLE.lastrow)-ROW(PLE.firstrow))),0,
           IF(OFFSET(PLE!$G$15,$M28-$A$15,DK$13)="",10^12,OFFSET(PLE!$G$15,$M28-$A$15,DK$13)))</f>
        <v>0</v>
      </c>
      <c r="DL28" s="354" t="n">
        <f aca="true">IF(OR($D28&lt;&gt;"Serviço",AND(AUTOEVENTO="Manual",$M28=$A$15),$M28&gt;(ROW(PLE.lastrow)-ROW(PLE.firstrow))),0,
           IF(OFFSET(PLE!$G$15,$M28-$A$15,DL$13)="",10^12,OFFSET(PLE!$G$15,$M28-$A$15,DL$13)))</f>
        <v>0</v>
      </c>
      <c r="DM28" s="354" t="n">
        <f aca="true">IF(OR($D28&lt;&gt;"Serviço",AND(AUTOEVENTO="Manual",$M28=$A$15),$M28&gt;(ROW(PLE.lastrow)-ROW(PLE.firstrow))),0,
           IF(OFFSET(PLE!$G$15,$M28-$A$15,DM$13)="",10^12,OFFSET(PLE!$G$15,$M28-$A$15,DM$13)))</f>
        <v>0</v>
      </c>
      <c r="DN28" s="354" t="n">
        <f aca="true">IF(OR($D28&lt;&gt;"Serviço",AND(AUTOEVENTO="Manual",$M28=$A$15),$M28&gt;(ROW(PLE.lastrow)-ROW(PLE.firstrow))),0,
           IF(OFFSET(PLE!$G$15,$M28-$A$15,DN$13)="",10^12,OFFSET(PLE!$G$15,$M28-$A$15,DN$13)))</f>
        <v>0</v>
      </c>
      <c r="DO28" s="354" t="n">
        <f aca="true">IF(OR($D28&lt;&gt;"Serviço",AND(AUTOEVENTO="Manual",$M28=$A$15),$M28&gt;(ROW(PLE.lastrow)-ROW(PLE.firstrow))),0,
           IF(OFFSET(PLE!$G$15,$M28-$A$15,DO$13)="",10^12,OFFSET(PLE!$G$15,$M28-$A$15,DO$13)))</f>
        <v>0</v>
      </c>
      <c r="DP28" s="354" t="n">
        <f aca="true">IF(OR($D28&lt;&gt;"Serviço",AND(AUTOEVENTO="Manual",$M28=$A$15),$M28&gt;(ROW(PLE.lastrow)-ROW(PLE.firstrow))),0,
           IF(OFFSET(PLE!$G$15,$M28-$A$15,DP$13)="",10^12,OFFSET(PLE!$G$15,$M28-$A$15,DP$13)))</f>
        <v>0</v>
      </c>
      <c r="DQ28" s="354" t="n">
        <f aca="true">IF(OR($D28&lt;&gt;"Serviço",AND(AUTOEVENTO="Manual",$M28=$A$15),$M28&gt;(ROW(PLE.lastrow)-ROW(PLE.firstrow))),0,
           IF(OFFSET(PLE!$G$15,$M28-$A$15,DQ$13)="",10^12,OFFSET(PLE!$G$15,$M28-$A$15,DQ$13)))</f>
        <v>0</v>
      </c>
      <c r="DR28" s="354" t="n">
        <f aca="true">IF(OR($D28&lt;&gt;"Serviço",AND(AUTOEVENTO="Manual",$M28=$A$15),$M28&gt;(ROW(PLE.lastrow)-ROW(PLE.firstrow))),0,
           IF(OFFSET(PLE!$G$15,$M28-$A$15,DR$13)="",10^12,OFFSET(PLE!$G$15,$M28-$A$15,DR$13)))</f>
        <v>0</v>
      </c>
      <c r="DS28" s="354" t="n">
        <f aca="true">IF(OR($D28&lt;&gt;"Serviço",AND(AUTOEVENTO="Manual",$M28=$A$15),$M28&gt;(ROW(PLE.lastrow)-ROW(PLE.firstrow))),0,
           IF(OFFSET(PLE!$G$15,$M28-$A$15,DS$13)="",10^12,OFFSET(PLE!$G$15,$M28-$A$15,DS$13)))</f>
        <v>0</v>
      </c>
    </row>
    <row r="29" customFormat="false" ht="12.75" hidden="false" customHeight="false" outlineLevel="0" collapsed="false">
      <c r="A29" s="50" t="str">
        <f aca="true">IFERROR(IF(AUTOEVENTO="Manual",IF(K29&lt;&gt;"",MIN(VALUE(LEFT(K29,FIND(".",K29)-1)),COUNTA(EVENTOS.Lista)),0),IF(OR($B29&gt;AUTOEVENTO,$B29="S",$B29=0),SUBSTITUTE(OFFSET($A29,-1,0),IF($D29="Serviço",".",""),""),ROW(A29)-ROW($A$15)&amp;".")),0)</f>
        <v>14.</v>
      </c>
      <c r="B29" s="50" t="n">
        <f aca="true">OFFSET(ORÇAMENTO!C$15,ROW(B29)-ROW(B$15),0)</f>
        <v>2</v>
      </c>
      <c r="C29" s="50" t="str">
        <f aca="true">OFFSET(ORÇAMENTO!L$15,ROW(C29)-ROW(C$15),0)</f>
        <v>F</v>
      </c>
      <c r="D29" s="201" t="str">
        <f aca="true">OFFSET(ORÇAMENTO!N$15,ROW(D29)-ROW(D$15),0)</f>
        <v>Nível 2</v>
      </c>
      <c r="E29" s="202" t="str">
        <f aca="true">OFFSET(ORÇAMENTO!O$15,ROW(E29)-ROW(E$15),0)</f>
        <v>1.5.</v>
      </c>
      <c r="F29" s="341" t="str">
        <f aca="true">OFFSET(ORÇAMENTO!R$15,ROW(F29)-ROW(F$15),0)</f>
        <v>SAPATA</v>
      </c>
      <c r="G29" s="342" t="str">
        <f aca="true">IF($D29&lt;&gt;"Serviço","",OFFSET(ORÇAMENTO!S$15,ROW(G29)-ROW(G$15),0))</f>
        <v/>
      </c>
      <c r="H29" s="207" t="n">
        <f aca="true">IF($D29&lt;&gt;"Serviço",0,IF(ACOMPANHAMENTO="BM",ROUND(OFFSET(ORÇAMENTO!AJ$15,ROW(H29)-ROW(H$15),0),15-13*ORÇAMENTO!$AF$7),SUMPRODUCT(($Q$1:$AQ$1=1)*ROUND($Q29:$AQ29,15-13*ORÇAMENTO!$AF$7))))</f>
        <v>0</v>
      </c>
      <c r="I29" s="343"/>
      <c r="J29" s="344" t="str">
        <f aca="false">IF(OR(B29&lt;&gt;"S",CÁLCULO.FrentesPreenchidas=0),"",IF(AND(ACOMPANHAMENTO="PLE",AUTOEVENTO="Manual",OR(H29&gt;0,ORÇAMENTO!AC29="QUANT."),OR(K29="",M29=0,N29="")),"►",IF(AND(ACOMPANHAMENTO="PLE",ORÇAMENTO!AC29="QUANT."),"►►",IF(AND(COUNTIF($P$11:$AQ$11,"▼")=0,H29&gt;0,I29=""),"◄",""))))</f>
        <v/>
      </c>
      <c r="K29" s="345"/>
      <c r="L29" s="346" t="s">
        <v>876</v>
      </c>
      <c r="M29" s="347" t="str">
        <f aca="true">IF($D29&lt;&gt;"Serviço","",
          IF(AUTOEVENTO="manual",$A29,
                IF(ISERROR(MATCH($A29,$A$15:OFFSET($A29,-1,0),0)),MAX($M$15:OFFSET(M29,-1,0))+1,
                      INDEX($M$15:OFFSET(M29,-1,0),MATCH($A29,$A$15:OFFSET($A29,-1,0),0)))))</f>
        <v/>
      </c>
      <c r="N29" s="348" t="str">
        <f aca="true">IF($D29&lt;&gt;"Serviço","",
         IF(AUTOEVENTO="Manual",
                IF($A29=0,"&lt;-- defina o número do agrupador",
                       OFFSET(EVENTOS!$D$15,$A29-$A$15,0)),
                OFFSET($F$15,$A29,0)))</f>
        <v/>
      </c>
      <c r="O29" s="349"/>
      <c r="Q29" s="349"/>
      <c r="R29" s="350"/>
      <c r="S29" s="350"/>
      <c r="T29" s="350"/>
      <c r="U29" s="350"/>
      <c r="V29" s="350"/>
      <c r="W29" s="350"/>
      <c r="X29" s="350"/>
      <c r="Y29" s="350"/>
      <c r="Z29" s="351"/>
      <c r="AA29" s="350"/>
      <c r="AB29" s="350"/>
      <c r="AC29" s="350"/>
      <c r="AD29" s="350"/>
      <c r="AE29" s="350"/>
      <c r="AF29" s="350"/>
      <c r="AG29" s="350"/>
      <c r="AH29" s="351"/>
      <c r="AI29" s="350"/>
      <c r="AJ29" s="350"/>
      <c r="AK29" s="350"/>
      <c r="AL29" s="350"/>
      <c r="AM29" s="350"/>
      <c r="AN29" s="350"/>
      <c r="AO29" s="350"/>
      <c r="AP29" s="351"/>
      <c r="AR29" s="352" t="n">
        <f aca="true">IF(AND($D29="Serviço",AR$12&lt;&gt;0,$H29&gt;0,OR(AUTOEVENTO&lt;&gt;"manual",$M29&lt;&gt;$A$15)),
        IF(Import.TipoArredondamento&lt;&gt;"TransfereGOV",
              ROUND(OFFSET($P29,0,AR$13),15-13*ORÇAMENTO!$AF$7)/$H29*OFFSET(ORÇAMENTO!$X$15,ROW(AR29)-ROW(AR$15),0),
              ROUND(ROUND(OFFSET($P29,0,AR$13),15-13*ORÇAMENTO!$AF$7)*OFFSET(ORÇAMENTO!$W$15,ROW(AR29)-ROW(AR$15),0),15-13*ORÇAMENTO!$AF$11)),
         0)</f>
        <v>0</v>
      </c>
      <c r="AS29" s="352" t="n">
        <f aca="true">IF(AND($D29="Serviço",AS$12&lt;&gt;0,$H29&gt;0,OR(AUTOEVENTO&lt;&gt;"manual",$M29&lt;&gt;$A$15)),
        IF(Import.TipoArredondamento&lt;&gt;"TransfereGOV",
              ROUND(OFFSET($P29,0,AS$13),15-13*ORÇAMENTO!$AF$7)/$H29*OFFSET(ORÇAMENTO!$X$15,ROW(AS29)-ROW(AS$15),0),
              ROUND(ROUND(OFFSET($P29,0,AS$13),15-13*ORÇAMENTO!$AF$7)*OFFSET(ORÇAMENTO!$W$15,ROW(AS29)-ROW(AS$15),0),15-13*ORÇAMENTO!$AF$11)),
         0)</f>
        <v>0</v>
      </c>
      <c r="AT29" s="352" t="n">
        <f aca="true">IF(AND($D29="Serviço",AT$12&lt;&gt;0,$H29&gt;0,OR(AUTOEVENTO&lt;&gt;"manual",$M29&lt;&gt;$A$15)),
        IF(Import.TipoArredondamento&lt;&gt;"TransfereGOV",
              ROUND(OFFSET($P29,0,AT$13),15-13*ORÇAMENTO!$AF$7)/$H29*OFFSET(ORÇAMENTO!$X$15,ROW(AT29)-ROW(AT$15),0),
              ROUND(ROUND(OFFSET($P29,0,AT$13),15-13*ORÇAMENTO!$AF$7)*OFFSET(ORÇAMENTO!$W$15,ROW(AT29)-ROW(AT$15),0),15-13*ORÇAMENTO!$AF$11)),
         0)</f>
        <v>0</v>
      </c>
      <c r="AU29" s="352" t="n">
        <f aca="true">IF(AND($D29="Serviço",AU$12&lt;&gt;0,$H29&gt;0,OR(AUTOEVENTO&lt;&gt;"manual",$M29&lt;&gt;$A$15)),
        IF(Import.TipoArredondamento&lt;&gt;"TransfereGOV",
              ROUND(OFFSET($P29,0,AU$13),15-13*ORÇAMENTO!$AF$7)/$H29*OFFSET(ORÇAMENTO!$X$15,ROW(AU29)-ROW(AU$15),0),
              ROUND(ROUND(OFFSET($P29,0,AU$13),15-13*ORÇAMENTO!$AF$7)*OFFSET(ORÇAMENTO!$W$15,ROW(AU29)-ROW(AU$15),0),15-13*ORÇAMENTO!$AF$11)),
         0)</f>
        <v>0</v>
      </c>
      <c r="AV29" s="352" t="n">
        <f aca="true">IF(AND($D29="Serviço",AV$12&lt;&gt;0,$H29&gt;0,OR(AUTOEVENTO&lt;&gt;"manual",$M29&lt;&gt;$A$15)),
        IF(Import.TipoArredondamento&lt;&gt;"TransfereGOV",
              ROUND(OFFSET($P29,0,AV$13),15-13*ORÇAMENTO!$AF$7)/$H29*OFFSET(ORÇAMENTO!$X$15,ROW(AV29)-ROW(AV$15),0),
              ROUND(ROUND(OFFSET($P29,0,AV$13),15-13*ORÇAMENTO!$AF$7)*OFFSET(ORÇAMENTO!$W$15,ROW(AV29)-ROW(AV$15),0),15-13*ORÇAMENTO!$AF$11)),
         0)</f>
        <v>0</v>
      </c>
      <c r="AW29" s="352" t="n">
        <f aca="true">IF(AND($D29="Serviço",AW$12&lt;&gt;0,$H29&gt;0,OR(AUTOEVENTO&lt;&gt;"manual",$M29&lt;&gt;$A$15)),
        IF(Import.TipoArredondamento&lt;&gt;"TransfereGOV",
              ROUND(OFFSET($P29,0,AW$13),15-13*ORÇAMENTO!$AF$7)/$H29*OFFSET(ORÇAMENTO!$X$15,ROW(AW29)-ROW(AW$15),0),
              ROUND(ROUND(OFFSET($P29,0,AW$13),15-13*ORÇAMENTO!$AF$7)*OFFSET(ORÇAMENTO!$W$15,ROW(AW29)-ROW(AW$15),0),15-13*ORÇAMENTO!$AF$11)),
         0)</f>
        <v>0</v>
      </c>
      <c r="AX29" s="352" t="n">
        <f aca="true">IF(AND($D29="Serviço",AX$12&lt;&gt;0,$H29&gt;0,OR(AUTOEVENTO&lt;&gt;"manual",$M29&lt;&gt;$A$15)),
        IF(Import.TipoArredondamento&lt;&gt;"TransfereGOV",
              ROUND(OFFSET($P29,0,AX$13),15-13*ORÇAMENTO!$AF$7)/$H29*OFFSET(ORÇAMENTO!$X$15,ROW(AX29)-ROW(AX$15),0),
              ROUND(ROUND(OFFSET($P29,0,AX$13),15-13*ORÇAMENTO!$AF$7)*OFFSET(ORÇAMENTO!$W$15,ROW(AX29)-ROW(AX$15),0),15-13*ORÇAMENTO!$AF$11)),
         0)</f>
        <v>0</v>
      </c>
      <c r="AY29" s="352" t="n">
        <f aca="true">IF(AND($D29="Serviço",AY$12&lt;&gt;0,$H29&gt;0,OR(AUTOEVENTO&lt;&gt;"manual",$M29&lt;&gt;$A$15)),
        IF(Import.TipoArredondamento&lt;&gt;"TransfereGOV",
              ROUND(OFFSET($P29,0,AY$13),15-13*ORÇAMENTO!$AF$7)/$H29*OFFSET(ORÇAMENTO!$X$15,ROW(AY29)-ROW(AY$15),0),
              ROUND(ROUND(OFFSET($P29,0,AY$13),15-13*ORÇAMENTO!$AF$7)*OFFSET(ORÇAMENTO!$W$15,ROW(AY29)-ROW(AY$15),0),15-13*ORÇAMENTO!$AF$11)),
         0)</f>
        <v>0</v>
      </c>
      <c r="AZ29" s="352" t="n">
        <f aca="true">IF(AND($D29="Serviço",AZ$12&lt;&gt;0,$H29&gt;0,OR(AUTOEVENTO&lt;&gt;"manual",$M29&lt;&gt;$A$15)),
        IF(Import.TipoArredondamento&lt;&gt;"TransfereGOV",
              ROUND(OFFSET($P29,0,AZ$13),15-13*ORÇAMENTO!$AF$7)/$H29*OFFSET(ORÇAMENTO!$X$15,ROW(AZ29)-ROW(AZ$15),0),
              ROUND(ROUND(OFFSET($P29,0,AZ$13),15-13*ORÇAMENTO!$AF$7)*OFFSET(ORÇAMENTO!$W$15,ROW(AZ29)-ROW(AZ$15),0),15-13*ORÇAMENTO!$AF$11)),
         0)</f>
        <v>0</v>
      </c>
      <c r="BA29" s="352" t="n">
        <f aca="true">IF(AND($D29="Serviço",BA$12&lt;&gt;0,$H29&gt;0,OR(AUTOEVENTO&lt;&gt;"manual",$M29&lt;&gt;$A$15)),
        IF(Import.TipoArredondamento&lt;&gt;"TransfereGOV",
              ROUND(OFFSET($P29,0,BA$13),15-13*ORÇAMENTO!$AF$7)/$H29*OFFSET(ORÇAMENTO!$X$15,ROW(BA29)-ROW(BA$15),0),
              ROUND(ROUND(OFFSET($P29,0,BA$13),15-13*ORÇAMENTO!$AF$7)*OFFSET(ORÇAMENTO!$W$15,ROW(BA29)-ROW(BA$15),0),15-13*ORÇAMENTO!$AF$11)),
         0)</f>
        <v>0</v>
      </c>
      <c r="BB29" s="352" t="n">
        <f aca="true">IF(AND($D29="Serviço",BB$12&lt;&gt;0,$H29&gt;0,OR(AUTOEVENTO&lt;&gt;"manual",$M29&lt;&gt;$A$15)),
        IF(Import.TipoArredondamento&lt;&gt;"TransfereGOV",
              ROUND(OFFSET($P29,0,BB$13),15-13*ORÇAMENTO!$AF$7)/$H29*OFFSET(ORÇAMENTO!$X$15,ROW(BB29)-ROW(BB$15),0),
              ROUND(ROUND(OFFSET($P29,0,BB$13),15-13*ORÇAMENTO!$AF$7)*OFFSET(ORÇAMENTO!$W$15,ROW(BB29)-ROW(BB$15),0),15-13*ORÇAMENTO!$AF$11)),
         0)</f>
        <v>0</v>
      </c>
      <c r="BC29" s="352" t="n">
        <f aca="true">IF(AND($D29="Serviço",BC$12&lt;&gt;0,$H29&gt;0,OR(AUTOEVENTO&lt;&gt;"manual",$M29&lt;&gt;$A$15)),
        IF(Import.TipoArredondamento&lt;&gt;"TransfereGOV",
              ROUND(OFFSET($P29,0,BC$13),15-13*ORÇAMENTO!$AF$7)/$H29*OFFSET(ORÇAMENTO!$X$15,ROW(BC29)-ROW(BC$15),0),
              ROUND(ROUND(OFFSET($P29,0,BC$13),15-13*ORÇAMENTO!$AF$7)*OFFSET(ORÇAMENTO!$W$15,ROW(BC29)-ROW(BC$15),0),15-13*ORÇAMENTO!$AF$11)),
         0)</f>
        <v>0</v>
      </c>
      <c r="BD29" s="352" t="n">
        <f aca="true">IF(AND($D29="Serviço",BD$12&lt;&gt;0,$H29&gt;0,OR(AUTOEVENTO&lt;&gt;"manual",$M29&lt;&gt;$A$15)),
        IF(Import.TipoArredondamento&lt;&gt;"TransfereGOV",
              ROUND(OFFSET($P29,0,BD$13),15-13*ORÇAMENTO!$AF$7)/$H29*OFFSET(ORÇAMENTO!$X$15,ROW(BD29)-ROW(BD$15),0),
              ROUND(ROUND(OFFSET($P29,0,BD$13),15-13*ORÇAMENTO!$AF$7)*OFFSET(ORÇAMENTO!$W$15,ROW(BD29)-ROW(BD$15),0),15-13*ORÇAMENTO!$AF$11)),
         0)</f>
        <v>0</v>
      </c>
      <c r="BE29" s="352" t="n">
        <f aca="true">IF(AND($D29="Serviço",BE$12&lt;&gt;0,$H29&gt;0,OR(AUTOEVENTO&lt;&gt;"manual",$M29&lt;&gt;$A$15)),
        IF(Import.TipoArredondamento&lt;&gt;"TransfereGOV",
              ROUND(OFFSET($P29,0,BE$13),15-13*ORÇAMENTO!$AF$7)/$H29*OFFSET(ORÇAMENTO!$X$15,ROW(BE29)-ROW(BE$15),0),
              ROUND(ROUND(OFFSET($P29,0,BE$13),15-13*ORÇAMENTO!$AF$7)*OFFSET(ORÇAMENTO!$W$15,ROW(BE29)-ROW(BE$15),0),15-13*ORÇAMENTO!$AF$11)),
         0)</f>
        <v>0</v>
      </c>
      <c r="BF29" s="352" t="n">
        <f aca="true">IF(AND($D29="Serviço",BF$12&lt;&gt;0,$H29&gt;0,OR(AUTOEVENTO&lt;&gt;"manual",$M29&lt;&gt;$A$15)),
        IF(Import.TipoArredondamento&lt;&gt;"TransfereGOV",
              ROUND(OFFSET($P29,0,BF$13),15-13*ORÇAMENTO!$AF$7)/$H29*OFFSET(ORÇAMENTO!$X$15,ROW(BF29)-ROW(BF$15),0),
              ROUND(ROUND(OFFSET($P29,0,BF$13),15-13*ORÇAMENTO!$AF$7)*OFFSET(ORÇAMENTO!$W$15,ROW(BF29)-ROW(BF$15),0),15-13*ORÇAMENTO!$AF$11)),
         0)</f>
        <v>0</v>
      </c>
      <c r="BG29" s="352" t="n">
        <f aca="true">IF(AND($D29="Serviço",BG$12&lt;&gt;0,$H29&gt;0,OR(AUTOEVENTO&lt;&gt;"manual",$M29&lt;&gt;$A$15)),
        IF(Import.TipoArredondamento&lt;&gt;"TransfereGOV",
              ROUND(OFFSET($P29,0,BG$13),15-13*ORÇAMENTO!$AF$7)/$H29*OFFSET(ORÇAMENTO!$X$15,ROW(BG29)-ROW(BG$15),0),
              ROUND(ROUND(OFFSET($P29,0,BG$13),15-13*ORÇAMENTO!$AF$7)*OFFSET(ORÇAMENTO!$W$15,ROW(BG29)-ROW(BG$15),0),15-13*ORÇAMENTO!$AF$11)),
         0)</f>
        <v>0</v>
      </c>
      <c r="BH29" s="352" t="n">
        <f aca="true">IF(AND($D29="Serviço",BH$12&lt;&gt;0,$H29&gt;0,OR(AUTOEVENTO&lt;&gt;"manual",$M29&lt;&gt;$A$15)),
        IF(Import.TipoArredondamento&lt;&gt;"TransfereGOV",
              ROUND(OFFSET($P29,0,BH$13),15-13*ORÇAMENTO!$AF$7)/$H29*OFFSET(ORÇAMENTO!$X$15,ROW(BH29)-ROW(BH$15),0),
              ROUND(ROUND(OFFSET($P29,0,BH$13),15-13*ORÇAMENTO!$AF$7)*OFFSET(ORÇAMENTO!$W$15,ROW(BH29)-ROW(BH$15),0),15-13*ORÇAMENTO!$AF$11)),
         0)</f>
        <v>0</v>
      </c>
      <c r="BI29" s="352" t="n">
        <f aca="true">IF(AND($D29="Serviço",BI$12&lt;&gt;0,$H29&gt;0,OR(AUTOEVENTO&lt;&gt;"manual",$M29&lt;&gt;$A$15)),
        IF(Import.TipoArredondamento&lt;&gt;"TransfereGOV",
              ROUND(OFFSET($P29,0,BI$13),15-13*ORÇAMENTO!$AF$7)/$H29*OFFSET(ORÇAMENTO!$X$15,ROW(BI29)-ROW(BI$15),0),
              ROUND(ROUND(OFFSET($P29,0,BI$13),15-13*ORÇAMENTO!$AF$7)*OFFSET(ORÇAMENTO!$W$15,ROW(BI29)-ROW(BI$15),0),15-13*ORÇAMENTO!$AF$11)),
         0)</f>
        <v>0</v>
      </c>
      <c r="BJ29" s="352" t="n">
        <f aca="true">IF(AND($D29="Serviço",BJ$12&lt;&gt;0,$H29&gt;0,OR(AUTOEVENTO&lt;&gt;"manual",$M29&lt;&gt;$A$15)),
        IF(Import.TipoArredondamento&lt;&gt;"TransfereGOV",
              ROUND(OFFSET($P29,0,BJ$13),15-13*ORÇAMENTO!$AF$7)/$H29*OFFSET(ORÇAMENTO!$X$15,ROW(BJ29)-ROW(BJ$15),0),
              ROUND(ROUND(OFFSET($P29,0,BJ$13),15-13*ORÇAMENTO!$AF$7)*OFFSET(ORÇAMENTO!$W$15,ROW(BJ29)-ROW(BJ$15),0),15-13*ORÇAMENTO!$AF$11)),
         0)</f>
        <v>0</v>
      </c>
      <c r="BK29" s="352" t="n">
        <f aca="true">IF(AND($D29="Serviço",BK$12&lt;&gt;0,$H29&gt;0,OR(AUTOEVENTO&lt;&gt;"manual",$M29&lt;&gt;$A$15)),
        IF(Import.TipoArredondamento&lt;&gt;"TransfereGOV",
              ROUND(OFFSET($P29,0,BK$13),15-13*ORÇAMENTO!$AF$7)/$H29*OFFSET(ORÇAMENTO!$X$15,ROW(BK29)-ROW(BK$15),0),
              ROUND(ROUND(OFFSET($P29,0,BK$13),15-13*ORÇAMENTO!$AF$7)*OFFSET(ORÇAMENTO!$W$15,ROW(BK29)-ROW(BK$15),0),15-13*ORÇAMENTO!$AF$11)),
         0)</f>
        <v>0</v>
      </c>
      <c r="BL29" s="352" t="n">
        <f aca="true">IF(AND($D29="Serviço",BL$12&lt;&gt;0,$H29&gt;0,OR(AUTOEVENTO&lt;&gt;"manual",$M29&lt;&gt;$A$15)),
        IF(Import.TipoArredondamento&lt;&gt;"TransfereGOV",
              ROUND(OFFSET($P29,0,BL$13),15-13*ORÇAMENTO!$AF$7)/$H29*OFFSET(ORÇAMENTO!$X$15,ROW(BL29)-ROW(BL$15),0),
              ROUND(ROUND(OFFSET($P29,0,BL$13),15-13*ORÇAMENTO!$AF$7)*OFFSET(ORÇAMENTO!$W$15,ROW(BL29)-ROW(BL$15),0),15-13*ORÇAMENTO!$AF$11)),
         0)</f>
        <v>0</v>
      </c>
      <c r="BM29" s="352" t="n">
        <f aca="true">IF(AND($D29="Serviço",BM$12&lt;&gt;0,$H29&gt;0,OR(AUTOEVENTO&lt;&gt;"manual",$M29&lt;&gt;$A$15)),
        IF(Import.TipoArredondamento&lt;&gt;"TransfereGOV",
              ROUND(OFFSET($P29,0,BM$13),15-13*ORÇAMENTO!$AF$7)/$H29*OFFSET(ORÇAMENTO!$X$15,ROW(BM29)-ROW(BM$15),0),
              ROUND(ROUND(OFFSET($P29,0,BM$13),15-13*ORÇAMENTO!$AF$7)*OFFSET(ORÇAMENTO!$W$15,ROW(BM29)-ROW(BM$15),0),15-13*ORÇAMENTO!$AF$11)),
         0)</f>
        <v>0</v>
      </c>
      <c r="BN29" s="352" t="n">
        <f aca="true">IF(AND($D29="Serviço",BN$12&lt;&gt;0,$H29&gt;0,OR(AUTOEVENTO&lt;&gt;"manual",$M29&lt;&gt;$A$15)),
        IF(Import.TipoArredondamento&lt;&gt;"TransfereGOV",
              ROUND(OFFSET($P29,0,BN$13),15-13*ORÇAMENTO!$AF$7)/$H29*OFFSET(ORÇAMENTO!$X$15,ROW(BN29)-ROW(BN$15),0),
              ROUND(ROUND(OFFSET($P29,0,BN$13),15-13*ORÇAMENTO!$AF$7)*OFFSET(ORÇAMENTO!$W$15,ROW(BN29)-ROW(BN$15),0),15-13*ORÇAMENTO!$AF$11)),
         0)</f>
        <v>0</v>
      </c>
      <c r="BO29" s="352" t="n">
        <f aca="true">IF(AND($D29="Serviço",BO$12&lt;&gt;0,$H29&gt;0,OR(AUTOEVENTO&lt;&gt;"manual",$M29&lt;&gt;$A$15)),
        IF(Import.TipoArredondamento&lt;&gt;"TransfereGOV",
              ROUND(OFFSET($P29,0,BO$13),15-13*ORÇAMENTO!$AF$7)/$H29*OFFSET(ORÇAMENTO!$X$15,ROW(BO29)-ROW(BO$15),0),
              ROUND(ROUND(OFFSET($P29,0,BO$13),15-13*ORÇAMENTO!$AF$7)*OFFSET(ORÇAMENTO!$W$15,ROW(BO29)-ROW(BO$15),0),15-13*ORÇAMENTO!$AF$11)),
         0)</f>
        <v>0</v>
      </c>
      <c r="BP29" s="352" t="n">
        <f aca="true">IF(AND($D29="Serviço",BP$12&lt;&gt;0,$H29&gt;0,OR(AUTOEVENTO&lt;&gt;"manual",$M29&lt;&gt;$A$15)),
        IF(Import.TipoArredondamento&lt;&gt;"TransfereGOV",
              ROUND(OFFSET($P29,0,BP$13),15-13*ORÇAMENTO!$AF$7)/$H29*OFFSET(ORÇAMENTO!$X$15,ROW(BP29)-ROW(BP$15),0),
              ROUND(ROUND(OFFSET($P29,0,BP$13),15-13*ORÇAMENTO!$AF$7)*OFFSET(ORÇAMENTO!$W$15,ROW(BP29)-ROW(BP$15),0),15-13*ORÇAMENTO!$AF$11)),
         0)</f>
        <v>0</v>
      </c>
      <c r="BQ29" s="352" t="n">
        <f aca="true">IF(AND($D29="Serviço",BQ$12&lt;&gt;0,$H29&gt;0,OR(AUTOEVENTO&lt;&gt;"manual",$M29&lt;&gt;$A$15)),
        IF(Import.TipoArredondamento&lt;&gt;"TransfereGOV",
              ROUND(OFFSET($P29,0,BQ$13),15-13*ORÇAMENTO!$AF$7)/$H29*OFFSET(ORÇAMENTO!$X$15,ROW(BQ29)-ROW(BQ$15),0),
              ROUND(ROUND(OFFSET($P29,0,BQ$13),15-13*ORÇAMENTO!$AF$7)*OFFSET(ORÇAMENTO!$W$15,ROW(BQ29)-ROW(BQ$15),0),15-13*ORÇAMENTO!$AF$11)),
         0)</f>
        <v>0</v>
      </c>
      <c r="BS29" s="353" t="n">
        <f aca="true">IF(OR($D29&lt;&gt;"Serviço",AND(AUTOEVENTO="Manual",$M29=$A$15)),0,
         IF(OFFSET(CRONOPLE!$F$15,$M29-$A$15,BS$13)=0,10^12,OFFSET(CRONOPLE!$F$15,$M29-$A$15,BS$13)))</f>
        <v>0</v>
      </c>
      <c r="BT29" s="353" t="n">
        <f aca="true">IF(OR($D29&lt;&gt;"Serviço",AND(AUTOEVENTO="Manual",$M29=$A$15)),0,
         IF(OFFSET(CRONOPLE!$F$15,$M29-$A$15,BT$13)=0,10^12,OFFSET(CRONOPLE!$F$15,$M29-$A$15,BT$13)))</f>
        <v>0</v>
      </c>
      <c r="BU29" s="353" t="n">
        <f aca="true">IF(OR($D29&lt;&gt;"Serviço",AND(AUTOEVENTO="Manual",$M29=$A$15)),0,
         IF(OFFSET(CRONOPLE!$F$15,$M29-$A$15,BU$13)=0,10^12,OFFSET(CRONOPLE!$F$15,$M29-$A$15,BU$13)))</f>
        <v>0</v>
      </c>
      <c r="BV29" s="353" t="n">
        <f aca="true">IF(OR($D29&lt;&gt;"Serviço",AND(AUTOEVENTO="Manual",$M29=$A$15)),0,
         IF(OFFSET(CRONOPLE!$F$15,$M29-$A$15,BV$13)=0,10^12,OFFSET(CRONOPLE!$F$15,$M29-$A$15,BV$13)))</f>
        <v>0</v>
      </c>
      <c r="BW29" s="353" t="n">
        <f aca="true">IF(OR($D29&lt;&gt;"Serviço",AND(AUTOEVENTO="Manual",$M29=$A$15)),0,
         IF(OFFSET(CRONOPLE!$F$15,$M29-$A$15,BW$13)=0,10^12,OFFSET(CRONOPLE!$F$15,$M29-$A$15,BW$13)))</f>
        <v>0</v>
      </c>
      <c r="BX29" s="353" t="n">
        <f aca="true">IF(OR($D29&lt;&gt;"Serviço",AND(AUTOEVENTO="Manual",$M29=$A$15)),0,
         IF(OFFSET(CRONOPLE!$F$15,$M29-$A$15,BX$13)=0,10^12,OFFSET(CRONOPLE!$F$15,$M29-$A$15,BX$13)))</f>
        <v>0</v>
      </c>
      <c r="BY29" s="353" t="n">
        <f aca="true">IF(OR($D29&lt;&gt;"Serviço",AND(AUTOEVENTO="Manual",$M29=$A$15)),0,
         IF(OFFSET(CRONOPLE!$F$15,$M29-$A$15,BY$13)=0,10^12,OFFSET(CRONOPLE!$F$15,$M29-$A$15,BY$13)))</f>
        <v>0</v>
      </c>
      <c r="BZ29" s="353" t="n">
        <f aca="true">IF(OR($D29&lt;&gt;"Serviço",AND(AUTOEVENTO="Manual",$M29=$A$15)),0,
         IF(OFFSET(CRONOPLE!$F$15,$M29-$A$15,BZ$13)=0,10^12,OFFSET(CRONOPLE!$F$15,$M29-$A$15,BZ$13)))</f>
        <v>0</v>
      </c>
      <c r="CA29" s="353" t="n">
        <f aca="true">IF(OR($D29&lt;&gt;"Serviço",AND(AUTOEVENTO="Manual",$M29=$A$15)),0,
         IF(OFFSET(CRONOPLE!$F$15,$M29-$A$15,CA$13)=0,10^12,OFFSET(CRONOPLE!$F$15,$M29-$A$15,CA$13)))</f>
        <v>0</v>
      </c>
      <c r="CB29" s="353" t="n">
        <f aca="true">IF(OR($D29&lt;&gt;"Serviço",AND(AUTOEVENTO="Manual",$M29=$A$15)),0,
         IF(OFFSET(CRONOPLE!$F$15,$M29-$A$15,CB$13)=0,10^12,OFFSET(CRONOPLE!$F$15,$M29-$A$15,CB$13)))</f>
        <v>0</v>
      </c>
      <c r="CC29" s="353" t="n">
        <f aca="true">IF(OR($D29&lt;&gt;"Serviço",AND(AUTOEVENTO="Manual",$M29=$A$15)),0,
         IF(OFFSET(CRONOPLE!$F$15,$M29-$A$15,CC$13)=0,10^12,OFFSET(CRONOPLE!$F$15,$M29-$A$15,CC$13)))</f>
        <v>0</v>
      </c>
      <c r="CD29" s="353" t="n">
        <f aca="true">IF(OR($D29&lt;&gt;"Serviço",AND(AUTOEVENTO="Manual",$M29=$A$15)),0,
         IF(OFFSET(CRONOPLE!$F$15,$M29-$A$15,CD$13)=0,10^12,OFFSET(CRONOPLE!$F$15,$M29-$A$15,CD$13)))</f>
        <v>0</v>
      </c>
      <c r="CE29" s="353" t="n">
        <f aca="true">IF(OR($D29&lt;&gt;"Serviço",AND(AUTOEVENTO="Manual",$M29=$A$15)),0,
         IF(OFFSET(CRONOPLE!$F$15,$M29-$A$15,CE$13)=0,10^12,OFFSET(CRONOPLE!$F$15,$M29-$A$15,CE$13)))</f>
        <v>0</v>
      </c>
      <c r="CF29" s="353" t="n">
        <f aca="true">IF(OR($D29&lt;&gt;"Serviço",AND(AUTOEVENTO="Manual",$M29=$A$15)),0,
         IF(OFFSET(CRONOPLE!$F$15,$M29-$A$15,CF$13)=0,10^12,OFFSET(CRONOPLE!$F$15,$M29-$A$15,CF$13)))</f>
        <v>0</v>
      </c>
      <c r="CG29" s="353" t="n">
        <f aca="true">IF(OR($D29&lt;&gt;"Serviço",AND(AUTOEVENTO="Manual",$M29=$A$15)),0,
         IF(OFFSET(CRONOPLE!$F$15,$M29-$A$15,CG$13)=0,10^12,OFFSET(CRONOPLE!$F$15,$M29-$A$15,CG$13)))</f>
        <v>0</v>
      </c>
      <c r="CH29" s="353" t="n">
        <f aca="true">IF(OR($D29&lt;&gt;"Serviço",AND(AUTOEVENTO="Manual",$M29=$A$15)),0,
         IF(OFFSET(CRONOPLE!$F$15,$M29-$A$15,CH$13)=0,10^12,OFFSET(CRONOPLE!$F$15,$M29-$A$15,CH$13)))</f>
        <v>0</v>
      </c>
      <c r="CI29" s="353" t="n">
        <f aca="true">IF(OR($D29&lt;&gt;"Serviço",AND(AUTOEVENTO="Manual",$M29=$A$15)),0,
         IF(OFFSET(CRONOPLE!$F$15,$M29-$A$15,CI$13)=0,10^12,OFFSET(CRONOPLE!$F$15,$M29-$A$15,CI$13)))</f>
        <v>0</v>
      </c>
      <c r="CJ29" s="353" t="n">
        <f aca="true">IF(OR($D29&lt;&gt;"Serviço",AND(AUTOEVENTO="Manual",$M29=$A$15)),0,
         IF(OFFSET(CRONOPLE!$F$15,$M29-$A$15,CJ$13)=0,10^12,OFFSET(CRONOPLE!$F$15,$M29-$A$15,CJ$13)))</f>
        <v>0</v>
      </c>
      <c r="CK29" s="353" t="n">
        <f aca="true">IF(OR($D29&lt;&gt;"Serviço",AND(AUTOEVENTO="Manual",$M29=$A$15)),0,
         IF(OFFSET(CRONOPLE!$F$15,$M29-$A$15,CK$13)=0,10^12,OFFSET(CRONOPLE!$F$15,$M29-$A$15,CK$13)))</f>
        <v>0</v>
      </c>
      <c r="CL29" s="353" t="n">
        <f aca="true">IF(OR($D29&lt;&gt;"Serviço",AND(AUTOEVENTO="Manual",$M29=$A$15)),0,
         IF(OFFSET(CRONOPLE!$F$15,$M29-$A$15,CL$13)=0,10^12,OFFSET(CRONOPLE!$F$15,$M29-$A$15,CL$13)))</f>
        <v>0</v>
      </c>
      <c r="CM29" s="353" t="n">
        <f aca="true">IF(OR($D29&lt;&gt;"Serviço",AND(AUTOEVENTO="Manual",$M29=$A$15)),0,
         IF(OFFSET(CRONOPLE!$F$15,$M29-$A$15,CM$13)=0,10^12,OFFSET(CRONOPLE!$F$15,$M29-$A$15,CM$13)))</f>
        <v>0</v>
      </c>
      <c r="CN29" s="353" t="n">
        <f aca="true">IF(OR($D29&lt;&gt;"Serviço",AND(AUTOEVENTO="Manual",$M29=$A$15)),0,
         IF(OFFSET(CRONOPLE!$F$15,$M29-$A$15,CN$13)=0,10^12,OFFSET(CRONOPLE!$F$15,$M29-$A$15,CN$13)))</f>
        <v>0</v>
      </c>
      <c r="CO29" s="353" t="n">
        <f aca="true">IF(OR($D29&lt;&gt;"Serviço",AND(AUTOEVENTO="Manual",$M29=$A$15)),0,
         IF(OFFSET(CRONOPLE!$F$15,$M29-$A$15,CO$13)=0,10^12,OFFSET(CRONOPLE!$F$15,$M29-$A$15,CO$13)))</f>
        <v>0</v>
      </c>
      <c r="CP29" s="353" t="n">
        <f aca="true">IF(OR($D29&lt;&gt;"Serviço",AND(AUTOEVENTO="Manual",$M29=$A$15)),0,
         IF(OFFSET(CRONOPLE!$F$15,$M29-$A$15,CP$13)=0,10^12,OFFSET(CRONOPLE!$F$15,$M29-$A$15,CP$13)))</f>
        <v>0</v>
      </c>
      <c r="CQ29" s="353" t="n">
        <f aca="true">IF(OR($D29&lt;&gt;"Serviço",AND(AUTOEVENTO="Manual",$M29=$A$15)),0,
         IF(OFFSET(CRONOPLE!$F$15,$M29-$A$15,CQ$13)=0,10^12,OFFSET(CRONOPLE!$F$15,$M29-$A$15,CQ$13)))</f>
        <v>0</v>
      </c>
      <c r="CR29" s="353" t="n">
        <f aca="true">IF(OR($D29&lt;&gt;"Serviço",AND(AUTOEVENTO="Manual",$M29=$A$15)),0,
         IF(OFFSET(CRONOPLE!$F$15,$M29-$A$15,CR$13)=0,10^12,OFFSET(CRONOPLE!$F$15,$M29-$A$15,CR$13)))</f>
        <v>0</v>
      </c>
      <c r="CT29" s="354" t="n">
        <f aca="true">IF(OR($D29&lt;&gt;"Serviço",AND(AUTOEVENTO="Manual",$M29=$A$15),$M29&gt;(ROW(PLE.lastrow)-ROW(PLE.firstrow))),0,
           IF(OFFSET(PLE!$G$15,$M29-$A$15,CT$13)="",10^12,OFFSET(PLE!$G$15,$M29-$A$15,CT$13)))</f>
        <v>0</v>
      </c>
      <c r="CU29" s="354" t="n">
        <f aca="true">IF(OR($D29&lt;&gt;"Serviço",AND(AUTOEVENTO="Manual",$M29=$A$15),$M29&gt;(ROW(PLE.lastrow)-ROW(PLE.firstrow))),0,
           IF(OFFSET(PLE!$G$15,$M29-$A$15,CU$13)="",10^12,OFFSET(PLE!$G$15,$M29-$A$15,CU$13)))</f>
        <v>0</v>
      </c>
      <c r="CV29" s="354" t="n">
        <f aca="true">IF(OR($D29&lt;&gt;"Serviço",AND(AUTOEVENTO="Manual",$M29=$A$15),$M29&gt;(ROW(PLE.lastrow)-ROW(PLE.firstrow))),0,
           IF(OFFSET(PLE!$G$15,$M29-$A$15,CV$13)="",10^12,OFFSET(PLE!$G$15,$M29-$A$15,CV$13)))</f>
        <v>0</v>
      </c>
      <c r="CW29" s="354" t="n">
        <f aca="true">IF(OR($D29&lt;&gt;"Serviço",AND(AUTOEVENTO="Manual",$M29=$A$15),$M29&gt;(ROW(PLE.lastrow)-ROW(PLE.firstrow))),0,
           IF(OFFSET(PLE!$G$15,$M29-$A$15,CW$13)="",10^12,OFFSET(PLE!$G$15,$M29-$A$15,CW$13)))</f>
        <v>0</v>
      </c>
      <c r="CX29" s="354" t="n">
        <f aca="true">IF(OR($D29&lt;&gt;"Serviço",AND(AUTOEVENTO="Manual",$M29=$A$15),$M29&gt;(ROW(PLE.lastrow)-ROW(PLE.firstrow))),0,
           IF(OFFSET(PLE!$G$15,$M29-$A$15,CX$13)="",10^12,OFFSET(PLE!$G$15,$M29-$A$15,CX$13)))</f>
        <v>0</v>
      </c>
      <c r="CY29" s="354" t="n">
        <f aca="true">IF(OR($D29&lt;&gt;"Serviço",AND(AUTOEVENTO="Manual",$M29=$A$15),$M29&gt;(ROW(PLE.lastrow)-ROW(PLE.firstrow))),0,
           IF(OFFSET(PLE!$G$15,$M29-$A$15,CY$13)="",10^12,OFFSET(PLE!$G$15,$M29-$A$15,CY$13)))</f>
        <v>0</v>
      </c>
      <c r="CZ29" s="354" t="n">
        <f aca="true">IF(OR($D29&lt;&gt;"Serviço",AND(AUTOEVENTO="Manual",$M29=$A$15),$M29&gt;(ROW(PLE.lastrow)-ROW(PLE.firstrow))),0,
           IF(OFFSET(PLE!$G$15,$M29-$A$15,CZ$13)="",10^12,OFFSET(PLE!$G$15,$M29-$A$15,CZ$13)))</f>
        <v>0</v>
      </c>
      <c r="DA29" s="354" t="n">
        <f aca="true">IF(OR($D29&lt;&gt;"Serviço",AND(AUTOEVENTO="Manual",$M29=$A$15),$M29&gt;(ROW(PLE.lastrow)-ROW(PLE.firstrow))),0,
           IF(OFFSET(PLE!$G$15,$M29-$A$15,DA$13)="",10^12,OFFSET(PLE!$G$15,$M29-$A$15,DA$13)))</f>
        <v>0</v>
      </c>
      <c r="DB29" s="354" t="n">
        <f aca="true">IF(OR($D29&lt;&gt;"Serviço",AND(AUTOEVENTO="Manual",$M29=$A$15),$M29&gt;(ROW(PLE.lastrow)-ROW(PLE.firstrow))),0,
           IF(OFFSET(PLE!$G$15,$M29-$A$15,DB$13)="",10^12,OFFSET(PLE!$G$15,$M29-$A$15,DB$13)))</f>
        <v>0</v>
      </c>
      <c r="DC29" s="354" t="n">
        <f aca="true">IF(OR($D29&lt;&gt;"Serviço",AND(AUTOEVENTO="Manual",$M29=$A$15),$M29&gt;(ROW(PLE.lastrow)-ROW(PLE.firstrow))),0,
           IF(OFFSET(PLE!$G$15,$M29-$A$15,DC$13)="",10^12,OFFSET(PLE!$G$15,$M29-$A$15,DC$13)))</f>
        <v>0</v>
      </c>
      <c r="DD29" s="354" t="n">
        <f aca="true">IF(OR($D29&lt;&gt;"Serviço",AND(AUTOEVENTO="Manual",$M29=$A$15),$M29&gt;(ROW(PLE.lastrow)-ROW(PLE.firstrow))),0,
           IF(OFFSET(PLE!$G$15,$M29-$A$15,DD$13)="",10^12,OFFSET(PLE!$G$15,$M29-$A$15,DD$13)))</f>
        <v>0</v>
      </c>
      <c r="DE29" s="354" t="n">
        <f aca="true">IF(OR($D29&lt;&gt;"Serviço",AND(AUTOEVENTO="Manual",$M29=$A$15),$M29&gt;(ROW(PLE.lastrow)-ROW(PLE.firstrow))),0,
           IF(OFFSET(PLE!$G$15,$M29-$A$15,DE$13)="",10^12,OFFSET(PLE!$G$15,$M29-$A$15,DE$13)))</f>
        <v>0</v>
      </c>
      <c r="DF29" s="354" t="n">
        <f aca="true">IF(OR($D29&lt;&gt;"Serviço",AND(AUTOEVENTO="Manual",$M29=$A$15),$M29&gt;(ROW(PLE.lastrow)-ROW(PLE.firstrow))),0,
           IF(OFFSET(PLE!$G$15,$M29-$A$15,DF$13)="",10^12,OFFSET(PLE!$G$15,$M29-$A$15,DF$13)))</f>
        <v>0</v>
      </c>
      <c r="DG29" s="354" t="n">
        <f aca="true">IF(OR($D29&lt;&gt;"Serviço",AND(AUTOEVENTO="Manual",$M29=$A$15),$M29&gt;(ROW(PLE.lastrow)-ROW(PLE.firstrow))),0,
           IF(OFFSET(PLE!$G$15,$M29-$A$15,DG$13)="",10^12,OFFSET(PLE!$G$15,$M29-$A$15,DG$13)))</f>
        <v>0</v>
      </c>
      <c r="DH29" s="354" t="n">
        <f aca="true">IF(OR($D29&lt;&gt;"Serviço",AND(AUTOEVENTO="Manual",$M29=$A$15),$M29&gt;(ROW(PLE.lastrow)-ROW(PLE.firstrow))),0,
           IF(OFFSET(PLE!$G$15,$M29-$A$15,DH$13)="",10^12,OFFSET(PLE!$G$15,$M29-$A$15,DH$13)))</f>
        <v>0</v>
      </c>
      <c r="DI29" s="354" t="n">
        <f aca="true">IF(OR($D29&lt;&gt;"Serviço",AND(AUTOEVENTO="Manual",$M29=$A$15),$M29&gt;(ROW(PLE.lastrow)-ROW(PLE.firstrow))),0,
           IF(OFFSET(PLE!$G$15,$M29-$A$15,DI$13)="",10^12,OFFSET(PLE!$G$15,$M29-$A$15,DI$13)))</f>
        <v>0</v>
      </c>
      <c r="DJ29" s="354" t="n">
        <f aca="true">IF(OR($D29&lt;&gt;"Serviço",AND(AUTOEVENTO="Manual",$M29=$A$15),$M29&gt;(ROW(PLE.lastrow)-ROW(PLE.firstrow))),0,
           IF(OFFSET(PLE!$G$15,$M29-$A$15,DJ$13)="",10^12,OFFSET(PLE!$G$15,$M29-$A$15,DJ$13)))</f>
        <v>0</v>
      </c>
      <c r="DK29" s="354" t="n">
        <f aca="true">IF(OR($D29&lt;&gt;"Serviço",AND(AUTOEVENTO="Manual",$M29=$A$15),$M29&gt;(ROW(PLE.lastrow)-ROW(PLE.firstrow))),0,
           IF(OFFSET(PLE!$G$15,$M29-$A$15,DK$13)="",10^12,OFFSET(PLE!$G$15,$M29-$A$15,DK$13)))</f>
        <v>0</v>
      </c>
      <c r="DL29" s="354" t="n">
        <f aca="true">IF(OR($D29&lt;&gt;"Serviço",AND(AUTOEVENTO="Manual",$M29=$A$15),$M29&gt;(ROW(PLE.lastrow)-ROW(PLE.firstrow))),0,
           IF(OFFSET(PLE!$G$15,$M29-$A$15,DL$13)="",10^12,OFFSET(PLE!$G$15,$M29-$A$15,DL$13)))</f>
        <v>0</v>
      </c>
      <c r="DM29" s="354" t="n">
        <f aca="true">IF(OR($D29&lt;&gt;"Serviço",AND(AUTOEVENTO="Manual",$M29=$A$15),$M29&gt;(ROW(PLE.lastrow)-ROW(PLE.firstrow))),0,
           IF(OFFSET(PLE!$G$15,$M29-$A$15,DM$13)="",10^12,OFFSET(PLE!$G$15,$M29-$A$15,DM$13)))</f>
        <v>0</v>
      </c>
      <c r="DN29" s="354" t="n">
        <f aca="true">IF(OR($D29&lt;&gt;"Serviço",AND(AUTOEVENTO="Manual",$M29=$A$15),$M29&gt;(ROW(PLE.lastrow)-ROW(PLE.firstrow))),0,
           IF(OFFSET(PLE!$G$15,$M29-$A$15,DN$13)="",10^12,OFFSET(PLE!$G$15,$M29-$A$15,DN$13)))</f>
        <v>0</v>
      </c>
      <c r="DO29" s="354" t="n">
        <f aca="true">IF(OR($D29&lt;&gt;"Serviço",AND(AUTOEVENTO="Manual",$M29=$A$15),$M29&gt;(ROW(PLE.lastrow)-ROW(PLE.firstrow))),0,
           IF(OFFSET(PLE!$G$15,$M29-$A$15,DO$13)="",10^12,OFFSET(PLE!$G$15,$M29-$A$15,DO$13)))</f>
        <v>0</v>
      </c>
      <c r="DP29" s="354" t="n">
        <f aca="true">IF(OR($D29&lt;&gt;"Serviço",AND(AUTOEVENTO="Manual",$M29=$A$15),$M29&gt;(ROW(PLE.lastrow)-ROW(PLE.firstrow))),0,
           IF(OFFSET(PLE!$G$15,$M29-$A$15,DP$13)="",10^12,OFFSET(PLE!$G$15,$M29-$A$15,DP$13)))</f>
        <v>0</v>
      </c>
      <c r="DQ29" s="354" t="n">
        <f aca="true">IF(OR($D29&lt;&gt;"Serviço",AND(AUTOEVENTO="Manual",$M29=$A$15),$M29&gt;(ROW(PLE.lastrow)-ROW(PLE.firstrow))),0,
           IF(OFFSET(PLE!$G$15,$M29-$A$15,DQ$13)="",10^12,OFFSET(PLE!$G$15,$M29-$A$15,DQ$13)))</f>
        <v>0</v>
      </c>
      <c r="DR29" s="354" t="n">
        <f aca="true">IF(OR($D29&lt;&gt;"Serviço",AND(AUTOEVENTO="Manual",$M29=$A$15),$M29&gt;(ROW(PLE.lastrow)-ROW(PLE.firstrow))),0,
           IF(OFFSET(PLE!$G$15,$M29-$A$15,DR$13)="",10^12,OFFSET(PLE!$G$15,$M29-$A$15,DR$13)))</f>
        <v>0</v>
      </c>
      <c r="DS29" s="354" t="n">
        <f aca="true">IF(OR($D29&lt;&gt;"Serviço",AND(AUTOEVENTO="Manual",$M29=$A$15),$M29&gt;(ROW(PLE.lastrow)-ROW(PLE.firstrow))),0,
           IF(OFFSET(PLE!$G$15,$M29-$A$15,DS$13)="",10^12,OFFSET(PLE!$G$15,$M29-$A$15,DS$13)))</f>
        <v>0</v>
      </c>
    </row>
    <row r="30" customFormat="false" ht="35.05" hidden="false" customHeight="false" outlineLevel="0" collapsed="false">
      <c r="A30" s="50" t="str">
        <f aca="true">IFERROR(IF(AUTOEVENTO="Manual",IF(K30&lt;&gt;"",MIN(VALUE(LEFT(K30,FIND(".",K30)-1)),COUNTA(EVENTOS.Lista)),0),IF(OR($B30&gt;AUTOEVENTO,$B30="S",$B30=0),SUBSTITUTE(OFFSET($A30,-1,0),IF($D30="Serviço",".",""),""),ROW(A30)-ROW($A$15)&amp;".")),0)</f>
        <v>14</v>
      </c>
      <c r="B30" s="50" t="str">
        <f aca="true">OFFSET(ORÇAMENTO!C$15,ROW(B30)-ROW(B$15),0)</f>
        <v>S</v>
      </c>
      <c r="C30" s="50" t="str">
        <f aca="true">OFFSET(ORÇAMENTO!L$15,ROW(C30)-ROW(C$15),0)</f>
        <v>F</v>
      </c>
      <c r="D30" s="201" t="str">
        <f aca="true">OFFSET(ORÇAMENTO!N$15,ROW(D30)-ROW(D$15),0)</f>
        <v>Serviço</v>
      </c>
      <c r="E30" s="202" t="str">
        <f aca="true">OFFSET(ORÇAMENTO!O$15,ROW(E30)-ROW(E$15),0)</f>
        <v>1.5.1.</v>
      </c>
      <c r="F30" s="341" t="str">
        <f aca="true">OFFSET(ORÇAMENTO!R$15,ROW(F30)-ROW(F$15),0)</f>
        <v>ESCAVAÇÃO MECANIZADA PARA BLOCO DE COROAMENTO OU SAPATA COM RETROESCAVADEIRA (INCLUINDO ESCAVAÇÃO PARA COLOCAÇÃO DE FÔRMAS). AF_01/2024</v>
      </c>
      <c r="G30" s="342" t="str">
        <f aca="true">IF($D30&lt;&gt;"Serviço","",OFFSET(ORÇAMENTO!S$15,ROW(G30)-ROW(G$15),0))</f>
        <v>M3</v>
      </c>
      <c r="H30" s="207" t="n">
        <f aca="true">IF($D30&lt;&gt;"Serviço",0,IF(ACOMPANHAMENTO="BM",ROUND(OFFSET(ORÇAMENTO!AJ$15,ROW(H30)-ROW(H$15),0),15-13*ORÇAMENTO!$AF$7),SUMPRODUCT(($Q$1:$AQ$1=1)*ROUND($Q30:$AQ30,15-13*ORÇAMENTO!$AF$7))))</f>
        <v>384</v>
      </c>
      <c r="I30" s="343" t="s">
        <v>920</v>
      </c>
      <c r="J30" s="344" t="e">
        <f aca="false">IF(OR(B30&lt;&gt;"S",CÁLCULO.FrentesPreenchidas=0),"",IF(AND(ACOMPANHAMENTO="PLE",AUTOEVENTO="Manual",OR(H30&gt;0,ORÇAMENTO!AC30="QUANT."),OR(K30="",M30=0,N30="")),"►",IF(AND(ACOMPANHAMENTO="PLE",ORÇAMENTO!AC30="QUANT."),"►►",IF(AND(COUNTIF($P$11:$AQ$11,"▼")=0,H30&gt;0,I30=""),"◄",""))))</f>
        <v>#NAME?</v>
      </c>
      <c r="K30" s="345"/>
      <c r="L30" s="346" t="s">
        <v>876</v>
      </c>
      <c r="M30" s="347" t="n">
        <f aca="true">IF($D30&lt;&gt;"Serviço","",
          IF(AUTOEVENTO="manual",$A30,
                IF(ISERROR(MATCH($A30,$A$15:OFFSET($A30,-1,0),0)),MAX($M$15:OFFSET(M30,-1,0))+1,
                      INDEX($M$15:OFFSET(M30,-1,0),MATCH($A30,$A$15:OFFSET($A30,-1,0),0)))))</f>
        <v>3</v>
      </c>
      <c r="N30" s="348" t="str">
        <f aca="true">IF($D30&lt;&gt;"Serviço","",
         IF(AUTOEVENTO="Manual",
                IF($A30=0,"&lt;-- defina o número do agrupador",
                       OFFSET(EVENTOS!$D$15,$A30-$A$15,0)),
                OFFSET($F$15,$A30,0)))</f>
        <v>SAPATA</v>
      </c>
      <c r="O30" s="349"/>
      <c r="Q30" s="349" t="n">
        <v>15.36</v>
      </c>
      <c r="R30" s="350" t="n">
        <f aca="false">Q30</f>
        <v>15.36</v>
      </c>
      <c r="S30" s="350" t="n">
        <f aca="false">R30</f>
        <v>15.36</v>
      </c>
      <c r="T30" s="350" t="n">
        <f aca="false">S30</f>
        <v>15.36</v>
      </c>
      <c r="U30" s="350" t="n">
        <f aca="false">T30</f>
        <v>15.36</v>
      </c>
      <c r="V30" s="350" t="n">
        <f aca="false">U30</f>
        <v>15.36</v>
      </c>
      <c r="W30" s="350" t="n">
        <f aca="false">V30</f>
        <v>15.36</v>
      </c>
      <c r="X30" s="350" t="n">
        <f aca="false">W30</f>
        <v>15.36</v>
      </c>
      <c r="Y30" s="350" t="n">
        <f aca="false">X30</f>
        <v>15.36</v>
      </c>
      <c r="Z30" s="351" t="n">
        <f aca="false">Y30</f>
        <v>15.36</v>
      </c>
      <c r="AA30" s="350" t="n">
        <f aca="false">Z30</f>
        <v>15.36</v>
      </c>
      <c r="AB30" s="350" t="n">
        <f aca="false">AA30</f>
        <v>15.36</v>
      </c>
      <c r="AC30" s="350" t="n">
        <f aca="false">AB30</f>
        <v>15.36</v>
      </c>
      <c r="AD30" s="350" t="n">
        <f aca="false">AC30</f>
        <v>15.36</v>
      </c>
      <c r="AE30" s="350" t="n">
        <f aca="false">AD30</f>
        <v>15.36</v>
      </c>
      <c r="AF30" s="350" t="n">
        <f aca="false">AE30</f>
        <v>15.36</v>
      </c>
      <c r="AG30" s="350" t="n">
        <f aca="false">AF30</f>
        <v>15.36</v>
      </c>
      <c r="AH30" s="351" t="n">
        <f aca="false">AG30</f>
        <v>15.36</v>
      </c>
      <c r="AI30" s="350" t="n">
        <f aca="false">AH30</f>
        <v>15.36</v>
      </c>
      <c r="AJ30" s="350" t="n">
        <f aca="false">AI30</f>
        <v>15.36</v>
      </c>
      <c r="AK30" s="350" t="n">
        <f aca="false">AJ30</f>
        <v>15.36</v>
      </c>
      <c r="AL30" s="350" t="n">
        <f aca="false">AK30</f>
        <v>15.36</v>
      </c>
      <c r="AM30" s="350" t="n">
        <f aca="false">AL30</f>
        <v>15.36</v>
      </c>
      <c r="AN30" s="350" t="n">
        <f aca="false">AM30</f>
        <v>15.36</v>
      </c>
      <c r="AO30" s="350" t="n">
        <f aca="false">AN30</f>
        <v>15.36</v>
      </c>
      <c r="AP30" s="351" t="n">
        <v>24</v>
      </c>
      <c r="AR30" s="352" t="n">
        <f aca="true">IF(AND($D30="Serviço",AR$12&lt;&gt;0,$H30&gt;0,OR(AUTOEVENTO&lt;&gt;"manual",$M30&lt;&gt;$A$15)),
        IF(Import.TipoArredondamento&lt;&gt;"TransfereGOV",
              ROUND(OFFSET($P30,0,AR$13),15-13*ORÇAMENTO!$AF$7)/$H30*OFFSET(ORÇAMENTO!$X$15,ROW(AR30)-ROW(AR$15),0),
              ROUND(ROUND(OFFSET($P30,0,AR$13),15-13*ORÇAMENTO!$AF$7)*OFFSET(ORÇAMENTO!$W$15,ROW(AR30)-ROW(AR$15),0),15-13*ORÇAMENTO!$AF$11)),
         0)</f>
        <v>840.96</v>
      </c>
      <c r="AS30" s="352" t="n">
        <f aca="true">IF(AND($D30="Serviço",AS$12&lt;&gt;0,$H30&gt;0,OR(AUTOEVENTO&lt;&gt;"manual",$M30&lt;&gt;$A$15)),
        IF(Import.TipoArredondamento&lt;&gt;"TransfereGOV",
              ROUND(OFFSET($P30,0,AS$13),15-13*ORÇAMENTO!$AF$7)/$H30*OFFSET(ORÇAMENTO!$X$15,ROW(AS30)-ROW(AS$15),0),
              ROUND(ROUND(OFFSET($P30,0,AS$13),15-13*ORÇAMENTO!$AF$7)*OFFSET(ORÇAMENTO!$W$15,ROW(AS30)-ROW(AS$15),0),15-13*ORÇAMENTO!$AF$11)),
         0)</f>
        <v>840.96</v>
      </c>
      <c r="AT30" s="352" t="n">
        <f aca="true">IF(AND($D30="Serviço",AT$12&lt;&gt;0,$H30&gt;0,OR(AUTOEVENTO&lt;&gt;"manual",$M30&lt;&gt;$A$15)),
        IF(Import.TipoArredondamento&lt;&gt;"TransfereGOV",
              ROUND(OFFSET($P30,0,AT$13),15-13*ORÇAMENTO!$AF$7)/$H30*OFFSET(ORÇAMENTO!$X$15,ROW(AT30)-ROW(AT$15),0),
              ROUND(ROUND(OFFSET($P30,0,AT$13),15-13*ORÇAMENTO!$AF$7)*OFFSET(ORÇAMENTO!$W$15,ROW(AT30)-ROW(AT$15),0),15-13*ORÇAMENTO!$AF$11)),
         0)</f>
        <v>840.96</v>
      </c>
      <c r="AU30" s="352" t="n">
        <f aca="true">IF(AND($D30="Serviço",AU$12&lt;&gt;0,$H30&gt;0,OR(AUTOEVENTO&lt;&gt;"manual",$M30&lt;&gt;$A$15)),
        IF(Import.TipoArredondamento&lt;&gt;"TransfereGOV",
              ROUND(OFFSET($P30,0,AU$13),15-13*ORÇAMENTO!$AF$7)/$H30*OFFSET(ORÇAMENTO!$X$15,ROW(AU30)-ROW(AU$15),0),
              ROUND(ROUND(OFFSET($P30,0,AU$13),15-13*ORÇAMENTO!$AF$7)*OFFSET(ORÇAMENTO!$W$15,ROW(AU30)-ROW(AU$15),0),15-13*ORÇAMENTO!$AF$11)),
         0)</f>
        <v>840.96</v>
      </c>
      <c r="AV30" s="352" t="n">
        <f aca="true">IF(AND($D30="Serviço",AV$12&lt;&gt;0,$H30&gt;0,OR(AUTOEVENTO&lt;&gt;"manual",$M30&lt;&gt;$A$15)),
        IF(Import.TipoArredondamento&lt;&gt;"TransfereGOV",
              ROUND(OFFSET($P30,0,AV$13),15-13*ORÇAMENTO!$AF$7)/$H30*OFFSET(ORÇAMENTO!$X$15,ROW(AV30)-ROW(AV$15),0),
              ROUND(ROUND(OFFSET($P30,0,AV$13),15-13*ORÇAMENTO!$AF$7)*OFFSET(ORÇAMENTO!$W$15,ROW(AV30)-ROW(AV$15),0),15-13*ORÇAMENTO!$AF$11)),
         0)</f>
        <v>840.96</v>
      </c>
      <c r="AW30" s="352" t="n">
        <f aca="true">IF(AND($D30="Serviço",AW$12&lt;&gt;0,$H30&gt;0,OR(AUTOEVENTO&lt;&gt;"manual",$M30&lt;&gt;$A$15)),
        IF(Import.TipoArredondamento&lt;&gt;"TransfereGOV",
              ROUND(OFFSET($P30,0,AW$13),15-13*ORÇAMENTO!$AF$7)/$H30*OFFSET(ORÇAMENTO!$X$15,ROW(AW30)-ROW(AW$15),0),
              ROUND(ROUND(OFFSET($P30,0,AW$13),15-13*ORÇAMENTO!$AF$7)*OFFSET(ORÇAMENTO!$W$15,ROW(AW30)-ROW(AW$15),0),15-13*ORÇAMENTO!$AF$11)),
         0)</f>
        <v>840.96</v>
      </c>
      <c r="AX30" s="352" t="n">
        <f aca="true">IF(AND($D30="Serviço",AX$12&lt;&gt;0,$H30&gt;0,OR(AUTOEVENTO&lt;&gt;"manual",$M30&lt;&gt;$A$15)),
        IF(Import.TipoArredondamento&lt;&gt;"TransfereGOV",
              ROUND(OFFSET($P30,0,AX$13),15-13*ORÇAMENTO!$AF$7)/$H30*OFFSET(ORÇAMENTO!$X$15,ROW(AX30)-ROW(AX$15),0),
              ROUND(ROUND(OFFSET($P30,0,AX$13),15-13*ORÇAMENTO!$AF$7)*OFFSET(ORÇAMENTO!$W$15,ROW(AX30)-ROW(AX$15),0),15-13*ORÇAMENTO!$AF$11)),
         0)</f>
        <v>840.96</v>
      </c>
      <c r="AY30" s="352" t="n">
        <f aca="true">IF(AND($D30="Serviço",AY$12&lt;&gt;0,$H30&gt;0,OR(AUTOEVENTO&lt;&gt;"manual",$M30&lt;&gt;$A$15)),
        IF(Import.TipoArredondamento&lt;&gt;"TransfereGOV",
              ROUND(OFFSET($P30,0,AY$13),15-13*ORÇAMENTO!$AF$7)/$H30*OFFSET(ORÇAMENTO!$X$15,ROW(AY30)-ROW(AY$15),0),
              ROUND(ROUND(OFFSET($P30,0,AY$13),15-13*ORÇAMENTO!$AF$7)*OFFSET(ORÇAMENTO!$W$15,ROW(AY30)-ROW(AY$15),0),15-13*ORÇAMENTO!$AF$11)),
         0)</f>
        <v>840.96</v>
      </c>
      <c r="AZ30" s="352" t="n">
        <f aca="true">IF(AND($D30="Serviço",AZ$12&lt;&gt;0,$H30&gt;0,OR(AUTOEVENTO&lt;&gt;"manual",$M30&lt;&gt;$A$15)),
        IF(Import.TipoArredondamento&lt;&gt;"TransfereGOV",
              ROUND(OFFSET($P30,0,AZ$13),15-13*ORÇAMENTO!$AF$7)/$H30*OFFSET(ORÇAMENTO!$X$15,ROW(AZ30)-ROW(AZ$15),0),
              ROUND(ROUND(OFFSET($P30,0,AZ$13),15-13*ORÇAMENTO!$AF$7)*OFFSET(ORÇAMENTO!$W$15,ROW(AZ30)-ROW(AZ$15),0),15-13*ORÇAMENTO!$AF$11)),
         0)</f>
        <v>840.96</v>
      </c>
      <c r="BA30" s="352" t="n">
        <f aca="true">IF(AND($D30="Serviço",BA$12&lt;&gt;0,$H30&gt;0,OR(AUTOEVENTO&lt;&gt;"manual",$M30&lt;&gt;$A$15)),
        IF(Import.TipoArredondamento&lt;&gt;"TransfereGOV",
              ROUND(OFFSET($P30,0,BA$13),15-13*ORÇAMENTO!$AF$7)/$H30*OFFSET(ORÇAMENTO!$X$15,ROW(BA30)-ROW(BA$15),0),
              ROUND(ROUND(OFFSET($P30,0,BA$13),15-13*ORÇAMENTO!$AF$7)*OFFSET(ORÇAMENTO!$W$15,ROW(BA30)-ROW(BA$15),0),15-13*ORÇAMENTO!$AF$11)),
         0)</f>
        <v>840.96</v>
      </c>
      <c r="BB30" s="352" t="n">
        <f aca="true">IF(AND($D30="Serviço",BB$12&lt;&gt;0,$H30&gt;0,OR(AUTOEVENTO&lt;&gt;"manual",$M30&lt;&gt;$A$15)),
        IF(Import.TipoArredondamento&lt;&gt;"TransfereGOV",
              ROUND(OFFSET($P30,0,BB$13),15-13*ORÇAMENTO!$AF$7)/$H30*OFFSET(ORÇAMENTO!$X$15,ROW(BB30)-ROW(BB$15),0),
              ROUND(ROUND(OFFSET($P30,0,BB$13),15-13*ORÇAMENTO!$AF$7)*OFFSET(ORÇAMENTO!$W$15,ROW(BB30)-ROW(BB$15),0),15-13*ORÇAMENTO!$AF$11)),
         0)</f>
        <v>840.96</v>
      </c>
      <c r="BC30" s="352" t="n">
        <f aca="true">IF(AND($D30="Serviço",BC$12&lt;&gt;0,$H30&gt;0,OR(AUTOEVENTO&lt;&gt;"manual",$M30&lt;&gt;$A$15)),
        IF(Import.TipoArredondamento&lt;&gt;"TransfereGOV",
              ROUND(OFFSET($P30,0,BC$13),15-13*ORÇAMENTO!$AF$7)/$H30*OFFSET(ORÇAMENTO!$X$15,ROW(BC30)-ROW(BC$15),0),
              ROUND(ROUND(OFFSET($P30,0,BC$13),15-13*ORÇAMENTO!$AF$7)*OFFSET(ORÇAMENTO!$W$15,ROW(BC30)-ROW(BC$15),0),15-13*ORÇAMENTO!$AF$11)),
         0)</f>
        <v>840.96</v>
      </c>
      <c r="BD30" s="352" t="n">
        <f aca="true">IF(AND($D30="Serviço",BD$12&lt;&gt;0,$H30&gt;0,OR(AUTOEVENTO&lt;&gt;"manual",$M30&lt;&gt;$A$15)),
        IF(Import.TipoArredondamento&lt;&gt;"TransfereGOV",
              ROUND(OFFSET($P30,0,BD$13),15-13*ORÇAMENTO!$AF$7)/$H30*OFFSET(ORÇAMENTO!$X$15,ROW(BD30)-ROW(BD$15),0),
              ROUND(ROUND(OFFSET($P30,0,BD$13),15-13*ORÇAMENTO!$AF$7)*OFFSET(ORÇAMENTO!$W$15,ROW(BD30)-ROW(BD$15),0),15-13*ORÇAMENTO!$AF$11)),
         0)</f>
        <v>840.96</v>
      </c>
      <c r="BE30" s="352" t="n">
        <f aca="true">IF(AND($D30="Serviço",BE$12&lt;&gt;0,$H30&gt;0,OR(AUTOEVENTO&lt;&gt;"manual",$M30&lt;&gt;$A$15)),
        IF(Import.TipoArredondamento&lt;&gt;"TransfereGOV",
              ROUND(OFFSET($P30,0,BE$13),15-13*ORÇAMENTO!$AF$7)/$H30*OFFSET(ORÇAMENTO!$X$15,ROW(BE30)-ROW(BE$15),0),
              ROUND(ROUND(OFFSET($P30,0,BE$13),15-13*ORÇAMENTO!$AF$7)*OFFSET(ORÇAMENTO!$W$15,ROW(BE30)-ROW(BE$15),0),15-13*ORÇAMENTO!$AF$11)),
         0)</f>
        <v>840.96</v>
      </c>
      <c r="BF30" s="352" t="n">
        <f aca="true">IF(AND($D30="Serviço",BF$12&lt;&gt;0,$H30&gt;0,OR(AUTOEVENTO&lt;&gt;"manual",$M30&lt;&gt;$A$15)),
        IF(Import.TipoArredondamento&lt;&gt;"TransfereGOV",
              ROUND(OFFSET($P30,0,BF$13),15-13*ORÇAMENTO!$AF$7)/$H30*OFFSET(ORÇAMENTO!$X$15,ROW(BF30)-ROW(BF$15),0),
              ROUND(ROUND(OFFSET($P30,0,BF$13),15-13*ORÇAMENTO!$AF$7)*OFFSET(ORÇAMENTO!$W$15,ROW(BF30)-ROW(BF$15),0),15-13*ORÇAMENTO!$AF$11)),
         0)</f>
        <v>840.96</v>
      </c>
      <c r="BG30" s="352" t="n">
        <f aca="true">IF(AND($D30="Serviço",BG$12&lt;&gt;0,$H30&gt;0,OR(AUTOEVENTO&lt;&gt;"manual",$M30&lt;&gt;$A$15)),
        IF(Import.TipoArredondamento&lt;&gt;"TransfereGOV",
              ROUND(OFFSET($P30,0,BG$13),15-13*ORÇAMENTO!$AF$7)/$H30*OFFSET(ORÇAMENTO!$X$15,ROW(BG30)-ROW(BG$15),0),
              ROUND(ROUND(OFFSET($P30,0,BG$13),15-13*ORÇAMENTO!$AF$7)*OFFSET(ORÇAMENTO!$W$15,ROW(BG30)-ROW(BG$15),0),15-13*ORÇAMENTO!$AF$11)),
         0)</f>
        <v>840.96</v>
      </c>
      <c r="BH30" s="352" t="n">
        <f aca="true">IF(AND($D30="Serviço",BH$12&lt;&gt;0,$H30&gt;0,OR(AUTOEVENTO&lt;&gt;"manual",$M30&lt;&gt;$A$15)),
        IF(Import.TipoArredondamento&lt;&gt;"TransfereGOV",
              ROUND(OFFSET($P30,0,BH$13),15-13*ORÇAMENTO!$AF$7)/$H30*OFFSET(ORÇAMENTO!$X$15,ROW(BH30)-ROW(BH$15),0),
              ROUND(ROUND(OFFSET($P30,0,BH$13),15-13*ORÇAMENTO!$AF$7)*OFFSET(ORÇAMENTO!$W$15,ROW(BH30)-ROW(BH$15),0),15-13*ORÇAMENTO!$AF$11)),
         0)</f>
        <v>840.96</v>
      </c>
      <c r="BI30" s="352" t="n">
        <f aca="true">IF(AND($D30="Serviço",BI$12&lt;&gt;0,$H30&gt;0,OR(AUTOEVENTO&lt;&gt;"manual",$M30&lt;&gt;$A$15)),
        IF(Import.TipoArredondamento&lt;&gt;"TransfereGOV",
              ROUND(OFFSET($P30,0,BI$13),15-13*ORÇAMENTO!$AF$7)/$H30*OFFSET(ORÇAMENTO!$X$15,ROW(BI30)-ROW(BI$15),0),
              ROUND(ROUND(OFFSET($P30,0,BI$13),15-13*ORÇAMENTO!$AF$7)*OFFSET(ORÇAMENTO!$W$15,ROW(BI30)-ROW(BI$15),0),15-13*ORÇAMENTO!$AF$11)),
         0)</f>
        <v>840.96</v>
      </c>
      <c r="BJ30" s="352" t="n">
        <f aca="true">IF(AND($D30="Serviço",BJ$12&lt;&gt;0,$H30&gt;0,OR(AUTOEVENTO&lt;&gt;"manual",$M30&lt;&gt;$A$15)),
        IF(Import.TipoArredondamento&lt;&gt;"TransfereGOV",
              ROUND(OFFSET($P30,0,BJ$13),15-13*ORÇAMENTO!$AF$7)/$H30*OFFSET(ORÇAMENTO!$X$15,ROW(BJ30)-ROW(BJ$15),0),
              ROUND(ROUND(OFFSET($P30,0,BJ$13),15-13*ORÇAMENTO!$AF$7)*OFFSET(ORÇAMENTO!$W$15,ROW(BJ30)-ROW(BJ$15),0),15-13*ORÇAMENTO!$AF$11)),
         0)</f>
        <v>840.96</v>
      </c>
      <c r="BK30" s="352" t="n">
        <f aca="true">IF(AND($D30="Serviço",BK$12&lt;&gt;0,$H30&gt;0,OR(AUTOEVENTO&lt;&gt;"manual",$M30&lt;&gt;$A$15)),
        IF(Import.TipoArredondamento&lt;&gt;"TransfereGOV",
              ROUND(OFFSET($P30,0,BK$13),15-13*ORÇAMENTO!$AF$7)/$H30*OFFSET(ORÇAMENTO!$X$15,ROW(BK30)-ROW(BK$15),0),
              ROUND(ROUND(OFFSET($P30,0,BK$13),15-13*ORÇAMENTO!$AF$7)*OFFSET(ORÇAMENTO!$W$15,ROW(BK30)-ROW(BK$15),0),15-13*ORÇAMENTO!$AF$11)),
         0)</f>
        <v>840.96</v>
      </c>
      <c r="BL30" s="352" t="n">
        <f aca="true">IF(AND($D30="Serviço",BL$12&lt;&gt;0,$H30&gt;0,OR(AUTOEVENTO&lt;&gt;"manual",$M30&lt;&gt;$A$15)),
        IF(Import.TipoArredondamento&lt;&gt;"TransfereGOV",
              ROUND(OFFSET($P30,0,BL$13),15-13*ORÇAMENTO!$AF$7)/$H30*OFFSET(ORÇAMENTO!$X$15,ROW(BL30)-ROW(BL$15),0),
              ROUND(ROUND(OFFSET($P30,0,BL$13),15-13*ORÇAMENTO!$AF$7)*OFFSET(ORÇAMENTO!$W$15,ROW(BL30)-ROW(BL$15),0),15-13*ORÇAMENTO!$AF$11)),
         0)</f>
        <v>840.96</v>
      </c>
      <c r="BM30" s="352" t="n">
        <f aca="true">IF(AND($D30="Serviço",BM$12&lt;&gt;0,$H30&gt;0,OR(AUTOEVENTO&lt;&gt;"manual",$M30&lt;&gt;$A$15)),
        IF(Import.TipoArredondamento&lt;&gt;"TransfereGOV",
              ROUND(OFFSET($P30,0,BM$13),15-13*ORÇAMENTO!$AF$7)/$H30*OFFSET(ORÇAMENTO!$X$15,ROW(BM30)-ROW(BM$15),0),
              ROUND(ROUND(OFFSET($P30,0,BM$13),15-13*ORÇAMENTO!$AF$7)*OFFSET(ORÇAMENTO!$W$15,ROW(BM30)-ROW(BM$15),0),15-13*ORÇAMENTO!$AF$11)),
         0)</f>
        <v>840.96</v>
      </c>
      <c r="BN30" s="352" t="n">
        <f aca="true">IF(AND($D30="Serviço",BN$12&lt;&gt;0,$H30&gt;0,OR(AUTOEVENTO&lt;&gt;"manual",$M30&lt;&gt;$A$15)),
        IF(Import.TipoArredondamento&lt;&gt;"TransfereGOV",
              ROUND(OFFSET($P30,0,BN$13),15-13*ORÇAMENTO!$AF$7)/$H30*OFFSET(ORÇAMENTO!$X$15,ROW(BN30)-ROW(BN$15),0),
              ROUND(ROUND(OFFSET($P30,0,BN$13),15-13*ORÇAMENTO!$AF$7)*OFFSET(ORÇAMENTO!$W$15,ROW(BN30)-ROW(BN$15),0),15-13*ORÇAMENTO!$AF$11)),
         0)</f>
        <v>840.96</v>
      </c>
      <c r="BO30" s="352" t="n">
        <f aca="true">IF(AND($D30="Serviço",BO$12&lt;&gt;0,$H30&gt;0,OR(AUTOEVENTO&lt;&gt;"manual",$M30&lt;&gt;$A$15)),
        IF(Import.TipoArredondamento&lt;&gt;"TransfereGOV",
              ROUND(OFFSET($P30,0,BO$13),15-13*ORÇAMENTO!$AF$7)/$H30*OFFSET(ORÇAMENTO!$X$15,ROW(BO30)-ROW(BO$15),0),
              ROUND(ROUND(OFFSET($P30,0,BO$13),15-13*ORÇAMENTO!$AF$7)*OFFSET(ORÇAMENTO!$W$15,ROW(BO30)-ROW(BO$15),0),15-13*ORÇAMENTO!$AF$11)),
         0)</f>
        <v>840.96</v>
      </c>
      <c r="BP30" s="352" t="n">
        <f aca="true">IF(AND($D30="Serviço",BP$12&lt;&gt;0,$H30&gt;0,OR(AUTOEVENTO&lt;&gt;"manual",$M30&lt;&gt;$A$15)),
        IF(Import.TipoArredondamento&lt;&gt;"TransfereGOV",
              ROUND(OFFSET($P30,0,BP$13),15-13*ORÇAMENTO!$AF$7)/$H30*OFFSET(ORÇAMENTO!$X$15,ROW(BP30)-ROW(BP$15),0),
              ROUND(ROUND(OFFSET($P30,0,BP$13),15-13*ORÇAMENTO!$AF$7)*OFFSET(ORÇAMENTO!$W$15,ROW(BP30)-ROW(BP$15),0),15-13*ORÇAMENTO!$AF$11)),
         0)</f>
        <v>840.96</v>
      </c>
      <c r="BQ30" s="352" t="n">
        <f aca="true">IF(AND($D30="Serviço",BQ$12&lt;&gt;0,$H30&gt;0,OR(AUTOEVENTO&lt;&gt;"manual",$M30&lt;&gt;$A$15)),
        IF(Import.TipoArredondamento&lt;&gt;"TransfereGOV",
              ROUND(OFFSET($P30,0,BQ$13),15-13*ORÇAMENTO!$AF$7)/$H30*OFFSET(ORÇAMENTO!$X$15,ROW(BQ30)-ROW(BQ$15),0),
              ROUND(ROUND(OFFSET($P30,0,BQ$13),15-13*ORÇAMENTO!$AF$7)*OFFSET(ORÇAMENTO!$W$15,ROW(BQ30)-ROW(BQ$15),0),15-13*ORÇAMENTO!$AF$11)),
         0)</f>
        <v>0</v>
      </c>
      <c r="BS30" s="353" t="n">
        <f aca="true">IF(OR($D30&lt;&gt;"Serviço",AND(AUTOEVENTO="Manual",$M30=$A$15)),0,
         IF(OFFSET(CRONOPLE!$F$15,$M30-$A$15,BS$13)=0,10^12,OFFSET(CRONOPLE!$F$15,$M30-$A$15,BS$13)))</f>
        <v>1</v>
      </c>
      <c r="BT30" s="353" t="n">
        <f aca="true">IF(OR($D30&lt;&gt;"Serviço",AND(AUTOEVENTO="Manual",$M30=$A$15)),0,
         IF(OFFSET(CRONOPLE!$F$15,$M30-$A$15,BT$13)=0,10^12,OFFSET(CRONOPLE!$F$15,$M30-$A$15,BT$13)))</f>
        <v>2</v>
      </c>
      <c r="BU30" s="353" t="n">
        <f aca="true">IF(OR($D30&lt;&gt;"Serviço",AND(AUTOEVENTO="Manual",$M30=$A$15)),0,
         IF(OFFSET(CRONOPLE!$F$15,$M30-$A$15,BU$13)=0,10^12,OFFSET(CRONOPLE!$F$15,$M30-$A$15,BU$13)))</f>
        <v>3</v>
      </c>
      <c r="BV30" s="353" t="n">
        <f aca="true">IF(OR($D30&lt;&gt;"Serviço",AND(AUTOEVENTO="Manual",$M30=$A$15)),0,
         IF(OFFSET(CRONOPLE!$F$15,$M30-$A$15,BV$13)=0,10^12,OFFSET(CRONOPLE!$F$15,$M30-$A$15,BV$13)))</f>
        <v>4</v>
      </c>
      <c r="BW30" s="353" t="n">
        <f aca="true">IF(OR($D30&lt;&gt;"Serviço",AND(AUTOEVENTO="Manual",$M30=$A$15)),0,
         IF(OFFSET(CRONOPLE!$F$15,$M30-$A$15,BW$13)=0,10^12,OFFSET(CRONOPLE!$F$15,$M30-$A$15,BW$13)))</f>
        <v>5</v>
      </c>
      <c r="BX30" s="353" t="n">
        <f aca="true">IF(OR($D30&lt;&gt;"Serviço",AND(AUTOEVENTO="Manual",$M30=$A$15)),0,
         IF(OFFSET(CRONOPLE!$F$15,$M30-$A$15,BX$13)=0,10^12,OFFSET(CRONOPLE!$F$15,$M30-$A$15,BX$13)))</f>
        <v>6</v>
      </c>
      <c r="BY30" s="353" t="n">
        <f aca="true">IF(OR($D30&lt;&gt;"Serviço",AND(AUTOEVENTO="Manual",$M30=$A$15)),0,
         IF(OFFSET(CRONOPLE!$F$15,$M30-$A$15,BY$13)=0,10^12,OFFSET(CRONOPLE!$F$15,$M30-$A$15,BY$13)))</f>
        <v>7</v>
      </c>
      <c r="BZ30" s="353" t="n">
        <f aca="true">IF(OR($D30&lt;&gt;"Serviço",AND(AUTOEVENTO="Manual",$M30=$A$15)),0,
         IF(OFFSET(CRONOPLE!$F$15,$M30-$A$15,BZ$13)=0,10^12,OFFSET(CRONOPLE!$F$15,$M30-$A$15,BZ$13)))</f>
        <v>8</v>
      </c>
      <c r="CA30" s="353" t="n">
        <f aca="true">IF(OR($D30&lt;&gt;"Serviço",AND(AUTOEVENTO="Manual",$M30=$A$15)),0,
         IF(OFFSET(CRONOPLE!$F$15,$M30-$A$15,CA$13)=0,10^12,OFFSET(CRONOPLE!$F$15,$M30-$A$15,CA$13)))</f>
        <v>9</v>
      </c>
      <c r="CB30" s="353" t="n">
        <f aca="true">IF(OR($D30&lt;&gt;"Serviço",AND(AUTOEVENTO="Manual",$M30=$A$15)),0,
         IF(OFFSET(CRONOPLE!$F$15,$M30-$A$15,CB$13)=0,10^12,OFFSET(CRONOPLE!$F$15,$M30-$A$15,CB$13)))</f>
        <v>10</v>
      </c>
      <c r="CC30" s="353" t="n">
        <f aca="true">IF(OR($D30&lt;&gt;"Serviço",AND(AUTOEVENTO="Manual",$M30=$A$15)),0,
         IF(OFFSET(CRONOPLE!$F$15,$M30-$A$15,CC$13)=0,10^12,OFFSET(CRONOPLE!$F$15,$M30-$A$15,CC$13)))</f>
        <v>11</v>
      </c>
      <c r="CD30" s="353" t="n">
        <f aca="true">IF(OR($D30&lt;&gt;"Serviço",AND(AUTOEVENTO="Manual",$M30=$A$15)),0,
         IF(OFFSET(CRONOPLE!$F$15,$M30-$A$15,CD$13)=0,10^12,OFFSET(CRONOPLE!$F$15,$M30-$A$15,CD$13)))</f>
        <v>12</v>
      </c>
      <c r="CE30" s="353" t="n">
        <f aca="true">IF(OR($D30&lt;&gt;"Serviço",AND(AUTOEVENTO="Manual",$M30=$A$15)),0,
         IF(OFFSET(CRONOPLE!$F$15,$M30-$A$15,CE$13)=0,10^12,OFFSET(CRONOPLE!$F$15,$M30-$A$15,CE$13)))</f>
        <v>13</v>
      </c>
      <c r="CF30" s="353" t="n">
        <f aca="true">IF(OR($D30&lt;&gt;"Serviço",AND(AUTOEVENTO="Manual",$M30=$A$15)),0,
         IF(OFFSET(CRONOPLE!$F$15,$M30-$A$15,CF$13)=0,10^12,OFFSET(CRONOPLE!$F$15,$M30-$A$15,CF$13)))</f>
        <v>14</v>
      </c>
      <c r="CG30" s="353" t="n">
        <f aca="true">IF(OR($D30&lt;&gt;"Serviço",AND(AUTOEVENTO="Manual",$M30=$A$15)),0,
         IF(OFFSET(CRONOPLE!$F$15,$M30-$A$15,CG$13)=0,10^12,OFFSET(CRONOPLE!$F$15,$M30-$A$15,CG$13)))</f>
        <v>15</v>
      </c>
      <c r="CH30" s="353" t="n">
        <f aca="true">IF(OR($D30&lt;&gt;"Serviço",AND(AUTOEVENTO="Manual",$M30=$A$15)),0,
         IF(OFFSET(CRONOPLE!$F$15,$M30-$A$15,CH$13)=0,10^12,OFFSET(CRONOPLE!$F$15,$M30-$A$15,CH$13)))</f>
        <v>16</v>
      </c>
      <c r="CI30" s="353" t="n">
        <f aca="true">IF(OR($D30&lt;&gt;"Serviço",AND(AUTOEVENTO="Manual",$M30=$A$15)),0,
         IF(OFFSET(CRONOPLE!$F$15,$M30-$A$15,CI$13)=0,10^12,OFFSET(CRONOPLE!$F$15,$M30-$A$15,CI$13)))</f>
        <v>17</v>
      </c>
      <c r="CJ30" s="353" t="n">
        <f aca="true">IF(OR($D30&lt;&gt;"Serviço",AND(AUTOEVENTO="Manual",$M30=$A$15)),0,
         IF(OFFSET(CRONOPLE!$F$15,$M30-$A$15,CJ$13)=0,10^12,OFFSET(CRONOPLE!$F$15,$M30-$A$15,CJ$13)))</f>
        <v>18</v>
      </c>
      <c r="CK30" s="353" t="n">
        <f aca="true">IF(OR($D30&lt;&gt;"Serviço",AND(AUTOEVENTO="Manual",$M30=$A$15)),0,
         IF(OFFSET(CRONOPLE!$F$15,$M30-$A$15,CK$13)=0,10^12,OFFSET(CRONOPLE!$F$15,$M30-$A$15,CK$13)))</f>
        <v>19</v>
      </c>
      <c r="CL30" s="353" t="n">
        <f aca="true">IF(OR($D30&lt;&gt;"Serviço",AND(AUTOEVENTO="Manual",$M30=$A$15)),0,
         IF(OFFSET(CRONOPLE!$F$15,$M30-$A$15,CL$13)=0,10^12,OFFSET(CRONOPLE!$F$15,$M30-$A$15,CL$13)))</f>
        <v>20</v>
      </c>
      <c r="CM30" s="353" t="n">
        <f aca="true">IF(OR($D30&lt;&gt;"Serviço",AND(AUTOEVENTO="Manual",$M30=$A$15)),0,
         IF(OFFSET(CRONOPLE!$F$15,$M30-$A$15,CM$13)=0,10^12,OFFSET(CRONOPLE!$F$15,$M30-$A$15,CM$13)))</f>
        <v>21</v>
      </c>
      <c r="CN30" s="353" t="n">
        <f aca="true">IF(OR($D30&lt;&gt;"Serviço",AND(AUTOEVENTO="Manual",$M30=$A$15)),0,
         IF(OFFSET(CRONOPLE!$F$15,$M30-$A$15,CN$13)=0,10^12,OFFSET(CRONOPLE!$F$15,$M30-$A$15,CN$13)))</f>
        <v>22</v>
      </c>
      <c r="CO30" s="353" t="n">
        <f aca="true">IF(OR($D30&lt;&gt;"Serviço",AND(AUTOEVENTO="Manual",$M30=$A$15)),0,
         IF(OFFSET(CRONOPLE!$F$15,$M30-$A$15,CO$13)=0,10^12,OFFSET(CRONOPLE!$F$15,$M30-$A$15,CO$13)))</f>
        <v>23</v>
      </c>
      <c r="CP30" s="353" t="n">
        <f aca="true">IF(OR($D30&lt;&gt;"Serviço",AND(AUTOEVENTO="Manual",$M30=$A$15)),0,
         IF(OFFSET(CRONOPLE!$F$15,$M30-$A$15,CP$13)=0,10^12,OFFSET(CRONOPLE!$F$15,$M30-$A$15,CP$13)))</f>
        <v>24</v>
      </c>
      <c r="CQ30" s="353" t="n">
        <f aca="true">IF(OR($D30&lt;&gt;"Serviço",AND(AUTOEVENTO="Manual",$M30=$A$15)),0,
         IF(OFFSET(CRONOPLE!$F$15,$M30-$A$15,CQ$13)=0,10^12,OFFSET(CRONOPLE!$F$15,$M30-$A$15,CQ$13)))</f>
        <v>25</v>
      </c>
      <c r="CR30" s="353" t="n">
        <f aca="true">IF(OR($D30&lt;&gt;"Serviço",AND(AUTOEVENTO="Manual",$M30=$A$15)),0,
         IF(OFFSET(CRONOPLE!$F$15,$M30-$A$15,CR$13)=0,10^12,OFFSET(CRONOPLE!$F$15,$M30-$A$15,CR$13)))</f>
        <v>1000000000000</v>
      </c>
      <c r="CT30" s="354" t="n">
        <f aca="true">IF(OR($D30&lt;&gt;"Serviço",AND(AUTOEVENTO="Manual",$M30=$A$15),$M30&gt;(ROW(PLE.lastrow)-ROW(PLE.firstrow))),0,
           IF(OFFSET(PLE!$G$15,$M30-$A$15,CT$13)="",10^12,OFFSET(PLE!$G$15,$M30-$A$15,CT$13)))</f>
        <v>1000000000000</v>
      </c>
      <c r="CU30" s="354" t="n">
        <f aca="true">IF(OR($D30&lt;&gt;"Serviço",AND(AUTOEVENTO="Manual",$M30=$A$15),$M30&gt;(ROW(PLE.lastrow)-ROW(PLE.firstrow))),0,
           IF(OFFSET(PLE!$G$15,$M30-$A$15,CU$13)="",10^12,OFFSET(PLE!$G$15,$M30-$A$15,CU$13)))</f>
        <v>1000000000000</v>
      </c>
      <c r="CV30" s="354" t="n">
        <f aca="true">IF(OR($D30&lt;&gt;"Serviço",AND(AUTOEVENTO="Manual",$M30=$A$15),$M30&gt;(ROW(PLE.lastrow)-ROW(PLE.firstrow))),0,
           IF(OFFSET(PLE!$G$15,$M30-$A$15,CV$13)="",10^12,OFFSET(PLE!$G$15,$M30-$A$15,CV$13)))</f>
        <v>1000000000000</v>
      </c>
      <c r="CW30" s="354" t="n">
        <f aca="true">IF(OR($D30&lt;&gt;"Serviço",AND(AUTOEVENTO="Manual",$M30=$A$15),$M30&gt;(ROW(PLE.lastrow)-ROW(PLE.firstrow))),0,
           IF(OFFSET(PLE!$G$15,$M30-$A$15,CW$13)="",10^12,OFFSET(PLE!$G$15,$M30-$A$15,CW$13)))</f>
        <v>1000000000000</v>
      </c>
      <c r="CX30" s="354" t="n">
        <f aca="true">IF(OR($D30&lt;&gt;"Serviço",AND(AUTOEVENTO="Manual",$M30=$A$15),$M30&gt;(ROW(PLE.lastrow)-ROW(PLE.firstrow))),0,
           IF(OFFSET(PLE!$G$15,$M30-$A$15,CX$13)="",10^12,OFFSET(PLE!$G$15,$M30-$A$15,CX$13)))</f>
        <v>1000000000000</v>
      </c>
      <c r="CY30" s="354" t="n">
        <f aca="true">IF(OR($D30&lt;&gt;"Serviço",AND(AUTOEVENTO="Manual",$M30=$A$15),$M30&gt;(ROW(PLE.lastrow)-ROW(PLE.firstrow))),0,
           IF(OFFSET(PLE!$G$15,$M30-$A$15,CY$13)="",10^12,OFFSET(PLE!$G$15,$M30-$A$15,CY$13)))</f>
        <v>1000000000000</v>
      </c>
      <c r="CZ30" s="354" t="n">
        <f aca="true">IF(OR($D30&lt;&gt;"Serviço",AND(AUTOEVENTO="Manual",$M30=$A$15),$M30&gt;(ROW(PLE.lastrow)-ROW(PLE.firstrow))),0,
           IF(OFFSET(PLE!$G$15,$M30-$A$15,CZ$13)="",10^12,OFFSET(PLE!$G$15,$M30-$A$15,CZ$13)))</f>
        <v>1000000000000</v>
      </c>
      <c r="DA30" s="354" t="n">
        <f aca="true">IF(OR($D30&lt;&gt;"Serviço",AND(AUTOEVENTO="Manual",$M30=$A$15),$M30&gt;(ROW(PLE.lastrow)-ROW(PLE.firstrow))),0,
           IF(OFFSET(PLE!$G$15,$M30-$A$15,DA$13)="",10^12,OFFSET(PLE!$G$15,$M30-$A$15,DA$13)))</f>
        <v>1000000000000</v>
      </c>
      <c r="DB30" s="354" t="n">
        <f aca="true">IF(OR($D30&lt;&gt;"Serviço",AND(AUTOEVENTO="Manual",$M30=$A$15),$M30&gt;(ROW(PLE.lastrow)-ROW(PLE.firstrow))),0,
           IF(OFFSET(PLE!$G$15,$M30-$A$15,DB$13)="",10^12,OFFSET(PLE!$G$15,$M30-$A$15,DB$13)))</f>
        <v>1000000000000</v>
      </c>
      <c r="DC30" s="354" t="n">
        <f aca="true">IF(OR($D30&lt;&gt;"Serviço",AND(AUTOEVENTO="Manual",$M30=$A$15),$M30&gt;(ROW(PLE.lastrow)-ROW(PLE.firstrow))),0,
           IF(OFFSET(PLE!$G$15,$M30-$A$15,DC$13)="",10^12,OFFSET(PLE!$G$15,$M30-$A$15,DC$13)))</f>
        <v>1000000000000</v>
      </c>
      <c r="DD30" s="354" t="n">
        <f aca="true">IF(OR($D30&lt;&gt;"Serviço",AND(AUTOEVENTO="Manual",$M30=$A$15),$M30&gt;(ROW(PLE.lastrow)-ROW(PLE.firstrow))),0,
           IF(OFFSET(PLE!$G$15,$M30-$A$15,DD$13)="",10^12,OFFSET(PLE!$G$15,$M30-$A$15,DD$13)))</f>
        <v>1000000000000</v>
      </c>
      <c r="DE30" s="354" t="n">
        <f aca="true">IF(OR($D30&lt;&gt;"Serviço",AND(AUTOEVENTO="Manual",$M30=$A$15),$M30&gt;(ROW(PLE.lastrow)-ROW(PLE.firstrow))),0,
           IF(OFFSET(PLE!$G$15,$M30-$A$15,DE$13)="",10^12,OFFSET(PLE!$G$15,$M30-$A$15,DE$13)))</f>
        <v>1000000000000</v>
      </c>
      <c r="DF30" s="354" t="n">
        <f aca="true">IF(OR($D30&lt;&gt;"Serviço",AND(AUTOEVENTO="Manual",$M30=$A$15),$M30&gt;(ROW(PLE.lastrow)-ROW(PLE.firstrow))),0,
           IF(OFFSET(PLE!$G$15,$M30-$A$15,DF$13)="",10^12,OFFSET(PLE!$G$15,$M30-$A$15,DF$13)))</f>
        <v>1000000000000</v>
      </c>
      <c r="DG30" s="354" t="n">
        <f aca="true">IF(OR($D30&lt;&gt;"Serviço",AND(AUTOEVENTO="Manual",$M30=$A$15),$M30&gt;(ROW(PLE.lastrow)-ROW(PLE.firstrow))),0,
           IF(OFFSET(PLE!$G$15,$M30-$A$15,DG$13)="",10^12,OFFSET(PLE!$G$15,$M30-$A$15,DG$13)))</f>
        <v>1000000000000</v>
      </c>
      <c r="DH30" s="354" t="n">
        <f aca="true">IF(OR($D30&lt;&gt;"Serviço",AND(AUTOEVENTO="Manual",$M30=$A$15),$M30&gt;(ROW(PLE.lastrow)-ROW(PLE.firstrow))),0,
           IF(OFFSET(PLE!$G$15,$M30-$A$15,DH$13)="",10^12,OFFSET(PLE!$G$15,$M30-$A$15,DH$13)))</f>
        <v>1000000000000</v>
      </c>
      <c r="DI30" s="354" t="n">
        <f aca="true">IF(OR($D30&lt;&gt;"Serviço",AND(AUTOEVENTO="Manual",$M30=$A$15),$M30&gt;(ROW(PLE.lastrow)-ROW(PLE.firstrow))),0,
           IF(OFFSET(PLE!$G$15,$M30-$A$15,DI$13)="",10^12,OFFSET(PLE!$G$15,$M30-$A$15,DI$13)))</f>
        <v>1000000000000</v>
      </c>
      <c r="DJ30" s="354" t="n">
        <f aca="true">IF(OR($D30&lt;&gt;"Serviço",AND(AUTOEVENTO="Manual",$M30=$A$15),$M30&gt;(ROW(PLE.lastrow)-ROW(PLE.firstrow))),0,
           IF(OFFSET(PLE!$G$15,$M30-$A$15,DJ$13)="",10^12,OFFSET(PLE!$G$15,$M30-$A$15,DJ$13)))</f>
        <v>1000000000000</v>
      </c>
      <c r="DK30" s="354" t="n">
        <f aca="true">IF(OR($D30&lt;&gt;"Serviço",AND(AUTOEVENTO="Manual",$M30=$A$15),$M30&gt;(ROW(PLE.lastrow)-ROW(PLE.firstrow))),0,
           IF(OFFSET(PLE!$G$15,$M30-$A$15,DK$13)="",10^12,OFFSET(PLE!$G$15,$M30-$A$15,DK$13)))</f>
        <v>1000000000000</v>
      </c>
      <c r="DL30" s="354" t="n">
        <f aca="true">IF(OR($D30&lt;&gt;"Serviço",AND(AUTOEVENTO="Manual",$M30=$A$15),$M30&gt;(ROW(PLE.lastrow)-ROW(PLE.firstrow))),0,
           IF(OFFSET(PLE!$G$15,$M30-$A$15,DL$13)="",10^12,OFFSET(PLE!$G$15,$M30-$A$15,DL$13)))</f>
        <v>1000000000000</v>
      </c>
      <c r="DM30" s="354" t="n">
        <f aca="true">IF(OR($D30&lt;&gt;"Serviço",AND(AUTOEVENTO="Manual",$M30=$A$15),$M30&gt;(ROW(PLE.lastrow)-ROW(PLE.firstrow))),0,
           IF(OFFSET(PLE!$G$15,$M30-$A$15,DM$13)="",10^12,OFFSET(PLE!$G$15,$M30-$A$15,DM$13)))</f>
        <v>1000000000000</v>
      </c>
      <c r="DN30" s="354" t="n">
        <f aca="true">IF(OR($D30&lt;&gt;"Serviço",AND(AUTOEVENTO="Manual",$M30=$A$15),$M30&gt;(ROW(PLE.lastrow)-ROW(PLE.firstrow))),0,
           IF(OFFSET(PLE!$G$15,$M30-$A$15,DN$13)="",10^12,OFFSET(PLE!$G$15,$M30-$A$15,DN$13)))</f>
        <v>1000000000000</v>
      </c>
      <c r="DO30" s="354" t="n">
        <f aca="true">IF(OR($D30&lt;&gt;"Serviço",AND(AUTOEVENTO="Manual",$M30=$A$15),$M30&gt;(ROW(PLE.lastrow)-ROW(PLE.firstrow))),0,
           IF(OFFSET(PLE!$G$15,$M30-$A$15,DO$13)="",10^12,OFFSET(PLE!$G$15,$M30-$A$15,DO$13)))</f>
        <v>1000000000000</v>
      </c>
      <c r="DP30" s="354" t="n">
        <f aca="true">IF(OR($D30&lt;&gt;"Serviço",AND(AUTOEVENTO="Manual",$M30=$A$15),$M30&gt;(ROW(PLE.lastrow)-ROW(PLE.firstrow))),0,
           IF(OFFSET(PLE!$G$15,$M30-$A$15,DP$13)="",10^12,OFFSET(PLE!$G$15,$M30-$A$15,DP$13)))</f>
        <v>1000000000000</v>
      </c>
      <c r="DQ30" s="354" t="n">
        <f aca="true">IF(OR($D30&lt;&gt;"Serviço",AND(AUTOEVENTO="Manual",$M30=$A$15),$M30&gt;(ROW(PLE.lastrow)-ROW(PLE.firstrow))),0,
           IF(OFFSET(PLE!$G$15,$M30-$A$15,DQ$13)="",10^12,OFFSET(PLE!$G$15,$M30-$A$15,DQ$13)))</f>
        <v>1000000000000</v>
      </c>
      <c r="DR30" s="354" t="n">
        <f aca="true">IF(OR($D30&lt;&gt;"Serviço",AND(AUTOEVENTO="Manual",$M30=$A$15),$M30&gt;(ROW(PLE.lastrow)-ROW(PLE.firstrow))),0,
           IF(OFFSET(PLE!$G$15,$M30-$A$15,DR$13)="",10^12,OFFSET(PLE!$G$15,$M30-$A$15,DR$13)))</f>
        <v>1000000000000</v>
      </c>
      <c r="DS30" s="354" t="n">
        <f aca="true">IF(OR($D30&lt;&gt;"Serviço",AND(AUTOEVENTO="Manual",$M30=$A$15),$M30&gt;(ROW(PLE.lastrow)-ROW(PLE.firstrow))),0,
           IF(OFFSET(PLE!$G$15,$M30-$A$15,DS$13)="",10^12,OFFSET(PLE!$G$15,$M30-$A$15,DS$13)))</f>
        <v>1000000000000</v>
      </c>
    </row>
    <row r="31" customFormat="false" ht="23.85" hidden="false" customHeight="false" outlineLevel="0" collapsed="false">
      <c r="A31" s="50" t="str">
        <f aca="true">IFERROR(IF(AUTOEVENTO="Manual",IF(K31&lt;&gt;"",MIN(VALUE(LEFT(K31,FIND(".",K31)-1)),COUNTA(EVENTOS.Lista)),0),IF(OR($B31&gt;AUTOEVENTO,$B31="S",$B31=0),SUBSTITUTE(OFFSET($A31,-1,0),IF($D31="Serviço",".",""),""),ROW(A31)-ROW($A$15)&amp;".")),0)</f>
        <v>14</v>
      </c>
      <c r="B31" s="50" t="str">
        <f aca="true">OFFSET(ORÇAMENTO!C$15,ROW(B31)-ROW(B$15),0)</f>
        <v>S</v>
      </c>
      <c r="C31" s="50" t="str">
        <f aca="true">OFFSET(ORÇAMENTO!L$15,ROW(C31)-ROW(C$15),0)</f>
        <v>F</v>
      </c>
      <c r="D31" s="201" t="str">
        <f aca="true">OFFSET(ORÇAMENTO!N$15,ROW(D31)-ROW(D$15),0)</f>
        <v>Serviço</v>
      </c>
      <c r="E31" s="202" t="str">
        <f aca="true">OFFSET(ORÇAMENTO!O$15,ROW(E31)-ROW(E$15),0)</f>
        <v>1.5.2.</v>
      </c>
      <c r="F31" s="341" t="str">
        <f aca="true">OFFSET(ORÇAMENTO!R$15,ROW(F31)-ROW(F$15),0)</f>
        <v>PREPARO DE FUNDO DE VALA COM LARGURA MENOR QUE 1,5 M (ACERTO DO SOLO NATURAL). AF_08/2020</v>
      </c>
      <c r="G31" s="342" t="str">
        <f aca="true">IF($D31&lt;&gt;"Serviço","",OFFSET(ORÇAMENTO!S$15,ROW(G31)-ROW(G$15),0))</f>
        <v>M3</v>
      </c>
      <c r="H31" s="207" t="n">
        <f aca="true">IF($D31&lt;&gt;"Serviço",0,IF(ACOMPANHAMENTO="BM",ROUND(OFFSET(ORÇAMENTO!AJ$15,ROW(H31)-ROW(H$15),0),15-13*ORÇAMENTO!$AF$7),SUMPRODUCT(($Q$1:$AQ$1=1)*ROUND($Q31:$AQ31,15-13*ORÇAMENTO!$AF$7))))</f>
        <v>192</v>
      </c>
      <c r="I31" s="343" t="s">
        <v>921</v>
      </c>
      <c r="J31" s="344" t="e">
        <f aca="false">IF(OR(B31&lt;&gt;"S",CÁLCULO.FrentesPreenchidas=0),"",IF(AND(ACOMPANHAMENTO="PLE",AUTOEVENTO="Manual",OR(H31&gt;0,ORÇAMENTO!AC31="QUANT."),OR(K31="",M31=0,N31="")),"►",IF(AND(ACOMPANHAMENTO="PLE",ORÇAMENTO!AC31="QUANT."),"►►",IF(AND(COUNTIF($P$11:$AQ$11,"▼")=0,H31&gt;0,I31=""),"◄",""))))</f>
        <v>#NAME?</v>
      </c>
      <c r="K31" s="345"/>
      <c r="L31" s="346" t="s">
        <v>876</v>
      </c>
      <c r="M31" s="347" t="n">
        <f aca="true">IF($D31&lt;&gt;"Serviço","",
          IF(AUTOEVENTO="manual",$A31,
                IF(ISERROR(MATCH($A31,$A$15:OFFSET($A31,-1,0),0)),MAX($M$15:OFFSET(M31,-1,0))+1,
                      INDEX($M$15:OFFSET(M31,-1,0),MATCH($A31,$A$15:OFFSET($A31,-1,0),0)))))</f>
        <v>3</v>
      </c>
      <c r="N31" s="348" t="str">
        <f aca="true">IF($D31&lt;&gt;"Serviço","",
         IF(AUTOEVENTO="Manual",
                IF($A31=0,"&lt;-- defina o número do agrupador",
                       OFFSET(EVENTOS!$D$15,$A31-$A$15,0)),
                OFFSET($F$15,$A31,0)))</f>
        <v>SAPATA</v>
      </c>
      <c r="O31" s="349"/>
      <c r="Q31" s="349" t="n">
        <v>7.68</v>
      </c>
      <c r="R31" s="350" t="n">
        <f aca="false">Q31</f>
        <v>7.68</v>
      </c>
      <c r="S31" s="350" t="n">
        <f aca="false">R31</f>
        <v>7.68</v>
      </c>
      <c r="T31" s="350" t="n">
        <f aca="false">S31</f>
        <v>7.68</v>
      </c>
      <c r="U31" s="350" t="n">
        <f aca="false">T31</f>
        <v>7.68</v>
      </c>
      <c r="V31" s="350" t="n">
        <f aca="false">U31</f>
        <v>7.68</v>
      </c>
      <c r="W31" s="350" t="n">
        <f aca="false">V31</f>
        <v>7.68</v>
      </c>
      <c r="X31" s="350" t="n">
        <f aca="false">W31</f>
        <v>7.68</v>
      </c>
      <c r="Y31" s="350" t="n">
        <f aca="false">X31</f>
        <v>7.68</v>
      </c>
      <c r="Z31" s="351" t="n">
        <f aca="false">Y31</f>
        <v>7.68</v>
      </c>
      <c r="AA31" s="350" t="n">
        <f aca="false">Z31</f>
        <v>7.68</v>
      </c>
      <c r="AB31" s="350" t="n">
        <f aca="false">AA31</f>
        <v>7.68</v>
      </c>
      <c r="AC31" s="350" t="n">
        <f aca="false">AB31</f>
        <v>7.68</v>
      </c>
      <c r="AD31" s="350" t="n">
        <f aca="false">AC31</f>
        <v>7.68</v>
      </c>
      <c r="AE31" s="350" t="n">
        <f aca="false">AD31</f>
        <v>7.68</v>
      </c>
      <c r="AF31" s="350" t="n">
        <f aca="false">AE31</f>
        <v>7.68</v>
      </c>
      <c r="AG31" s="350" t="n">
        <f aca="false">AF31</f>
        <v>7.68</v>
      </c>
      <c r="AH31" s="351" t="n">
        <f aca="false">AG31</f>
        <v>7.68</v>
      </c>
      <c r="AI31" s="350" t="n">
        <f aca="false">AH31</f>
        <v>7.68</v>
      </c>
      <c r="AJ31" s="350" t="n">
        <f aca="false">AI31</f>
        <v>7.68</v>
      </c>
      <c r="AK31" s="350" t="n">
        <f aca="false">AJ31</f>
        <v>7.68</v>
      </c>
      <c r="AL31" s="350" t="n">
        <f aca="false">AK31</f>
        <v>7.68</v>
      </c>
      <c r="AM31" s="350" t="n">
        <f aca="false">AL31</f>
        <v>7.68</v>
      </c>
      <c r="AN31" s="350" t="n">
        <f aca="false">AM31</f>
        <v>7.68</v>
      </c>
      <c r="AO31" s="350" t="n">
        <f aca="false">AN31</f>
        <v>7.68</v>
      </c>
      <c r="AP31" s="351" t="n">
        <v>31.2</v>
      </c>
      <c r="AR31" s="352" t="n">
        <f aca="true">IF(AND($D31="Serviço",AR$12&lt;&gt;0,$H31&gt;0,OR(AUTOEVENTO&lt;&gt;"manual",$M31&lt;&gt;$A$15)),
        IF(Import.TipoArredondamento&lt;&gt;"TransfereGOV",
              ROUND(OFFSET($P31,0,AR$13),15-13*ORÇAMENTO!$AF$7)/$H31*OFFSET(ORÇAMENTO!$X$15,ROW(AR31)-ROW(AR$15),0),
              ROUND(ROUND(OFFSET($P31,0,AR$13),15-13*ORÇAMENTO!$AF$7)*OFFSET(ORÇAMENTO!$W$15,ROW(AR31)-ROW(AR$15),0),15-13*ORÇAMENTO!$AF$11)),
         0)</f>
        <v>63.13</v>
      </c>
      <c r="AS31" s="352" t="n">
        <f aca="true">IF(AND($D31="Serviço",AS$12&lt;&gt;0,$H31&gt;0,OR(AUTOEVENTO&lt;&gt;"manual",$M31&lt;&gt;$A$15)),
        IF(Import.TipoArredondamento&lt;&gt;"TransfereGOV",
              ROUND(OFFSET($P31,0,AS$13),15-13*ORÇAMENTO!$AF$7)/$H31*OFFSET(ORÇAMENTO!$X$15,ROW(AS31)-ROW(AS$15),0),
              ROUND(ROUND(OFFSET($P31,0,AS$13),15-13*ORÇAMENTO!$AF$7)*OFFSET(ORÇAMENTO!$W$15,ROW(AS31)-ROW(AS$15),0),15-13*ORÇAMENTO!$AF$11)),
         0)</f>
        <v>63.13</v>
      </c>
      <c r="AT31" s="352" t="n">
        <f aca="true">IF(AND($D31="Serviço",AT$12&lt;&gt;0,$H31&gt;0,OR(AUTOEVENTO&lt;&gt;"manual",$M31&lt;&gt;$A$15)),
        IF(Import.TipoArredondamento&lt;&gt;"TransfereGOV",
              ROUND(OFFSET($P31,0,AT$13),15-13*ORÇAMENTO!$AF$7)/$H31*OFFSET(ORÇAMENTO!$X$15,ROW(AT31)-ROW(AT$15),0),
              ROUND(ROUND(OFFSET($P31,0,AT$13),15-13*ORÇAMENTO!$AF$7)*OFFSET(ORÇAMENTO!$W$15,ROW(AT31)-ROW(AT$15),0),15-13*ORÇAMENTO!$AF$11)),
         0)</f>
        <v>63.13</v>
      </c>
      <c r="AU31" s="352" t="n">
        <f aca="true">IF(AND($D31="Serviço",AU$12&lt;&gt;0,$H31&gt;0,OR(AUTOEVENTO&lt;&gt;"manual",$M31&lt;&gt;$A$15)),
        IF(Import.TipoArredondamento&lt;&gt;"TransfereGOV",
              ROUND(OFFSET($P31,0,AU$13),15-13*ORÇAMENTO!$AF$7)/$H31*OFFSET(ORÇAMENTO!$X$15,ROW(AU31)-ROW(AU$15),0),
              ROUND(ROUND(OFFSET($P31,0,AU$13),15-13*ORÇAMENTO!$AF$7)*OFFSET(ORÇAMENTO!$W$15,ROW(AU31)-ROW(AU$15),0),15-13*ORÇAMENTO!$AF$11)),
         0)</f>
        <v>63.13</v>
      </c>
      <c r="AV31" s="352" t="n">
        <f aca="true">IF(AND($D31="Serviço",AV$12&lt;&gt;0,$H31&gt;0,OR(AUTOEVENTO&lt;&gt;"manual",$M31&lt;&gt;$A$15)),
        IF(Import.TipoArredondamento&lt;&gt;"TransfereGOV",
              ROUND(OFFSET($P31,0,AV$13),15-13*ORÇAMENTO!$AF$7)/$H31*OFFSET(ORÇAMENTO!$X$15,ROW(AV31)-ROW(AV$15),0),
              ROUND(ROUND(OFFSET($P31,0,AV$13),15-13*ORÇAMENTO!$AF$7)*OFFSET(ORÇAMENTO!$W$15,ROW(AV31)-ROW(AV$15),0),15-13*ORÇAMENTO!$AF$11)),
         0)</f>
        <v>63.13</v>
      </c>
      <c r="AW31" s="352" t="n">
        <f aca="true">IF(AND($D31="Serviço",AW$12&lt;&gt;0,$H31&gt;0,OR(AUTOEVENTO&lt;&gt;"manual",$M31&lt;&gt;$A$15)),
        IF(Import.TipoArredondamento&lt;&gt;"TransfereGOV",
              ROUND(OFFSET($P31,0,AW$13),15-13*ORÇAMENTO!$AF$7)/$H31*OFFSET(ORÇAMENTO!$X$15,ROW(AW31)-ROW(AW$15),0),
              ROUND(ROUND(OFFSET($P31,0,AW$13),15-13*ORÇAMENTO!$AF$7)*OFFSET(ORÇAMENTO!$W$15,ROW(AW31)-ROW(AW$15),0),15-13*ORÇAMENTO!$AF$11)),
         0)</f>
        <v>63.13</v>
      </c>
      <c r="AX31" s="352" t="n">
        <f aca="true">IF(AND($D31="Serviço",AX$12&lt;&gt;0,$H31&gt;0,OR(AUTOEVENTO&lt;&gt;"manual",$M31&lt;&gt;$A$15)),
        IF(Import.TipoArredondamento&lt;&gt;"TransfereGOV",
              ROUND(OFFSET($P31,0,AX$13),15-13*ORÇAMENTO!$AF$7)/$H31*OFFSET(ORÇAMENTO!$X$15,ROW(AX31)-ROW(AX$15),0),
              ROUND(ROUND(OFFSET($P31,0,AX$13),15-13*ORÇAMENTO!$AF$7)*OFFSET(ORÇAMENTO!$W$15,ROW(AX31)-ROW(AX$15),0),15-13*ORÇAMENTO!$AF$11)),
         0)</f>
        <v>63.13</v>
      </c>
      <c r="AY31" s="352" t="n">
        <f aca="true">IF(AND($D31="Serviço",AY$12&lt;&gt;0,$H31&gt;0,OR(AUTOEVENTO&lt;&gt;"manual",$M31&lt;&gt;$A$15)),
        IF(Import.TipoArredondamento&lt;&gt;"TransfereGOV",
              ROUND(OFFSET($P31,0,AY$13),15-13*ORÇAMENTO!$AF$7)/$H31*OFFSET(ORÇAMENTO!$X$15,ROW(AY31)-ROW(AY$15),0),
              ROUND(ROUND(OFFSET($P31,0,AY$13),15-13*ORÇAMENTO!$AF$7)*OFFSET(ORÇAMENTO!$W$15,ROW(AY31)-ROW(AY$15),0),15-13*ORÇAMENTO!$AF$11)),
         0)</f>
        <v>63.13</v>
      </c>
      <c r="AZ31" s="352" t="n">
        <f aca="true">IF(AND($D31="Serviço",AZ$12&lt;&gt;0,$H31&gt;0,OR(AUTOEVENTO&lt;&gt;"manual",$M31&lt;&gt;$A$15)),
        IF(Import.TipoArredondamento&lt;&gt;"TransfereGOV",
              ROUND(OFFSET($P31,0,AZ$13),15-13*ORÇAMENTO!$AF$7)/$H31*OFFSET(ORÇAMENTO!$X$15,ROW(AZ31)-ROW(AZ$15),0),
              ROUND(ROUND(OFFSET($P31,0,AZ$13),15-13*ORÇAMENTO!$AF$7)*OFFSET(ORÇAMENTO!$W$15,ROW(AZ31)-ROW(AZ$15),0),15-13*ORÇAMENTO!$AF$11)),
         0)</f>
        <v>63.13</v>
      </c>
      <c r="BA31" s="352" t="n">
        <f aca="true">IF(AND($D31="Serviço",BA$12&lt;&gt;0,$H31&gt;0,OR(AUTOEVENTO&lt;&gt;"manual",$M31&lt;&gt;$A$15)),
        IF(Import.TipoArredondamento&lt;&gt;"TransfereGOV",
              ROUND(OFFSET($P31,0,BA$13),15-13*ORÇAMENTO!$AF$7)/$H31*OFFSET(ORÇAMENTO!$X$15,ROW(BA31)-ROW(BA$15),0),
              ROUND(ROUND(OFFSET($P31,0,BA$13),15-13*ORÇAMENTO!$AF$7)*OFFSET(ORÇAMENTO!$W$15,ROW(BA31)-ROW(BA$15),0),15-13*ORÇAMENTO!$AF$11)),
         0)</f>
        <v>63.13</v>
      </c>
      <c r="BB31" s="352" t="n">
        <f aca="true">IF(AND($D31="Serviço",BB$12&lt;&gt;0,$H31&gt;0,OR(AUTOEVENTO&lt;&gt;"manual",$M31&lt;&gt;$A$15)),
        IF(Import.TipoArredondamento&lt;&gt;"TransfereGOV",
              ROUND(OFFSET($P31,0,BB$13),15-13*ORÇAMENTO!$AF$7)/$H31*OFFSET(ORÇAMENTO!$X$15,ROW(BB31)-ROW(BB$15),0),
              ROUND(ROUND(OFFSET($P31,0,BB$13),15-13*ORÇAMENTO!$AF$7)*OFFSET(ORÇAMENTO!$W$15,ROW(BB31)-ROW(BB$15),0),15-13*ORÇAMENTO!$AF$11)),
         0)</f>
        <v>63.13</v>
      </c>
      <c r="BC31" s="352" t="n">
        <f aca="true">IF(AND($D31="Serviço",BC$12&lt;&gt;0,$H31&gt;0,OR(AUTOEVENTO&lt;&gt;"manual",$M31&lt;&gt;$A$15)),
        IF(Import.TipoArredondamento&lt;&gt;"TransfereGOV",
              ROUND(OFFSET($P31,0,BC$13),15-13*ORÇAMENTO!$AF$7)/$H31*OFFSET(ORÇAMENTO!$X$15,ROW(BC31)-ROW(BC$15),0),
              ROUND(ROUND(OFFSET($P31,0,BC$13),15-13*ORÇAMENTO!$AF$7)*OFFSET(ORÇAMENTO!$W$15,ROW(BC31)-ROW(BC$15),0),15-13*ORÇAMENTO!$AF$11)),
         0)</f>
        <v>63.13</v>
      </c>
      <c r="BD31" s="352" t="n">
        <f aca="true">IF(AND($D31="Serviço",BD$12&lt;&gt;0,$H31&gt;0,OR(AUTOEVENTO&lt;&gt;"manual",$M31&lt;&gt;$A$15)),
        IF(Import.TipoArredondamento&lt;&gt;"TransfereGOV",
              ROUND(OFFSET($P31,0,BD$13),15-13*ORÇAMENTO!$AF$7)/$H31*OFFSET(ORÇAMENTO!$X$15,ROW(BD31)-ROW(BD$15),0),
              ROUND(ROUND(OFFSET($P31,0,BD$13),15-13*ORÇAMENTO!$AF$7)*OFFSET(ORÇAMENTO!$W$15,ROW(BD31)-ROW(BD$15),0),15-13*ORÇAMENTO!$AF$11)),
         0)</f>
        <v>63.13</v>
      </c>
      <c r="BE31" s="352" t="n">
        <f aca="true">IF(AND($D31="Serviço",BE$12&lt;&gt;0,$H31&gt;0,OR(AUTOEVENTO&lt;&gt;"manual",$M31&lt;&gt;$A$15)),
        IF(Import.TipoArredondamento&lt;&gt;"TransfereGOV",
              ROUND(OFFSET($P31,0,BE$13),15-13*ORÇAMENTO!$AF$7)/$H31*OFFSET(ORÇAMENTO!$X$15,ROW(BE31)-ROW(BE$15),0),
              ROUND(ROUND(OFFSET($P31,0,BE$13),15-13*ORÇAMENTO!$AF$7)*OFFSET(ORÇAMENTO!$W$15,ROW(BE31)-ROW(BE$15),0),15-13*ORÇAMENTO!$AF$11)),
         0)</f>
        <v>63.13</v>
      </c>
      <c r="BF31" s="352" t="n">
        <f aca="true">IF(AND($D31="Serviço",BF$12&lt;&gt;0,$H31&gt;0,OR(AUTOEVENTO&lt;&gt;"manual",$M31&lt;&gt;$A$15)),
        IF(Import.TipoArredondamento&lt;&gt;"TransfereGOV",
              ROUND(OFFSET($P31,0,BF$13),15-13*ORÇAMENTO!$AF$7)/$H31*OFFSET(ORÇAMENTO!$X$15,ROW(BF31)-ROW(BF$15),0),
              ROUND(ROUND(OFFSET($P31,0,BF$13),15-13*ORÇAMENTO!$AF$7)*OFFSET(ORÇAMENTO!$W$15,ROW(BF31)-ROW(BF$15),0),15-13*ORÇAMENTO!$AF$11)),
         0)</f>
        <v>63.13</v>
      </c>
      <c r="BG31" s="352" t="n">
        <f aca="true">IF(AND($D31="Serviço",BG$12&lt;&gt;0,$H31&gt;0,OR(AUTOEVENTO&lt;&gt;"manual",$M31&lt;&gt;$A$15)),
        IF(Import.TipoArredondamento&lt;&gt;"TransfereGOV",
              ROUND(OFFSET($P31,0,BG$13),15-13*ORÇAMENTO!$AF$7)/$H31*OFFSET(ORÇAMENTO!$X$15,ROW(BG31)-ROW(BG$15),0),
              ROUND(ROUND(OFFSET($P31,0,BG$13),15-13*ORÇAMENTO!$AF$7)*OFFSET(ORÇAMENTO!$W$15,ROW(BG31)-ROW(BG$15),0),15-13*ORÇAMENTO!$AF$11)),
         0)</f>
        <v>63.13</v>
      </c>
      <c r="BH31" s="352" t="n">
        <f aca="true">IF(AND($D31="Serviço",BH$12&lt;&gt;0,$H31&gt;0,OR(AUTOEVENTO&lt;&gt;"manual",$M31&lt;&gt;$A$15)),
        IF(Import.TipoArredondamento&lt;&gt;"TransfereGOV",
              ROUND(OFFSET($P31,0,BH$13),15-13*ORÇAMENTO!$AF$7)/$H31*OFFSET(ORÇAMENTO!$X$15,ROW(BH31)-ROW(BH$15),0),
              ROUND(ROUND(OFFSET($P31,0,BH$13),15-13*ORÇAMENTO!$AF$7)*OFFSET(ORÇAMENTO!$W$15,ROW(BH31)-ROW(BH$15),0),15-13*ORÇAMENTO!$AF$11)),
         0)</f>
        <v>63.13</v>
      </c>
      <c r="BI31" s="352" t="n">
        <f aca="true">IF(AND($D31="Serviço",BI$12&lt;&gt;0,$H31&gt;0,OR(AUTOEVENTO&lt;&gt;"manual",$M31&lt;&gt;$A$15)),
        IF(Import.TipoArredondamento&lt;&gt;"TransfereGOV",
              ROUND(OFFSET($P31,0,BI$13),15-13*ORÇAMENTO!$AF$7)/$H31*OFFSET(ORÇAMENTO!$X$15,ROW(BI31)-ROW(BI$15),0),
              ROUND(ROUND(OFFSET($P31,0,BI$13),15-13*ORÇAMENTO!$AF$7)*OFFSET(ORÇAMENTO!$W$15,ROW(BI31)-ROW(BI$15),0),15-13*ORÇAMENTO!$AF$11)),
         0)</f>
        <v>63.13</v>
      </c>
      <c r="BJ31" s="352" t="n">
        <f aca="true">IF(AND($D31="Serviço",BJ$12&lt;&gt;0,$H31&gt;0,OR(AUTOEVENTO&lt;&gt;"manual",$M31&lt;&gt;$A$15)),
        IF(Import.TipoArredondamento&lt;&gt;"TransfereGOV",
              ROUND(OFFSET($P31,0,BJ$13),15-13*ORÇAMENTO!$AF$7)/$H31*OFFSET(ORÇAMENTO!$X$15,ROW(BJ31)-ROW(BJ$15),0),
              ROUND(ROUND(OFFSET($P31,0,BJ$13),15-13*ORÇAMENTO!$AF$7)*OFFSET(ORÇAMENTO!$W$15,ROW(BJ31)-ROW(BJ$15),0),15-13*ORÇAMENTO!$AF$11)),
         0)</f>
        <v>63.13</v>
      </c>
      <c r="BK31" s="352" t="n">
        <f aca="true">IF(AND($D31="Serviço",BK$12&lt;&gt;0,$H31&gt;0,OR(AUTOEVENTO&lt;&gt;"manual",$M31&lt;&gt;$A$15)),
        IF(Import.TipoArredondamento&lt;&gt;"TransfereGOV",
              ROUND(OFFSET($P31,0,BK$13),15-13*ORÇAMENTO!$AF$7)/$H31*OFFSET(ORÇAMENTO!$X$15,ROW(BK31)-ROW(BK$15),0),
              ROUND(ROUND(OFFSET($P31,0,BK$13),15-13*ORÇAMENTO!$AF$7)*OFFSET(ORÇAMENTO!$W$15,ROW(BK31)-ROW(BK$15),0),15-13*ORÇAMENTO!$AF$11)),
         0)</f>
        <v>63.13</v>
      </c>
      <c r="BL31" s="352" t="n">
        <f aca="true">IF(AND($D31="Serviço",BL$12&lt;&gt;0,$H31&gt;0,OR(AUTOEVENTO&lt;&gt;"manual",$M31&lt;&gt;$A$15)),
        IF(Import.TipoArredondamento&lt;&gt;"TransfereGOV",
              ROUND(OFFSET($P31,0,BL$13),15-13*ORÇAMENTO!$AF$7)/$H31*OFFSET(ORÇAMENTO!$X$15,ROW(BL31)-ROW(BL$15),0),
              ROUND(ROUND(OFFSET($P31,0,BL$13),15-13*ORÇAMENTO!$AF$7)*OFFSET(ORÇAMENTO!$W$15,ROW(BL31)-ROW(BL$15),0),15-13*ORÇAMENTO!$AF$11)),
         0)</f>
        <v>63.13</v>
      </c>
      <c r="BM31" s="352" t="n">
        <f aca="true">IF(AND($D31="Serviço",BM$12&lt;&gt;0,$H31&gt;0,OR(AUTOEVENTO&lt;&gt;"manual",$M31&lt;&gt;$A$15)),
        IF(Import.TipoArredondamento&lt;&gt;"TransfereGOV",
              ROUND(OFFSET($P31,0,BM$13),15-13*ORÇAMENTO!$AF$7)/$H31*OFFSET(ORÇAMENTO!$X$15,ROW(BM31)-ROW(BM$15),0),
              ROUND(ROUND(OFFSET($P31,0,BM$13),15-13*ORÇAMENTO!$AF$7)*OFFSET(ORÇAMENTO!$W$15,ROW(BM31)-ROW(BM$15),0),15-13*ORÇAMENTO!$AF$11)),
         0)</f>
        <v>63.13</v>
      </c>
      <c r="BN31" s="352" t="n">
        <f aca="true">IF(AND($D31="Serviço",BN$12&lt;&gt;0,$H31&gt;0,OR(AUTOEVENTO&lt;&gt;"manual",$M31&lt;&gt;$A$15)),
        IF(Import.TipoArredondamento&lt;&gt;"TransfereGOV",
              ROUND(OFFSET($P31,0,BN$13),15-13*ORÇAMENTO!$AF$7)/$H31*OFFSET(ORÇAMENTO!$X$15,ROW(BN31)-ROW(BN$15),0),
              ROUND(ROUND(OFFSET($P31,0,BN$13),15-13*ORÇAMENTO!$AF$7)*OFFSET(ORÇAMENTO!$W$15,ROW(BN31)-ROW(BN$15),0),15-13*ORÇAMENTO!$AF$11)),
         0)</f>
        <v>63.13</v>
      </c>
      <c r="BO31" s="352" t="n">
        <f aca="true">IF(AND($D31="Serviço",BO$12&lt;&gt;0,$H31&gt;0,OR(AUTOEVENTO&lt;&gt;"manual",$M31&lt;&gt;$A$15)),
        IF(Import.TipoArredondamento&lt;&gt;"TransfereGOV",
              ROUND(OFFSET($P31,0,BO$13),15-13*ORÇAMENTO!$AF$7)/$H31*OFFSET(ORÇAMENTO!$X$15,ROW(BO31)-ROW(BO$15),0),
              ROUND(ROUND(OFFSET($P31,0,BO$13),15-13*ORÇAMENTO!$AF$7)*OFFSET(ORÇAMENTO!$W$15,ROW(BO31)-ROW(BO$15),0),15-13*ORÇAMENTO!$AF$11)),
         0)</f>
        <v>63.13</v>
      </c>
      <c r="BP31" s="352" t="n">
        <f aca="true">IF(AND($D31="Serviço",BP$12&lt;&gt;0,$H31&gt;0,OR(AUTOEVENTO&lt;&gt;"manual",$M31&lt;&gt;$A$15)),
        IF(Import.TipoArredondamento&lt;&gt;"TransfereGOV",
              ROUND(OFFSET($P31,0,BP$13),15-13*ORÇAMENTO!$AF$7)/$H31*OFFSET(ORÇAMENTO!$X$15,ROW(BP31)-ROW(BP$15),0),
              ROUND(ROUND(OFFSET($P31,0,BP$13),15-13*ORÇAMENTO!$AF$7)*OFFSET(ORÇAMENTO!$W$15,ROW(BP31)-ROW(BP$15),0),15-13*ORÇAMENTO!$AF$11)),
         0)</f>
        <v>63.13</v>
      </c>
      <c r="BQ31" s="352" t="n">
        <f aca="true">IF(AND($D31="Serviço",BQ$12&lt;&gt;0,$H31&gt;0,OR(AUTOEVENTO&lt;&gt;"manual",$M31&lt;&gt;$A$15)),
        IF(Import.TipoArredondamento&lt;&gt;"TransfereGOV",
              ROUND(OFFSET($P31,0,BQ$13),15-13*ORÇAMENTO!$AF$7)/$H31*OFFSET(ORÇAMENTO!$X$15,ROW(BQ31)-ROW(BQ$15),0),
              ROUND(ROUND(OFFSET($P31,0,BQ$13),15-13*ORÇAMENTO!$AF$7)*OFFSET(ORÇAMENTO!$W$15,ROW(BQ31)-ROW(BQ$15),0),15-13*ORÇAMENTO!$AF$11)),
         0)</f>
        <v>0</v>
      </c>
      <c r="BS31" s="353" t="n">
        <f aca="true">IF(OR($D31&lt;&gt;"Serviço",AND(AUTOEVENTO="Manual",$M31=$A$15)),0,
         IF(OFFSET(CRONOPLE!$F$15,$M31-$A$15,BS$13)=0,10^12,OFFSET(CRONOPLE!$F$15,$M31-$A$15,BS$13)))</f>
        <v>1</v>
      </c>
      <c r="BT31" s="353" t="n">
        <f aca="true">IF(OR($D31&lt;&gt;"Serviço",AND(AUTOEVENTO="Manual",$M31=$A$15)),0,
         IF(OFFSET(CRONOPLE!$F$15,$M31-$A$15,BT$13)=0,10^12,OFFSET(CRONOPLE!$F$15,$M31-$A$15,BT$13)))</f>
        <v>2</v>
      </c>
      <c r="BU31" s="353" t="n">
        <f aca="true">IF(OR($D31&lt;&gt;"Serviço",AND(AUTOEVENTO="Manual",$M31=$A$15)),0,
         IF(OFFSET(CRONOPLE!$F$15,$M31-$A$15,BU$13)=0,10^12,OFFSET(CRONOPLE!$F$15,$M31-$A$15,BU$13)))</f>
        <v>3</v>
      </c>
      <c r="BV31" s="353" t="n">
        <f aca="true">IF(OR($D31&lt;&gt;"Serviço",AND(AUTOEVENTO="Manual",$M31=$A$15)),0,
         IF(OFFSET(CRONOPLE!$F$15,$M31-$A$15,BV$13)=0,10^12,OFFSET(CRONOPLE!$F$15,$M31-$A$15,BV$13)))</f>
        <v>4</v>
      </c>
      <c r="BW31" s="353" t="n">
        <f aca="true">IF(OR($D31&lt;&gt;"Serviço",AND(AUTOEVENTO="Manual",$M31=$A$15)),0,
         IF(OFFSET(CRONOPLE!$F$15,$M31-$A$15,BW$13)=0,10^12,OFFSET(CRONOPLE!$F$15,$M31-$A$15,BW$13)))</f>
        <v>5</v>
      </c>
      <c r="BX31" s="353" t="n">
        <f aca="true">IF(OR($D31&lt;&gt;"Serviço",AND(AUTOEVENTO="Manual",$M31=$A$15)),0,
         IF(OFFSET(CRONOPLE!$F$15,$M31-$A$15,BX$13)=0,10^12,OFFSET(CRONOPLE!$F$15,$M31-$A$15,BX$13)))</f>
        <v>6</v>
      </c>
      <c r="BY31" s="353" t="n">
        <f aca="true">IF(OR($D31&lt;&gt;"Serviço",AND(AUTOEVENTO="Manual",$M31=$A$15)),0,
         IF(OFFSET(CRONOPLE!$F$15,$M31-$A$15,BY$13)=0,10^12,OFFSET(CRONOPLE!$F$15,$M31-$A$15,BY$13)))</f>
        <v>7</v>
      </c>
      <c r="BZ31" s="353" t="n">
        <f aca="true">IF(OR($D31&lt;&gt;"Serviço",AND(AUTOEVENTO="Manual",$M31=$A$15)),0,
         IF(OFFSET(CRONOPLE!$F$15,$M31-$A$15,BZ$13)=0,10^12,OFFSET(CRONOPLE!$F$15,$M31-$A$15,BZ$13)))</f>
        <v>8</v>
      </c>
      <c r="CA31" s="353" t="n">
        <f aca="true">IF(OR($D31&lt;&gt;"Serviço",AND(AUTOEVENTO="Manual",$M31=$A$15)),0,
         IF(OFFSET(CRONOPLE!$F$15,$M31-$A$15,CA$13)=0,10^12,OFFSET(CRONOPLE!$F$15,$M31-$A$15,CA$13)))</f>
        <v>9</v>
      </c>
      <c r="CB31" s="353" t="n">
        <f aca="true">IF(OR($D31&lt;&gt;"Serviço",AND(AUTOEVENTO="Manual",$M31=$A$15)),0,
         IF(OFFSET(CRONOPLE!$F$15,$M31-$A$15,CB$13)=0,10^12,OFFSET(CRONOPLE!$F$15,$M31-$A$15,CB$13)))</f>
        <v>10</v>
      </c>
      <c r="CC31" s="353" t="n">
        <f aca="true">IF(OR($D31&lt;&gt;"Serviço",AND(AUTOEVENTO="Manual",$M31=$A$15)),0,
         IF(OFFSET(CRONOPLE!$F$15,$M31-$A$15,CC$13)=0,10^12,OFFSET(CRONOPLE!$F$15,$M31-$A$15,CC$13)))</f>
        <v>11</v>
      </c>
      <c r="CD31" s="353" t="n">
        <f aca="true">IF(OR($D31&lt;&gt;"Serviço",AND(AUTOEVENTO="Manual",$M31=$A$15)),0,
         IF(OFFSET(CRONOPLE!$F$15,$M31-$A$15,CD$13)=0,10^12,OFFSET(CRONOPLE!$F$15,$M31-$A$15,CD$13)))</f>
        <v>12</v>
      </c>
      <c r="CE31" s="353" t="n">
        <f aca="true">IF(OR($D31&lt;&gt;"Serviço",AND(AUTOEVENTO="Manual",$M31=$A$15)),0,
         IF(OFFSET(CRONOPLE!$F$15,$M31-$A$15,CE$13)=0,10^12,OFFSET(CRONOPLE!$F$15,$M31-$A$15,CE$13)))</f>
        <v>13</v>
      </c>
      <c r="CF31" s="353" t="n">
        <f aca="true">IF(OR($D31&lt;&gt;"Serviço",AND(AUTOEVENTO="Manual",$M31=$A$15)),0,
         IF(OFFSET(CRONOPLE!$F$15,$M31-$A$15,CF$13)=0,10^12,OFFSET(CRONOPLE!$F$15,$M31-$A$15,CF$13)))</f>
        <v>14</v>
      </c>
      <c r="CG31" s="353" t="n">
        <f aca="true">IF(OR($D31&lt;&gt;"Serviço",AND(AUTOEVENTO="Manual",$M31=$A$15)),0,
         IF(OFFSET(CRONOPLE!$F$15,$M31-$A$15,CG$13)=0,10^12,OFFSET(CRONOPLE!$F$15,$M31-$A$15,CG$13)))</f>
        <v>15</v>
      </c>
      <c r="CH31" s="353" t="n">
        <f aca="true">IF(OR($D31&lt;&gt;"Serviço",AND(AUTOEVENTO="Manual",$M31=$A$15)),0,
         IF(OFFSET(CRONOPLE!$F$15,$M31-$A$15,CH$13)=0,10^12,OFFSET(CRONOPLE!$F$15,$M31-$A$15,CH$13)))</f>
        <v>16</v>
      </c>
      <c r="CI31" s="353" t="n">
        <f aca="true">IF(OR($D31&lt;&gt;"Serviço",AND(AUTOEVENTO="Manual",$M31=$A$15)),0,
         IF(OFFSET(CRONOPLE!$F$15,$M31-$A$15,CI$13)=0,10^12,OFFSET(CRONOPLE!$F$15,$M31-$A$15,CI$13)))</f>
        <v>17</v>
      </c>
      <c r="CJ31" s="353" t="n">
        <f aca="true">IF(OR($D31&lt;&gt;"Serviço",AND(AUTOEVENTO="Manual",$M31=$A$15)),0,
         IF(OFFSET(CRONOPLE!$F$15,$M31-$A$15,CJ$13)=0,10^12,OFFSET(CRONOPLE!$F$15,$M31-$A$15,CJ$13)))</f>
        <v>18</v>
      </c>
      <c r="CK31" s="353" t="n">
        <f aca="true">IF(OR($D31&lt;&gt;"Serviço",AND(AUTOEVENTO="Manual",$M31=$A$15)),0,
         IF(OFFSET(CRONOPLE!$F$15,$M31-$A$15,CK$13)=0,10^12,OFFSET(CRONOPLE!$F$15,$M31-$A$15,CK$13)))</f>
        <v>19</v>
      </c>
      <c r="CL31" s="353" t="n">
        <f aca="true">IF(OR($D31&lt;&gt;"Serviço",AND(AUTOEVENTO="Manual",$M31=$A$15)),0,
         IF(OFFSET(CRONOPLE!$F$15,$M31-$A$15,CL$13)=0,10^12,OFFSET(CRONOPLE!$F$15,$M31-$A$15,CL$13)))</f>
        <v>20</v>
      </c>
      <c r="CM31" s="353" t="n">
        <f aca="true">IF(OR($D31&lt;&gt;"Serviço",AND(AUTOEVENTO="Manual",$M31=$A$15)),0,
         IF(OFFSET(CRONOPLE!$F$15,$M31-$A$15,CM$13)=0,10^12,OFFSET(CRONOPLE!$F$15,$M31-$A$15,CM$13)))</f>
        <v>21</v>
      </c>
      <c r="CN31" s="353" t="n">
        <f aca="true">IF(OR($D31&lt;&gt;"Serviço",AND(AUTOEVENTO="Manual",$M31=$A$15)),0,
         IF(OFFSET(CRONOPLE!$F$15,$M31-$A$15,CN$13)=0,10^12,OFFSET(CRONOPLE!$F$15,$M31-$A$15,CN$13)))</f>
        <v>22</v>
      </c>
      <c r="CO31" s="353" t="n">
        <f aca="true">IF(OR($D31&lt;&gt;"Serviço",AND(AUTOEVENTO="Manual",$M31=$A$15)),0,
         IF(OFFSET(CRONOPLE!$F$15,$M31-$A$15,CO$13)=0,10^12,OFFSET(CRONOPLE!$F$15,$M31-$A$15,CO$13)))</f>
        <v>23</v>
      </c>
      <c r="CP31" s="353" t="n">
        <f aca="true">IF(OR($D31&lt;&gt;"Serviço",AND(AUTOEVENTO="Manual",$M31=$A$15)),0,
         IF(OFFSET(CRONOPLE!$F$15,$M31-$A$15,CP$13)=0,10^12,OFFSET(CRONOPLE!$F$15,$M31-$A$15,CP$13)))</f>
        <v>24</v>
      </c>
      <c r="CQ31" s="353" t="n">
        <f aca="true">IF(OR($D31&lt;&gt;"Serviço",AND(AUTOEVENTO="Manual",$M31=$A$15)),0,
         IF(OFFSET(CRONOPLE!$F$15,$M31-$A$15,CQ$13)=0,10^12,OFFSET(CRONOPLE!$F$15,$M31-$A$15,CQ$13)))</f>
        <v>25</v>
      </c>
      <c r="CR31" s="353" t="n">
        <f aca="true">IF(OR($D31&lt;&gt;"Serviço",AND(AUTOEVENTO="Manual",$M31=$A$15)),0,
         IF(OFFSET(CRONOPLE!$F$15,$M31-$A$15,CR$13)=0,10^12,OFFSET(CRONOPLE!$F$15,$M31-$A$15,CR$13)))</f>
        <v>1000000000000</v>
      </c>
      <c r="CT31" s="354" t="n">
        <f aca="true">IF(OR($D31&lt;&gt;"Serviço",AND(AUTOEVENTO="Manual",$M31=$A$15),$M31&gt;(ROW(PLE.lastrow)-ROW(PLE.firstrow))),0,
           IF(OFFSET(PLE!$G$15,$M31-$A$15,CT$13)="",10^12,OFFSET(PLE!$G$15,$M31-$A$15,CT$13)))</f>
        <v>1000000000000</v>
      </c>
      <c r="CU31" s="354" t="n">
        <f aca="true">IF(OR($D31&lt;&gt;"Serviço",AND(AUTOEVENTO="Manual",$M31=$A$15),$M31&gt;(ROW(PLE.lastrow)-ROW(PLE.firstrow))),0,
           IF(OFFSET(PLE!$G$15,$M31-$A$15,CU$13)="",10^12,OFFSET(PLE!$G$15,$M31-$A$15,CU$13)))</f>
        <v>1000000000000</v>
      </c>
      <c r="CV31" s="354" t="n">
        <f aca="true">IF(OR($D31&lt;&gt;"Serviço",AND(AUTOEVENTO="Manual",$M31=$A$15),$M31&gt;(ROW(PLE.lastrow)-ROW(PLE.firstrow))),0,
           IF(OFFSET(PLE!$G$15,$M31-$A$15,CV$13)="",10^12,OFFSET(PLE!$G$15,$M31-$A$15,CV$13)))</f>
        <v>1000000000000</v>
      </c>
      <c r="CW31" s="354" t="n">
        <f aca="true">IF(OR($D31&lt;&gt;"Serviço",AND(AUTOEVENTO="Manual",$M31=$A$15),$M31&gt;(ROW(PLE.lastrow)-ROW(PLE.firstrow))),0,
           IF(OFFSET(PLE!$G$15,$M31-$A$15,CW$13)="",10^12,OFFSET(PLE!$G$15,$M31-$A$15,CW$13)))</f>
        <v>1000000000000</v>
      </c>
      <c r="CX31" s="354" t="n">
        <f aca="true">IF(OR($D31&lt;&gt;"Serviço",AND(AUTOEVENTO="Manual",$M31=$A$15),$M31&gt;(ROW(PLE.lastrow)-ROW(PLE.firstrow))),0,
           IF(OFFSET(PLE!$G$15,$M31-$A$15,CX$13)="",10^12,OFFSET(PLE!$G$15,$M31-$A$15,CX$13)))</f>
        <v>1000000000000</v>
      </c>
      <c r="CY31" s="354" t="n">
        <f aca="true">IF(OR($D31&lt;&gt;"Serviço",AND(AUTOEVENTO="Manual",$M31=$A$15),$M31&gt;(ROW(PLE.lastrow)-ROW(PLE.firstrow))),0,
           IF(OFFSET(PLE!$G$15,$M31-$A$15,CY$13)="",10^12,OFFSET(PLE!$G$15,$M31-$A$15,CY$13)))</f>
        <v>1000000000000</v>
      </c>
      <c r="CZ31" s="354" t="n">
        <f aca="true">IF(OR($D31&lt;&gt;"Serviço",AND(AUTOEVENTO="Manual",$M31=$A$15),$M31&gt;(ROW(PLE.lastrow)-ROW(PLE.firstrow))),0,
           IF(OFFSET(PLE!$G$15,$M31-$A$15,CZ$13)="",10^12,OFFSET(PLE!$G$15,$M31-$A$15,CZ$13)))</f>
        <v>1000000000000</v>
      </c>
      <c r="DA31" s="354" t="n">
        <f aca="true">IF(OR($D31&lt;&gt;"Serviço",AND(AUTOEVENTO="Manual",$M31=$A$15),$M31&gt;(ROW(PLE.lastrow)-ROW(PLE.firstrow))),0,
           IF(OFFSET(PLE!$G$15,$M31-$A$15,DA$13)="",10^12,OFFSET(PLE!$G$15,$M31-$A$15,DA$13)))</f>
        <v>1000000000000</v>
      </c>
      <c r="DB31" s="354" t="n">
        <f aca="true">IF(OR($D31&lt;&gt;"Serviço",AND(AUTOEVENTO="Manual",$M31=$A$15),$M31&gt;(ROW(PLE.lastrow)-ROW(PLE.firstrow))),0,
           IF(OFFSET(PLE!$G$15,$M31-$A$15,DB$13)="",10^12,OFFSET(PLE!$G$15,$M31-$A$15,DB$13)))</f>
        <v>1000000000000</v>
      </c>
      <c r="DC31" s="354" t="n">
        <f aca="true">IF(OR($D31&lt;&gt;"Serviço",AND(AUTOEVENTO="Manual",$M31=$A$15),$M31&gt;(ROW(PLE.lastrow)-ROW(PLE.firstrow))),0,
           IF(OFFSET(PLE!$G$15,$M31-$A$15,DC$13)="",10^12,OFFSET(PLE!$G$15,$M31-$A$15,DC$13)))</f>
        <v>1000000000000</v>
      </c>
      <c r="DD31" s="354" t="n">
        <f aca="true">IF(OR($D31&lt;&gt;"Serviço",AND(AUTOEVENTO="Manual",$M31=$A$15),$M31&gt;(ROW(PLE.lastrow)-ROW(PLE.firstrow))),0,
           IF(OFFSET(PLE!$G$15,$M31-$A$15,DD$13)="",10^12,OFFSET(PLE!$G$15,$M31-$A$15,DD$13)))</f>
        <v>1000000000000</v>
      </c>
      <c r="DE31" s="354" t="n">
        <f aca="true">IF(OR($D31&lt;&gt;"Serviço",AND(AUTOEVENTO="Manual",$M31=$A$15),$M31&gt;(ROW(PLE.lastrow)-ROW(PLE.firstrow))),0,
           IF(OFFSET(PLE!$G$15,$M31-$A$15,DE$13)="",10^12,OFFSET(PLE!$G$15,$M31-$A$15,DE$13)))</f>
        <v>1000000000000</v>
      </c>
      <c r="DF31" s="354" t="n">
        <f aca="true">IF(OR($D31&lt;&gt;"Serviço",AND(AUTOEVENTO="Manual",$M31=$A$15),$M31&gt;(ROW(PLE.lastrow)-ROW(PLE.firstrow))),0,
           IF(OFFSET(PLE!$G$15,$M31-$A$15,DF$13)="",10^12,OFFSET(PLE!$G$15,$M31-$A$15,DF$13)))</f>
        <v>1000000000000</v>
      </c>
      <c r="DG31" s="354" t="n">
        <f aca="true">IF(OR($D31&lt;&gt;"Serviço",AND(AUTOEVENTO="Manual",$M31=$A$15),$M31&gt;(ROW(PLE.lastrow)-ROW(PLE.firstrow))),0,
           IF(OFFSET(PLE!$G$15,$M31-$A$15,DG$13)="",10^12,OFFSET(PLE!$G$15,$M31-$A$15,DG$13)))</f>
        <v>1000000000000</v>
      </c>
      <c r="DH31" s="354" t="n">
        <f aca="true">IF(OR($D31&lt;&gt;"Serviço",AND(AUTOEVENTO="Manual",$M31=$A$15),$M31&gt;(ROW(PLE.lastrow)-ROW(PLE.firstrow))),0,
           IF(OFFSET(PLE!$G$15,$M31-$A$15,DH$13)="",10^12,OFFSET(PLE!$G$15,$M31-$A$15,DH$13)))</f>
        <v>1000000000000</v>
      </c>
      <c r="DI31" s="354" t="n">
        <f aca="true">IF(OR($D31&lt;&gt;"Serviço",AND(AUTOEVENTO="Manual",$M31=$A$15),$M31&gt;(ROW(PLE.lastrow)-ROW(PLE.firstrow))),0,
           IF(OFFSET(PLE!$G$15,$M31-$A$15,DI$13)="",10^12,OFFSET(PLE!$G$15,$M31-$A$15,DI$13)))</f>
        <v>1000000000000</v>
      </c>
      <c r="DJ31" s="354" t="n">
        <f aca="true">IF(OR($D31&lt;&gt;"Serviço",AND(AUTOEVENTO="Manual",$M31=$A$15),$M31&gt;(ROW(PLE.lastrow)-ROW(PLE.firstrow))),0,
           IF(OFFSET(PLE!$G$15,$M31-$A$15,DJ$13)="",10^12,OFFSET(PLE!$G$15,$M31-$A$15,DJ$13)))</f>
        <v>1000000000000</v>
      </c>
      <c r="DK31" s="354" t="n">
        <f aca="true">IF(OR($D31&lt;&gt;"Serviço",AND(AUTOEVENTO="Manual",$M31=$A$15),$M31&gt;(ROW(PLE.lastrow)-ROW(PLE.firstrow))),0,
           IF(OFFSET(PLE!$G$15,$M31-$A$15,DK$13)="",10^12,OFFSET(PLE!$G$15,$M31-$A$15,DK$13)))</f>
        <v>1000000000000</v>
      </c>
      <c r="DL31" s="354" t="n">
        <f aca="true">IF(OR($D31&lt;&gt;"Serviço",AND(AUTOEVENTO="Manual",$M31=$A$15),$M31&gt;(ROW(PLE.lastrow)-ROW(PLE.firstrow))),0,
           IF(OFFSET(PLE!$G$15,$M31-$A$15,DL$13)="",10^12,OFFSET(PLE!$G$15,$M31-$A$15,DL$13)))</f>
        <v>1000000000000</v>
      </c>
      <c r="DM31" s="354" t="n">
        <f aca="true">IF(OR($D31&lt;&gt;"Serviço",AND(AUTOEVENTO="Manual",$M31=$A$15),$M31&gt;(ROW(PLE.lastrow)-ROW(PLE.firstrow))),0,
           IF(OFFSET(PLE!$G$15,$M31-$A$15,DM$13)="",10^12,OFFSET(PLE!$G$15,$M31-$A$15,DM$13)))</f>
        <v>1000000000000</v>
      </c>
      <c r="DN31" s="354" t="n">
        <f aca="true">IF(OR($D31&lt;&gt;"Serviço",AND(AUTOEVENTO="Manual",$M31=$A$15),$M31&gt;(ROW(PLE.lastrow)-ROW(PLE.firstrow))),0,
           IF(OFFSET(PLE!$G$15,$M31-$A$15,DN$13)="",10^12,OFFSET(PLE!$G$15,$M31-$A$15,DN$13)))</f>
        <v>1000000000000</v>
      </c>
      <c r="DO31" s="354" t="n">
        <f aca="true">IF(OR($D31&lt;&gt;"Serviço",AND(AUTOEVENTO="Manual",$M31=$A$15),$M31&gt;(ROW(PLE.lastrow)-ROW(PLE.firstrow))),0,
           IF(OFFSET(PLE!$G$15,$M31-$A$15,DO$13)="",10^12,OFFSET(PLE!$G$15,$M31-$A$15,DO$13)))</f>
        <v>1000000000000</v>
      </c>
      <c r="DP31" s="354" t="n">
        <f aca="true">IF(OR($D31&lt;&gt;"Serviço",AND(AUTOEVENTO="Manual",$M31=$A$15),$M31&gt;(ROW(PLE.lastrow)-ROW(PLE.firstrow))),0,
           IF(OFFSET(PLE!$G$15,$M31-$A$15,DP$13)="",10^12,OFFSET(PLE!$G$15,$M31-$A$15,DP$13)))</f>
        <v>1000000000000</v>
      </c>
      <c r="DQ31" s="354" t="n">
        <f aca="true">IF(OR($D31&lt;&gt;"Serviço",AND(AUTOEVENTO="Manual",$M31=$A$15),$M31&gt;(ROW(PLE.lastrow)-ROW(PLE.firstrow))),0,
           IF(OFFSET(PLE!$G$15,$M31-$A$15,DQ$13)="",10^12,OFFSET(PLE!$G$15,$M31-$A$15,DQ$13)))</f>
        <v>1000000000000</v>
      </c>
      <c r="DR31" s="354" t="n">
        <f aca="true">IF(OR($D31&lt;&gt;"Serviço",AND(AUTOEVENTO="Manual",$M31=$A$15),$M31&gt;(ROW(PLE.lastrow)-ROW(PLE.firstrow))),0,
           IF(OFFSET(PLE!$G$15,$M31-$A$15,DR$13)="",10^12,OFFSET(PLE!$G$15,$M31-$A$15,DR$13)))</f>
        <v>1000000000000</v>
      </c>
      <c r="DS31" s="354" t="n">
        <f aca="true">IF(OR($D31&lt;&gt;"Serviço",AND(AUTOEVENTO="Manual",$M31=$A$15),$M31&gt;(ROW(PLE.lastrow)-ROW(PLE.firstrow))),0,
           IF(OFFSET(PLE!$G$15,$M31-$A$15,DS$13)="",10^12,OFFSET(PLE!$G$15,$M31-$A$15,DS$13)))</f>
        <v>1000000000000</v>
      </c>
    </row>
    <row r="32" customFormat="false" ht="23.85" hidden="false" customHeight="false" outlineLevel="0" collapsed="false">
      <c r="A32" s="50" t="str">
        <f aca="true">IFERROR(IF(AUTOEVENTO="Manual",IF(K32&lt;&gt;"",MIN(VALUE(LEFT(K32,FIND(".",K32)-1)),COUNTA(EVENTOS.Lista)),0),IF(OR($B32&gt;AUTOEVENTO,$B32="S",$B32=0),SUBSTITUTE(OFFSET($A32,-1,0),IF($D32="Serviço",".",""),""),ROW(A32)-ROW($A$15)&amp;".")),0)</f>
        <v>14</v>
      </c>
      <c r="B32" s="50" t="str">
        <f aca="true">OFFSET(ORÇAMENTO!C$15,ROW(B32)-ROW(B$15),0)</f>
        <v>S</v>
      </c>
      <c r="C32" s="50" t="str">
        <f aca="true">OFFSET(ORÇAMENTO!L$15,ROW(C32)-ROW(C$15),0)</f>
        <v>F</v>
      </c>
      <c r="D32" s="201" t="str">
        <f aca="true">OFFSET(ORÇAMENTO!N$15,ROW(D32)-ROW(D$15),0)</f>
        <v>Serviço</v>
      </c>
      <c r="E32" s="202" t="str">
        <f aca="true">OFFSET(ORÇAMENTO!O$15,ROW(E32)-ROW(E$15),0)</f>
        <v>1.5.3.</v>
      </c>
      <c r="F32" s="341" t="str">
        <f aca="true">OFFSET(ORÇAMENTO!R$15,ROW(F32)-ROW(F$15),0)</f>
        <v>LASTRO DE CONCRETO MAGRO, APLICADO EM BLOCOS DE COROAMENTO OU SAPATAS, ESPESSURA DE 5 CM. AF_01/2024</v>
      </c>
      <c r="G32" s="342" t="str">
        <f aca="true">IF($D32&lt;&gt;"Serviço","",OFFSET(ORÇAMENTO!S$15,ROW(G32)-ROW(G$15),0))</f>
        <v>M2</v>
      </c>
      <c r="H32" s="207" t="n">
        <f aca="true">IF($D32&lt;&gt;"Serviço",0,IF(ACOMPANHAMENTO="BM",ROUND(OFFSET(ORÇAMENTO!AJ$15,ROW(H32)-ROW(H$15),0),15-13*ORÇAMENTO!$AF$7),SUMPRODUCT(($Q$1:$AQ$1=1)*ROUND($Q32:$AQ32,15-13*ORÇAMENTO!$AF$7))))</f>
        <v>9.5</v>
      </c>
      <c r="I32" s="343" t="s">
        <v>922</v>
      </c>
      <c r="J32" s="344" t="e">
        <f aca="false">IF(OR(B32&lt;&gt;"S",CÁLCULO.FrentesPreenchidas=0),"",IF(AND(ACOMPANHAMENTO="PLE",AUTOEVENTO="Manual",OR(H32&gt;0,ORÇAMENTO!AC32="QUANT."),OR(K32="",M32=0,N32="")),"►",IF(AND(ACOMPANHAMENTO="PLE",ORÇAMENTO!AC32="QUANT."),"►►",IF(AND(COUNTIF($P$11:$AQ$11,"▼")=0,H32&gt;0,I32=""),"◄",""))))</f>
        <v>#NAME?</v>
      </c>
      <c r="K32" s="345"/>
      <c r="L32" s="346" t="s">
        <v>876</v>
      </c>
      <c r="M32" s="347" t="n">
        <f aca="true">IF($D32&lt;&gt;"Serviço","",
          IF(AUTOEVENTO="manual",$A32,
                IF(ISERROR(MATCH($A32,$A$15:OFFSET($A32,-1,0),0)),MAX($M$15:OFFSET(M32,-1,0))+1,
                      INDEX($M$15:OFFSET(M32,-1,0),MATCH($A32,$A$15:OFFSET($A32,-1,0),0)))))</f>
        <v>3</v>
      </c>
      <c r="N32" s="348" t="str">
        <f aca="true">IF($D32&lt;&gt;"Serviço","",
         IF(AUTOEVENTO="Manual",
                IF($A32=0,"&lt;-- defina o número do agrupador",
                       OFFSET(EVENTOS!$D$15,$A32-$A$15,0)),
                OFFSET($F$15,$A32,0)))</f>
        <v>SAPATA</v>
      </c>
      <c r="O32" s="349"/>
      <c r="Q32" s="349" t="n">
        <f aca="false">7.68*0.05</f>
        <v>0.384</v>
      </c>
      <c r="R32" s="350" t="n">
        <f aca="false">Q32</f>
        <v>0.384</v>
      </c>
      <c r="S32" s="350" t="n">
        <f aca="false">R32</f>
        <v>0.384</v>
      </c>
      <c r="T32" s="350" t="n">
        <f aca="false">S32</f>
        <v>0.384</v>
      </c>
      <c r="U32" s="350" t="n">
        <f aca="false">T32</f>
        <v>0.384</v>
      </c>
      <c r="V32" s="350" t="n">
        <f aca="false">U32</f>
        <v>0.384</v>
      </c>
      <c r="W32" s="350" t="n">
        <f aca="false">V32</f>
        <v>0.384</v>
      </c>
      <c r="X32" s="350" t="n">
        <f aca="false">W32</f>
        <v>0.384</v>
      </c>
      <c r="Y32" s="350" t="n">
        <f aca="false">X32</f>
        <v>0.384</v>
      </c>
      <c r="Z32" s="351" t="n">
        <f aca="false">Y32</f>
        <v>0.384</v>
      </c>
      <c r="AA32" s="350" t="n">
        <f aca="false">Z32</f>
        <v>0.384</v>
      </c>
      <c r="AB32" s="350" t="n">
        <f aca="false">AA32</f>
        <v>0.384</v>
      </c>
      <c r="AC32" s="350" t="n">
        <f aca="false">AB32</f>
        <v>0.384</v>
      </c>
      <c r="AD32" s="350" t="n">
        <f aca="false">AC32</f>
        <v>0.384</v>
      </c>
      <c r="AE32" s="350" t="n">
        <f aca="false">AD32</f>
        <v>0.384</v>
      </c>
      <c r="AF32" s="350" t="n">
        <f aca="false">AE32</f>
        <v>0.384</v>
      </c>
      <c r="AG32" s="350" t="n">
        <f aca="false">AF32</f>
        <v>0.384</v>
      </c>
      <c r="AH32" s="351" t="n">
        <f aca="false">AG32</f>
        <v>0.384</v>
      </c>
      <c r="AI32" s="350" t="n">
        <f aca="false">AH32</f>
        <v>0.384</v>
      </c>
      <c r="AJ32" s="350" t="n">
        <f aca="false">AI32</f>
        <v>0.384</v>
      </c>
      <c r="AK32" s="350" t="n">
        <f aca="false">AJ32</f>
        <v>0.384</v>
      </c>
      <c r="AL32" s="350" t="n">
        <f aca="false">AK32</f>
        <v>0.384</v>
      </c>
      <c r="AM32" s="350" t="n">
        <f aca="false">AL32</f>
        <v>0.384</v>
      </c>
      <c r="AN32" s="350" t="n">
        <f aca="false">AM32</f>
        <v>0.384</v>
      </c>
      <c r="AO32" s="350" t="n">
        <f aca="false">AN32</f>
        <v>0.384</v>
      </c>
      <c r="AP32" s="351" t="n">
        <v>2</v>
      </c>
      <c r="AR32" s="352" t="n">
        <f aca="true">IF(AND($D32="Serviço",AR$12&lt;&gt;0,$H32&gt;0,OR(AUTOEVENTO&lt;&gt;"manual",$M32&lt;&gt;$A$15)),
        IF(Import.TipoArredondamento&lt;&gt;"TransfereGOV",
              ROUND(OFFSET($P32,0,AR$13),15-13*ORÇAMENTO!$AF$7)/$H32*OFFSET(ORÇAMENTO!$X$15,ROW(AR32)-ROW(AR$15),0),
              ROUND(ROUND(OFFSET($P32,0,AR$13),15-13*ORÇAMENTO!$AF$7)*OFFSET(ORÇAMENTO!$W$15,ROW(AR32)-ROW(AR$15),0),15-13*ORÇAMENTO!$AF$11)),
         0)</f>
        <v>21.45</v>
      </c>
      <c r="AS32" s="352" t="n">
        <f aca="true">IF(AND($D32="Serviço",AS$12&lt;&gt;0,$H32&gt;0,OR(AUTOEVENTO&lt;&gt;"manual",$M32&lt;&gt;$A$15)),
        IF(Import.TipoArredondamento&lt;&gt;"TransfereGOV",
              ROUND(OFFSET($P32,0,AS$13),15-13*ORÇAMENTO!$AF$7)/$H32*OFFSET(ORÇAMENTO!$X$15,ROW(AS32)-ROW(AS$15),0),
              ROUND(ROUND(OFFSET($P32,0,AS$13),15-13*ORÇAMENTO!$AF$7)*OFFSET(ORÇAMENTO!$W$15,ROW(AS32)-ROW(AS$15),0),15-13*ORÇAMENTO!$AF$11)),
         0)</f>
        <v>21.45</v>
      </c>
      <c r="AT32" s="352" t="n">
        <f aca="true">IF(AND($D32="Serviço",AT$12&lt;&gt;0,$H32&gt;0,OR(AUTOEVENTO&lt;&gt;"manual",$M32&lt;&gt;$A$15)),
        IF(Import.TipoArredondamento&lt;&gt;"TransfereGOV",
              ROUND(OFFSET($P32,0,AT$13),15-13*ORÇAMENTO!$AF$7)/$H32*OFFSET(ORÇAMENTO!$X$15,ROW(AT32)-ROW(AT$15),0),
              ROUND(ROUND(OFFSET($P32,0,AT$13),15-13*ORÇAMENTO!$AF$7)*OFFSET(ORÇAMENTO!$W$15,ROW(AT32)-ROW(AT$15),0),15-13*ORÇAMENTO!$AF$11)),
         0)</f>
        <v>21.45</v>
      </c>
      <c r="AU32" s="352" t="n">
        <f aca="true">IF(AND($D32="Serviço",AU$12&lt;&gt;0,$H32&gt;0,OR(AUTOEVENTO&lt;&gt;"manual",$M32&lt;&gt;$A$15)),
        IF(Import.TipoArredondamento&lt;&gt;"TransfereGOV",
              ROUND(OFFSET($P32,0,AU$13),15-13*ORÇAMENTO!$AF$7)/$H32*OFFSET(ORÇAMENTO!$X$15,ROW(AU32)-ROW(AU$15),0),
              ROUND(ROUND(OFFSET($P32,0,AU$13),15-13*ORÇAMENTO!$AF$7)*OFFSET(ORÇAMENTO!$W$15,ROW(AU32)-ROW(AU$15),0),15-13*ORÇAMENTO!$AF$11)),
         0)</f>
        <v>21.45</v>
      </c>
      <c r="AV32" s="352" t="n">
        <f aca="true">IF(AND($D32="Serviço",AV$12&lt;&gt;0,$H32&gt;0,OR(AUTOEVENTO&lt;&gt;"manual",$M32&lt;&gt;$A$15)),
        IF(Import.TipoArredondamento&lt;&gt;"TransfereGOV",
              ROUND(OFFSET($P32,0,AV$13),15-13*ORÇAMENTO!$AF$7)/$H32*OFFSET(ORÇAMENTO!$X$15,ROW(AV32)-ROW(AV$15),0),
              ROUND(ROUND(OFFSET($P32,0,AV$13),15-13*ORÇAMENTO!$AF$7)*OFFSET(ORÇAMENTO!$W$15,ROW(AV32)-ROW(AV$15),0),15-13*ORÇAMENTO!$AF$11)),
         0)</f>
        <v>21.45</v>
      </c>
      <c r="AW32" s="352" t="n">
        <f aca="true">IF(AND($D32="Serviço",AW$12&lt;&gt;0,$H32&gt;0,OR(AUTOEVENTO&lt;&gt;"manual",$M32&lt;&gt;$A$15)),
        IF(Import.TipoArredondamento&lt;&gt;"TransfereGOV",
              ROUND(OFFSET($P32,0,AW$13),15-13*ORÇAMENTO!$AF$7)/$H32*OFFSET(ORÇAMENTO!$X$15,ROW(AW32)-ROW(AW$15),0),
              ROUND(ROUND(OFFSET($P32,0,AW$13),15-13*ORÇAMENTO!$AF$7)*OFFSET(ORÇAMENTO!$W$15,ROW(AW32)-ROW(AW$15),0),15-13*ORÇAMENTO!$AF$11)),
         0)</f>
        <v>21.45</v>
      </c>
      <c r="AX32" s="352" t="n">
        <f aca="true">IF(AND($D32="Serviço",AX$12&lt;&gt;0,$H32&gt;0,OR(AUTOEVENTO&lt;&gt;"manual",$M32&lt;&gt;$A$15)),
        IF(Import.TipoArredondamento&lt;&gt;"TransfereGOV",
              ROUND(OFFSET($P32,0,AX$13),15-13*ORÇAMENTO!$AF$7)/$H32*OFFSET(ORÇAMENTO!$X$15,ROW(AX32)-ROW(AX$15),0),
              ROUND(ROUND(OFFSET($P32,0,AX$13),15-13*ORÇAMENTO!$AF$7)*OFFSET(ORÇAMENTO!$W$15,ROW(AX32)-ROW(AX$15),0),15-13*ORÇAMENTO!$AF$11)),
         0)</f>
        <v>21.45</v>
      </c>
      <c r="AY32" s="352" t="n">
        <f aca="true">IF(AND($D32="Serviço",AY$12&lt;&gt;0,$H32&gt;0,OR(AUTOEVENTO&lt;&gt;"manual",$M32&lt;&gt;$A$15)),
        IF(Import.TipoArredondamento&lt;&gt;"TransfereGOV",
              ROUND(OFFSET($P32,0,AY$13),15-13*ORÇAMENTO!$AF$7)/$H32*OFFSET(ORÇAMENTO!$X$15,ROW(AY32)-ROW(AY$15),0),
              ROUND(ROUND(OFFSET($P32,0,AY$13),15-13*ORÇAMENTO!$AF$7)*OFFSET(ORÇAMENTO!$W$15,ROW(AY32)-ROW(AY$15),0),15-13*ORÇAMENTO!$AF$11)),
         0)</f>
        <v>21.45</v>
      </c>
      <c r="AZ32" s="352" t="n">
        <f aca="true">IF(AND($D32="Serviço",AZ$12&lt;&gt;0,$H32&gt;0,OR(AUTOEVENTO&lt;&gt;"manual",$M32&lt;&gt;$A$15)),
        IF(Import.TipoArredondamento&lt;&gt;"TransfereGOV",
              ROUND(OFFSET($P32,0,AZ$13),15-13*ORÇAMENTO!$AF$7)/$H32*OFFSET(ORÇAMENTO!$X$15,ROW(AZ32)-ROW(AZ$15),0),
              ROUND(ROUND(OFFSET($P32,0,AZ$13),15-13*ORÇAMENTO!$AF$7)*OFFSET(ORÇAMENTO!$W$15,ROW(AZ32)-ROW(AZ$15),0),15-13*ORÇAMENTO!$AF$11)),
         0)</f>
        <v>21.45</v>
      </c>
      <c r="BA32" s="352" t="n">
        <f aca="true">IF(AND($D32="Serviço",BA$12&lt;&gt;0,$H32&gt;0,OR(AUTOEVENTO&lt;&gt;"manual",$M32&lt;&gt;$A$15)),
        IF(Import.TipoArredondamento&lt;&gt;"TransfereGOV",
              ROUND(OFFSET($P32,0,BA$13),15-13*ORÇAMENTO!$AF$7)/$H32*OFFSET(ORÇAMENTO!$X$15,ROW(BA32)-ROW(BA$15),0),
              ROUND(ROUND(OFFSET($P32,0,BA$13),15-13*ORÇAMENTO!$AF$7)*OFFSET(ORÇAMENTO!$W$15,ROW(BA32)-ROW(BA$15),0),15-13*ORÇAMENTO!$AF$11)),
         0)</f>
        <v>21.45</v>
      </c>
      <c r="BB32" s="352" t="n">
        <f aca="true">IF(AND($D32="Serviço",BB$12&lt;&gt;0,$H32&gt;0,OR(AUTOEVENTO&lt;&gt;"manual",$M32&lt;&gt;$A$15)),
        IF(Import.TipoArredondamento&lt;&gt;"TransfereGOV",
              ROUND(OFFSET($P32,0,BB$13),15-13*ORÇAMENTO!$AF$7)/$H32*OFFSET(ORÇAMENTO!$X$15,ROW(BB32)-ROW(BB$15),0),
              ROUND(ROUND(OFFSET($P32,0,BB$13),15-13*ORÇAMENTO!$AF$7)*OFFSET(ORÇAMENTO!$W$15,ROW(BB32)-ROW(BB$15),0),15-13*ORÇAMENTO!$AF$11)),
         0)</f>
        <v>21.45</v>
      </c>
      <c r="BC32" s="352" t="n">
        <f aca="true">IF(AND($D32="Serviço",BC$12&lt;&gt;0,$H32&gt;0,OR(AUTOEVENTO&lt;&gt;"manual",$M32&lt;&gt;$A$15)),
        IF(Import.TipoArredondamento&lt;&gt;"TransfereGOV",
              ROUND(OFFSET($P32,0,BC$13),15-13*ORÇAMENTO!$AF$7)/$H32*OFFSET(ORÇAMENTO!$X$15,ROW(BC32)-ROW(BC$15),0),
              ROUND(ROUND(OFFSET($P32,0,BC$13),15-13*ORÇAMENTO!$AF$7)*OFFSET(ORÇAMENTO!$W$15,ROW(BC32)-ROW(BC$15),0),15-13*ORÇAMENTO!$AF$11)),
         0)</f>
        <v>21.45</v>
      </c>
      <c r="BD32" s="352" t="n">
        <f aca="true">IF(AND($D32="Serviço",BD$12&lt;&gt;0,$H32&gt;0,OR(AUTOEVENTO&lt;&gt;"manual",$M32&lt;&gt;$A$15)),
        IF(Import.TipoArredondamento&lt;&gt;"TransfereGOV",
              ROUND(OFFSET($P32,0,BD$13),15-13*ORÇAMENTO!$AF$7)/$H32*OFFSET(ORÇAMENTO!$X$15,ROW(BD32)-ROW(BD$15),0),
              ROUND(ROUND(OFFSET($P32,0,BD$13),15-13*ORÇAMENTO!$AF$7)*OFFSET(ORÇAMENTO!$W$15,ROW(BD32)-ROW(BD$15),0),15-13*ORÇAMENTO!$AF$11)),
         0)</f>
        <v>21.45</v>
      </c>
      <c r="BE32" s="352" t="n">
        <f aca="true">IF(AND($D32="Serviço",BE$12&lt;&gt;0,$H32&gt;0,OR(AUTOEVENTO&lt;&gt;"manual",$M32&lt;&gt;$A$15)),
        IF(Import.TipoArredondamento&lt;&gt;"TransfereGOV",
              ROUND(OFFSET($P32,0,BE$13),15-13*ORÇAMENTO!$AF$7)/$H32*OFFSET(ORÇAMENTO!$X$15,ROW(BE32)-ROW(BE$15),0),
              ROUND(ROUND(OFFSET($P32,0,BE$13),15-13*ORÇAMENTO!$AF$7)*OFFSET(ORÇAMENTO!$W$15,ROW(BE32)-ROW(BE$15),0),15-13*ORÇAMENTO!$AF$11)),
         0)</f>
        <v>21.45</v>
      </c>
      <c r="BF32" s="352" t="n">
        <f aca="true">IF(AND($D32="Serviço",BF$12&lt;&gt;0,$H32&gt;0,OR(AUTOEVENTO&lt;&gt;"manual",$M32&lt;&gt;$A$15)),
        IF(Import.TipoArredondamento&lt;&gt;"TransfereGOV",
              ROUND(OFFSET($P32,0,BF$13),15-13*ORÇAMENTO!$AF$7)/$H32*OFFSET(ORÇAMENTO!$X$15,ROW(BF32)-ROW(BF$15),0),
              ROUND(ROUND(OFFSET($P32,0,BF$13),15-13*ORÇAMENTO!$AF$7)*OFFSET(ORÇAMENTO!$W$15,ROW(BF32)-ROW(BF$15),0),15-13*ORÇAMENTO!$AF$11)),
         0)</f>
        <v>21.45</v>
      </c>
      <c r="BG32" s="352" t="n">
        <f aca="true">IF(AND($D32="Serviço",BG$12&lt;&gt;0,$H32&gt;0,OR(AUTOEVENTO&lt;&gt;"manual",$M32&lt;&gt;$A$15)),
        IF(Import.TipoArredondamento&lt;&gt;"TransfereGOV",
              ROUND(OFFSET($P32,0,BG$13),15-13*ORÇAMENTO!$AF$7)/$H32*OFFSET(ORÇAMENTO!$X$15,ROW(BG32)-ROW(BG$15),0),
              ROUND(ROUND(OFFSET($P32,0,BG$13),15-13*ORÇAMENTO!$AF$7)*OFFSET(ORÇAMENTO!$W$15,ROW(BG32)-ROW(BG$15),0),15-13*ORÇAMENTO!$AF$11)),
         0)</f>
        <v>21.45</v>
      </c>
      <c r="BH32" s="352" t="n">
        <f aca="true">IF(AND($D32="Serviço",BH$12&lt;&gt;0,$H32&gt;0,OR(AUTOEVENTO&lt;&gt;"manual",$M32&lt;&gt;$A$15)),
        IF(Import.TipoArredondamento&lt;&gt;"TransfereGOV",
              ROUND(OFFSET($P32,0,BH$13),15-13*ORÇAMENTO!$AF$7)/$H32*OFFSET(ORÇAMENTO!$X$15,ROW(BH32)-ROW(BH$15),0),
              ROUND(ROUND(OFFSET($P32,0,BH$13),15-13*ORÇAMENTO!$AF$7)*OFFSET(ORÇAMENTO!$W$15,ROW(BH32)-ROW(BH$15),0),15-13*ORÇAMENTO!$AF$11)),
         0)</f>
        <v>21.45</v>
      </c>
      <c r="BI32" s="352" t="n">
        <f aca="true">IF(AND($D32="Serviço",BI$12&lt;&gt;0,$H32&gt;0,OR(AUTOEVENTO&lt;&gt;"manual",$M32&lt;&gt;$A$15)),
        IF(Import.TipoArredondamento&lt;&gt;"TransfereGOV",
              ROUND(OFFSET($P32,0,BI$13),15-13*ORÇAMENTO!$AF$7)/$H32*OFFSET(ORÇAMENTO!$X$15,ROW(BI32)-ROW(BI$15),0),
              ROUND(ROUND(OFFSET($P32,0,BI$13),15-13*ORÇAMENTO!$AF$7)*OFFSET(ORÇAMENTO!$W$15,ROW(BI32)-ROW(BI$15),0),15-13*ORÇAMENTO!$AF$11)),
         0)</f>
        <v>21.45</v>
      </c>
      <c r="BJ32" s="352" t="n">
        <f aca="true">IF(AND($D32="Serviço",BJ$12&lt;&gt;0,$H32&gt;0,OR(AUTOEVENTO&lt;&gt;"manual",$M32&lt;&gt;$A$15)),
        IF(Import.TipoArredondamento&lt;&gt;"TransfereGOV",
              ROUND(OFFSET($P32,0,BJ$13),15-13*ORÇAMENTO!$AF$7)/$H32*OFFSET(ORÇAMENTO!$X$15,ROW(BJ32)-ROW(BJ$15),0),
              ROUND(ROUND(OFFSET($P32,0,BJ$13),15-13*ORÇAMENTO!$AF$7)*OFFSET(ORÇAMENTO!$W$15,ROW(BJ32)-ROW(BJ$15),0),15-13*ORÇAMENTO!$AF$11)),
         0)</f>
        <v>21.45</v>
      </c>
      <c r="BK32" s="352" t="n">
        <f aca="true">IF(AND($D32="Serviço",BK$12&lt;&gt;0,$H32&gt;0,OR(AUTOEVENTO&lt;&gt;"manual",$M32&lt;&gt;$A$15)),
        IF(Import.TipoArredondamento&lt;&gt;"TransfereGOV",
              ROUND(OFFSET($P32,0,BK$13),15-13*ORÇAMENTO!$AF$7)/$H32*OFFSET(ORÇAMENTO!$X$15,ROW(BK32)-ROW(BK$15),0),
              ROUND(ROUND(OFFSET($P32,0,BK$13),15-13*ORÇAMENTO!$AF$7)*OFFSET(ORÇAMENTO!$W$15,ROW(BK32)-ROW(BK$15),0),15-13*ORÇAMENTO!$AF$11)),
         0)</f>
        <v>21.45</v>
      </c>
      <c r="BL32" s="352" t="n">
        <f aca="true">IF(AND($D32="Serviço",BL$12&lt;&gt;0,$H32&gt;0,OR(AUTOEVENTO&lt;&gt;"manual",$M32&lt;&gt;$A$15)),
        IF(Import.TipoArredondamento&lt;&gt;"TransfereGOV",
              ROUND(OFFSET($P32,0,BL$13),15-13*ORÇAMENTO!$AF$7)/$H32*OFFSET(ORÇAMENTO!$X$15,ROW(BL32)-ROW(BL$15),0),
              ROUND(ROUND(OFFSET($P32,0,BL$13),15-13*ORÇAMENTO!$AF$7)*OFFSET(ORÇAMENTO!$W$15,ROW(BL32)-ROW(BL$15),0),15-13*ORÇAMENTO!$AF$11)),
         0)</f>
        <v>21.45</v>
      </c>
      <c r="BM32" s="352" t="n">
        <f aca="true">IF(AND($D32="Serviço",BM$12&lt;&gt;0,$H32&gt;0,OR(AUTOEVENTO&lt;&gt;"manual",$M32&lt;&gt;$A$15)),
        IF(Import.TipoArredondamento&lt;&gt;"TransfereGOV",
              ROUND(OFFSET($P32,0,BM$13),15-13*ORÇAMENTO!$AF$7)/$H32*OFFSET(ORÇAMENTO!$X$15,ROW(BM32)-ROW(BM$15),0),
              ROUND(ROUND(OFFSET($P32,0,BM$13),15-13*ORÇAMENTO!$AF$7)*OFFSET(ORÇAMENTO!$W$15,ROW(BM32)-ROW(BM$15),0),15-13*ORÇAMENTO!$AF$11)),
         0)</f>
        <v>21.45</v>
      </c>
      <c r="BN32" s="352" t="n">
        <f aca="true">IF(AND($D32="Serviço",BN$12&lt;&gt;0,$H32&gt;0,OR(AUTOEVENTO&lt;&gt;"manual",$M32&lt;&gt;$A$15)),
        IF(Import.TipoArredondamento&lt;&gt;"TransfereGOV",
              ROUND(OFFSET($P32,0,BN$13),15-13*ORÇAMENTO!$AF$7)/$H32*OFFSET(ORÇAMENTO!$X$15,ROW(BN32)-ROW(BN$15),0),
              ROUND(ROUND(OFFSET($P32,0,BN$13),15-13*ORÇAMENTO!$AF$7)*OFFSET(ORÇAMENTO!$W$15,ROW(BN32)-ROW(BN$15),0),15-13*ORÇAMENTO!$AF$11)),
         0)</f>
        <v>21.45</v>
      </c>
      <c r="BO32" s="352" t="n">
        <f aca="true">IF(AND($D32="Serviço",BO$12&lt;&gt;0,$H32&gt;0,OR(AUTOEVENTO&lt;&gt;"manual",$M32&lt;&gt;$A$15)),
        IF(Import.TipoArredondamento&lt;&gt;"TransfereGOV",
              ROUND(OFFSET($P32,0,BO$13),15-13*ORÇAMENTO!$AF$7)/$H32*OFFSET(ORÇAMENTO!$X$15,ROW(BO32)-ROW(BO$15),0),
              ROUND(ROUND(OFFSET($P32,0,BO$13),15-13*ORÇAMENTO!$AF$7)*OFFSET(ORÇAMENTO!$W$15,ROW(BO32)-ROW(BO$15),0),15-13*ORÇAMENTO!$AF$11)),
         0)</f>
        <v>21.45</v>
      </c>
      <c r="BP32" s="352" t="n">
        <f aca="true">IF(AND($D32="Serviço",BP$12&lt;&gt;0,$H32&gt;0,OR(AUTOEVENTO&lt;&gt;"manual",$M32&lt;&gt;$A$15)),
        IF(Import.TipoArredondamento&lt;&gt;"TransfereGOV",
              ROUND(OFFSET($P32,0,BP$13),15-13*ORÇAMENTO!$AF$7)/$H32*OFFSET(ORÇAMENTO!$X$15,ROW(BP32)-ROW(BP$15),0),
              ROUND(ROUND(OFFSET($P32,0,BP$13),15-13*ORÇAMENTO!$AF$7)*OFFSET(ORÇAMENTO!$W$15,ROW(BP32)-ROW(BP$15),0),15-13*ORÇAMENTO!$AF$11)),
         0)</f>
        <v>21.45</v>
      </c>
      <c r="BQ32" s="352" t="n">
        <f aca="true">IF(AND($D32="Serviço",BQ$12&lt;&gt;0,$H32&gt;0,OR(AUTOEVENTO&lt;&gt;"manual",$M32&lt;&gt;$A$15)),
        IF(Import.TipoArredondamento&lt;&gt;"TransfereGOV",
              ROUND(OFFSET($P32,0,BQ$13),15-13*ORÇAMENTO!$AF$7)/$H32*OFFSET(ORÇAMENTO!$X$15,ROW(BQ32)-ROW(BQ$15),0),
              ROUND(ROUND(OFFSET($P32,0,BQ$13),15-13*ORÇAMENTO!$AF$7)*OFFSET(ORÇAMENTO!$W$15,ROW(BQ32)-ROW(BQ$15),0),15-13*ORÇAMENTO!$AF$11)),
         0)</f>
        <v>0</v>
      </c>
      <c r="BS32" s="353" t="n">
        <f aca="true">IF(OR($D32&lt;&gt;"Serviço",AND(AUTOEVENTO="Manual",$M32=$A$15)),0,
         IF(OFFSET(CRONOPLE!$F$15,$M32-$A$15,BS$13)=0,10^12,OFFSET(CRONOPLE!$F$15,$M32-$A$15,BS$13)))</f>
        <v>1</v>
      </c>
      <c r="BT32" s="353" t="n">
        <f aca="true">IF(OR($D32&lt;&gt;"Serviço",AND(AUTOEVENTO="Manual",$M32=$A$15)),0,
         IF(OFFSET(CRONOPLE!$F$15,$M32-$A$15,BT$13)=0,10^12,OFFSET(CRONOPLE!$F$15,$M32-$A$15,BT$13)))</f>
        <v>2</v>
      </c>
      <c r="BU32" s="353" t="n">
        <f aca="true">IF(OR($D32&lt;&gt;"Serviço",AND(AUTOEVENTO="Manual",$M32=$A$15)),0,
         IF(OFFSET(CRONOPLE!$F$15,$M32-$A$15,BU$13)=0,10^12,OFFSET(CRONOPLE!$F$15,$M32-$A$15,BU$13)))</f>
        <v>3</v>
      </c>
      <c r="BV32" s="353" t="n">
        <f aca="true">IF(OR($D32&lt;&gt;"Serviço",AND(AUTOEVENTO="Manual",$M32=$A$15)),0,
         IF(OFFSET(CRONOPLE!$F$15,$M32-$A$15,BV$13)=0,10^12,OFFSET(CRONOPLE!$F$15,$M32-$A$15,BV$13)))</f>
        <v>4</v>
      </c>
      <c r="BW32" s="353" t="n">
        <f aca="true">IF(OR($D32&lt;&gt;"Serviço",AND(AUTOEVENTO="Manual",$M32=$A$15)),0,
         IF(OFFSET(CRONOPLE!$F$15,$M32-$A$15,BW$13)=0,10^12,OFFSET(CRONOPLE!$F$15,$M32-$A$15,BW$13)))</f>
        <v>5</v>
      </c>
      <c r="BX32" s="353" t="n">
        <f aca="true">IF(OR($D32&lt;&gt;"Serviço",AND(AUTOEVENTO="Manual",$M32=$A$15)),0,
         IF(OFFSET(CRONOPLE!$F$15,$M32-$A$15,BX$13)=0,10^12,OFFSET(CRONOPLE!$F$15,$M32-$A$15,BX$13)))</f>
        <v>6</v>
      </c>
      <c r="BY32" s="353" t="n">
        <f aca="true">IF(OR($D32&lt;&gt;"Serviço",AND(AUTOEVENTO="Manual",$M32=$A$15)),0,
         IF(OFFSET(CRONOPLE!$F$15,$M32-$A$15,BY$13)=0,10^12,OFFSET(CRONOPLE!$F$15,$M32-$A$15,BY$13)))</f>
        <v>7</v>
      </c>
      <c r="BZ32" s="353" t="n">
        <f aca="true">IF(OR($D32&lt;&gt;"Serviço",AND(AUTOEVENTO="Manual",$M32=$A$15)),0,
         IF(OFFSET(CRONOPLE!$F$15,$M32-$A$15,BZ$13)=0,10^12,OFFSET(CRONOPLE!$F$15,$M32-$A$15,BZ$13)))</f>
        <v>8</v>
      </c>
      <c r="CA32" s="353" t="n">
        <f aca="true">IF(OR($D32&lt;&gt;"Serviço",AND(AUTOEVENTO="Manual",$M32=$A$15)),0,
         IF(OFFSET(CRONOPLE!$F$15,$M32-$A$15,CA$13)=0,10^12,OFFSET(CRONOPLE!$F$15,$M32-$A$15,CA$13)))</f>
        <v>9</v>
      </c>
      <c r="CB32" s="353" t="n">
        <f aca="true">IF(OR($D32&lt;&gt;"Serviço",AND(AUTOEVENTO="Manual",$M32=$A$15)),0,
         IF(OFFSET(CRONOPLE!$F$15,$M32-$A$15,CB$13)=0,10^12,OFFSET(CRONOPLE!$F$15,$M32-$A$15,CB$13)))</f>
        <v>10</v>
      </c>
      <c r="CC32" s="353" t="n">
        <f aca="true">IF(OR($D32&lt;&gt;"Serviço",AND(AUTOEVENTO="Manual",$M32=$A$15)),0,
         IF(OFFSET(CRONOPLE!$F$15,$M32-$A$15,CC$13)=0,10^12,OFFSET(CRONOPLE!$F$15,$M32-$A$15,CC$13)))</f>
        <v>11</v>
      </c>
      <c r="CD32" s="353" t="n">
        <f aca="true">IF(OR($D32&lt;&gt;"Serviço",AND(AUTOEVENTO="Manual",$M32=$A$15)),0,
         IF(OFFSET(CRONOPLE!$F$15,$M32-$A$15,CD$13)=0,10^12,OFFSET(CRONOPLE!$F$15,$M32-$A$15,CD$13)))</f>
        <v>12</v>
      </c>
      <c r="CE32" s="353" t="n">
        <f aca="true">IF(OR($D32&lt;&gt;"Serviço",AND(AUTOEVENTO="Manual",$M32=$A$15)),0,
         IF(OFFSET(CRONOPLE!$F$15,$M32-$A$15,CE$13)=0,10^12,OFFSET(CRONOPLE!$F$15,$M32-$A$15,CE$13)))</f>
        <v>13</v>
      </c>
      <c r="CF32" s="353" t="n">
        <f aca="true">IF(OR($D32&lt;&gt;"Serviço",AND(AUTOEVENTO="Manual",$M32=$A$15)),0,
         IF(OFFSET(CRONOPLE!$F$15,$M32-$A$15,CF$13)=0,10^12,OFFSET(CRONOPLE!$F$15,$M32-$A$15,CF$13)))</f>
        <v>14</v>
      </c>
      <c r="CG32" s="353" t="n">
        <f aca="true">IF(OR($D32&lt;&gt;"Serviço",AND(AUTOEVENTO="Manual",$M32=$A$15)),0,
         IF(OFFSET(CRONOPLE!$F$15,$M32-$A$15,CG$13)=0,10^12,OFFSET(CRONOPLE!$F$15,$M32-$A$15,CG$13)))</f>
        <v>15</v>
      </c>
      <c r="CH32" s="353" t="n">
        <f aca="true">IF(OR($D32&lt;&gt;"Serviço",AND(AUTOEVENTO="Manual",$M32=$A$15)),0,
         IF(OFFSET(CRONOPLE!$F$15,$M32-$A$15,CH$13)=0,10^12,OFFSET(CRONOPLE!$F$15,$M32-$A$15,CH$13)))</f>
        <v>16</v>
      </c>
      <c r="CI32" s="353" t="n">
        <f aca="true">IF(OR($D32&lt;&gt;"Serviço",AND(AUTOEVENTO="Manual",$M32=$A$15)),0,
         IF(OFFSET(CRONOPLE!$F$15,$M32-$A$15,CI$13)=0,10^12,OFFSET(CRONOPLE!$F$15,$M32-$A$15,CI$13)))</f>
        <v>17</v>
      </c>
      <c r="CJ32" s="353" t="n">
        <f aca="true">IF(OR($D32&lt;&gt;"Serviço",AND(AUTOEVENTO="Manual",$M32=$A$15)),0,
         IF(OFFSET(CRONOPLE!$F$15,$M32-$A$15,CJ$13)=0,10^12,OFFSET(CRONOPLE!$F$15,$M32-$A$15,CJ$13)))</f>
        <v>18</v>
      </c>
      <c r="CK32" s="353" t="n">
        <f aca="true">IF(OR($D32&lt;&gt;"Serviço",AND(AUTOEVENTO="Manual",$M32=$A$15)),0,
         IF(OFFSET(CRONOPLE!$F$15,$M32-$A$15,CK$13)=0,10^12,OFFSET(CRONOPLE!$F$15,$M32-$A$15,CK$13)))</f>
        <v>19</v>
      </c>
      <c r="CL32" s="353" t="n">
        <f aca="true">IF(OR($D32&lt;&gt;"Serviço",AND(AUTOEVENTO="Manual",$M32=$A$15)),0,
         IF(OFFSET(CRONOPLE!$F$15,$M32-$A$15,CL$13)=0,10^12,OFFSET(CRONOPLE!$F$15,$M32-$A$15,CL$13)))</f>
        <v>20</v>
      </c>
      <c r="CM32" s="353" t="n">
        <f aca="true">IF(OR($D32&lt;&gt;"Serviço",AND(AUTOEVENTO="Manual",$M32=$A$15)),0,
         IF(OFFSET(CRONOPLE!$F$15,$M32-$A$15,CM$13)=0,10^12,OFFSET(CRONOPLE!$F$15,$M32-$A$15,CM$13)))</f>
        <v>21</v>
      </c>
      <c r="CN32" s="353" t="n">
        <f aca="true">IF(OR($D32&lt;&gt;"Serviço",AND(AUTOEVENTO="Manual",$M32=$A$15)),0,
         IF(OFFSET(CRONOPLE!$F$15,$M32-$A$15,CN$13)=0,10^12,OFFSET(CRONOPLE!$F$15,$M32-$A$15,CN$13)))</f>
        <v>22</v>
      </c>
      <c r="CO32" s="353" t="n">
        <f aca="true">IF(OR($D32&lt;&gt;"Serviço",AND(AUTOEVENTO="Manual",$M32=$A$15)),0,
         IF(OFFSET(CRONOPLE!$F$15,$M32-$A$15,CO$13)=0,10^12,OFFSET(CRONOPLE!$F$15,$M32-$A$15,CO$13)))</f>
        <v>23</v>
      </c>
      <c r="CP32" s="353" t="n">
        <f aca="true">IF(OR($D32&lt;&gt;"Serviço",AND(AUTOEVENTO="Manual",$M32=$A$15)),0,
         IF(OFFSET(CRONOPLE!$F$15,$M32-$A$15,CP$13)=0,10^12,OFFSET(CRONOPLE!$F$15,$M32-$A$15,CP$13)))</f>
        <v>24</v>
      </c>
      <c r="CQ32" s="353" t="n">
        <f aca="true">IF(OR($D32&lt;&gt;"Serviço",AND(AUTOEVENTO="Manual",$M32=$A$15)),0,
         IF(OFFSET(CRONOPLE!$F$15,$M32-$A$15,CQ$13)=0,10^12,OFFSET(CRONOPLE!$F$15,$M32-$A$15,CQ$13)))</f>
        <v>25</v>
      </c>
      <c r="CR32" s="353" t="n">
        <f aca="true">IF(OR($D32&lt;&gt;"Serviço",AND(AUTOEVENTO="Manual",$M32=$A$15)),0,
         IF(OFFSET(CRONOPLE!$F$15,$M32-$A$15,CR$13)=0,10^12,OFFSET(CRONOPLE!$F$15,$M32-$A$15,CR$13)))</f>
        <v>1000000000000</v>
      </c>
      <c r="CT32" s="354" t="n">
        <f aca="true">IF(OR($D32&lt;&gt;"Serviço",AND(AUTOEVENTO="Manual",$M32=$A$15),$M32&gt;(ROW(PLE.lastrow)-ROW(PLE.firstrow))),0,
           IF(OFFSET(PLE!$G$15,$M32-$A$15,CT$13)="",10^12,OFFSET(PLE!$G$15,$M32-$A$15,CT$13)))</f>
        <v>1000000000000</v>
      </c>
      <c r="CU32" s="354" t="n">
        <f aca="true">IF(OR($D32&lt;&gt;"Serviço",AND(AUTOEVENTO="Manual",$M32=$A$15),$M32&gt;(ROW(PLE.lastrow)-ROW(PLE.firstrow))),0,
           IF(OFFSET(PLE!$G$15,$M32-$A$15,CU$13)="",10^12,OFFSET(PLE!$G$15,$M32-$A$15,CU$13)))</f>
        <v>1000000000000</v>
      </c>
      <c r="CV32" s="354" t="n">
        <f aca="true">IF(OR($D32&lt;&gt;"Serviço",AND(AUTOEVENTO="Manual",$M32=$A$15),$M32&gt;(ROW(PLE.lastrow)-ROW(PLE.firstrow))),0,
           IF(OFFSET(PLE!$G$15,$M32-$A$15,CV$13)="",10^12,OFFSET(PLE!$G$15,$M32-$A$15,CV$13)))</f>
        <v>1000000000000</v>
      </c>
      <c r="CW32" s="354" t="n">
        <f aca="true">IF(OR($D32&lt;&gt;"Serviço",AND(AUTOEVENTO="Manual",$M32=$A$15),$M32&gt;(ROW(PLE.lastrow)-ROW(PLE.firstrow))),0,
           IF(OFFSET(PLE!$G$15,$M32-$A$15,CW$13)="",10^12,OFFSET(PLE!$G$15,$M32-$A$15,CW$13)))</f>
        <v>1000000000000</v>
      </c>
      <c r="CX32" s="354" t="n">
        <f aca="true">IF(OR($D32&lt;&gt;"Serviço",AND(AUTOEVENTO="Manual",$M32=$A$15),$M32&gt;(ROW(PLE.lastrow)-ROW(PLE.firstrow))),0,
           IF(OFFSET(PLE!$G$15,$M32-$A$15,CX$13)="",10^12,OFFSET(PLE!$G$15,$M32-$A$15,CX$13)))</f>
        <v>1000000000000</v>
      </c>
      <c r="CY32" s="354" t="n">
        <f aca="true">IF(OR($D32&lt;&gt;"Serviço",AND(AUTOEVENTO="Manual",$M32=$A$15),$M32&gt;(ROW(PLE.lastrow)-ROW(PLE.firstrow))),0,
           IF(OFFSET(PLE!$G$15,$M32-$A$15,CY$13)="",10^12,OFFSET(PLE!$G$15,$M32-$A$15,CY$13)))</f>
        <v>1000000000000</v>
      </c>
      <c r="CZ32" s="354" t="n">
        <f aca="true">IF(OR($D32&lt;&gt;"Serviço",AND(AUTOEVENTO="Manual",$M32=$A$15),$M32&gt;(ROW(PLE.lastrow)-ROW(PLE.firstrow))),0,
           IF(OFFSET(PLE!$G$15,$M32-$A$15,CZ$13)="",10^12,OFFSET(PLE!$G$15,$M32-$A$15,CZ$13)))</f>
        <v>1000000000000</v>
      </c>
      <c r="DA32" s="354" t="n">
        <f aca="true">IF(OR($D32&lt;&gt;"Serviço",AND(AUTOEVENTO="Manual",$M32=$A$15),$M32&gt;(ROW(PLE.lastrow)-ROW(PLE.firstrow))),0,
           IF(OFFSET(PLE!$G$15,$M32-$A$15,DA$13)="",10^12,OFFSET(PLE!$G$15,$M32-$A$15,DA$13)))</f>
        <v>1000000000000</v>
      </c>
      <c r="DB32" s="354" t="n">
        <f aca="true">IF(OR($D32&lt;&gt;"Serviço",AND(AUTOEVENTO="Manual",$M32=$A$15),$M32&gt;(ROW(PLE.lastrow)-ROW(PLE.firstrow))),0,
           IF(OFFSET(PLE!$G$15,$M32-$A$15,DB$13)="",10^12,OFFSET(PLE!$G$15,$M32-$A$15,DB$13)))</f>
        <v>1000000000000</v>
      </c>
      <c r="DC32" s="354" t="n">
        <f aca="true">IF(OR($D32&lt;&gt;"Serviço",AND(AUTOEVENTO="Manual",$M32=$A$15),$M32&gt;(ROW(PLE.lastrow)-ROW(PLE.firstrow))),0,
           IF(OFFSET(PLE!$G$15,$M32-$A$15,DC$13)="",10^12,OFFSET(PLE!$G$15,$M32-$A$15,DC$13)))</f>
        <v>1000000000000</v>
      </c>
      <c r="DD32" s="354" t="n">
        <f aca="true">IF(OR($D32&lt;&gt;"Serviço",AND(AUTOEVENTO="Manual",$M32=$A$15),$M32&gt;(ROW(PLE.lastrow)-ROW(PLE.firstrow))),0,
           IF(OFFSET(PLE!$G$15,$M32-$A$15,DD$13)="",10^12,OFFSET(PLE!$G$15,$M32-$A$15,DD$13)))</f>
        <v>1000000000000</v>
      </c>
      <c r="DE32" s="354" t="n">
        <f aca="true">IF(OR($D32&lt;&gt;"Serviço",AND(AUTOEVENTO="Manual",$M32=$A$15),$M32&gt;(ROW(PLE.lastrow)-ROW(PLE.firstrow))),0,
           IF(OFFSET(PLE!$G$15,$M32-$A$15,DE$13)="",10^12,OFFSET(PLE!$G$15,$M32-$A$15,DE$13)))</f>
        <v>1000000000000</v>
      </c>
      <c r="DF32" s="354" t="n">
        <f aca="true">IF(OR($D32&lt;&gt;"Serviço",AND(AUTOEVENTO="Manual",$M32=$A$15),$M32&gt;(ROW(PLE.lastrow)-ROW(PLE.firstrow))),0,
           IF(OFFSET(PLE!$G$15,$M32-$A$15,DF$13)="",10^12,OFFSET(PLE!$G$15,$M32-$A$15,DF$13)))</f>
        <v>1000000000000</v>
      </c>
      <c r="DG32" s="354" t="n">
        <f aca="true">IF(OR($D32&lt;&gt;"Serviço",AND(AUTOEVENTO="Manual",$M32=$A$15),$M32&gt;(ROW(PLE.lastrow)-ROW(PLE.firstrow))),0,
           IF(OFFSET(PLE!$G$15,$M32-$A$15,DG$13)="",10^12,OFFSET(PLE!$G$15,$M32-$A$15,DG$13)))</f>
        <v>1000000000000</v>
      </c>
      <c r="DH32" s="354" t="n">
        <f aca="true">IF(OR($D32&lt;&gt;"Serviço",AND(AUTOEVENTO="Manual",$M32=$A$15),$M32&gt;(ROW(PLE.lastrow)-ROW(PLE.firstrow))),0,
           IF(OFFSET(PLE!$G$15,$M32-$A$15,DH$13)="",10^12,OFFSET(PLE!$G$15,$M32-$A$15,DH$13)))</f>
        <v>1000000000000</v>
      </c>
      <c r="DI32" s="354" t="n">
        <f aca="true">IF(OR($D32&lt;&gt;"Serviço",AND(AUTOEVENTO="Manual",$M32=$A$15),$M32&gt;(ROW(PLE.lastrow)-ROW(PLE.firstrow))),0,
           IF(OFFSET(PLE!$G$15,$M32-$A$15,DI$13)="",10^12,OFFSET(PLE!$G$15,$M32-$A$15,DI$13)))</f>
        <v>1000000000000</v>
      </c>
      <c r="DJ32" s="354" t="n">
        <f aca="true">IF(OR($D32&lt;&gt;"Serviço",AND(AUTOEVENTO="Manual",$M32=$A$15),$M32&gt;(ROW(PLE.lastrow)-ROW(PLE.firstrow))),0,
           IF(OFFSET(PLE!$G$15,$M32-$A$15,DJ$13)="",10^12,OFFSET(PLE!$G$15,$M32-$A$15,DJ$13)))</f>
        <v>1000000000000</v>
      </c>
      <c r="DK32" s="354" t="n">
        <f aca="true">IF(OR($D32&lt;&gt;"Serviço",AND(AUTOEVENTO="Manual",$M32=$A$15),$M32&gt;(ROW(PLE.lastrow)-ROW(PLE.firstrow))),0,
           IF(OFFSET(PLE!$G$15,$M32-$A$15,DK$13)="",10^12,OFFSET(PLE!$G$15,$M32-$A$15,DK$13)))</f>
        <v>1000000000000</v>
      </c>
      <c r="DL32" s="354" t="n">
        <f aca="true">IF(OR($D32&lt;&gt;"Serviço",AND(AUTOEVENTO="Manual",$M32=$A$15),$M32&gt;(ROW(PLE.lastrow)-ROW(PLE.firstrow))),0,
           IF(OFFSET(PLE!$G$15,$M32-$A$15,DL$13)="",10^12,OFFSET(PLE!$G$15,$M32-$A$15,DL$13)))</f>
        <v>1000000000000</v>
      </c>
      <c r="DM32" s="354" t="n">
        <f aca="true">IF(OR($D32&lt;&gt;"Serviço",AND(AUTOEVENTO="Manual",$M32=$A$15),$M32&gt;(ROW(PLE.lastrow)-ROW(PLE.firstrow))),0,
           IF(OFFSET(PLE!$G$15,$M32-$A$15,DM$13)="",10^12,OFFSET(PLE!$G$15,$M32-$A$15,DM$13)))</f>
        <v>1000000000000</v>
      </c>
      <c r="DN32" s="354" t="n">
        <f aca="true">IF(OR($D32&lt;&gt;"Serviço",AND(AUTOEVENTO="Manual",$M32=$A$15),$M32&gt;(ROW(PLE.lastrow)-ROW(PLE.firstrow))),0,
           IF(OFFSET(PLE!$G$15,$M32-$A$15,DN$13)="",10^12,OFFSET(PLE!$G$15,$M32-$A$15,DN$13)))</f>
        <v>1000000000000</v>
      </c>
      <c r="DO32" s="354" t="n">
        <f aca="true">IF(OR($D32&lt;&gt;"Serviço",AND(AUTOEVENTO="Manual",$M32=$A$15),$M32&gt;(ROW(PLE.lastrow)-ROW(PLE.firstrow))),0,
           IF(OFFSET(PLE!$G$15,$M32-$A$15,DO$13)="",10^12,OFFSET(PLE!$G$15,$M32-$A$15,DO$13)))</f>
        <v>1000000000000</v>
      </c>
      <c r="DP32" s="354" t="n">
        <f aca="true">IF(OR($D32&lt;&gt;"Serviço",AND(AUTOEVENTO="Manual",$M32=$A$15),$M32&gt;(ROW(PLE.lastrow)-ROW(PLE.firstrow))),0,
           IF(OFFSET(PLE!$G$15,$M32-$A$15,DP$13)="",10^12,OFFSET(PLE!$G$15,$M32-$A$15,DP$13)))</f>
        <v>1000000000000</v>
      </c>
      <c r="DQ32" s="354" t="n">
        <f aca="true">IF(OR($D32&lt;&gt;"Serviço",AND(AUTOEVENTO="Manual",$M32=$A$15),$M32&gt;(ROW(PLE.lastrow)-ROW(PLE.firstrow))),0,
           IF(OFFSET(PLE!$G$15,$M32-$A$15,DQ$13)="",10^12,OFFSET(PLE!$G$15,$M32-$A$15,DQ$13)))</f>
        <v>1000000000000</v>
      </c>
      <c r="DR32" s="354" t="n">
        <f aca="true">IF(OR($D32&lt;&gt;"Serviço",AND(AUTOEVENTO="Manual",$M32=$A$15),$M32&gt;(ROW(PLE.lastrow)-ROW(PLE.firstrow))),0,
           IF(OFFSET(PLE!$G$15,$M32-$A$15,DR$13)="",10^12,OFFSET(PLE!$G$15,$M32-$A$15,DR$13)))</f>
        <v>1000000000000</v>
      </c>
      <c r="DS32" s="354" t="n">
        <f aca="true">IF(OR($D32&lt;&gt;"Serviço",AND(AUTOEVENTO="Manual",$M32=$A$15),$M32&gt;(ROW(PLE.lastrow)-ROW(PLE.firstrow))),0,
           IF(OFFSET(PLE!$G$15,$M32-$A$15,DS$13)="",10^12,OFFSET(PLE!$G$15,$M32-$A$15,DS$13)))</f>
        <v>1000000000000</v>
      </c>
    </row>
    <row r="33" customFormat="false" ht="35.05" hidden="false" customHeight="false" outlineLevel="0" collapsed="false">
      <c r="A33" s="50" t="str">
        <f aca="true">IFERROR(IF(AUTOEVENTO="Manual",IF(K33&lt;&gt;"",MIN(VALUE(LEFT(K33,FIND(".",K33)-1)),COUNTA(EVENTOS.Lista)),0),IF(OR($B33&gt;AUTOEVENTO,$B33="S",$B33=0),SUBSTITUTE(OFFSET($A33,-1,0),IF($D33="Serviço",".",""),""),ROW(A33)-ROW($A$15)&amp;".")),0)</f>
        <v>14</v>
      </c>
      <c r="B33" s="50" t="str">
        <f aca="true">OFFSET(ORÇAMENTO!C$15,ROW(B33)-ROW(B$15),0)</f>
        <v>S</v>
      </c>
      <c r="C33" s="50" t="str">
        <f aca="true">OFFSET(ORÇAMENTO!L$15,ROW(C33)-ROW(C$15),0)</f>
        <v>F</v>
      </c>
      <c r="D33" s="201" t="str">
        <f aca="true">OFFSET(ORÇAMENTO!N$15,ROW(D33)-ROW(D$15),0)</f>
        <v>Serviço</v>
      </c>
      <c r="E33" s="202" t="str">
        <f aca="true">OFFSET(ORÇAMENTO!O$15,ROW(E33)-ROW(E$15),0)</f>
        <v>1.5.4.</v>
      </c>
      <c r="F33" s="341" t="str">
        <f aca="true">OFFSET(ORÇAMENTO!R$15,ROW(F33)-ROW(F$15),0)</f>
        <v>FABRICAÇÃO, MONTAGEM E DESMONTAGEM DE FÔRMA PARA SAPATA, EM CHAPA DE MADEIRA COMPENSADA RESINADA, E=17 MM, 4 UTILIZAÇÕES. AF_01/2024</v>
      </c>
      <c r="G33" s="342" t="str">
        <f aca="true">IF($D33&lt;&gt;"Serviço","",OFFSET(ORÇAMENTO!S$15,ROW(G33)-ROW(G$15),0))</f>
        <v>M2</v>
      </c>
      <c r="H33" s="207" t="n">
        <f aca="true">IF($D33&lt;&gt;"Serviço",0,IF(ACOMPANHAMENTO="BM",ROUND(OFFSET(ORÇAMENTO!AJ$15,ROW(H33)-ROW(H$15),0),15-13*ORÇAMENTO!$AF$7),SUMPRODUCT(($Q$1:$AQ$1=1)*ROUND($Q33:$AQ33,15-13*ORÇAMENTO!$AF$7))))</f>
        <v>593.75</v>
      </c>
      <c r="I33" s="343" t="s">
        <v>923</v>
      </c>
      <c r="J33" s="344" t="e">
        <f aca="false">IF(OR(B33&lt;&gt;"S",CÁLCULO.FrentesPreenchidas=0),"",IF(AND(ACOMPANHAMENTO="PLE",AUTOEVENTO="Manual",OR(H33&gt;0,ORÇAMENTO!AC33="QUANT."),OR(K33="",M33=0,N33="")),"►",IF(AND(ACOMPANHAMENTO="PLE",ORÇAMENTO!AC33="QUANT."),"►►",IF(AND(COUNTIF($P$11:$AQ$11,"▼")=0,H33&gt;0,I33=""),"◄",""))))</f>
        <v>#NAME?</v>
      </c>
      <c r="K33" s="345"/>
      <c r="L33" s="346" t="s">
        <v>876</v>
      </c>
      <c r="M33" s="347" t="n">
        <f aca="true">IF($D33&lt;&gt;"Serviço","",
          IF(AUTOEVENTO="manual",$A33,
                IF(ISERROR(MATCH($A33,$A$15:OFFSET($A33,-1,0),0)),MAX($M$15:OFFSET(M33,-1,0))+1,
                      INDEX($M$15:OFFSET(M33,-1,0),MATCH($A33,$A$15:OFFSET($A33,-1,0),0)))))</f>
        <v>3</v>
      </c>
      <c r="N33" s="348" t="str">
        <f aca="true">IF($D33&lt;&gt;"Serviço","",
         IF(AUTOEVENTO="Manual",
                IF($A33=0,"&lt;-- defina o número do agrupador",
                       OFFSET(EVENTOS!$D$15,$A33-$A$15,0)),
                OFFSET($F$15,$A33,0)))</f>
        <v>SAPATA</v>
      </c>
      <c r="O33" s="349"/>
      <c r="Q33" s="349" t="n">
        <v>23.75</v>
      </c>
      <c r="R33" s="350" t="n">
        <f aca="false">Q33</f>
        <v>23.75</v>
      </c>
      <c r="S33" s="350" t="n">
        <f aca="false">R33</f>
        <v>23.75</v>
      </c>
      <c r="T33" s="350" t="n">
        <f aca="false">S33</f>
        <v>23.75</v>
      </c>
      <c r="U33" s="350" t="n">
        <f aca="false">T33</f>
        <v>23.75</v>
      </c>
      <c r="V33" s="350" t="n">
        <f aca="false">U33</f>
        <v>23.75</v>
      </c>
      <c r="W33" s="350" t="n">
        <f aca="false">V33</f>
        <v>23.75</v>
      </c>
      <c r="X33" s="350" t="n">
        <f aca="false">W33</f>
        <v>23.75</v>
      </c>
      <c r="Y33" s="350" t="n">
        <f aca="false">X33</f>
        <v>23.75</v>
      </c>
      <c r="Z33" s="351" t="n">
        <f aca="false">Y33</f>
        <v>23.75</v>
      </c>
      <c r="AA33" s="350" t="n">
        <f aca="false">Z33</f>
        <v>23.75</v>
      </c>
      <c r="AB33" s="350" t="n">
        <f aca="false">AA33</f>
        <v>23.75</v>
      </c>
      <c r="AC33" s="350" t="n">
        <f aca="false">AB33</f>
        <v>23.75</v>
      </c>
      <c r="AD33" s="350" t="n">
        <f aca="false">AC33</f>
        <v>23.75</v>
      </c>
      <c r="AE33" s="350" t="n">
        <f aca="false">AD33</f>
        <v>23.75</v>
      </c>
      <c r="AF33" s="350" t="n">
        <f aca="false">AE33</f>
        <v>23.75</v>
      </c>
      <c r="AG33" s="350" t="n">
        <f aca="false">AF33</f>
        <v>23.75</v>
      </c>
      <c r="AH33" s="351" t="n">
        <f aca="false">AG33</f>
        <v>23.75</v>
      </c>
      <c r="AI33" s="350" t="n">
        <f aca="false">AH33</f>
        <v>23.75</v>
      </c>
      <c r="AJ33" s="350" t="n">
        <f aca="false">AI33</f>
        <v>23.75</v>
      </c>
      <c r="AK33" s="350" t="n">
        <f aca="false">AJ33</f>
        <v>23.75</v>
      </c>
      <c r="AL33" s="350" t="n">
        <f aca="false">AK33</f>
        <v>23.75</v>
      </c>
      <c r="AM33" s="350" t="n">
        <f aca="false">AL33</f>
        <v>23.75</v>
      </c>
      <c r="AN33" s="350" t="n">
        <f aca="false">AM33</f>
        <v>23.75</v>
      </c>
      <c r="AO33" s="350" t="n">
        <f aca="false">AN33</f>
        <v>23.75</v>
      </c>
      <c r="AP33" s="351" t="n">
        <v>2.11</v>
      </c>
      <c r="AR33" s="352" t="n">
        <f aca="true">IF(AND($D33="Serviço",AR$12&lt;&gt;0,$H33&gt;0,OR(AUTOEVENTO&lt;&gt;"manual",$M33&lt;&gt;$A$15)),
        IF(Import.TipoArredondamento&lt;&gt;"TransfereGOV",
              ROUND(OFFSET($P33,0,AR$13),15-13*ORÇAMENTO!$AF$7)/$H33*OFFSET(ORÇAMENTO!$X$15,ROW(AR33)-ROW(AR$15),0),
              ROUND(ROUND(OFFSET($P33,0,AR$13),15-13*ORÇAMENTO!$AF$7)*OFFSET(ORÇAMENTO!$W$15,ROW(AR33)-ROW(AR$15),0),15-13*ORÇAMENTO!$AF$11)),
         0)</f>
        <v>5546.81</v>
      </c>
      <c r="AS33" s="352" t="n">
        <f aca="true">IF(AND($D33="Serviço",AS$12&lt;&gt;0,$H33&gt;0,OR(AUTOEVENTO&lt;&gt;"manual",$M33&lt;&gt;$A$15)),
        IF(Import.TipoArredondamento&lt;&gt;"TransfereGOV",
              ROUND(OFFSET($P33,0,AS$13),15-13*ORÇAMENTO!$AF$7)/$H33*OFFSET(ORÇAMENTO!$X$15,ROW(AS33)-ROW(AS$15),0),
              ROUND(ROUND(OFFSET($P33,0,AS$13),15-13*ORÇAMENTO!$AF$7)*OFFSET(ORÇAMENTO!$W$15,ROW(AS33)-ROW(AS$15),0),15-13*ORÇAMENTO!$AF$11)),
         0)</f>
        <v>5546.81</v>
      </c>
      <c r="AT33" s="352" t="n">
        <f aca="true">IF(AND($D33="Serviço",AT$12&lt;&gt;0,$H33&gt;0,OR(AUTOEVENTO&lt;&gt;"manual",$M33&lt;&gt;$A$15)),
        IF(Import.TipoArredondamento&lt;&gt;"TransfereGOV",
              ROUND(OFFSET($P33,0,AT$13),15-13*ORÇAMENTO!$AF$7)/$H33*OFFSET(ORÇAMENTO!$X$15,ROW(AT33)-ROW(AT$15),0),
              ROUND(ROUND(OFFSET($P33,0,AT$13),15-13*ORÇAMENTO!$AF$7)*OFFSET(ORÇAMENTO!$W$15,ROW(AT33)-ROW(AT$15),0),15-13*ORÇAMENTO!$AF$11)),
         0)</f>
        <v>5546.81</v>
      </c>
      <c r="AU33" s="352" t="n">
        <f aca="true">IF(AND($D33="Serviço",AU$12&lt;&gt;0,$H33&gt;0,OR(AUTOEVENTO&lt;&gt;"manual",$M33&lt;&gt;$A$15)),
        IF(Import.TipoArredondamento&lt;&gt;"TransfereGOV",
              ROUND(OFFSET($P33,0,AU$13),15-13*ORÇAMENTO!$AF$7)/$H33*OFFSET(ORÇAMENTO!$X$15,ROW(AU33)-ROW(AU$15),0),
              ROUND(ROUND(OFFSET($P33,0,AU$13),15-13*ORÇAMENTO!$AF$7)*OFFSET(ORÇAMENTO!$W$15,ROW(AU33)-ROW(AU$15),0),15-13*ORÇAMENTO!$AF$11)),
         0)</f>
        <v>5546.81</v>
      </c>
      <c r="AV33" s="352" t="n">
        <f aca="true">IF(AND($D33="Serviço",AV$12&lt;&gt;0,$H33&gt;0,OR(AUTOEVENTO&lt;&gt;"manual",$M33&lt;&gt;$A$15)),
        IF(Import.TipoArredondamento&lt;&gt;"TransfereGOV",
              ROUND(OFFSET($P33,0,AV$13),15-13*ORÇAMENTO!$AF$7)/$H33*OFFSET(ORÇAMENTO!$X$15,ROW(AV33)-ROW(AV$15),0),
              ROUND(ROUND(OFFSET($P33,0,AV$13),15-13*ORÇAMENTO!$AF$7)*OFFSET(ORÇAMENTO!$W$15,ROW(AV33)-ROW(AV$15),0),15-13*ORÇAMENTO!$AF$11)),
         0)</f>
        <v>5546.81</v>
      </c>
      <c r="AW33" s="352" t="n">
        <f aca="true">IF(AND($D33="Serviço",AW$12&lt;&gt;0,$H33&gt;0,OR(AUTOEVENTO&lt;&gt;"manual",$M33&lt;&gt;$A$15)),
        IF(Import.TipoArredondamento&lt;&gt;"TransfereGOV",
              ROUND(OFFSET($P33,0,AW$13),15-13*ORÇAMENTO!$AF$7)/$H33*OFFSET(ORÇAMENTO!$X$15,ROW(AW33)-ROW(AW$15),0),
              ROUND(ROUND(OFFSET($P33,0,AW$13),15-13*ORÇAMENTO!$AF$7)*OFFSET(ORÇAMENTO!$W$15,ROW(AW33)-ROW(AW$15),0),15-13*ORÇAMENTO!$AF$11)),
         0)</f>
        <v>5546.81</v>
      </c>
      <c r="AX33" s="352" t="n">
        <f aca="true">IF(AND($D33="Serviço",AX$12&lt;&gt;0,$H33&gt;0,OR(AUTOEVENTO&lt;&gt;"manual",$M33&lt;&gt;$A$15)),
        IF(Import.TipoArredondamento&lt;&gt;"TransfereGOV",
              ROUND(OFFSET($P33,0,AX$13),15-13*ORÇAMENTO!$AF$7)/$H33*OFFSET(ORÇAMENTO!$X$15,ROW(AX33)-ROW(AX$15),0),
              ROUND(ROUND(OFFSET($P33,0,AX$13),15-13*ORÇAMENTO!$AF$7)*OFFSET(ORÇAMENTO!$W$15,ROW(AX33)-ROW(AX$15),0),15-13*ORÇAMENTO!$AF$11)),
         0)</f>
        <v>5546.81</v>
      </c>
      <c r="AY33" s="352" t="n">
        <f aca="true">IF(AND($D33="Serviço",AY$12&lt;&gt;0,$H33&gt;0,OR(AUTOEVENTO&lt;&gt;"manual",$M33&lt;&gt;$A$15)),
        IF(Import.TipoArredondamento&lt;&gt;"TransfereGOV",
              ROUND(OFFSET($P33,0,AY$13),15-13*ORÇAMENTO!$AF$7)/$H33*OFFSET(ORÇAMENTO!$X$15,ROW(AY33)-ROW(AY$15),0),
              ROUND(ROUND(OFFSET($P33,0,AY$13),15-13*ORÇAMENTO!$AF$7)*OFFSET(ORÇAMENTO!$W$15,ROW(AY33)-ROW(AY$15),0),15-13*ORÇAMENTO!$AF$11)),
         0)</f>
        <v>5546.81</v>
      </c>
      <c r="AZ33" s="352" t="n">
        <f aca="true">IF(AND($D33="Serviço",AZ$12&lt;&gt;0,$H33&gt;0,OR(AUTOEVENTO&lt;&gt;"manual",$M33&lt;&gt;$A$15)),
        IF(Import.TipoArredondamento&lt;&gt;"TransfereGOV",
              ROUND(OFFSET($P33,0,AZ$13),15-13*ORÇAMENTO!$AF$7)/$H33*OFFSET(ORÇAMENTO!$X$15,ROW(AZ33)-ROW(AZ$15),0),
              ROUND(ROUND(OFFSET($P33,0,AZ$13),15-13*ORÇAMENTO!$AF$7)*OFFSET(ORÇAMENTO!$W$15,ROW(AZ33)-ROW(AZ$15),0),15-13*ORÇAMENTO!$AF$11)),
         0)</f>
        <v>5546.81</v>
      </c>
      <c r="BA33" s="352" t="n">
        <f aca="true">IF(AND($D33="Serviço",BA$12&lt;&gt;0,$H33&gt;0,OR(AUTOEVENTO&lt;&gt;"manual",$M33&lt;&gt;$A$15)),
        IF(Import.TipoArredondamento&lt;&gt;"TransfereGOV",
              ROUND(OFFSET($P33,0,BA$13),15-13*ORÇAMENTO!$AF$7)/$H33*OFFSET(ORÇAMENTO!$X$15,ROW(BA33)-ROW(BA$15),0),
              ROUND(ROUND(OFFSET($P33,0,BA$13),15-13*ORÇAMENTO!$AF$7)*OFFSET(ORÇAMENTO!$W$15,ROW(BA33)-ROW(BA$15),0),15-13*ORÇAMENTO!$AF$11)),
         0)</f>
        <v>5546.81</v>
      </c>
      <c r="BB33" s="352" t="n">
        <f aca="true">IF(AND($D33="Serviço",BB$12&lt;&gt;0,$H33&gt;0,OR(AUTOEVENTO&lt;&gt;"manual",$M33&lt;&gt;$A$15)),
        IF(Import.TipoArredondamento&lt;&gt;"TransfereGOV",
              ROUND(OFFSET($P33,0,BB$13),15-13*ORÇAMENTO!$AF$7)/$H33*OFFSET(ORÇAMENTO!$X$15,ROW(BB33)-ROW(BB$15),0),
              ROUND(ROUND(OFFSET($P33,0,BB$13),15-13*ORÇAMENTO!$AF$7)*OFFSET(ORÇAMENTO!$W$15,ROW(BB33)-ROW(BB$15),0),15-13*ORÇAMENTO!$AF$11)),
         0)</f>
        <v>5546.81</v>
      </c>
      <c r="BC33" s="352" t="n">
        <f aca="true">IF(AND($D33="Serviço",BC$12&lt;&gt;0,$H33&gt;0,OR(AUTOEVENTO&lt;&gt;"manual",$M33&lt;&gt;$A$15)),
        IF(Import.TipoArredondamento&lt;&gt;"TransfereGOV",
              ROUND(OFFSET($P33,0,BC$13),15-13*ORÇAMENTO!$AF$7)/$H33*OFFSET(ORÇAMENTO!$X$15,ROW(BC33)-ROW(BC$15),0),
              ROUND(ROUND(OFFSET($P33,0,BC$13),15-13*ORÇAMENTO!$AF$7)*OFFSET(ORÇAMENTO!$W$15,ROW(BC33)-ROW(BC$15),0),15-13*ORÇAMENTO!$AF$11)),
         0)</f>
        <v>5546.81</v>
      </c>
      <c r="BD33" s="352" t="n">
        <f aca="true">IF(AND($D33="Serviço",BD$12&lt;&gt;0,$H33&gt;0,OR(AUTOEVENTO&lt;&gt;"manual",$M33&lt;&gt;$A$15)),
        IF(Import.TipoArredondamento&lt;&gt;"TransfereGOV",
              ROUND(OFFSET($P33,0,BD$13),15-13*ORÇAMENTO!$AF$7)/$H33*OFFSET(ORÇAMENTO!$X$15,ROW(BD33)-ROW(BD$15),0),
              ROUND(ROUND(OFFSET($P33,0,BD$13),15-13*ORÇAMENTO!$AF$7)*OFFSET(ORÇAMENTO!$W$15,ROW(BD33)-ROW(BD$15),0),15-13*ORÇAMENTO!$AF$11)),
         0)</f>
        <v>5546.81</v>
      </c>
      <c r="BE33" s="352" t="n">
        <f aca="true">IF(AND($D33="Serviço",BE$12&lt;&gt;0,$H33&gt;0,OR(AUTOEVENTO&lt;&gt;"manual",$M33&lt;&gt;$A$15)),
        IF(Import.TipoArredondamento&lt;&gt;"TransfereGOV",
              ROUND(OFFSET($P33,0,BE$13),15-13*ORÇAMENTO!$AF$7)/$H33*OFFSET(ORÇAMENTO!$X$15,ROW(BE33)-ROW(BE$15),0),
              ROUND(ROUND(OFFSET($P33,0,BE$13),15-13*ORÇAMENTO!$AF$7)*OFFSET(ORÇAMENTO!$W$15,ROW(BE33)-ROW(BE$15),0),15-13*ORÇAMENTO!$AF$11)),
         0)</f>
        <v>5546.81</v>
      </c>
      <c r="BF33" s="352" t="n">
        <f aca="true">IF(AND($D33="Serviço",BF$12&lt;&gt;0,$H33&gt;0,OR(AUTOEVENTO&lt;&gt;"manual",$M33&lt;&gt;$A$15)),
        IF(Import.TipoArredondamento&lt;&gt;"TransfereGOV",
              ROUND(OFFSET($P33,0,BF$13),15-13*ORÇAMENTO!$AF$7)/$H33*OFFSET(ORÇAMENTO!$X$15,ROW(BF33)-ROW(BF$15),0),
              ROUND(ROUND(OFFSET($P33,0,BF$13),15-13*ORÇAMENTO!$AF$7)*OFFSET(ORÇAMENTO!$W$15,ROW(BF33)-ROW(BF$15),0),15-13*ORÇAMENTO!$AF$11)),
         0)</f>
        <v>5546.81</v>
      </c>
      <c r="BG33" s="352" t="n">
        <f aca="true">IF(AND($D33="Serviço",BG$12&lt;&gt;0,$H33&gt;0,OR(AUTOEVENTO&lt;&gt;"manual",$M33&lt;&gt;$A$15)),
        IF(Import.TipoArredondamento&lt;&gt;"TransfereGOV",
              ROUND(OFFSET($P33,0,BG$13),15-13*ORÇAMENTO!$AF$7)/$H33*OFFSET(ORÇAMENTO!$X$15,ROW(BG33)-ROW(BG$15),0),
              ROUND(ROUND(OFFSET($P33,0,BG$13),15-13*ORÇAMENTO!$AF$7)*OFFSET(ORÇAMENTO!$W$15,ROW(BG33)-ROW(BG$15),0),15-13*ORÇAMENTO!$AF$11)),
         0)</f>
        <v>5546.81</v>
      </c>
      <c r="BH33" s="352" t="n">
        <f aca="true">IF(AND($D33="Serviço",BH$12&lt;&gt;0,$H33&gt;0,OR(AUTOEVENTO&lt;&gt;"manual",$M33&lt;&gt;$A$15)),
        IF(Import.TipoArredondamento&lt;&gt;"TransfereGOV",
              ROUND(OFFSET($P33,0,BH$13),15-13*ORÇAMENTO!$AF$7)/$H33*OFFSET(ORÇAMENTO!$X$15,ROW(BH33)-ROW(BH$15),0),
              ROUND(ROUND(OFFSET($P33,0,BH$13),15-13*ORÇAMENTO!$AF$7)*OFFSET(ORÇAMENTO!$W$15,ROW(BH33)-ROW(BH$15),0),15-13*ORÇAMENTO!$AF$11)),
         0)</f>
        <v>5546.81</v>
      </c>
      <c r="BI33" s="352" t="n">
        <f aca="true">IF(AND($D33="Serviço",BI$12&lt;&gt;0,$H33&gt;0,OR(AUTOEVENTO&lt;&gt;"manual",$M33&lt;&gt;$A$15)),
        IF(Import.TipoArredondamento&lt;&gt;"TransfereGOV",
              ROUND(OFFSET($P33,0,BI$13),15-13*ORÇAMENTO!$AF$7)/$H33*OFFSET(ORÇAMENTO!$X$15,ROW(BI33)-ROW(BI$15),0),
              ROUND(ROUND(OFFSET($P33,0,BI$13),15-13*ORÇAMENTO!$AF$7)*OFFSET(ORÇAMENTO!$W$15,ROW(BI33)-ROW(BI$15),0),15-13*ORÇAMENTO!$AF$11)),
         0)</f>
        <v>5546.81</v>
      </c>
      <c r="BJ33" s="352" t="n">
        <f aca="true">IF(AND($D33="Serviço",BJ$12&lt;&gt;0,$H33&gt;0,OR(AUTOEVENTO&lt;&gt;"manual",$M33&lt;&gt;$A$15)),
        IF(Import.TipoArredondamento&lt;&gt;"TransfereGOV",
              ROUND(OFFSET($P33,0,BJ$13),15-13*ORÇAMENTO!$AF$7)/$H33*OFFSET(ORÇAMENTO!$X$15,ROW(BJ33)-ROW(BJ$15),0),
              ROUND(ROUND(OFFSET($P33,0,BJ$13),15-13*ORÇAMENTO!$AF$7)*OFFSET(ORÇAMENTO!$W$15,ROW(BJ33)-ROW(BJ$15),0),15-13*ORÇAMENTO!$AF$11)),
         0)</f>
        <v>5546.81</v>
      </c>
      <c r="BK33" s="352" t="n">
        <f aca="true">IF(AND($D33="Serviço",BK$12&lt;&gt;0,$H33&gt;0,OR(AUTOEVENTO&lt;&gt;"manual",$M33&lt;&gt;$A$15)),
        IF(Import.TipoArredondamento&lt;&gt;"TransfereGOV",
              ROUND(OFFSET($P33,0,BK$13),15-13*ORÇAMENTO!$AF$7)/$H33*OFFSET(ORÇAMENTO!$X$15,ROW(BK33)-ROW(BK$15),0),
              ROUND(ROUND(OFFSET($P33,0,BK$13),15-13*ORÇAMENTO!$AF$7)*OFFSET(ORÇAMENTO!$W$15,ROW(BK33)-ROW(BK$15),0),15-13*ORÇAMENTO!$AF$11)),
         0)</f>
        <v>5546.81</v>
      </c>
      <c r="BL33" s="352" t="n">
        <f aca="true">IF(AND($D33="Serviço",BL$12&lt;&gt;0,$H33&gt;0,OR(AUTOEVENTO&lt;&gt;"manual",$M33&lt;&gt;$A$15)),
        IF(Import.TipoArredondamento&lt;&gt;"TransfereGOV",
              ROUND(OFFSET($P33,0,BL$13),15-13*ORÇAMENTO!$AF$7)/$H33*OFFSET(ORÇAMENTO!$X$15,ROW(BL33)-ROW(BL$15),0),
              ROUND(ROUND(OFFSET($P33,0,BL$13),15-13*ORÇAMENTO!$AF$7)*OFFSET(ORÇAMENTO!$W$15,ROW(BL33)-ROW(BL$15),0),15-13*ORÇAMENTO!$AF$11)),
         0)</f>
        <v>5546.81</v>
      </c>
      <c r="BM33" s="352" t="n">
        <f aca="true">IF(AND($D33="Serviço",BM$12&lt;&gt;0,$H33&gt;0,OR(AUTOEVENTO&lt;&gt;"manual",$M33&lt;&gt;$A$15)),
        IF(Import.TipoArredondamento&lt;&gt;"TransfereGOV",
              ROUND(OFFSET($P33,0,BM$13),15-13*ORÇAMENTO!$AF$7)/$H33*OFFSET(ORÇAMENTO!$X$15,ROW(BM33)-ROW(BM$15),0),
              ROUND(ROUND(OFFSET($P33,0,BM$13),15-13*ORÇAMENTO!$AF$7)*OFFSET(ORÇAMENTO!$W$15,ROW(BM33)-ROW(BM$15),0),15-13*ORÇAMENTO!$AF$11)),
         0)</f>
        <v>5546.81</v>
      </c>
      <c r="BN33" s="352" t="n">
        <f aca="true">IF(AND($D33="Serviço",BN$12&lt;&gt;0,$H33&gt;0,OR(AUTOEVENTO&lt;&gt;"manual",$M33&lt;&gt;$A$15)),
        IF(Import.TipoArredondamento&lt;&gt;"TransfereGOV",
              ROUND(OFFSET($P33,0,BN$13),15-13*ORÇAMENTO!$AF$7)/$H33*OFFSET(ORÇAMENTO!$X$15,ROW(BN33)-ROW(BN$15),0),
              ROUND(ROUND(OFFSET($P33,0,BN$13),15-13*ORÇAMENTO!$AF$7)*OFFSET(ORÇAMENTO!$W$15,ROW(BN33)-ROW(BN$15),0),15-13*ORÇAMENTO!$AF$11)),
         0)</f>
        <v>5546.81</v>
      </c>
      <c r="BO33" s="352" t="n">
        <f aca="true">IF(AND($D33="Serviço",BO$12&lt;&gt;0,$H33&gt;0,OR(AUTOEVENTO&lt;&gt;"manual",$M33&lt;&gt;$A$15)),
        IF(Import.TipoArredondamento&lt;&gt;"TransfereGOV",
              ROUND(OFFSET($P33,0,BO$13),15-13*ORÇAMENTO!$AF$7)/$H33*OFFSET(ORÇAMENTO!$X$15,ROW(BO33)-ROW(BO$15),0),
              ROUND(ROUND(OFFSET($P33,0,BO$13),15-13*ORÇAMENTO!$AF$7)*OFFSET(ORÇAMENTO!$W$15,ROW(BO33)-ROW(BO$15),0),15-13*ORÇAMENTO!$AF$11)),
         0)</f>
        <v>5546.81</v>
      </c>
      <c r="BP33" s="352" t="n">
        <f aca="true">IF(AND($D33="Serviço",BP$12&lt;&gt;0,$H33&gt;0,OR(AUTOEVENTO&lt;&gt;"manual",$M33&lt;&gt;$A$15)),
        IF(Import.TipoArredondamento&lt;&gt;"TransfereGOV",
              ROUND(OFFSET($P33,0,BP$13),15-13*ORÇAMENTO!$AF$7)/$H33*OFFSET(ORÇAMENTO!$X$15,ROW(BP33)-ROW(BP$15),0),
              ROUND(ROUND(OFFSET($P33,0,BP$13),15-13*ORÇAMENTO!$AF$7)*OFFSET(ORÇAMENTO!$W$15,ROW(BP33)-ROW(BP$15),0),15-13*ORÇAMENTO!$AF$11)),
         0)</f>
        <v>5546.81</v>
      </c>
      <c r="BQ33" s="352" t="n">
        <f aca="true">IF(AND($D33="Serviço",BQ$12&lt;&gt;0,$H33&gt;0,OR(AUTOEVENTO&lt;&gt;"manual",$M33&lt;&gt;$A$15)),
        IF(Import.TipoArredondamento&lt;&gt;"TransfereGOV",
              ROUND(OFFSET($P33,0,BQ$13),15-13*ORÇAMENTO!$AF$7)/$H33*OFFSET(ORÇAMENTO!$X$15,ROW(BQ33)-ROW(BQ$15),0),
              ROUND(ROUND(OFFSET($P33,0,BQ$13),15-13*ORÇAMENTO!$AF$7)*OFFSET(ORÇAMENTO!$W$15,ROW(BQ33)-ROW(BQ$15),0),15-13*ORÇAMENTO!$AF$11)),
         0)</f>
        <v>0</v>
      </c>
      <c r="BS33" s="353" t="n">
        <f aca="true">IF(OR($D33&lt;&gt;"Serviço",AND(AUTOEVENTO="Manual",$M33=$A$15)),0,
         IF(OFFSET(CRONOPLE!$F$15,$M33-$A$15,BS$13)=0,10^12,OFFSET(CRONOPLE!$F$15,$M33-$A$15,BS$13)))</f>
        <v>1</v>
      </c>
      <c r="BT33" s="353" t="n">
        <f aca="true">IF(OR($D33&lt;&gt;"Serviço",AND(AUTOEVENTO="Manual",$M33=$A$15)),0,
         IF(OFFSET(CRONOPLE!$F$15,$M33-$A$15,BT$13)=0,10^12,OFFSET(CRONOPLE!$F$15,$M33-$A$15,BT$13)))</f>
        <v>2</v>
      </c>
      <c r="BU33" s="353" t="n">
        <f aca="true">IF(OR($D33&lt;&gt;"Serviço",AND(AUTOEVENTO="Manual",$M33=$A$15)),0,
         IF(OFFSET(CRONOPLE!$F$15,$M33-$A$15,BU$13)=0,10^12,OFFSET(CRONOPLE!$F$15,$M33-$A$15,BU$13)))</f>
        <v>3</v>
      </c>
      <c r="BV33" s="353" t="n">
        <f aca="true">IF(OR($D33&lt;&gt;"Serviço",AND(AUTOEVENTO="Manual",$M33=$A$15)),0,
         IF(OFFSET(CRONOPLE!$F$15,$M33-$A$15,BV$13)=0,10^12,OFFSET(CRONOPLE!$F$15,$M33-$A$15,BV$13)))</f>
        <v>4</v>
      </c>
      <c r="BW33" s="353" t="n">
        <f aca="true">IF(OR($D33&lt;&gt;"Serviço",AND(AUTOEVENTO="Manual",$M33=$A$15)),0,
         IF(OFFSET(CRONOPLE!$F$15,$M33-$A$15,BW$13)=0,10^12,OFFSET(CRONOPLE!$F$15,$M33-$A$15,BW$13)))</f>
        <v>5</v>
      </c>
      <c r="BX33" s="353" t="n">
        <f aca="true">IF(OR($D33&lt;&gt;"Serviço",AND(AUTOEVENTO="Manual",$M33=$A$15)),0,
         IF(OFFSET(CRONOPLE!$F$15,$M33-$A$15,BX$13)=0,10^12,OFFSET(CRONOPLE!$F$15,$M33-$A$15,BX$13)))</f>
        <v>6</v>
      </c>
      <c r="BY33" s="353" t="n">
        <f aca="true">IF(OR($D33&lt;&gt;"Serviço",AND(AUTOEVENTO="Manual",$M33=$A$15)),0,
         IF(OFFSET(CRONOPLE!$F$15,$M33-$A$15,BY$13)=0,10^12,OFFSET(CRONOPLE!$F$15,$M33-$A$15,BY$13)))</f>
        <v>7</v>
      </c>
      <c r="BZ33" s="353" t="n">
        <f aca="true">IF(OR($D33&lt;&gt;"Serviço",AND(AUTOEVENTO="Manual",$M33=$A$15)),0,
         IF(OFFSET(CRONOPLE!$F$15,$M33-$A$15,BZ$13)=0,10^12,OFFSET(CRONOPLE!$F$15,$M33-$A$15,BZ$13)))</f>
        <v>8</v>
      </c>
      <c r="CA33" s="353" t="n">
        <f aca="true">IF(OR($D33&lt;&gt;"Serviço",AND(AUTOEVENTO="Manual",$M33=$A$15)),0,
         IF(OFFSET(CRONOPLE!$F$15,$M33-$A$15,CA$13)=0,10^12,OFFSET(CRONOPLE!$F$15,$M33-$A$15,CA$13)))</f>
        <v>9</v>
      </c>
      <c r="CB33" s="353" t="n">
        <f aca="true">IF(OR($D33&lt;&gt;"Serviço",AND(AUTOEVENTO="Manual",$M33=$A$15)),0,
         IF(OFFSET(CRONOPLE!$F$15,$M33-$A$15,CB$13)=0,10^12,OFFSET(CRONOPLE!$F$15,$M33-$A$15,CB$13)))</f>
        <v>10</v>
      </c>
      <c r="CC33" s="353" t="n">
        <f aca="true">IF(OR($D33&lt;&gt;"Serviço",AND(AUTOEVENTO="Manual",$M33=$A$15)),0,
         IF(OFFSET(CRONOPLE!$F$15,$M33-$A$15,CC$13)=0,10^12,OFFSET(CRONOPLE!$F$15,$M33-$A$15,CC$13)))</f>
        <v>11</v>
      </c>
      <c r="CD33" s="353" t="n">
        <f aca="true">IF(OR($D33&lt;&gt;"Serviço",AND(AUTOEVENTO="Manual",$M33=$A$15)),0,
         IF(OFFSET(CRONOPLE!$F$15,$M33-$A$15,CD$13)=0,10^12,OFFSET(CRONOPLE!$F$15,$M33-$A$15,CD$13)))</f>
        <v>12</v>
      </c>
      <c r="CE33" s="353" t="n">
        <f aca="true">IF(OR($D33&lt;&gt;"Serviço",AND(AUTOEVENTO="Manual",$M33=$A$15)),0,
         IF(OFFSET(CRONOPLE!$F$15,$M33-$A$15,CE$13)=0,10^12,OFFSET(CRONOPLE!$F$15,$M33-$A$15,CE$13)))</f>
        <v>13</v>
      </c>
      <c r="CF33" s="353" t="n">
        <f aca="true">IF(OR($D33&lt;&gt;"Serviço",AND(AUTOEVENTO="Manual",$M33=$A$15)),0,
         IF(OFFSET(CRONOPLE!$F$15,$M33-$A$15,CF$13)=0,10^12,OFFSET(CRONOPLE!$F$15,$M33-$A$15,CF$13)))</f>
        <v>14</v>
      </c>
      <c r="CG33" s="353" t="n">
        <f aca="true">IF(OR($D33&lt;&gt;"Serviço",AND(AUTOEVENTO="Manual",$M33=$A$15)),0,
         IF(OFFSET(CRONOPLE!$F$15,$M33-$A$15,CG$13)=0,10^12,OFFSET(CRONOPLE!$F$15,$M33-$A$15,CG$13)))</f>
        <v>15</v>
      </c>
      <c r="CH33" s="353" t="n">
        <f aca="true">IF(OR($D33&lt;&gt;"Serviço",AND(AUTOEVENTO="Manual",$M33=$A$15)),0,
         IF(OFFSET(CRONOPLE!$F$15,$M33-$A$15,CH$13)=0,10^12,OFFSET(CRONOPLE!$F$15,$M33-$A$15,CH$13)))</f>
        <v>16</v>
      </c>
      <c r="CI33" s="353" t="n">
        <f aca="true">IF(OR($D33&lt;&gt;"Serviço",AND(AUTOEVENTO="Manual",$M33=$A$15)),0,
         IF(OFFSET(CRONOPLE!$F$15,$M33-$A$15,CI$13)=0,10^12,OFFSET(CRONOPLE!$F$15,$M33-$A$15,CI$13)))</f>
        <v>17</v>
      </c>
      <c r="CJ33" s="353" t="n">
        <f aca="true">IF(OR($D33&lt;&gt;"Serviço",AND(AUTOEVENTO="Manual",$M33=$A$15)),0,
         IF(OFFSET(CRONOPLE!$F$15,$M33-$A$15,CJ$13)=0,10^12,OFFSET(CRONOPLE!$F$15,$M33-$A$15,CJ$13)))</f>
        <v>18</v>
      </c>
      <c r="CK33" s="353" t="n">
        <f aca="true">IF(OR($D33&lt;&gt;"Serviço",AND(AUTOEVENTO="Manual",$M33=$A$15)),0,
         IF(OFFSET(CRONOPLE!$F$15,$M33-$A$15,CK$13)=0,10^12,OFFSET(CRONOPLE!$F$15,$M33-$A$15,CK$13)))</f>
        <v>19</v>
      </c>
      <c r="CL33" s="353" t="n">
        <f aca="true">IF(OR($D33&lt;&gt;"Serviço",AND(AUTOEVENTO="Manual",$M33=$A$15)),0,
         IF(OFFSET(CRONOPLE!$F$15,$M33-$A$15,CL$13)=0,10^12,OFFSET(CRONOPLE!$F$15,$M33-$A$15,CL$13)))</f>
        <v>20</v>
      </c>
      <c r="CM33" s="353" t="n">
        <f aca="true">IF(OR($D33&lt;&gt;"Serviço",AND(AUTOEVENTO="Manual",$M33=$A$15)),0,
         IF(OFFSET(CRONOPLE!$F$15,$M33-$A$15,CM$13)=0,10^12,OFFSET(CRONOPLE!$F$15,$M33-$A$15,CM$13)))</f>
        <v>21</v>
      </c>
      <c r="CN33" s="353" t="n">
        <f aca="true">IF(OR($D33&lt;&gt;"Serviço",AND(AUTOEVENTO="Manual",$M33=$A$15)),0,
         IF(OFFSET(CRONOPLE!$F$15,$M33-$A$15,CN$13)=0,10^12,OFFSET(CRONOPLE!$F$15,$M33-$A$15,CN$13)))</f>
        <v>22</v>
      </c>
      <c r="CO33" s="353" t="n">
        <f aca="true">IF(OR($D33&lt;&gt;"Serviço",AND(AUTOEVENTO="Manual",$M33=$A$15)),0,
         IF(OFFSET(CRONOPLE!$F$15,$M33-$A$15,CO$13)=0,10^12,OFFSET(CRONOPLE!$F$15,$M33-$A$15,CO$13)))</f>
        <v>23</v>
      </c>
      <c r="CP33" s="353" t="n">
        <f aca="true">IF(OR($D33&lt;&gt;"Serviço",AND(AUTOEVENTO="Manual",$M33=$A$15)),0,
         IF(OFFSET(CRONOPLE!$F$15,$M33-$A$15,CP$13)=0,10^12,OFFSET(CRONOPLE!$F$15,$M33-$A$15,CP$13)))</f>
        <v>24</v>
      </c>
      <c r="CQ33" s="353" t="n">
        <f aca="true">IF(OR($D33&lt;&gt;"Serviço",AND(AUTOEVENTO="Manual",$M33=$A$15)),0,
         IF(OFFSET(CRONOPLE!$F$15,$M33-$A$15,CQ$13)=0,10^12,OFFSET(CRONOPLE!$F$15,$M33-$A$15,CQ$13)))</f>
        <v>25</v>
      </c>
      <c r="CR33" s="353" t="n">
        <f aca="true">IF(OR($D33&lt;&gt;"Serviço",AND(AUTOEVENTO="Manual",$M33=$A$15)),0,
         IF(OFFSET(CRONOPLE!$F$15,$M33-$A$15,CR$13)=0,10^12,OFFSET(CRONOPLE!$F$15,$M33-$A$15,CR$13)))</f>
        <v>1000000000000</v>
      </c>
      <c r="CT33" s="354" t="n">
        <f aca="true">IF(OR($D33&lt;&gt;"Serviço",AND(AUTOEVENTO="Manual",$M33=$A$15),$M33&gt;(ROW(PLE.lastrow)-ROW(PLE.firstrow))),0,
           IF(OFFSET(PLE!$G$15,$M33-$A$15,CT$13)="",10^12,OFFSET(PLE!$G$15,$M33-$A$15,CT$13)))</f>
        <v>1000000000000</v>
      </c>
      <c r="CU33" s="354" t="n">
        <f aca="true">IF(OR($D33&lt;&gt;"Serviço",AND(AUTOEVENTO="Manual",$M33=$A$15),$M33&gt;(ROW(PLE.lastrow)-ROW(PLE.firstrow))),0,
           IF(OFFSET(PLE!$G$15,$M33-$A$15,CU$13)="",10^12,OFFSET(PLE!$G$15,$M33-$A$15,CU$13)))</f>
        <v>1000000000000</v>
      </c>
      <c r="CV33" s="354" t="n">
        <f aca="true">IF(OR($D33&lt;&gt;"Serviço",AND(AUTOEVENTO="Manual",$M33=$A$15),$M33&gt;(ROW(PLE.lastrow)-ROW(PLE.firstrow))),0,
           IF(OFFSET(PLE!$G$15,$M33-$A$15,CV$13)="",10^12,OFFSET(PLE!$G$15,$M33-$A$15,CV$13)))</f>
        <v>1000000000000</v>
      </c>
      <c r="CW33" s="354" t="n">
        <f aca="true">IF(OR($D33&lt;&gt;"Serviço",AND(AUTOEVENTO="Manual",$M33=$A$15),$M33&gt;(ROW(PLE.lastrow)-ROW(PLE.firstrow))),0,
           IF(OFFSET(PLE!$G$15,$M33-$A$15,CW$13)="",10^12,OFFSET(PLE!$G$15,$M33-$A$15,CW$13)))</f>
        <v>1000000000000</v>
      </c>
      <c r="CX33" s="354" t="n">
        <f aca="true">IF(OR($D33&lt;&gt;"Serviço",AND(AUTOEVENTO="Manual",$M33=$A$15),$M33&gt;(ROW(PLE.lastrow)-ROW(PLE.firstrow))),0,
           IF(OFFSET(PLE!$G$15,$M33-$A$15,CX$13)="",10^12,OFFSET(PLE!$G$15,$M33-$A$15,CX$13)))</f>
        <v>1000000000000</v>
      </c>
      <c r="CY33" s="354" t="n">
        <f aca="true">IF(OR($D33&lt;&gt;"Serviço",AND(AUTOEVENTO="Manual",$M33=$A$15),$M33&gt;(ROW(PLE.lastrow)-ROW(PLE.firstrow))),0,
           IF(OFFSET(PLE!$G$15,$M33-$A$15,CY$13)="",10^12,OFFSET(PLE!$G$15,$M33-$A$15,CY$13)))</f>
        <v>1000000000000</v>
      </c>
      <c r="CZ33" s="354" t="n">
        <f aca="true">IF(OR($D33&lt;&gt;"Serviço",AND(AUTOEVENTO="Manual",$M33=$A$15),$M33&gt;(ROW(PLE.lastrow)-ROW(PLE.firstrow))),0,
           IF(OFFSET(PLE!$G$15,$M33-$A$15,CZ$13)="",10^12,OFFSET(PLE!$G$15,$M33-$A$15,CZ$13)))</f>
        <v>1000000000000</v>
      </c>
      <c r="DA33" s="354" t="n">
        <f aca="true">IF(OR($D33&lt;&gt;"Serviço",AND(AUTOEVENTO="Manual",$M33=$A$15),$M33&gt;(ROW(PLE.lastrow)-ROW(PLE.firstrow))),0,
           IF(OFFSET(PLE!$G$15,$M33-$A$15,DA$13)="",10^12,OFFSET(PLE!$G$15,$M33-$A$15,DA$13)))</f>
        <v>1000000000000</v>
      </c>
      <c r="DB33" s="354" t="n">
        <f aca="true">IF(OR($D33&lt;&gt;"Serviço",AND(AUTOEVENTO="Manual",$M33=$A$15),$M33&gt;(ROW(PLE.lastrow)-ROW(PLE.firstrow))),0,
           IF(OFFSET(PLE!$G$15,$M33-$A$15,DB$13)="",10^12,OFFSET(PLE!$G$15,$M33-$A$15,DB$13)))</f>
        <v>1000000000000</v>
      </c>
      <c r="DC33" s="354" t="n">
        <f aca="true">IF(OR($D33&lt;&gt;"Serviço",AND(AUTOEVENTO="Manual",$M33=$A$15),$M33&gt;(ROW(PLE.lastrow)-ROW(PLE.firstrow))),0,
           IF(OFFSET(PLE!$G$15,$M33-$A$15,DC$13)="",10^12,OFFSET(PLE!$G$15,$M33-$A$15,DC$13)))</f>
        <v>1000000000000</v>
      </c>
      <c r="DD33" s="354" t="n">
        <f aca="true">IF(OR($D33&lt;&gt;"Serviço",AND(AUTOEVENTO="Manual",$M33=$A$15),$M33&gt;(ROW(PLE.lastrow)-ROW(PLE.firstrow))),0,
           IF(OFFSET(PLE!$G$15,$M33-$A$15,DD$13)="",10^12,OFFSET(PLE!$G$15,$M33-$A$15,DD$13)))</f>
        <v>1000000000000</v>
      </c>
      <c r="DE33" s="354" t="n">
        <f aca="true">IF(OR($D33&lt;&gt;"Serviço",AND(AUTOEVENTO="Manual",$M33=$A$15),$M33&gt;(ROW(PLE.lastrow)-ROW(PLE.firstrow))),0,
           IF(OFFSET(PLE!$G$15,$M33-$A$15,DE$13)="",10^12,OFFSET(PLE!$G$15,$M33-$A$15,DE$13)))</f>
        <v>1000000000000</v>
      </c>
      <c r="DF33" s="354" t="n">
        <f aca="true">IF(OR($D33&lt;&gt;"Serviço",AND(AUTOEVENTO="Manual",$M33=$A$15),$M33&gt;(ROW(PLE.lastrow)-ROW(PLE.firstrow))),0,
           IF(OFFSET(PLE!$G$15,$M33-$A$15,DF$13)="",10^12,OFFSET(PLE!$G$15,$M33-$A$15,DF$13)))</f>
        <v>1000000000000</v>
      </c>
      <c r="DG33" s="354" t="n">
        <f aca="true">IF(OR($D33&lt;&gt;"Serviço",AND(AUTOEVENTO="Manual",$M33=$A$15),$M33&gt;(ROW(PLE.lastrow)-ROW(PLE.firstrow))),0,
           IF(OFFSET(PLE!$G$15,$M33-$A$15,DG$13)="",10^12,OFFSET(PLE!$G$15,$M33-$A$15,DG$13)))</f>
        <v>1000000000000</v>
      </c>
      <c r="DH33" s="354" t="n">
        <f aca="true">IF(OR($D33&lt;&gt;"Serviço",AND(AUTOEVENTO="Manual",$M33=$A$15),$M33&gt;(ROW(PLE.lastrow)-ROW(PLE.firstrow))),0,
           IF(OFFSET(PLE!$G$15,$M33-$A$15,DH$13)="",10^12,OFFSET(PLE!$G$15,$M33-$A$15,DH$13)))</f>
        <v>1000000000000</v>
      </c>
      <c r="DI33" s="354" t="n">
        <f aca="true">IF(OR($D33&lt;&gt;"Serviço",AND(AUTOEVENTO="Manual",$M33=$A$15),$M33&gt;(ROW(PLE.lastrow)-ROW(PLE.firstrow))),0,
           IF(OFFSET(PLE!$G$15,$M33-$A$15,DI$13)="",10^12,OFFSET(PLE!$G$15,$M33-$A$15,DI$13)))</f>
        <v>1000000000000</v>
      </c>
      <c r="DJ33" s="354" t="n">
        <f aca="true">IF(OR($D33&lt;&gt;"Serviço",AND(AUTOEVENTO="Manual",$M33=$A$15),$M33&gt;(ROW(PLE.lastrow)-ROW(PLE.firstrow))),0,
           IF(OFFSET(PLE!$G$15,$M33-$A$15,DJ$13)="",10^12,OFFSET(PLE!$G$15,$M33-$A$15,DJ$13)))</f>
        <v>1000000000000</v>
      </c>
      <c r="DK33" s="354" t="n">
        <f aca="true">IF(OR($D33&lt;&gt;"Serviço",AND(AUTOEVENTO="Manual",$M33=$A$15),$M33&gt;(ROW(PLE.lastrow)-ROW(PLE.firstrow))),0,
           IF(OFFSET(PLE!$G$15,$M33-$A$15,DK$13)="",10^12,OFFSET(PLE!$G$15,$M33-$A$15,DK$13)))</f>
        <v>1000000000000</v>
      </c>
      <c r="DL33" s="354" t="n">
        <f aca="true">IF(OR($D33&lt;&gt;"Serviço",AND(AUTOEVENTO="Manual",$M33=$A$15),$M33&gt;(ROW(PLE.lastrow)-ROW(PLE.firstrow))),0,
           IF(OFFSET(PLE!$G$15,$M33-$A$15,DL$13)="",10^12,OFFSET(PLE!$G$15,$M33-$A$15,DL$13)))</f>
        <v>1000000000000</v>
      </c>
      <c r="DM33" s="354" t="n">
        <f aca="true">IF(OR($D33&lt;&gt;"Serviço",AND(AUTOEVENTO="Manual",$M33=$A$15),$M33&gt;(ROW(PLE.lastrow)-ROW(PLE.firstrow))),0,
           IF(OFFSET(PLE!$G$15,$M33-$A$15,DM$13)="",10^12,OFFSET(PLE!$G$15,$M33-$A$15,DM$13)))</f>
        <v>1000000000000</v>
      </c>
      <c r="DN33" s="354" t="n">
        <f aca="true">IF(OR($D33&lt;&gt;"Serviço",AND(AUTOEVENTO="Manual",$M33=$A$15),$M33&gt;(ROW(PLE.lastrow)-ROW(PLE.firstrow))),0,
           IF(OFFSET(PLE!$G$15,$M33-$A$15,DN$13)="",10^12,OFFSET(PLE!$G$15,$M33-$A$15,DN$13)))</f>
        <v>1000000000000</v>
      </c>
      <c r="DO33" s="354" t="n">
        <f aca="true">IF(OR($D33&lt;&gt;"Serviço",AND(AUTOEVENTO="Manual",$M33=$A$15),$M33&gt;(ROW(PLE.lastrow)-ROW(PLE.firstrow))),0,
           IF(OFFSET(PLE!$G$15,$M33-$A$15,DO$13)="",10^12,OFFSET(PLE!$G$15,$M33-$A$15,DO$13)))</f>
        <v>1000000000000</v>
      </c>
      <c r="DP33" s="354" t="n">
        <f aca="true">IF(OR($D33&lt;&gt;"Serviço",AND(AUTOEVENTO="Manual",$M33=$A$15),$M33&gt;(ROW(PLE.lastrow)-ROW(PLE.firstrow))),0,
           IF(OFFSET(PLE!$G$15,$M33-$A$15,DP$13)="",10^12,OFFSET(PLE!$G$15,$M33-$A$15,DP$13)))</f>
        <v>1000000000000</v>
      </c>
      <c r="DQ33" s="354" t="n">
        <f aca="true">IF(OR($D33&lt;&gt;"Serviço",AND(AUTOEVENTO="Manual",$M33=$A$15),$M33&gt;(ROW(PLE.lastrow)-ROW(PLE.firstrow))),0,
           IF(OFFSET(PLE!$G$15,$M33-$A$15,DQ$13)="",10^12,OFFSET(PLE!$G$15,$M33-$A$15,DQ$13)))</f>
        <v>1000000000000</v>
      </c>
      <c r="DR33" s="354" t="n">
        <f aca="true">IF(OR($D33&lt;&gt;"Serviço",AND(AUTOEVENTO="Manual",$M33=$A$15),$M33&gt;(ROW(PLE.lastrow)-ROW(PLE.firstrow))),0,
           IF(OFFSET(PLE!$G$15,$M33-$A$15,DR$13)="",10^12,OFFSET(PLE!$G$15,$M33-$A$15,DR$13)))</f>
        <v>1000000000000</v>
      </c>
      <c r="DS33" s="354" t="n">
        <f aca="true">IF(OR($D33&lt;&gt;"Serviço",AND(AUTOEVENTO="Manual",$M33=$A$15),$M33&gt;(ROW(PLE.lastrow)-ROW(PLE.firstrow))),0,
           IF(OFFSET(PLE!$G$15,$M33-$A$15,DS$13)="",10^12,OFFSET(PLE!$G$15,$M33-$A$15,DS$13)))</f>
        <v>1000000000000</v>
      </c>
    </row>
    <row r="34" customFormat="false" ht="23.85" hidden="false" customHeight="false" outlineLevel="0" collapsed="false">
      <c r="A34" s="50" t="str">
        <f aca="true">IFERROR(IF(AUTOEVENTO="Manual",IF(K34&lt;&gt;"",MIN(VALUE(LEFT(K34,FIND(".",K34)-1)),COUNTA(EVENTOS.Lista)),0),IF(OR($B34&gt;AUTOEVENTO,$B34="S",$B34=0),SUBSTITUTE(OFFSET($A34,-1,0),IF($D34="Serviço",".",""),""),ROW(A34)-ROW($A$15)&amp;".")),0)</f>
        <v>14</v>
      </c>
      <c r="B34" s="50" t="str">
        <f aca="true">OFFSET(ORÇAMENTO!C$15,ROW(B34)-ROW(B$15),0)</f>
        <v>S</v>
      </c>
      <c r="C34" s="50" t="str">
        <f aca="true">OFFSET(ORÇAMENTO!L$15,ROW(C34)-ROW(C$15),0)</f>
        <v>F</v>
      </c>
      <c r="D34" s="201" t="str">
        <f aca="true">OFFSET(ORÇAMENTO!N$15,ROW(D34)-ROW(D$15),0)</f>
        <v>Serviço</v>
      </c>
      <c r="E34" s="202" t="str">
        <f aca="true">OFFSET(ORÇAMENTO!O$15,ROW(E34)-ROW(E$15),0)</f>
        <v>1.5.5.</v>
      </c>
      <c r="F34" s="341" t="str">
        <f aca="true">OFFSET(ORÇAMENTO!R$15,ROW(F34)-ROW(F$15),0)</f>
        <v>ARMAÇÃO DE SAPATA ISOLADA, VIGA BALDRAME E SAPATA CORRIDA UTILIZANDO AÇO CA-60 DE 5 MM -MONTAGEM. AF_01/2024</v>
      </c>
      <c r="G34" s="342" t="str">
        <f aca="true">IF($D34&lt;&gt;"Serviço","",OFFSET(ORÇAMENTO!S$15,ROW(G34)-ROW(G$15),0))</f>
        <v>KG</v>
      </c>
      <c r="H34" s="207" t="n">
        <f aca="true">IF($D34&lt;&gt;"Serviço",0,IF(ACOMPANHAMENTO="BM",ROUND(OFFSET(ORÇAMENTO!AJ$15,ROW(H34)-ROW(H$15),0),15-13*ORÇAMENTO!$AF$7),SUMPRODUCT(($Q$1:$AQ$1=1)*ROUND($Q34:$AQ34,15-13*ORÇAMENTO!$AF$7))))</f>
        <v>510</v>
      </c>
      <c r="I34" s="343" t="s">
        <v>924</v>
      </c>
      <c r="J34" s="344" t="e">
        <f aca="false">IF(OR(B34&lt;&gt;"S",CÁLCULO.FrentesPreenchidas=0),"",IF(AND(ACOMPANHAMENTO="PLE",AUTOEVENTO="Manual",OR(H34&gt;0,ORÇAMENTO!AC34="QUANT."),OR(K34="",M34=0,N34="")),"►",IF(AND(ACOMPANHAMENTO="PLE",ORÇAMENTO!AC34="QUANT."),"►►",IF(AND(COUNTIF($P$11:$AQ$11,"▼")=0,H34&gt;0,I34=""),"◄",""))))</f>
        <v>#NAME?</v>
      </c>
      <c r="K34" s="345"/>
      <c r="L34" s="346" t="s">
        <v>876</v>
      </c>
      <c r="M34" s="347" t="n">
        <f aca="true">IF($D34&lt;&gt;"Serviço","",
          IF(AUTOEVENTO="manual",$A34,
                IF(ISERROR(MATCH($A34,$A$15:OFFSET($A34,-1,0),0)),MAX($M$15:OFFSET(M34,-1,0))+1,
                      INDEX($M$15:OFFSET(M34,-1,0),MATCH($A34,$A$15:OFFSET($A34,-1,0),0)))))</f>
        <v>3</v>
      </c>
      <c r="N34" s="348" t="str">
        <f aca="true">IF($D34&lt;&gt;"Serviço","",
         IF(AUTOEVENTO="Manual",
                IF($A34=0,"&lt;-- defina o número do agrupador",
                       OFFSET(EVENTOS!$D$15,$A34-$A$15,0)),
                OFFSET($F$15,$A34,0)))</f>
        <v>SAPATA</v>
      </c>
      <c r="O34" s="349"/>
      <c r="Q34" s="349" t="n">
        <v>20.4</v>
      </c>
      <c r="R34" s="350" t="n">
        <f aca="false">Q34</f>
        <v>20.4</v>
      </c>
      <c r="S34" s="350" t="n">
        <f aca="false">R34</f>
        <v>20.4</v>
      </c>
      <c r="T34" s="350" t="n">
        <f aca="false">S34</f>
        <v>20.4</v>
      </c>
      <c r="U34" s="350" t="n">
        <f aca="false">T34</f>
        <v>20.4</v>
      </c>
      <c r="V34" s="350" t="n">
        <f aca="false">U34</f>
        <v>20.4</v>
      </c>
      <c r="W34" s="350" t="n">
        <f aca="false">V34</f>
        <v>20.4</v>
      </c>
      <c r="X34" s="350" t="n">
        <f aca="false">W34</f>
        <v>20.4</v>
      </c>
      <c r="Y34" s="350" t="n">
        <f aca="false">X34</f>
        <v>20.4</v>
      </c>
      <c r="Z34" s="351" t="n">
        <f aca="false">Y34</f>
        <v>20.4</v>
      </c>
      <c r="AA34" s="350" t="n">
        <f aca="false">Z34</f>
        <v>20.4</v>
      </c>
      <c r="AB34" s="350" t="n">
        <f aca="false">AA34</f>
        <v>20.4</v>
      </c>
      <c r="AC34" s="350" t="n">
        <f aca="false">AB34</f>
        <v>20.4</v>
      </c>
      <c r="AD34" s="350" t="n">
        <f aca="false">AC34</f>
        <v>20.4</v>
      </c>
      <c r="AE34" s="350" t="n">
        <f aca="false">AD34</f>
        <v>20.4</v>
      </c>
      <c r="AF34" s="350" t="n">
        <f aca="false">AE34</f>
        <v>20.4</v>
      </c>
      <c r="AG34" s="350" t="n">
        <f aca="false">AF34</f>
        <v>20.4</v>
      </c>
      <c r="AH34" s="351" t="n">
        <f aca="false">AG34</f>
        <v>20.4</v>
      </c>
      <c r="AI34" s="350" t="n">
        <f aca="false">AH34</f>
        <v>20.4</v>
      </c>
      <c r="AJ34" s="350" t="n">
        <f aca="false">AI34</f>
        <v>20.4</v>
      </c>
      <c r="AK34" s="350" t="n">
        <f aca="false">AJ34</f>
        <v>20.4</v>
      </c>
      <c r="AL34" s="350" t="n">
        <f aca="false">AK34</f>
        <v>20.4</v>
      </c>
      <c r="AM34" s="350" t="n">
        <f aca="false">AL34</f>
        <v>20.4</v>
      </c>
      <c r="AN34" s="350" t="n">
        <f aca="false">AM34</f>
        <v>20.4</v>
      </c>
      <c r="AO34" s="350" t="n">
        <f aca="false">AN34</f>
        <v>20.4</v>
      </c>
      <c r="AP34" s="351" t="n">
        <v>4.1</v>
      </c>
      <c r="AR34" s="352" t="n">
        <f aca="true">IF(AND($D34="Serviço",AR$12&lt;&gt;0,$H34&gt;0,OR(AUTOEVENTO&lt;&gt;"manual",$M34&lt;&gt;$A$15)),
        IF(Import.TipoArredondamento&lt;&gt;"TransfereGOV",
              ROUND(OFFSET($P34,0,AR$13),15-13*ORÇAMENTO!$AF$7)/$H34*OFFSET(ORÇAMENTO!$X$15,ROW(AR34)-ROW(AR$15),0),
              ROUND(ROUND(OFFSET($P34,0,AR$13),15-13*ORÇAMENTO!$AF$7)*OFFSET(ORÇAMENTO!$W$15,ROW(AR34)-ROW(AR$15),0),15-13*ORÇAMENTO!$AF$11)),
         0)</f>
        <v>438.8</v>
      </c>
      <c r="AS34" s="352" t="n">
        <f aca="true">IF(AND($D34="Serviço",AS$12&lt;&gt;0,$H34&gt;0,OR(AUTOEVENTO&lt;&gt;"manual",$M34&lt;&gt;$A$15)),
        IF(Import.TipoArredondamento&lt;&gt;"TransfereGOV",
              ROUND(OFFSET($P34,0,AS$13),15-13*ORÇAMENTO!$AF$7)/$H34*OFFSET(ORÇAMENTO!$X$15,ROW(AS34)-ROW(AS$15),0),
              ROUND(ROUND(OFFSET($P34,0,AS$13),15-13*ORÇAMENTO!$AF$7)*OFFSET(ORÇAMENTO!$W$15,ROW(AS34)-ROW(AS$15),0),15-13*ORÇAMENTO!$AF$11)),
         0)</f>
        <v>438.8</v>
      </c>
      <c r="AT34" s="352" t="n">
        <f aca="true">IF(AND($D34="Serviço",AT$12&lt;&gt;0,$H34&gt;0,OR(AUTOEVENTO&lt;&gt;"manual",$M34&lt;&gt;$A$15)),
        IF(Import.TipoArredondamento&lt;&gt;"TransfereGOV",
              ROUND(OFFSET($P34,0,AT$13),15-13*ORÇAMENTO!$AF$7)/$H34*OFFSET(ORÇAMENTO!$X$15,ROW(AT34)-ROW(AT$15),0),
              ROUND(ROUND(OFFSET($P34,0,AT$13),15-13*ORÇAMENTO!$AF$7)*OFFSET(ORÇAMENTO!$W$15,ROW(AT34)-ROW(AT$15),0),15-13*ORÇAMENTO!$AF$11)),
         0)</f>
        <v>438.8</v>
      </c>
      <c r="AU34" s="352" t="n">
        <f aca="true">IF(AND($D34="Serviço",AU$12&lt;&gt;0,$H34&gt;0,OR(AUTOEVENTO&lt;&gt;"manual",$M34&lt;&gt;$A$15)),
        IF(Import.TipoArredondamento&lt;&gt;"TransfereGOV",
              ROUND(OFFSET($P34,0,AU$13),15-13*ORÇAMENTO!$AF$7)/$H34*OFFSET(ORÇAMENTO!$X$15,ROW(AU34)-ROW(AU$15),0),
              ROUND(ROUND(OFFSET($P34,0,AU$13),15-13*ORÇAMENTO!$AF$7)*OFFSET(ORÇAMENTO!$W$15,ROW(AU34)-ROW(AU$15),0),15-13*ORÇAMENTO!$AF$11)),
         0)</f>
        <v>438.8</v>
      </c>
      <c r="AV34" s="352" t="n">
        <f aca="true">IF(AND($D34="Serviço",AV$12&lt;&gt;0,$H34&gt;0,OR(AUTOEVENTO&lt;&gt;"manual",$M34&lt;&gt;$A$15)),
        IF(Import.TipoArredondamento&lt;&gt;"TransfereGOV",
              ROUND(OFFSET($P34,0,AV$13),15-13*ORÇAMENTO!$AF$7)/$H34*OFFSET(ORÇAMENTO!$X$15,ROW(AV34)-ROW(AV$15),0),
              ROUND(ROUND(OFFSET($P34,0,AV$13),15-13*ORÇAMENTO!$AF$7)*OFFSET(ORÇAMENTO!$W$15,ROW(AV34)-ROW(AV$15),0),15-13*ORÇAMENTO!$AF$11)),
         0)</f>
        <v>438.8</v>
      </c>
      <c r="AW34" s="352" t="n">
        <f aca="true">IF(AND($D34="Serviço",AW$12&lt;&gt;0,$H34&gt;0,OR(AUTOEVENTO&lt;&gt;"manual",$M34&lt;&gt;$A$15)),
        IF(Import.TipoArredondamento&lt;&gt;"TransfereGOV",
              ROUND(OFFSET($P34,0,AW$13),15-13*ORÇAMENTO!$AF$7)/$H34*OFFSET(ORÇAMENTO!$X$15,ROW(AW34)-ROW(AW$15),0),
              ROUND(ROUND(OFFSET($P34,0,AW$13),15-13*ORÇAMENTO!$AF$7)*OFFSET(ORÇAMENTO!$W$15,ROW(AW34)-ROW(AW$15),0),15-13*ORÇAMENTO!$AF$11)),
         0)</f>
        <v>438.8</v>
      </c>
      <c r="AX34" s="352" t="n">
        <f aca="true">IF(AND($D34="Serviço",AX$12&lt;&gt;0,$H34&gt;0,OR(AUTOEVENTO&lt;&gt;"manual",$M34&lt;&gt;$A$15)),
        IF(Import.TipoArredondamento&lt;&gt;"TransfereGOV",
              ROUND(OFFSET($P34,0,AX$13),15-13*ORÇAMENTO!$AF$7)/$H34*OFFSET(ORÇAMENTO!$X$15,ROW(AX34)-ROW(AX$15),0),
              ROUND(ROUND(OFFSET($P34,0,AX$13),15-13*ORÇAMENTO!$AF$7)*OFFSET(ORÇAMENTO!$W$15,ROW(AX34)-ROW(AX$15),0),15-13*ORÇAMENTO!$AF$11)),
         0)</f>
        <v>438.8</v>
      </c>
      <c r="AY34" s="352" t="n">
        <f aca="true">IF(AND($D34="Serviço",AY$12&lt;&gt;0,$H34&gt;0,OR(AUTOEVENTO&lt;&gt;"manual",$M34&lt;&gt;$A$15)),
        IF(Import.TipoArredondamento&lt;&gt;"TransfereGOV",
              ROUND(OFFSET($P34,0,AY$13),15-13*ORÇAMENTO!$AF$7)/$H34*OFFSET(ORÇAMENTO!$X$15,ROW(AY34)-ROW(AY$15),0),
              ROUND(ROUND(OFFSET($P34,0,AY$13),15-13*ORÇAMENTO!$AF$7)*OFFSET(ORÇAMENTO!$W$15,ROW(AY34)-ROW(AY$15),0),15-13*ORÇAMENTO!$AF$11)),
         0)</f>
        <v>438.8</v>
      </c>
      <c r="AZ34" s="352" t="n">
        <f aca="true">IF(AND($D34="Serviço",AZ$12&lt;&gt;0,$H34&gt;0,OR(AUTOEVENTO&lt;&gt;"manual",$M34&lt;&gt;$A$15)),
        IF(Import.TipoArredondamento&lt;&gt;"TransfereGOV",
              ROUND(OFFSET($P34,0,AZ$13),15-13*ORÇAMENTO!$AF$7)/$H34*OFFSET(ORÇAMENTO!$X$15,ROW(AZ34)-ROW(AZ$15),0),
              ROUND(ROUND(OFFSET($P34,0,AZ$13),15-13*ORÇAMENTO!$AF$7)*OFFSET(ORÇAMENTO!$W$15,ROW(AZ34)-ROW(AZ$15),0),15-13*ORÇAMENTO!$AF$11)),
         0)</f>
        <v>438.8</v>
      </c>
      <c r="BA34" s="352" t="n">
        <f aca="true">IF(AND($D34="Serviço",BA$12&lt;&gt;0,$H34&gt;0,OR(AUTOEVENTO&lt;&gt;"manual",$M34&lt;&gt;$A$15)),
        IF(Import.TipoArredondamento&lt;&gt;"TransfereGOV",
              ROUND(OFFSET($P34,0,BA$13),15-13*ORÇAMENTO!$AF$7)/$H34*OFFSET(ORÇAMENTO!$X$15,ROW(BA34)-ROW(BA$15),0),
              ROUND(ROUND(OFFSET($P34,0,BA$13),15-13*ORÇAMENTO!$AF$7)*OFFSET(ORÇAMENTO!$W$15,ROW(BA34)-ROW(BA$15),0),15-13*ORÇAMENTO!$AF$11)),
         0)</f>
        <v>438.8</v>
      </c>
      <c r="BB34" s="352" t="n">
        <f aca="true">IF(AND($D34="Serviço",BB$12&lt;&gt;0,$H34&gt;0,OR(AUTOEVENTO&lt;&gt;"manual",$M34&lt;&gt;$A$15)),
        IF(Import.TipoArredondamento&lt;&gt;"TransfereGOV",
              ROUND(OFFSET($P34,0,BB$13),15-13*ORÇAMENTO!$AF$7)/$H34*OFFSET(ORÇAMENTO!$X$15,ROW(BB34)-ROW(BB$15),0),
              ROUND(ROUND(OFFSET($P34,0,BB$13),15-13*ORÇAMENTO!$AF$7)*OFFSET(ORÇAMENTO!$W$15,ROW(BB34)-ROW(BB$15),0),15-13*ORÇAMENTO!$AF$11)),
         0)</f>
        <v>438.8</v>
      </c>
      <c r="BC34" s="352" t="n">
        <f aca="true">IF(AND($D34="Serviço",BC$12&lt;&gt;0,$H34&gt;0,OR(AUTOEVENTO&lt;&gt;"manual",$M34&lt;&gt;$A$15)),
        IF(Import.TipoArredondamento&lt;&gt;"TransfereGOV",
              ROUND(OFFSET($P34,0,BC$13),15-13*ORÇAMENTO!$AF$7)/$H34*OFFSET(ORÇAMENTO!$X$15,ROW(BC34)-ROW(BC$15),0),
              ROUND(ROUND(OFFSET($P34,0,BC$13),15-13*ORÇAMENTO!$AF$7)*OFFSET(ORÇAMENTO!$W$15,ROW(BC34)-ROW(BC$15),0),15-13*ORÇAMENTO!$AF$11)),
         0)</f>
        <v>438.8</v>
      </c>
      <c r="BD34" s="352" t="n">
        <f aca="true">IF(AND($D34="Serviço",BD$12&lt;&gt;0,$H34&gt;0,OR(AUTOEVENTO&lt;&gt;"manual",$M34&lt;&gt;$A$15)),
        IF(Import.TipoArredondamento&lt;&gt;"TransfereGOV",
              ROUND(OFFSET($P34,0,BD$13),15-13*ORÇAMENTO!$AF$7)/$H34*OFFSET(ORÇAMENTO!$X$15,ROW(BD34)-ROW(BD$15),0),
              ROUND(ROUND(OFFSET($P34,0,BD$13),15-13*ORÇAMENTO!$AF$7)*OFFSET(ORÇAMENTO!$W$15,ROW(BD34)-ROW(BD$15),0),15-13*ORÇAMENTO!$AF$11)),
         0)</f>
        <v>438.8</v>
      </c>
      <c r="BE34" s="352" t="n">
        <f aca="true">IF(AND($D34="Serviço",BE$12&lt;&gt;0,$H34&gt;0,OR(AUTOEVENTO&lt;&gt;"manual",$M34&lt;&gt;$A$15)),
        IF(Import.TipoArredondamento&lt;&gt;"TransfereGOV",
              ROUND(OFFSET($P34,0,BE$13),15-13*ORÇAMENTO!$AF$7)/$H34*OFFSET(ORÇAMENTO!$X$15,ROW(BE34)-ROW(BE$15),0),
              ROUND(ROUND(OFFSET($P34,0,BE$13),15-13*ORÇAMENTO!$AF$7)*OFFSET(ORÇAMENTO!$W$15,ROW(BE34)-ROW(BE$15),0),15-13*ORÇAMENTO!$AF$11)),
         0)</f>
        <v>438.8</v>
      </c>
      <c r="BF34" s="352" t="n">
        <f aca="true">IF(AND($D34="Serviço",BF$12&lt;&gt;0,$H34&gt;0,OR(AUTOEVENTO&lt;&gt;"manual",$M34&lt;&gt;$A$15)),
        IF(Import.TipoArredondamento&lt;&gt;"TransfereGOV",
              ROUND(OFFSET($P34,0,BF$13),15-13*ORÇAMENTO!$AF$7)/$H34*OFFSET(ORÇAMENTO!$X$15,ROW(BF34)-ROW(BF$15),0),
              ROUND(ROUND(OFFSET($P34,0,BF$13),15-13*ORÇAMENTO!$AF$7)*OFFSET(ORÇAMENTO!$W$15,ROW(BF34)-ROW(BF$15),0),15-13*ORÇAMENTO!$AF$11)),
         0)</f>
        <v>438.8</v>
      </c>
      <c r="BG34" s="352" t="n">
        <f aca="true">IF(AND($D34="Serviço",BG$12&lt;&gt;0,$H34&gt;0,OR(AUTOEVENTO&lt;&gt;"manual",$M34&lt;&gt;$A$15)),
        IF(Import.TipoArredondamento&lt;&gt;"TransfereGOV",
              ROUND(OFFSET($P34,0,BG$13),15-13*ORÇAMENTO!$AF$7)/$H34*OFFSET(ORÇAMENTO!$X$15,ROW(BG34)-ROW(BG$15),0),
              ROUND(ROUND(OFFSET($P34,0,BG$13),15-13*ORÇAMENTO!$AF$7)*OFFSET(ORÇAMENTO!$W$15,ROW(BG34)-ROW(BG$15),0),15-13*ORÇAMENTO!$AF$11)),
         0)</f>
        <v>438.8</v>
      </c>
      <c r="BH34" s="352" t="n">
        <f aca="true">IF(AND($D34="Serviço",BH$12&lt;&gt;0,$H34&gt;0,OR(AUTOEVENTO&lt;&gt;"manual",$M34&lt;&gt;$A$15)),
        IF(Import.TipoArredondamento&lt;&gt;"TransfereGOV",
              ROUND(OFFSET($P34,0,BH$13),15-13*ORÇAMENTO!$AF$7)/$H34*OFFSET(ORÇAMENTO!$X$15,ROW(BH34)-ROW(BH$15),0),
              ROUND(ROUND(OFFSET($P34,0,BH$13),15-13*ORÇAMENTO!$AF$7)*OFFSET(ORÇAMENTO!$W$15,ROW(BH34)-ROW(BH$15),0),15-13*ORÇAMENTO!$AF$11)),
         0)</f>
        <v>438.8</v>
      </c>
      <c r="BI34" s="352" t="n">
        <f aca="true">IF(AND($D34="Serviço",BI$12&lt;&gt;0,$H34&gt;0,OR(AUTOEVENTO&lt;&gt;"manual",$M34&lt;&gt;$A$15)),
        IF(Import.TipoArredondamento&lt;&gt;"TransfereGOV",
              ROUND(OFFSET($P34,0,BI$13),15-13*ORÇAMENTO!$AF$7)/$H34*OFFSET(ORÇAMENTO!$X$15,ROW(BI34)-ROW(BI$15),0),
              ROUND(ROUND(OFFSET($P34,0,BI$13),15-13*ORÇAMENTO!$AF$7)*OFFSET(ORÇAMENTO!$W$15,ROW(BI34)-ROW(BI$15),0),15-13*ORÇAMENTO!$AF$11)),
         0)</f>
        <v>438.8</v>
      </c>
      <c r="BJ34" s="352" t="n">
        <f aca="true">IF(AND($D34="Serviço",BJ$12&lt;&gt;0,$H34&gt;0,OR(AUTOEVENTO&lt;&gt;"manual",$M34&lt;&gt;$A$15)),
        IF(Import.TipoArredondamento&lt;&gt;"TransfereGOV",
              ROUND(OFFSET($P34,0,BJ$13),15-13*ORÇAMENTO!$AF$7)/$H34*OFFSET(ORÇAMENTO!$X$15,ROW(BJ34)-ROW(BJ$15),0),
              ROUND(ROUND(OFFSET($P34,0,BJ$13),15-13*ORÇAMENTO!$AF$7)*OFFSET(ORÇAMENTO!$W$15,ROW(BJ34)-ROW(BJ$15),0),15-13*ORÇAMENTO!$AF$11)),
         0)</f>
        <v>438.8</v>
      </c>
      <c r="BK34" s="352" t="n">
        <f aca="true">IF(AND($D34="Serviço",BK$12&lt;&gt;0,$H34&gt;0,OR(AUTOEVENTO&lt;&gt;"manual",$M34&lt;&gt;$A$15)),
        IF(Import.TipoArredondamento&lt;&gt;"TransfereGOV",
              ROUND(OFFSET($P34,0,BK$13),15-13*ORÇAMENTO!$AF$7)/$H34*OFFSET(ORÇAMENTO!$X$15,ROW(BK34)-ROW(BK$15),0),
              ROUND(ROUND(OFFSET($P34,0,BK$13),15-13*ORÇAMENTO!$AF$7)*OFFSET(ORÇAMENTO!$W$15,ROW(BK34)-ROW(BK$15),0),15-13*ORÇAMENTO!$AF$11)),
         0)</f>
        <v>438.8</v>
      </c>
      <c r="BL34" s="352" t="n">
        <f aca="true">IF(AND($D34="Serviço",BL$12&lt;&gt;0,$H34&gt;0,OR(AUTOEVENTO&lt;&gt;"manual",$M34&lt;&gt;$A$15)),
        IF(Import.TipoArredondamento&lt;&gt;"TransfereGOV",
              ROUND(OFFSET($P34,0,BL$13),15-13*ORÇAMENTO!$AF$7)/$H34*OFFSET(ORÇAMENTO!$X$15,ROW(BL34)-ROW(BL$15),0),
              ROUND(ROUND(OFFSET($P34,0,BL$13),15-13*ORÇAMENTO!$AF$7)*OFFSET(ORÇAMENTO!$W$15,ROW(BL34)-ROW(BL$15),0),15-13*ORÇAMENTO!$AF$11)),
         0)</f>
        <v>438.8</v>
      </c>
      <c r="BM34" s="352" t="n">
        <f aca="true">IF(AND($D34="Serviço",BM$12&lt;&gt;0,$H34&gt;0,OR(AUTOEVENTO&lt;&gt;"manual",$M34&lt;&gt;$A$15)),
        IF(Import.TipoArredondamento&lt;&gt;"TransfereGOV",
              ROUND(OFFSET($P34,0,BM$13),15-13*ORÇAMENTO!$AF$7)/$H34*OFFSET(ORÇAMENTO!$X$15,ROW(BM34)-ROW(BM$15),0),
              ROUND(ROUND(OFFSET($P34,0,BM$13),15-13*ORÇAMENTO!$AF$7)*OFFSET(ORÇAMENTO!$W$15,ROW(BM34)-ROW(BM$15),0),15-13*ORÇAMENTO!$AF$11)),
         0)</f>
        <v>438.8</v>
      </c>
      <c r="BN34" s="352" t="n">
        <f aca="true">IF(AND($D34="Serviço",BN$12&lt;&gt;0,$H34&gt;0,OR(AUTOEVENTO&lt;&gt;"manual",$M34&lt;&gt;$A$15)),
        IF(Import.TipoArredondamento&lt;&gt;"TransfereGOV",
              ROUND(OFFSET($P34,0,BN$13),15-13*ORÇAMENTO!$AF$7)/$H34*OFFSET(ORÇAMENTO!$X$15,ROW(BN34)-ROW(BN$15),0),
              ROUND(ROUND(OFFSET($P34,0,BN$13),15-13*ORÇAMENTO!$AF$7)*OFFSET(ORÇAMENTO!$W$15,ROW(BN34)-ROW(BN$15),0),15-13*ORÇAMENTO!$AF$11)),
         0)</f>
        <v>438.8</v>
      </c>
      <c r="BO34" s="352" t="n">
        <f aca="true">IF(AND($D34="Serviço",BO$12&lt;&gt;0,$H34&gt;0,OR(AUTOEVENTO&lt;&gt;"manual",$M34&lt;&gt;$A$15)),
        IF(Import.TipoArredondamento&lt;&gt;"TransfereGOV",
              ROUND(OFFSET($P34,0,BO$13),15-13*ORÇAMENTO!$AF$7)/$H34*OFFSET(ORÇAMENTO!$X$15,ROW(BO34)-ROW(BO$15),0),
              ROUND(ROUND(OFFSET($P34,0,BO$13),15-13*ORÇAMENTO!$AF$7)*OFFSET(ORÇAMENTO!$W$15,ROW(BO34)-ROW(BO$15),0),15-13*ORÇAMENTO!$AF$11)),
         0)</f>
        <v>438.8</v>
      </c>
      <c r="BP34" s="352" t="n">
        <f aca="true">IF(AND($D34="Serviço",BP$12&lt;&gt;0,$H34&gt;0,OR(AUTOEVENTO&lt;&gt;"manual",$M34&lt;&gt;$A$15)),
        IF(Import.TipoArredondamento&lt;&gt;"TransfereGOV",
              ROUND(OFFSET($P34,0,BP$13),15-13*ORÇAMENTO!$AF$7)/$H34*OFFSET(ORÇAMENTO!$X$15,ROW(BP34)-ROW(BP$15),0),
              ROUND(ROUND(OFFSET($P34,0,BP$13),15-13*ORÇAMENTO!$AF$7)*OFFSET(ORÇAMENTO!$W$15,ROW(BP34)-ROW(BP$15),0),15-13*ORÇAMENTO!$AF$11)),
         0)</f>
        <v>438.8</v>
      </c>
      <c r="BQ34" s="352" t="n">
        <f aca="true">IF(AND($D34="Serviço",BQ$12&lt;&gt;0,$H34&gt;0,OR(AUTOEVENTO&lt;&gt;"manual",$M34&lt;&gt;$A$15)),
        IF(Import.TipoArredondamento&lt;&gt;"TransfereGOV",
              ROUND(OFFSET($P34,0,BQ$13),15-13*ORÇAMENTO!$AF$7)/$H34*OFFSET(ORÇAMENTO!$X$15,ROW(BQ34)-ROW(BQ$15),0),
              ROUND(ROUND(OFFSET($P34,0,BQ$13),15-13*ORÇAMENTO!$AF$7)*OFFSET(ORÇAMENTO!$W$15,ROW(BQ34)-ROW(BQ$15),0),15-13*ORÇAMENTO!$AF$11)),
         0)</f>
        <v>0</v>
      </c>
      <c r="BS34" s="353" t="n">
        <f aca="true">IF(OR($D34&lt;&gt;"Serviço",AND(AUTOEVENTO="Manual",$M34=$A$15)),0,
         IF(OFFSET(CRONOPLE!$F$15,$M34-$A$15,BS$13)=0,10^12,OFFSET(CRONOPLE!$F$15,$M34-$A$15,BS$13)))</f>
        <v>1</v>
      </c>
      <c r="BT34" s="353" t="n">
        <f aca="true">IF(OR($D34&lt;&gt;"Serviço",AND(AUTOEVENTO="Manual",$M34=$A$15)),0,
         IF(OFFSET(CRONOPLE!$F$15,$M34-$A$15,BT$13)=0,10^12,OFFSET(CRONOPLE!$F$15,$M34-$A$15,BT$13)))</f>
        <v>2</v>
      </c>
      <c r="BU34" s="353" t="n">
        <f aca="true">IF(OR($D34&lt;&gt;"Serviço",AND(AUTOEVENTO="Manual",$M34=$A$15)),0,
         IF(OFFSET(CRONOPLE!$F$15,$M34-$A$15,BU$13)=0,10^12,OFFSET(CRONOPLE!$F$15,$M34-$A$15,BU$13)))</f>
        <v>3</v>
      </c>
      <c r="BV34" s="353" t="n">
        <f aca="true">IF(OR($D34&lt;&gt;"Serviço",AND(AUTOEVENTO="Manual",$M34=$A$15)),0,
         IF(OFFSET(CRONOPLE!$F$15,$M34-$A$15,BV$13)=0,10^12,OFFSET(CRONOPLE!$F$15,$M34-$A$15,BV$13)))</f>
        <v>4</v>
      </c>
      <c r="BW34" s="353" t="n">
        <f aca="true">IF(OR($D34&lt;&gt;"Serviço",AND(AUTOEVENTO="Manual",$M34=$A$15)),0,
         IF(OFFSET(CRONOPLE!$F$15,$M34-$A$15,BW$13)=0,10^12,OFFSET(CRONOPLE!$F$15,$M34-$A$15,BW$13)))</f>
        <v>5</v>
      </c>
      <c r="BX34" s="353" t="n">
        <f aca="true">IF(OR($D34&lt;&gt;"Serviço",AND(AUTOEVENTO="Manual",$M34=$A$15)),0,
         IF(OFFSET(CRONOPLE!$F$15,$M34-$A$15,BX$13)=0,10^12,OFFSET(CRONOPLE!$F$15,$M34-$A$15,BX$13)))</f>
        <v>6</v>
      </c>
      <c r="BY34" s="353" t="n">
        <f aca="true">IF(OR($D34&lt;&gt;"Serviço",AND(AUTOEVENTO="Manual",$M34=$A$15)),0,
         IF(OFFSET(CRONOPLE!$F$15,$M34-$A$15,BY$13)=0,10^12,OFFSET(CRONOPLE!$F$15,$M34-$A$15,BY$13)))</f>
        <v>7</v>
      </c>
      <c r="BZ34" s="353" t="n">
        <f aca="true">IF(OR($D34&lt;&gt;"Serviço",AND(AUTOEVENTO="Manual",$M34=$A$15)),0,
         IF(OFFSET(CRONOPLE!$F$15,$M34-$A$15,BZ$13)=0,10^12,OFFSET(CRONOPLE!$F$15,$M34-$A$15,BZ$13)))</f>
        <v>8</v>
      </c>
      <c r="CA34" s="353" t="n">
        <f aca="true">IF(OR($D34&lt;&gt;"Serviço",AND(AUTOEVENTO="Manual",$M34=$A$15)),0,
         IF(OFFSET(CRONOPLE!$F$15,$M34-$A$15,CA$13)=0,10^12,OFFSET(CRONOPLE!$F$15,$M34-$A$15,CA$13)))</f>
        <v>9</v>
      </c>
      <c r="CB34" s="353" t="n">
        <f aca="true">IF(OR($D34&lt;&gt;"Serviço",AND(AUTOEVENTO="Manual",$M34=$A$15)),0,
         IF(OFFSET(CRONOPLE!$F$15,$M34-$A$15,CB$13)=0,10^12,OFFSET(CRONOPLE!$F$15,$M34-$A$15,CB$13)))</f>
        <v>10</v>
      </c>
      <c r="CC34" s="353" t="n">
        <f aca="true">IF(OR($D34&lt;&gt;"Serviço",AND(AUTOEVENTO="Manual",$M34=$A$15)),0,
         IF(OFFSET(CRONOPLE!$F$15,$M34-$A$15,CC$13)=0,10^12,OFFSET(CRONOPLE!$F$15,$M34-$A$15,CC$13)))</f>
        <v>11</v>
      </c>
      <c r="CD34" s="353" t="n">
        <f aca="true">IF(OR($D34&lt;&gt;"Serviço",AND(AUTOEVENTO="Manual",$M34=$A$15)),0,
         IF(OFFSET(CRONOPLE!$F$15,$M34-$A$15,CD$13)=0,10^12,OFFSET(CRONOPLE!$F$15,$M34-$A$15,CD$13)))</f>
        <v>12</v>
      </c>
      <c r="CE34" s="353" t="n">
        <f aca="true">IF(OR($D34&lt;&gt;"Serviço",AND(AUTOEVENTO="Manual",$M34=$A$15)),0,
         IF(OFFSET(CRONOPLE!$F$15,$M34-$A$15,CE$13)=0,10^12,OFFSET(CRONOPLE!$F$15,$M34-$A$15,CE$13)))</f>
        <v>13</v>
      </c>
      <c r="CF34" s="353" t="n">
        <f aca="true">IF(OR($D34&lt;&gt;"Serviço",AND(AUTOEVENTO="Manual",$M34=$A$15)),0,
         IF(OFFSET(CRONOPLE!$F$15,$M34-$A$15,CF$13)=0,10^12,OFFSET(CRONOPLE!$F$15,$M34-$A$15,CF$13)))</f>
        <v>14</v>
      </c>
      <c r="CG34" s="353" t="n">
        <f aca="true">IF(OR($D34&lt;&gt;"Serviço",AND(AUTOEVENTO="Manual",$M34=$A$15)),0,
         IF(OFFSET(CRONOPLE!$F$15,$M34-$A$15,CG$13)=0,10^12,OFFSET(CRONOPLE!$F$15,$M34-$A$15,CG$13)))</f>
        <v>15</v>
      </c>
      <c r="CH34" s="353" t="n">
        <f aca="true">IF(OR($D34&lt;&gt;"Serviço",AND(AUTOEVENTO="Manual",$M34=$A$15)),0,
         IF(OFFSET(CRONOPLE!$F$15,$M34-$A$15,CH$13)=0,10^12,OFFSET(CRONOPLE!$F$15,$M34-$A$15,CH$13)))</f>
        <v>16</v>
      </c>
      <c r="CI34" s="353" t="n">
        <f aca="true">IF(OR($D34&lt;&gt;"Serviço",AND(AUTOEVENTO="Manual",$M34=$A$15)),0,
         IF(OFFSET(CRONOPLE!$F$15,$M34-$A$15,CI$13)=0,10^12,OFFSET(CRONOPLE!$F$15,$M34-$A$15,CI$13)))</f>
        <v>17</v>
      </c>
      <c r="CJ34" s="353" t="n">
        <f aca="true">IF(OR($D34&lt;&gt;"Serviço",AND(AUTOEVENTO="Manual",$M34=$A$15)),0,
         IF(OFFSET(CRONOPLE!$F$15,$M34-$A$15,CJ$13)=0,10^12,OFFSET(CRONOPLE!$F$15,$M34-$A$15,CJ$13)))</f>
        <v>18</v>
      </c>
      <c r="CK34" s="353" t="n">
        <f aca="true">IF(OR($D34&lt;&gt;"Serviço",AND(AUTOEVENTO="Manual",$M34=$A$15)),0,
         IF(OFFSET(CRONOPLE!$F$15,$M34-$A$15,CK$13)=0,10^12,OFFSET(CRONOPLE!$F$15,$M34-$A$15,CK$13)))</f>
        <v>19</v>
      </c>
      <c r="CL34" s="353" t="n">
        <f aca="true">IF(OR($D34&lt;&gt;"Serviço",AND(AUTOEVENTO="Manual",$M34=$A$15)),0,
         IF(OFFSET(CRONOPLE!$F$15,$M34-$A$15,CL$13)=0,10^12,OFFSET(CRONOPLE!$F$15,$M34-$A$15,CL$13)))</f>
        <v>20</v>
      </c>
      <c r="CM34" s="353" t="n">
        <f aca="true">IF(OR($D34&lt;&gt;"Serviço",AND(AUTOEVENTO="Manual",$M34=$A$15)),0,
         IF(OFFSET(CRONOPLE!$F$15,$M34-$A$15,CM$13)=0,10^12,OFFSET(CRONOPLE!$F$15,$M34-$A$15,CM$13)))</f>
        <v>21</v>
      </c>
      <c r="CN34" s="353" t="n">
        <f aca="true">IF(OR($D34&lt;&gt;"Serviço",AND(AUTOEVENTO="Manual",$M34=$A$15)),0,
         IF(OFFSET(CRONOPLE!$F$15,$M34-$A$15,CN$13)=0,10^12,OFFSET(CRONOPLE!$F$15,$M34-$A$15,CN$13)))</f>
        <v>22</v>
      </c>
      <c r="CO34" s="353" t="n">
        <f aca="true">IF(OR($D34&lt;&gt;"Serviço",AND(AUTOEVENTO="Manual",$M34=$A$15)),0,
         IF(OFFSET(CRONOPLE!$F$15,$M34-$A$15,CO$13)=0,10^12,OFFSET(CRONOPLE!$F$15,$M34-$A$15,CO$13)))</f>
        <v>23</v>
      </c>
      <c r="CP34" s="353" t="n">
        <f aca="true">IF(OR($D34&lt;&gt;"Serviço",AND(AUTOEVENTO="Manual",$M34=$A$15)),0,
         IF(OFFSET(CRONOPLE!$F$15,$M34-$A$15,CP$13)=0,10^12,OFFSET(CRONOPLE!$F$15,$M34-$A$15,CP$13)))</f>
        <v>24</v>
      </c>
      <c r="CQ34" s="353" t="n">
        <f aca="true">IF(OR($D34&lt;&gt;"Serviço",AND(AUTOEVENTO="Manual",$M34=$A$15)),0,
         IF(OFFSET(CRONOPLE!$F$15,$M34-$A$15,CQ$13)=0,10^12,OFFSET(CRONOPLE!$F$15,$M34-$A$15,CQ$13)))</f>
        <v>25</v>
      </c>
      <c r="CR34" s="353" t="n">
        <f aca="true">IF(OR($D34&lt;&gt;"Serviço",AND(AUTOEVENTO="Manual",$M34=$A$15)),0,
         IF(OFFSET(CRONOPLE!$F$15,$M34-$A$15,CR$13)=0,10^12,OFFSET(CRONOPLE!$F$15,$M34-$A$15,CR$13)))</f>
        <v>1000000000000</v>
      </c>
      <c r="CT34" s="354" t="n">
        <f aca="true">IF(OR($D34&lt;&gt;"Serviço",AND(AUTOEVENTO="Manual",$M34=$A$15),$M34&gt;(ROW(PLE.lastrow)-ROW(PLE.firstrow))),0,
           IF(OFFSET(PLE!$G$15,$M34-$A$15,CT$13)="",10^12,OFFSET(PLE!$G$15,$M34-$A$15,CT$13)))</f>
        <v>1000000000000</v>
      </c>
      <c r="CU34" s="354" t="n">
        <f aca="true">IF(OR($D34&lt;&gt;"Serviço",AND(AUTOEVENTO="Manual",$M34=$A$15),$M34&gt;(ROW(PLE.lastrow)-ROW(PLE.firstrow))),0,
           IF(OFFSET(PLE!$G$15,$M34-$A$15,CU$13)="",10^12,OFFSET(PLE!$G$15,$M34-$A$15,CU$13)))</f>
        <v>1000000000000</v>
      </c>
      <c r="CV34" s="354" t="n">
        <f aca="true">IF(OR($D34&lt;&gt;"Serviço",AND(AUTOEVENTO="Manual",$M34=$A$15),$M34&gt;(ROW(PLE.lastrow)-ROW(PLE.firstrow))),0,
           IF(OFFSET(PLE!$G$15,$M34-$A$15,CV$13)="",10^12,OFFSET(PLE!$G$15,$M34-$A$15,CV$13)))</f>
        <v>1000000000000</v>
      </c>
      <c r="CW34" s="354" t="n">
        <f aca="true">IF(OR($D34&lt;&gt;"Serviço",AND(AUTOEVENTO="Manual",$M34=$A$15),$M34&gt;(ROW(PLE.lastrow)-ROW(PLE.firstrow))),0,
           IF(OFFSET(PLE!$G$15,$M34-$A$15,CW$13)="",10^12,OFFSET(PLE!$G$15,$M34-$A$15,CW$13)))</f>
        <v>1000000000000</v>
      </c>
      <c r="CX34" s="354" t="n">
        <f aca="true">IF(OR($D34&lt;&gt;"Serviço",AND(AUTOEVENTO="Manual",$M34=$A$15),$M34&gt;(ROW(PLE.lastrow)-ROW(PLE.firstrow))),0,
           IF(OFFSET(PLE!$G$15,$M34-$A$15,CX$13)="",10^12,OFFSET(PLE!$G$15,$M34-$A$15,CX$13)))</f>
        <v>1000000000000</v>
      </c>
      <c r="CY34" s="354" t="n">
        <f aca="true">IF(OR($D34&lt;&gt;"Serviço",AND(AUTOEVENTO="Manual",$M34=$A$15),$M34&gt;(ROW(PLE.lastrow)-ROW(PLE.firstrow))),0,
           IF(OFFSET(PLE!$G$15,$M34-$A$15,CY$13)="",10^12,OFFSET(PLE!$G$15,$M34-$A$15,CY$13)))</f>
        <v>1000000000000</v>
      </c>
      <c r="CZ34" s="354" t="n">
        <f aca="true">IF(OR($D34&lt;&gt;"Serviço",AND(AUTOEVENTO="Manual",$M34=$A$15),$M34&gt;(ROW(PLE.lastrow)-ROW(PLE.firstrow))),0,
           IF(OFFSET(PLE!$G$15,$M34-$A$15,CZ$13)="",10^12,OFFSET(PLE!$G$15,$M34-$A$15,CZ$13)))</f>
        <v>1000000000000</v>
      </c>
      <c r="DA34" s="354" t="n">
        <f aca="true">IF(OR($D34&lt;&gt;"Serviço",AND(AUTOEVENTO="Manual",$M34=$A$15),$M34&gt;(ROW(PLE.lastrow)-ROW(PLE.firstrow))),0,
           IF(OFFSET(PLE!$G$15,$M34-$A$15,DA$13)="",10^12,OFFSET(PLE!$G$15,$M34-$A$15,DA$13)))</f>
        <v>1000000000000</v>
      </c>
      <c r="DB34" s="354" t="n">
        <f aca="true">IF(OR($D34&lt;&gt;"Serviço",AND(AUTOEVENTO="Manual",$M34=$A$15),$M34&gt;(ROW(PLE.lastrow)-ROW(PLE.firstrow))),0,
           IF(OFFSET(PLE!$G$15,$M34-$A$15,DB$13)="",10^12,OFFSET(PLE!$G$15,$M34-$A$15,DB$13)))</f>
        <v>1000000000000</v>
      </c>
      <c r="DC34" s="354" t="n">
        <f aca="true">IF(OR($D34&lt;&gt;"Serviço",AND(AUTOEVENTO="Manual",$M34=$A$15),$M34&gt;(ROW(PLE.lastrow)-ROW(PLE.firstrow))),0,
           IF(OFFSET(PLE!$G$15,$M34-$A$15,DC$13)="",10^12,OFFSET(PLE!$G$15,$M34-$A$15,DC$13)))</f>
        <v>1000000000000</v>
      </c>
      <c r="DD34" s="354" t="n">
        <f aca="true">IF(OR($D34&lt;&gt;"Serviço",AND(AUTOEVENTO="Manual",$M34=$A$15),$M34&gt;(ROW(PLE.lastrow)-ROW(PLE.firstrow))),0,
           IF(OFFSET(PLE!$G$15,$M34-$A$15,DD$13)="",10^12,OFFSET(PLE!$G$15,$M34-$A$15,DD$13)))</f>
        <v>1000000000000</v>
      </c>
      <c r="DE34" s="354" t="n">
        <f aca="true">IF(OR($D34&lt;&gt;"Serviço",AND(AUTOEVENTO="Manual",$M34=$A$15),$M34&gt;(ROW(PLE.lastrow)-ROW(PLE.firstrow))),0,
           IF(OFFSET(PLE!$G$15,$M34-$A$15,DE$13)="",10^12,OFFSET(PLE!$G$15,$M34-$A$15,DE$13)))</f>
        <v>1000000000000</v>
      </c>
      <c r="DF34" s="354" t="n">
        <f aca="true">IF(OR($D34&lt;&gt;"Serviço",AND(AUTOEVENTO="Manual",$M34=$A$15),$M34&gt;(ROW(PLE.lastrow)-ROW(PLE.firstrow))),0,
           IF(OFFSET(PLE!$G$15,$M34-$A$15,DF$13)="",10^12,OFFSET(PLE!$G$15,$M34-$A$15,DF$13)))</f>
        <v>1000000000000</v>
      </c>
      <c r="DG34" s="354" t="n">
        <f aca="true">IF(OR($D34&lt;&gt;"Serviço",AND(AUTOEVENTO="Manual",$M34=$A$15),$M34&gt;(ROW(PLE.lastrow)-ROW(PLE.firstrow))),0,
           IF(OFFSET(PLE!$G$15,$M34-$A$15,DG$13)="",10^12,OFFSET(PLE!$G$15,$M34-$A$15,DG$13)))</f>
        <v>1000000000000</v>
      </c>
      <c r="DH34" s="354" t="n">
        <f aca="true">IF(OR($D34&lt;&gt;"Serviço",AND(AUTOEVENTO="Manual",$M34=$A$15),$M34&gt;(ROW(PLE.lastrow)-ROW(PLE.firstrow))),0,
           IF(OFFSET(PLE!$G$15,$M34-$A$15,DH$13)="",10^12,OFFSET(PLE!$G$15,$M34-$A$15,DH$13)))</f>
        <v>1000000000000</v>
      </c>
      <c r="DI34" s="354" t="n">
        <f aca="true">IF(OR($D34&lt;&gt;"Serviço",AND(AUTOEVENTO="Manual",$M34=$A$15),$M34&gt;(ROW(PLE.lastrow)-ROW(PLE.firstrow))),0,
           IF(OFFSET(PLE!$G$15,$M34-$A$15,DI$13)="",10^12,OFFSET(PLE!$G$15,$M34-$A$15,DI$13)))</f>
        <v>1000000000000</v>
      </c>
      <c r="DJ34" s="354" t="n">
        <f aca="true">IF(OR($D34&lt;&gt;"Serviço",AND(AUTOEVENTO="Manual",$M34=$A$15),$M34&gt;(ROW(PLE.lastrow)-ROW(PLE.firstrow))),0,
           IF(OFFSET(PLE!$G$15,$M34-$A$15,DJ$13)="",10^12,OFFSET(PLE!$G$15,$M34-$A$15,DJ$13)))</f>
        <v>1000000000000</v>
      </c>
      <c r="DK34" s="354" t="n">
        <f aca="true">IF(OR($D34&lt;&gt;"Serviço",AND(AUTOEVENTO="Manual",$M34=$A$15),$M34&gt;(ROW(PLE.lastrow)-ROW(PLE.firstrow))),0,
           IF(OFFSET(PLE!$G$15,$M34-$A$15,DK$13)="",10^12,OFFSET(PLE!$G$15,$M34-$A$15,DK$13)))</f>
        <v>1000000000000</v>
      </c>
      <c r="DL34" s="354" t="n">
        <f aca="true">IF(OR($D34&lt;&gt;"Serviço",AND(AUTOEVENTO="Manual",$M34=$A$15),$M34&gt;(ROW(PLE.lastrow)-ROW(PLE.firstrow))),0,
           IF(OFFSET(PLE!$G$15,$M34-$A$15,DL$13)="",10^12,OFFSET(PLE!$G$15,$M34-$A$15,DL$13)))</f>
        <v>1000000000000</v>
      </c>
      <c r="DM34" s="354" t="n">
        <f aca="true">IF(OR($D34&lt;&gt;"Serviço",AND(AUTOEVENTO="Manual",$M34=$A$15),$M34&gt;(ROW(PLE.lastrow)-ROW(PLE.firstrow))),0,
           IF(OFFSET(PLE!$G$15,$M34-$A$15,DM$13)="",10^12,OFFSET(PLE!$G$15,$M34-$A$15,DM$13)))</f>
        <v>1000000000000</v>
      </c>
      <c r="DN34" s="354" t="n">
        <f aca="true">IF(OR($D34&lt;&gt;"Serviço",AND(AUTOEVENTO="Manual",$M34=$A$15),$M34&gt;(ROW(PLE.lastrow)-ROW(PLE.firstrow))),0,
           IF(OFFSET(PLE!$G$15,$M34-$A$15,DN$13)="",10^12,OFFSET(PLE!$G$15,$M34-$A$15,DN$13)))</f>
        <v>1000000000000</v>
      </c>
      <c r="DO34" s="354" t="n">
        <f aca="true">IF(OR($D34&lt;&gt;"Serviço",AND(AUTOEVENTO="Manual",$M34=$A$15),$M34&gt;(ROW(PLE.lastrow)-ROW(PLE.firstrow))),0,
           IF(OFFSET(PLE!$G$15,$M34-$A$15,DO$13)="",10^12,OFFSET(PLE!$G$15,$M34-$A$15,DO$13)))</f>
        <v>1000000000000</v>
      </c>
      <c r="DP34" s="354" t="n">
        <f aca="true">IF(OR($D34&lt;&gt;"Serviço",AND(AUTOEVENTO="Manual",$M34=$A$15),$M34&gt;(ROW(PLE.lastrow)-ROW(PLE.firstrow))),0,
           IF(OFFSET(PLE!$G$15,$M34-$A$15,DP$13)="",10^12,OFFSET(PLE!$G$15,$M34-$A$15,DP$13)))</f>
        <v>1000000000000</v>
      </c>
      <c r="DQ34" s="354" t="n">
        <f aca="true">IF(OR($D34&lt;&gt;"Serviço",AND(AUTOEVENTO="Manual",$M34=$A$15),$M34&gt;(ROW(PLE.lastrow)-ROW(PLE.firstrow))),0,
           IF(OFFSET(PLE!$G$15,$M34-$A$15,DQ$13)="",10^12,OFFSET(PLE!$G$15,$M34-$A$15,DQ$13)))</f>
        <v>1000000000000</v>
      </c>
      <c r="DR34" s="354" t="n">
        <f aca="true">IF(OR($D34&lt;&gt;"Serviço",AND(AUTOEVENTO="Manual",$M34=$A$15),$M34&gt;(ROW(PLE.lastrow)-ROW(PLE.firstrow))),0,
           IF(OFFSET(PLE!$G$15,$M34-$A$15,DR$13)="",10^12,OFFSET(PLE!$G$15,$M34-$A$15,DR$13)))</f>
        <v>1000000000000</v>
      </c>
      <c r="DS34" s="354" t="n">
        <f aca="true">IF(OR($D34&lt;&gt;"Serviço",AND(AUTOEVENTO="Manual",$M34=$A$15),$M34&gt;(ROW(PLE.lastrow)-ROW(PLE.firstrow))),0,
           IF(OFFSET(PLE!$G$15,$M34-$A$15,DS$13)="",10^12,OFFSET(PLE!$G$15,$M34-$A$15,DS$13)))</f>
        <v>1000000000000</v>
      </c>
    </row>
    <row r="35" customFormat="false" ht="23.85" hidden="false" customHeight="false" outlineLevel="0" collapsed="false">
      <c r="A35" s="50" t="str">
        <f aca="true">IFERROR(IF(AUTOEVENTO="Manual",IF(K35&lt;&gt;"",MIN(VALUE(LEFT(K35,FIND(".",K35)-1)),COUNTA(EVENTOS.Lista)),0),IF(OR($B35&gt;AUTOEVENTO,$B35="S",$B35=0),SUBSTITUTE(OFFSET($A35,-1,0),IF($D35="Serviço",".",""),""),ROW(A35)-ROW($A$15)&amp;".")),0)</f>
        <v>14</v>
      </c>
      <c r="B35" s="50" t="str">
        <f aca="true">OFFSET(ORÇAMENTO!C$15,ROW(B35)-ROW(B$15),0)</f>
        <v>S</v>
      </c>
      <c r="C35" s="50" t="str">
        <f aca="true">OFFSET(ORÇAMENTO!L$15,ROW(C35)-ROW(C$15),0)</f>
        <v>F</v>
      </c>
      <c r="D35" s="201" t="str">
        <f aca="true">OFFSET(ORÇAMENTO!N$15,ROW(D35)-ROW(D$15),0)</f>
        <v>Serviço</v>
      </c>
      <c r="E35" s="202" t="str">
        <f aca="true">OFFSET(ORÇAMENTO!O$15,ROW(E35)-ROW(E$15),0)</f>
        <v>1.5.6.</v>
      </c>
      <c r="F35" s="341" t="str">
        <f aca="true">OFFSET(ORÇAMENTO!R$15,ROW(F35)-ROW(F$15),0)</f>
        <v>ARMAÇÃO DE SAPATA ISOLADA, VIGA BALDRAME E SAPATA CORRIDA UTILIZANDO AÇO CA-50 DE 8 MM -MONTAGEM. AF_01/2024</v>
      </c>
      <c r="G35" s="342" t="str">
        <f aca="true">IF($D35&lt;&gt;"Serviço","",OFFSET(ORÇAMENTO!S$15,ROW(G35)-ROW(G$15),0))</f>
        <v>KG</v>
      </c>
      <c r="H35" s="207" t="n">
        <f aca="true">IF($D35&lt;&gt;"Serviço",0,IF(ACOMPANHAMENTO="BM",ROUND(OFFSET(ORÇAMENTO!AJ$15,ROW(H35)-ROW(H$15),0),15-13*ORÇAMENTO!$AF$7),SUMPRODUCT(($Q$1:$AQ$1=1)*ROUND($Q35:$AQ35,15-13*ORÇAMENTO!$AF$7))))</f>
        <v>1405</v>
      </c>
      <c r="I35" s="343" t="s">
        <v>925</v>
      </c>
      <c r="J35" s="344" t="e">
        <f aca="false">IF(OR(B35&lt;&gt;"S",CÁLCULO.FrentesPreenchidas=0),"",IF(AND(ACOMPANHAMENTO="PLE",AUTOEVENTO="Manual",OR(H35&gt;0,ORÇAMENTO!AC35="QUANT."),OR(K35="",M35=0,N35="")),"►",IF(AND(ACOMPANHAMENTO="PLE",ORÇAMENTO!AC35="QUANT."),"►►",IF(AND(COUNTIF($P$11:$AQ$11,"▼")=0,H35&gt;0,I35=""),"◄",""))))</f>
        <v>#NAME?</v>
      </c>
      <c r="K35" s="345"/>
      <c r="L35" s="346" t="s">
        <v>876</v>
      </c>
      <c r="M35" s="347" t="n">
        <f aca="true">IF($D35&lt;&gt;"Serviço","",
          IF(AUTOEVENTO="manual",$A35,
                IF(ISERROR(MATCH($A35,$A$15:OFFSET($A35,-1,0),0)),MAX($M$15:OFFSET(M35,-1,0))+1,
                      INDEX($M$15:OFFSET(M35,-1,0),MATCH($A35,$A$15:OFFSET($A35,-1,0),0)))))</f>
        <v>3</v>
      </c>
      <c r="N35" s="348" t="str">
        <f aca="true">IF($D35&lt;&gt;"Serviço","",
         IF(AUTOEVENTO="Manual",
                IF($A35=0,"&lt;-- defina o número do agrupador",
                       OFFSET(EVENTOS!$D$15,$A35-$A$15,0)),
                OFFSET($F$15,$A35,0)))</f>
        <v>SAPATA</v>
      </c>
      <c r="O35" s="349"/>
      <c r="Q35" s="349" t="n">
        <v>56.2</v>
      </c>
      <c r="R35" s="350" t="n">
        <f aca="false">Q35</f>
        <v>56.2</v>
      </c>
      <c r="S35" s="350" t="n">
        <f aca="false">R35</f>
        <v>56.2</v>
      </c>
      <c r="T35" s="350" t="n">
        <f aca="false">S35</f>
        <v>56.2</v>
      </c>
      <c r="U35" s="350" t="n">
        <f aca="false">T35</f>
        <v>56.2</v>
      </c>
      <c r="V35" s="350" t="n">
        <f aca="false">U35</f>
        <v>56.2</v>
      </c>
      <c r="W35" s="350" t="n">
        <f aca="false">V35</f>
        <v>56.2</v>
      </c>
      <c r="X35" s="350" t="n">
        <f aca="false">W35</f>
        <v>56.2</v>
      </c>
      <c r="Y35" s="350" t="n">
        <f aca="false">X35</f>
        <v>56.2</v>
      </c>
      <c r="Z35" s="351" t="n">
        <f aca="false">Y35</f>
        <v>56.2</v>
      </c>
      <c r="AA35" s="350" t="n">
        <f aca="false">Z35</f>
        <v>56.2</v>
      </c>
      <c r="AB35" s="350" t="n">
        <f aca="false">AA35</f>
        <v>56.2</v>
      </c>
      <c r="AC35" s="350" t="n">
        <f aca="false">AB35</f>
        <v>56.2</v>
      </c>
      <c r="AD35" s="350" t="n">
        <f aca="false">AC35</f>
        <v>56.2</v>
      </c>
      <c r="AE35" s="350" t="n">
        <f aca="false">AD35</f>
        <v>56.2</v>
      </c>
      <c r="AF35" s="350" t="n">
        <f aca="false">AE35</f>
        <v>56.2</v>
      </c>
      <c r="AG35" s="350" t="n">
        <f aca="false">AF35</f>
        <v>56.2</v>
      </c>
      <c r="AH35" s="351" t="n">
        <f aca="false">AG35</f>
        <v>56.2</v>
      </c>
      <c r="AI35" s="350" t="n">
        <f aca="false">AH35</f>
        <v>56.2</v>
      </c>
      <c r="AJ35" s="350" t="n">
        <f aca="false">AI35</f>
        <v>56.2</v>
      </c>
      <c r="AK35" s="350" t="n">
        <f aca="false">AJ35</f>
        <v>56.2</v>
      </c>
      <c r="AL35" s="350" t="n">
        <f aca="false">AK35</f>
        <v>56.2</v>
      </c>
      <c r="AM35" s="350" t="n">
        <f aca="false">AL35</f>
        <v>56.2</v>
      </c>
      <c r="AN35" s="350" t="n">
        <f aca="false">AM35</f>
        <v>56.2</v>
      </c>
      <c r="AO35" s="350" t="n">
        <f aca="false">AN35</f>
        <v>56.2</v>
      </c>
      <c r="AP35" s="351"/>
      <c r="AR35" s="352" t="n">
        <f aca="true">IF(AND($D35="Serviço",AR$12&lt;&gt;0,$H35&gt;0,OR(AUTOEVENTO&lt;&gt;"manual",$M35&lt;&gt;$A$15)),
        IF(Import.TipoArredondamento&lt;&gt;"TransfereGOV",
              ROUND(OFFSET($P35,0,AR$13),15-13*ORÇAMENTO!$AF$7)/$H35*OFFSET(ORÇAMENTO!$X$15,ROW(AR35)-ROW(AR$15),0),
              ROUND(ROUND(OFFSET($P35,0,AR$13),15-13*ORÇAMENTO!$AF$7)*OFFSET(ORÇAMENTO!$W$15,ROW(AR35)-ROW(AR$15),0),15-13*ORÇAMENTO!$AF$11)),
         0)</f>
        <v>1025.65</v>
      </c>
      <c r="AS35" s="352" t="n">
        <f aca="true">IF(AND($D35="Serviço",AS$12&lt;&gt;0,$H35&gt;0,OR(AUTOEVENTO&lt;&gt;"manual",$M35&lt;&gt;$A$15)),
        IF(Import.TipoArredondamento&lt;&gt;"TransfereGOV",
              ROUND(OFFSET($P35,0,AS$13),15-13*ORÇAMENTO!$AF$7)/$H35*OFFSET(ORÇAMENTO!$X$15,ROW(AS35)-ROW(AS$15),0),
              ROUND(ROUND(OFFSET($P35,0,AS$13),15-13*ORÇAMENTO!$AF$7)*OFFSET(ORÇAMENTO!$W$15,ROW(AS35)-ROW(AS$15),0),15-13*ORÇAMENTO!$AF$11)),
         0)</f>
        <v>1025.65</v>
      </c>
      <c r="AT35" s="352" t="n">
        <f aca="true">IF(AND($D35="Serviço",AT$12&lt;&gt;0,$H35&gt;0,OR(AUTOEVENTO&lt;&gt;"manual",$M35&lt;&gt;$A$15)),
        IF(Import.TipoArredondamento&lt;&gt;"TransfereGOV",
              ROUND(OFFSET($P35,0,AT$13),15-13*ORÇAMENTO!$AF$7)/$H35*OFFSET(ORÇAMENTO!$X$15,ROW(AT35)-ROW(AT$15),0),
              ROUND(ROUND(OFFSET($P35,0,AT$13),15-13*ORÇAMENTO!$AF$7)*OFFSET(ORÇAMENTO!$W$15,ROW(AT35)-ROW(AT$15),0),15-13*ORÇAMENTO!$AF$11)),
         0)</f>
        <v>1025.65</v>
      </c>
      <c r="AU35" s="352" t="n">
        <f aca="true">IF(AND($D35="Serviço",AU$12&lt;&gt;0,$H35&gt;0,OR(AUTOEVENTO&lt;&gt;"manual",$M35&lt;&gt;$A$15)),
        IF(Import.TipoArredondamento&lt;&gt;"TransfereGOV",
              ROUND(OFFSET($P35,0,AU$13),15-13*ORÇAMENTO!$AF$7)/$H35*OFFSET(ORÇAMENTO!$X$15,ROW(AU35)-ROW(AU$15),0),
              ROUND(ROUND(OFFSET($P35,0,AU$13),15-13*ORÇAMENTO!$AF$7)*OFFSET(ORÇAMENTO!$W$15,ROW(AU35)-ROW(AU$15),0),15-13*ORÇAMENTO!$AF$11)),
         0)</f>
        <v>1025.65</v>
      </c>
      <c r="AV35" s="352" t="n">
        <f aca="true">IF(AND($D35="Serviço",AV$12&lt;&gt;0,$H35&gt;0,OR(AUTOEVENTO&lt;&gt;"manual",$M35&lt;&gt;$A$15)),
        IF(Import.TipoArredondamento&lt;&gt;"TransfereGOV",
              ROUND(OFFSET($P35,0,AV$13),15-13*ORÇAMENTO!$AF$7)/$H35*OFFSET(ORÇAMENTO!$X$15,ROW(AV35)-ROW(AV$15),0),
              ROUND(ROUND(OFFSET($P35,0,AV$13),15-13*ORÇAMENTO!$AF$7)*OFFSET(ORÇAMENTO!$W$15,ROW(AV35)-ROW(AV$15),0),15-13*ORÇAMENTO!$AF$11)),
         0)</f>
        <v>1025.65</v>
      </c>
      <c r="AW35" s="352" t="n">
        <f aca="true">IF(AND($D35="Serviço",AW$12&lt;&gt;0,$H35&gt;0,OR(AUTOEVENTO&lt;&gt;"manual",$M35&lt;&gt;$A$15)),
        IF(Import.TipoArredondamento&lt;&gt;"TransfereGOV",
              ROUND(OFFSET($P35,0,AW$13),15-13*ORÇAMENTO!$AF$7)/$H35*OFFSET(ORÇAMENTO!$X$15,ROW(AW35)-ROW(AW$15),0),
              ROUND(ROUND(OFFSET($P35,0,AW$13),15-13*ORÇAMENTO!$AF$7)*OFFSET(ORÇAMENTO!$W$15,ROW(AW35)-ROW(AW$15),0),15-13*ORÇAMENTO!$AF$11)),
         0)</f>
        <v>1025.65</v>
      </c>
      <c r="AX35" s="352" t="n">
        <f aca="true">IF(AND($D35="Serviço",AX$12&lt;&gt;0,$H35&gt;0,OR(AUTOEVENTO&lt;&gt;"manual",$M35&lt;&gt;$A$15)),
        IF(Import.TipoArredondamento&lt;&gt;"TransfereGOV",
              ROUND(OFFSET($P35,0,AX$13),15-13*ORÇAMENTO!$AF$7)/$H35*OFFSET(ORÇAMENTO!$X$15,ROW(AX35)-ROW(AX$15),0),
              ROUND(ROUND(OFFSET($P35,0,AX$13),15-13*ORÇAMENTO!$AF$7)*OFFSET(ORÇAMENTO!$W$15,ROW(AX35)-ROW(AX$15),0),15-13*ORÇAMENTO!$AF$11)),
         0)</f>
        <v>1025.65</v>
      </c>
      <c r="AY35" s="352" t="n">
        <f aca="true">IF(AND($D35="Serviço",AY$12&lt;&gt;0,$H35&gt;0,OR(AUTOEVENTO&lt;&gt;"manual",$M35&lt;&gt;$A$15)),
        IF(Import.TipoArredondamento&lt;&gt;"TransfereGOV",
              ROUND(OFFSET($P35,0,AY$13),15-13*ORÇAMENTO!$AF$7)/$H35*OFFSET(ORÇAMENTO!$X$15,ROW(AY35)-ROW(AY$15),0),
              ROUND(ROUND(OFFSET($P35,0,AY$13),15-13*ORÇAMENTO!$AF$7)*OFFSET(ORÇAMENTO!$W$15,ROW(AY35)-ROW(AY$15),0),15-13*ORÇAMENTO!$AF$11)),
         0)</f>
        <v>1025.65</v>
      </c>
      <c r="AZ35" s="352" t="n">
        <f aca="true">IF(AND($D35="Serviço",AZ$12&lt;&gt;0,$H35&gt;0,OR(AUTOEVENTO&lt;&gt;"manual",$M35&lt;&gt;$A$15)),
        IF(Import.TipoArredondamento&lt;&gt;"TransfereGOV",
              ROUND(OFFSET($P35,0,AZ$13),15-13*ORÇAMENTO!$AF$7)/$H35*OFFSET(ORÇAMENTO!$X$15,ROW(AZ35)-ROW(AZ$15),0),
              ROUND(ROUND(OFFSET($P35,0,AZ$13),15-13*ORÇAMENTO!$AF$7)*OFFSET(ORÇAMENTO!$W$15,ROW(AZ35)-ROW(AZ$15),0),15-13*ORÇAMENTO!$AF$11)),
         0)</f>
        <v>1025.65</v>
      </c>
      <c r="BA35" s="352" t="n">
        <f aca="true">IF(AND($D35="Serviço",BA$12&lt;&gt;0,$H35&gt;0,OR(AUTOEVENTO&lt;&gt;"manual",$M35&lt;&gt;$A$15)),
        IF(Import.TipoArredondamento&lt;&gt;"TransfereGOV",
              ROUND(OFFSET($P35,0,BA$13),15-13*ORÇAMENTO!$AF$7)/$H35*OFFSET(ORÇAMENTO!$X$15,ROW(BA35)-ROW(BA$15),0),
              ROUND(ROUND(OFFSET($P35,0,BA$13),15-13*ORÇAMENTO!$AF$7)*OFFSET(ORÇAMENTO!$W$15,ROW(BA35)-ROW(BA$15),0),15-13*ORÇAMENTO!$AF$11)),
         0)</f>
        <v>1025.65</v>
      </c>
      <c r="BB35" s="352" t="n">
        <f aca="true">IF(AND($D35="Serviço",BB$12&lt;&gt;0,$H35&gt;0,OR(AUTOEVENTO&lt;&gt;"manual",$M35&lt;&gt;$A$15)),
        IF(Import.TipoArredondamento&lt;&gt;"TransfereGOV",
              ROUND(OFFSET($P35,0,BB$13),15-13*ORÇAMENTO!$AF$7)/$H35*OFFSET(ORÇAMENTO!$X$15,ROW(BB35)-ROW(BB$15),0),
              ROUND(ROUND(OFFSET($P35,0,BB$13),15-13*ORÇAMENTO!$AF$7)*OFFSET(ORÇAMENTO!$W$15,ROW(BB35)-ROW(BB$15),0),15-13*ORÇAMENTO!$AF$11)),
         0)</f>
        <v>1025.65</v>
      </c>
      <c r="BC35" s="352" t="n">
        <f aca="true">IF(AND($D35="Serviço",BC$12&lt;&gt;0,$H35&gt;0,OR(AUTOEVENTO&lt;&gt;"manual",$M35&lt;&gt;$A$15)),
        IF(Import.TipoArredondamento&lt;&gt;"TransfereGOV",
              ROUND(OFFSET($P35,0,BC$13),15-13*ORÇAMENTO!$AF$7)/$H35*OFFSET(ORÇAMENTO!$X$15,ROW(BC35)-ROW(BC$15),0),
              ROUND(ROUND(OFFSET($P35,0,BC$13),15-13*ORÇAMENTO!$AF$7)*OFFSET(ORÇAMENTO!$W$15,ROW(BC35)-ROW(BC$15),0),15-13*ORÇAMENTO!$AF$11)),
         0)</f>
        <v>1025.65</v>
      </c>
      <c r="BD35" s="352" t="n">
        <f aca="true">IF(AND($D35="Serviço",BD$12&lt;&gt;0,$H35&gt;0,OR(AUTOEVENTO&lt;&gt;"manual",$M35&lt;&gt;$A$15)),
        IF(Import.TipoArredondamento&lt;&gt;"TransfereGOV",
              ROUND(OFFSET($P35,0,BD$13),15-13*ORÇAMENTO!$AF$7)/$H35*OFFSET(ORÇAMENTO!$X$15,ROW(BD35)-ROW(BD$15),0),
              ROUND(ROUND(OFFSET($P35,0,BD$13),15-13*ORÇAMENTO!$AF$7)*OFFSET(ORÇAMENTO!$W$15,ROW(BD35)-ROW(BD$15),0),15-13*ORÇAMENTO!$AF$11)),
         0)</f>
        <v>1025.65</v>
      </c>
      <c r="BE35" s="352" t="n">
        <f aca="true">IF(AND($D35="Serviço",BE$12&lt;&gt;0,$H35&gt;0,OR(AUTOEVENTO&lt;&gt;"manual",$M35&lt;&gt;$A$15)),
        IF(Import.TipoArredondamento&lt;&gt;"TransfereGOV",
              ROUND(OFFSET($P35,0,BE$13),15-13*ORÇAMENTO!$AF$7)/$H35*OFFSET(ORÇAMENTO!$X$15,ROW(BE35)-ROW(BE$15),0),
              ROUND(ROUND(OFFSET($P35,0,BE$13),15-13*ORÇAMENTO!$AF$7)*OFFSET(ORÇAMENTO!$W$15,ROW(BE35)-ROW(BE$15),0),15-13*ORÇAMENTO!$AF$11)),
         0)</f>
        <v>1025.65</v>
      </c>
      <c r="BF35" s="352" t="n">
        <f aca="true">IF(AND($D35="Serviço",BF$12&lt;&gt;0,$H35&gt;0,OR(AUTOEVENTO&lt;&gt;"manual",$M35&lt;&gt;$A$15)),
        IF(Import.TipoArredondamento&lt;&gt;"TransfereGOV",
              ROUND(OFFSET($P35,0,BF$13),15-13*ORÇAMENTO!$AF$7)/$H35*OFFSET(ORÇAMENTO!$X$15,ROW(BF35)-ROW(BF$15),0),
              ROUND(ROUND(OFFSET($P35,0,BF$13),15-13*ORÇAMENTO!$AF$7)*OFFSET(ORÇAMENTO!$W$15,ROW(BF35)-ROW(BF$15),0),15-13*ORÇAMENTO!$AF$11)),
         0)</f>
        <v>1025.65</v>
      </c>
      <c r="BG35" s="352" t="n">
        <f aca="true">IF(AND($D35="Serviço",BG$12&lt;&gt;0,$H35&gt;0,OR(AUTOEVENTO&lt;&gt;"manual",$M35&lt;&gt;$A$15)),
        IF(Import.TipoArredondamento&lt;&gt;"TransfereGOV",
              ROUND(OFFSET($P35,0,BG$13),15-13*ORÇAMENTO!$AF$7)/$H35*OFFSET(ORÇAMENTO!$X$15,ROW(BG35)-ROW(BG$15),0),
              ROUND(ROUND(OFFSET($P35,0,BG$13),15-13*ORÇAMENTO!$AF$7)*OFFSET(ORÇAMENTO!$W$15,ROW(BG35)-ROW(BG$15),0),15-13*ORÇAMENTO!$AF$11)),
         0)</f>
        <v>1025.65</v>
      </c>
      <c r="BH35" s="352" t="n">
        <f aca="true">IF(AND($D35="Serviço",BH$12&lt;&gt;0,$H35&gt;0,OR(AUTOEVENTO&lt;&gt;"manual",$M35&lt;&gt;$A$15)),
        IF(Import.TipoArredondamento&lt;&gt;"TransfereGOV",
              ROUND(OFFSET($P35,0,BH$13),15-13*ORÇAMENTO!$AF$7)/$H35*OFFSET(ORÇAMENTO!$X$15,ROW(BH35)-ROW(BH$15),0),
              ROUND(ROUND(OFFSET($P35,0,BH$13),15-13*ORÇAMENTO!$AF$7)*OFFSET(ORÇAMENTO!$W$15,ROW(BH35)-ROW(BH$15),0),15-13*ORÇAMENTO!$AF$11)),
         0)</f>
        <v>1025.65</v>
      </c>
      <c r="BI35" s="352" t="n">
        <f aca="true">IF(AND($D35="Serviço",BI$12&lt;&gt;0,$H35&gt;0,OR(AUTOEVENTO&lt;&gt;"manual",$M35&lt;&gt;$A$15)),
        IF(Import.TipoArredondamento&lt;&gt;"TransfereGOV",
              ROUND(OFFSET($P35,0,BI$13),15-13*ORÇAMENTO!$AF$7)/$H35*OFFSET(ORÇAMENTO!$X$15,ROW(BI35)-ROW(BI$15),0),
              ROUND(ROUND(OFFSET($P35,0,BI$13),15-13*ORÇAMENTO!$AF$7)*OFFSET(ORÇAMENTO!$W$15,ROW(BI35)-ROW(BI$15),0),15-13*ORÇAMENTO!$AF$11)),
         0)</f>
        <v>1025.65</v>
      </c>
      <c r="BJ35" s="352" t="n">
        <f aca="true">IF(AND($D35="Serviço",BJ$12&lt;&gt;0,$H35&gt;0,OR(AUTOEVENTO&lt;&gt;"manual",$M35&lt;&gt;$A$15)),
        IF(Import.TipoArredondamento&lt;&gt;"TransfereGOV",
              ROUND(OFFSET($P35,0,BJ$13),15-13*ORÇAMENTO!$AF$7)/$H35*OFFSET(ORÇAMENTO!$X$15,ROW(BJ35)-ROW(BJ$15),0),
              ROUND(ROUND(OFFSET($P35,0,BJ$13),15-13*ORÇAMENTO!$AF$7)*OFFSET(ORÇAMENTO!$W$15,ROW(BJ35)-ROW(BJ$15),0),15-13*ORÇAMENTO!$AF$11)),
         0)</f>
        <v>1025.65</v>
      </c>
      <c r="BK35" s="352" t="n">
        <f aca="true">IF(AND($D35="Serviço",BK$12&lt;&gt;0,$H35&gt;0,OR(AUTOEVENTO&lt;&gt;"manual",$M35&lt;&gt;$A$15)),
        IF(Import.TipoArredondamento&lt;&gt;"TransfereGOV",
              ROUND(OFFSET($P35,0,BK$13),15-13*ORÇAMENTO!$AF$7)/$H35*OFFSET(ORÇAMENTO!$X$15,ROW(BK35)-ROW(BK$15),0),
              ROUND(ROUND(OFFSET($P35,0,BK$13),15-13*ORÇAMENTO!$AF$7)*OFFSET(ORÇAMENTO!$W$15,ROW(BK35)-ROW(BK$15),0),15-13*ORÇAMENTO!$AF$11)),
         0)</f>
        <v>1025.65</v>
      </c>
      <c r="BL35" s="352" t="n">
        <f aca="true">IF(AND($D35="Serviço",BL$12&lt;&gt;0,$H35&gt;0,OR(AUTOEVENTO&lt;&gt;"manual",$M35&lt;&gt;$A$15)),
        IF(Import.TipoArredondamento&lt;&gt;"TransfereGOV",
              ROUND(OFFSET($P35,0,BL$13),15-13*ORÇAMENTO!$AF$7)/$H35*OFFSET(ORÇAMENTO!$X$15,ROW(BL35)-ROW(BL$15),0),
              ROUND(ROUND(OFFSET($P35,0,BL$13),15-13*ORÇAMENTO!$AF$7)*OFFSET(ORÇAMENTO!$W$15,ROW(BL35)-ROW(BL$15),0),15-13*ORÇAMENTO!$AF$11)),
         0)</f>
        <v>1025.65</v>
      </c>
      <c r="BM35" s="352" t="n">
        <f aca="true">IF(AND($D35="Serviço",BM$12&lt;&gt;0,$H35&gt;0,OR(AUTOEVENTO&lt;&gt;"manual",$M35&lt;&gt;$A$15)),
        IF(Import.TipoArredondamento&lt;&gt;"TransfereGOV",
              ROUND(OFFSET($P35,0,BM$13),15-13*ORÇAMENTO!$AF$7)/$H35*OFFSET(ORÇAMENTO!$X$15,ROW(BM35)-ROW(BM$15),0),
              ROUND(ROUND(OFFSET($P35,0,BM$13),15-13*ORÇAMENTO!$AF$7)*OFFSET(ORÇAMENTO!$W$15,ROW(BM35)-ROW(BM$15),0),15-13*ORÇAMENTO!$AF$11)),
         0)</f>
        <v>1025.65</v>
      </c>
      <c r="BN35" s="352" t="n">
        <f aca="true">IF(AND($D35="Serviço",BN$12&lt;&gt;0,$H35&gt;0,OR(AUTOEVENTO&lt;&gt;"manual",$M35&lt;&gt;$A$15)),
        IF(Import.TipoArredondamento&lt;&gt;"TransfereGOV",
              ROUND(OFFSET($P35,0,BN$13),15-13*ORÇAMENTO!$AF$7)/$H35*OFFSET(ORÇAMENTO!$X$15,ROW(BN35)-ROW(BN$15),0),
              ROUND(ROUND(OFFSET($P35,0,BN$13),15-13*ORÇAMENTO!$AF$7)*OFFSET(ORÇAMENTO!$W$15,ROW(BN35)-ROW(BN$15),0),15-13*ORÇAMENTO!$AF$11)),
         0)</f>
        <v>1025.65</v>
      </c>
      <c r="BO35" s="352" t="n">
        <f aca="true">IF(AND($D35="Serviço",BO$12&lt;&gt;0,$H35&gt;0,OR(AUTOEVENTO&lt;&gt;"manual",$M35&lt;&gt;$A$15)),
        IF(Import.TipoArredondamento&lt;&gt;"TransfereGOV",
              ROUND(OFFSET($P35,0,BO$13),15-13*ORÇAMENTO!$AF$7)/$H35*OFFSET(ORÇAMENTO!$X$15,ROW(BO35)-ROW(BO$15),0),
              ROUND(ROUND(OFFSET($P35,0,BO$13),15-13*ORÇAMENTO!$AF$7)*OFFSET(ORÇAMENTO!$W$15,ROW(BO35)-ROW(BO$15),0),15-13*ORÇAMENTO!$AF$11)),
         0)</f>
        <v>1025.65</v>
      </c>
      <c r="BP35" s="352" t="n">
        <f aca="true">IF(AND($D35="Serviço",BP$12&lt;&gt;0,$H35&gt;0,OR(AUTOEVENTO&lt;&gt;"manual",$M35&lt;&gt;$A$15)),
        IF(Import.TipoArredondamento&lt;&gt;"TransfereGOV",
              ROUND(OFFSET($P35,0,BP$13),15-13*ORÇAMENTO!$AF$7)/$H35*OFFSET(ORÇAMENTO!$X$15,ROW(BP35)-ROW(BP$15),0),
              ROUND(ROUND(OFFSET($P35,0,BP$13),15-13*ORÇAMENTO!$AF$7)*OFFSET(ORÇAMENTO!$W$15,ROW(BP35)-ROW(BP$15),0),15-13*ORÇAMENTO!$AF$11)),
         0)</f>
        <v>1025.65</v>
      </c>
      <c r="BQ35" s="352" t="n">
        <f aca="true">IF(AND($D35="Serviço",BQ$12&lt;&gt;0,$H35&gt;0,OR(AUTOEVENTO&lt;&gt;"manual",$M35&lt;&gt;$A$15)),
        IF(Import.TipoArredondamento&lt;&gt;"TransfereGOV",
              ROUND(OFFSET($P35,0,BQ$13),15-13*ORÇAMENTO!$AF$7)/$H35*OFFSET(ORÇAMENTO!$X$15,ROW(BQ35)-ROW(BQ$15),0),
              ROUND(ROUND(OFFSET($P35,0,BQ$13),15-13*ORÇAMENTO!$AF$7)*OFFSET(ORÇAMENTO!$W$15,ROW(BQ35)-ROW(BQ$15),0),15-13*ORÇAMENTO!$AF$11)),
         0)</f>
        <v>0</v>
      </c>
      <c r="BS35" s="353" t="n">
        <f aca="true">IF(OR($D35&lt;&gt;"Serviço",AND(AUTOEVENTO="Manual",$M35=$A$15)),0,
         IF(OFFSET(CRONOPLE!$F$15,$M35-$A$15,BS$13)=0,10^12,OFFSET(CRONOPLE!$F$15,$M35-$A$15,BS$13)))</f>
        <v>1</v>
      </c>
      <c r="BT35" s="353" t="n">
        <f aca="true">IF(OR($D35&lt;&gt;"Serviço",AND(AUTOEVENTO="Manual",$M35=$A$15)),0,
         IF(OFFSET(CRONOPLE!$F$15,$M35-$A$15,BT$13)=0,10^12,OFFSET(CRONOPLE!$F$15,$M35-$A$15,BT$13)))</f>
        <v>2</v>
      </c>
      <c r="BU35" s="353" t="n">
        <f aca="true">IF(OR($D35&lt;&gt;"Serviço",AND(AUTOEVENTO="Manual",$M35=$A$15)),0,
         IF(OFFSET(CRONOPLE!$F$15,$M35-$A$15,BU$13)=0,10^12,OFFSET(CRONOPLE!$F$15,$M35-$A$15,BU$13)))</f>
        <v>3</v>
      </c>
      <c r="BV35" s="353" t="n">
        <f aca="true">IF(OR($D35&lt;&gt;"Serviço",AND(AUTOEVENTO="Manual",$M35=$A$15)),0,
         IF(OFFSET(CRONOPLE!$F$15,$M35-$A$15,BV$13)=0,10^12,OFFSET(CRONOPLE!$F$15,$M35-$A$15,BV$13)))</f>
        <v>4</v>
      </c>
      <c r="BW35" s="353" t="n">
        <f aca="true">IF(OR($D35&lt;&gt;"Serviço",AND(AUTOEVENTO="Manual",$M35=$A$15)),0,
         IF(OFFSET(CRONOPLE!$F$15,$M35-$A$15,BW$13)=0,10^12,OFFSET(CRONOPLE!$F$15,$M35-$A$15,BW$13)))</f>
        <v>5</v>
      </c>
      <c r="BX35" s="353" t="n">
        <f aca="true">IF(OR($D35&lt;&gt;"Serviço",AND(AUTOEVENTO="Manual",$M35=$A$15)),0,
         IF(OFFSET(CRONOPLE!$F$15,$M35-$A$15,BX$13)=0,10^12,OFFSET(CRONOPLE!$F$15,$M35-$A$15,BX$13)))</f>
        <v>6</v>
      </c>
      <c r="BY35" s="353" t="n">
        <f aca="true">IF(OR($D35&lt;&gt;"Serviço",AND(AUTOEVENTO="Manual",$M35=$A$15)),0,
         IF(OFFSET(CRONOPLE!$F$15,$M35-$A$15,BY$13)=0,10^12,OFFSET(CRONOPLE!$F$15,$M35-$A$15,BY$13)))</f>
        <v>7</v>
      </c>
      <c r="BZ35" s="353" t="n">
        <f aca="true">IF(OR($D35&lt;&gt;"Serviço",AND(AUTOEVENTO="Manual",$M35=$A$15)),0,
         IF(OFFSET(CRONOPLE!$F$15,$M35-$A$15,BZ$13)=0,10^12,OFFSET(CRONOPLE!$F$15,$M35-$A$15,BZ$13)))</f>
        <v>8</v>
      </c>
      <c r="CA35" s="353" t="n">
        <f aca="true">IF(OR($D35&lt;&gt;"Serviço",AND(AUTOEVENTO="Manual",$M35=$A$15)),0,
         IF(OFFSET(CRONOPLE!$F$15,$M35-$A$15,CA$13)=0,10^12,OFFSET(CRONOPLE!$F$15,$M35-$A$15,CA$13)))</f>
        <v>9</v>
      </c>
      <c r="CB35" s="353" t="n">
        <f aca="true">IF(OR($D35&lt;&gt;"Serviço",AND(AUTOEVENTO="Manual",$M35=$A$15)),0,
         IF(OFFSET(CRONOPLE!$F$15,$M35-$A$15,CB$13)=0,10^12,OFFSET(CRONOPLE!$F$15,$M35-$A$15,CB$13)))</f>
        <v>10</v>
      </c>
      <c r="CC35" s="353" t="n">
        <f aca="true">IF(OR($D35&lt;&gt;"Serviço",AND(AUTOEVENTO="Manual",$M35=$A$15)),0,
         IF(OFFSET(CRONOPLE!$F$15,$M35-$A$15,CC$13)=0,10^12,OFFSET(CRONOPLE!$F$15,$M35-$A$15,CC$13)))</f>
        <v>11</v>
      </c>
      <c r="CD35" s="353" t="n">
        <f aca="true">IF(OR($D35&lt;&gt;"Serviço",AND(AUTOEVENTO="Manual",$M35=$A$15)),0,
         IF(OFFSET(CRONOPLE!$F$15,$M35-$A$15,CD$13)=0,10^12,OFFSET(CRONOPLE!$F$15,$M35-$A$15,CD$13)))</f>
        <v>12</v>
      </c>
      <c r="CE35" s="353" t="n">
        <f aca="true">IF(OR($D35&lt;&gt;"Serviço",AND(AUTOEVENTO="Manual",$M35=$A$15)),0,
         IF(OFFSET(CRONOPLE!$F$15,$M35-$A$15,CE$13)=0,10^12,OFFSET(CRONOPLE!$F$15,$M35-$A$15,CE$13)))</f>
        <v>13</v>
      </c>
      <c r="CF35" s="353" t="n">
        <f aca="true">IF(OR($D35&lt;&gt;"Serviço",AND(AUTOEVENTO="Manual",$M35=$A$15)),0,
         IF(OFFSET(CRONOPLE!$F$15,$M35-$A$15,CF$13)=0,10^12,OFFSET(CRONOPLE!$F$15,$M35-$A$15,CF$13)))</f>
        <v>14</v>
      </c>
      <c r="CG35" s="353" t="n">
        <f aca="true">IF(OR($D35&lt;&gt;"Serviço",AND(AUTOEVENTO="Manual",$M35=$A$15)),0,
         IF(OFFSET(CRONOPLE!$F$15,$M35-$A$15,CG$13)=0,10^12,OFFSET(CRONOPLE!$F$15,$M35-$A$15,CG$13)))</f>
        <v>15</v>
      </c>
      <c r="CH35" s="353" t="n">
        <f aca="true">IF(OR($D35&lt;&gt;"Serviço",AND(AUTOEVENTO="Manual",$M35=$A$15)),0,
         IF(OFFSET(CRONOPLE!$F$15,$M35-$A$15,CH$13)=0,10^12,OFFSET(CRONOPLE!$F$15,$M35-$A$15,CH$13)))</f>
        <v>16</v>
      </c>
      <c r="CI35" s="353" t="n">
        <f aca="true">IF(OR($D35&lt;&gt;"Serviço",AND(AUTOEVENTO="Manual",$M35=$A$15)),0,
         IF(OFFSET(CRONOPLE!$F$15,$M35-$A$15,CI$13)=0,10^12,OFFSET(CRONOPLE!$F$15,$M35-$A$15,CI$13)))</f>
        <v>17</v>
      </c>
      <c r="CJ35" s="353" t="n">
        <f aca="true">IF(OR($D35&lt;&gt;"Serviço",AND(AUTOEVENTO="Manual",$M35=$A$15)),0,
         IF(OFFSET(CRONOPLE!$F$15,$M35-$A$15,CJ$13)=0,10^12,OFFSET(CRONOPLE!$F$15,$M35-$A$15,CJ$13)))</f>
        <v>18</v>
      </c>
      <c r="CK35" s="353" t="n">
        <f aca="true">IF(OR($D35&lt;&gt;"Serviço",AND(AUTOEVENTO="Manual",$M35=$A$15)),0,
         IF(OFFSET(CRONOPLE!$F$15,$M35-$A$15,CK$13)=0,10^12,OFFSET(CRONOPLE!$F$15,$M35-$A$15,CK$13)))</f>
        <v>19</v>
      </c>
      <c r="CL35" s="353" t="n">
        <f aca="true">IF(OR($D35&lt;&gt;"Serviço",AND(AUTOEVENTO="Manual",$M35=$A$15)),0,
         IF(OFFSET(CRONOPLE!$F$15,$M35-$A$15,CL$13)=0,10^12,OFFSET(CRONOPLE!$F$15,$M35-$A$15,CL$13)))</f>
        <v>20</v>
      </c>
      <c r="CM35" s="353" t="n">
        <f aca="true">IF(OR($D35&lt;&gt;"Serviço",AND(AUTOEVENTO="Manual",$M35=$A$15)),0,
         IF(OFFSET(CRONOPLE!$F$15,$M35-$A$15,CM$13)=0,10^12,OFFSET(CRONOPLE!$F$15,$M35-$A$15,CM$13)))</f>
        <v>21</v>
      </c>
      <c r="CN35" s="353" t="n">
        <f aca="true">IF(OR($D35&lt;&gt;"Serviço",AND(AUTOEVENTO="Manual",$M35=$A$15)),0,
         IF(OFFSET(CRONOPLE!$F$15,$M35-$A$15,CN$13)=0,10^12,OFFSET(CRONOPLE!$F$15,$M35-$A$15,CN$13)))</f>
        <v>22</v>
      </c>
      <c r="CO35" s="353" t="n">
        <f aca="true">IF(OR($D35&lt;&gt;"Serviço",AND(AUTOEVENTO="Manual",$M35=$A$15)),0,
         IF(OFFSET(CRONOPLE!$F$15,$M35-$A$15,CO$13)=0,10^12,OFFSET(CRONOPLE!$F$15,$M35-$A$15,CO$13)))</f>
        <v>23</v>
      </c>
      <c r="CP35" s="353" t="n">
        <f aca="true">IF(OR($D35&lt;&gt;"Serviço",AND(AUTOEVENTO="Manual",$M35=$A$15)),0,
         IF(OFFSET(CRONOPLE!$F$15,$M35-$A$15,CP$13)=0,10^12,OFFSET(CRONOPLE!$F$15,$M35-$A$15,CP$13)))</f>
        <v>24</v>
      </c>
      <c r="CQ35" s="353" t="n">
        <f aca="true">IF(OR($D35&lt;&gt;"Serviço",AND(AUTOEVENTO="Manual",$M35=$A$15)),0,
         IF(OFFSET(CRONOPLE!$F$15,$M35-$A$15,CQ$13)=0,10^12,OFFSET(CRONOPLE!$F$15,$M35-$A$15,CQ$13)))</f>
        <v>25</v>
      </c>
      <c r="CR35" s="353" t="n">
        <f aca="true">IF(OR($D35&lt;&gt;"Serviço",AND(AUTOEVENTO="Manual",$M35=$A$15)),0,
         IF(OFFSET(CRONOPLE!$F$15,$M35-$A$15,CR$13)=0,10^12,OFFSET(CRONOPLE!$F$15,$M35-$A$15,CR$13)))</f>
        <v>1000000000000</v>
      </c>
      <c r="CT35" s="354" t="n">
        <f aca="true">IF(OR($D35&lt;&gt;"Serviço",AND(AUTOEVENTO="Manual",$M35=$A$15),$M35&gt;(ROW(PLE.lastrow)-ROW(PLE.firstrow))),0,
           IF(OFFSET(PLE!$G$15,$M35-$A$15,CT$13)="",10^12,OFFSET(PLE!$G$15,$M35-$A$15,CT$13)))</f>
        <v>1000000000000</v>
      </c>
      <c r="CU35" s="354" t="n">
        <f aca="true">IF(OR($D35&lt;&gt;"Serviço",AND(AUTOEVENTO="Manual",$M35=$A$15),$M35&gt;(ROW(PLE.lastrow)-ROW(PLE.firstrow))),0,
           IF(OFFSET(PLE!$G$15,$M35-$A$15,CU$13)="",10^12,OFFSET(PLE!$G$15,$M35-$A$15,CU$13)))</f>
        <v>1000000000000</v>
      </c>
      <c r="CV35" s="354" t="n">
        <f aca="true">IF(OR($D35&lt;&gt;"Serviço",AND(AUTOEVENTO="Manual",$M35=$A$15),$M35&gt;(ROW(PLE.lastrow)-ROW(PLE.firstrow))),0,
           IF(OFFSET(PLE!$G$15,$M35-$A$15,CV$13)="",10^12,OFFSET(PLE!$G$15,$M35-$A$15,CV$13)))</f>
        <v>1000000000000</v>
      </c>
      <c r="CW35" s="354" t="n">
        <f aca="true">IF(OR($D35&lt;&gt;"Serviço",AND(AUTOEVENTO="Manual",$M35=$A$15),$M35&gt;(ROW(PLE.lastrow)-ROW(PLE.firstrow))),0,
           IF(OFFSET(PLE!$G$15,$M35-$A$15,CW$13)="",10^12,OFFSET(PLE!$G$15,$M35-$A$15,CW$13)))</f>
        <v>1000000000000</v>
      </c>
      <c r="CX35" s="354" t="n">
        <f aca="true">IF(OR($D35&lt;&gt;"Serviço",AND(AUTOEVENTO="Manual",$M35=$A$15),$M35&gt;(ROW(PLE.lastrow)-ROW(PLE.firstrow))),0,
           IF(OFFSET(PLE!$G$15,$M35-$A$15,CX$13)="",10^12,OFFSET(PLE!$G$15,$M35-$A$15,CX$13)))</f>
        <v>1000000000000</v>
      </c>
      <c r="CY35" s="354" t="n">
        <f aca="true">IF(OR($D35&lt;&gt;"Serviço",AND(AUTOEVENTO="Manual",$M35=$A$15),$M35&gt;(ROW(PLE.lastrow)-ROW(PLE.firstrow))),0,
           IF(OFFSET(PLE!$G$15,$M35-$A$15,CY$13)="",10^12,OFFSET(PLE!$G$15,$M35-$A$15,CY$13)))</f>
        <v>1000000000000</v>
      </c>
      <c r="CZ35" s="354" t="n">
        <f aca="true">IF(OR($D35&lt;&gt;"Serviço",AND(AUTOEVENTO="Manual",$M35=$A$15),$M35&gt;(ROW(PLE.lastrow)-ROW(PLE.firstrow))),0,
           IF(OFFSET(PLE!$G$15,$M35-$A$15,CZ$13)="",10^12,OFFSET(PLE!$G$15,$M35-$A$15,CZ$13)))</f>
        <v>1000000000000</v>
      </c>
      <c r="DA35" s="354" t="n">
        <f aca="true">IF(OR($D35&lt;&gt;"Serviço",AND(AUTOEVENTO="Manual",$M35=$A$15),$M35&gt;(ROW(PLE.lastrow)-ROW(PLE.firstrow))),0,
           IF(OFFSET(PLE!$G$15,$M35-$A$15,DA$13)="",10^12,OFFSET(PLE!$G$15,$M35-$A$15,DA$13)))</f>
        <v>1000000000000</v>
      </c>
      <c r="DB35" s="354" t="n">
        <f aca="true">IF(OR($D35&lt;&gt;"Serviço",AND(AUTOEVENTO="Manual",$M35=$A$15),$M35&gt;(ROW(PLE.lastrow)-ROW(PLE.firstrow))),0,
           IF(OFFSET(PLE!$G$15,$M35-$A$15,DB$13)="",10^12,OFFSET(PLE!$G$15,$M35-$A$15,DB$13)))</f>
        <v>1000000000000</v>
      </c>
      <c r="DC35" s="354" t="n">
        <f aca="true">IF(OR($D35&lt;&gt;"Serviço",AND(AUTOEVENTO="Manual",$M35=$A$15),$M35&gt;(ROW(PLE.lastrow)-ROW(PLE.firstrow))),0,
           IF(OFFSET(PLE!$G$15,$M35-$A$15,DC$13)="",10^12,OFFSET(PLE!$G$15,$M35-$A$15,DC$13)))</f>
        <v>1000000000000</v>
      </c>
      <c r="DD35" s="354" t="n">
        <f aca="true">IF(OR($D35&lt;&gt;"Serviço",AND(AUTOEVENTO="Manual",$M35=$A$15),$M35&gt;(ROW(PLE.lastrow)-ROW(PLE.firstrow))),0,
           IF(OFFSET(PLE!$G$15,$M35-$A$15,DD$13)="",10^12,OFFSET(PLE!$G$15,$M35-$A$15,DD$13)))</f>
        <v>1000000000000</v>
      </c>
      <c r="DE35" s="354" t="n">
        <f aca="true">IF(OR($D35&lt;&gt;"Serviço",AND(AUTOEVENTO="Manual",$M35=$A$15),$M35&gt;(ROW(PLE.lastrow)-ROW(PLE.firstrow))),0,
           IF(OFFSET(PLE!$G$15,$M35-$A$15,DE$13)="",10^12,OFFSET(PLE!$G$15,$M35-$A$15,DE$13)))</f>
        <v>1000000000000</v>
      </c>
      <c r="DF35" s="354" t="n">
        <f aca="true">IF(OR($D35&lt;&gt;"Serviço",AND(AUTOEVENTO="Manual",$M35=$A$15),$M35&gt;(ROW(PLE.lastrow)-ROW(PLE.firstrow))),0,
           IF(OFFSET(PLE!$G$15,$M35-$A$15,DF$13)="",10^12,OFFSET(PLE!$G$15,$M35-$A$15,DF$13)))</f>
        <v>1000000000000</v>
      </c>
      <c r="DG35" s="354" t="n">
        <f aca="true">IF(OR($D35&lt;&gt;"Serviço",AND(AUTOEVENTO="Manual",$M35=$A$15),$M35&gt;(ROW(PLE.lastrow)-ROW(PLE.firstrow))),0,
           IF(OFFSET(PLE!$G$15,$M35-$A$15,DG$13)="",10^12,OFFSET(PLE!$G$15,$M35-$A$15,DG$13)))</f>
        <v>1000000000000</v>
      </c>
      <c r="DH35" s="354" t="n">
        <f aca="true">IF(OR($D35&lt;&gt;"Serviço",AND(AUTOEVENTO="Manual",$M35=$A$15),$M35&gt;(ROW(PLE.lastrow)-ROW(PLE.firstrow))),0,
           IF(OFFSET(PLE!$G$15,$M35-$A$15,DH$13)="",10^12,OFFSET(PLE!$G$15,$M35-$A$15,DH$13)))</f>
        <v>1000000000000</v>
      </c>
      <c r="DI35" s="354" t="n">
        <f aca="true">IF(OR($D35&lt;&gt;"Serviço",AND(AUTOEVENTO="Manual",$M35=$A$15),$M35&gt;(ROW(PLE.lastrow)-ROW(PLE.firstrow))),0,
           IF(OFFSET(PLE!$G$15,$M35-$A$15,DI$13)="",10^12,OFFSET(PLE!$G$15,$M35-$A$15,DI$13)))</f>
        <v>1000000000000</v>
      </c>
      <c r="DJ35" s="354" t="n">
        <f aca="true">IF(OR($D35&lt;&gt;"Serviço",AND(AUTOEVENTO="Manual",$M35=$A$15),$M35&gt;(ROW(PLE.lastrow)-ROW(PLE.firstrow))),0,
           IF(OFFSET(PLE!$G$15,$M35-$A$15,DJ$13)="",10^12,OFFSET(PLE!$G$15,$M35-$A$15,DJ$13)))</f>
        <v>1000000000000</v>
      </c>
      <c r="DK35" s="354" t="n">
        <f aca="true">IF(OR($D35&lt;&gt;"Serviço",AND(AUTOEVENTO="Manual",$M35=$A$15),$M35&gt;(ROW(PLE.lastrow)-ROW(PLE.firstrow))),0,
           IF(OFFSET(PLE!$G$15,$M35-$A$15,DK$13)="",10^12,OFFSET(PLE!$G$15,$M35-$A$15,DK$13)))</f>
        <v>1000000000000</v>
      </c>
      <c r="DL35" s="354" t="n">
        <f aca="true">IF(OR($D35&lt;&gt;"Serviço",AND(AUTOEVENTO="Manual",$M35=$A$15),$M35&gt;(ROW(PLE.lastrow)-ROW(PLE.firstrow))),0,
           IF(OFFSET(PLE!$G$15,$M35-$A$15,DL$13)="",10^12,OFFSET(PLE!$G$15,$M35-$A$15,DL$13)))</f>
        <v>1000000000000</v>
      </c>
      <c r="DM35" s="354" t="n">
        <f aca="true">IF(OR($D35&lt;&gt;"Serviço",AND(AUTOEVENTO="Manual",$M35=$A$15),$M35&gt;(ROW(PLE.lastrow)-ROW(PLE.firstrow))),0,
           IF(OFFSET(PLE!$G$15,$M35-$A$15,DM$13)="",10^12,OFFSET(PLE!$G$15,$M35-$A$15,DM$13)))</f>
        <v>1000000000000</v>
      </c>
      <c r="DN35" s="354" t="n">
        <f aca="true">IF(OR($D35&lt;&gt;"Serviço",AND(AUTOEVENTO="Manual",$M35=$A$15),$M35&gt;(ROW(PLE.lastrow)-ROW(PLE.firstrow))),0,
           IF(OFFSET(PLE!$G$15,$M35-$A$15,DN$13)="",10^12,OFFSET(PLE!$G$15,$M35-$A$15,DN$13)))</f>
        <v>1000000000000</v>
      </c>
      <c r="DO35" s="354" t="n">
        <f aca="true">IF(OR($D35&lt;&gt;"Serviço",AND(AUTOEVENTO="Manual",$M35=$A$15),$M35&gt;(ROW(PLE.lastrow)-ROW(PLE.firstrow))),0,
           IF(OFFSET(PLE!$G$15,$M35-$A$15,DO$13)="",10^12,OFFSET(PLE!$G$15,$M35-$A$15,DO$13)))</f>
        <v>1000000000000</v>
      </c>
      <c r="DP35" s="354" t="n">
        <f aca="true">IF(OR($D35&lt;&gt;"Serviço",AND(AUTOEVENTO="Manual",$M35=$A$15),$M35&gt;(ROW(PLE.lastrow)-ROW(PLE.firstrow))),0,
           IF(OFFSET(PLE!$G$15,$M35-$A$15,DP$13)="",10^12,OFFSET(PLE!$G$15,$M35-$A$15,DP$13)))</f>
        <v>1000000000000</v>
      </c>
      <c r="DQ35" s="354" t="n">
        <f aca="true">IF(OR($D35&lt;&gt;"Serviço",AND(AUTOEVENTO="Manual",$M35=$A$15),$M35&gt;(ROW(PLE.lastrow)-ROW(PLE.firstrow))),0,
           IF(OFFSET(PLE!$G$15,$M35-$A$15,DQ$13)="",10^12,OFFSET(PLE!$G$15,$M35-$A$15,DQ$13)))</f>
        <v>1000000000000</v>
      </c>
      <c r="DR35" s="354" t="n">
        <f aca="true">IF(OR($D35&lt;&gt;"Serviço",AND(AUTOEVENTO="Manual",$M35=$A$15),$M35&gt;(ROW(PLE.lastrow)-ROW(PLE.firstrow))),0,
           IF(OFFSET(PLE!$G$15,$M35-$A$15,DR$13)="",10^12,OFFSET(PLE!$G$15,$M35-$A$15,DR$13)))</f>
        <v>1000000000000</v>
      </c>
      <c r="DS35" s="354" t="n">
        <f aca="true">IF(OR($D35&lt;&gt;"Serviço",AND(AUTOEVENTO="Manual",$M35=$A$15),$M35&gt;(ROW(PLE.lastrow)-ROW(PLE.firstrow))),0,
           IF(OFFSET(PLE!$G$15,$M35-$A$15,DS$13)="",10^12,OFFSET(PLE!$G$15,$M35-$A$15,DS$13)))</f>
        <v>1000000000000</v>
      </c>
    </row>
    <row r="36" customFormat="false" ht="35.05" hidden="false" customHeight="false" outlineLevel="0" collapsed="false">
      <c r="A36" s="50" t="str">
        <f aca="true">IFERROR(IF(AUTOEVENTO="Manual",IF(K36&lt;&gt;"",MIN(VALUE(LEFT(K36,FIND(".",K36)-1)),COUNTA(EVENTOS.Lista)),0),IF(OR($B36&gt;AUTOEVENTO,$B36="S",$B36=0),SUBSTITUTE(OFFSET($A36,-1,0),IF($D36="Serviço",".",""),""),ROW(A36)-ROW($A$15)&amp;".")),0)</f>
        <v>14</v>
      </c>
      <c r="B36" s="50" t="str">
        <f aca="true">OFFSET(ORÇAMENTO!C$15,ROW(B36)-ROW(B$15),0)</f>
        <v>S</v>
      </c>
      <c r="C36" s="50" t="str">
        <f aca="true">OFFSET(ORÇAMENTO!L$15,ROW(C36)-ROW(C$15),0)</f>
        <v>F</v>
      </c>
      <c r="D36" s="201" t="str">
        <f aca="true">OFFSET(ORÇAMENTO!N$15,ROW(D36)-ROW(D$15),0)</f>
        <v>Serviço</v>
      </c>
      <c r="E36" s="202" t="str">
        <f aca="true">OFFSET(ORÇAMENTO!O$15,ROW(E36)-ROW(E$15),0)</f>
        <v>1.5.7.</v>
      </c>
      <c r="F36" s="341" t="str">
        <f aca="true">OFFSET(ORÇAMENTO!R$15,ROW(F36)-ROW(F$15),0)</f>
        <v>ARMAÇÃO DE SAPATA ISOLADA, VIGA BALDRAME E SAPATA CORRIDA UTILIZANDO AÇO CA-50 DE 10 MM -
MONTAGEM. AF_01/2024</v>
      </c>
      <c r="G36" s="342" t="str">
        <f aca="true">IF($D36&lt;&gt;"Serviço","",OFFSET(ORÇAMENTO!S$15,ROW(G36)-ROW(G$15),0))</f>
        <v>KG</v>
      </c>
      <c r="H36" s="207" t="n">
        <f aca="true">IF($D36&lt;&gt;"Serviço",0,IF(ACOMPANHAMENTO="BM",ROUND(OFFSET(ORÇAMENTO!AJ$15,ROW(H36)-ROW(H$15),0),15-13*ORÇAMENTO!$AF$7),SUMPRODUCT(($Q$1:$AQ$1=1)*ROUND($Q36:$AQ36,15-13*ORÇAMENTO!$AF$7))))</f>
        <v>1880</v>
      </c>
      <c r="I36" s="343" t="s">
        <v>926</v>
      </c>
      <c r="J36" s="344" t="e">
        <f aca="false">IF(OR(B36&lt;&gt;"S",CÁLCULO.FrentesPreenchidas=0),"",IF(AND(ACOMPANHAMENTO="PLE",AUTOEVENTO="Manual",OR(H36&gt;0,ORÇAMENTO!AC36="QUANT."),OR(K36="",M36=0,N36="")),"►",IF(AND(ACOMPANHAMENTO="PLE",ORÇAMENTO!AC36="QUANT."),"►►",IF(AND(COUNTIF($P$11:$AQ$11,"▼")=0,H36&gt;0,I36=""),"◄",""))))</f>
        <v>#NAME?</v>
      </c>
      <c r="K36" s="345"/>
      <c r="L36" s="346" t="s">
        <v>876</v>
      </c>
      <c r="M36" s="347" t="n">
        <f aca="true">IF($D36&lt;&gt;"Serviço","",
          IF(AUTOEVENTO="manual",$A36,
                IF(ISERROR(MATCH($A36,$A$15:OFFSET($A36,-1,0),0)),MAX($M$15:OFFSET(M36,-1,0))+1,
                      INDEX($M$15:OFFSET(M36,-1,0),MATCH($A36,$A$15:OFFSET($A36,-1,0),0)))))</f>
        <v>3</v>
      </c>
      <c r="N36" s="348" t="str">
        <f aca="true">IF($D36&lt;&gt;"Serviço","",
         IF(AUTOEVENTO="Manual",
                IF($A36=0,"&lt;-- defina o número do agrupador",
                       OFFSET(EVENTOS!$D$15,$A36-$A$15,0)),
                OFFSET($F$15,$A36,0)))</f>
        <v>SAPATA</v>
      </c>
      <c r="O36" s="349"/>
      <c r="Q36" s="349" t="n">
        <v>75.2</v>
      </c>
      <c r="R36" s="350" t="n">
        <f aca="false">Q36</f>
        <v>75.2</v>
      </c>
      <c r="S36" s="350" t="n">
        <f aca="false">R36</f>
        <v>75.2</v>
      </c>
      <c r="T36" s="350" t="n">
        <f aca="false">S36</f>
        <v>75.2</v>
      </c>
      <c r="U36" s="350" t="n">
        <f aca="false">T36</f>
        <v>75.2</v>
      </c>
      <c r="V36" s="350" t="n">
        <f aca="false">U36</f>
        <v>75.2</v>
      </c>
      <c r="W36" s="350" t="n">
        <f aca="false">V36</f>
        <v>75.2</v>
      </c>
      <c r="X36" s="350" t="n">
        <f aca="false">W36</f>
        <v>75.2</v>
      </c>
      <c r="Y36" s="350" t="n">
        <f aca="false">X36</f>
        <v>75.2</v>
      </c>
      <c r="Z36" s="351" t="n">
        <f aca="false">Y36</f>
        <v>75.2</v>
      </c>
      <c r="AA36" s="350" t="n">
        <f aca="false">Z36</f>
        <v>75.2</v>
      </c>
      <c r="AB36" s="350" t="n">
        <f aca="false">AA36</f>
        <v>75.2</v>
      </c>
      <c r="AC36" s="350" t="n">
        <f aca="false">AB36</f>
        <v>75.2</v>
      </c>
      <c r="AD36" s="350" t="n">
        <f aca="false">AC36</f>
        <v>75.2</v>
      </c>
      <c r="AE36" s="350" t="n">
        <f aca="false">AD36</f>
        <v>75.2</v>
      </c>
      <c r="AF36" s="350" t="n">
        <f aca="false">AE36</f>
        <v>75.2</v>
      </c>
      <c r="AG36" s="350" t="n">
        <f aca="false">AF36</f>
        <v>75.2</v>
      </c>
      <c r="AH36" s="351" t="n">
        <f aca="false">AG36</f>
        <v>75.2</v>
      </c>
      <c r="AI36" s="350" t="n">
        <f aca="false">AH36</f>
        <v>75.2</v>
      </c>
      <c r="AJ36" s="350" t="n">
        <f aca="false">AI36</f>
        <v>75.2</v>
      </c>
      <c r="AK36" s="350" t="n">
        <f aca="false">AJ36</f>
        <v>75.2</v>
      </c>
      <c r="AL36" s="350" t="n">
        <f aca="false">AK36</f>
        <v>75.2</v>
      </c>
      <c r="AM36" s="350" t="n">
        <f aca="false">AL36</f>
        <v>75.2</v>
      </c>
      <c r="AN36" s="350" t="n">
        <f aca="false">AM36</f>
        <v>75.2</v>
      </c>
      <c r="AO36" s="350" t="n">
        <f aca="false">AN36</f>
        <v>75.2</v>
      </c>
      <c r="AP36" s="351"/>
      <c r="AR36" s="352" t="n">
        <f aca="true">IF(AND($D36="Serviço",AR$12&lt;&gt;0,$H36&gt;0,OR(AUTOEVENTO&lt;&gt;"manual",$M36&lt;&gt;$A$15)),
        IF(Import.TipoArredondamento&lt;&gt;"TransfereGOV",
              ROUND(OFFSET($P36,0,AR$13),15-13*ORÇAMENTO!$AF$7)/$H36*OFFSET(ORÇAMENTO!$X$15,ROW(AR36)-ROW(AR$15),0),
              ROUND(ROUND(OFFSET($P36,0,AR$13),15-13*ORÇAMENTO!$AF$7)*OFFSET(ORÇAMENTO!$W$15,ROW(AR36)-ROW(AR$15),0),15-13*ORÇAMENTO!$AF$11)),
         0)</f>
        <v>1220.5</v>
      </c>
      <c r="AS36" s="352" t="n">
        <f aca="true">IF(AND($D36="Serviço",AS$12&lt;&gt;0,$H36&gt;0,OR(AUTOEVENTO&lt;&gt;"manual",$M36&lt;&gt;$A$15)),
        IF(Import.TipoArredondamento&lt;&gt;"TransfereGOV",
              ROUND(OFFSET($P36,0,AS$13),15-13*ORÇAMENTO!$AF$7)/$H36*OFFSET(ORÇAMENTO!$X$15,ROW(AS36)-ROW(AS$15),0),
              ROUND(ROUND(OFFSET($P36,0,AS$13),15-13*ORÇAMENTO!$AF$7)*OFFSET(ORÇAMENTO!$W$15,ROW(AS36)-ROW(AS$15),0),15-13*ORÇAMENTO!$AF$11)),
         0)</f>
        <v>1220.5</v>
      </c>
      <c r="AT36" s="352" t="n">
        <f aca="true">IF(AND($D36="Serviço",AT$12&lt;&gt;0,$H36&gt;0,OR(AUTOEVENTO&lt;&gt;"manual",$M36&lt;&gt;$A$15)),
        IF(Import.TipoArredondamento&lt;&gt;"TransfereGOV",
              ROUND(OFFSET($P36,0,AT$13),15-13*ORÇAMENTO!$AF$7)/$H36*OFFSET(ORÇAMENTO!$X$15,ROW(AT36)-ROW(AT$15),0),
              ROUND(ROUND(OFFSET($P36,0,AT$13),15-13*ORÇAMENTO!$AF$7)*OFFSET(ORÇAMENTO!$W$15,ROW(AT36)-ROW(AT$15),0),15-13*ORÇAMENTO!$AF$11)),
         0)</f>
        <v>1220.5</v>
      </c>
      <c r="AU36" s="352" t="n">
        <f aca="true">IF(AND($D36="Serviço",AU$12&lt;&gt;0,$H36&gt;0,OR(AUTOEVENTO&lt;&gt;"manual",$M36&lt;&gt;$A$15)),
        IF(Import.TipoArredondamento&lt;&gt;"TransfereGOV",
              ROUND(OFFSET($P36,0,AU$13),15-13*ORÇAMENTO!$AF$7)/$H36*OFFSET(ORÇAMENTO!$X$15,ROW(AU36)-ROW(AU$15),0),
              ROUND(ROUND(OFFSET($P36,0,AU$13),15-13*ORÇAMENTO!$AF$7)*OFFSET(ORÇAMENTO!$W$15,ROW(AU36)-ROW(AU$15),0),15-13*ORÇAMENTO!$AF$11)),
         0)</f>
        <v>1220.5</v>
      </c>
      <c r="AV36" s="352" t="n">
        <f aca="true">IF(AND($D36="Serviço",AV$12&lt;&gt;0,$H36&gt;0,OR(AUTOEVENTO&lt;&gt;"manual",$M36&lt;&gt;$A$15)),
        IF(Import.TipoArredondamento&lt;&gt;"TransfereGOV",
              ROUND(OFFSET($P36,0,AV$13),15-13*ORÇAMENTO!$AF$7)/$H36*OFFSET(ORÇAMENTO!$X$15,ROW(AV36)-ROW(AV$15),0),
              ROUND(ROUND(OFFSET($P36,0,AV$13),15-13*ORÇAMENTO!$AF$7)*OFFSET(ORÇAMENTO!$W$15,ROW(AV36)-ROW(AV$15),0),15-13*ORÇAMENTO!$AF$11)),
         0)</f>
        <v>1220.5</v>
      </c>
      <c r="AW36" s="352" t="n">
        <f aca="true">IF(AND($D36="Serviço",AW$12&lt;&gt;0,$H36&gt;0,OR(AUTOEVENTO&lt;&gt;"manual",$M36&lt;&gt;$A$15)),
        IF(Import.TipoArredondamento&lt;&gt;"TransfereGOV",
              ROUND(OFFSET($P36,0,AW$13),15-13*ORÇAMENTO!$AF$7)/$H36*OFFSET(ORÇAMENTO!$X$15,ROW(AW36)-ROW(AW$15),0),
              ROUND(ROUND(OFFSET($P36,0,AW$13),15-13*ORÇAMENTO!$AF$7)*OFFSET(ORÇAMENTO!$W$15,ROW(AW36)-ROW(AW$15),0),15-13*ORÇAMENTO!$AF$11)),
         0)</f>
        <v>1220.5</v>
      </c>
      <c r="AX36" s="352" t="n">
        <f aca="true">IF(AND($D36="Serviço",AX$12&lt;&gt;0,$H36&gt;0,OR(AUTOEVENTO&lt;&gt;"manual",$M36&lt;&gt;$A$15)),
        IF(Import.TipoArredondamento&lt;&gt;"TransfereGOV",
              ROUND(OFFSET($P36,0,AX$13),15-13*ORÇAMENTO!$AF$7)/$H36*OFFSET(ORÇAMENTO!$X$15,ROW(AX36)-ROW(AX$15),0),
              ROUND(ROUND(OFFSET($P36,0,AX$13),15-13*ORÇAMENTO!$AF$7)*OFFSET(ORÇAMENTO!$W$15,ROW(AX36)-ROW(AX$15),0),15-13*ORÇAMENTO!$AF$11)),
         0)</f>
        <v>1220.5</v>
      </c>
      <c r="AY36" s="352" t="n">
        <f aca="true">IF(AND($D36="Serviço",AY$12&lt;&gt;0,$H36&gt;0,OR(AUTOEVENTO&lt;&gt;"manual",$M36&lt;&gt;$A$15)),
        IF(Import.TipoArredondamento&lt;&gt;"TransfereGOV",
              ROUND(OFFSET($P36,0,AY$13),15-13*ORÇAMENTO!$AF$7)/$H36*OFFSET(ORÇAMENTO!$X$15,ROW(AY36)-ROW(AY$15),0),
              ROUND(ROUND(OFFSET($P36,0,AY$13),15-13*ORÇAMENTO!$AF$7)*OFFSET(ORÇAMENTO!$W$15,ROW(AY36)-ROW(AY$15),0),15-13*ORÇAMENTO!$AF$11)),
         0)</f>
        <v>1220.5</v>
      </c>
      <c r="AZ36" s="352" t="n">
        <f aca="true">IF(AND($D36="Serviço",AZ$12&lt;&gt;0,$H36&gt;0,OR(AUTOEVENTO&lt;&gt;"manual",$M36&lt;&gt;$A$15)),
        IF(Import.TipoArredondamento&lt;&gt;"TransfereGOV",
              ROUND(OFFSET($P36,0,AZ$13),15-13*ORÇAMENTO!$AF$7)/$H36*OFFSET(ORÇAMENTO!$X$15,ROW(AZ36)-ROW(AZ$15),0),
              ROUND(ROUND(OFFSET($P36,0,AZ$13),15-13*ORÇAMENTO!$AF$7)*OFFSET(ORÇAMENTO!$W$15,ROW(AZ36)-ROW(AZ$15),0),15-13*ORÇAMENTO!$AF$11)),
         0)</f>
        <v>1220.5</v>
      </c>
      <c r="BA36" s="352" t="n">
        <f aca="true">IF(AND($D36="Serviço",BA$12&lt;&gt;0,$H36&gt;0,OR(AUTOEVENTO&lt;&gt;"manual",$M36&lt;&gt;$A$15)),
        IF(Import.TipoArredondamento&lt;&gt;"TransfereGOV",
              ROUND(OFFSET($P36,0,BA$13),15-13*ORÇAMENTO!$AF$7)/$H36*OFFSET(ORÇAMENTO!$X$15,ROW(BA36)-ROW(BA$15),0),
              ROUND(ROUND(OFFSET($P36,0,BA$13),15-13*ORÇAMENTO!$AF$7)*OFFSET(ORÇAMENTO!$W$15,ROW(BA36)-ROW(BA$15),0),15-13*ORÇAMENTO!$AF$11)),
         0)</f>
        <v>1220.5</v>
      </c>
      <c r="BB36" s="352" t="n">
        <f aca="true">IF(AND($D36="Serviço",BB$12&lt;&gt;0,$H36&gt;0,OR(AUTOEVENTO&lt;&gt;"manual",$M36&lt;&gt;$A$15)),
        IF(Import.TipoArredondamento&lt;&gt;"TransfereGOV",
              ROUND(OFFSET($P36,0,BB$13),15-13*ORÇAMENTO!$AF$7)/$H36*OFFSET(ORÇAMENTO!$X$15,ROW(BB36)-ROW(BB$15),0),
              ROUND(ROUND(OFFSET($P36,0,BB$13),15-13*ORÇAMENTO!$AF$7)*OFFSET(ORÇAMENTO!$W$15,ROW(BB36)-ROW(BB$15),0),15-13*ORÇAMENTO!$AF$11)),
         0)</f>
        <v>1220.5</v>
      </c>
      <c r="BC36" s="352" t="n">
        <f aca="true">IF(AND($D36="Serviço",BC$12&lt;&gt;0,$H36&gt;0,OR(AUTOEVENTO&lt;&gt;"manual",$M36&lt;&gt;$A$15)),
        IF(Import.TipoArredondamento&lt;&gt;"TransfereGOV",
              ROUND(OFFSET($P36,0,BC$13),15-13*ORÇAMENTO!$AF$7)/$H36*OFFSET(ORÇAMENTO!$X$15,ROW(BC36)-ROW(BC$15),0),
              ROUND(ROUND(OFFSET($P36,0,BC$13),15-13*ORÇAMENTO!$AF$7)*OFFSET(ORÇAMENTO!$W$15,ROW(BC36)-ROW(BC$15),0),15-13*ORÇAMENTO!$AF$11)),
         0)</f>
        <v>1220.5</v>
      </c>
      <c r="BD36" s="352" t="n">
        <f aca="true">IF(AND($D36="Serviço",BD$12&lt;&gt;0,$H36&gt;0,OR(AUTOEVENTO&lt;&gt;"manual",$M36&lt;&gt;$A$15)),
        IF(Import.TipoArredondamento&lt;&gt;"TransfereGOV",
              ROUND(OFFSET($P36,0,BD$13),15-13*ORÇAMENTO!$AF$7)/$H36*OFFSET(ORÇAMENTO!$X$15,ROW(BD36)-ROW(BD$15),0),
              ROUND(ROUND(OFFSET($P36,0,BD$13),15-13*ORÇAMENTO!$AF$7)*OFFSET(ORÇAMENTO!$W$15,ROW(BD36)-ROW(BD$15),0),15-13*ORÇAMENTO!$AF$11)),
         0)</f>
        <v>1220.5</v>
      </c>
      <c r="BE36" s="352" t="n">
        <f aca="true">IF(AND($D36="Serviço",BE$12&lt;&gt;0,$H36&gt;0,OR(AUTOEVENTO&lt;&gt;"manual",$M36&lt;&gt;$A$15)),
        IF(Import.TipoArredondamento&lt;&gt;"TransfereGOV",
              ROUND(OFFSET($P36,0,BE$13),15-13*ORÇAMENTO!$AF$7)/$H36*OFFSET(ORÇAMENTO!$X$15,ROW(BE36)-ROW(BE$15),0),
              ROUND(ROUND(OFFSET($P36,0,BE$13),15-13*ORÇAMENTO!$AF$7)*OFFSET(ORÇAMENTO!$W$15,ROW(BE36)-ROW(BE$15),0),15-13*ORÇAMENTO!$AF$11)),
         0)</f>
        <v>1220.5</v>
      </c>
      <c r="BF36" s="352" t="n">
        <f aca="true">IF(AND($D36="Serviço",BF$12&lt;&gt;0,$H36&gt;0,OR(AUTOEVENTO&lt;&gt;"manual",$M36&lt;&gt;$A$15)),
        IF(Import.TipoArredondamento&lt;&gt;"TransfereGOV",
              ROUND(OFFSET($P36,0,BF$13),15-13*ORÇAMENTO!$AF$7)/$H36*OFFSET(ORÇAMENTO!$X$15,ROW(BF36)-ROW(BF$15),0),
              ROUND(ROUND(OFFSET($P36,0,BF$13),15-13*ORÇAMENTO!$AF$7)*OFFSET(ORÇAMENTO!$W$15,ROW(BF36)-ROW(BF$15),0),15-13*ORÇAMENTO!$AF$11)),
         0)</f>
        <v>1220.5</v>
      </c>
      <c r="BG36" s="352" t="n">
        <f aca="true">IF(AND($D36="Serviço",BG$12&lt;&gt;0,$H36&gt;0,OR(AUTOEVENTO&lt;&gt;"manual",$M36&lt;&gt;$A$15)),
        IF(Import.TipoArredondamento&lt;&gt;"TransfereGOV",
              ROUND(OFFSET($P36,0,BG$13),15-13*ORÇAMENTO!$AF$7)/$H36*OFFSET(ORÇAMENTO!$X$15,ROW(BG36)-ROW(BG$15),0),
              ROUND(ROUND(OFFSET($P36,0,BG$13),15-13*ORÇAMENTO!$AF$7)*OFFSET(ORÇAMENTO!$W$15,ROW(BG36)-ROW(BG$15),0),15-13*ORÇAMENTO!$AF$11)),
         0)</f>
        <v>1220.5</v>
      </c>
      <c r="BH36" s="352" t="n">
        <f aca="true">IF(AND($D36="Serviço",BH$12&lt;&gt;0,$H36&gt;0,OR(AUTOEVENTO&lt;&gt;"manual",$M36&lt;&gt;$A$15)),
        IF(Import.TipoArredondamento&lt;&gt;"TransfereGOV",
              ROUND(OFFSET($P36,0,BH$13),15-13*ORÇAMENTO!$AF$7)/$H36*OFFSET(ORÇAMENTO!$X$15,ROW(BH36)-ROW(BH$15),0),
              ROUND(ROUND(OFFSET($P36,0,BH$13),15-13*ORÇAMENTO!$AF$7)*OFFSET(ORÇAMENTO!$W$15,ROW(BH36)-ROW(BH$15),0),15-13*ORÇAMENTO!$AF$11)),
         0)</f>
        <v>1220.5</v>
      </c>
      <c r="BI36" s="352" t="n">
        <f aca="true">IF(AND($D36="Serviço",BI$12&lt;&gt;0,$H36&gt;0,OR(AUTOEVENTO&lt;&gt;"manual",$M36&lt;&gt;$A$15)),
        IF(Import.TipoArredondamento&lt;&gt;"TransfereGOV",
              ROUND(OFFSET($P36,0,BI$13),15-13*ORÇAMENTO!$AF$7)/$H36*OFFSET(ORÇAMENTO!$X$15,ROW(BI36)-ROW(BI$15),0),
              ROUND(ROUND(OFFSET($P36,0,BI$13),15-13*ORÇAMENTO!$AF$7)*OFFSET(ORÇAMENTO!$W$15,ROW(BI36)-ROW(BI$15),0),15-13*ORÇAMENTO!$AF$11)),
         0)</f>
        <v>1220.5</v>
      </c>
      <c r="BJ36" s="352" t="n">
        <f aca="true">IF(AND($D36="Serviço",BJ$12&lt;&gt;0,$H36&gt;0,OR(AUTOEVENTO&lt;&gt;"manual",$M36&lt;&gt;$A$15)),
        IF(Import.TipoArredondamento&lt;&gt;"TransfereGOV",
              ROUND(OFFSET($P36,0,BJ$13),15-13*ORÇAMENTO!$AF$7)/$H36*OFFSET(ORÇAMENTO!$X$15,ROW(BJ36)-ROW(BJ$15),0),
              ROUND(ROUND(OFFSET($P36,0,BJ$13),15-13*ORÇAMENTO!$AF$7)*OFFSET(ORÇAMENTO!$W$15,ROW(BJ36)-ROW(BJ$15),0),15-13*ORÇAMENTO!$AF$11)),
         0)</f>
        <v>1220.5</v>
      </c>
      <c r="BK36" s="352" t="n">
        <f aca="true">IF(AND($D36="Serviço",BK$12&lt;&gt;0,$H36&gt;0,OR(AUTOEVENTO&lt;&gt;"manual",$M36&lt;&gt;$A$15)),
        IF(Import.TipoArredondamento&lt;&gt;"TransfereGOV",
              ROUND(OFFSET($P36,0,BK$13),15-13*ORÇAMENTO!$AF$7)/$H36*OFFSET(ORÇAMENTO!$X$15,ROW(BK36)-ROW(BK$15),0),
              ROUND(ROUND(OFFSET($P36,0,BK$13),15-13*ORÇAMENTO!$AF$7)*OFFSET(ORÇAMENTO!$W$15,ROW(BK36)-ROW(BK$15),0),15-13*ORÇAMENTO!$AF$11)),
         0)</f>
        <v>1220.5</v>
      </c>
      <c r="BL36" s="352" t="n">
        <f aca="true">IF(AND($D36="Serviço",BL$12&lt;&gt;0,$H36&gt;0,OR(AUTOEVENTO&lt;&gt;"manual",$M36&lt;&gt;$A$15)),
        IF(Import.TipoArredondamento&lt;&gt;"TransfereGOV",
              ROUND(OFFSET($P36,0,BL$13),15-13*ORÇAMENTO!$AF$7)/$H36*OFFSET(ORÇAMENTO!$X$15,ROW(BL36)-ROW(BL$15),0),
              ROUND(ROUND(OFFSET($P36,0,BL$13),15-13*ORÇAMENTO!$AF$7)*OFFSET(ORÇAMENTO!$W$15,ROW(BL36)-ROW(BL$15),0),15-13*ORÇAMENTO!$AF$11)),
         0)</f>
        <v>1220.5</v>
      </c>
      <c r="BM36" s="352" t="n">
        <f aca="true">IF(AND($D36="Serviço",BM$12&lt;&gt;0,$H36&gt;0,OR(AUTOEVENTO&lt;&gt;"manual",$M36&lt;&gt;$A$15)),
        IF(Import.TipoArredondamento&lt;&gt;"TransfereGOV",
              ROUND(OFFSET($P36,0,BM$13),15-13*ORÇAMENTO!$AF$7)/$H36*OFFSET(ORÇAMENTO!$X$15,ROW(BM36)-ROW(BM$15),0),
              ROUND(ROUND(OFFSET($P36,0,BM$13),15-13*ORÇAMENTO!$AF$7)*OFFSET(ORÇAMENTO!$W$15,ROW(BM36)-ROW(BM$15),0),15-13*ORÇAMENTO!$AF$11)),
         0)</f>
        <v>1220.5</v>
      </c>
      <c r="BN36" s="352" t="n">
        <f aca="true">IF(AND($D36="Serviço",BN$12&lt;&gt;0,$H36&gt;0,OR(AUTOEVENTO&lt;&gt;"manual",$M36&lt;&gt;$A$15)),
        IF(Import.TipoArredondamento&lt;&gt;"TransfereGOV",
              ROUND(OFFSET($P36,0,BN$13),15-13*ORÇAMENTO!$AF$7)/$H36*OFFSET(ORÇAMENTO!$X$15,ROW(BN36)-ROW(BN$15),0),
              ROUND(ROUND(OFFSET($P36,0,BN$13),15-13*ORÇAMENTO!$AF$7)*OFFSET(ORÇAMENTO!$W$15,ROW(BN36)-ROW(BN$15),0),15-13*ORÇAMENTO!$AF$11)),
         0)</f>
        <v>1220.5</v>
      </c>
      <c r="BO36" s="352" t="n">
        <f aca="true">IF(AND($D36="Serviço",BO$12&lt;&gt;0,$H36&gt;0,OR(AUTOEVENTO&lt;&gt;"manual",$M36&lt;&gt;$A$15)),
        IF(Import.TipoArredondamento&lt;&gt;"TransfereGOV",
              ROUND(OFFSET($P36,0,BO$13),15-13*ORÇAMENTO!$AF$7)/$H36*OFFSET(ORÇAMENTO!$X$15,ROW(BO36)-ROW(BO$15),0),
              ROUND(ROUND(OFFSET($P36,0,BO$13),15-13*ORÇAMENTO!$AF$7)*OFFSET(ORÇAMENTO!$W$15,ROW(BO36)-ROW(BO$15),0),15-13*ORÇAMENTO!$AF$11)),
         0)</f>
        <v>1220.5</v>
      </c>
      <c r="BP36" s="352" t="n">
        <f aca="true">IF(AND($D36="Serviço",BP$12&lt;&gt;0,$H36&gt;0,OR(AUTOEVENTO&lt;&gt;"manual",$M36&lt;&gt;$A$15)),
        IF(Import.TipoArredondamento&lt;&gt;"TransfereGOV",
              ROUND(OFFSET($P36,0,BP$13),15-13*ORÇAMENTO!$AF$7)/$H36*OFFSET(ORÇAMENTO!$X$15,ROW(BP36)-ROW(BP$15),0),
              ROUND(ROUND(OFFSET($P36,0,BP$13),15-13*ORÇAMENTO!$AF$7)*OFFSET(ORÇAMENTO!$W$15,ROW(BP36)-ROW(BP$15),0),15-13*ORÇAMENTO!$AF$11)),
         0)</f>
        <v>1220.5</v>
      </c>
      <c r="BQ36" s="352" t="n">
        <f aca="true">IF(AND($D36="Serviço",BQ$12&lt;&gt;0,$H36&gt;0,OR(AUTOEVENTO&lt;&gt;"manual",$M36&lt;&gt;$A$15)),
        IF(Import.TipoArredondamento&lt;&gt;"TransfereGOV",
              ROUND(OFFSET($P36,0,BQ$13),15-13*ORÇAMENTO!$AF$7)/$H36*OFFSET(ORÇAMENTO!$X$15,ROW(BQ36)-ROW(BQ$15),0),
              ROUND(ROUND(OFFSET($P36,0,BQ$13),15-13*ORÇAMENTO!$AF$7)*OFFSET(ORÇAMENTO!$W$15,ROW(BQ36)-ROW(BQ$15),0),15-13*ORÇAMENTO!$AF$11)),
         0)</f>
        <v>0</v>
      </c>
      <c r="BS36" s="353" t="n">
        <f aca="true">IF(OR($D36&lt;&gt;"Serviço",AND(AUTOEVENTO="Manual",$M36=$A$15)),0,
         IF(OFFSET(CRONOPLE!$F$15,$M36-$A$15,BS$13)=0,10^12,OFFSET(CRONOPLE!$F$15,$M36-$A$15,BS$13)))</f>
        <v>1</v>
      </c>
      <c r="BT36" s="353" t="n">
        <f aca="true">IF(OR($D36&lt;&gt;"Serviço",AND(AUTOEVENTO="Manual",$M36=$A$15)),0,
         IF(OFFSET(CRONOPLE!$F$15,$M36-$A$15,BT$13)=0,10^12,OFFSET(CRONOPLE!$F$15,$M36-$A$15,BT$13)))</f>
        <v>2</v>
      </c>
      <c r="BU36" s="353" t="n">
        <f aca="true">IF(OR($D36&lt;&gt;"Serviço",AND(AUTOEVENTO="Manual",$M36=$A$15)),0,
         IF(OFFSET(CRONOPLE!$F$15,$M36-$A$15,BU$13)=0,10^12,OFFSET(CRONOPLE!$F$15,$M36-$A$15,BU$13)))</f>
        <v>3</v>
      </c>
      <c r="BV36" s="353" t="n">
        <f aca="true">IF(OR($D36&lt;&gt;"Serviço",AND(AUTOEVENTO="Manual",$M36=$A$15)),0,
         IF(OFFSET(CRONOPLE!$F$15,$M36-$A$15,BV$13)=0,10^12,OFFSET(CRONOPLE!$F$15,$M36-$A$15,BV$13)))</f>
        <v>4</v>
      </c>
      <c r="BW36" s="353" t="n">
        <f aca="true">IF(OR($D36&lt;&gt;"Serviço",AND(AUTOEVENTO="Manual",$M36=$A$15)),0,
         IF(OFFSET(CRONOPLE!$F$15,$M36-$A$15,BW$13)=0,10^12,OFFSET(CRONOPLE!$F$15,$M36-$A$15,BW$13)))</f>
        <v>5</v>
      </c>
      <c r="BX36" s="353" t="n">
        <f aca="true">IF(OR($D36&lt;&gt;"Serviço",AND(AUTOEVENTO="Manual",$M36=$A$15)),0,
         IF(OFFSET(CRONOPLE!$F$15,$M36-$A$15,BX$13)=0,10^12,OFFSET(CRONOPLE!$F$15,$M36-$A$15,BX$13)))</f>
        <v>6</v>
      </c>
      <c r="BY36" s="353" t="n">
        <f aca="true">IF(OR($D36&lt;&gt;"Serviço",AND(AUTOEVENTO="Manual",$M36=$A$15)),0,
         IF(OFFSET(CRONOPLE!$F$15,$M36-$A$15,BY$13)=0,10^12,OFFSET(CRONOPLE!$F$15,$M36-$A$15,BY$13)))</f>
        <v>7</v>
      </c>
      <c r="BZ36" s="353" t="n">
        <f aca="true">IF(OR($D36&lt;&gt;"Serviço",AND(AUTOEVENTO="Manual",$M36=$A$15)),0,
         IF(OFFSET(CRONOPLE!$F$15,$M36-$A$15,BZ$13)=0,10^12,OFFSET(CRONOPLE!$F$15,$M36-$A$15,BZ$13)))</f>
        <v>8</v>
      </c>
      <c r="CA36" s="353" t="n">
        <f aca="true">IF(OR($D36&lt;&gt;"Serviço",AND(AUTOEVENTO="Manual",$M36=$A$15)),0,
         IF(OFFSET(CRONOPLE!$F$15,$M36-$A$15,CA$13)=0,10^12,OFFSET(CRONOPLE!$F$15,$M36-$A$15,CA$13)))</f>
        <v>9</v>
      </c>
      <c r="CB36" s="353" t="n">
        <f aca="true">IF(OR($D36&lt;&gt;"Serviço",AND(AUTOEVENTO="Manual",$M36=$A$15)),0,
         IF(OFFSET(CRONOPLE!$F$15,$M36-$A$15,CB$13)=0,10^12,OFFSET(CRONOPLE!$F$15,$M36-$A$15,CB$13)))</f>
        <v>10</v>
      </c>
      <c r="CC36" s="353" t="n">
        <f aca="true">IF(OR($D36&lt;&gt;"Serviço",AND(AUTOEVENTO="Manual",$M36=$A$15)),0,
         IF(OFFSET(CRONOPLE!$F$15,$M36-$A$15,CC$13)=0,10^12,OFFSET(CRONOPLE!$F$15,$M36-$A$15,CC$13)))</f>
        <v>11</v>
      </c>
      <c r="CD36" s="353" t="n">
        <f aca="true">IF(OR($D36&lt;&gt;"Serviço",AND(AUTOEVENTO="Manual",$M36=$A$15)),0,
         IF(OFFSET(CRONOPLE!$F$15,$M36-$A$15,CD$13)=0,10^12,OFFSET(CRONOPLE!$F$15,$M36-$A$15,CD$13)))</f>
        <v>12</v>
      </c>
      <c r="CE36" s="353" t="n">
        <f aca="true">IF(OR($D36&lt;&gt;"Serviço",AND(AUTOEVENTO="Manual",$M36=$A$15)),0,
         IF(OFFSET(CRONOPLE!$F$15,$M36-$A$15,CE$13)=0,10^12,OFFSET(CRONOPLE!$F$15,$M36-$A$15,CE$13)))</f>
        <v>13</v>
      </c>
      <c r="CF36" s="353" t="n">
        <f aca="true">IF(OR($D36&lt;&gt;"Serviço",AND(AUTOEVENTO="Manual",$M36=$A$15)),0,
         IF(OFFSET(CRONOPLE!$F$15,$M36-$A$15,CF$13)=0,10^12,OFFSET(CRONOPLE!$F$15,$M36-$A$15,CF$13)))</f>
        <v>14</v>
      </c>
      <c r="CG36" s="353" t="n">
        <f aca="true">IF(OR($D36&lt;&gt;"Serviço",AND(AUTOEVENTO="Manual",$M36=$A$15)),0,
         IF(OFFSET(CRONOPLE!$F$15,$M36-$A$15,CG$13)=0,10^12,OFFSET(CRONOPLE!$F$15,$M36-$A$15,CG$13)))</f>
        <v>15</v>
      </c>
      <c r="CH36" s="353" t="n">
        <f aca="true">IF(OR($D36&lt;&gt;"Serviço",AND(AUTOEVENTO="Manual",$M36=$A$15)),0,
         IF(OFFSET(CRONOPLE!$F$15,$M36-$A$15,CH$13)=0,10^12,OFFSET(CRONOPLE!$F$15,$M36-$A$15,CH$13)))</f>
        <v>16</v>
      </c>
      <c r="CI36" s="353" t="n">
        <f aca="true">IF(OR($D36&lt;&gt;"Serviço",AND(AUTOEVENTO="Manual",$M36=$A$15)),0,
         IF(OFFSET(CRONOPLE!$F$15,$M36-$A$15,CI$13)=0,10^12,OFFSET(CRONOPLE!$F$15,$M36-$A$15,CI$13)))</f>
        <v>17</v>
      </c>
      <c r="CJ36" s="353" t="n">
        <f aca="true">IF(OR($D36&lt;&gt;"Serviço",AND(AUTOEVENTO="Manual",$M36=$A$15)),0,
         IF(OFFSET(CRONOPLE!$F$15,$M36-$A$15,CJ$13)=0,10^12,OFFSET(CRONOPLE!$F$15,$M36-$A$15,CJ$13)))</f>
        <v>18</v>
      </c>
      <c r="CK36" s="353" t="n">
        <f aca="true">IF(OR($D36&lt;&gt;"Serviço",AND(AUTOEVENTO="Manual",$M36=$A$15)),0,
         IF(OFFSET(CRONOPLE!$F$15,$M36-$A$15,CK$13)=0,10^12,OFFSET(CRONOPLE!$F$15,$M36-$A$15,CK$13)))</f>
        <v>19</v>
      </c>
      <c r="CL36" s="353" t="n">
        <f aca="true">IF(OR($D36&lt;&gt;"Serviço",AND(AUTOEVENTO="Manual",$M36=$A$15)),0,
         IF(OFFSET(CRONOPLE!$F$15,$M36-$A$15,CL$13)=0,10^12,OFFSET(CRONOPLE!$F$15,$M36-$A$15,CL$13)))</f>
        <v>20</v>
      </c>
      <c r="CM36" s="353" t="n">
        <f aca="true">IF(OR($D36&lt;&gt;"Serviço",AND(AUTOEVENTO="Manual",$M36=$A$15)),0,
         IF(OFFSET(CRONOPLE!$F$15,$M36-$A$15,CM$13)=0,10^12,OFFSET(CRONOPLE!$F$15,$M36-$A$15,CM$13)))</f>
        <v>21</v>
      </c>
      <c r="CN36" s="353" t="n">
        <f aca="true">IF(OR($D36&lt;&gt;"Serviço",AND(AUTOEVENTO="Manual",$M36=$A$15)),0,
         IF(OFFSET(CRONOPLE!$F$15,$M36-$A$15,CN$13)=0,10^12,OFFSET(CRONOPLE!$F$15,$M36-$A$15,CN$13)))</f>
        <v>22</v>
      </c>
      <c r="CO36" s="353" t="n">
        <f aca="true">IF(OR($D36&lt;&gt;"Serviço",AND(AUTOEVENTO="Manual",$M36=$A$15)),0,
         IF(OFFSET(CRONOPLE!$F$15,$M36-$A$15,CO$13)=0,10^12,OFFSET(CRONOPLE!$F$15,$M36-$A$15,CO$13)))</f>
        <v>23</v>
      </c>
      <c r="CP36" s="353" t="n">
        <f aca="true">IF(OR($D36&lt;&gt;"Serviço",AND(AUTOEVENTO="Manual",$M36=$A$15)),0,
         IF(OFFSET(CRONOPLE!$F$15,$M36-$A$15,CP$13)=0,10^12,OFFSET(CRONOPLE!$F$15,$M36-$A$15,CP$13)))</f>
        <v>24</v>
      </c>
      <c r="CQ36" s="353" t="n">
        <f aca="true">IF(OR($D36&lt;&gt;"Serviço",AND(AUTOEVENTO="Manual",$M36=$A$15)),0,
         IF(OFFSET(CRONOPLE!$F$15,$M36-$A$15,CQ$13)=0,10^12,OFFSET(CRONOPLE!$F$15,$M36-$A$15,CQ$13)))</f>
        <v>25</v>
      </c>
      <c r="CR36" s="353" t="n">
        <f aca="true">IF(OR($D36&lt;&gt;"Serviço",AND(AUTOEVENTO="Manual",$M36=$A$15)),0,
         IF(OFFSET(CRONOPLE!$F$15,$M36-$A$15,CR$13)=0,10^12,OFFSET(CRONOPLE!$F$15,$M36-$A$15,CR$13)))</f>
        <v>1000000000000</v>
      </c>
      <c r="CT36" s="354" t="n">
        <f aca="true">IF(OR($D36&lt;&gt;"Serviço",AND(AUTOEVENTO="Manual",$M36=$A$15),$M36&gt;(ROW(PLE.lastrow)-ROW(PLE.firstrow))),0,
           IF(OFFSET(PLE!$G$15,$M36-$A$15,CT$13)="",10^12,OFFSET(PLE!$G$15,$M36-$A$15,CT$13)))</f>
        <v>1000000000000</v>
      </c>
      <c r="CU36" s="354" t="n">
        <f aca="true">IF(OR($D36&lt;&gt;"Serviço",AND(AUTOEVENTO="Manual",$M36=$A$15),$M36&gt;(ROW(PLE.lastrow)-ROW(PLE.firstrow))),0,
           IF(OFFSET(PLE!$G$15,$M36-$A$15,CU$13)="",10^12,OFFSET(PLE!$G$15,$M36-$A$15,CU$13)))</f>
        <v>1000000000000</v>
      </c>
      <c r="CV36" s="354" t="n">
        <f aca="true">IF(OR($D36&lt;&gt;"Serviço",AND(AUTOEVENTO="Manual",$M36=$A$15),$M36&gt;(ROW(PLE.lastrow)-ROW(PLE.firstrow))),0,
           IF(OFFSET(PLE!$G$15,$M36-$A$15,CV$13)="",10^12,OFFSET(PLE!$G$15,$M36-$A$15,CV$13)))</f>
        <v>1000000000000</v>
      </c>
      <c r="CW36" s="354" t="n">
        <f aca="true">IF(OR($D36&lt;&gt;"Serviço",AND(AUTOEVENTO="Manual",$M36=$A$15),$M36&gt;(ROW(PLE.lastrow)-ROW(PLE.firstrow))),0,
           IF(OFFSET(PLE!$G$15,$M36-$A$15,CW$13)="",10^12,OFFSET(PLE!$G$15,$M36-$A$15,CW$13)))</f>
        <v>1000000000000</v>
      </c>
      <c r="CX36" s="354" t="n">
        <f aca="true">IF(OR($D36&lt;&gt;"Serviço",AND(AUTOEVENTO="Manual",$M36=$A$15),$M36&gt;(ROW(PLE.lastrow)-ROW(PLE.firstrow))),0,
           IF(OFFSET(PLE!$G$15,$M36-$A$15,CX$13)="",10^12,OFFSET(PLE!$G$15,$M36-$A$15,CX$13)))</f>
        <v>1000000000000</v>
      </c>
      <c r="CY36" s="354" t="n">
        <f aca="true">IF(OR($D36&lt;&gt;"Serviço",AND(AUTOEVENTO="Manual",$M36=$A$15),$M36&gt;(ROW(PLE.lastrow)-ROW(PLE.firstrow))),0,
           IF(OFFSET(PLE!$G$15,$M36-$A$15,CY$13)="",10^12,OFFSET(PLE!$G$15,$M36-$A$15,CY$13)))</f>
        <v>1000000000000</v>
      </c>
      <c r="CZ36" s="354" t="n">
        <f aca="true">IF(OR($D36&lt;&gt;"Serviço",AND(AUTOEVENTO="Manual",$M36=$A$15),$M36&gt;(ROW(PLE.lastrow)-ROW(PLE.firstrow))),0,
           IF(OFFSET(PLE!$G$15,$M36-$A$15,CZ$13)="",10^12,OFFSET(PLE!$G$15,$M36-$A$15,CZ$13)))</f>
        <v>1000000000000</v>
      </c>
      <c r="DA36" s="354" t="n">
        <f aca="true">IF(OR($D36&lt;&gt;"Serviço",AND(AUTOEVENTO="Manual",$M36=$A$15),$M36&gt;(ROW(PLE.lastrow)-ROW(PLE.firstrow))),0,
           IF(OFFSET(PLE!$G$15,$M36-$A$15,DA$13)="",10^12,OFFSET(PLE!$G$15,$M36-$A$15,DA$13)))</f>
        <v>1000000000000</v>
      </c>
      <c r="DB36" s="354" t="n">
        <f aca="true">IF(OR($D36&lt;&gt;"Serviço",AND(AUTOEVENTO="Manual",$M36=$A$15),$M36&gt;(ROW(PLE.lastrow)-ROW(PLE.firstrow))),0,
           IF(OFFSET(PLE!$G$15,$M36-$A$15,DB$13)="",10^12,OFFSET(PLE!$G$15,$M36-$A$15,DB$13)))</f>
        <v>1000000000000</v>
      </c>
      <c r="DC36" s="354" t="n">
        <f aca="true">IF(OR($D36&lt;&gt;"Serviço",AND(AUTOEVENTO="Manual",$M36=$A$15),$M36&gt;(ROW(PLE.lastrow)-ROW(PLE.firstrow))),0,
           IF(OFFSET(PLE!$G$15,$M36-$A$15,DC$13)="",10^12,OFFSET(PLE!$G$15,$M36-$A$15,DC$13)))</f>
        <v>1000000000000</v>
      </c>
      <c r="DD36" s="354" t="n">
        <f aca="true">IF(OR($D36&lt;&gt;"Serviço",AND(AUTOEVENTO="Manual",$M36=$A$15),$M36&gt;(ROW(PLE.lastrow)-ROW(PLE.firstrow))),0,
           IF(OFFSET(PLE!$G$15,$M36-$A$15,DD$13)="",10^12,OFFSET(PLE!$G$15,$M36-$A$15,DD$13)))</f>
        <v>1000000000000</v>
      </c>
      <c r="DE36" s="354" t="n">
        <f aca="true">IF(OR($D36&lt;&gt;"Serviço",AND(AUTOEVENTO="Manual",$M36=$A$15),$M36&gt;(ROW(PLE.lastrow)-ROW(PLE.firstrow))),0,
           IF(OFFSET(PLE!$G$15,$M36-$A$15,DE$13)="",10^12,OFFSET(PLE!$G$15,$M36-$A$15,DE$13)))</f>
        <v>1000000000000</v>
      </c>
      <c r="DF36" s="354" t="n">
        <f aca="true">IF(OR($D36&lt;&gt;"Serviço",AND(AUTOEVENTO="Manual",$M36=$A$15),$M36&gt;(ROW(PLE.lastrow)-ROW(PLE.firstrow))),0,
           IF(OFFSET(PLE!$G$15,$M36-$A$15,DF$13)="",10^12,OFFSET(PLE!$G$15,$M36-$A$15,DF$13)))</f>
        <v>1000000000000</v>
      </c>
      <c r="DG36" s="354" t="n">
        <f aca="true">IF(OR($D36&lt;&gt;"Serviço",AND(AUTOEVENTO="Manual",$M36=$A$15),$M36&gt;(ROW(PLE.lastrow)-ROW(PLE.firstrow))),0,
           IF(OFFSET(PLE!$G$15,$M36-$A$15,DG$13)="",10^12,OFFSET(PLE!$G$15,$M36-$A$15,DG$13)))</f>
        <v>1000000000000</v>
      </c>
      <c r="DH36" s="354" t="n">
        <f aca="true">IF(OR($D36&lt;&gt;"Serviço",AND(AUTOEVENTO="Manual",$M36=$A$15),$M36&gt;(ROW(PLE.lastrow)-ROW(PLE.firstrow))),0,
           IF(OFFSET(PLE!$G$15,$M36-$A$15,DH$13)="",10^12,OFFSET(PLE!$G$15,$M36-$A$15,DH$13)))</f>
        <v>1000000000000</v>
      </c>
      <c r="DI36" s="354" t="n">
        <f aca="true">IF(OR($D36&lt;&gt;"Serviço",AND(AUTOEVENTO="Manual",$M36=$A$15),$M36&gt;(ROW(PLE.lastrow)-ROW(PLE.firstrow))),0,
           IF(OFFSET(PLE!$G$15,$M36-$A$15,DI$13)="",10^12,OFFSET(PLE!$G$15,$M36-$A$15,DI$13)))</f>
        <v>1000000000000</v>
      </c>
      <c r="DJ36" s="354" t="n">
        <f aca="true">IF(OR($D36&lt;&gt;"Serviço",AND(AUTOEVENTO="Manual",$M36=$A$15),$M36&gt;(ROW(PLE.lastrow)-ROW(PLE.firstrow))),0,
           IF(OFFSET(PLE!$G$15,$M36-$A$15,DJ$13)="",10^12,OFFSET(PLE!$G$15,$M36-$A$15,DJ$13)))</f>
        <v>1000000000000</v>
      </c>
      <c r="DK36" s="354" t="n">
        <f aca="true">IF(OR($D36&lt;&gt;"Serviço",AND(AUTOEVENTO="Manual",$M36=$A$15),$M36&gt;(ROW(PLE.lastrow)-ROW(PLE.firstrow))),0,
           IF(OFFSET(PLE!$G$15,$M36-$A$15,DK$13)="",10^12,OFFSET(PLE!$G$15,$M36-$A$15,DK$13)))</f>
        <v>1000000000000</v>
      </c>
      <c r="DL36" s="354" t="n">
        <f aca="true">IF(OR($D36&lt;&gt;"Serviço",AND(AUTOEVENTO="Manual",$M36=$A$15),$M36&gt;(ROW(PLE.lastrow)-ROW(PLE.firstrow))),0,
           IF(OFFSET(PLE!$G$15,$M36-$A$15,DL$13)="",10^12,OFFSET(PLE!$G$15,$M36-$A$15,DL$13)))</f>
        <v>1000000000000</v>
      </c>
      <c r="DM36" s="354" t="n">
        <f aca="true">IF(OR($D36&lt;&gt;"Serviço",AND(AUTOEVENTO="Manual",$M36=$A$15),$M36&gt;(ROW(PLE.lastrow)-ROW(PLE.firstrow))),0,
           IF(OFFSET(PLE!$G$15,$M36-$A$15,DM$13)="",10^12,OFFSET(PLE!$G$15,$M36-$A$15,DM$13)))</f>
        <v>1000000000000</v>
      </c>
      <c r="DN36" s="354" t="n">
        <f aca="true">IF(OR($D36&lt;&gt;"Serviço",AND(AUTOEVENTO="Manual",$M36=$A$15),$M36&gt;(ROW(PLE.lastrow)-ROW(PLE.firstrow))),0,
           IF(OFFSET(PLE!$G$15,$M36-$A$15,DN$13)="",10^12,OFFSET(PLE!$G$15,$M36-$A$15,DN$13)))</f>
        <v>1000000000000</v>
      </c>
      <c r="DO36" s="354" t="n">
        <f aca="true">IF(OR($D36&lt;&gt;"Serviço",AND(AUTOEVENTO="Manual",$M36=$A$15),$M36&gt;(ROW(PLE.lastrow)-ROW(PLE.firstrow))),0,
           IF(OFFSET(PLE!$G$15,$M36-$A$15,DO$13)="",10^12,OFFSET(PLE!$G$15,$M36-$A$15,DO$13)))</f>
        <v>1000000000000</v>
      </c>
      <c r="DP36" s="354" t="n">
        <f aca="true">IF(OR($D36&lt;&gt;"Serviço",AND(AUTOEVENTO="Manual",$M36=$A$15),$M36&gt;(ROW(PLE.lastrow)-ROW(PLE.firstrow))),0,
           IF(OFFSET(PLE!$G$15,$M36-$A$15,DP$13)="",10^12,OFFSET(PLE!$G$15,$M36-$A$15,DP$13)))</f>
        <v>1000000000000</v>
      </c>
      <c r="DQ36" s="354" t="n">
        <f aca="true">IF(OR($D36&lt;&gt;"Serviço",AND(AUTOEVENTO="Manual",$M36=$A$15),$M36&gt;(ROW(PLE.lastrow)-ROW(PLE.firstrow))),0,
           IF(OFFSET(PLE!$G$15,$M36-$A$15,DQ$13)="",10^12,OFFSET(PLE!$G$15,$M36-$A$15,DQ$13)))</f>
        <v>1000000000000</v>
      </c>
      <c r="DR36" s="354" t="n">
        <f aca="true">IF(OR($D36&lt;&gt;"Serviço",AND(AUTOEVENTO="Manual",$M36=$A$15),$M36&gt;(ROW(PLE.lastrow)-ROW(PLE.firstrow))),0,
           IF(OFFSET(PLE!$G$15,$M36-$A$15,DR$13)="",10^12,OFFSET(PLE!$G$15,$M36-$A$15,DR$13)))</f>
        <v>1000000000000</v>
      </c>
      <c r="DS36" s="354" t="n">
        <f aca="true">IF(OR($D36&lt;&gt;"Serviço",AND(AUTOEVENTO="Manual",$M36=$A$15),$M36&gt;(ROW(PLE.lastrow)-ROW(PLE.firstrow))),0,
           IF(OFFSET(PLE!$G$15,$M36-$A$15,DS$13)="",10^12,OFFSET(PLE!$G$15,$M36-$A$15,DS$13)))</f>
        <v>1000000000000</v>
      </c>
    </row>
    <row r="37" customFormat="false" ht="113.4" hidden="false" customHeight="false" outlineLevel="0" collapsed="false">
      <c r="A37" s="50" t="str">
        <f aca="true">IFERROR(IF(AUTOEVENTO="Manual",IF(K37&lt;&gt;"",MIN(VALUE(LEFT(K37,FIND(".",K37)-1)),COUNTA(EVENTOS.Lista)),0),IF(OR($B37&gt;AUTOEVENTO,$B37="S",$B37=0),SUBSTITUTE(OFFSET($A37,-1,0),IF($D37="Serviço",".",""),""),ROW(A37)-ROW($A$15)&amp;".")),0)</f>
        <v>14</v>
      </c>
      <c r="B37" s="50" t="str">
        <f aca="true">OFFSET(ORÇAMENTO!C$15,ROW(B37)-ROW(B$15),0)</f>
        <v>S</v>
      </c>
      <c r="C37" s="50" t="str">
        <f aca="true">OFFSET(ORÇAMENTO!L$15,ROW(C37)-ROW(C$15),0)</f>
        <v>F</v>
      </c>
      <c r="D37" s="201" t="str">
        <f aca="true">OFFSET(ORÇAMENTO!N$15,ROW(D37)-ROW(D$15),0)</f>
        <v>Serviço</v>
      </c>
      <c r="E37" s="202" t="str">
        <f aca="true">OFFSET(ORÇAMENTO!O$15,ROW(E37)-ROW(E$15),0)</f>
        <v>1.5.8.</v>
      </c>
      <c r="F37" s="341" t="str">
        <f aca="true">OFFSET(ORÇAMENTO!R$15,ROW(F37)-ROW(F$15),0)</f>
        <v>CONCRETAGEM DE SAPATA, FCK 30 MPA, COM USO DE BOMBA - LANÇAMENTO, ADENSAMENTO E ACABAMENTO.
AF_01/2024</v>
      </c>
      <c r="G37" s="342" t="str">
        <f aca="true">IF($D37&lt;&gt;"Serviço","",OFFSET(ORÇAMENTO!S$15,ROW(G37)-ROW(G$15),0))</f>
        <v>M3</v>
      </c>
      <c r="H37" s="207" t="n">
        <f aca="true">IF($D37&lt;&gt;"Serviço",0,IF(ACOMPANHAMENTO="BM",ROUND(OFFSET(ORÇAMENTO!AJ$15,ROW(H37)-ROW(H$15),0),15-13*ORÇAMENTO!$AF$7),SUMPRODUCT(($Q$1:$AQ$1=1)*ROUND($Q37:$AQ37,15-13*ORÇAMENTO!$AF$7))))</f>
        <v>57</v>
      </c>
      <c r="I37" s="343" t="s">
        <v>927</v>
      </c>
      <c r="J37" s="344" t="e">
        <f aca="false">IF(OR(B37&lt;&gt;"S",CÁLCULO.FrentesPreenchidas=0),"",IF(AND(ACOMPANHAMENTO="PLE",AUTOEVENTO="Manual",OR(H37&gt;0,ORÇAMENTO!AC37="QUANT."),OR(K37="",M37=0,N37="")),"►",IF(AND(ACOMPANHAMENTO="PLE",ORÇAMENTO!AC37="QUANT."),"►►",IF(AND(COUNTIF($P$11:$AQ$11,"▼")=0,H37&gt;0,I37=""),"◄",""))))</f>
        <v>#NAME?</v>
      </c>
      <c r="K37" s="345"/>
      <c r="L37" s="346" t="s">
        <v>876</v>
      </c>
      <c r="M37" s="347" t="n">
        <f aca="true">IF($D37&lt;&gt;"Serviço","",
          IF(AUTOEVENTO="manual",$A37,
                IF(ISERROR(MATCH($A37,$A$15:OFFSET($A37,-1,0),0)),MAX($M$15:OFFSET(M37,-1,0))+1,
                      INDEX($M$15:OFFSET(M37,-1,0),MATCH($A37,$A$15:OFFSET($A37,-1,0),0)))))</f>
        <v>3</v>
      </c>
      <c r="N37" s="348" t="str">
        <f aca="true">IF($D37&lt;&gt;"Serviço","",
         IF(AUTOEVENTO="Manual",
                IF($A37=0,"&lt;-- defina o número do agrupador",
                       OFFSET(EVENTOS!$D$15,$A37-$A$15,0)),
                OFFSET($F$15,$A37,0)))</f>
        <v>SAPATA</v>
      </c>
      <c r="O37" s="349"/>
      <c r="Q37" s="349" t="n">
        <v>2.28</v>
      </c>
      <c r="R37" s="350" t="n">
        <f aca="false">Q37</f>
        <v>2.28</v>
      </c>
      <c r="S37" s="350" t="n">
        <f aca="false">R37</f>
        <v>2.28</v>
      </c>
      <c r="T37" s="350" t="n">
        <f aca="false">S37</f>
        <v>2.28</v>
      </c>
      <c r="U37" s="350" t="n">
        <f aca="false">T37</f>
        <v>2.28</v>
      </c>
      <c r="V37" s="350" t="n">
        <f aca="false">U37</f>
        <v>2.28</v>
      </c>
      <c r="W37" s="350" t="n">
        <f aca="false">V37</f>
        <v>2.28</v>
      </c>
      <c r="X37" s="350" t="n">
        <f aca="false">W37</f>
        <v>2.28</v>
      </c>
      <c r="Y37" s="350" t="n">
        <f aca="false">X37</f>
        <v>2.28</v>
      </c>
      <c r="Z37" s="351" t="n">
        <f aca="false">Y37</f>
        <v>2.28</v>
      </c>
      <c r="AA37" s="350" t="n">
        <f aca="false">Z37</f>
        <v>2.28</v>
      </c>
      <c r="AB37" s="350" t="n">
        <f aca="false">AA37</f>
        <v>2.28</v>
      </c>
      <c r="AC37" s="350" t="n">
        <f aca="false">AB37</f>
        <v>2.28</v>
      </c>
      <c r="AD37" s="350" t="n">
        <f aca="false">AC37</f>
        <v>2.28</v>
      </c>
      <c r="AE37" s="350" t="n">
        <f aca="false">AD37</f>
        <v>2.28</v>
      </c>
      <c r="AF37" s="350" t="n">
        <f aca="false">AE37</f>
        <v>2.28</v>
      </c>
      <c r="AG37" s="350" t="n">
        <f aca="false">AF37</f>
        <v>2.28</v>
      </c>
      <c r="AH37" s="351" t="n">
        <f aca="false">AG37</f>
        <v>2.28</v>
      </c>
      <c r="AI37" s="350" t="n">
        <f aca="false">AH37</f>
        <v>2.28</v>
      </c>
      <c r="AJ37" s="350" t="n">
        <f aca="false">AI37</f>
        <v>2.28</v>
      </c>
      <c r="AK37" s="350" t="n">
        <f aca="false">AJ37</f>
        <v>2.28</v>
      </c>
      <c r="AL37" s="350" t="n">
        <f aca="false">AK37</f>
        <v>2.28</v>
      </c>
      <c r="AM37" s="350" t="n">
        <f aca="false">AL37</f>
        <v>2.28</v>
      </c>
      <c r="AN37" s="350" t="n">
        <f aca="false">AM37</f>
        <v>2.28</v>
      </c>
      <c r="AO37" s="350" t="n">
        <f aca="false">AN37</f>
        <v>2.28</v>
      </c>
      <c r="AP37" s="351" t="n">
        <v>10.9</v>
      </c>
      <c r="AR37" s="352" t="n">
        <f aca="true">IF(AND($D37="Serviço",AR$12&lt;&gt;0,$H37&gt;0,OR(AUTOEVENTO&lt;&gt;"manual",$M37&lt;&gt;$A$15)),
        IF(Import.TipoArredondamento&lt;&gt;"TransfereGOV",
              ROUND(OFFSET($P37,0,AR$13),15-13*ORÇAMENTO!$AF$7)/$H37*OFFSET(ORÇAMENTO!$X$15,ROW(AR37)-ROW(AR$15),0),
              ROUND(ROUND(OFFSET($P37,0,AR$13),15-13*ORÇAMENTO!$AF$7)*OFFSET(ORÇAMENTO!$W$15,ROW(AR37)-ROW(AR$15),0),15-13*ORÇAMENTO!$AF$11)),
         0)</f>
        <v>2317.69</v>
      </c>
      <c r="AS37" s="352" t="n">
        <f aca="true">IF(AND($D37="Serviço",AS$12&lt;&gt;0,$H37&gt;0,OR(AUTOEVENTO&lt;&gt;"manual",$M37&lt;&gt;$A$15)),
        IF(Import.TipoArredondamento&lt;&gt;"TransfereGOV",
              ROUND(OFFSET($P37,0,AS$13),15-13*ORÇAMENTO!$AF$7)/$H37*OFFSET(ORÇAMENTO!$X$15,ROW(AS37)-ROW(AS$15),0),
              ROUND(ROUND(OFFSET($P37,0,AS$13),15-13*ORÇAMENTO!$AF$7)*OFFSET(ORÇAMENTO!$W$15,ROW(AS37)-ROW(AS$15),0),15-13*ORÇAMENTO!$AF$11)),
         0)</f>
        <v>2317.69</v>
      </c>
      <c r="AT37" s="352" t="n">
        <f aca="true">IF(AND($D37="Serviço",AT$12&lt;&gt;0,$H37&gt;0,OR(AUTOEVENTO&lt;&gt;"manual",$M37&lt;&gt;$A$15)),
        IF(Import.TipoArredondamento&lt;&gt;"TransfereGOV",
              ROUND(OFFSET($P37,0,AT$13),15-13*ORÇAMENTO!$AF$7)/$H37*OFFSET(ORÇAMENTO!$X$15,ROW(AT37)-ROW(AT$15),0),
              ROUND(ROUND(OFFSET($P37,0,AT$13),15-13*ORÇAMENTO!$AF$7)*OFFSET(ORÇAMENTO!$W$15,ROW(AT37)-ROW(AT$15),0),15-13*ORÇAMENTO!$AF$11)),
         0)</f>
        <v>2317.69</v>
      </c>
      <c r="AU37" s="352" t="n">
        <f aca="true">IF(AND($D37="Serviço",AU$12&lt;&gt;0,$H37&gt;0,OR(AUTOEVENTO&lt;&gt;"manual",$M37&lt;&gt;$A$15)),
        IF(Import.TipoArredondamento&lt;&gt;"TransfereGOV",
              ROUND(OFFSET($P37,0,AU$13),15-13*ORÇAMENTO!$AF$7)/$H37*OFFSET(ORÇAMENTO!$X$15,ROW(AU37)-ROW(AU$15),0),
              ROUND(ROUND(OFFSET($P37,0,AU$13),15-13*ORÇAMENTO!$AF$7)*OFFSET(ORÇAMENTO!$W$15,ROW(AU37)-ROW(AU$15),0),15-13*ORÇAMENTO!$AF$11)),
         0)</f>
        <v>2317.69</v>
      </c>
      <c r="AV37" s="352" t="n">
        <f aca="true">IF(AND($D37="Serviço",AV$12&lt;&gt;0,$H37&gt;0,OR(AUTOEVENTO&lt;&gt;"manual",$M37&lt;&gt;$A$15)),
        IF(Import.TipoArredondamento&lt;&gt;"TransfereGOV",
              ROUND(OFFSET($P37,0,AV$13),15-13*ORÇAMENTO!$AF$7)/$H37*OFFSET(ORÇAMENTO!$X$15,ROW(AV37)-ROW(AV$15),0),
              ROUND(ROUND(OFFSET($P37,0,AV$13),15-13*ORÇAMENTO!$AF$7)*OFFSET(ORÇAMENTO!$W$15,ROW(AV37)-ROW(AV$15),0),15-13*ORÇAMENTO!$AF$11)),
         0)</f>
        <v>2317.69</v>
      </c>
      <c r="AW37" s="352" t="n">
        <f aca="true">IF(AND($D37="Serviço",AW$12&lt;&gt;0,$H37&gt;0,OR(AUTOEVENTO&lt;&gt;"manual",$M37&lt;&gt;$A$15)),
        IF(Import.TipoArredondamento&lt;&gt;"TransfereGOV",
              ROUND(OFFSET($P37,0,AW$13),15-13*ORÇAMENTO!$AF$7)/$H37*OFFSET(ORÇAMENTO!$X$15,ROW(AW37)-ROW(AW$15),0),
              ROUND(ROUND(OFFSET($P37,0,AW$13),15-13*ORÇAMENTO!$AF$7)*OFFSET(ORÇAMENTO!$W$15,ROW(AW37)-ROW(AW$15),0),15-13*ORÇAMENTO!$AF$11)),
         0)</f>
        <v>2317.69</v>
      </c>
      <c r="AX37" s="352" t="n">
        <f aca="true">IF(AND($D37="Serviço",AX$12&lt;&gt;0,$H37&gt;0,OR(AUTOEVENTO&lt;&gt;"manual",$M37&lt;&gt;$A$15)),
        IF(Import.TipoArredondamento&lt;&gt;"TransfereGOV",
              ROUND(OFFSET($P37,0,AX$13),15-13*ORÇAMENTO!$AF$7)/$H37*OFFSET(ORÇAMENTO!$X$15,ROW(AX37)-ROW(AX$15),0),
              ROUND(ROUND(OFFSET($P37,0,AX$13),15-13*ORÇAMENTO!$AF$7)*OFFSET(ORÇAMENTO!$W$15,ROW(AX37)-ROW(AX$15),0),15-13*ORÇAMENTO!$AF$11)),
         0)</f>
        <v>2317.69</v>
      </c>
      <c r="AY37" s="352" t="n">
        <f aca="true">IF(AND($D37="Serviço",AY$12&lt;&gt;0,$H37&gt;0,OR(AUTOEVENTO&lt;&gt;"manual",$M37&lt;&gt;$A$15)),
        IF(Import.TipoArredondamento&lt;&gt;"TransfereGOV",
              ROUND(OFFSET($P37,0,AY$13),15-13*ORÇAMENTO!$AF$7)/$H37*OFFSET(ORÇAMENTO!$X$15,ROW(AY37)-ROW(AY$15),0),
              ROUND(ROUND(OFFSET($P37,0,AY$13),15-13*ORÇAMENTO!$AF$7)*OFFSET(ORÇAMENTO!$W$15,ROW(AY37)-ROW(AY$15),0),15-13*ORÇAMENTO!$AF$11)),
         0)</f>
        <v>2317.69</v>
      </c>
      <c r="AZ37" s="352" t="n">
        <f aca="true">IF(AND($D37="Serviço",AZ$12&lt;&gt;0,$H37&gt;0,OR(AUTOEVENTO&lt;&gt;"manual",$M37&lt;&gt;$A$15)),
        IF(Import.TipoArredondamento&lt;&gt;"TransfereGOV",
              ROUND(OFFSET($P37,0,AZ$13),15-13*ORÇAMENTO!$AF$7)/$H37*OFFSET(ORÇAMENTO!$X$15,ROW(AZ37)-ROW(AZ$15),0),
              ROUND(ROUND(OFFSET($P37,0,AZ$13),15-13*ORÇAMENTO!$AF$7)*OFFSET(ORÇAMENTO!$W$15,ROW(AZ37)-ROW(AZ$15),0),15-13*ORÇAMENTO!$AF$11)),
         0)</f>
        <v>2317.69</v>
      </c>
      <c r="BA37" s="352" t="n">
        <f aca="true">IF(AND($D37="Serviço",BA$12&lt;&gt;0,$H37&gt;0,OR(AUTOEVENTO&lt;&gt;"manual",$M37&lt;&gt;$A$15)),
        IF(Import.TipoArredondamento&lt;&gt;"TransfereGOV",
              ROUND(OFFSET($P37,0,BA$13),15-13*ORÇAMENTO!$AF$7)/$H37*OFFSET(ORÇAMENTO!$X$15,ROW(BA37)-ROW(BA$15),0),
              ROUND(ROUND(OFFSET($P37,0,BA$13),15-13*ORÇAMENTO!$AF$7)*OFFSET(ORÇAMENTO!$W$15,ROW(BA37)-ROW(BA$15),0),15-13*ORÇAMENTO!$AF$11)),
         0)</f>
        <v>2317.69</v>
      </c>
      <c r="BB37" s="352" t="n">
        <f aca="true">IF(AND($D37="Serviço",BB$12&lt;&gt;0,$H37&gt;0,OR(AUTOEVENTO&lt;&gt;"manual",$M37&lt;&gt;$A$15)),
        IF(Import.TipoArredondamento&lt;&gt;"TransfereGOV",
              ROUND(OFFSET($P37,0,BB$13),15-13*ORÇAMENTO!$AF$7)/$H37*OFFSET(ORÇAMENTO!$X$15,ROW(BB37)-ROW(BB$15),0),
              ROUND(ROUND(OFFSET($P37,0,BB$13),15-13*ORÇAMENTO!$AF$7)*OFFSET(ORÇAMENTO!$W$15,ROW(BB37)-ROW(BB$15),0),15-13*ORÇAMENTO!$AF$11)),
         0)</f>
        <v>2317.69</v>
      </c>
      <c r="BC37" s="352" t="n">
        <f aca="true">IF(AND($D37="Serviço",BC$12&lt;&gt;0,$H37&gt;0,OR(AUTOEVENTO&lt;&gt;"manual",$M37&lt;&gt;$A$15)),
        IF(Import.TipoArredondamento&lt;&gt;"TransfereGOV",
              ROUND(OFFSET($P37,0,BC$13),15-13*ORÇAMENTO!$AF$7)/$H37*OFFSET(ORÇAMENTO!$X$15,ROW(BC37)-ROW(BC$15),0),
              ROUND(ROUND(OFFSET($P37,0,BC$13),15-13*ORÇAMENTO!$AF$7)*OFFSET(ORÇAMENTO!$W$15,ROW(BC37)-ROW(BC$15),0),15-13*ORÇAMENTO!$AF$11)),
         0)</f>
        <v>2317.69</v>
      </c>
      <c r="BD37" s="352" t="n">
        <f aca="true">IF(AND($D37="Serviço",BD$12&lt;&gt;0,$H37&gt;0,OR(AUTOEVENTO&lt;&gt;"manual",$M37&lt;&gt;$A$15)),
        IF(Import.TipoArredondamento&lt;&gt;"TransfereGOV",
              ROUND(OFFSET($P37,0,BD$13),15-13*ORÇAMENTO!$AF$7)/$H37*OFFSET(ORÇAMENTO!$X$15,ROW(BD37)-ROW(BD$15),0),
              ROUND(ROUND(OFFSET($P37,0,BD$13),15-13*ORÇAMENTO!$AF$7)*OFFSET(ORÇAMENTO!$W$15,ROW(BD37)-ROW(BD$15),0),15-13*ORÇAMENTO!$AF$11)),
         0)</f>
        <v>2317.69</v>
      </c>
      <c r="BE37" s="352" t="n">
        <f aca="true">IF(AND($D37="Serviço",BE$12&lt;&gt;0,$H37&gt;0,OR(AUTOEVENTO&lt;&gt;"manual",$M37&lt;&gt;$A$15)),
        IF(Import.TipoArredondamento&lt;&gt;"TransfereGOV",
              ROUND(OFFSET($P37,0,BE$13),15-13*ORÇAMENTO!$AF$7)/$H37*OFFSET(ORÇAMENTO!$X$15,ROW(BE37)-ROW(BE$15),0),
              ROUND(ROUND(OFFSET($P37,0,BE$13),15-13*ORÇAMENTO!$AF$7)*OFFSET(ORÇAMENTO!$W$15,ROW(BE37)-ROW(BE$15),0),15-13*ORÇAMENTO!$AF$11)),
         0)</f>
        <v>2317.69</v>
      </c>
      <c r="BF37" s="352" t="n">
        <f aca="true">IF(AND($D37="Serviço",BF$12&lt;&gt;0,$H37&gt;0,OR(AUTOEVENTO&lt;&gt;"manual",$M37&lt;&gt;$A$15)),
        IF(Import.TipoArredondamento&lt;&gt;"TransfereGOV",
              ROUND(OFFSET($P37,0,BF$13),15-13*ORÇAMENTO!$AF$7)/$H37*OFFSET(ORÇAMENTO!$X$15,ROW(BF37)-ROW(BF$15),0),
              ROUND(ROUND(OFFSET($P37,0,BF$13),15-13*ORÇAMENTO!$AF$7)*OFFSET(ORÇAMENTO!$W$15,ROW(BF37)-ROW(BF$15),0),15-13*ORÇAMENTO!$AF$11)),
         0)</f>
        <v>2317.69</v>
      </c>
      <c r="BG37" s="352" t="n">
        <f aca="true">IF(AND($D37="Serviço",BG$12&lt;&gt;0,$H37&gt;0,OR(AUTOEVENTO&lt;&gt;"manual",$M37&lt;&gt;$A$15)),
        IF(Import.TipoArredondamento&lt;&gt;"TransfereGOV",
              ROUND(OFFSET($P37,0,BG$13),15-13*ORÇAMENTO!$AF$7)/$H37*OFFSET(ORÇAMENTO!$X$15,ROW(BG37)-ROW(BG$15),0),
              ROUND(ROUND(OFFSET($P37,0,BG$13),15-13*ORÇAMENTO!$AF$7)*OFFSET(ORÇAMENTO!$W$15,ROW(BG37)-ROW(BG$15),0),15-13*ORÇAMENTO!$AF$11)),
         0)</f>
        <v>2317.69</v>
      </c>
      <c r="BH37" s="352" t="n">
        <f aca="true">IF(AND($D37="Serviço",BH$12&lt;&gt;0,$H37&gt;0,OR(AUTOEVENTO&lt;&gt;"manual",$M37&lt;&gt;$A$15)),
        IF(Import.TipoArredondamento&lt;&gt;"TransfereGOV",
              ROUND(OFFSET($P37,0,BH$13),15-13*ORÇAMENTO!$AF$7)/$H37*OFFSET(ORÇAMENTO!$X$15,ROW(BH37)-ROW(BH$15),0),
              ROUND(ROUND(OFFSET($P37,0,BH$13),15-13*ORÇAMENTO!$AF$7)*OFFSET(ORÇAMENTO!$W$15,ROW(BH37)-ROW(BH$15),0),15-13*ORÇAMENTO!$AF$11)),
         0)</f>
        <v>2317.69</v>
      </c>
      <c r="BI37" s="352" t="n">
        <f aca="true">IF(AND($D37="Serviço",BI$12&lt;&gt;0,$H37&gt;0,OR(AUTOEVENTO&lt;&gt;"manual",$M37&lt;&gt;$A$15)),
        IF(Import.TipoArredondamento&lt;&gt;"TransfereGOV",
              ROUND(OFFSET($P37,0,BI$13),15-13*ORÇAMENTO!$AF$7)/$H37*OFFSET(ORÇAMENTO!$X$15,ROW(BI37)-ROW(BI$15),0),
              ROUND(ROUND(OFFSET($P37,0,BI$13),15-13*ORÇAMENTO!$AF$7)*OFFSET(ORÇAMENTO!$W$15,ROW(BI37)-ROW(BI$15),0),15-13*ORÇAMENTO!$AF$11)),
         0)</f>
        <v>2317.69</v>
      </c>
      <c r="BJ37" s="352" t="n">
        <f aca="true">IF(AND($D37="Serviço",BJ$12&lt;&gt;0,$H37&gt;0,OR(AUTOEVENTO&lt;&gt;"manual",$M37&lt;&gt;$A$15)),
        IF(Import.TipoArredondamento&lt;&gt;"TransfereGOV",
              ROUND(OFFSET($P37,0,BJ$13),15-13*ORÇAMENTO!$AF$7)/$H37*OFFSET(ORÇAMENTO!$X$15,ROW(BJ37)-ROW(BJ$15),0),
              ROUND(ROUND(OFFSET($P37,0,BJ$13),15-13*ORÇAMENTO!$AF$7)*OFFSET(ORÇAMENTO!$W$15,ROW(BJ37)-ROW(BJ$15),0),15-13*ORÇAMENTO!$AF$11)),
         0)</f>
        <v>2317.69</v>
      </c>
      <c r="BK37" s="352" t="n">
        <f aca="true">IF(AND($D37="Serviço",BK$12&lt;&gt;0,$H37&gt;0,OR(AUTOEVENTO&lt;&gt;"manual",$M37&lt;&gt;$A$15)),
        IF(Import.TipoArredondamento&lt;&gt;"TransfereGOV",
              ROUND(OFFSET($P37,0,BK$13),15-13*ORÇAMENTO!$AF$7)/$H37*OFFSET(ORÇAMENTO!$X$15,ROW(BK37)-ROW(BK$15),0),
              ROUND(ROUND(OFFSET($P37,0,BK$13),15-13*ORÇAMENTO!$AF$7)*OFFSET(ORÇAMENTO!$W$15,ROW(BK37)-ROW(BK$15),0),15-13*ORÇAMENTO!$AF$11)),
         0)</f>
        <v>2317.69</v>
      </c>
      <c r="BL37" s="352" t="n">
        <f aca="true">IF(AND($D37="Serviço",BL$12&lt;&gt;0,$H37&gt;0,OR(AUTOEVENTO&lt;&gt;"manual",$M37&lt;&gt;$A$15)),
        IF(Import.TipoArredondamento&lt;&gt;"TransfereGOV",
              ROUND(OFFSET($P37,0,BL$13),15-13*ORÇAMENTO!$AF$7)/$H37*OFFSET(ORÇAMENTO!$X$15,ROW(BL37)-ROW(BL$15),0),
              ROUND(ROUND(OFFSET($P37,0,BL$13),15-13*ORÇAMENTO!$AF$7)*OFFSET(ORÇAMENTO!$W$15,ROW(BL37)-ROW(BL$15),0),15-13*ORÇAMENTO!$AF$11)),
         0)</f>
        <v>2317.69</v>
      </c>
      <c r="BM37" s="352" t="n">
        <f aca="true">IF(AND($D37="Serviço",BM$12&lt;&gt;0,$H37&gt;0,OR(AUTOEVENTO&lt;&gt;"manual",$M37&lt;&gt;$A$15)),
        IF(Import.TipoArredondamento&lt;&gt;"TransfereGOV",
              ROUND(OFFSET($P37,0,BM$13),15-13*ORÇAMENTO!$AF$7)/$H37*OFFSET(ORÇAMENTO!$X$15,ROW(BM37)-ROW(BM$15),0),
              ROUND(ROUND(OFFSET($P37,0,BM$13),15-13*ORÇAMENTO!$AF$7)*OFFSET(ORÇAMENTO!$W$15,ROW(BM37)-ROW(BM$15),0),15-13*ORÇAMENTO!$AF$11)),
         0)</f>
        <v>2317.69</v>
      </c>
      <c r="BN37" s="352" t="n">
        <f aca="true">IF(AND($D37="Serviço",BN$12&lt;&gt;0,$H37&gt;0,OR(AUTOEVENTO&lt;&gt;"manual",$M37&lt;&gt;$A$15)),
        IF(Import.TipoArredondamento&lt;&gt;"TransfereGOV",
              ROUND(OFFSET($P37,0,BN$13),15-13*ORÇAMENTO!$AF$7)/$H37*OFFSET(ORÇAMENTO!$X$15,ROW(BN37)-ROW(BN$15),0),
              ROUND(ROUND(OFFSET($P37,0,BN$13),15-13*ORÇAMENTO!$AF$7)*OFFSET(ORÇAMENTO!$W$15,ROW(BN37)-ROW(BN$15),0),15-13*ORÇAMENTO!$AF$11)),
         0)</f>
        <v>2317.69</v>
      </c>
      <c r="BO37" s="352" t="n">
        <f aca="true">IF(AND($D37="Serviço",BO$12&lt;&gt;0,$H37&gt;0,OR(AUTOEVENTO&lt;&gt;"manual",$M37&lt;&gt;$A$15)),
        IF(Import.TipoArredondamento&lt;&gt;"TransfereGOV",
              ROUND(OFFSET($P37,0,BO$13),15-13*ORÇAMENTO!$AF$7)/$H37*OFFSET(ORÇAMENTO!$X$15,ROW(BO37)-ROW(BO$15),0),
              ROUND(ROUND(OFFSET($P37,0,BO$13),15-13*ORÇAMENTO!$AF$7)*OFFSET(ORÇAMENTO!$W$15,ROW(BO37)-ROW(BO$15),0),15-13*ORÇAMENTO!$AF$11)),
         0)</f>
        <v>2317.69</v>
      </c>
      <c r="BP37" s="352" t="n">
        <f aca="true">IF(AND($D37="Serviço",BP$12&lt;&gt;0,$H37&gt;0,OR(AUTOEVENTO&lt;&gt;"manual",$M37&lt;&gt;$A$15)),
        IF(Import.TipoArredondamento&lt;&gt;"TransfereGOV",
              ROUND(OFFSET($P37,0,BP$13),15-13*ORÇAMENTO!$AF$7)/$H37*OFFSET(ORÇAMENTO!$X$15,ROW(BP37)-ROW(BP$15),0),
              ROUND(ROUND(OFFSET($P37,0,BP$13),15-13*ORÇAMENTO!$AF$7)*OFFSET(ORÇAMENTO!$W$15,ROW(BP37)-ROW(BP$15),0),15-13*ORÇAMENTO!$AF$11)),
         0)</f>
        <v>2317.69</v>
      </c>
      <c r="BQ37" s="352" t="n">
        <f aca="true">IF(AND($D37="Serviço",BQ$12&lt;&gt;0,$H37&gt;0,OR(AUTOEVENTO&lt;&gt;"manual",$M37&lt;&gt;$A$15)),
        IF(Import.TipoArredondamento&lt;&gt;"TransfereGOV",
              ROUND(OFFSET($P37,0,BQ$13),15-13*ORÇAMENTO!$AF$7)/$H37*OFFSET(ORÇAMENTO!$X$15,ROW(BQ37)-ROW(BQ$15),0),
              ROUND(ROUND(OFFSET($P37,0,BQ$13),15-13*ORÇAMENTO!$AF$7)*OFFSET(ORÇAMENTO!$W$15,ROW(BQ37)-ROW(BQ$15),0),15-13*ORÇAMENTO!$AF$11)),
         0)</f>
        <v>0</v>
      </c>
      <c r="BS37" s="353" t="n">
        <f aca="true">IF(OR($D37&lt;&gt;"Serviço",AND(AUTOEVENTO="Manual",$M37=$A$15)),0,
         IF(OFFSET(CRONOPLE!$F$15,$M37-$A$15,BS$13)=0,10^12,OFFSET(CRONOPLE!$F$15,$M37-$A$15,BS$13)))</f>
        <v>1</v>
      </c>
      <c r="BT37" s="353" t="n">
        <f aca="true">IF(OR($D37&lt;&gt;"Serviço",AND(AUTOEVENTO="Manual",$M37=$A$15)),0,
         IF(OFFSET(CRONOPLE!$F$15,$M37-$A$15,BT$13)=0,10^12,OFFSET(CRONOPLE!$F$15,$M37-$A$15,BT$13)))</f>
        <v>2</v>
      </c>
      <c r="BU37" s="353" t="n">
        <f aca="true">IF(OR($D37&lt;&gt;"Serviço",AND(AUTOEVENTO="Manual",$M37=$A$15)),0,
         IF(OFFSET(CRONOPLE!$F$15,$M37-$A$15,BU$13)=0,10^12,OFFSET(CRONOPLE!$F$15,$M37-$A$15,BU$13)))</f>
        <v>3</v>
      </c>
      <c r="BV37" s="353" t="n">
        <f aca="true">IF(OR($D37&lt;&gt;"Serviço",AND(AUTOEVENTO="Manual",$M37=$A$15)),0,
         IF(OFFSET(CRONOPLE!$F$15,$M37-$A$15,BV$13)=0,10^12,OFFSET(CRONOPLE!$F$15,$M37-$A$15,BV$13)))</f>
        <v>4</v>
      </c>
      <c r="BW37" s="353" t="n">
        <f aca="true">IF(OR($D37&lt;&gt;"Serviço",AND(AUTOEVENTO="Manual",$M37=$A$15)),0,
         IF(OFFSET(CRONOPLE!$F$15,$M37-$A$15,BW$13)=0,10^12,OFFSET(CRONOPLE!$F$15,$M37-$A$15,BW$13)))</f>
        <v>5</v>
      </c>
      <c r="BX37" s="353" t="n">
        <f aca="true">IF(OR($D37&lt;&gt;"Serviço",AND(AUTOEVENTO="Manual",$M37=$A$15)),0,
         IF(OFFSET(CRONOPLE!$F$15,$M37-$A$15,BX$13)=0,10^12,OFFSET(CRONOPLE!$F$15,$M37-$A$15,BX$13)))</f>
        <v>6</v>
      </c>
      <c r="BY37" s="353" t="n">
        <f aca="true">IF(OR($D37&lt;&gt;"Serviço",AND(AUTOEVENTO="Manual",$M37=$A$15)),0,
         IF(OFFSET(CRONOPLE!$F$15,$M37-$A$15,BY$13)=0,10^12,OFFSET(CRONOPLE!$F$15,$M37-$A$15,BY$13)))</f>
        <v>7</v>
      </c>
      <c r="BZ37" s="353" t="n">
        <f aca="true">IF(OR($D37&lt;&gt;"Serviço",AND(AUTOEVENTO="Manual",$M37=$A$15)),0,
         IF(OFFSET(CRONOPLE!$F$15,$M37-$A$15,BZ$13)=0,10^12,OFFSET(CRONOPLE!$F$15,$M37-$A$15,BZ$13)))</f>
        <v>8</v>
      </c>
      <c r="CA37" s="353" t="n">
        <f aca="true">IF(OR($D37&lt;&gt;"Serviço",AND(AUTOEVENTO="Manual",$M37=$A$15)),0,
         IF(OFFSET(CRONOPLE!$F$15,$M37-$A$15,CA$13)=0,10^12,OFFSET(CRONOPLE!$F$15,$M37-$A$15,CA$13)))</f>
        <v>9</v>
      </c>
      <c r="CB37" s="353" t="n">
        <f aca="true">IF(OR($D37&lt;&gt;"Serviço",AND(AUTOEVENTO="Manual",$M37=$A$15)),0,
         IF(OFFSET(CRONOPLE!$F$15,$M37-$A$15,CB$13)=0,10^12,OFFSET(CRONOPLE!$F$15,$M37-$A$15,CB$13)))</f>
        <v>10</v>
      </c>
      <c r="CC37" s="353" t="n">
        <f aca="true">IF(OR($D37&lt;&gt;"Serviço",AND(AUTOEVENTO="Manual",$M37=$A$15)),0,
         IF(OFFSET(CRONOPLE!$F$15,$M37-$A$15,CC$13)=0,10^12,OFFSET(CRONOPLE!$F$15,$M37-$A$15,CC$13)))</f>
        <v>11</v>
      </c>
      <c r="CD37" s="353" t="n">
        <f aca="true">IF(OR($D37&lt;&gt;"Serviço",AND(AUTOEVENTO="Manual",$M37=$A$15)),0,
         IF(OFFSET(CRONOPLE!$F$15,$M37-$A$15,CD$13)=0,10^12,OFFSET(CRONOPLE!$F$15,$M37-$A$15,CD$13)))</f>
        <v>12</v>
      </c>
      <c r="CE37" s="353" t="n">
        <f aca="true">IF(OR($D37&lt;&gt;"Serviço",AND(AUTOEVENTO="Manual",$M37=$A$15)),0,
         IF(OFFSET(CRONOPLE!$F$15,$M37-$A$15,CE$13)=0,10^12,OFFSET(CRONOPLE!$F$15,$M37-$A$15,CE$13)))</f>
        <v>13</v>
      </c>
      <c r="CF37" s="353" t="n">
        <f aca="true">IF(OR($D37&lt;&gt;"Serviço",AND(AUTOEVENTO="Manual",$M37=$A$15)),0,
         IF(OFFSET(CRONOPLE!$F$15,$M37-$A$15,CF$13)=0,10^12,OFFSET(CRONOPLE!$F$15,$M37-$A$15,CF$13)))</f>
        <v>14</v>
      </c>
      <c r="CG37" s="353" t="n">
        <f aca="true">IF(OR($D37&lt;&gt;"Serviço",AND(AUTOEVENTO="Manual",$M37=$A$15)),0,
         IF(OFFSET(CRONOPLE!$F$15,$M37-$A$15,CG$13)=0,10^12,OFFSET(CRONOPLE!$F$15,$M37-$A$15,CG$13)))</f>
        <v>15</v>
      </c>
      <c r="CH37" s="353" t="n">
        <f aca="true">IF(OR($D37&lt;&gt;"Serviço",AND(AUTOEVENTO="Manual",$M37=$A$15)),0,
         IF(OFFSET(CRONOPLE!$F$15,$M37-$A$15,CH$13)=0,10^12,OFFSET(CRONOPLE!$F$15,$M37-$A$15,CH$13)))</f>
        <v>16</v>
      </c>
      <c r="CI37" s="353" t="n">
        <f aca="true">IF(OR($D37&lt;&gt;"Serviço",AND(AUTOEVENTO="Manual",$M37=$A$15)),0,
         IF(OFFSET(CRONOPLE!$F$15,$M37-$A$15,CI$13)=0,10^12,OFFSET(CRONOPLE!$F$15,$M37-$A$15,CI$13)))</f>
        <v>17</v>
      </c>
      <c r="CJ37" s="353" t="n">
        <f aca="true">IF(OR($D37&lt;&gt;"Serviço",AND(AUTOEVENTO="Manual",$M37=$A$15)),0,
         IF(OFFSET(CRONOPLE!$F$15,$M37-$A$15,CJ$13)=0,10^12,OFFSET(CRONOPLE!$F$15,$M37-$A$15,CJ$13)))</f>
        <v>18</v>
      </c>
      <c r="CK37" s="353" t="n">
        <f aca="true">IF(OR($D37&lt;&gt;"Serviço",AND(AUTOEVENTO="Manual",$M37=$A$15)),0,
         IF(OFFSET(CRONOPLE!$F$15,$M37-$A$15,CK$13)=0,10^12,OFFSET(CRONOPLE!$F$15,$M37-$A$15,CK$13)))</f>
        <v>19</v>
      </c>
      <c r="CL37" s="353" t="n">
        <f aca="true">IF(OR($D37&lt;&gt;"Serviço",AND(AUTOEVENTO="Manual",$M37=$A$15)),0,
         IF(OFFSET(CRONOPLE!$F$15,$M37-$A$15,CL$13)=0,10^12,OFFSET(CRONOPLE!$F$15,$M37-$A$15,CL$13)))</f>
        <v>20</v>
      </c>
      <c r="CM37" s="353" t="n">
        <f aca="true">IF(OR($D37&lt;&gt;"Serviço",AND(AUTOEVENTO="Manual",$M37=$A$15)),0,
         IF(OFFSET(CRONOPLE!$F$15,$M37-$A$15,CM$13)=0,10^12,OFFSET(CRONOPLE!$F$15,$M37-$A$15,CM$13)))</f>
        <v>21</v>
      </c>
      <c r="CN37" s="353" t="n">
        <f aca="true">IF(OR($D37&lt;&gt;"Serviço",AND(AUTOEVENTO="Manual",$M37=$A$15)),0,
         IF(OFFSET(CRONOPLE!$F$15,$M37-$A$15,CN$13)=0,10^12,OFFSET(CRONOPLE!$F$15,$M37-$A$15,CN$13)))</f>
        <v>22</v>
      </c>
      <c r="CO37" s="353" t="n">
        <f aca="true">IF(OR($D37&lt;&gt;"Serviço",AND(AUTOEVENTO="Manual",$M37=$A$15)),0,
         IF(OFFSET(CRONOPLE!$F$15,$M37-$A$15,CO$13)=0,10^12,OFFSET(CRONOPLE!$F$15,$M37-$A$15,CO$13)))</f>
        <v>23</v>
      </c>
      <c r="CP37" s="353" t="n">
        <f aca="true">IF(OR($D37&lt;&gt;"Serviço",AND(AUTOEVENTO="Manual",$M37=$A$15)),0,
         IF(OFFSET(CRONOPLE!$F$15,$M37-$A$15,CP$13)=0,10^12,OFFSET(CRONOPLE!$F$15,$M37-$A$15,CP$13)))</f>
        <v>24</v>
      </c>
      <c r="CQ37" s="353" t="n">
        <f aca="true">IF(OR($D37&lt;&gt;"Serviço",AND(AUTOEVENTO="Manual",$M37=$A$15)),0,
         IF(OFFSET(CRONOPLE!$F$15,$M37-$A$15,CQ$13)=0,10^12,OFFSET(CRONOPLE!$F$15,$M37-$A$15,CQ$13)))</f>
        <v>25</v>
      </c>
      <c r="CR37" s="353" t="n">
        <f aca="true">IF(OR($D37&lt;&gt;"Serviço",AND(AUTOEVENTO="Manual",$M37=$A$15)),0,
         IF(OFFSET(CRONOPLE!$F$15,$M37-$A$15,CR$13)=0,10^12,OFFSET(CRONOPLE!$F$15,$M37-$A$15,CR$13)))</f>
        <v>1000000000000</v>
      </c>
      <c r="CT37" s="354" t="n">
        <f aca="true">IF(OR($D37&lt;&gt;"Serviço",AND(AUTOEVENTO="Manual",$M37=$A$15),$M37&gt;(ROW(PLE.lastrow)-ROW(PLE.firstrow))),0,
           IF(OFFSET(PLE!$G$15,$M37-$A$15,CT$13)="",10^12,OFFSET(PLE!$G$15,$M37-$A$15,CT$13)))</f>
        <v>1000000000000</v>
      </c>
      <c r="CU37" s="354" t="n">
        <f aca="true">IF(OR($D37&lt;&gt;"Serviço",AND(AUTOEVENTO="Manual",$M37=$A$15),$M37&gt;(ROW(PLE.lastrow)-ROW(PLE.firstrow))),0,
           IF(OFFSET(PLE!$G$15,$M37-$A$15,CU$13)="",10^12,OFFSET(PLE!$G$15,$M37-$A$15,CU$13)))</f>
        <v>1000000000000</v>
      </c>
      <c r="CV37" s="354" t="n">
        <f aca="true">IF(OR($D37&lt;&gt;"Serviço",AND(AUTOEVENTO="Manual",$M37=$A$15),$M37&gt;(ROW(PLE.lastrow)-ROW(PLE.firstrow))),0,
           IF(OFFSET(PLE!$G$15,$M37-$A$15,CV$13)="",10^12,OFFSET(PLE!$G$15,$M37-$A$15,CV$13)))</f>
        <v>1000000000000</v>
      </c>
      <c r="CW37" s="354" t="n">
        <f aca="true">IF(OR($D37&lt;&gt;"Serviço",AND(AUTOEVENTO="Manual",$M37=$A$15),$M37&gt;(ROW(PLE.lastrow)-ROW(PLE.firstrow))),0,
           IF(OFFSET(PLE!$G$15,$M37-$A$15,CW$13)="",10^12,OFFSET(PLE!$G$15,$M37-$A$15,CW$13)))</f>
        <v>1000000000000</v>
      </c>
      <c r="CX37" s="354" t="n">
        <f aca="true">IF(OR($D37&lt;&gt;"Serviço",AND(AUTOEVENTO="Manual",$M37=$A$15),$M37&gt;(ROW(PLE.lastrow)-ROW(PLE.firstrow))),0,
           IF(OFFSET(PLE!$G$15,$M37-$A$15,CX$13)="",10^12,OFFSET(PLE!$G$15,$M37-$A$15,CX$13)))</f>
        <v>1000000000000</v>
      </c>
      <c r="CY37" s="354" t="n">
        <f aca="true">IF(OR($D37&lt;&gt;"Serviço",AND(AUTOEVENTO="Manual",$M37=$A$15),$M37&gt;(ROW(PLE.lastrow)-ROW(PLE.firstrow))),0,
           IF(OFFSET(PLE!$G$15,$M37-$A$15,CY$13)="",10^12,OFFSET(PLE!$G$15,$M37-$A$15,CY$13)))</f>
        <v>1000000000000</v>
      </c>
      <c r="CZ37" s="354" t="n">
        <f aca="true">IF(OR($D37&lt;&gt;"Serviço",AND(AUTOEVENTO="Manual",$M37=$A$15),$M37&gt;(ROW(PLE.lastrow)-ROW(PLE.firstrow))),0,
           IF(OFFSET(PLE!$G$15,$M37-$A$15,CZ$13)="",10^12,OFFSET(PLE!$G$15,$M37-$A$15,CZ$13)))</f>
        <v>1000000000000</v>
      </c>
      <c r="DA37" s="354" t="n">
        <f aca="true">IF(OR($D37&lt;&gt;"Serviço",AND(AUTOEVENTO="Manual",$M37=$A$15),$M37&gt;(ROW(PLE.lastrow)-ROW(PLE.firstrow))),0,
           IF(OFFSET(PLE!$G$15,$M37-$A$15,DA$13)="",10^12,OFFSET(PLE!$G$15,$M37-$A$15,DA$13)))</f>
        <v>1000000000000</v>
      </c>
      <c r="DB37" s="354" t="n">
        <f aca="true">IF(OR($D37&lt;&gt;"Serviço",AND(AUTOEVENTO="Manual",$M37=$A$15),$M37&gt;(ROW(PLE.lastrow)-ROW(PLE.firstrow))),0,
           IF(OFFSET(PLE!$G$15,$M37-$A$15,DB$13)="",10^12,OFFSET(PLE!$G$15,$M37-$A$15,DB$13)))</f>
        <v>1000000000000</v>
      </c>
      <c r="DC37" s="354" t="n">
        <f aca="true">IF(OR($D37&lt;&gt;"Serviço",AND(AUTOEVENTO="Manual",$M37=$A$15),$M37&gt;(ROW(PLE.lastrow)-ROW(PLE.firstrow))),0,
           IF(OFFSET(PLE!$G$15,$M37-$A$15,DC$13)="",10^12,OFFSET(PLE!$G$15,$M37-$A$15,DC$13)))</f>
        <v>1000000000000</v>
      </c>
      <c r="DD37" s="354" t="n">
        <f aca="true">IF(OR($D37&lt;&gt;"Serviço",AND(AUTOEVENTO="Manual",$M37=$A$15),$M37&gt;(ROW(PLE.lastrow)-ROW(PLE.firstrow))),0,
           IF(OFFSET(PLE!$G$15,$M37-$A$15,DD$13)="",10^12,OFFSET(PLE!$G$15,$M37-$A$15,DD$13)))</f>
        <v>1000000000000</v>
      </c>
      <c r="DE37" s="354" t="n">
        <f aca="true">IF(OR($D37&lt;&gt;"Serviço",AND(AUTOEVENTO="Manual",$M37=$A$15),$M37&gt;(ROW(PLE.lastrow)-ROW(PLE.firstrow))),0,
           IF(OFFSET(PLE!$G$15,$M37-$A$15,DE$13)="",10^12,OFFSET(PLE!$G$15,$M37-$A$15,DE$13)))</f>
        <v>1000000000000</v>
      </c>
      <c r="DF37" s="354" t="n">
        <f aca="true">IF(OR($D37&lt;&gt;"Serviço",AND(AUTOEVENTO="Manual",$M37=$A$15),$M37&gt;(ROW(PLE.lastrow)-ROW(PLE.firstrow))),0,
           IF(OFFSET(PLE!$G$15,$M37-$A$15,DF$13)="",10^12,OFFSET(PLE!$G$15,$M37-$A$15,DF$13)))</f>
        <v>1000000000000</v>
      </c>
      <c r="DG37" s="354" t="n">
        <f aca="true">IF(OR($D37&lt;&gt;"Serviço",AND(AUTOEVENTO="Manual",$M37=$A$15),$M37&gt;(ROW(PLE.lastrow)-ROW(PLE.firstrow))),0,
           IF(OFFSET(PLE!$G$15,$M37-$A$15,DG$13)="",10^12,OFFSET(PLE!$G$15,$M37-$A$15,DG$13)))</f>
        <v>1000000000000</v>
      </c>
      <c r="DH37" s="354" t="n">
        <f aca="true">IF(OR($D37&lt;&gt;"Serviço",AND(AUTOEVENTO="Manual",$M37=$A$15),$M37&gt;(ROW(PLE.lastrow)-ROW(PLE.firstrow))),0,
           IF(OFFSET(PLE!$G$15,$M37-$A$15,DH$13)="",10^12,OFFSET(PLE!$G$15,$M37-$A$15,DH$13)))</f>
        <v>1000000000000</v>
      </c>
      <c r="DI37" s="354" t="n">
        <f aca="true">IF(OR($D37&lt;&gt;"Serviço",AND(AUTOEVENTO="Manual",$M37=$A$15),$M37&gt;(ROW(PLE.lastrow)-ROW(PLE.firstrow))),0,
           IF(OFFSET(PLE!$G$15,$M37-$A$15,DI$13)="",10^12,OFFSET(PLE!$G$15,$M37-$A$15,DI$13)))</f>
        <v>1000000000000</v>
      </c>
      <c r="DJ37" s="354" t="n">
        <f aca="true">IF(OR($D37&lt;&gt;"Serviço",AND(AUTOEVENTO="Manual",$M37=$A$15),$M37&gt;(ROW(PLE.lastrow)-ROW(PLE.firstrow))),0,
           IF(OFFSET(PLE!$G$15,$M37-$A$15,DJ$13)="",10^12,OFFSET(PLE!$G$15,$M37-$A$15,DJ$13)))</f>
        <v>1000000000000</v>
      </c>
      <c r="DK37" s="354" t="n">
        <f aca="true">IF(OR($D37&lt;&gt;"Serviço",AND(AUTOEVENTO="Manual",$M37=$A$15),$M37&gt;(ROW(PLE.lastrow)-ROW(PLE.firstrow))),0,
           IF(OFFSET(PLE!$G$15,$M37-$A$15,DK$13)="",10^12,OFFSET(PLE!$G$15,$M37-$A$15,DK$13)))</f>
        <v>1000000000000</v>
      </c>
      <c r="DL37" s="354" t="n">
        <f aca="true">IF(OR($D37&lt;&gt;"Serviço",AND(AUTOEVENTO="Manual",$M37=$A$15),$M37&gt;(ROW(PLE.lastrow)-ROW(PLE.firstrow))),0,
           IF(OFFSET(PLE!$G$15,$M37-$A$15,DL$13)="",10^12,OFFSET(PLE!$G$15,$M37-$A$15,DL$13)))</f>
        <v>1000000000000</v>
      </c>
      <c r="DM37" s="354" t="n">
        <f aca="true">IF(OR($D37&lt;&gt;"Serviço",AND(AUTOEVENTO="Manual",$M37=$A$15),$M37&gt;(ROW(PLE.lastrow)-ROW(PLE.firstrow))),0,
           IF(OFFSET(PLE!$G$15,$M37-$A$15,DM$13)="",10^12,OFFSET(PLE!$G$15,$M37-$A$15,DM$13)))</f>
        <v>1000000000000</v>
      </c>
      <c r="DN37" s="354" t="n">
        <f aca="true">IF(OR($D37&lt;&gt;"Serviço",AND(AUTOEVENTO="Manual",$M37=$A$15),$M37&gt;(ROW(PLE.lastrow)-ROW(PLE.firstrow))),0,
           IF(OFFSET(PLE!$G$15,$M37-$A$15,DN$13)="",10^12,OFFSET(PLE!$G$15,$M37-$A$15,DN$13)))</f>
        <v>1000000000000</v>
      </c>
      <c r="DO37" s="354" t="n">
        <f aca="true">IF(OR($D37&lt;&gt;"Serviço",AND(AUTOEVENTO="Manual",$M37=$A$15),$M37&gt;(ROW(PLE.lastrow)-ROW(PLE.firstrow))),0,
           IF(OFFSET(PLE!$G$15,$M37-$A$15,DO$13)="",10^12,OFFSET(PLE!$G$15,$M37-$A$15,DO$13)))</f>
        <v>1000000000000</v>
      </c>
      <c r="DP37" s="354" t="n">
        <f aca="true">IF(OR($D37&lt;&gt;"Serviço",AND(AUTOEVENTO="Manual",$M37=$A$15),$M37&gt;(ROW(PLE.lastrow)-ROW(PLE.firstrow))),0,
           IF(OFFSET(PLE!$G$15,$M37-$A$15,DP$13)="",10^12,OFFSET(PLE!$G$15,$M37-$A$15,DP$13)))</f>
        <v>1000000000000</v>
      </c>
      <c r="DQ37" s="354" t="n">
        <f aca="true">IF(OR($D37&lt;&gt;"Serviço",AND(AUTOEVENTO="Manual",$M37=$A$15),$M37&gt;(ROW(PLE.lastrow)-ROW(PLE.firstrow))),0,
           IF(OFFSET(PLE!$G$15,$M37-$A$15,DQ$13)="",10^12,OFFSET(PLE!$G$15,$M37-$A$15,DQ$13)))</f>
        <v>1000000000000</v>
      </c>
      <c r="DR37" s="354" t="n">
        <f aca="true">IF(OR($D37&lt;&gt;"Serviço",AND(AUTOEVENTO="Manual",$M37=$A$15),$M37&gt;(ROW(PLE.lastrow)-ROW(PLE.firstrow))),0,
           IF(OFFSET(PLE!$G$15,$M37-$A$15,DR$13)="",10^12,OFFSET(PLE!$G$15,$M37-$A$15,DR$13)))</f>
        <v>1000000000000</v>
      </c>
      <c r="DS37" s="354" t="n">
        <f aca="true">IF(OR($D37&lt;&gt;"Serviço",AND(AUTOEVENTO="Manual",$M37=$A$15),$M37&gt;(ROW(PLE.lastrow)-ROW(PLE.firstrow))),0,
           IF(OFFSET(PLE!$G$15,$M37-$A$15,DS$13)="",10^12,OFFSET(PLE!$G$15,$M37-$A$15,DS$13)))</f>
        <v>1000000000000</v>
      </c>
    </row>
    <row r="38" customFormat="false" ht="23.85" hidden="false" customHeight="false" outlineLevel="0" collapsed="false">
      <c r="A38" s="50" t="str">
        <f aca="true">IFERROR(IF(AUTOEVENTO="Manual",IF(K38&lt;&gt;"",MIN(VALUE(LEFT(K38,FIND(".",K38)-1)),COUNTA(EVENTOS.Lista)),0),IF(OR($B38&gt;AUTOEVENTO,$B38="S",$B38=0),SUBSTITUTE(OFFSET($A38,-1,0),IF($D38="Serviço",".",""),""),ROW(A38)-ROW($A$15)&amp;".")),0)</f>
        <v>14</v>
      </c>
      <c r="B38" s="50" t="str">
        <f aca="true">OFFSET(ORÇAMENTO!C$15,ROW(B38)-ROW(B$15),0)</f>
        <v>S</v>
      </c>
      <c r="C38" s="50" t="str">
        <f aca="true">OFFSET(ORÇAMENTO!L$15,ROW(C38)-ROW(C$15),0)</f>
        <v>F</v>
      </c>
      <c r="D38" s="201" t="str">
        <f aca="true">OFFSET(ORÇAMENTO!N$15,ROW(D38)-ROW(D$15),0)</f>
        <v>Serviço</v>
      </c>
      <c r="E38" s="202" t="str">
        <f aca="true">OFFSET(ORÇAMENTO!O$15,ROW(E38)-ROW(E$15),0)</f>
        <v>1.5.9.</v>
      </c>
      <c r="F38" s="341" t="str">
        <f aca="true">OFFSET(ORÇAMENTO!R$15,ROW(F38)-ROW(F$15),0)</f>
        <v>REATERRO MANUAL DE VALAS, COM COMPACTADOR DE SOLOS DE PERCUSSÃO. AF_08/2023</v>
      </c>
      <c r="G38" s="342" t="str">
        <f aca="true">IF($D38&lt;&gt;"Serviço","",OFFSET(ORÇAMENTO!S$15,ROW(G38)-ROW(G$15),0))</f>
        <v>M3</v>
      </c>
      <c r="H38" s="207" t="n">
        <f aca="true">IF($D38&lt;&gt;"Serviço",0,IF(ACOMPANHAMENTO="BM",ROUND(OFFSET(ORÇAMENTO!AJ$15,ROW(H38)-ROW(H$15),0),15-13*ORÇAMENTO!$AF$7),SUMPRODUCT(($Q$1:$AQ$1=1)*ROUND($Q38:$AQ38,15-13*ORÇAMENTO!$AF$7))))</f>
        <v>327</v>
      </c>
      <c r="I38" s="343" t="s">
        <v>928</v>
      </c>
      <c r="J38" s="344" t="e">
        <f aca="false">IF(OR(B38&lt;&gt;"S",CÁLCULO.FrentesPreenchidas=0),"",IF(AND(ACOMPANHAMENTO="PLE",AUTOEVENTO="Manual",OR(H38&gt;0,ORÇAMENTO!AC38="QUANT."),OR(K38="",M38=0,N38="")),"►",IF(AND(ACOMPANHAMENTO="PLE",ORÇAMENTO!AC38="QUANT."),"►►",IF(AND(COUNTIF($P$11:$AQ$11,"▼")=0,H38&gt;0,I38=""),"◄",""))))</f>
        <v>#NAME?</v>
      </c>
      <c r="K38" s="345"/>
      <c r="L38" s="346" t="s">
        <v>876</v>
      </c>
      <c r="M38" s="347" t="n">
        <f aca="true">IF($D38&lt;&gt;"Serviço","",
          IF(AUTOEVENTO="manual",$A38,
                IF(ISERROR(MATCH($A38,$A$15:OFFSET($A38,-1,0),0)),MAX($M$15:OFFSET(M38,-1,0))+1,
                      INDEX($M$15:OFFSET(M38,-1,0),MATCH($A38,$A$15:OFFSET($A38,-1,0),0)))))</f>
        <v>3</v>
      </c>
      <c r="N38" s="348" t="str">
        <f aca="true">IF($D38&lt;&gt;"Serviço","",
         IF(AUTOEVENTO="Manual",
                IF($A38=0,"&lt;-- defina o número do agrupador",
                       OFFSET(EVENTOS!$D$15,$A38-$A$15,0)),
                OFFSET($F$15,$A38,0)))</f>
        <v>SAPATA</v>
      </c>
      <c r="O38" s="349"/>
      <c r="Q38" s="349" t="n">
        <f aca="false">Q30-Q37</f>
        <v>13.08</v>
      </c>
      <c r="R38" s="350" t="n">
        <f aca="false">Q38</f>
        <v>13.08</v>
      </c>
      <c r="S38" s="350" t="n">
        <f aca="false">R38</f>
        <v>13.08</v>
      </c>
      <c r="T38" s="350" t="n">
        <f aca="false">S38</f>
        <v>13.08</v>
      </c>
      <c r="U38" s="350" t="n">
        <f aca="false">T38</f>
        <v>13.08</v>
      </c>
      <c r="V38" s="350" t="n">
        <f aca="false">U38</f>
        <v>13.08</v>
      </c>
      <c r="W38" s="350" t="n">
        <f aca="false">V38</f>
        <v>13.08</v>
      </c>
      <c r="X38" s="350" t="n">
        <f aca="false">W38</f>
        <v>13.08</v>
      </c>
      <c r="Y38" s="350" t="n">
        <f aca="false">X38</f>
        <v>13.08</v>
      </c>
      <c r="Z38" s="351" t="n">
        <f aca="false">Y38</f>
        <v>13.08</v>
      </c>
      <c r="AA38" s="350" t="n">
        <f aca="false">Z38</f>
        <v>13.08</v>
      </c>
      <c r="AB38" s="350" t="n">
        <f aca="false">AA38</f>
        <v>13.08</v>
      </c>
      <c r="AC38" s="350" t="n">
        <f aca="false">AB38</f>
        <v>13.08</v>
      </c>
      <c r="AD38" s="350" t="n">
        <f aca="false">AC38</f>
        <v>13.08</v>
      </c>
      <c r="AE38" s="350" t="n">
        <f aca="false">AD38</f>
        <v>13.08</v>
      </c>
      <c r="AF38" s="350" t="n">
        <f aca="false">AE38</f>
        <v>13.08</v>
      </c>
      <c r="AG38" s="350" t="n">
        <f aca="false">AF38</f>
        <v>13.08</v>
      </c>
      <c r="AH38" s="351" t="n">
        <f aca="false">AG38</f>
        <v>13.08</v>
      </c>
      <c r="AI38" s="350" t="n">
        <f aca="false">AH38</f>
        <v>13.08</v>
      </c>
      <c r="AJ38" s="350" t="n">
        <f aca="false">AI38</f>
        <v>13.08</v>
      </c>
      <c r="AK38" s="350" t="n">
        <f aca="false">AJ38</f>
        <v>13.08</v>
      </c>
      <c r="AL38" s="350" t="n">
        <f aca="false">AK38</f>
        <v>13.08</v>
      </c>
      <c r="AM38" s="350" t="n">
        <f aca="false">AL38</f>
        <v>13.08</v>
      </c>
      <c r="AN38" s="350" t="n">
        <f aca="false">AM38</f>
        <v>13.08</v>
      </c>
      <c r="AO38" s="350" t="n">
        <f aca="false">AN38</f>
        <v>13.08</v>
      </c>
      <c r="AP38" s="351" t="n">
        <v>47.07</v>
      </c>
      <c r="AR38" s="352" t="n">
        <f aca="true">IF(AND($D38="Serviço",AR$12&lt;&gt;0,$H38&gt;0,OR(AUTOEVENTO&lt;&gt;"manual",$M38&lt;&gt;$A$15)),
        IF(Import.TipoArredondamento&lt;&gt;"TransfereGOV",
              ROUND(OFFSET($P38,0,AR$13),15-13*ORÇAMENTO!$AF$7)/$H38*OFFSET(ORÇAMENTO!$X$15,ROW(AR38)-ROW(AR$15),0),
              ROUND(ROUND(OFFSET($P38,0,AR$13),15-13*ORÇAMENTO!$AF$7)*OFFSET(ORÇAMENTO!$W$15,ROW(AR38)-ROW(AR$15),0),15-13*ORÇAMENTO!$AF$11)),
         0)</f>
        <v>443.54</v>
      </c>
      <c r="AS38" s="352" t="n">
        <f aca="true">IF(AND($D38="Serviço",AS$12&lt;&gt;0,$H38&gt;0,OR(AUTOEVENTO&lt;&gt;"manual",$M38&lt;&gt;$A$15)),
        IF(Import.TipoArredondamento&lt;&gt;"TransfereGOV",
              ROUND(OFFSET($P38,0,AS$13),15-13*ORÇAMENTO!$AF$7)/$H38*OFFSET(ORÇAMENTO!$X$15,ROW(AS38)-ROW(AS$15),0),
              ROUND(ROUND(OFFSET($P38,0,AS$13),15-13*ORÇAMENTO!$AF$7)*OFFSET(ORÇAMENTO!$W$15,ROW(AS38)-ROW(AS$15),0),15-13*ORÇAMENTO!$AF$11)),
         0)</f>
        <v>443.54</v>
      </c>
      <c r="AT38" s="352" t="n">
        <f aca="true">IF(AND($D38="Serviço",AT$12&lt;&gt;0,$H38&gt;0,OR(AUTOEVENTO&lt;&gt;"manual",$M38&lt;&gt;$A$15)),
        IF(Import.TipoArredondamento&lt;&gt;"TransfereGOV",
              ROUND(OFFSET($P38,0,AT$13),15-13*ORÇAMENTO!$AF$7)/$H38*OFFSET(ORÇAMENTO!$X$15,ROW(AT38)-ROW(AT$15),0),
              ROUND(ROUND(OFFSET($P38,0,AT$13),15-13*ORÇAMENTO!$AF$7)*OFFSET(ORÇAMENTO!$W$15,ROW(AT38)-ROW(AT$15),0),15-13*ORÇAMENTO!$AF$11)),
         0)</f>
        <v>443.54</v>
      </c>
      <c r="AU38" s="352" t="n">
        <f aca="true">IF(AND($D38="Serviço",AU$12&lt;&gt;0,$H38&gt;0,OR(AUTOEVENTO&lt;&gt;"manual",$M38&lt;&gt;$A$15)),
        IF(Import.TipoArredondamento&lt;&gt;"TransfereGOV",
              ROUND(OFFSET($P38,0,AU$13),15-13*ORÇAMENTO!$AF$7)/$H38*OFFSET(ORÇAMENTO!$X$15,ROW(AU38)-ROW(AU$15),0),
              ROUND(ROUND(OFFSET($P38,0,AU$13),15-13*ORÇAMENTO!$AF$7)*OFFSET(ORÇAMENTO!$W$15,ROW(AU38)-ROW(AU$15),0),15-13*ORÇAMENTO!$AF$11)),
         0)</f>
        <v>443.54</v>
      </c>
      <c r="AV38" s="352" t="n">
        <f aca="true">IF(AND($D38="Serviço",AV$12&lt;&gt;0,$H38&gt;0,OR(AUTOEVENTO&lt;&gt;"manual",$M38&lt;&gt;$A$15)),
        IF(Import.TipoArredondamento&lt;&gt;"TransfereGOV",
              ROUND(OFFSET($P38,0,AV$13),15-13*ORÇAMENTO!$AF$7)/$H38*OFFSET(ORÇAMENTO!$X$15,ROW(AV38)-ROW(AV$15),0),
              ROUND(ROUND(OFFSET($P38,0,AV$13),15-13*ORÇAMENTO!$AF$7)*OFFSET(ORÇAMENTO!$W$15,ROW(AV38)-ROW(AV$15),0),15-13*ORÇAMENTO!$AF$11)),
         0)</f>
        <v>443.54</v>
      </c>
      <c r="AW38" s="352" t="n">
        <f aca="true">IF(AND($D38="Serviço",AW$12&lt;&gt;0,$H38&gt;0,OR(AUTOEVENTO&lt;&gt;"manual",$M38&lt;&gt;$A$15)),
        IF(Import.TipoArredondamento&lt;&gt;"TransfereGOV",
              ROUND(OFFSET($P38,0,AW$13),15-13*ORÇAMENTO!$AF$7)/$H38*OFFSET(ORÇAMENTO!$X$15,ROW(AW38)-ROW(AW$15),0),
              ROUND(ROUND(OFFSET($P38,0,AW$13),15-13*ORÇAMENTO!$AF$7)*OFFSET(ORÇAMENTO!$W$15,ROW(AW38)-ROW(AW$15),0),15-13*ORÇAMENTO!$AF$11)),
         0)</f>
        <v>443.54</v>
      </c>
      <c r="AX38" s="352" t="n">
        <f aca="true">IF(AND($D38="Serviço",AX$12&lt;&gt;0,$H38&gt;0,OR(AUTOEVENTO&lt;&gt;"manual",$M38&lt;&gt;$A$15)),
        IF(Import.TipoArredondamento&lt;&gt;"TransfereGOV",
              ROUND(OFFSET($P38,0,AX$13),15-13*ORÇAMENTO!$AF$7)/$H38*OFFSET(ORÇAMENTO!$X$15,ROW(AX38)-ROW(AX$15),0),
              ROUND(ROUND(OFFSET($P38,0,AX$13),15-13*ORÇAMENTO!$AF$7)*OFFSET(ORÇAMENTO!$W$15,ROW(AX38)-ROW(AX$15),0),15-13*ORÇAMENTO!$AF$11)),
         0)</f>
        <v>443.54</v>
      </c>
      <c r="AY38" s="352" t="n">
        <f aca="true">IF(AND($D38="Serviço",AY$12&lt;&gt;0,$H38&gt;0,OR(AUTOEVENTO&lt;&gt;"manual",$M38&lt;&gt;$A$15)),
        IF(Import.TipoArredondamento&lt;&gt;"TransfereGOV",
              ROUND(OFFSET($P38,0,AY$13),15-13*ORÇAMENTO!$AF$7)/$H38*OFFSET(ORÇAMENTO!$X$15,ROW(AY38)-ROW(AY$15),0),
              ROUND(ROUND(OFFSET($P38,0,AY$13),15-13*ORÇAMENTO!$AF$7)*OFFSET(ORÇAMENTO!$W$15,ROW(AY38)-ROW(AY$15),0),15-13*ORÇAMENTO!$AF$11)),
         0)</f>
        <v>443.54</v>
      </c>
      <c r="AZ38" s="352" t="n">
        <f aca="true">IF(AND($D38="Serviço",AZ$12&lt;&gt;0,$H38&gt;0,OR(AUTOEVENTO&lt;&gt;"manual",$M38&lt;&gt;$A$15)),
        IF(Import.TipoArredondamento&lt;&gt;"TransfereGOV",
              ROUND(OFFSET($P38,0,AZ$13),15-13*ORÇAMENTO!$AF$7)/$H38*OFFSET(ORÇAMENTO!$X$15,ROW(AZ38)-ROW(AZ$15),0),
              ROUND(ROUND(OFFSET($P38,0,AZ$13),15-13*ORÇAMENTO!$AF$7)*OFFSET(ORÇAMENTO!$W$15,ROW(AZ38)-ROW(AZ$15),0),15-13*ORÇAMENTO!$AF$11)),
         0)</f>
        <v>443.54</v>
      </c>
      <c r="BA38" s="352" t="n">
        <f aca="true">IF(AND($D38="Serviço",BA$12&lt;&gt;0,$H38&gt;0,OR(AUTOEVENTO&lt;&gt;"manual",$M38&lt;&gt;$A$15)),
        IF(Import.TipoArredondamento&lt;&gt;"TransfereGOV",
              ROUND(OFFSET($P38,0,BA$13),15-13*ORÇAMENTO!$AF$7)/$H38*OFFSET(ORÇAMENTO!$X$15,ROW(BA38)-ROW(BA$15),0),
              ROUND(ROUND(OFFSET($P38,0,BA$13),15-13*ORÇAMENTO!$AF$7)*OFFSET(ORÇAMENTO!$W$15,ROW(BA38)-ROW(BA$15),0),15-13*ORÇAMENTO!$AF$11)),
         0)</f>
        <v>443.54</v>
      </c>
      <c r="BB38" s="352" t="n">
        <f aca="true">IF(AND($D38="Serviço",BB$12&lt;&gt;0,$H38&gt;0,OR(AUTOEVENTO&lt;&gt;"manual",$M38&lt;&gt;$A$15)),
        IF(Import.TipoArredondamento&lt;&gt;"TransfereGOV",
              ROUND(OFFSET($P38,0,BB$13),15-13*ORÇAMENTO!$AF$7)/$H38*OFFSET(ORÇAMENTO!$X$15,ROW(BB38)-ROW(BB$15),0),
              ROUND(ROUND(OFFSET($P38,0,BB$13),15-13*ORÇAMENTO!$AF$7)*OFFSET(ORÇAMENTO!$W$15,ROW(BB38)-ROW(BB$15),0),15-13*ORÇAMENTO!$AF$11)),
         0)</f>
        <v>443.54</v>
      </c>
      <c r="BC38" s="352" t="n">
        <f aca="true">IF(AND($D38="Serviço",BC$12&lt;&gt;0,$H38&gt;0,OR(AUTOEVENTO&lt;&gt;"manual",$M38&lt;&gt;$A$15)),
        IF(Import.TipoArredondamento&lt;&gt;"TransfereGOV",
              ROUND(OFFSET($P38,0,BC$13),15-13*ORÇAMENTO!$AF$7)/$H38*OFFSET(ORÇAMENTO!$X$15,ROW(BC38)-ROW(BC$15),0),
              ROUND(ROUND(OFFSET($P38,0,BC$13),15-13*ORÇAMENTO!$AF$7)*OFFSET(ORÇAMENTO!$W$15,ROW(BC38)-ROW(BC$15),0),15-13*ORÇAMENTO!$AF$11)),
         0)</f>
        <v>443.54</v>
      </c>
      <c r="BD38" s="352" t="n">
        <f aca="true">IF(AND($D38="Serviço",BD$12&lt;&gt;0,$H38&gt;0,OR(AUTOEVENTO&lt;&gt;"manual",$M38&lt;&gt;$A$15)),
        IF(Import.TipoArredondamento&lt;&gt;"TransfereGOV",
              ROUND(OFFSET($P38,0,BD$13),15-13*ORÇAMENTO!$AF$7)/$H38*OFFSET(ORÇAMENTO!$X$15,ROW(BD38)-ROW(BD$15),0),
              ROUND(ROUND(OFFSET($P38,0,BD$13),15-13*ORÇAMENTO!$AF$7)*OFFSET(ORÇAMENTO!$W$15,ROW(BD38)-ROW(BD$15),0),15-13*ORÇAMENTO!$AF$11)),
         0)</f>
        <v>443.54</v>
      </c>
      <c r="BE38" s="352" t="n">
        <f aca="true">IF(AND($D38="Serviço",BE$12&lt;&gt;0,$H38&gt;0,OR(AUTOEVENTO&lt;&gt;"manual",$M38&lt;&gt;$A$15)),
        IF(Import.TipoArredondamento&lt;&gt;"TransfereGOV",
              ROUND(OFFSET($P38,0,BE$13),15-13*ORÇAMENTO!$AF$7)/$H38*OFFSET(ORÇAMENTO!$X$15,ROW(BE38)-ROW(BE$15),0),
              ROUND(ROUND(OFFSET($P38,0,BE$13),15-13*ORÇAMENTO!$AF$7)*OFFSET(ORÇAMENTO!$W$15,ROW(BE38)-ROW(BE$15),0),15-13*ORÇAMENTO!$AF$11)),
         0)</f>
        <v>443.54</v>
      </c>
      <c r="BF38" s="352" t="n">
        <f aca="true">IF(AND($D38="Serviço",BF$12&lt;&gt;0,$H38&gt;0,OR(AUTOEVENTO&lt;&gt;"manual",$M38&lt;&gt;$A$15)),
        IF(Import.TipoArredondamento&lt;&gt;"TransfereGOV",
              ROUND(OFFSET($P38,0,BF$13),15-13*ORÇAMENTO!$AF$7)/$H38*OFFSET(ORÇAMENTO!$X$15,ROW(BF38)-ROW(BF$15),0),
              ROUND(ROUND(OFFSET($P38,0,BF$13),15-13*ORÇAMENTO!$AF$7)*OFFSET(ORÇAMENTO!$W$15,ROW(BF38)-ROW(BF$15),0),15-13*ORÇAMENTO!$AF$11)),
         0)</f>
        <v>443.54</v>
      </c>
      <c r="BG38" s="352" t="n">
        <f aca="true">IF(AND($D38="Serviço",BG$12&lt;&gt;0,$H38&gt;0,OR(AUTOEVENTO&lt;&gt;"manual",$M38&lt;&gt;$A$15)),
        IF(Import.TipoArredondamento&lt;&gt;"TransfereGOV",
              ROUND(OFFSET($P38,0,BG$13),15-13*ORÇAMENTO!$AF$7)/$H38*OFFSET(ORÇAMENTO!$X$15,ROW(BG38)-ROW(BG$15),0),
              ROUND(ROUND(OFFSET($P38,0,BG$13),15-13*ORÇAMENTO!$AF$7)*OFFSET(ORÇAMENTO!$W$15,ROW(BG38)-ROW(BG$15),0),15-13*ORÇAMENTO!$AF$11)),
         0)</f>
        <v>443.54</v>
      </c>
      <c r="BH38" s="352" t="n">
        <f aca="true">IF(AND($D38="Serviço",BH$12&lt;&gt;0,$H38&gt;0,OR(AUTOEVENTO&lt;&gt;"manual",$M38&lt;&gt;$A$15)),
        IF(Import.TipoArredondamento&lt;&gt;"TransfereGOV",
              ROUND(OFFSET($P38,0,BH$13),15-13*ORÇAMENTO!$AF$7)/$H38*OFFSET(ORÇAMENTO!$X$15,ROW(BH38)-ROW(BH$15),0),
              ROUND(ROUND(OFFSET($P38,0,BH$13),15-13*ORÇAMENTO!$AF$7)*OFFSET(ORÇAMENTO!$W$15,ROW(BH38)-ROW(BH$15),0),15-13*ORÇAMENTO!$AF$11)),
         0)</f>
        <v>443.54</v>
      </c>
      <c r="BI38" s="352" t="n">
        <f aca="true">IF(AND($D38="Serviço",BI$12&lt;&gt;0,$H38&gt;0,OR(AUTOEVENTO&lt;&gt;"manual",$M38&lt;&gt;$A$15)),
        IF(Import.TipoArredondamento&lt;&gt;"TransfereGOV",
              ROUND(OFFSET($P38,0,BI$13),15-13*ORÇAMENTO!$AF$7)/$H38*OFFSET(ORÇAMENTO!$X$15,ROW(BI38)-ROW(BI$15),0),
              ROUND(ROUND(OFFSET($P38,0,BI$13),15-13*ORÇAMENTO!$AF$7)*OFFSET(ORÇAMENTO!$W$15,ROW(BI38)-ROW(BI$15),0),15-13*ORÇAMENTO!$AF$11)),
         0)</f>
        <v>443.54</v>
      </c>
      <c r="BJ38" s="352" t="n">
        <f aca="true">IF(AND($D38="Serviço",BJ$12&lt;&gt;0,$H38&gt;0,OR(AUTOEVENTO&lt;&gt;"manual",$M38&lt;&gt;$A$15)),
        IF(Import.TipoArredondamento&lt;&gt;"TransfereGOV",
              ROUND(OFFSET($P38,0,BJ$13),15-13*ORÇAMENTO!$AF$7)/$H38*OFFSET(ORÇAMENTO!$X$15,ROW(BJ38)-ROW(BJ$15),0),
              ROUND(ROUND(OFFSET($P38,0,BJ$13),15-13*ORÇAMENTO!$AF$7)*OFFSET(ORÇAMENTO!$W$15,ROW(BJ38)-ROW(BJ$15),0),15-13*ORÇAMENTO!$AF$11)),
         0)</f>
        <v>443.54</v>
      </c>
      <c r="BK38" s="352" t="n">
        <f aca="true">IF(AND($D38="Serviço",BK$12&lt;&gt;0,$H38&gt;0,OR(AUTOEVENTO&lt;&gt;"manual",$M38&lt;&gt;$A$15)),
        IF(Import.TipoArredondamento&lt;&gt;"TransfereGOV",
              ROUND(OFFSET($P38,0,BK$13),15-13*ORÇAMENTO!$AF$7)/$H38*OFFSET(ORÇAMENTO!$X$15,ROW(BK38)-ROW(BK$15),0),
              ROUND(ROUND(OFFSET($P38,0,BK$13),15-13*ORÇAMENTO!$AF$7)*OFFSET(ORÇAMENTO!$W$15,ROW(BK38)-ROW(BK$15),0),15-13*ORÇAMENTO!$AF$11)),
         0)</f>
        <v>443.54</v>
      </c>
      <c r="BL38" s="352" t="n">
        <f aca="true">IF(AND($D38="Serviço",BL$12&lt;&gt;0,$H38&gt;0,OR(AUTOEVENTO&lt;&gt;"manual",$M38&lt;&gt;$A$15)),
        IF(Import.TipoArredondamento&lt;&gt;"TransfereGOV",
              ROUND(OFFSET($P38,0,BL$13),15-13*ORÇAMENTO!$AF$7)/$H38*OFFSET(ORÇAMENTO!$X$15,ROW(BL38)-ROW(BL$15),0),
              ROUND(ROUND(OFFSET($P38,0,BL$13),15-13*ORÇAMENTO!$AF$7)*OFFSET(ORÇAMENTO!$W$15,ROW(BL38)-ROW(BL$15),0),15-13*ORÇAMENTO!$AF$11)),
         0)</f>
        <v>443.54</v>
      </c>
      <c r="BM38" s="352" t="n">
        <f aca="true">IF(AND($D38="Serviço",BM$12&lt;&gt;0,$H38&gt;0,OR(AUTOEVENTO&lt;&gt;"manual",$M38&lt;&gt;$A$15)),
        IF(Import.TipoArredondamento&lt;&gt;"TransfereGOV",
              ROUND(OFFSET($P38,0,BM$13),15-13*ORÇAMENTO!$AF$7)/$H38*OFFSET(ORÇAMENTO!$X$15,ROW(BM38)-ROW(BM$15),0),
              ROUND(ROUND(OFFSET($P38,0,BM$13),15-13*ORÇAMENTO!$AF$7)*OFFSET(ORÇAMENTO!$W$15,ROW(BM38)-ROW(BM$15),0),15-13*ORÇAMENTO!$AF$11)),
         0)</f>
        <v>443.54</v>
      </c>
      <c r="BN38" s="352" t="n">
        <f aca="true">IF(AND($D38="Serviço",BN$12&lt;&gt;0,$H38&gt;0,OR(AUTOEVENTO&lt;&gt;"manual",$M38&lt;&gt;$A$15)),
        IF(Import.TipoArredondamento&lt;&gt;"TransfereGOV",
              ROUND(OFFSET($P38,0,BN$13),15-13*ORÇAMENTO!$AF$7)/$H38*OFFSET(ORÇAMENTO!$X$15,ROW(BN38)-ROW(BN$15),0),
              ROUND(ROUND(OFFSET($P38,0,BN$13),15-13*ORÇAMENTO!$AF$7)*OFFSET(ORÇAMENTO!$W$15,ROW(BN38)-ROW(BN$15),0),15-13*ORÇAMENTO!$AF$11)),
         0)</f>
        <v>443.54</v>
      </c>
      <c r="BO38" s="352" t="n">
        <f aca="true">IF(AND($D38="Serviço",BO$12&lt;&gt;0,$H38&gt;0,OR(AUTOEVENTO&lt;&gt;"manual",$M38&lt;&gt;$A$15)),
        IF(Import.TipoArredondamento&lt;&gt;"TransfereGOV",
              ROUND(OFFSET($P38,0,BO$13),15-13*ORÇAMENTO!$AF$7)/$H38*OFFSET(ORÇAMENTO!$X$15,ROW(BO38)-ROW(BO$15),0),
              ROUND(ROUND(OFFSET($P38,0,BO$13),15-13*ORÇAMENTO!$AF$7)*OFFSET(ORÇAMENTO!$W$15,ROW(BO38)-ROW(BO$15),0),15-13*ORÇAMENTO!$AF$11)),
         0)</f>
        <v>443.54</v>
      </c>
      <c r="BP38" s="352" t="n">
        <f aca="true">IF(AND($D38="Serviço",BP$12&lt;&gt;0,$H38&gt;0,OR(AUTOEVENTO&lt;&gt;"manual",$M38&lt;&gt;$A$15)),
        IF(Import.TipoArredondamento&lt;&gt;"TransfereGOV",
              ROUND(OFFSET($P38,0,BP$13),15-13*ORÇAMENTO!$AF$7)/$H38*OFFSET(ORÇAMENTO!$X$15,ROW(BP38)-ROW(BP$15),0),
              ROUND(ROUND(OFFSET($P38,0,BP$13),15-13*ORÇAMENTO!$AF$7)*OFFSET(ORÇAMENTO!$W$15,ROW(BP38)-ROW(BP$15),0),15-13*ORÇAMENTO!$AF$11)),
         0)</f>
        <v>443.54</v>
      </c>
      <c r="BQ38" s="352" t="n">
        <f aca="true">IF(AND($D38="Serviço",BQ$12&lt;&gt;0,$H38&gt;0,OR(AUTOEVENTO&lt;&gt;"manual",$M38&lt;&gt;$A$15)),
        IF(Import.TipoArredondamento&lt;&gt;"TransfereGOV",
              ROUND(OFFSET($P38,0,BQ$13),15-13*ORÇAMENTO!$AF$7)/$H38*OFFSET(ORÇAMENTO!$X$15,ROW(BQ38)-ROW(BQ$15),0),
              ROUND(ROUND(OFFSET($P38,0,BQ$13),15-13*ORÇAMENTO!$AF$7)*OFFSET(ORÇAMENTO!$W$15,ROW(BQ38)-ROW(BQ$15),0),15-13*ORÇAMENTO!$AF$11)),
         0)</f>
        <v>0</v>
      </c>
      <c r="BS38" s="353" t="n">
        <f aca="true">IF(OR($D38&lt;&gt;"Serviço",AND(AUTOEVENTO="Manual",$M38=$A$15)),0,
         IF(OFFSET(CRONOPLE!$F$15,$M38-$A$15,BS$13)=0,10^12,OFFSET(CRONOPLE!$F$15,$M38-$A$15,BS$13)))</f>
        <v>1</v>
      </c>
      <c r="BT38" s="353" t="n">
        <f aca="true">IF(OR($D38&lt;&gt;"Serviço",AND(AUTOEVENTO="Manual",$M38=$A$15)),0,
         IF(OFFSET(CRONOPLE!$F$15,$M38-$A$15,BT$13)=0,10^12,OFFSET(CRONOPLE!$F$15,$M38-$A$15,BT$13)))</f>
        <v>2</v>
      </c>
      <c r="BU38" s="353" t="n">
        <f aca="true">IF(OR($D38&lt;&gt;"Serviço",AND(AUTOEVENTO="Manual",$M38=$A$15)),0,
         IF(OFFSET(CRONOPLE!$F$15,$M38-$A$15,BU$13)=0,10^12,OFFSET(CRONOPLE!$F$15,$M38-$A$15,BU$13)))</f>
        <v>3</v>
      </c>
      <c r="BV38" s="353" t="n">
        <f aca="true">IF(OR($D38&lt;&gt;"Serviço",AND(AUTOEVENTO="Manual",$M38=$A$15)),0,
         IF(OFFSET(CRONOPLE!$F$15,$M38-$A$15,BV$13)=0,10^12,OFFSET(CRONOPLE!$F$15,$M38-$A$15,BV$13)))</f>
        <v>4</v>
      </c>
      <c r="BW38" s="353" t="n">
        <f aca="true">IF(OR($D38&lt;&gt;"Serviço",AND(AUTOEVENTO="Manual",$M38=$A$15)),0,
         IF(OFFSET(CRONOPLE!$F$15,$M38-$A$15,BW$13)=0,10^12,OFFSET(CRONOPLE!$F$15,$M38-$A$15,BW$13)))</f>
        <v>5</v>
      </c>
      <c r="BX38" s="353" t="n">
        <f aca="true">IF(OR($D38&lt;&gt;"Serviço",AND(AUTOEVENTO="Manual",$M38=$A$15)),0,
         IF(OFFSET(CRONOPLE!$F$15,$M38-$A$15,BX$13)=0,10^12,OFFSET(CRONOPLE!$F$15,$M38-$A$15,BX$13)))</f>
        <v>6</v>
      </c>
      <c r="BY38" s="353" t="n">
        <f aca="true">IF(OR($D38&lt;&gt;"Serviço",AND(AUTOEVENTO="Manual",$M38=$A$15)),0,
         IF(OFFSET(CRONOPLE!$F$15,$M38-$A$15,BY$13)=0,10^12,OFFSET(CRONOPLE!$F$15,$M38-$A$15,BY$13)))</f>
        <v>7</v>
      </c>
      <c r="BZ38" s="353" t="n">
        <f aca="true">IF(OR($D38&lt;&gt;"Serviço",AND(AUTOEVENTO="Manual",$M38=$A$15)),0,
         IF(OFFSET(CRONOPLE!$F$15,$M38-$A$15,BZ$13)=0,10^12,OFFSET(CRONOPLE!$F$15,$M38-$A$15,BZ$13)))</f>
        <v>8</v>
      </c>
      <c r="CA38" s="353" t="n">
        <f aca="true">IF(OR($D38&lt;&gt;"Serviço",AND(AUTOEVENTO="Manual",$M38=$A$15)),0,
         IF(OFFSET(CRONOPLE!$F$15,$M38-$A$15,CA$13)=0,10^12,OFFSET(CRONOPLE!$F$15,$M38-$A$15,CA$13)))</f>
        <v>9</v>
      </c>
      <c r="CB38" s="353" t="n">
        <f aca="true">IF(OR($D38&lt;&gt;"Serviço",AND(AUTOEVENTO="Manual",$M38=$A$15)),0,
         IF(OFFSET(CRONOPLE!$F$15,$M38-$A$15,CB$13)=0,10^12,OFFSET(CRONOPLE!$F$15,$M38-$A$15,CB$13)))</f>
        <v>10</v>
      </c>
      <c r="CC38" s="353" t="n">
        <f aca="true">IF(OR($D38&lt;&gt;"Serviço",AND(AUTOEVENTO="Manual",$M38=$A$15)),0,
         IF(OFFSET(CRONOPLE!$F$15,$M38-$A$15,CC$13)=0,10^12,OFFSET(CRONOPLE!$F$15,$M38-$A$15,CC$13)))</f>
        <v>11</v>
      </c>
      <c r="CD38" s="353" t="n">
        <f aca="true">IF(OR($D38&lt;&gt;"Serviço",AND(AUTOEVENTO="Manual",$M38=$A$15)),0,
         IF(OFFSET(CRONOPLE!$F$15,$M38-$A$15,CD$13)=0,10^12,OFFSET(CRONOPLE!$F$15,$M38-$A$15,CD$13)))</f>
        <v>12</v>
      </c>
      <c r="CE38" s="353" t="n">
        <f aca="true">IF(OR($D38&lt;&gt;"Serviço",AND(AUTOEVENTO="Manual",$M38=$A$15)),0,
         IF(OFFSET(CRONOPLE!$F$15,$M38-$A$15,CE$13)=0,10^12,OFFSET(CRONOPLE!$F$15,$M38-$A$15,CE$13)))</f>
        <v>13</v>
      </c>
      <c r="CF38" s="353" t="n">
        <f aca="true">IF(OR($D38&lt;&gt;"Serviço",AND(AUTOEVENTO="Manual",$M38=$A$15)),0,
         IF(OFFSET(CRONOPLE!$F$15,$M38-$A$15,CF$13)=0,10^12,OFFSET(CRONOPLE!$F$15,$M38-$A$15,CF$13)))</f>
        <v>14</v>
      </c>
      <c r="CG38" s="353" t="n">
        <f aca="true">IF(OR($D38&lt;&gt;"Serviço",AND(AUTOEVENTO="Manual",$M38=$A$15)),0,
         IF(OFFSET(CRONOPLE!$F$15,$M38-$A$15,CG$13)=0,10^12,OFFSET(CRONOPLE!$F$15,$M38-$A$15,CG$13)))</f>
        <v>15</v>
      </c>
      <c r="CH38" s="353" t="n">
        <f aca="true">IF(OR($D38&lt;&gt;"Serviço",AND(AUTOEVENTO="Manual",$M38=$A$15)),0,
         IF(OFFSET(CRONOPLE!$F$15,$M38-$A$15,CH$13)=0,10^12,OFFSET(CRONOPLE!$F$15,$M38-$A$15,CH$13)))</f>
        <v>16</v>
      </c>
      <c r="CI38" s="353" t="n">
        <f aca="true">IF(OR($D38&lt;&gt;"Serviço",AND(AUTOEVENTO="Manual",$M38=$A$15)),0,
         IF(OFFSET(CRONOPLE!$F$15,$M38-$A$15,CI$13)=0,10^12,OFFSET(CRONOPLE!$F$15,$M38-$A$15,CI$13)))</f>
        <v>17</v>
      </c>
      <c r="CJ38" s="353" t="n">
        <f aca="true">IF(OR($D38&lt;&gt;"Serviço",AND(AUTOEVENTO="Manual",$M38=$A$15)),0,
         IF(OFFSET(CRONOPLE!$F$15,$M38-$A$15,CJ$13)=0,10^12,OFFSET(CRONOPLE!$F$15,$M38-$A$15,CJ$13)))</f>
        <v>18</v>
      </c>
      <c r="CK38" s="353" t="n">
        <f aca="true">IF(OR($D38&lt;&gt;"Serviço",AND(AUTOEVENTO="Manual",$M38=$A$15)),0,
         IF(OFFSET(CRONOPLE!$F$15,$M38-$A$15,CK$13)=0,10^12,OFFSET(CRONOPLE!$F$15,$M38-$A$15,CK$13)))</f>
        <v>19</v>
      </c>
      <c r="CL38" s="353" t="n">
        <f aca="true">IF(OR($D38&lt;&gt;"Serviço",AND(AUTOEVENTO="Manual",$M38=$A$15)),0,
         IF(OFFSET(CRONOPLE!$F$15,$M38-$A$15,CL$13)=0,10^12,OFFSET(CRONOPLE!$F$15,$M38-$A$15,CL$13)))</f>
        <v>20</v>
      </c>
      <c r="CM38" s="353" t="n">
        <f aca="true">IF(OR($D38&lt;&gt;"Serviço",AND(AUTOEVENTO="Manual",$M38=$A$15)),0,
         IF(OFFSET(CRONOPLE!$F$15,$M38-$A$15,CM$13)=0,10^12,OFFSET(CRONOPLE!$F$15,$M38-$A$15,CM$13)))</f>
        <v>21</v>
      </c>
      <c r="CN38" s="353" t="n">
        <f aca="true">IF(OR($D38&lt;&gt;"Serviço",AND(AUTOEVENTO="Manual",$M38=$A$15)),0,
         IF(OFFSET(CRONOPLE!$F$15,$M38-$A$15,CN$13)=0,10^12,OFFSET(CRONOPLE!$F$15,$M38-$A$15,CN$13)))</f>
        <v>22</v>
      </c>
      <c r="CO38" s="353" t="n">
        <f aca="true">IF(OR($D38&lt;&gt;"Serviço",AND(AUTOEVENTO="Manual",$M38=$A$15)),0,
         IF(OFFSET(CRONOPLE!$F$15,$M38-$A$15,CO$13)=0,10^12,OFFSET(CRONOPLE!$F$15,$M38-$A$15,CO$13)))</f>
        <v>23</v>
      </c>
      <c r="CP38" s="353" t="n">
        <f aca="true">IF(OR($D38&lt;&gt;"Serviço",AND(AUTOEVENTO="Manual",$M38=$A$15)),0,
         IF(OFFSET(CRONOPLE!$F$15,$M38-$A$15,CP$13)=0,10^12,OFFSET(CRONOPLE!$F$15,$M38-$A$15,CP$13)))</f>
        <v>24</v>
      </c>
      <c r="CQ38" s="353" t="n">
        <f aca="true">IF(OR($D38&lt;&gt;"Serviço",AND(AUTOEVENTO="Manual",$M38=$A$15)),0,
         IF(OFFSET(CRONOPLE!$F$15,$M38-$A$15,CQ$13)=0,10^12,OFFSET(CRONOPLE!$F$15,$M38-$A$15,CQ$13)))</f>
        <v>25</v>
      </c>
      <c r="CR38" s="353" t="n">
        <f aca="true">IF(OR($D38&lt;&gt;"Serviço",AND(AUTOEVENTO="Manual",$M38=$A$15)),0,
         IF(OFFSET(CRONOPLE!$F$15,$M38-$A$15,CR$13)=0,10^12,OFFSET(CRONOPLE!$F$15,$M38-$A$15,CR$13)))</f>
        <v>1000000000000</v>
      </c>
      <c r="CT38" s="354" t="n">
        <f aca="true">IF(OR($D38&lt;&gt;"Serviço",AND(AUTOEVENTO="Manual",$M38=$A$15),$M38&gt;(ROW(PLE.lastrow)-ROW(PLE.firstrow))),0,
           IF(OFFSET(PLE!$G$15,$M38-$A$15,CT$13)="",10^12,OFFSET(PLE!$G$15,$M38-$A$15,CT$13)))</f>
        <v>1000000000000</v>
      </c>
      <c r="CU38" s="354" t="n">
        <f aca="true">IF(OR($D38&lt;&gt;"Serviço",AND(AUTOEVENTO="Manual",$M38=$A$15),$M38&gt;(ROW(PLE.lastrow)-ROW(PLE.firstrow))),0,
           IF(OFFSET(PLE!$G$15,$M38-$A$15,CU$13)="",10^12,OFFSET(PLE!$G$15,$M38-$A$15,CU$13)))</f>
        <v>1000000000000</v>
      </c>
      <c r="CV38" s="354" t="n">
        <f aca="true">IF(OR($D38&lt;&gt;"Serviço",AND(AUTOEVENTO="Manual",$M38=$A$15),$M38&gt;(ROW(PLE.lastrow)-ROW(PLE.firstrow))),0,
           IF(OFFSET(PLE!$G$15,$M38-$A$15,CV$13)="",10^12,OFFSET(PLE!$G$15,$M38-$A$15,CV$13)))</f>
        <v>1000000000000</v>
      </c>
      <c r="CW38" s="354" t="n">
        <f aca="true">IF(OR($D38&lt;&gt;"Serviço",AND(AUTOEVENTO="Manual",$M38=$A$15),$M38&gt;(ROW(PLE.lastrow)-ROW(PLE.firstrow))),0,
           IF(OFFSET(PLE!$G$15,$M38-$A$15,CW$13)="",10^12,OFFSET(PLE!$G$15,$M38-$A$15,CW$13)))</f>
        <v>1000000000000</v>
      </c>
      <c r="CX38" s="354" t="n">
        <f aca="true">IF(OR($D38&lt;&gt;"Serviço",AND(AUTOEVENTO="Manual",$M38=$A$15),$M38&gt;(ROW(PLE.lastrow)-ROW(PLE.firstrow))),0,
           IF(OFFSET(PLE!$G$15,$M38-$A$15,CX$13)="",10^12,OFFSET(PLE!$G$15,$M38-$A$15,CX$13)))</f>
        <v>1000000000000</v>
      </c>
      <c r="CY38" s="354" t="n">
        <f aca="true">IF(OR($D38&lt;&gt;"Serviço",AND(AUTOEVENTO="Manual",$M38=$A$15),$M38&gt;(ROW(PLE.lastrow)-ROW(PLE.firstrow))),0,
           IF(OFFSET(PLE!$G$15,$M38-$A$15,CY$13)="",10^12,OFFSET(PLE!$G$15,$M38-$A$15,CY$13)))</f>
        <v>1000000000000</v>
      </c>
      <c r="CZ38" s="354" t="n">
        <f aca="true">IF(OR($D38&lt;&gt;"Serviço",AND(AUTOEVENTO="Manual",$M38=$A$15),$M38&gt;(ROW(PLE.lastrow)-ROW(PLE.firstrow))),0,
           IF(OFFSET(PLE!$G$15,$M38-$A$15,CZ$13)="",10^12,OFFSET(PLE!$G$15,$M38-$A$15,CZ$13)))</f>
        <v>1000000000000</v>
      </c>
      <c r="DA38" s="354" t="n">
        <f aca="true">IF(OR($D38&lt;&gt;"Serviço",AND(AUTOEVENTO="Manual",$M38=$A$15),$M38&gt;(ROW(PLE.lastrow)-ROW(PLE.firstrow))),0,
           IF(OFFSET(PLE!$G$15,$M38-$A$15,DA$13)="",10^12,OFFSET(PLE!$G$15,$M38-$A$15,DA$13)))</f>
        <v>1000000000000</v>
      </c>
      <c r="DB38" s="354" t="n">
        <f aca="true">IF(OR($D38&lt;&gt;"Serviço",AND(AUTOEVENTO="Manual",$M38=$A$15),$M38&gt;(ROW(PLE.lastrow)-ROW(PLE.firstrow))),0,
           IF(OFFSET(PLE!$G$15,$M38-$A$15,DB$13)="",10^12,OFFSET(PLE!$G$15,$M38-$A$15,DB$13)))</f>
        <v>1000000000000</v>
      </c>
      <c r="DC38" s="354" t="n">
        <f aca="true">IF(OR($D38&lt;&gt;"Serviço",AND(AUTOEVENTO="Manual",$M38=$A$15),$M38&gt;(ROW(PLE.lastrow)-ROW(PLE.firstrow))),0,
           IF(OFFSET(PLE!$G$15,$M38-$A$15,DC$13)="",10^12,OFFSET(PLE!$G$15,$M38-$A$15,DC$13)))</f>
        <v>1000000000000</v>
      </c>
      <c r="DD38" s="354" t="n">
        <f aca="true">IF(OR($D38&lt;&gt;"Serviço",AND(AUTOEVENTO="Manual",$M38=$A$15),$M38&gt;(ROW(PLE.lastrow)-ROW(PLE.firstrow))),0,
           IF(OFFSET(PLE!$G$15,$M38-$A$15,DD$13)="",10^12,OFFSET(PLE!$G$15,$M38-$A$15,DD$13)))</f>
        <v>1000000000000</v>
      </c>
      <c r="DE38" s="354" t="n">
        <f aca="true">IF(OR($D38&lt;&gt;"Serviço",AND(AUTOEVENTO="Manual",$M38=$A$15),$M38&gt;(ROW(PLE.lastrow)-ROW(PLE.firstrow))),0,
           IF(OFFSET(PLE!$G$15,$M38-$A$15,DE$13)="",10^12,OFFSET(PLE!$G$15,$M38-$A$15,DE$13)))</f>
        <v>1000000000000</v>
      </c>
      <c r="DF38" s="354" t="n">
        <f aca="true">IF(OR($D38&lt;&gt;"Serviço",AND(AUTOEVENTO="Manual",$M38=$A$15),$M38&gt;(ROW(PLE.lastrow)-ROW(PLE.firstrow))),0,
           IF(OFFSET(PLE!$G$15,$M38-$A$15,DF$13)="",10^12,OFFSET(PLE!$G$15,$M38-$A$15,DF$13)))</f>
        <v>1000000000000</v>
      </c>
      <c r="DG38" s="354" t="n">
        <f aca="true">IF(OR($D38&lt;&gt;"Serviço",AND(AUTOEVENTO="Manual",$M38=$A$15),$M38&gt;(ROW(PLE.lastrow)-ROW(PLE.firstrow))),0,
           IF(OFFSET(PLE!$G$15,$M38-$A$15,DG$13)="",10^12,OFFSET(PLE!$G$15,$M38-$A$15,DG$13)))</f>
        <v>1000000000000</v>
      </c>
      <c r="DH38" s="354" t="n">
        <f aca="true">IF(OR($D38&lt;&gt;"Serviço",AND(AUTOEVENTO="Manual",$M38=$A$15),$M38&gt;(ROW(PLE.lastrow)-ROW(PLE.firstrow))),0,
           IF(OFFSET(PLE!$G$15,$M38-$A$15,DH$13)="",10^12,OFFSET(PLE!$G$15,$M38-$A$15,DH$13)))</f>
        <v>1000000000000</v>
      </c>
      <c r="DI38" s="354" t="n">
        <f aca="true">IF(OR($D38&lt;&gt;"Serviço",AND(AUTOEVENTO="Manual",$M38=$A$15),$M38&gt;(ROW(PLE.lastrow)-ROW(PLE.firstrow))),0,
           IF(OFFSET(PLE!$G$15,$M38-$A$15,DI$13)="",10^12,OFFSET(PLE!$G$15,$M38-$A$15,DI$13)))</f>
        <v>1000000000000</v>
      </c>
      <c r="DJ38" s="354" t="n">
        <f aca="true">IF(OR($D38&lt;&gt;"Serviço",AND(AUTOEVENTO="Manual",$M38=$A$15),$M38&gt;(ROW(PLE.lastrow)-ROW(PLE.firstrow))),0,
           IF(OFFSET(PLE!$G$15,$M38-$A$15,DJ$13)="",10^12,OFFSET(PLE!$G$15,$M38-$A$15,DJ$13)))</f>
        <v>1000000000000</v>
      </c>
      <c r="DK38" s="354" t="n">
        <f aca="true">IF(OR($D38&lt;&gt;"Serviço",AND(AUTOEVENTO="Manual",$M38=$A$15),$M38&gt;(ROW(PLE.lastrow)-ROW(PLE.firstrow))),0,
           IF(OFFSET(PLE!$G$15,$M38-$A$15,DK$13)="",10^12,OFFSET(PLE!$G$15,$M38-$A$15,DK$13)))</f>
        <v>1000000000000</v>
      </c>
      <c r="DL38" s="354" t="n">
        <f aca="true">IF(OR($D38&lt;&gt;"Serviço",AND(AUTOEVENTO="Manual",$M38=$A$15),$M38&gt;(ROW(PLE.lastrow)-ROW(PLE.firstrow))),0,
           IF(OFFSET(PLE!$G$15,$M38-$A$15,DL$13)="",10^12,OFFSET(PLE!$G$15,$M38-$A$15,DL$13)))</f>
        <v>1000000000000</v>
      </c>
      <c r="DM38" s="354" t="n">
        <f aca="true">IF(OR($D38&lt;&gt;"Serviço",AND(AUTOEVENTO="Manual",$M38=$A$15),$M38&gt;(ROW(PLE.lastrow)-ROW(PLE.firstrow))),0,
           IF(OFFSET(PLE!$G$15,$M38-$A$15,DM$13)="",10^12,OFFSET(PLE!$G$15,$M38-$A$15,DM$13)))</f>
        <v>1000000000000</v>
      </c>
      <c r="DN38" s="354" t="n">
        <f aca="true">IF(OR($D38&lt;&gt;"Serviço",AND(AUTOEVENTO="Manual",$M38=$A$15),$M38&gt;(ROW(PLE.lastrow)-ROW(PLE.firstrow))),0,
           IF(OFFSET(PLE!$G$15,$M38-$A$15,DN$13)="",10^12,OFFSET(PLE!$G$15,$M38-$A$15,DN$13)))</f>
        <v>1000000000000</v>
      </c>
      <c r="DO38" s="354" t="n">
        <f aca="true">IF(OR($D38&lt;&gt;"Serviço",AND(AUTOEVENTO="Manual",$M38=$A$15),$M38&gt;(ROW(PLE.lastrow)-ROW(PLE.firstrow))),0,
           IF(OFFSET(PLE!$G$15,$M38-$A$15,DO$13)="",10^12,OFFSET(PLE!$G$15,$M38-$A$15,DO$13)))</f>
        <v>1000000000000</v>
      </c>
      <c r="DP38" s="354" t="n">
        <f aca="true">IF(OR($D38&lt;&gt;"Serviço",AND(AUTOEVENTO="Manual",$M38=$A$15),$M38&gt;(ROW(PLE.lastrow)-ROW(PLE.firstrow))),0,
           IF(OFFSET(PLE!$G$15,$M38-$A$15,DP$13)="",10^12,OFFSET(PLE!$G$15,$M38-$A$15,DP$13)))</f>
        <v>1000000000000</v>
      </c>
      <c r="DQ38" s="354" t="n">
        <f aca="true">IF(OR($D38&lt;&gt;"Serviço",AND(AUTOEVENTO="Manual",$M38=$A$15),$M38&gt;(ROW(PLE.lastrow)-ROW(PLE.firstrow))),0,
           IF(OFFSET(PLE!$G$15,$M38-$A$15,DQ$13)="",10^12,OFFSET(PLE!$G$15,$M38-$A$15,DQ$13)))</f>
        <v>1000000000000</v>
      </c>
      <c r="DR38" s="354" t="n">
        <f aca="true">IF(OR($D38&lt;&gt;"Serviço",AND(AUTOEVENTO="Manual",$M38=$A$15),$M38&gt;(ROW(PLE.lastrow)-ROW(PLE.firstrow))),0,
           IF(OFFSET(PLE!$G$15,$M38-$A$15,DR$13)="",10^12,OFFSET(PLE!$G$15,$M38-$A$15,DR$13)))</f>
        <v>1000000000000</v>
      </c>
      <c r="DS38" s="354" t="n">
        <f aca="true">IF(OR($D38&lt;&gt;"Serviço",AND(AUTOEVENTO="Manual",$M38=$A$15),$M38&gt;(ROW(PLE.lastrow)-ROW(PLE.firstrow))),0,
           IF(OFFSET(PLE!$G$15,$M38-$A$15,DS$13)="",10^12,OFFSET(PLE!$G$15,$M38-$A$15,DS$13)))</f>
        <v>1000000000000</v>
      </c>
    </row>
    <row r="39" customFormat="false" ht="12.75" hidden="false" customHeight="false" outlineLevel="0" collapsed="false">
      <c r="A39" s="50" t="str">
        <f aca="true">IFERROR(IF(AUTOEVENTO="Manual",IF(K39&lt;&gt;"",MIN(VALUE(LEFT(K39,FIND(".",K39)-1)),COUNTA(EVENTOS.Lista)),0),IF(OR($B39&gt;AUTOEVENTO,$B39="S",$B39=0),SUBSTITUTE(OFFSET($A39,-1,0),IF($D39="Serviço",".",""),""),ROW(A39)-ROW($A$15)&amp;".")),0)</f>
        <v>24.</v>
      </c>
      <c r="B39" s="50" t="n">
        <f aca="true">OFFSET(ORÇAMENTO!C$15,ROW(B39)-ROW(B$15),0)</f>
        <v>2</v>
      </c>
      <c r="C39" s="50" t="str">
        <f aca="true">OFFSET(ORÇAMENTO!L$15,ROW(C39)-ROW(C$15),0)</f>
        <v>F</v>
      </c>
      <c r="D39" s="201" t="str">
        <f aca="true">OFFSET(ORÇAMENTO!N$15,ROW(D39)-ROW(D$15),0)</f>
        <v>Nível 2</v>
      </c>
      <c r="E39" s="202" t="str">
        <f aca="true">OFFSET(ORÇAMENTO!O$15,ROW(E39)-ROW(E$15),0)</f>
        <v>1.6.</v>
      </c>
      <c r="F39" s="341" t="str">
        <f aca="true">OFFSET(ORÇAMENTO!R$15,ROW(F39)-ROW(F$15),0)</f>
        <v>BALDRAMES</v>
      </c>
      <c r="G39" s="342" t="str">
        <f aca="true">IF($D39&lt;&gt;"Serviço","",OFFSET(ORÇAMENTO!S$15,ROW(G39)-ROW(G$15),0))</f>
        <v/>
      </c>
      <c r="H39" s="207" t="n">
        <f aca="true">IF($D39&lt;&gt;"Serviço",0,IF(ACOMPANHAMENTO="BM",ROUND(OFFSET(ORÇAMENTO!AJ$15,ROW(H39)-ROW(H$15),0),15-13*ORÇAMENTO!$AF$7),SUMPRODUCT(($Q$1:$AQ$1=1)*ROUND($Q39:$AQ39,15-13*ORÇAMENTO!$AF$7))))</f>
        <v>0</v>
      </c>
      <c r="I39" s="343"/>
      <c r="J39" s="344" t="str">
        <f aca="false">IF(OR(B39&lt;&gt;"S",CÁLCULO.FrentesPreenchidas=0),"",IF(AND(ACOMPANHAMENTO="PLE",AUTOEVENTO="Manual",OR(H39&gt;0,ORÇAMENTO!AC39="QUANT."),OR(K39="",M39=0,N39="")),"►",IF(AND(ACOMPANHAMENTO="PLE",ORÇAMENTO!AC39="QUANT."),"►►",IF(AND(COUNTIF($P$11:$AQ$11,"▼")=0,H39&gt;0,I39=""),"◄",""))))</f>
        <v/>
      </c>
      <c r="K39" s="345"/>
      <c r="L39" s="346" t="s">
        <v>876</v>
      </c>
      <c r="M39" s="347" t="str">
        <f aca="true">IF($D39&lt;&gt;"Serviço","",
          IF(AUTOEVENTO="manual",$A39,
                IF(ISERROR(MATCH($A39,$A$15:OFFSET($A39,-1,0),0)),MAX($M$15:OFFSET(M39,-1,0))+1,
                      INDEX($M$15:OFFSET(M39,-1,0),MATCH($A39,$A$15:OFFSET($A39,-1,0),0)))))</f>
        <v/>
      </c>
      <c r="N39" s="348" t="str">
        <f aca="true">IF($D39&lt;&gt;"Serviço","",
         IF(AUTOEVENTO="Manual",
                IF($A39=0,"&lt;-- defina o número do agrupador",
                       OFFSET(EVENTOS!$D$15,$A39-$A$15,0)),
                OFFSET($F$15,$A39,0)))</f>
        <v/>
      </c>
      <c r="O39" s="349"/>
      <c r="Q39" s="349"/>
      <c r="R39" s="350"/>
      <c r="S39" s="350"/>
      <c r="T39" s="350"/>
      <c r="U39" s="350"/>
      <c r="V39" s="350"/>
      <c r="W39" s="350"/>
      <c r="X39" s="350"/>
      <c r="Y39" s="350"/>
      <c r="Z39" s="351"/>
      <c r="AA39" s="350"/>
      <c r="AB39" s="350"/>
      <c r="AC39" s="350"/>
      <c r="AD39" s="350"/>
      <c r="AE39" s="350"/>
      <c r="AF39" s="350"/>
      <c r="AG39" s="350"/>
      <c r="AH39" s="351"/>
      <c r="AI39" s="350"/>
      <c r="AJ39" s="350"/>
      <c r="AK39" s="350"/>
      <c r="AL39" s="350"/>
      <c r="AM39" s="350"/>
      <c r="AN39" s="350"/>
      <c r="AO39" s="350"/>
      <c r="AP39" s="351"/>
      <c r="AR39" s="352" t="n">
        <f aca="true">IF(AND($D39="Serviço",AR$12&lt;&gt;0,$H39&gt;0,OR(AUTOEVENTO&lt;&gt;"manual",$M39&lt;&gt;$A$15)),
        IF(Import.TipoArredondamento&lt;&gt;"TransfereGOV",
              ROUND(OFFSET($P39,0,AR$13),15-13*ORÇAMENTO!$AF$7)/$H39*OFFSET(ORÇAMENTO!$X$15,ROW(AR39)-ROW(AR$15),0),
              ROUND(ROUND(OFFSET($P39,0,AR$13),15-13*ORÇAMENTO!$AF$7)*OFFSET(ORÇAMENTO!$W$15,ROW(AR39)-ROW(AR$15),0),15-13*ORÇAMENTO!$AF$11)),
         0)</f>
        <v>0</v>
      </c>
      <c r="AS39" s="352" t="n">
        <f aca="true">IF(AND($D39="Serviço",AS$12&lt;&gt;0,$H39&gt;0,OR(AUTOEVENTO&lt;&gt;"manual",$M39&lt;&gt;$A$15)),
        IF(Import.TipoArredondamento&lt;&gt;"TransfereGOV",
              ROUND(OFFSET($P39,0,AS$13),15-13*ORÇAMENTO!$AF$7)/$H39*OFFSET(ORÇAMENTO!$X$15,ROW(AS39)-ROW(AS$15),0),
              ROUND(ROUND(OFFSET($P39,0,AS$13),15-13*ORÇAMENTO!$AF$7)*OFFSET(ORÇAMENTO!$W$15,ROW(AS39)-ROW(AS$15),0),15-13*ORÇAMENTO!$AF$11)),
         0)</f>
        <v>0</v>
      </c>
      <c r="AT39" s="352" t="n">
        <f aca="true">IF(AND($D39="Serviço",AT$12&lt;&gt;0,$H39&gt;0,OR(AUTOEVENTO&lt;&gt;"manual",$M39&lt;&gt;$A$15)),
        IF(Import.TipoArredondamento&lt;&gt;"TransfereGOV",
              ROUND(OFFSET($P39,0,AT$13),15-13*ORÇAMENTO!$AF$7)/$H39*OFFSET(ORÇAMENTO!$X$15,ROW(AT39)-ROW(AT$15),0),
              ROUND(ROUND(OFFSET($P39,0,AT$13),15-13*ORÇAMENTO!$AF$7)*OFFSET(ORÇAMENTO!$W$15,ROW(AT39)-ROW(AT$15),0),15-13*ORÇAMENTO!$AF$11)),
         0)</f>
        <v>0</v>
      </c>
      <c r="AU39" s="352" t="n">
        <f aca="true">IF(AND($D39="Serviço",AU$12&lt;&gt;0,$H39&gt;0,OR(AUTOEVENTO&lt;&gt;"manual",$M39&lt;&gt;$A$15)),
        IF(Import.TipoArredondamento&lt;&gt;"TransfereGOV",
              ROUND(OFFSET($P39,0,AU$13),15-13*ORÇAMENTO!$AF$7)/$H39*OFFSET(ORÇAMENTO!$X$15,ROW(AU39)-ROW(AU$15),0),
              ROUND(ROUND(OFFSET($P39,0,AU$13),15-13*ORÇAMENTO!$AF$7)*OFFSET(ORÇAMENTO!$W$15,ROW(AU39)-ROW(AU$15),0),15-13*ORÇAMENTO!$AF$11)),
         0)</f>
        <v>0</v>
      </c>
      <c r="AV39" s="352" t="n">
        <f aca="true">IF(AND($D39="Serviço",AV$12&lt;&gt;0,$H39&gt;0,OR(AUTOEVENTO&lt;&gt;"manual",$M39&lt;&gt;$A$15)),
        IF(Import.TipoArredondamento&lt;&gt;"TransfereGOV",
              ROUND(OFFSET($P39,0,AV$13),15-13*ORÇAMENTO!$AF$7)/$H39*OFFSET(ORÇAMENTO!$X$15,ROW(AV39)-ROW(AV$15),0),
              ROUND(ROUND(OFFSET($P39,0,AV$13),15-13*ORÇAMENTO!$AF$7)*OFFSET(ORÇAMENTO!$W$15,ROW(AV39)-ROW(AV$15),0),15-13*ORÇAMENTO!$AF$11)),
         0)</f>
        <v>0</v>
      </c>
      <c r="AW39" s="352" t="n">
        <f aca="true">IF(AND($D39="Serviço",AW$12&lt;&gt;0,$H39&gt;0,OR(AUTOEVENTO&lt;&gt;"manual",$M39&lt;&gt;$A$15)),
        IF(Import.TipoArredondamento&lt;&gt;"TransfereGOV",
              ROUND(OFFSET($P39,0,AW$13),15-13*ORÇAMENTO!$AF$7)/$H39*OFFSET(ORÇAMENTO!$X$15,ROW(AW39)-ROW(AW$15),0),
              ROUND(ROUND(OFFSET($P39,0,AW$13),15-13*ORÇAMENTO!$AF$7)*OFFSET(ORÇAMENTO!$W$15,ROW(AW39)-ROW(AW$15),0),15-13*ORÇAMENTO!$AF$11)),
         0)</f>
        <v>0</v>
      </c>
      <c r="AX39" s="352" t="n">
        <f aca="true">IF(AND($D39="Serviço",AX$12&lt;&gt;0,$H39&gt;0,OR(AUTOEVENTO&lt;&gt;"manual",$M39&lt;&gt;$A$15)),
        IF(Import.TipoArredondamento&lt;&gt;"TransfereGOV",
              ROUND(OFFSET($P39,0,AX$13),15-13*ORÇAMENTO!$AF$7)/$H39*OFFSET(ORÇAMENTO!$X$15,ROW(AX39)-ROW(AX$15),0),
              ROUND(ROUND(OFFSET($P39,0,AX$13),15-13*ORÇAMENTO!$AF$7)*OFFSET(ORÇAMENTO!$W$15,ROW(AX39)-ROW(AX$15),0),15-13*ORÇAMENTO!$AF$11)),
         0)</f>
        <v>0</v>
      </c>
      <c r="AY39" s="352" t="n">
        <f aca="true">IF(AND($D39="Serviço",AY$12&lt;&gt;0,$H39&gt;0,OR(AUTOEVENTO&lt;&gt;"manual",$M39&lt;&gt;$A$15)),
        IF(Import.TipoArredondamento&lt;&gt;"TransfereGOV",
              ROUND(OFFSET($P39,0,AY$13),15-13*ORÇAMENTO!$AF$7)/$H39*OFFSET(ORÇAMENTO!$X$15,ROW(AY39)-ROW(AY$15),0),
              ROUND(ROUND(OFFSET($P39,0,AY$13),15-13*ORÇAMENTO!$AF$7)*OFFSET(ORÇAMENTO!$W$15,ROW(AY39)-ROW(AY$15),0),15-13*ORÇAMENTO!$AF$11)),
         0)</f>
        <v>0</v>
      </c>
      <c r="AZ39" s="352" t="n">
        <f aca="true">IF(AND($D39="Serviço",AZ$12&lt;&gt;0,$H39&gt;0,OR(AUTOEVENTO&lt;&gt;"manual",$M39&lt;&gt;$A$15)),
        IF(Import.TipoArredondamento&lt;&gt;"TransfereGOV",
              ROUND(OFFSET($P39,0,AZ$13),15-13*ORÇAMENTO!$AF$7)/$H39*OFFSET(ORÇAMENTO!$X$15,ROW(AZ39)-ROW(AZ$15),0),
              ROUND(ROUND(OFFSET($P39,0,AZ$13),15-13*ORÇAMENTO!$AF$7)*OFFSET(ORÇAMENTO!$W$15,ROW(AZ39)-ROW(AZ$15),0),15-13*ORÇAMENTO!$AF$11)),
         0)</f>
        <v>0</v>
      </c>
      <c r="BA39" s="352" t="n">
        <f aca="true">IF(AND($D39="Serviço",BA$12&lt;&gt;0,$H39&gt;0,OR(AUTOEVENTO&lt;&gt;"manual",$M39&lt;&gt;$A$15)),
        IF(Import.TipoArredondamento&lt;&gt;"TransfereGOV",
              ROUND(OFFSET($P39,0,BA$13),15-13*ORÇAMENTO!$AF$7)/$H39*OFFSET(ORÇAMENTO!$X$15,ROW(BA39)-ROW(BA$15),0),
              ROUND(ROUND(OFFSET($P39,0,BA$13),15-13*ORÇAMENTO!$AF$7)*OFFSET(ORÇAMENTO!$W$15,ROW(BA39)-ROW(BA$15),0),15-13*ORÇAMENTO!$AF$11)),
         0)</f>
        <v>0</v>
      </c>
      <c r="BB39" s="352" t="n">
        <f aca="true">IF(AND($D39="Serviço",BB$12&lt;&gt;0,$H39&gt;0,OR(AUTOEVENTO&lt;&gt;"manual",$M39&lt;&gt;$A$15)),
        IF(Import.TipoArredondamento&lt;&gt;"TransfereGOV",
              ROUND(OFFSET($P39,0,BB$13),15-13*ORÇAMENTO!$AF$7)/$H39*OFFSET(ORÇAMENTO!$X$15,ROW(BB39)-ROW(BB$15),0),
              ROUND(ROUND(OFFSET($P39,0,BB$13),15-13*ORÇAMENTO!$AF$7)*OFFSET(ORÇAMENTO!$W$15,ROW(BB39)-ROW(BB$15),0),15-13*ORÇAMENTO!$AF$11)),
         0)</f>
        <v>0</v>
      </c>
      <c r="BC39" s="352" t="n">
        <f aca="true">IF(AND($D39="Serviço",BC$12&lt;&gt;0,$H39&gt;0,OR(AUTOEVENTO&lt;&gt;"manual",$M39&lt;&gt;$A$15)),
        IF(Import.TipoArredondamento&lt;&gt;"TransfereGOV",
              ROUND(OFFSET($P39,0,BC$13),15-13*ORÇAMENTO!$AF$7)/$H39*OFFSET(ORÇAMENTO!$X$15,ROW(BC39)-ROW(BC$15),0),
              ROUND(ROUND(OFFSET($P39,0,BC$13),15-13*ORÇAMENTO!$AF$7)*OFFSET(ORÇAMENTO!$W$15,ROW(BC39)-ROW(BC$15),0),15-13*ORÇAMENTO!$AF$11)),
         0)</f>
        <v>0</v>
      </c>
      <c r="BD39" s="352" t="n">
        <f aca="true">IF(AND($D39="Serviço",BD$12&lt;&gt;0,$H39&gt;0,OR(AUTOEVENTO&lt;&gt;"manual",$M39&lt;&gt;$A$15)),
        IF(Import.TipoArredondamento&lt;&gt;"TransfereGOV",
              ROUND(OFFSET($P39,0,BD$13),15-13*ORÇAMENTO!$AF$7)/$H39*OFFSET(ORÇAMENTO!$X$15,ROW(BD39)-ROW(BD$15),0),
              ROUND(ROUND(OFFSET($P39,0,BD$13),15-13*ORÇAMENTO!$AF$7)*OFFSET(ORÇAMENTO!$W$15,ROW(BD39)-ROW(BD$15),0),15-13*ORÇAMENTO!$AF$11)),
         0)</f>
        <v>0</v>
      </c>
      <c r="BE39" s="352" t="n">
        <f aca="true">IF(AND($D39="Serviço",BE$12&lt;&gt;0,$H39&gt;0,OR(AUTOEVENTO&lt;&gt;"manual",$M39&lt;&gt;$A$15)),
        IF(Import.TipoArredondamento&lt;&gt;"TransfereGOV",
              ROUND(OFFSET($P39,0,BE$13),15-13*ORÇAMENTO!$AF$7)/$H39*OFFSET(ORÇAMENTO!$X$15,ROW(BE39)-ROW(BE$15),0),
              ROUND(ROUND(OFFSET($P39,0,BE$13),15-13*ORÇAMENTO!$AF$7)*OFFSET(ORÇAMENTO!$W$15,ROW(BE39)-ROW(BE$15),0),15-13*ORÇAMENTO!$AF$11)),
         0)</f>
        <v>0</v>
      </c>
      <c r="BF39" s="352" t="n">
        <f aca="true">IF(AND($D39="Serviço",BF$12&lt;&gt;0,$H39&gt;0,OR(AUTOEVENTO&lt;&gt;"manual",$M39&lt;&gt;$A$15)),
        IF(Import.TipoArredondamento&lt;&gt;"TransfereGOV",
              ROUND(OFFSET($P39,0,BF$13),15-13*ORÇAMENTO!$AF$7)/$H39*OFFSET(ORÇAMENTO!$X$15,ROW(BF39)-ROW(BF$15),0),
              ROUND(ROUND(OFFSET($P39,0,BF$13),15-13*ORÇAMENTO!$AF$7)*OFFSET(ORÇAMENTO!$W$15,ROW(BF39)-ROW(BF$15),0),15-13*ORÇAMENTO!$AF$11)),
         0)</f>
        <v>0</v>
      </c>
      <c r="BG39" s="352" t="n">
        <f aca="true">IF(AND($D39="Serviço",BG$12&lt;&gt;0,$H39&gt;0,OR(AUTOEVENTO&lt;&gt;"manual",$M39&lt;&gt;$A$15)),
        IF(Import.TipoArredondamento&lt;&gt;"TransfereGOV",
              ROUND(OFFSET($P39,0,BG$13),15-13*ORÇAMENTO!$AF$7)/$H39*OFFSET(ORÇAMENTO!$X$15,ROW(BG39)-ROW(BG$15),0),
              ROUND(ROUND(OFFSET($P39,0,BG$13),15-13*ORÇAMENTO!$AF$7)*OFFSET(ORÇAMENTO!$W$15,ROW(BG39)-ROW(BG$15),0),15-13*ORÇAMENTO!$AF$11)),
         0)</f>
        <v>0</v>
      </c>
      <c r="BH39" s="352" t="n">
        <f aca="true">IF(AND($D39="Serviço",BH$12&lt;&gt;0,$H39&gt;0,OR(AUTOEVENTO&lt;&gt;"manual",$M39&lt;&gt;$A$15)),
        IF(Import.TipoArredondamento&lt;&gt;"TransfereGOV",
              ROUND(OFFSET($P39,0,BH$13),15-13*ORÇAMENTO!$AF$7)/$H39*OFFSET(ORÇAMENTO!$X$15,ROW(BH39)-ROW(BH$15),0),
              ROUND(ROUND(OFFSET($P39,0,BH$13),15-13*ORÇAMENTO!$AF$7)*OFFSET(ORÇAMENTO!$W$15,ROW(BH39)-ROW(BH$15),0),15-13*ORÇAMENTO!$AF$11)),
         0)</f>
        <v>0</v>
      </c>
      <c r="BI39" s="352" t="n">
        <f aca="true">IF(AND($D39="Serviço",BI$12&lt;&gt;0,$H39&gt;0,OR(AUTOEVENTO&lt;&gt;"manual",$M39&lt;&gt;$A$15)),
        IF(Import.TipoArredondamento&lt;&gt;"TransfereGOV",
              ROUND(OFFSET($P39,0,BI$13),15-13*ORÇAMENTO!$AF$7)/$H39*OFFSET(ORÇAMENTO!$X$15,ROW(BI39)-ROW(BI$15),0),
              ROUND(ROUND(OFFSET($P39,0,BI$13),15-13*ORÇAMENTO!$AF$7)*OFFSET(ORÇAMENTO!$W$15,ROW(BI39)-ROW(BI$15),0),15-13*ORÇAMENTO!$AF$11)),
         0)</f>
        <v>0</v>
      </c>
      <c r="BJ39" s="352" t="n">
        <f aca="true">IF(AND($D39="Serviço",BJ$12&lt;&gt;0,$H39&gt;0,OR(AUTOEVENTO&lt;&gt;"manual",$M39&lt;&gt;$A$15)),
        IF(Import.TipoArredondamento&lt;&gt;"TransfereGOV",
              ROUND(OFFSET($P39,0,BJ$13),15-13*ORÇAMENTO!$AF$7)/$H39*OFFSET(ORÇAMENTO!$X$15,ROW(BJ39)-ROW(BJ$15),0),
              ROUND(ROUND(OFFSET($P39,0,BJ$13),15-13*ORÇAMENTO!$AF$7)*OFFSET(ORÇAMENTO!$W$15,ROW(BJ39)-ROW(BJ$15),0),15-13*ORÇAMENTO!$AF$11)),
         0)</f>
        <v>0</v>
      </c>
      <c r="BK39" s="352" t="n">
        <f aca="true">IF(AND($D39="Serviço",BK$12&lt;&gt;0,$H39&gt;0,OR(AUTOEVENTO&lt;&gt;"manual",$M39&lt;&gt;$A$15)),
        IF(Import.TipoArredondamento&lt;&gt;"TransfereGOV",
              ROUND(OFFSET($P39,0,BK$13),15-13*ORÇAMENTO!$AF$7)/$H39*OFFSET(ORÇAMENTO!$X$15,ROW(BK39)-ROW(BK$15),0),
              ROUND(ROUND(OFFSET($P39,0,BK$13),15-13*ORÇAMENTO!$AF$7)*OFFSET(ORÇAMENTO!$W$15,ROW(BK39)-ROW(BK$15),0),15-13*ORÇAMENTO!$AF$11)),
         0)</f>
        <v>0</v>
      </c>
      <c r="BL39" s="352" t="n">
        <f aca="true">IF(AND($D39="Serviço",BL$12&lt;&gt;0,$H39&gt;0,OR(AUTOEVENTO&lt;&gt;"manual",$M39&lt;&gt;$A$15)),
        IF(Import.TipoArredondamento&lt;&gt;"TransfereGOV",
              ROUND(OFFSET($P39,0,BL$13),15-13*ORÇAMENTO!$AF$7)/$H39*OFFSET(ORÇAMENTO!$X$15,ROW(BL39)-ROW(BL$15),0),
              ROUND(ROUND(OFFSET($P39,0,BL$13),15-13*ORÇAMENTO!$AF$7)*OFFSET(ORÇAMENTO!$W$15,ROW(BL39)-ROW(BL$15),0),15-13*ORÇAMENTO!$AF$11)),
         0)</f>
        <v>0</v>
      </c>
      <c r="BM39" s="352" t="n">
        <f aca="true">IF(AND($D39="Serviço",BM$12&lt;&gt;0,$H39&gt;0,OR(AUTOEVENTO&lt;&gt;"manual",$M39&lt;&gt;$A$15)),
        IF(Import.TipoArredondamento&lt;&gt;"TransfereGOV",
              ROUND(OFFSET($P39,0,BM$13),15-13*ORÇAMENTO!$AF$7)/$H39*OFFSET(ORÇAMENTO!$X$15,ROW(BM39)-ROW(BM$15),0),
              ROUND(ROUND(OFFSET($P39,0,BM$13),15-13*ORÇAMENTO!$AF$7)*OFFSET(ORÇAMENTO!$W$15,ROW(BM39)-ROW(BM$15),0),15-13*ORÇAMENTO!$AF$11)),
         0)</f>
        <v>0</v>
      </c>
      <c r="BN39" s="352" t="n">
        <f aca="true">IF(AND($D39="Serviço",BN$12&lt;&gt;0,$H39&gt;0,OR(AUTOEVENTO&lt;&gt;"manual",$M39&lt;&gt;$A$15)),
        IF(Import.TipoArredondamento&lt;&gt;"TransfereGOV",
              ROUND(OFFSET($P39,0,BN$13),15-13*ORÇAMENTO!$AF$7)/$H39*OFFSET(ORÇAMENTO!$X$15,ROW(BN39)-ROW(BN$15),0),
              ROUND(ROUND(OFFSET($P39,0,BN$13),15-13*ORÇAMENTO!$AF$7)*OFFSET(ORÇAMENTO!$W$15,ROW(BN39)-ROW(BN$15),0),15-13*ORÇAMENTO!$AF$11)),
         0)</f>
        <v>0</v>
      </c>
      <c r="BO39" s="352" t="n">
        <f aca="true">IF(AND($D39="Serviço",BO$12&lt;&gt;0,$H39&gt;0,OR(AUTOEVENTO&lt;&gt;"manual",$M39&lt;&gt;$A$15)),
        IF(Import.TipoArredondamento&lt;&gt;"TransfereGOV",
              ROUND(OFFSET($P39,0,BO$13),15-13*ORÇAMENTO!$AF$7)/$H39*OFFSET(ORÇAMENTO!$X$15,ROW(BO39)-ROW(BO$15),0),
              ROUND(ROUND(OFFSET($P39,0,BO$13),15-13*ORÇAMENTO!$AF$7)*OFFSET(ORÇAMENTO!$W$15,ROW(BO39)-ROW(BO$15),0),15-13*ORÇAMENTO!$AF$11)),
         0)</f>
        <v>0</v>
      </c>
      <c r="BP39" s="352" t="n">
        <f aca="true">IF(AND($D39="Serviço",BP$12&lt;&gt;0,$H39&gt;0,OR(AUTOEVENTO&lt;&gt;"manual",$M39&lt;&gt;$A$15)),
        IF(Import.TipoArredondamento&lt;&gt;"TransfereGOV",
              ROUND(OFFSET($P39,0,BP$13),15-13*ORÇAMENTO!$AF$7)/$H39*OFFSET(ORÇAMENTO!$X$15,ROW(BP39)-ROW(BP$15),0),
              ROUND(ROUND(OFFSET($P39,0,BP$13),15-13*ORÇAMENTO!$AF$7)*OFFSET(ORÇAMENTO!$W$15,ROW(BP39)-ROW(BP$15),0),15-13*ORÇAMENTO!$AF$11)),
         0)</f>
        <v>0</v>
      </c>
      <c r="BQ39" s="352" t="n">
        <f aca="true">IF(AND($D39="Serviço",BQ$12&lt;&gt;0,$H39&gt;0,OR(AUTOEVENTO&lt;&gt;"manual",$M39&lt;&gt;$A$15)),
        IF(Import.TipoArredondamento&lt;&gt;"TransfereGOV",
              ROUND(OFFSET($P39,0,BQ$13),15-13*ORÇAMENTO!$AF$7)/$H39*OFFSET(ORÇAMENTO!$X$15,ROW(BQ39)-ROW(BQ$15),0),
              ROUND(ROUND(OFFSET($P39,0,BQ$13),15-13*ORÇAMENTO!$AF$7)*OFFSET(ORÇAMENTO!$W$15,ROW(BQ39)-ROW(BQ$15),0),15-13*ORÇAMENTO!$AF$11)),
         0)</f>
        <v>0</v>
      </c>
      <c r="BS39" s="353" t="n">
        <f aca="true">IF(OR($D39&lt;&gt;"Serviço",AND(AUTOEVENTO="Manual",$M39=$A$15)),0,
         IF(OFFSET(CRONOPLE!$F$15,$M39-$A$15,BS$13)=0,10^12,OFFSET(CRONOPLE!$F$15,$M39-$A$15,BS$13)))</f>
        <v>0</v>
      </c>
      <c r="BT39" s="353" t="n">
        <f aca="true">IF(OR($D39&lt;&gt;"Serviço",AND(AUTOEVENTO="Manual",$M39=$A$15)),0,
         IF(OFFSET(CRONOPLE!$F$15,$M39-$A$15,BT$13)=0,10^12,OFFSET(CRONOPLE!$F$15,$M39-$A$15,BT$13)))</f>
        <v>0</v>
      </c>
      <c r="BU39" s="353" t="n">
        <f aca="true">IF(OR($D39&lt;&gt;"Serviço",AND(AUTOEVENTO="Manual",$M39=$A$15)),0,
         IF(OFFSET(CRONOPLE!$F$15,$M39-$A$15,BU$13)=0,10^12,OFFSET(CRONOPLE!$F$15,$M39-$A$15,BU$13)))</f>
        <v>0</v>
      </c>
      <c r="BV39" s="353" t="n">
        <f aca="true">IF(OR($D39&lt;&gt;"Serviço",AND(AUTOEVENTO="Manual",$M39=$A$15)),0,
         IF(OFFSET(CRONOPLE!$F$15,$M39-$A$15,BV$13)=0,10^12,OFFSET(CRONOPLE!$F$15,$M39-$A$15,BV$13)))</f>
        <v>0</v>
      </c>
      <c r="BW39" s="353" t="n">
        <f aca="true">IF(OR($D39&lt;&gt;"Serviço",AND(AUTOEVENTO="Manual",$M39=$A$15)),0,
         IF(OFFSET(CRONOPLE!$F$15,$M39-$A$15,BW$13)=0,10^12,OFFSET(CRONOPLE!$F$15,$M39-$A$15,BW$13)))</f>
        <v>0</v>
      </c>
      <c r="BX39" s="353" t="n">
        <f aca="true">IF(OR($D39&lt;&gt;"Serviço",AND(AUTOEVENTO="Manual",$M39=$A$15)),0,
         IF(OFFSET(CRONOPLE!$F$15,$M39-$A$15,BX$13)=0,10^12,OFFSET(CRONOPLE!$F$15,$M39-$A$15,BX$13)))</f>
        <v>0</v>
      </c>
      <c r="BY39" s="353" t="n">
        <f aca="true">IF(OR($D39&lt;&gt;"Serviço",AND(AUTOEVENTO="Manual",$M39=$A$15)),0,
         IF(OFFSET(CRONOPLE!$F$15,$M39-$A$15,BY$13)=0,10^12,OFFSET(CRONOPLE!$F$15,$M39-$A$15,BY$13)))</f>
        <v>0</v>
      </c>
      <c r="BZ39" s="353" t="n">
        <f aca="true">IF(OR($D39&lt;&gt;"Serviço",AND(AUTOEVENTO="Manual",$M39=$A$15)),0,
         IF(OFFSET(CRONOPLE!$F$15,$M39-$A$15,BZ$13)=0,10^12,OFFSET(CRONOPLE!$F$15,$M39-$A$15,BZ$13)))</f>
        <v>0</v>
      </c>
      <c r="CA39" s="353" t="n">
        <f aca="true">IF(OR($D39&lt;&gt;"Serviço",AND(AUTOEVENTO="Manual",$M39=$A$15)),0,
         IF(OFFSET(CRONOPLE!$F$15,$M39-$A$15,CA$13)=0,10^12,OFFSET(CRONOPLE!$F$15,$M39-$A$15,CA$13)))</f>
        <v>0</v>
      </c>
      <c r="CB39" s="353" t="n">
        <f aca="true">IF(OR($D39&lt;&gt;"Serviço",AND(AUTOEVENTO="Manual",$M39=$A$15)),0,
         IF(OFFSET(CRONOPLE!$F$15,$M39-$A$15,CB$13)=0,10^12,OFFSET(CRONOPLE!$F$15,$M39-$A$15,CB$13)))</f>
        <v>0</v>
      </c>
      <c r="CC39" s="353" t="n">
        <f aca="true">IF(OR($D39&lt;&gt;"Serviço",AND(AUTOEVENTO="Manual",$M39=$A$15)),0,
         IF(OFFSET(CRONOPLE!$F$15,$M39-$A$15,CC$13)=0,10^12,OFFSET(CRONOPLE!$F$15,$M39-$A$15,CC$13)))</f>
        <v>0</v>
      </c>
      <c r="CD39" s="353" t="n">
        <f aca="true">IF(OR($D39&lt;&gt;"Serviço",AND(AUTOEVENTO="Manual",$M39=$A$15)),0,
         IF(OFFSET(CRONOPLE!$F$15,$M39-$A$15,CD$13)=0,10^12,OFFSET(CRONOPLE!$F$15,$M39-$A$15,CD$13)))</f>
        <v>0</v>
      </c>
      <c r="CE39" s="353" t="n">
        <f aca="true">IF(OR($D39&lt;&gt;"Serviço",AND(AUTOEVENTO="Manual",$M39=$A$15)),0,
         IF(OFFSET(CRONOPLE!$F$15,$M39-$A$15,CE$13)=0,10^12,OFFSET(CRONOPLE!$F$15,$M39-$A$15,CE$13)))</f>
        <v>0</v>
      </c>
      <c r="CF39" s="353" t="n">
        <f aca="true">IF(OR($D39&lt;&gt;"Serviço",AND(AUTOEVENTO="Manual",$M39=$A$15)),0,
         IF(OFFSET(CRONOPLE!$F$15,$M39-$A$15,CF$13)=0,10^12,OFFSET(CRONOPLE!$F$15,$M39-$A$15,CF$13)))</f>
        <v>0</v>
      </c>
      <c r="CG39" s="353" t="n">
        <f aca="true">IF(OR($D39&lt;&gt;"Serviço",AND(AUTOEVENTO="Manual",$M39=$A$15)),0,
         IF(OFFSET(CRONOPLE!$F$15,$M39-$A$15,CG$13)=0,10^12,OFFSET(CRONOPLE!$F$15,$M39-$A$15,CG$13)))</f>
        <v>0</v>
      </c>
      <c r="CH39" s="353" t="n">
        <f aca="true">IF(OR($D39&lt;&gt;"Serviço",AND(AUTOEVENTO="Manual",$M39=$A$15)),0,
         IF(OFFSET(CRONOPLE!$F$15,$M39-$A$15,CH$13)=0,10^12,OFFSET(CRONOPLE!$F$15,$M39-$A$15,CH$13)))</f>
        <v>0</v>
      </c>
      <c r="CI39" s="353" t="n">
        <f aca="true">IF(OR($D39&lt;&gt;"Serviço",AND(AUTOEVENTO="Manual",$M39=$A$15)),0,
         IF(OFFSET(CRONOPLE!$F$15,$M39-$A$15,CI$13)=0,10^12,OFFSET(CRONOPLE!$F$15,$M39-$A$15,CI$13)))</f>
        <v>0</v>
      </c>
      <c r="CJ39" s="353" t="n">
        <f aca="true">IF(OR($D39&lt;&gt;"Serviço",AND(AUTOEVENTO="Manual",$M39=$A$15)),0,
         IF(OFFSET(CRONOPLE!$F$15,$M39-$A$15,CJ$13)=0,10^12,OFFSET(CRONOPLE!$F$15,$M39-$A$15,CJ$13)))</f>
        <v>0</v>
      </c>
      <c r="CK39" s="353" t="n">
        <f aca="true">IF(OR($D39&lt;&gt;"Serviço",AND(AUTOEVENTO="Manual",$M39=$A$15)),0,
         IF(OFFSET(CRONOPLE!$F$15,$M39-$A$15,CK$13)=0,10^12,OFFSET(CRONOPLE!$F$15,$M39-$A$15,CK$13)))</f>
        <v>0</v>
      </c>
      <c r="CL39" s="353" t="n">
        <f aca="true">IF(OR($D39&lt;&gt;"Serviço",AND(AUTOEVENTO="Manual",$M39=$A$15)),0,
         IF(OFFSET(CRONOPLE!$F$15,$M39-$A$15,CL$13)=0,10^12,OFFSET(CRONOPLE!$F$15,$M39-$A$15,CL$13)))</f>
        <v>0</v>
      </c>
      <c r="CM39" s="353" t="n">
        <f aca="true">IF(OR($D39&lt;&gt;"Serviço",AND(AUTOEVENTO="Manual",$M39=$A$15)),0,
         IF(OFFSET(CRONOPLE!$F$15,$M39-$A$15,CM$13)=0,10^12,OFFSET(CRONOPLE!$F$15,$M39-$A$15,CM$13)))</f>
        <v>0</v>
      </c>
      <c r="CN39" s="353" t="n">
        <f aca="true">IF(OR($D39&lt;&gt;"Serviço",AND(AUTOEVENTO="Manual",$M39=$A$15)),0,
         IF(OFFSET(CRONOPLE!$F$15,$M39-$A$15,CN$13)=0,10^12,OFFSET(CRONOPLE!$F$15,$M39-$A$15,CN$13)))</f>
        <v>0</v>
      </c>
      <c r="CO39" s="353" t="n">
        <f aca="true">IF(OR($D39&lt;&gt;"Serviço",AND(AUTOEVENTO="Manual",$M39=$A$15)),0,
         IF(OFFSET(CRONOPLE!$F$15,$M39-$A$15,CO$13)=0,10^12,OFFSET(CRONOPLE!$F$15,$M39-$A$15,CO$13)))</f>
        <v>0</v>
      </c>
      <c r="CP39" s="353" t="n">
        <f aca="true">IF(OR($D39&lt;&gt;"Serviço",AND(AUTOEVENTO="Manual",$M39=$A$15)),0,
         IF(OFFSET(CRONOPLE!$F$15,$M39-$A$15,CP$13)=0,10^12,OFFSET(CRONOPLE!$F$15,$M39-$A$15,CP$13)))</f>
        <v>0</v>
      </c>
      <c r="CQ39" s="353" t="n">
        <f aca="true">IF(OR($D39&lt;&gt;"Serviço",AND(AUTOEVENTO="Manual",$M39=$A$15)),0,
         IF(OFFSET(CRONOPLE!$F$15,$M39-$A$15,CQ$13)=0,10^12,OFFSET(CRONOPLE!$F$15,$M39-$A$15,CQ$13)))</f>
        <v>0</v>
      </c>
      <c r="CR39" s="353" t="n">
        <f aca="true">IF(OR($D39&lt;&gt;"Serviço",AND(AUTOEVENTO="Manual",$M39=$A$15)),0,
         IF(OFFSET(CRONOPLE!$F$15,$M39-$A$15,CR$13)=0,10^12,OFFSET(CRONOPLE!$F$15,$M39-$A$15,CR$13)))</f>
        <v>0</v>
      </c>
      <c r="CT39" s="354" t="n">
        <f aca="true">IF(OR($D39&lt;&gt;"Serviço",AND(AUTOEVENTO="Manual",$M39=$A$15),$M39&gt;(ROW(PLE.lastrow)-ROW(PLE.firstrow))),0,
           IF(OFFSET(PLE!$G$15,$M39-$A$15,CT$13)="",10^12,OFFSET(PLE!$G$15,$M39-$A$15,CT$13)))</f>
        <v>0</v>
      </c>
      <c r="CU39" s="354" t="n">
        <f aca="true">IF(OR($D39&lt;&gt;"Serviço",AND(AUTOEVENTO="Manual",$M39=$A$15),$M39&gt;(ROW(PLE.lastrow)-ROW(PLE.firstrow))),0,
           IF(OFFSET(PLE!$G$15,$M39-$A$15,CU$13)="",10^12,OFFSET(PLE!$G$15,$M39-$A$15,CU$13)))</f>
        <v>0</v>
      </c>
      <c r="CV39" s="354" t="n">
        <f aca="true">IF(OR($D39&lt;&gt;"Serviço",AND(AUTOEVENTO="Manual",$M39=$A$15),$M39&gt;(ROW(PLE.lastrow)-ROW(PLE.firstrow))),0,
           IF(OFFSET(PLE!$G$15,$M39-$A$15,CV$13)="",10^12,OFFSET(PLE!$G$15,$M39-$A$15,CV$13)))</f>
        <v>0</v>
      </c>
      <c r="CW39" s="354" t="n">
        <f aca="true">IF(OR($D39&lt;&gt;"Serviço",AND(AUTOEVENTO="Manual",$M39=$A$15),$M39&gt;(ROW(PLE.lastrow)-ROW(PLE.firstrow))),0,
           IF(OFFSET(PLE!$G$15,$M39-$A$15,CW$13)="",10^12,OFFSET(PLE!$G$15,$M39-$A$15,CW$13)))</f>
        <v>0</v>
      </c>
      <c r="CX39" s="354" t="n">
        <f aca="true">IF(OR($D39&lt;&gt;"Serviço",AND(AUTOEVENTO="Manual",$M39=$A$15),$M39&gt;(ROW(PLE.lastrow)-ROW(PLE.firstrow))),0,
           IF(OFFSET(PLE!$G$15,$M39-$A$15,CX$13)="",10^12,OFFSET(PLE!$G$15,$M39-$A$15,CX$13)))</f>
        <v>0</v>
      </c>
      <c r="CY39" s="354" t="n">
        <f aca="true">IF(OR($D39&lt;&gt;"Serviço",AND(AUTOEVENTO="Manual",$M39=$A$15),$M39&gt;(ROW(PLE.lastrow)-ROW(PLE.firstrow))),0,
           IF(OFFSET(PLE!$G$15,$M39-$A$15,CY$13)="",10^12,OFFSET(PLE!$G$15,$M39-$A$15,CY$13)))</f>
        <v>0</v>
      </c>
      <c r="CZ39" s="354" t="n">
        <f aca="true">IF(OR($D39&lt;&gt;"Serviço",AND(AUTOEVENTO="Manual",$M39=$A$15),$M39&gt;(ROW(PLE.lastrow)-ROW(PLE.firstrow))),0,
           IF(OFFSET(PLE!$G$15,$M39-$A$15,CZ$13)="",10^12,OFFSET(PLE!$G$15,$M39-$A$15,CZ$13)))</f>
        <v>0</v>
      </c>
      <c r="DA39" s="354" t="n">
        <f aca="true">IF(OR($D39&lt;&gt;"Serviço",AND(AUTOEVENTO="Manual",$M39=$A$15),$M39&gt;(ROW(PLE.lastrow)-ROW(PLE.firstrow))),0,
           IF(OFFSET(PLE!$G$15,$M39-$A$15,DA$13)="",10^12,OFFSET(PLE!$G$15,$M39-$A$15,DA$13)))</f>
        <v>0</v>
      </c>
      <c r="DB39" s="354" t="n">
        <f aca="true">IF(OR($D39&lt;&gt;"Serviço",AND(AUTOEVENTO="Manual",$M39=$A$15),$M39&gt;(ROW(PLE.lastrow)-ROW(PLE.firstrow))),0,
           IF(OFFSET(PLE!$G$15,$M39-$A$15,DB$13)="",10^12,OFFSET(PLE!$G$15,$M39-$A$15,DB$13)))</f>
        <v>0</v>
      </c>
      <c r="DC39" s="354" t="n">
        <f aca="true">IF(OR($D39&lt;&gt;"Serviço",AND(AUTOEVENTO="Manual",$M39=$A$15),$M39&gt;(ROW(PLE.lastrow)-ROW(PLE.firstrow))),0,
           IF(OFFSET(PLE!$G$15,$M39-$A$15,DC$13)="",10^12,OFFSET(PLE!$G$15,$M39-$A$15,DC$13)))</f>
        <v>0</v>
      </c>
      <c r="DD39" s="354" t="n">
        <f aca="true">IF(OR($D39&lt;&gt;"Serviço",AND(AUTOEVENTO="Manual",$M39=$A$15),$M39&gt;(ROW(PLE.lastrow)-ROW(PLE.firstrow))),0,
           IF(OFFSET(PLE!$G$15,$M39-$A$15,DD$13)="",10^12,OFFSET(PLE!$G$15,$M39-$A$15,DD$13)))</f>
        <v>0</v>
      </c>
      <c r="DE39" s="354" t="n">
        <f aca="true">IF(OR($D39&lt;&gt;"Serviço",AND(AUTOEVENTO="Manual",$M39=$A$15),$M39&gt;(ROW(PLE.lastrow)-ROW(PLE.firstrow))),0,
           IF(OFFSET(PLE!$G$15,$M39-$A$15,DE$13)="",10^12,OFFSET(PLE!$G$15,$M39-$A$15,DE$13)))</f>
        <v>0</v>
      </c>
      <c r="DF39" s="354" t="n">
        <f aca="true">IF(OR($D39&lt;&gt;"Serviço",AND(AUTOEVENTO="Manual",$M39=$A$15),$M39&gt;(ROW(PLE.lastrow)-ROW(PLE.firstrow))),0,
           IF(OFFSET(PLE!$G$15,$M39-$A$15,DF$13)="",10^12,OFFSET(PLE!$G$15,$M39-$A$15,DF$13)))</f>
        <v>0</v>
      </c>
      <c r="DG39" s="354" t="n">
        <f aca="true">IF(OR($D39&lt;&gt;"Serviço",AND(AUTOEVENTO="Manual",$M39=$A$15),$M39&gt;(ROW(PLE.lastrow)-ROW(PLE.firstrow))),0,
           IF(OFFSET(PLE!$G$15,$M39-$A$15,DG$13)="",10^12,OFFSET(PLE!$G$15,$M39-$A$15,DG$13)))</f>
        <v>0</v>
      </c>
      <c r="DH39" s="354" t="n">
        <f aca="true">IF(OR($D39&lt;&gt;"Serviço",AND(AUTOEVENTO="Manual",$M39=$A$15),$M39&gt;(ROW(PLE.lastrow)-ROW(PLE.firstrow))),0,
           IF(OFFSET(PLE!$G$15,$M39-$A$15,DH$13)="",10^12,OFFSET(PLE!$G$15,$M39-$A$15,DH$13)))</f>
        <v>0</v>
      </c>
      <c r="DI39" s="354" t="n">
        <f aca="true">IF(OR($D39&lt;&gt;"Serviço",AND(AUTOEVENTO="Manual",$M39=$A$15),$M39&gt;(ROW(PLE.lastrow)-ROW(PLE.firstrow))),0,
           IF(OFFSET(PLE!$G$15,$M39-$A$15,DI$13)="",10^12,OFFSET(PLE!$G$15,$M39-$A$15,DI$13)))</f>
        <v>0</v>
      </c>
      <c r="DJ39" s="354" t="n">
        <f aca="true">IF(OR($D39&lt;&gt;"Serviço",AND(AUTOEVENTO="Manual",$M39=$A$15),$M39&gt;(ROW(PLE.lastrow)-ROW(PLE.firstrow))),0,
           IF(OFFSET(PLE!$G$15,$M39-$A$15,DJ$13)="",10^12,OFFSET(PLE!$G$15,$M39-$A$15,DJ$13)))</f>
        <v>0</v>
      </c>
      <c r="DK39" s="354" t="n">
        <f aca="true">IF(OR($D39&lt;&gt;"Serviço",AND(AUTOEVENTO="Manual",$M39=$A$15),$M39&gt;(ROW(PLE.lastrow)-ROW(PLE.firstrow))),0,
           IF(OFFSET(PLE!$G$15,$M39-$A$15,DK$13)="",10^12,OFFSET(PLE!$G$15,$M39-$A$15,DK$13)))</f>
        <v>0</v>
      </c>
      <c r="DL39" s="354" t="n">
        <f aca="true">IF(OR($D39&lt;&gt;"Serviço",AND(AUTOEVENTO="Manual",$M39=$A$15),$M39&gt;(ROW(PLE.lastrow)-ROW(PLE.firstrow))),0,
           IF(OFFSET(PLE!$G$15,$M39-$A$15,DL$13)="",10^12,OFFSET(PLE!$G$15,$M39-$A$15,DL$13)))</f>
        <v>0</v>
      </c>
      <c r="DM39" s="354" t="n">
        <f aca="true">IF(OR($D39&lt;&gt;"Serviço",AND(AUTOEVENTO="Manual",$M39=$A$15),$M39&gt;(ROW(PLE.lastrow)-ROW(PLE.firstrow))),0,
           IF(OFFSET(PLE!$G$15,$M39-$A$15,DM$13)="",10^12,OFFSET(PLE!$G$15,$M39-$A$15,DM$13)))</f>
        <v>0</v>
      </c>
      <c r="DN39" s="354" t="n">
        <f aca="true">IF(OR($D39&lt;&gt;"Serviço",AND(AUTOEVENTO="Manual",$M39=$A$15),$M39&gt;(ROW(PLE.lastrow)-ROW(PLE.firstrow))),0,
           IF(OFFSET(PLE!$G$15,$M39-$A$15,DN$13)="",10^12,OFFSET(PLE!$G$15,$M39-$A$15,DN$13)))</f>
        <v>0</v>
      </c>
      <c r="DO39" s="354" t="n">
        <f aca="true">IF(OR($D39&lt;&gt;"Serviço",AND(AUTOEVENTO="Manual",$M39=$A$15),$M39&gt;(ROW(PLE.lastrow)-ROW(PLE.firstrow))),0,
           IF(OFFSET(PLE!$G$15,$M39-$A$15,DO$13)="",10^12,OFFSET(PLE!$G$15,$M39-$A$15,DO$13)))</f>
        <v>0</v>
      </c>
      <c r="DP39" s="354" t="n">
        <f aca="true">IF(OR($D39&lt;&gt;"Serviço",AND(AUTOEVENTO="Manual",$M39=$A$15),$M39&gt;(ROW(PLE.lastrow)-ROW(PLE.firstrow))),0,
           IF(OFFSET(PLE!$G$15,$M39-$A$15,DP$13)="",10^12,OFFSET(PLE!$G$15,$M39-$A$15,DP$13)))</f>
        <v>0</v>
      </c>
      <c r="DQ39" s="354" t="n">
        <f aca="true">IF(OR($D39&lt;&gt;"Serviço",AND(AUTOEVENTO="Manual",$M39=$A$15),$M39&gt;(ROW(PLE.lastrow)-ROW(PLE.firstrow))),0,
           IF(OFFSET(PLE!$G$15,$M39-$A$15,DQ$13)="",10^12,OFFSET(PLE!$G$15,$M39-$A$15,DQ$13)))</f>
        <v>0</v>
      </c>
      <c r="DR39" s="354" t="n">
        <f aca="true">IF(OR($D39&lt;&gt;"Serviço",AND(AUTOEVENTO="Manual",$M39=$A$15),$M39&gt;(ROW(PLE.lastrow)-ROW(PLE.firstrow))),0,
           IF(OFFSET(PLE!$G$15,$M39-$A$15,DR$13)="",10^12,OFFSET(PLE!$G$15,$M39-$A$15,DR$13)))</f>
        <v>0</v>
      </c>
      <c r="DS39" s="354" t="n">
        <f aca="true">IF(OR($D39&lt;&gt;"Serviço",AND(AUTOEVENTO="Manual",$M39=$A$15),$M39&gt;(ROW(PLE.lastrow)-ROW(PLE.firstrow))),0,
           IF(OFFSET(PLE!$G$15,$M39-$A$15,DS$13)="",10^12,OFFSET(PLE!$G$15,$M39-$A$15,DS$13)))</f>
        <v>0</v>
      </c>
    </row>
    <row r="40" customFormat="false" ht="23.85" hidden="false" customHeight="false" outlineLevel="0" collapsed="false">
      <c r="A40" s="50" t="str">
        <f aca="true">IFERROR(IF(AUTOEVENTO="Manual",IF(K40&lt;&gt;"",MIN(VALUE(LEFT(K40,FIND(".",K40)-1)),COUNTA(EVENTOS.Lista)),0),IF(OR($B40&gt;AUTOEVENTO,$B40="S",$B40=0),SUBSTITUTE(OFFSET($A40,-1,0),IF($D40="Serviço",".",""),""),ROW(A40)-ROW($A$15)&amp;".")),0)</f>
        <v>24</v>
      </c>
      <c r="B40" s="50" t="str">
        <f aca="true">OFFSET(ORÇAMENTO!C$15,ROW(B40)-ROW(B$15),0)</f>
        <v>S</v>
      </c>
      <c r="C40" s="50" t="str">
        <f aca="true">OFFSET(ORÇAMENTO!L$15,ROW(C40)-ROW(C$15),0)</f>
        <v>F</v>
      </c>
      <c r="D40" s="201" t="str">
        <f aca="true">OFFSET(ORÇAMENTO!N$15,ROW(D40)-ROW(D$15),0)</f>
        <v>Serviço</v>
      </c>
      <c r="E40" s="202" t="str">
        <f aca="true">OFFSET(ORÇAMENTO!O$15,ROW(E40)-ROW(E$15),0)</f>
        <v>1.6.1.</v>
      </c>
      <c r="F40" s="341" t="str">
        <f aca="true">OFFSET(ORÇAMENTO!R$15,ROW(F40)-ROW(F$15),0)</f>
        <v>ESCAVAÇÃO MANUAL PARA VIGA BALDRAME OU SAPATA CORRIDA (INCLUINDO ESCAVAÇÃO PARA COLOCAÇÃO DE FÔRMAS)</v>
      </c>
      <c r="G40" s="342" t="str">
        <f aca="true">IF($D40&lt;&gt;"Serviço","",OFFSET(ORÇAMENTO!S$15,ROW(G40)-ROW(G$15),0))</f>
        <v>M3</v>
      </c>
      <c r="H40" s="207" t="n">
        <f aca="true">IF($D40&lt;&gt;"Serviço",0,IF(ACOMPANHAMENTO="BM",ROUND(OFFSET(ORÇAMENTO!AJ$15,ROW(H40)-ROW(H$15),0),15-13*ORÇAMENTO!$AF$7),SUMPRODUCT(($Q$1:$AQ$1=1)*ROUND($Q40:$AQ40,15-13*ORÇAMENTO!$AF$7))))</f>
        <v>45.75</v>
      </c>
      <c r="I40" s="343" t="s">
        <v>929</v>
      </c>
      <c r="J40" s="344" t="e">
        <f aca="false">IF(OR(B40&lt;&gt;"S",CÁLCULO.FrentesPreenchidas=0),"",IF(AND(ACOMPANHAMENTO="PLE",AUTOEVENTO="Manual",OR(H40&gt;0,ORÇAMENTO!AC40="QUANT."),OR(K40="",M40=0,N40="")),"►",IF(AND(ACOMPANHAMENTO="PLE",ORÇAMENTO!AC40="QUANT."),"►►",IF(AND(COUNTIF($P$11:$AQ$11,"▼")=0,H40&gt;0,I40=""),"◄",""))))</f>
        <v>#NAME?</v>
      </c>
      <c r="K40" s="345"/>
      <c r="L40" s="346" t="s">
        <v>876</v>
      </c>
      <c r="M40" s="347" t="n">
        <f aca="true">IF($D40&lt;&gt;"Serviço","",
          IF(AUTOEVENTO="manual",$A40,
                IF(ISERROR(MATCH($A40,$A$15:OFFSET($A40,-1,0),0)),MAX($M$15:OFFSET(M40,-1,0))+1,
                      INDEX($M$15:OFFSET(M40,-1,0),MATCH($A40,$A$15:OFFSET($A40,-1,0),0)))))</f>
        <v>4</v>
      </c>
      <c r="N40" s="348" t="str">
        <f aca="true">IF($D40&lt;&gt;"Serviço","",
         IF(AUTOEVENTO="Manual",
                IF($A40=0,"&lt;-- defina o número do agrupador",
                       OFFSET(EVENTOS!$D$15,$A40-$A$15,0)),
                OFFSET($F$15,$A40,0)))</f>
        <v>BALDRAMES</v>
      </c>
      <c r="O40" s="349"/>
      <c r="Q40" s="349" t="n">
        <v>1.83</v>
      </c>
      <c r="R40" s="350" t="n">
        <f aca="false">Q40</f>
        <v>1.83</v>
      </c>
      <c r="S40" s="350" t="n">
        <f aca="false">R40</f>
        <v>1.83</v>
      </c>
      <c r="T40" s="350" t="n">
        <f aca="false">S40</f>
        <v>1.83</v>
      </c>
      <c r="U40" s="350" t="n">
        <f aca="false">T40</f>
        <v>1.83</v>
      </c>
      <c r="V40" s="350" t="n">
        <f aca="false">U40</f>
        <v>1.83</v>
      </c>
      <c r="W40" s="350" t="n">
        <f aca="false">V40</f>
        <v>1.83</v>
      </c>
      <c r="X40" s="350" t="n">
        <f aca="false">W40</f>
        <v>1.83</v>
      </c>
      <c r="Y40" s="350" t="n">
        <f aca="false">X40</f>
        <v>1.83</v>
      </c>
      <c r="Z40" s="351" t="n">
        <f aca="false">Y40</f>
        <v>1.83</v>
      </c>
      <c r="AA40" s="350" t="n">
        <f aca="false">Z40</f>
        <v>1.83</v>
      </c>
      <c r="AB40" s="350" t="n">
        <f aca="false">AA40</f>
        <v>1.83</v>
      </c>
      <c r="AC40" s="350" t="n">
        <f aca="false">AB40</f>
        <v>1.83</v>
      </c>
      <c r="AD40" s="350" t="n">
        <f aca="false">AC40</f>
        <v>1.83</v>
      </c>
      <c r="AE40" s="350" t="n">
        <f aca="false">AD40</f>
        <v>1.83</v>
      </c>
      <c r="AF40" s="350" t="n">
        <f aca="false">AE40</f>
        <v>1.83</v>
      </c>
      <c r="AG40" s="350" t="n">
        <f aca="false">AF40</f>
        <v>1.83</v>
      </c>
      <c r="AH40" s="351" t="n">
        <f aca="false">AG40</f>
        <v>1.83</v>
      </c>
      <c r="AI40" s="350" t="n">
        <f aca="false">AH40</f>
        <v>1.83</v>
      </c>
      <c r="AJ40" s="350" t="n">
        <f aca="false">AI40</f>
        <v>1.83</v>
      </c>
      <c r="AK40" s="350" t="n">
        <f aca="false">AJ40</f>
        <v>1.83</v>
      </c>
      <c r="AL40" s="350" t="n">
        <f aca="false">AK40</f>
        <v>1.83</v>
      </c>
      <c r="AM40" s="350" t="n">
        <f aca="false">AL40</f>
        <v>1.83</v>
      </c>
      <c r="AN40" s="350" t="n">
        <f aca="false">AM40</f>
        <v>1.83</v>
      </c>
      <c r="AO40" s="350" t="n">
        <f aca="false">AN40</f>
        <v>1.83</v>
      </c>
      <c r="AP40" s="351" t="n">
        <v>11.4</v>
      </c>
      <c r="AR40" s="352" t="n">
        <f aca="true">IF(AND($D40="Serviço",AR$12&lt;&gt;0,$H40&gt;0,OR(AUTOEVENTO&lt;&gt;"manual",$M40&lt;&gt;$A$15)),
        IF(Import.TipoArredondamento&lt;&gt;"TransfereGOV",
              ROUND(OFFSET($P40,0,AR$13),15-13*ORÇAMENTO!$AF$7)/$H40*OFFSET(ORÇAMENTO!$X$15,ROW(AR40)-ROW(AR$15),0),
              ROUND(ROUND(OFFSET($P40,0,AR$13),15-13*ORÇAMENTO!$AF$7)*OFFSET(ORÇAMENTO!$W$15,ROW(AR40)-ROW(AR$15),0),15-13*ORÇAMENTO!$AF$11)),
         0)</f>
        <v>241.43</v>
      </c>
      <c r="AS40" s="352" t="n">
        <f aca="true">IF(AND($D40="Serviço",AS$12&lt;&gt;0,$H40&gt;0,OR(AUTOEVENTO&lt;&gt;"manual",$M40&lt;&gt;$A$15)),
        IF(Import.TipoArredondamento&lt;&gt;"TransfereGOV",
              ROUND(OFFSET($P40,0,AS$13),15-13*ORÇAMENTO!$AF$7)/$H40*OFFSET(ORÇAMENTO!$X$15,ROW(AS40)-ROW(AS$15),0),
              ROUND(ROUND(OFFSET($P40,0,AS$13),15-13*ORÇAMENTO!$AF$7)*OFFSET(ORÇAMENTO!$W$15,ROW(AS40)-ROW(AS$15),0),15-13*ORÇAMENTO!$AF$11)),
         0)</f>
        <v>241.43</v>
      </c>
      <c r="AT40" s="352" t="n">
        <f aca="true">IF(AND($D40="Serviço",AT$12&lt;&gt;0,$H40&gt;0,OR(AUTOEVENTO&lt;&gt;"manual",$M40&lt;&gt;$A$15)),
        IF(Import.TipoArredondamento&lt;&gt;"TransfereGOV",
              ROUND(OFFSET($P40,0,AT$13),15-13*ORÇAMENTO!$AF$7)/$H40*OFFSET(ORÇAMENTO!$X$15,ROW(AT40)-ROW(AT$15),0),
              ROUND(ROUND(OFFSET($P40,0,AT$13),15-13*ORÇAMENTO!$AF$7)*OFFSET(ORÇAMENTO!$W$15,ROW(AT40)-ROW(AT$15),0),15-13*ORÇAMENTO!$AF$11)),
         0)</f>
        <v>241.43</v>
      </c>
      <c r="AU40" s="352" t="n">
        <f aca="true">IF(AND($D40="Serviço",AU$12&lt;&gt;0,$H40&gt;0,OR(AUTOEVENTO&lt;&gt;"manual",$M40&lt;&gt;$A$15)),
        IF(Import.TipoArredondamento&lt;&gt;"TransfereGOV",
              ROUND(OFFSET($P40,0,AU$13),15-13*ORÇAMENTO!$AF$7)/$H40*OFFSET(ORÇAMENTO!$X$15,ROW(AU40)-ROW(AU$15),0),
              ROUND(ROUND(OFFSET($P40,0,AU$13),15-13*ORÇAMENTO!$AF$7)*OFFSET(ORÇAMENTO!$W$15,ROW(AU40)-ROW(AU$15),0),15-13*ORÇAMENTO!$AF$11)),
         0)</f>
        <v>241.43</v>
      </c>
      <c r="AV40" s="352" t="n">
        <f aca="true">IF(AND($D40="Serviço",AV$12&lt;&gt;0,$H40&gt;0,OR(AUTOEVENTO&lt;&gt;"manual",$M40&lt;&gt;$A$15)),
        IF(Import.TipoArredondamento&lt;&gt;"TransfereGOV",
              ROUND(OFFSET($P40,0,AV$13),15-13*ORÇAMENTO!$AF$7)/$H40*OFFSET(ORÇAMENTO!$X$15,ROW(AV40)-ROW(AV$15),0),
              ROUND(ROUND(OFFSET($P40,0,AV$13),15-13*ORÇAMENTO!$AF$7)*OFFSET(ORÇAMENTO!$W$15,ROW(AV40)-ROW(AV$15),0),15-13*ORÇAMENTO!$AF$11)),
         0)</f>
        <v>241.43</v>
      </c>
      <c r="AW40" s="352" t="n">
        <f aca="true">IF(AND($D40="Serviço",AW$12&lt;&gt;0,$H40&gt;0,OR(AUTOEVENTO&lt;&gt;"manual",$M40&lt;&gt;$A$15)),
        IF(Import.TipoArredondamento&lt;&gt;"TransfereGOV",
              ROUND(OFFSET($P40,0,AW$13),15-13*ORÇAMENTO!$AF$7)/$H40*OFFSET(ORÇAMENTO!$X$15,ROW(AW40)-ROW(AW$15),0),
              ROUND(ROUND(OFFSET($P40,0,AW$13),15-13*ORÇAMENTO!$AF$7)*OFFSET(ORÇAMENTO!$W$15,ROW(AW40)-ROW(AW$15),0),15-13*ORÇAMENTO!$AF$11)),
         0)</f>
        <v>241.43</v>
      </c>
      <c r="AX40" s="352" t="n">
        <f aca="true">IF(AND($D40="Serviço",AX$12&lt;&gt;0,$H40&gt;0,OR(AUTOEVENTO&lt;&gt;"manual",$M40&lt;&gt;$A$15)),
        IF(Import.TipoArredondamento&lt;&gt;"TransfereGOV",
              ROUND(OFFSET($P40,0,AX$13),15-13*ORÇAMENTO!$AF$7)/$H40*OFFSET(ORÇAMENTO!$X$15,ROW(AX40)-ROW(AX$15),0),
              ROUND(ROUND(OFFSET($P40,0,AX$13),15-13*ORÇAMENTO!$AF$7)*OFFSET(ORÇAMENTO!$W$15,ROW(AX40)-ROW(AX$15),0),15-13*ORÇAMENTO!$AF$11)),
         0)</f>
        <v>241.43</v>
      </c>
      <c r="AY40" s="352" t="n">
        <f aca="true">IF(AND($D40="Serviço",AY$12&lt;&gt;0,$H40&gt;0,OR(AUTOEVENTO&lt;&gt;"manual",$M40&lt;&gt;$A$15)),
        IF(Import.TipoArredondamento&lt;&gt;"TransfereGOV",
              ROUND(OFFSET($P40,0,AY$13),15-13*ORÇAMENTO!$AF$7)/$H40*OFFSET(ORÇAMENTO!$X$15,ROW(AY40)-ROW(AY$15),0),
              ROUND(ROUND(OFFSET($P40,0,AY$13),15-13*ORÇAMENTO!$AF$7)*OFFSET(ORÇAMENTO!$W$15,ROW(AY40)-ROW(AY$15),0),15-13*ORÇAMENTO!$AF$11)),
         0)</f>
        <v>241.43</v>
      </c>
      <c r="AZ40" s="352" t="n">
        <f aca="true">IF(AND($D40="Serviço",AZ$12&lt;&gt;0,$H40&gt;0,OR(AUTOEVENTO&lt;&gt;"manual",$M40&lt;&gt;$A$15)),
        IF(Import.TipoArredondamento&lt;&gt;"TransfereGOV",
              ROUND(OFFSET($P40,0,AZ$13),15-13*ORÇAMENTO!$AF$7)/$H40*OFFSET(ORÇAMENTO!$X$15,ROW(AZ40)-ROW(AZ$15),0),
              ROUND(ROUND(OFFSET($P40,0,AZ$13),15-13*ORÇAMENTO!$AF$7)*OFFSET(ORÇAMENTO!$W$15,ROW(AZ40)-ROW(AZ$15),0),15-13*ORÇAMENTO!$AF$11)),
         0)</f>
        <v>241.43</v>
      </c>
      <c r="BA40" s="352" t="n">
        <f aca="true">IF(AND($D40="Serviço",BA$12&lt;&gt;0,$H40&gt;0,OR(AUTOEVENTO&lt;&gt;"manual",$M40&lt;&gt;$A$15)),
        IF(Import.TipoArredondamento&lt;&gt;"TransfereGOV",
              ROUND(OFFSET($P40,0,BA$13),15-13*ORÇAMENTO!$AF$7)/$H40*OFFSET(ORÇAMENTO!$X$15,ROW(BA40)-ROW(BA$15),0),
              ROUND(ROUND(OFFSET($P40,0,BA$13),15-13*ORÇAMENTO!$AF$7)*OFFSET(ORÇAMENTO!$W$15,ROW(BA40)-ROW(BA$15),0),15-13*ORÇAMENTO!$AF$11)),
         0)</f>
        <v>241.43</v>
      </c>
      <c r="BB40" s="352" t="n">
        <f aca="true">IF(AND($D40="Serviço",BB$12&lt;&gt;0,$H40&gt;0,OR(AUTOEVENTO&lt;&gt;"manual",$M40&lt;&gt;$A$15)),
        IF(Import.TipoArredondamento&lt;&gt;"TransfereGOV",
              ROUND(OFFSET($P40,0,BB$13),15-13*ORÇAMENTO!$AF$7)/$H40*OFFSET(ORÇAMENTO!$X$15,ROW(BB40)-ROW(BB$15),0),
              ROUND(ROUND(OFFSET($P40,0,BB$13),15-13*ORÇAMENTO!$AF$7)*OFFSET(ORÇAMENTO!$W$15,ROW(BB40)-ROW(BB$15),0),15-13*ORÇAMENTO!$AF$11)),
         0)</f>
        <v>241.43</v>
      </c>
      <c r="BC40" s="352" t="n">
        <f aca="true">IF(AND($D40="Serviço",BC$12&lt;&gt;0,$H40&gt;0,OR(AUTOEVENTO&lt;&gt;"manual",$M40&lt;&gt;$A$15)),
        IF(Import.TipoArredondamento&lt;&gt;"TransfereGOV",
              ROUND(OFFSET($P40,0,BC$13),15-13*ORÇAMENTO!$AF$7)/$H40*OFFSET(ORÇAMENTO!$X$15,ROW(BC40)-ROW(BC$15),0),
              ROUND(ROUND(OFFSET($P40,0,BC$13),15-13*ORÇAMENTO!$AF$7)*OFFSET(ORÇAMENTO!$W$15,ROW(BC40)-ROW(BC$15),0),15-13*ORÇAMENTO!$AF$11)),
         0)</f>
        <v>241.43</v>
      </c>
      <c r="BD40" s="352" t="n">
        <f aca="true">IF(AND($D40="Serviço",BD$12&lt;&gt;0,$H40&gt;0,OR(AUTOEVENTO&lt;&gt;"manual",$M40&lt;&gt;$A$15)),
        IF(Import.TipoArredondamento&lt;&gt;"TransfereGOV",
              ROUND(OFFSET($P40,0,BD$13),15-13*ORÇAMENTO!$AF$7)/$H40*OFFSET(ORÇAMENTO!$X$15,ROW(BD40)-ROW(BD$15),0),
              ROUND(ROUND(OFFSET($P40,0,BD$13),15-13*ORÇAMENTO!$AF$7)*OFFSET(ORÇAMENTO!$W$15,ROW(BD40)-ROW(BD$15),0),15-13*ORÇAMENTO!$AF$11)),
         0)</f>
        <v>241.43</v>
      </c>
      <c r="BE40" s="352" t="n">
        <f aca="true">IF(AND($D40="Serviço",BE$12&lt;&gt;0,$H40&gt;0,OR(AUTOEVENTO&lt;&gt;"manual",$M40&lt;&gt;$A$15)),
        IF(Import.TipoArredondamento&lt;&gt;"TransfereGOV",
              ROUND(OFFSET($P40,0,BE$13),15-13*ORÇAMENTO!$AF$7)/$H40*OFFSET(ORÇAMENTO!$X$15,ROW(BE40)-ROW(BE$15),0),
              ROUND(ROUND(OFFSET($P40,0,BE$13),15-13*ORÇAMENTO!$AF$7)*OFFSET(ORÇAMENTO!$W$15,ROW(BE40)-ROW(BE$15),0),15-13*ORÇAMENTO!$AF$11)),
         0)</f>
        <v>241.43</v>
      </c>
      <c r="BF40" s="352" t="n">
        <f aca="true">IF(AND($D40="Serviço",BF$12&lt;&gt;0,$H40&gt;0,OR(AUTOEVENTO&lt;&gt;"manual",$M40&lt;&gt;$A$15)),
        IF(Import.TipoArredondamento&lt;&gt;"TransfereGOV",
              ROUND(OFFSET($P40,0,BF$13),15-13*ORÇAMENTO!$AF$7)/$H40*OFFSET(ORÇAMENTO!$X$15,ROW(BF40)-ROW(BF$15),0),
              ROUND(ROUND(OFFSET($P40,0,BF$13),15-13*ORÇAMENTO!$AF$7)*OFFSET(ORÇAMENTO!$W$15,ROW(BF40)-ROW(BF$15),0),15-13*ORÇAMENTO!$AF$11)),
         0)</f>
        <v>241.43</v>
      </c>
      <c r="BG40" s="352" t="n">
        <f aca="true">IF(AND($D40="Serviço",BG$12&lt;&gt;0,$H40&gt;0,OR(AUTOEVENTO&lt;&gt;"manual",$M40&lt;&gt;$A$15)),
        IF(Import.TipoArredondamento&lt;&gt;"TransfereGOV",
              ROUND(OFFSET($P40,0,BG$13),15-13*ORÇAMENTO!$AF$7)/$H40*OFFSET(ORÇAMENTO!$X$15,ROW(BG40)-ROW(BG$15),0),
              ROUND(ROUND(OFFSET($P40,0,BG$13),15-13*ORÇAMENTO!$AF$7)*OFFSET(ORÇAMENTO!$W$15,ROW(BG40)-ROW(BG$15),0),15-13*ORÇAMENTO!$AF$11)),
         0)</f>
        <v>241.43</v>
      </c>
      <c r="BH40" s="352" t="n">
        <f aca="true">IF(AND($D40="Serviço",BH$12&lt;&gt;0,$H40&gt;0,OR(AUTOEVENTO&lt;&gt;"manual",$M40&lt;&gt;$A$15)),
        IF(Import.TipoArredondamento&lt;&gt;"TransfereGOV",
              ROUND(OFFSET($P40,0,BH$13),15-13*ORÇAMENTO!$AF$7)/$H40*OFFSET(ORÇAMENTO!$X$15,ROW(BH40)-ROW(BH$15),0),
              ROUND(ROUND(OFFSET($P40,0,BH$13),15-13*ORÇAMENTO!$AF$7)*OFFSET(ORÇAMENTO!$W$15,ROW(BH40)-ROW(BH$15),0),15-13*ORÇAMENTO!$AF$11)),
         0)</f>
        <v>241.43</v>
      </c>
      <c r="BI40" s="352" t="n">
        <f aca="true">IF(AND($D40="Serviço",BI$12&lt;&gt;0,$H40&gt;0,OR(AUTOEVENTO&lt;&gt;"manual",$M40&lt;&gt;$A$15)),
        IF(Import.TipoArredondamento&lt;&gt;"TransfereGOV",
              ROUND(OFFSET($P40,0,BI$13),15-13*ORÇAMENTO!$AF$7)/$H40*OFFSET(ORÇAMENTO!$X$15,ROW(BI40)-ROW(BI$15),0),
              ROUND(ROUND(OFFSET($P40,0,BI$13),15-13*ORÇAMENTO!$AF$7)*OFFSET(ORÇAMENTO!$W$15,ROW(BI40)-ROW(BI$15),0),15-13*ORÇAMENTO!$AF$11)),
         0)</f>
        <v>241.43</v>
      </c>
      <c r="BJ40" s="352" t="n">
        <f aca="true">IF(AND($D40="Serviço",BJ$12&lt;&gt;0,$H40&gt;0,OR(AUTOEVENTO&lt;&gt;"manual",$M40&lt;&gt;$A$15)),
        IF(Import.TipoArredondamento&lt;&gt;"TransfereGOV",
              ROUND(OFFSET($P40,0,BJ$13),15-13*ORÇAMENTO!$AF$7)/$H40*OFFSET(ORÇAMENTO!$X$15,ROW(BJ40)-ROW(BJ$15),0),
              ROUND(ROUND(OFFSET($P40,0,BJ$13),15-13*ORÇAMENTO!$AF$7)*OFFSET(ORÇAMENTO!$W$15,ROW(BJ40)-ROW(BJ$15),0),15-13*ORÇAMENTO!$AF$11)),
         0)</f>
        <v>241.43</v>
      </c>
      <c r="BK40" s="352" t="n">
        <f aca="true">IF(AND($D40="Serviço",BK$12&lt;&gt;0,$H40&gt;0,OR(AUTOEVENTO&lt;&gt;"manual",$M40&lt;&gt;$A$15)),
        IF(Import.TipoArredondamento&lt;&gt;"TransfereGOV",
              ROUND(OFFSET($P40,0,BK$13),15-13*ORÇAMENTO!$AF$7)/$H40*OFFSET(ORÇAMENTO!$X$15,ROW(BK40)-ROW(BK$15),0),
              ROUND(ROUND(OFFSET($P40,0,BK$13),15-13*ORÇAMENTO!$AF$7)*OFFSET(ORÇAMENTO!$W$15,ROW(BK40)-ROW(BK$15),0),15-13*ORÇAMENTO!$AF$11)),
         0)</f>
        <v>241.43</v>
      </c>
      <c r="BL40" s="352" t="n">
        <f aca="true">IF(AND($D40="Serviço",BL$12&lt;&gt;0,$H40&gt;0,OR(AUTOEVENTO&lt;&gt;"manual",$M40&lt;&gt;$A$15)),
        IF(Import.TipoArredondamento&lt;&gt;"TransfereGOV",
              ROUND(OFFSET($P40,0,BL$13),15-13*ORÇAMENTO!$AF$7)/$H40*OFFSET(ORÇAMENTO!$X$15,ROW(BL40)-ROW(BL$15),0),
              ROUND(ROUND(OFFSET($P40,0,BL$13),15-13*ORÇAMENTO!$AF$7)*OFFSET(ORÇAMENTO!$W$15,ROW(BL40)-ROW(BL$15),0),15-13*ORÇAMENTO!$AF$11)),
         0)</f>
        <v>241.43</v>
      </c>
      <c r="BM40" s="352" t="n">
        <f aca="true">IF(AND($D40="Serviço",BM$12&lt;&gt;0,$H40&gt;0,OR(AUTOEVENTO&lt;&gt;"manual",$M40&lt;&gt;$A$15)),
        IF(Import.TipoArredondamento&lt;&gt;"TransfereGOV",
              ROUND(OFFSET($P40,0,BM$13),15-13*ORÇAMENTO!$AF$7)/$H40*OFFSET(ORÇAMENTO!$X$15,ROW(BM40)-ROW(BM$15),0),
              ROUND(ROUND(OFFSET($P40,0,BM$13),15-13*ORÇAMENTO!$AF$7)*OFFSET(ORÇAMENTO!$W$15,ROW(BM40)-ROW(BM$15),0),15-13*ORÇAMENTO!$AF$11)),
         0)</f>
        <v>241.43</v>
      </c>
      <c r="BN40" s="352" t="n">
        <f aca="true">IF(AND($D40="Serviço",BN$12&lt;&gt;0,$H40&gt;0,OR(AUTOEVENTO&lt;&gt;"manual",$M40&lt;&gt;$A$15)),
        IF(Import.TipoArredondamento&lt;&gt;"TransfereGOV",
              ROUND(OFFSET($P40,0,BN$13),15-13*ORÇAMENTO!$AF$7)/$H40*OFFSET(ORÇAMENTO!$X$15,ROW(BN40)-ROW(BN$15),0),
              ROUND(ROUND(OFFSET($P40,0,BN$13),15-13*ORÇAMENTO!$AF$7)*OFFSET(ORÇAMENTO!$W$15,ROW(BN40)-ROW(BN$15),0),15-13*ORÇAMENTO!$AF$11)),
         0)</f>
        <v>241.43</v>
      </c>
      <c r="BO40" s="352" t="n">
        <f aca="true">IF(AND($D40="Serviço",BO$12&lt;&gt;0,$H40&gt;0,OR(AUTOEVENTO&lt;&gt;"manual",$M40&lt;&gt;$A$15)),
        IF(Import.TipoArredondamento&lt;&gt;"TransfereGOV",
              ROUND(OFFSET($P40,0,BO$13),15-13*ORÇAMENTO!$AF$7)/$H40*OFFSET(ORÇAMENTO!$X$15,ROW(BO40)-ROW(BO$15),0),
              ROUND(ROUND(OFFSET($P40,0,BO$13),15-13*ORÇAMENTO!$AF$7)*OFFSET(ORÇAMENTO!$W$15,ROW(BO40)-ROW(BO$15),0),15-13*ORÇAMENTO!$AF$11)),
         0)</f>
        <v>241.43</v>
      </c>
      <c r="BP40" s="352" t="n">
        <f aca="true">IF(AND($D40="Serviço",BP$12&lt;&gt;0,$H40&gt;0,OR(AUTOEVENTO&lt;&gt;"manual",$M40&lt;&gt;$A$15)),
        IF(Import.TipoArredondamento&lt;&gt;"TransfereGOV",
              ROUND(OFFSET($P40,0,BP$13),15-13*ORÇAMENTO!$AF$7)/$H40*OFFSET(ORÇAMENTO!$X$15,ROW(BP40)-ROW(BP$15),0),
              ROUND(ROUND(OFFSET($P40,0,BP$13),15-13*ORÇAMENTO!$AF$7)*OFFSET(ORÇAMENTO!$W$15,ROW(BP40)-ROW(BP$15),0),15-13*ORÇAMENTO!$AF$11)),
         0)</f>
        <v>241.43</v>
      </c>
      <c r="BQ40" s="352" t="n">
        <f aca="true">IF(AND($D40="Serviço",BQ$12&lt;&gt;0,$H40&gt;0,OR(AUTOEVENTO&lt;&gt;"manual",$M40&lt;&gt;$A$15)),
        IF(Import.TipoArredondamento&lt;&gt;"TransfereGOV",
              ROUND(OFFSET($P40,0,BQ$13),15-13*ORÇAMENTO!$AF$7)/$H40*OFFSET(ORÇAMENTO!$X$15,ROW(BQ40)-ROW(BQ$15),0),
              ROUND(ROUND(OFFSET($P40,0,BQ$13),15-13*ORÇAMENTO!$AF$7)*OFFSET(ORÇAMENTO!$W$15,ROW(BQ40)-ROW(BQ$15),0),15-13*ORÇAMENTO!$AF$11)),
         0)</f>
        <v>0</v>
      </c>
      <c r="BS40" s="353" t="n">
        <f aca="true">IF(OR($D40&lt;&gt;"Serviço",AND(AUTOEVENTO="Manual",$M40=$A$15)),0,
         IF(OFFSET(CRONOPLE!$F$15,$M40-$A$15,BS$13)=0,10^12,OFFSET(CRONOPLE!$F$15,$M40-$A$15,BS$13)))</f>
        <v>1</v>
      </c>
      <c r="BT40" s="353" t="n">
        <f aca="true">IF(OR($D40&lt;&gt;"Serviço",AND(AUTOEVENTO="Manual",$M40=$A$15)),0,
         IF(OFFSET(CRONOPLE!$F$15,$M40-$A$15,BT$13)=0,10^12,OFFSET(CRONOPLE!$F$15,$M40-$A$15,BT$13)))</f>
        <v>2</v>
      </c>
      <c r="BU40" s="353" t="n">
        <f aca="true">IF(OR($D40&lt;&gt;"Serviço",AND(AUTOEVENTO="Manual",$M40=$A$15)),0,
         IF(OFFSET(CRONOPLE!$F$15,$M40-$A$15,BU$13)=0,10^12,OFFSET(CRONOPLE!$F$15,$M40-$A$15,BU$13)))</f>
        <v>3</v>
      </c>
      <c r="BV40" s="353" t="n">
        <f aca="true">IF(OR($D40&lt;&gt;"Serviço",AND(AUTOEVENTO="Manual",$M40=$A$15)),0,
         IF(OFFSET(CRONOPLE!$F$15,$M40-$A$15,BV$13)=0,10^12,OFFSET(CRONOPLE!$F$15,$M40-$A$15,BV$13)))</f>
        <v>4</v>
      </c>
      <c r="BW40" s="353" t="n">
        <f aca="true">IF(OR($D40&lt;&gt;"Serviço",AND(AUTOEVENTO="Manual",$M40=$A$15)),0,
         IF(OFFSET(CRONOPLE!$F$15,$M40-$A$15,BW$13)=0,10^12,OFFSET(CRONOPLE!$F$15,$M40-$A$15,BW$13)))</f>
        <v>5</v>
      </c>
      <c r="BX40" s="353" t="n">
        <f aca="true">IF(OR($D40&lt;&gt;"Serviço",AND(AUTOEVENTO="Manual",$M40=$A$15)),0,
         IF(OFFSET(CRONOPLE!$F$15,$M40-$A$15,BX$13)=0,10^12,OFFSET(CRONOPLE!$F$15,$M40-$A$15,BX$13)))</f>
        <v>6</v>
      </c>
      <c r="BY40" s="353" t="n">
        <f aca="true">IF(OR($D40&lt;&gt;"Serviço",AND(AUTOEVENTO="Manual",$M40=$A$15)),0,
         IF(OFFSET(CRONOPLE!$F$15,$M40-$A$15,BY$13)=0,10^12,OFFSET(CRONOPLE!$F$15,$M40-$A$15,BY$13)))</f>
        <v>7</v>
      </c>
      <c r="BZ40" s="353" t="n">
        <f aca="true">IF(OR($D40&lt;&gt;"Serviço",AND(AUTOEVENTO="Manual",$M40=$A$15)),0,
         IF(OFFSET(CRONOPLE!$F$15,$M40-$A$15,BZ$13)=0,10^12,OFFSET(CRONOPLE!$F$15,$M40-$A$15,BZ$13)))</f>
        <v>8</v>
      </c>
      <c r="CA40" s="353" t="n">
        <f aca="true">IF(OR($D40&lt;&gt;"Serviço",AND(AUTOEVENTO="Manual",$M40=$A$15)),0,
         IF(OFFSET(CRONOPLE!$F$15,$M40-$A$15,CA$13)=0,10^12,OFFSET(CRONOPLE!$F$15,$M40-$A$15,CA$13)))</f>
        <v>9</v>
      </c>
      <c r="CB40" s="353" t="n">
        <f aca="true">IF(OR($D40&lt;&gt;"Serviço",AND(AUTOEVENTO="Manual",$M40=$A$15)),0,
         IF(OFFSET(CRONOPLE!$F$15,$M40-$A$15,CB$13)=0,10^12,OFFSET(CRONOPLE!$F$15,$M40-$A$15,CB$13)))</f>
        <v>10</v>
      </c>
      <c r="CC40" s="353" t="n">
        <f aca="true">IF(OR($D40&lt;&gt;"Serviço",AND(AUTOEVENTO="Manual",$M40=$A$15)),0,
         IF(OFFSET(CRONOPLE!$F$15,$M40-$A$15,CC$13)=0,10^12,OFFSET(CRONOPLE!$F$15,$M40-$A$15,CC$13)))</f>
        <v>11</v>
      </c>
      <c r="CD40" s="353" t="n">
        <f aca="true">IF(OR($D40&lt;&gt;"Serviço",AND(AUTOEVENTO="Manual",$M40=$A$15)),0,
         IF(OFFSET(CRONOPLE!$F$15,$M40-$A$15,CD$13)=0,10^12,OFFSET(CRONOPLE!$F$15,$M40-$A$15,CD$13)))</f>
        <v>12</v>
      </c>
      <c r="CE40" s="353" t="n">
        <f aca="true">IF(OR($D40&lt;&gt;"Serviço",AND(AUTOEVENTO="Manual",$M40=$A$15)),0,
         IF(OFFSET(CRONOPLE!$F$15,$M40-$A$15,CE$13)=0,10^12,OFFSET(CRONOPLE!$F$15,$M40-$A$15,CE$13)))</f>
        <v>13</v>
      </c>
      <c r="CF40" s="353" t="n">
        <f aca="true">IF(OR($D40&lt;&gt;"Serviço",AND(AUTOEVENTO="Manual",$M40=$A$15)),0,
         IF(OFFSET(CRONOPLE!$F$15,$M40-$A$15,CF$13)=0,10^12,OFFSET(CRONOPLE!$F$15,$M40-$A$15,CF$13)))</f>
        <v>14</v>
      </c>
      <c r="CG40" s="353" t="n">
        <f aca="true">IF(OR($D40&lt;&gt;"Serviço",AND(AUTOEVENTO="Manual",$M40=$A$15)),0,
         IF(OFFSET(CRONOPLE!$F$15,$M40-$A$15,CG$13)=0,10^12,OFFSET(CRONOPLE!$F$15,$M40-$A$15,CG$13)))</f>
        <v>15</v>
      </c>
      <c r="CH40" s="353" t="n">
        <f aca="true">IF(OR($D40&lt;&gt;"Serviço",AND(AUTOEVENTO="Manual",$M40=$A$15)),0,
         IF(OFFSET(CRONOPLE!$F$15,$M40-$A$15,CH$13)=0,10^12,OFFSET(CRONOPLE!$F$15,$M40-$A$15,CH$13)))</f>
        <v>16</v>
      </c>
      <c r="CI40" s="353" t="n">
        <f aca="true">IF(OR($D40&lt;&gt;"Serviço",AND(AUTOEVENTO="Manual",$M40=$A$15)),0,
         IF(OFFSET(CRONOPLE!$F$15,$M40-$A$15,CI$13)=0,10^12,OFFSET(CRONOPLE!$F$15,$M40-$A$15,CI$13)))</f>
        <v>17</v>
      </c>
      <c r="CJ40" s="353" t="n">
        <f aca="true">IF(OR($D40&lt;&gt;"Serviço",AND(AUTOEVENTO="Manual",$M40=$A$15)),0,
         IF(OFFSET(CRONOPLE!$F$15,$M40-$A$15,CJ$13)=0,10^12,OFFSET(CRONOPLE!$F$15,$M40-$A$15,CJ$13)))</f>
        <v>18</v>
      </c>
      <c r="CK40" s="353" t="n">
        <f aca="true">IF(OR($D40&lt;&gt;"Serviço",AND(AUTOEVENTO="Manual",$M40=$A$15)),0,
         IF(OFFSET(CRONOPLE!$F$15,$M40-$A$15,CK$13)=0,10^12,OFFSET(CRONOPLE!$F$15,$M40-$A$15,CK$13)))</f>
        <v>19</v>
      </c>
      <c r="CL40" s="353" t="n">
        <f aca="true">IF(OR($D40&lt;&gt;"Serviço",AND(AUTOEVENTO="Manual",$M40=$A$15)),0,
         IF(OFFSET(CRONOPLE!$F$15,$M40-$A$15,CL$13)=0,10^12,OFFSET(CRONOPLE!$F$15,$M40-$A$15,CL$13)))</f>
        <v>20</v>
      </c>
      <c r="CM40" s="353" t="n">
        <f aca="true">IF(OR($D40&lt;&gt;"Serviço",AND(AUTOEVENTO="Manual",$M40=$A$15)),0,
         IF(OFFSET(CRONOPLE!$F$15,$M40-$A$15,CM$13)=0,10^12,OFFSET(CRONOPLE!$F$15,$M40-$A$15,CM$13)))</f>
        <v>21</v>
      </c>
      <c r="CN40" s="353" t="n">
        <f aca="true">IF(OR($D40&lt;&gt;"Serviço",AND(AUTOEVENTO="Manual",$M40=$A$15)),0,
         IF(OFFSET(CRONOPLE!$F$15,$M40-$A$15,CN$13)=0,10^12,OFFSET(CRONOPLE!$F$15,$M40-$A$15,CN$13)))</f>
        <v>22</v>
      </c>
      <c r="CO40" s="353" t="n">
        <f aca="true">IF(OR($D40&lt;&gt;"Serviço",AND(AUTOEVENTO="Manual",$M40=$A$15)),0,
         IF(OFFSET(CRONOPLE!$F$15,$M40-$A$15,CO$13)=0,10^12,OFFSET(CRONOPLE!$F$15,$M40-$A$15,CO$13)))</f>
        <v>23</v>
      </c>
      <c r="CP40" s="353" t="n">
        <f aca="true">IF(OR($D40&lt;&gt;"Serviço",AND(AUTOEVENTO="Manual",$M40=$A$15)),0,
         IF(OFFSET(CRONOPLE!$F$15,$M40-$A$15,CP$13)=0,10^12,OFFSET(CRONOPLE!$F$15,$M40-$A$15,CP$13)))</f>
        <v>24</v>
      </c>
      <c r="CQ40" s="353" t="n">
        <f aca="true">IF(OR($D40&lt;&gt;"Serviço",AND(AUTOEVENTO="Manual",$M40=$A$15)),0,
         IF(OFFSET(CRONOPLE!$F$15,$M40-$A$15,CQ$13)=0,10^12,OFFSET(CRONOPLE!$F$15,$M40-$A$15,CQ$13)))</f>
        <v>25</v>
      </c>
      <c r="CR40" s="353" t="n">
        <f aca="true">IF(OR($D40&lt;&gt;"Serviço",AND(AUTOEVENTO="Manual",$M40=$A$15)),0,
         IF(OFFSET(CRONOPLE!$F$15,$M40-$A$15,CR$13)=0,10^12,OFFSET(CRONOPLE!$F$15,$M40-$A$15,CR$13)))</f>
        <v>1000000000000</v>
      </c>
      <c r="CT40" s="354" t="n">
        <f aca="true">IF(OR($D40&lt;&gt;"Serviço",AND(AUTOEVENTO="Manual",$M40=$A$15),$M40&gt;(ROW(PLE.lastrow)-ROW(PLE.firstrow))),0,
           IF(OFFSET(PLE!$G$15,$M40-$A$15,CT$13)="",10^12,OFFSET(PLE!$G$15,$M40-$A$15,CT$13)))</f>
        <v>1000000000000</v>
      </c>
      <c r="CU40" s="354" t="n">
        <f aca="true">IF(OR($D40&lt;&gt;"Serviço",AND(AUTOEVENTO="Manual",$M40=$A$15),$M40&gt;(ROW(PLE.lastrow)-ROW(PLE.firstrow))),0,
           IF(OFFSET(PLE!$G$15,$M40-$A$15,CU$13)="",10^12,OFFSET(PLE!$G$15,$M40-$A$15,CU$13)))</f>
        <v>1000000000000</v>
      </c>
      <c r="CV40" s="354" t="n">
        <f aca="true">IF(OR($D40&lt;&gt;"Serviço",AND(AUTOEVENTO="Manual",$M40=$A$15),$M40&gt;(ROW(PLE.lastrow)-ROW(PLE.firstrow))),0,
           IF(OFFSET(PLE!$G$15,$M40-$A$15,CV$13)="",10^12,OFFSET(PLE!$G$15,$M40-$A$15,CV$13)))</f>
        <v>1000000000000</v>
      </c>
      <c r="CW40" s="354" t="n">
        <f aca="true">IF(OR($D40&lt;&gt;"Serviço",AND(AUTOEVENTO="Manual",$M40=$A$15),$M40&gt;(ROW(PLE.lastrow)-ROW(PLE.firstrow))),0,
           IF(OFFSET(PLE!$G$15,$M40-$A$15,CW$13)="",10^12,OFFSET(PLE!$G$15,$M40-$A$15,CW$13)))</f>
        <v>1000000000000</v>
      </c>
      <c r="CX40" s="354" t="n">
        <f aca="true">IF(OR($D40&lt;&gt;"Serviço",AND(AUTOEVENTO="Manual",$M40=$A$15),$M40&gt;(ROW(PLE.lastrow)-ROW(PLE.firstrow))),0,
           IF(OFFSET(PLE!$G$15,$M40-$A$15,CX$13)="",10^12,OFFSET(PLE!$G$15,$M40-$A$15,CX$13)))</f>
        <v>1000000000000</v>
      </c>
      <c r="CY40" s="354" t="n">
        <f aca="true">IF(OR($D40&lt;&gt;"Serviço",AND(AUTOEVENTO="Manual",$M40=$A$15),$M40&gt;(ROW(PLE.lastrow)-ROW(PLE.firstrow))),0,
           IF(OFFSET(PLE!$G$15,$M40-$A$15,CY$13)="",10^12,OFFSET(PLE!$G$15,$M40-$A$15,CY$13)))</f>
        <v>1000000000000</v>
      </c>
      <c r="CZ40" s="354" t="n">
        <f aca="true">IF(OR($D40&lt;&gt;"Serviço",AND(AUTOEVENTO="Manual",$M40=$A$15),$M40&gt;(ROW(PLE.lastrow)-ROW(PLE.firstrow))),0,
           IF(OFFSET(PLE!$G$15,$M40-$A$15,CZ$13)="",10^12,OFFSET(PLE!$G$15,$M40-$A$15,CZ$13)))</f>
        <v>1000000000000</v>
      </c>
      <c r="DA40" s="354" t="n">
        <f aca="true">IF(OR($D40&lt;&gt;"Serviço",AND(AUTOEVENTO="Manual",$M40=$A$15),$M40&gt;(ROW(PLE.lastrow)-ROW(PLE.firstrow))),0,
           IF(OFFSET(PLE!$G$15,$M40-$A$15,DA$13)="",10^12,OFFSET(PLE!$G$15,$M40-$A$15,DA$13)))</f>
        <v>1000000000000</v>
      </c>
      <c r="DB40" s="354" t="n">
        <f aca="true">IF(OR($D40&lt;&gt;"Serviço",AND(AUTOEVENTO="Manual",$M40=$A$15),$M40&gt;(ROW(PLE.lastrow)-ROW(PLE.firstrow))),0,
           IF(OFFSET(PLE!$G$15,$M40-$A$15,DB$13)="",10^12,OFFSET(PLE!$G$15,$M40-$A$15,DB$13)))</f>
        <v>1000000000000</v>
      </c>
      <c r="DC40" s="354" t="n">
        <f aca="true">IF(OR($D40&lt;&gt;"Serviço",AND(AUTOEVENTO="Manual",$M40=$A$15),$M40&gt;(ROW(PLE.lastrow)-ROW(PLE.firstrow))),0,
           IF(OFFSET(PLE!$G$15,$M40-$A$15,DC$13)="",10^12,OFFSET(PLE!$G$15,$M40-$A$15,DC$13)))</f>
        <v>1000000000000</v>
      </c>
      <c r="DD40" s="354" t="n">
        <f aca="true">IF(OR($D40&lt;&gt;"Serviço",AND(AUTOEVENTO="Manual",$M40=$A$15),$M40&gt;(ROW(PLE.lastrow)-ROW(PLE.firstrow))),0,
           IF(OFFSET(PLE!$G$15,$M40-$A$15,DD$13)="",10^12,OFFSET(PLE!$G$15,$M40-$A$15,DD$13)))</f>
        <v>1000000000000</v>
      </c>
      <c r="DE40" s="354" t="n">
        <f aca="true">IF(OR($D40&lt;&gt;"Serviço",AND(AUTOEVENTO="Manual",$M40=$A$15),$M40&gt;(ROW(PLE.lastrow)-ROW(PLE.firstrow))),0,
           IF(OFFSET(PLE!$G$15,$M40-$A$15,DE$13)="",10^12,OFFSET(PLE!$G$15,$M40-$A$15,DE$13)))</f>
        <v>1000000000000</v>
      </c>
      <c r="DF40" s="354" t="n">
        <f aca="true">IF(OR($D40&lt;&gt;"Serviço",AND(AUTOEVENTO="Manual",$M40=$A$15),$M40&gt;(ROW(PLE.lastrow)-ROW(PLE.firstrow))),0,
           IF(OFFSET(PLE!$G$15,$M40-$A$15,DF$13)="",10^12,OFFSET(PLE!$G$15,$M40-$A$15,DF$13)))</f>
        <v>1000000000000</v>
      </c>
      <c r="DG40" s="354" t="n">
        <f aca="true">IF(OR($D40&lt;&gt;"Serviço",AND(AUTOEVENTO="Manual",$M40=$A$15),$M40&gt;(ROW(PLE.lastrow)-ROW(PLE.firstrow))),0,
           IF(OFFSET(PLE!$G$15,$M40-$A$15,DG$13)="",10^12,OFFSET(PLE!$G$15,$M40-$A$15,DG$13)))</f>
        <v>1000000000000</v>
      </c>
      <c r="DH40" s="354" t="n">
        <f aca="true">IF(OR($D40&lt;&gt;"Serviço",AND(AUTOEVENTO="Manual",$M40=$A$15),$M40&gt;(ROW(PLE.lastrow)-ROW(PLE.firstrow))),0,
           IF(OFFSET(PLE!$G$15,$M40-$A$15,DH$13)="",10^12,OFFSET(PLE!$G$15,$M40-$A$15,DH$13)))</f>
        <v>1000000000000</v>
      </c>
      <c r="DI40" s="354" t="n">
        <f aca="true">IF(OR($D40&lt;&gt;"Serviço",AND(AUTOEVENTO="Manual",$M40=$A$15),$M40&gt;(ROW(PLE.lastrow)-ROW(PLE.firstrow))),0,
           IF(OFFSET(PLE!$G$15,$M40-$A$15,DI$13)="",10^12,OFFSET(PLE!$G$15,$M40-$A$15,DI$13)))</f>
        <v>1000000000000</v>
      </c>
      <c r="DJ40" s="354" t="n">
        <f aca="true">IF(OR($D40&lt;&gt;"Serviço",AND(AUTOEVENTO="Manual",$M40=$A$15),$M40&gt;(ROW(PLE.lastrow)-ROW(PLE.firstrow))),0,
           IF(OFFSET(PLE!$G$15,$M40-$A$15,DJ$13)="",10^12,OFFSET(PLE!$G$15,$M40-$A$15,DJ$13)))</f>
        <v>1000000000000</v>
      </c>
      <c r="DK40" s="354" t="n">
        <f aca="true">IF(OR($D40&lt;&gt;"Serviço",AND(AUTOEVENTO="Manual",$M40=$A$15),$M40&gt;(ROW(PLE.lastrow)-ROW(PLE.firstrow))),0,
           IF(OFFSET(PLE!$G$15,$M40-$A$15,DK$13)="",10^12,OFFSET(PLE!$G$15,$M40-$A$15,DK$13)))</f>
        <v>1000000000000</v>
      </c>
      <c r="DL40" s="354" t="n">
        <f aca="true">IF(OR($D40&lt;&gt;"Serviço",AND(AUTOEVENTO="Manual",$M40=$A$15),$M40&gt;(ROW(PLE.lastrow)-ROW(PLE.firstrow))),0,
           IF(OFFSET(PLE!$G$15,$M40-$A$15,DL$13)="",10^12,OFFSET(PLE!$G$15,$M40-$A$15,DL$13)))</f>
        <v>1000000000000</v>
      </c>
      <c r="DM40" s="354" t="n">
        <f aca="true">IF(OR($D40&lt;&gt;"Serviço",AND(AUTOEVENTO="Manual",$M40=$A$15),$M40&gt;(ROW(PLE.lastrow)-ROW(PLE.firstrow))),0,
           IF(OFFSET(PLE!$G$15,$M40-$A$15,DM$13)="",10^12,OFFSET(PLE!$G$15,$M40-$A$15,DM$13)))</f>
        <v>1000000000000</v>
      </c>
      <c r="DN40" s="354" t="n">
        <f aca="true">IF(OR($D40&lt;&gt;"Serviço",AND(AUTOEVENTO="Manual",$M40=$A$15),$M40&gt;(ROW(PLE.lastrow)-ROW(PLE.firstrow))),0,
           IF(OFFSET(PLE!$G$15,$M40-$A$15,DN$13)="",10^12,OFFSET(PLE!$G$15,$M40-$A$15,DN$13)))</f>
        <v>1000000000000</v>
      </c>
      <c r="DO40" s="354" t="n">
        <f aca="true">IF(OR($D40&lt;&gt;"Serviço",AND(AUTOEVENTO="Manual",$M40=$A$15),$M40&gt;(ROW(PLE.lastrow)-ROW(PLE.firstrow))),0,
           IF(OFFSET(PLE!$G$15,$M40-$A$15,DO$13)="",10^12,OFFSET(PLE!$G$15,$M40-$A$15,DO$13)))</f>
        <v>1000000000000</v>
      </c>
      <c r="DP40" s="354" t="n">
        <f aca="true">IF(OR($D40&lt;&gt;"Serviço",AND(AUTOEVENTO="Manual",$M40=$A$15),$M40&gt;(ROW(PLE.lastrow)-ROW(PLE.firstrow))),0,
           IF(OFFSET(PLE!$G$15,$M40-$A$15,DP$13)="",10^12,OFFSET(PLE!$G$15,$M40-$A$15,DP$13)))</f>
        <v>1000000000000</v>
      </c>
      <c r="DQ40" s="354" t="n">
        <f aca="true">IF(OR($D40&lt;&gt;"Serviço",AND(AUTOEVENTO="Manual",$M40=$A$15),$M40&gt;(ROW(PLE.lastrow)-ROW(PLE.firstrow))),0,
           IF(OFFSET(PLE!$G$15,$M40-$A$15,DQ$13)="",10^12,OFFSET(PLE!$G$15,$M40-$A$15,DQ$13)))</f>
        <v>1000000000000</v>
      </c>
      <c r="DR40" s="354" t="n">
        <f aca="true">IF(OR($D40&lt;&gt;"Serviço",AND(AUTOEVENTO="Manual",$M40=$A$15),$M40&gt;(ROW(PLE.lastrow)-ROW(PLE.firstrow))),0,
           IF(OFFSET(PLE!$G$15,$M40-$A$15,DR$13)="",10^12,OFFSET(PLE!$G$15,$M40-$A$15,DR$13)))</f>
        <v>1000000000000</v>
      </c>
      <c r="DS40" s="354" t="n">
        <f aca="true">IF(OR($D40&lt;&gt;"Serviço",AND(AUTOEVENTO="Manual",$M40=$A$15),$M40&gt;(ROW(PLE.lastrow)-ROW(PLE.firstrow))),0,
           IF(OFFSET(PLE!$G$15,$M40-$A$15,DS$13)="",10^12,OFFSET(PLE!$G$15,$M40-$A$15,DS$13)))</f>
        <v>1000000000000</v>
      </c>
    </row>
    <row r="41" customFormat="false" ht="23.85" hidden="false" customHeight="false" outlineLevel="0" collapsed="false">
      <c r="A41" s="50" t="str">
        <f aca="true">IFERROR(IF(AUTOEVENTO="Manual",IF(K41&lt;&gt;"",MIN(VALUE(LEFT(K41,FIND(".",K41)-1)),COUNTA(EVENTOS.Lista)),0),IF(OR($B41&gt;AUTOEVENTO,$B41="S",$B41=0),SUBSTITUTE(OFFSET($A41,-1,0),IF($D41="Serviço",".",""),""),ROW(A41)-ROW($A$15)&amp;".")),0)</f>
        <v>24</v>
      </c>
      <c r="B41" s="50" t="str">
        <f aca="true">OFFSET(ORÇAMENTO!C$15,ROW(B41)-ROW(B$15),0)</f>
        <v>S</v>
      </c>
      <c r="C41" s="50" t="str">
        <f aca="true">OFFSET(ORÇAMENTO!L$15,ROW(C41)-ROW(C$15),0)</f>
        <v>F</v>
      </c>
      <c r="D41" s="201" t="str">
        <f aca="true">OFFSET(ORÇAMENTO!N$15,ROW(D41)-ROW(D$15),0)</f>
        <v>Serviço</v>
      </c>
      <c r="E41" s="202" t="str">
        <f aca="true">OFFSET(ORÇAMENTO!O$15,ROW(E41)-ROW(E$15),0)</f>
        <v>1.6.2.</v>
      </c>
      <c r="F41" s="341" t="str">
        <f aca="true">OFFSET(ORÇAMENTO!R$15,ROW(F41)-ROW(F$15),0)</f>
        <v>LASTRO DE CONCRETO MAGRO, APLICADO EM BLOCOS DE COROAMENTO OU SAPATAS, ESPESSURA DE 5 CM.AF_01/2024</v>
      </c>
      <c r="G41" s="342" t="str">
        <f aca="true">IF($D41&lt;&gt;"Serviço","",OFFSET(ORÇAMENTO!S$15,ROW(G41)-ROW(G$15),0))</f>
        <v>M2</v>
      </c>
      <c r="H41" s="207" t="n">
        <f aca="true">IF($D41&lt;&gt;"Serviço",0,IF(ACOMPANHAMENTO="BM",ROUND(OFFSET(ORÇAMENTO!AJ$15,ROW(H41)-ROW(H$15),0),15-13*ORÇAMENTO!$AF$7),SUMPRODUCT(($Q$1:$AQ$1=1)*ROUND($Q41:$AQ41,15-13*ORÇAMENTO!$AF$7))))</f>
        <v>206.5</v>
      </c>
      <c r="I41" s="343" t="s">
        <v>930</v>
      </c>
      <c r="J41" s="344" t="e">
        <f aca="false">IF(OR(B41&lt;&gt;"S",CÁLCULO.FrentesPreenchidas=0),"",IF(AND(ACOMPANHAMENTO="PLE",AUTOEVENTO="Manual",OR(H41&gt;0,ORÇAMENTO!AC41="QUANT."),OR(K41="",M41=0,N41="")),"►",IF(AND(ACOMPANHAMENTO="PLE",ORÇAMENTO!AC41="QUANT."),"►►",IF(AND(COUNTIF($P$11:$AQ$11,"▼")=0,H41&gt;0,I41=""),"◄",""))))</f>
        <v>#NAME?</v>
      </c>
      <c r="K41" s="345"/>
      <c r="L41" s="346" t="s">
        <v>876</v>
      </c>
      <c r="M41" s="347" t="n">
        <f aca="true">IF($D41&lt;&gt;"Serviço","",
          IF(AUTOEVENTO="manual",$A41,
                IF(ISERROR(MATCH($A41,$A$15:OFFSET($A41,-1,0),0)),MAX($M$15:OFFSET(M41,-1,0))+1,
                      INDEX($M$15:OFFSET(M41,-1,0),MATCH($A41,$A$15:OFFSET($A41,-1,0),0)))))</f>
        <v>4</v>
      </c>
      <c r="N41" s="348" t="str">
        <f aca="true">IF($D41&lt;&gt;"Serviço","",
         IF(AUTOEVENTO="Manual",
                IF($A41=0,"&lt;-- defina o número do agrupador",
                       OFFSET(EVENTOS!$D$15,$A41-$A$15,0)),
                OFFSET($F$15,$A41,0)))</f>
        <v>BALDRAMES</v>
      </c>
      <c r="O41" s="349"/>
      <c r="Q41" s="349" t="n">
        <v>8.2575</v>
      </c>
      <c r="R41" s="350" t="n">
        <f aca="false">Q41</f>
        <v>8.2575</v>
      </c>
      <c r="S41" s="350" t="n">
        <f aca="false">R41</f>
        <v>8.2575</v>
      </c>
      <c r="T41" s="350" t="n">
        <f aca="false">S41</f>
        <v>8.2575</v>
      </c>
      <c r="U41" s="350" t="n">
        <f aca="false">T41</f>
        <v>8.2575</v>
      </c>
      <c r="V41" s="350" t="n">
        <f aca="false">U41</f>
        <v>8.2575</v>
      </c>
      <c r="W41" s="350" t="n">
        <f aca="false">V41</f>
        <v>8.2575</v>
      </c>
      <c r="X41" s="350" t="n">
        <f aca="false">W41</f>
        <v>8.2575</v>
      </c>
      <c r="Y41" s="350" t="n">
        <f aca="false">X41</f>
        <v>8.2575</v>
      </c>
      <c r="Z41" s="351" t="n">
        <f aca="false">Y41</f>
        <v>8.2575</v>
      </c>
      <c r="AA41" s="350" t="n">
        <f aca="false">Z41</f>
        <v>8.2575</v>
      </c>
      <c r="AB41" s="350" t="n">
        <f aca="false">AA41</f>
        <v>8.2575</v>
      </c>
      <c r="AC41" s="350" t="n">
        <f aca="false">AB41</f>
        <v>8.2575</v>
      </c>
      <c r="AD41" s="350" t="n">
        <f aca="false">AC41</f>
        <v>8.2575</v>
      </c>
      <c r="AE41" s="350" t="n">
        <f aca="false">AD41</f>
        <v>8.2575</v>
      </c>
      <c r="AF41" s="350" t="n">
        <f aca="false">AE41</f>
        <v>8.2575</v>
      </c>
      <c r="AG41" s="350" t="n">
        <f aca="false">AF41</f>
        <v>8.2575</v>
      </c>
      <c r="AH41" s="351" t="n">
        <f aca="false">AG41</f>
        <v>8.2575</v>
      </c>
      <c r="AI41" s="350" t="n">
        <f aca="false">AH41</f>
        <v>8.2575</v>
      </c>
      <c r="AJ41" s="350" t="n">
        <f aca="false">AI41</f>
        <v>8.2575</v>
      </c>
      <c r="AK41" s="350" t="n">
        <f aca="false">AJ41</f>
        <v>8.2575</v>
      </c>
      <c r="AL41" s="350" t="n">
        <f aca="false">AK41</f>
        <v>8.2575</v>
      </c>
      <c r="AM41" s="350" t="n">
        <f aca="false">AL41</f>
        <v>8.2575</v>
      </c>
      <c r="AN41" s="350" t="n">
        <f aca="false">AM41</f>
        <v>8.2575</v>
      </c>
      <c r="AO41" s="350" t="n">
        <f aca="false">AN41</f>
        <v>8.2575</v>
      </c>
      <c r="AP41" s="351" t="n">
        <v>53.86</v>
      </c>
      <c r="AR41" s="352" t="n">
        <f aca="true">IF(AND($D41="Serviço",AR$12&lt;&gt;0,$H41&gt;0,OR(AUTOEVENTO&lt;&gt;"manual",$M41&lt;&gt;$A$15)),
        IF(Import.TipoArredondamento&lt;&gt;"TransfereGOV",
              ROUND(OFFSET($P41,0,AR$13),15-13*ORÇAMENTO!$AF$7)/$H41*OFFSET(ORÇAMENTO!$X$15,ROW(AR41)-ROW(AR$15),0),
              ROUND(ROUND(OFFSET($P41,0,AR$13),15-13*ORÇAMENTO!$AF$7)*OFFSET(ORÇAMENTO!$W$15,ROW(AR41)-ROW(AR$15),0),15-13*ORÇAMENTO!$AF$11)),
         0)</f>
        <v>466.19</v>
      </c>
      <c r="AS41" s="352" t="n">
        <f aca="true">IF(AND($D41="Serviço",AS$12&lt;&gt;0,$H41&gt;0,OR(AUTOEVENTO&lt;&gt;"manual",$M41&lt;&gt;$A$15)),
        IF(Import.TipoArredondamento&lt;&gt;"TransfereGOV",
              ROUND(OFFSET($P41,0,AS$13),15-13*ORÇAMENTO!$AF$7)/$H41*OFFSET(ORÇAMENTO!$X$15,ROW(AS41)-ROW(AS$15),0),
              ROUND(ROUND(OFFSET($P41,0,AS$13),15-13*ORÇAMENTO!$AF$7)*OFFSET(ORÇAMENTO!$W$15,ROW(AS41)-ROW(AS$15),0),15-13*ORÇAMENTO!$AF$11)),
         0)</f>
        <v>466.19</v>
      </c>
      <c r="AT41" s="352" t="n">
        <f aca="true">IF(AND($D41="Serviço",AT$12&lt;&gt;0,$H41&gt;0,OR(AUTOEVENTO&lt;&gt;"manual",$M41&lt;&gt;$A$15)),
        IF(Import.TipoArredondamento&lt;&gt;"TransfereGOV",
              ROUND(OFFSET($P41,0,AT$13),15-13*ORÇAMENTO!$AF$7)/$H41*OFFSET(ORÇAMENTO!$X$15,ROW(AT41)-ROW(AT$15),0),
              ROUND(ROUND(OFFSET($P41,0,AT$13),15-13*ORÇAMENTO!$AF$7)*OFFSET(ORÇAMENTO!$W$15,ROW(AT41)-ROW(AT$15),0),15-13*ORÇAMENTO!$AF$11)),
         0)</f>
        <v>466.19</v>
      </c>
      <c r="AU41" s="352" t="n">
        <f aca="true">IF(AND($D41="Serviço",AU$12&lt;&gt;0,$H41&gt;0,OR(AUTOEVENTO&lt;&gt;"manual",$M41&lt;&gt;$A$15)),
        IF(Import.TipoArredondamento&lt;&gt;"TransfereGOV",
              ROUND(OFFSET($P41,0,AU$13),15-13*ORÇAMENTO!$AF$7)/$H41*OFFSET(ORÇAMENTO!$X$15,ROW(AU41)-ROW(AU$15),0),
              ROUND(ROUND(OFFSET($P41,0,AU$13),15-13*ORÇAMENTO!$AF$7)*OFFSET(ORÇAMENTO!$W$15,ROW(AU41)-ROW(AU$15),0),15-13*ORÇAMENTO!$AF$11)),
         0)</f>
        <v>466.19</v>
      </c>
      <c r="AV41" s="352" t="n">
        <f aca="true">IF(AND($D41="Serviço",AV$12&lt;&gt;0,$H41&gt;0,OR(AUTOEVENTO&lt;&gt;"manual",$M41&lt;&gt;$A$15)),
        IF(Import.TipoArredondamento&lt;&gt;"TransfereGOV",
              ROUND(OFFSET($P41,0,AV$13),15-13*ORÇAMENTO!$AF$7)/$H41*OFFSET(ORÇAMENTO!$X$15,ROW(AV41)-ROW(AV$15),0),
              ROUND(ROUND(OFFSET($P41,0,AV$13),15-13*ORÇAMENTO!$AF$7)*OFFSET(ORÇAMENTO!$W$15,ROW(AV41)-ROW(AV$15),0),15-13*ORÇAMENTO!$AF$11)),
         0)</f>
        <v>466.19</v>
      </c>
      <c r="AW41" s="352" t="n">
        <f aca="true">IF(AND($D41="Serviço",AW$12&lt;&gt;0,$H41&gt;0,OR(AUTOEVENTO&lt;&gt;"manual",$M41&lt;&gt;$A$15)),
        IF(Import.TipoArredondamento&lt;&gt;"TransfereGOV",
              ROUND(OFFSET($P41,0,AW$13),15-13*ORÇAMENTO!$AF$7)/$H41*OFFSET(ORÇAMENTO!$X$15,ROW(AW41)-ROW(AW$15),0),
              ROUND(ROUND(OFFSET($P41,0,AW$13),15-13*ORÇAMENTO!$AF$7)*OFFSET(ORÇAMENTO!$W$15,ROW(AW41)-ROW(AW$15),0),15-13*ORÇAMENTO!$AF$11)),
         0)</f>
        <v>466.19</v>
      </c>
      <c r="AX41" s="352" t="n">
        <f aca="true">IF(AND($D41="Serviço",AX$12&lt;&gt;0,$H41&gt;0,OR(AUTOEVENTO&lt;&gt;"manual",$M41&lt;&gt;$A$15)),
        IF(Import.TipoArredondamento&lt;&gt;"TransfereGOV",
              ROUND(OFFSET($P41,0,AX$13),15-13*ORÇAMENTO!$AF$7)/$H41*OFFSET(ORÇAMENTO!$X$15,ROW(AX41)-ROW(AX$15),0),
              ROUND(ROUND(OFFSET($P41,0,AX$13),15-13*ORÇAMENTO!$AF$7)*OFFSET(ORÇAMENTO!$W$15,ROW(AX41)-ROW(AX$15),0),15-13*ORÇAMENTO!$AF$11)),
         0)</f>
        <v>466.19</v>
      </c>
      <c r="AY41" s="352" t="n">
        <f aca="true">IF(AND($D41="Serviço",AY$12&lt;&gt;0,$H41&gt;0,OR(AUTOEVENTO&lt;&gt;"manual",$M41&lt;&gt;$A$15)),
        IF(Import.TipoArredondamento&lt;&gt;"TransfereGOV",
              ROUND(OFFSET($P41,0,AY$13),15-13*ORÇAMENTO!$AF$7)/$H41*OFFSET(ORÇAMENTO!$X$15,ROW(AY41)-ROW(AY$15),0),
              ROUND(ROUND(OFFSET($P41,0,AY$13),15-13*ORÇAMENTO!$AF$7)*OFFSET(ORÇAMENTO!$W$15,ROW(AY41)-ROW(AY$15),0),15-13*ORÇAMENTO!$AF$11)),
         0)</f>
        <v>466.19</v>
      </c>
      <c r="AZ41" s="352" t="n">
        <f aca="true">IF(AND($D41="Serviço",AZ$12&lt;&gt;0,$H41&gt;0,OR(AUTOEVENTO&lt;&gt;"manual",$M41&lt;&gt;$A$15)),
        IF(Import.TipoArredondamento&lt;&gt;"TransfereGOV",
              ROUND(OFFSET($P41,0,AZ$13),15-13*ORÇAMENTO!$AF$7)/$H41*OFFSET(ORÇAMENTO!$X$15,ROW(AZ41)-ROW(AZ$15),0),
              ROUND(ROUND(OFFSET($P41,0,AZ$13),15-13*ORÇAMENTO!$AF$7)*OFFSET(ORÇAMENTO!$W$15,ROW(AZ41)-ROW(AZ$15),0),15-13*ORÇAMENTO!$AF$11)),
         0)</f>
        <v>466.19</v>
      </c>
      <c r="BA41" s="352" t="n">
        <f aca="true">IF(AND($D41="Serviço",BA$12&lt;&gt;0,$H41&gt;0,OR(AUTOEVENTO&lt;&gt;"manual",$M41&lt;&gt;$A$15)),
        IF(Import.TipoArredondamento&lt;&gt;"TransfereGOV",
              ROUND(OFFSET($P41,0,BA$13),15-13*ORÇAMENTO!$AF$7)/$H41*OFFSET(ORÇAMENTO!$X$15,ROW(BA41)-ROW(BA$15),0),
              ROUND(ROUND(OFFSET($P41,0,BA$13),15-13*ORÇAMENTO!$AF$7)*OFFSET(ORÇAMENTO!$W$15,ROW(BA41)-ROW(BA$15),0),15-13*ORÇAMENTO!$AF$11)),
         0)</f>
        <v>466.19</v>
      </c>
      <c r="BB41" s="352" t="n">
        <f aca="true">IF(AND($D41="Serviço",BB$12&lt;&gt;0,$H41&gt;0,OR(AUTOEVENTO&lt;&gt;"manual",$M41&lt;&gt;$A$15)),
        IF(Import.TipoArredondamento&lt;&gt;"TransfereGOV",
              ROUND(OFFSET($P41,0,BB$13),15-13*ORÇAMENTO!$AF$7)/$H41*OFFSET(ORÇAMENTO!$X$15,ROW(BB41)-ROW(BB$15),0),
              ROUND(ROUND(OFFSET($P41,0,BB$13),15-13*ORÇAMENTO!$AF$7)*OFFSET(ORÇAMENTO!$W$15,ROW(BB41)-ROW(BB$15),0),15-13*ORÇAMENTO!$AF$11)),
         0)</f>
        <v>466.19</v>
      </c>
      <c r="BC41" s="352" t="n">
        <f aca="true">IF(AND($D41="Serviço",BC$12&lt;&gt;0,$H41&gt;0,OR(AUTOEVENTO&lt;&gt;"manual",$M41&lt;&gt;$A$15)),
        IF(Import.TipoArredondamento&lt;&gt;"TransfereGOV",
              ROUND(OFFSET($P41,0,BC$13),15-13*ORÇAMENTO!$AF$7)/$H41*OFFSET(ORÇAMENTO!$X$15,ROW(BC41)-ROW(BC$15),0),
              ROUND(ROUND(OFFSET($P41,0,BC$13),15-13*ORÇAMENTO!$AF$7)*OFFSET(ORÇAMENTO!$W$15,ROW(BC41)-ROW(BC$15),0),15-13*ORÇAMENTO!$AF$11)),
         0)</f>
        <v>466.19</v>
      </c>
      <c r="BD41" s="352" t="n">
        <f aca="true">IF(AND($D41="Serviço",BD$12&lt;&gt;0,$H41&gt;0,OR(AUTOEVENTO&lt;&gt;"manual",$M41&lt;&gt;$A$15)),
        IF(Import.TipoArredondamento&lt;&gt;"TransfereGOV",
              ROUND(OFFSET($P41,0,BD$13),15-13*ORÇAMENTO!$AF$7)/$H41*OFFSET(ORÇAMENTO!$X$15,ROW(BD41)-ROW(BD$15),0),
              ROUND(ROUND(OFFSET($P41,0,BD$13),15-13*ORÇAMENTO!$AF$7)*OFFSET(ORÇAMENTO!$W$15,ROW(BD41)-ROW(BD$15),0),15-13*ORÇAMENTO!$AF$11)),
         0)</f>
        <v>466.19</v>
      </c>
      <c r="BE41" s="352" t="n">
        <f aca="true">IF(AND($D41="Serviço",BE$12&lt;&gt;0,$H41&gt;0,OR(AUTOEVENTO&lt;&gt;"manual",$M41&lt;&gt;$A$15)),
        IF(Import.TipoArredondamento&lt;&gt;"TransfereGOV",
              ROUND(OFFSET($P41,0,BE$13),15-13*ORÇAMENTO!$AF$7)/$H41*OFFSET(ORÇAMENTO!$X$15,ROW(BE41)-ROW(BE$15),0),
              ROUND(ROUND(OFFSET($P41,0,BE$13),15-13*ORÇAMENTO!$AF$7)*OFFSET(ORÇAMENTO!$W$15,ROW(BE41)-ROW(BE$15),0),15-13*ORÇAMENTO!$AF$11)),
         0)</f>
        <v>466.19</v>
      </c>
      <c r="BF41" s="352" t="n">
        <f aca="true">IF(AND($D41="Serviço",BF$12&lt;&gt;0,$H41&gt;0,OR(AUTOEVENTO&lt;&gt;"manual",$M41&lt;&gt;$A$15)),
        IF(Import.TipoArredondamento&lt;&gt;"TransfereGOV",
              ROUND(OFFSET($P41,0,BF$13),15-13*ORÇAMENTO!$AF$7)/$H41*OFFSET(ORÇAMENTO!$X$15,ROW(BF41)-ROW(BF$15),0),
              ROUND(ROUND(OFFSET($P41,0,BF$13),15-13*ORÇAMENTO!$AF$7)*OFFSET(ORÇAMENTO!$W$15,ROW(BF41)-ROW(BF$15),0),15-13*ORÇAMENTO!$AF$11)),
         0)</f>
        <v>466.19</v>
      </c>
      <c r="BG41" s="352" t="n">
        <f aca="true">IF(AND($D41="Serviço",BG$12&lt;&gt;0,$H41&gt;0,OR(AUTOEVENTO&lt;&gt;"manual",$M41&lt;&gt;$A$15)),
        IF(Import.TipoArredondamento&lt;&gt;"TransfereGOV",
              ROUND(OFFSET($P41,0,BG$13),15-13*ORÇAMENTO!$AF$7)/$H41*OFFSET(ORÇAMENTO!$X$15,ROW(BG41)-ROW(BG$15),0),
              ROUND(ROUND(OFFSET($P41,0,BG$13),15-13*ORÇAMENTO!$AF$7)*OFFSET(ORÇAMENTO!$W$15,ROW(BG41)-ROW(BG$15),0),15-13*ORÇAMENTO!$AF$11)),
         0)</f>
        <v>466.19</v>
      </c>
      <c r="BH41" s="352" t="n">
        <f aca="true">IF(AND($D41="Serviço",BH$12&lt;&gt;0,$H41&gt;0,OR(AUTOEVENTO&lt;&gt;"manual",$M41&lt;&gt;$A$15)),
        IF(Import.TipoArredondamento&lt;&gt;"TransfereGOV",
              ROUND(OFFSET($P41,0,BH$13),15-13*ORÇAMENTO!$AF$7)/$H41*OFFSET(ORÇAMENTO!$X$15,ROW(BH41)-ROW(BH$15),0),
              ROUND(ROUND(OFFSET($P41,0,BH$13),15-13*ORÇAMENTO!$AF$7)*OFFSET(ORÇAMENTO!$W$15,ROW(BH41)-ROW(BH$15),0),15-13*ORÇAMENTO!$AF$11)),
         0)</f>
        <v>466.19</v>
      </c>
      <c r="BI41" s="352" t="n">
        <f aca="true">IF(AND($D41="Serviço",BI$12&lt;&gt;0,$H41&gt;0,OR(AUTOEVENTO&lt;&gt;"manual",$M41&lt;&gt;$A$15)),
        IF(Import.TipoArredondamento&lt;&gt;"TransfereGOV",
              ROUND(OFFSET($P41,0,BI$13),15-13*ORÇAMENTO!$AF$7)/$H41*OFFSET(ORÇAMENTO!$X$15,ROW(BI41)-ROW(BI$15),0),
              ROUND(ROUND(OFFSET($P41,0,BI$13),15-13*ORÇAMENTO!$AF$7)*OFFSET(ORÇAMENTO!$W$15,ROW(BI41)-ROW(BI$15),0),15-13*ORÇAMENTO!$AF$11)),
         0)</f>
        <v>466.19</v>
      </c>
      <c r="BJ41" s="352" t="n">
        <f aca="true">IF(AND($D41="Serviço",BJ$12&lt;&gt;0,$H41&gt;0,OR(AUTOEVENTO&lt;&gt;"manual",$M41&lt;&gt;$A$15)),
        IF(Import.TipoArredondamento&lt;&gt;"TransfereGOV",
              ROUND(OFFSET($P41,0,BJ$13),15-13*ORÇAMENTO!$AF$7)/$H41*OFFSET(ORÇAMENTO!$X$15,ROW(BJ41)-ROW(BJ$15),0),
              ROUND(ROUND(OFFSET($P41,0,BJ$13),15-13*ORÇAMENTO!$AF$7)*OFFSET(ORÇAMENTO!$W$15,ROW(BJ41)-ROW(BJ$15),0),15-13*ORÇAMENTO!$AF$11)),
         0)</f>
        <v>466.19</v>
      </c>
      <c r="BK41" s="352" t="n">
        <f aca="true">IF(AND($D41="Serviço",BK$12&lt;&gt;0,$H41&gt;0,OR(AUTOEVENTO&lt;&gt;"manual",$M41&lt;&gt;$A$15)),
        IF(Import.TipoArredondamento&lt;&gt;"TransfereGOV",
              ROUND(OFFSET($P41,0,BK$13),15-13*ORÇAMENTO!$AF$7)/$H41*OFFSET(ORÇAMENTO!$X$15,ROW(BK41)-ROW(BK$15),0),
              ROUND(ROUND(OFFSET($P41,0,BK$13),15-13*ORÇAMENTO!$AF$7)*OFFSET(ORÇAMENTO!$W$15,ROW(BK41)-ROW(BK$15),0),15-13*ORÇAMENTO!$AF$11)),
         0)</f>
        <v>466.19</v>
      </c>
      <c r="BL41" s="352" t="n">
        <f aca="true">IF(AND($D41="Serviço",BL$12&lt;&gt;0,$H41&gt;0,OR(AUTOEVENTO&lt;&gt;"manual",$M41&lt;&gt;$A$15)),
        IF(Import.TipoArredondamento&lt;&gt;"TransfereGOV",
              ROUND(OFFSET($P41,0,BL$13),15-13*ORÇAMENTO!$AF$7)/$H41*OFFSET(ORÇAMENTO!$X$15,ROW(BL41)-ROW(BL$15),0),
              ROUND(ROUND(OFFSET($P41,0,BL$13),15-13*ORÇAMENTO!$AF$7)*OFFSET(ORÇAMENTO!$W$15,ROW(BL41)-ROW(BL$15),0),15-13*ORÇAMENTO!$AF$11)),
         0)</f>
        <v>466.19</v>
      </c>
      <c r="BM41" s="352" t="n">
        <f aca="true">IF(AND($D41="Serviço",BM$12&lt;&gt;0,$H41&gt;0,OR(AUTOEVENTO&lt;&gt;"manual",$M41&lt;&gt;$A$15)),
        IF(Import.TipoArredondamento&lt;&gt;"TransfereGOV",
              ROUND(OFFSET($P41,0,BM$13),15-13*ORÇAMENTO!$AF$7)/$H41*OFFSET(ORÇAMENTO!$X$15,ROW(BM41)-ROW(BM$15),0),
              ROUND(ROUND(OFFSET($P41,0,BM$13),15-13*ORÇAMENTO!$AF$7)*OFFSET(ORÇAMENTO!$W$15,ROW(BM41)-ROW(BM$15),0),15-13*ORÇAMENTO!$AF$11)),
         0)</f>
        <v>466.19</v>
      </c>
      <c r="BN41" s="352" t="n">
        <f aca="true">IF(AND($D41="Serviço",BN$12&lt;&gt;0,$H41&gt;0,OR(AUTOEVENTO&lt;&gt;"manual",$M41&lt;&gt;$A$15)),
        IF(Import.TipoArredondamento&lt;&gt;"TransfereGOV",
              ROUND(OFFSET($P41,0,BN$13),15-13*ORÇAMENTO!$AF$7)/$H41*OFFSET(ORÇAMENTO!$X$15,ROW(BN41)-ROW(BN$15),0),
              ROUND(ROUND(OFFSET($P41,0,BN$13),15-13*ORÇAMENTO!$AF$7)*OFFSET(ORÇAMENTO!$W$15,ROW(BN41)-ROW(BN$15),0),15-13*ORÇAMENTO!$AF$11)),
         0)</f>
        <v>466.19</v>
      </c>
      <c r="BO41" s="352" t="n">
        <f aca="true">IF(AND($D41="Serviço",BO$12&lt;&gt;0,$H41&gt;0,OR(AUTOEVENTO&lt;&gt;"manual",$M41&lt;&gt;$A$15)),
        IF(Import.TipoArredondamento&lt;&gt;"TransfereGOV",
              ROUND(OFFSET($P41,0,BO$13),15-13*ORÇAMENTO!$AF$7)/$H41*OFFSET(ORÇAMENTO!$X$15,ROW(BO41)-ROW(BO$15),0),
              ROUND(ROUND(OFFSET($P41,0,BO$13),15-13*ORÇAMENTO!$AF$7)*OFFSET(ORÇAMENTO!$W$15,ROW(BO41)-ROW(BO$15),0),15-13*ORÇAMENTO!$AF$11)),
         0)</f>
        <v>466.19</v>
      </c>
      <c r="BP41" s="352" t="n">
        <f aca="true">IF(AND($D41="Serviço",BP$12&lt;&gt;0,$H41&gt;0,OR(AUTOEVENTO&lt;&gt;"manual",$M41&lt;&gt;$A$15)),
        IF(Import.TipoArredondamento&lt;&gt;"TransfereGOV",
              ROUND(OFFSET($P41,0,BP$13),15-13*ORÇAMENTO!$AF$7)/$H41*OFFSET(ORÇAMENTO!$X$15,ROW(BP41)-ROW(BP$15),0),
              ROUND(ROUND(OFFSET($P41,0,BP$13),15-13*ORÇAMENTO!$AF$7)*OFFSET(ORÇAMENTO!$W$15,ROW(BP41)-ROW(BP$15),0),15-13*ORÇAMENTO!$AF$11)),
         0)</f>
        <v>466.19</v>
      </c>
      <c r="BQ41" s="352" t="n">
        <f aca="true">IF(AND($D41="Serviço",BQ$12&lt;&gt;0,$H41&gt;0,OR(AUTOEVENTO&lt;&gt;"manual",$M41&lt;&gt;$A$15)),
        IF(Import.TipoArredondamento&lt;&gt;"TransfereGOV",
              ROUND(OFFSET($P41,0,BQ$13),15-13*ORÇAMENTO!$AF$7)/$H41*OFFSET(ORÇAMENTO!$X$15,ROW(BQ41)-ROW(BQ$15),0),
              ROUND(ROUND(OFFSET($P41,0,BQ$13),15-13*ORÇAMENTO!$AF$7)*OFFSET(ORÇAMENTO!$W$15,ROW(BQ41)-ROW(BQ$15),0),15-13*ORÇAMENTO!$AF$11)),
         0)</f>
        <v>0</v>
      </c>
      <c r="BS41" s="353" t="n">
        <f aca="true">IF(OR($D41&lt;&gt;"Serviço",AND(AUTOEVENTO="Manual",$M41=$A$15)),0,
         IF(OFFSET(CRONOPLE!$F$15,$M41-$A$15,BS$13)=0,10^12,OFFSET(CRONOPLE!$F$15,$M41-$A$15,BS$13)))</f>
        <v>1</v>
      </c>
      <c r="BT41" s="353" t="n">
        <f aca="true">IF(OR($D41&lt;&gt;"Serviço",AND(AUTOEVENTO="Manual",$M41=$A$15)),0,
         IF(OFFSET(CRONOPLE!$F$15,$M41-$A$15,BT$13)=0,10^12,OFFSET(CRONOPLE!$F$15,$M41-$A$15,BT$13)))</f>
        <v>2</v>
      </c>
      <c r="BU41" s="353" t="n">
        <f aca="true">IF(OR($D41&lt;&gt;"Serviço",AND(AUTOEVENTO="Manual",$M41=$A$15)),0,
         IF(OFFSET(CRONOPLE!$F$15,$M41-$A$15,BU$13)=0,10^12,OFFSET(CRONOPLE!$F$15,$M41-$A$15,BU$13)))</f>
        <v>3</v>
      </c>
      <c r="BV41" s="353" t="n">
        <f aca="true">IF(OR($D41&lt;&gt;"Serviço",AND(AUTOEVENTO="Manual",$M41=$A$15)),0,
         IF(OFFSET(CRONOPLE!$F$15,$M41-$A$15,BV$13)=0,10^12,OFFSET(CRONOPLE!$F$15,$M41-$A$15,BV$13)))</f>
        <v>4</v>
      </c>
      <c r="BW41" s="353" t="n">
        <f aca="true">IF(OR($D41&lt;&gt;"Serviço",AND(AUTOEVENTO="Manual",$M41=$A$15)),0,
         IF(OFFSET(CRONOPLE!$F$15,$M41-$A$15,BW$13)=0,10^12,OFFSET(CRONOPLE!$F$15,$M41-$A$15,BW$13)))</f>
        <v>5</v>
      </c>
      <c r="BX41" s="353" t="n">
        <f aca="true">IF(OR($D41&lt;&gt;"Serviço",AND(AUTOEVENTO="Manual",$M41=$A$15)),0,
         IF(OFFSET(CRONOPLE!$F$15,$M41-$A$15,BX$13)=0,10^12,OFFSET(CRONOPLE!$F$15,$M41-$A$15,BX$13)))</f>
        <v>6</v>
      </c>
      <c r="BY41" s="353" t="n">
        <f aca="true">IF(OR($D41&lt;&gt;"Serviço",AND(AUTOEVENTO="Manual",$M41=$A$15)),0,
         IF(OFFSET(CRONOPLE!$F$15,$M41-$A$15,BY$13)=0,10^12,OFFSET(CRONOPLE!$F$15,$M41-$A$15,BY$13)))</f>
        <v>7</v>
      </c>
      <c r="BZ41" s="353" t="n">
        <f aca="true">IF(OR($D41&lt;&gt;"Serviço",AND(AUTOEVENTO="Manual",$M41=$A$15)),0,
         IF(OFFSET(CRONOPLE!$F$15,$M41-$A$15,BZ$13)=0,10^12,OFFSET(CRONOPLE!$F$15,$M41-$A$15,BZ$13)))</f>
        <v>8</v>
      </c>
      <c r="CA41" s="353" t="n">
        <f aca="true">IF(OR($D41&lt;&gt;"Serviço",AND(AUTOEVENTO="Manual",$M41=$A$15)),0,
         IF(OFFSET(CRONOPLE!$F$15,$M41-$A$15,CA$13)=0,10^12,OFFSET(CRONOPLE!$F$15,$M41-$A$15,CA$13)))</f>
        <v>9</v>
      </c>
      <c r="CB41" s="353" t="n">
        <f aca="true">IF(OR($D41&lt;&gt;"Serviço",AND(AUTOEVENTO="Manual",$M41=$A$15)),0,
         IF(OFFSET(CRONOPLE!$F$15,$M41-$A$15,CB$13)=0,10^12,OFFSET(CRONOPLE!$F$15,$M41-$A$15,CB$13)))</f>
        <v>10</v>
      </c>
      <c r="CC41" s="353" t="n">
        <f aca="true">IF(OR($D41&lt;&gt;"Serviço",AND(AUTOEVENTO="Manual",$M41=$A$15)),0,
         IF(OFFSET(CRONOPLE!$F$15,$M41-$A$15,CC$13)=0,10^12,OFFSET(CRONOPLE!$F$15,$M41-$A$15,CC$13)))</f>
        <v>11</v>
      </c>
      <c r="CD41" s="353" t="n">
        <f aca="true">IF(OR($D41&lt;&gt;"Serviço",AND(AUTOEVENTO="Manual",$M41=$A$15)),0,
         IF(OFFSET(CRONOPLE!$F$15,$M41-$A$15,CD$13)=0,10^12,OFFSET(CRONOPLE!$F$15,$M41-$A$15,CD$13)))</f>
        <v>12</v>
      </c>
      <c r="CE41" s="353" t="n">
        <f aca="true">IF(OR($D41&lt;&gt;"Serviço",AND(AUTOEVENTO="Manual",$M41=$A$15)),0,
         IF(OFFSET(CRONOPLE!$F$15,$M41-$A$15,CE$13)=0,10^12,OFFSET(CRONOPLE!$F$15,$M41-$A$15,CE$13)))</f>
        <v>13</v>
      </c>
      <c r="CF41" s="353" t="n">
        <f aca="true">IF(OR($D41&lt;&gt;"Serviço",AND(AUTOEVENTO="Manual",$M41=$A$15)),0,
         IF(OFFSET(CRONOPLE!$F$15,$M41-$A$15,CF$13)=0,10^12,OFFSET(CRONOPLE!$F$15,$M41-$A$15,CF$13)))</f>
        <v>14</v>
      </c>
      <c r="CG41" s="353" t="n">
        <f aca="true">IF(OR($D41&lt;&gt;"Serviço",AND(AUTOEVENTO="Manual",$M41=$A$15)),0,
         IF(OFFSET(CRONOPLE!$F$15,$M41-$A$15,CG$13)=0,10^12,OFFSET(CRONOPLE!$F$15,$M41-$A$15,CG$13)))</f>
        <v>15</v>
      </c>
      <c r="CH41" s="353" t="n">
        <f aca="true">IF(OR($D41&lt;&gt;"Serviço",AND(AUTOEVENTO="Manual",$M41=$A$15)),0,
         IF(OFFSET(CRONOPLE!$F$15,$M41-$A$15,CH$13)=0,10^12,OFFSET(CRONOPLE!$F$15,$M41-$A$15,CH$13)))</f>
        <v>16</v>
      </c>
      <c r="CI41" s="353" t="n">
        <f aca="true">IF(OR($D41&lt;&gt;"Serviço",AND(AUTOEVENTO="Manual",$M41=$A$15)),0,
         IF(OFFSET(CRONOPLE!$F$15,$M41-$A$15,CI$13)=0,10^12,OFFSET(CRONOPLE!$F$15,$M41-$A$15,CI$13)))</f>
        <v>17</v>
      </c>
      <c r="CJ41" s="353" t="n">
        <f aca="true">IF(OR($D41&lt;&gt;"Serviço",AND(AUTOEVENTO="Manual",$M41=$A$15)),0,
         IF(OFFSET(CRONOPLE!$F$15,$M41-$A$15,CJ$13)=0,10^12,OFFSET(CRONOPLE!$F$15,$M41-$A$15,CJ$13)))</f>
        <v>18</v>
      </c>
      <c r="CK41" s="353" t="n">
        <f aca="true">IF(OR($D41&lt;&gt;"Serviço",AND(AUTOEVENTO="Manual",$M41=$A$15)),0,
         IF(OFFSET(CRONOPLE!$F$15,$M41-$A$15,CK$13)=0,10^12,OFFSET(CRONOPLE!$F$15,$M41-$A$15,CK$13)))</f>
        <v>19</v>
      </c>
      <c r="CL41" s="353" t="n">
        <f aca="true">IF(OR($D41&lt;&gt;"Serviço",AND(AUTOEVENTO="Manual",$M41=$A$15)),0,
         IF(OFFSET(CRONOPLE!$F$15,$M41-$A$15,CL$13)=0,10^12,OFFSET(CRONOPLE!$F$15,$M41-$A$15,CL$13)))</f>
        <v>20</v>
      </c>
      <c r="CM41" s="353" t="n">
        <f aca="true">IF(OR($D41&lt;&gt;"Serviço",AND(AUTOEVENTO="Manual",$M41=$A$15)),0,
         IF(OFFSET(CRONOPLE!$F$15,$M41-$A$15,CM$13)=0,10^12,OFFSET(CRONOPLE!$F$15,$M41-$A$15,CM$13)))</f>
        <v>21</v>
      </c>
      <c r="CN41" s="353" t="n">
        <f aca="true">IF(OR($D41&lt;&gt;"Serviço",AND(AUTOEVENTO="Manual",$M41=$A$15)),0,
         IF(OFFSET(CRONOPLE!$F$15,$M41-$A$15,CN$13)=0,10^12,OFFSET(CRONOPLE!$F$15,$M41-$A$15,CN$13)))</f>
        <v>22</v>
      </c>
      <c r="CO41" s="353" t="n">
        <f aca="true">IF(OR($D41&lt;&gt;"Serviço",AND(AUTOEVENTO="Manual",$M41=$A$15)),0,
         IF(OFFSET(CRONOPLE!$F$15,$M41-$A$15,CO$13)=0,10^12,OFFSET(CRONOPLE!$F$15,$M41-$A$15,CO$13)))</f>
        <v>23</v>
      </c>
      <c r="CP41" s="353" t="n">
        <f aca="true">IF(OR($D41&lt;&gt;"Serviço",AND(AUTOEVENTO="Manual",$M41=$A$15)),0,
         IF(OFFSET(CRONOPLE!$F$15,$M41-$A$15,CP$13)=0,10^12,OFFSET(CRONOPLE!$F$15,$M41-$A$15,CP$13)))</f>
        <v>24</v>
      </c>
      <c r="CQ41" s="353" t="n">
        <f aca="true">IF(OR($D41&lt;&gt;"Serviço",AND(AUTOEVENTO="Manual",$M41=$A$15)),0,
         IF(OFFSET(CRONOPLE!$F$15,$M41-$A$15,CQ$13)=0,10^12,OFFSET(CRONOPLE!$F$15,$M41-$A$15,CQ$13)))</f>
        <v>25</v>
      </c>
      <c r="CR41" s="353" t="n">
        <f aca="true">IF(OR($D41&lt;&gt;"Serviço",AND(AUTOEVENTO="Manual",$M41=$A$15)),0,
         IF(OFFSET(CRONOPLE!$F$15,$M41-$A$15,CR$13)=0,10^12,OFFSET(CRONOPLE!$F$15,$M41-$A$15,CR$13)))</f>
        <v>1000000000000</v>
      </c>
      <c r="CT41" s="354" t="n">
        <f aca="true">IF(OR($D41&lt;&gt;"Serviço",AND(AUTOEVENTO="Manual",$M41=$A$15),$M41&gt;(ROW(PLE.lastrow)-ROW(PLE.firstrow))),0,
           IF(OFFSET(PLE!$G$15,$M41-$A$15,CT$13)="",10^12,OFFSET(PLE!$G$15,$M41-$A$15,CT$13)))</f>
        <v>1000000000000</v>
      </c>
      <c r="CU41" s="354" t="n">
        <f aca="true">IF(OR($D41&lt;&gt;"Serviço",AND(AUTOEVENTO="Manual",$M41=$A$15),$M41&gt;(ROW(PLE.lastrow)-ROW(PLE.firstrow))),0,
           IF(OFFSET(PLE!$G$15,$M41-$A$15,CU$13)="",10^12,OFFSET(PLE!$G$15,$M41-$A$15,CU$13)))</f>
        <v>1000000000000</v>
      </c>
      <c r="CV41" s="354" t="n">
        <f aca="true">IF(OR($D41&lt;&gt;"Serviço",AND(AUTOEVENTO="Manual",$M41=$A$15),$M41&gt;(ROW(PLE.lastrow)-ROW(PLE.firstrow))),0,
           IF(OFFSET(PLE!$G$15,$M41-$A$15,CV$13)="",10^12,OFFSET(PLE!$G$15,$M41-$A$15,CV$13)))</f>
        <v>1000000000000</v>
      </c>
      <c r="CW41" s="354" t="n">
        <f aca="true">IF(OR($D41&lt;&gt;"Serviço",AND(AUTOEVENTO="Manual",$M41=$A$15),$M41&gt;(ROW(PLE.lastrow)-ROW(PLE.firstrow))),0,
           IF(OFFSET(PLE!$G$15,$M41-$A$15,CW$13)="",10^12,OFFSET(PLE!$G$15,$M41-$A$15,CW$13)))</f>
        <v>1000000000000</v>
      </c>
      <c r="CX41" s="354" t="n">
        <f aca="true">IF(OR($D41&lt;&gt;"Serviço",AND(AUTOEVENTO="Manual",$M41=$A$15),$M41&gt;(ROW(PLE.lastrow)-ROW(PLE.firstrow))),0,
           IF(OFFSET(PLE!$G$15,$M41-$A$15,CX$13)="",10^12,OFFSET(PLE!$G$15,$M41-$A$15,CX$13)))</f>
        <v>1000000000000</v>
      </c>
      <c r="CY41" s="354" t="n">
        <f aca="true">IF(OR($D41&lt;&gt;"Serviço",AND(AUTOEVENTO="Manual",$M41=$A$15),$M41&gt;(ROW(PLE.lastrow)-ROW(PLE.firstrow))),0,
           IF(OFFSET(PLE!$G$15,$M41-$A$15,CY$13)="",10^12,OFFSET(PLE!$G$15,$M41-$A$15,CY$13)))</f>
        <v>1000000000000</v>
      </c>
      <c r="CZ41" s="354" t="n">
        <f aca="true">IF(OR($D41&lt;&gt;"Serviço",AND(AUTOEVENTO="Manual",$M41=$A$15),$M41&gt;(ROW(PLE.lastrow)-ROW(PLE.firstrow))),0,
           IF(OFFSET(PLE!$G$15,$M41-$A$15,CZ$13)="",10^12,OFFSET(PLE!$G$15,$M41-$A$15,CZ$13)))</f>
        <v>1000000000000</v>
      </c>
      <c r="DA41" s="354" t="n">
        <f aca="true">IF(OR($D41&lt;&gt;"Serviço",AND(AUTOEVENTO="Manual",$M41=$A$15),$M41&gt;(ROW(PLE.lastrow)-ROW(PLE.firstrow))),0,
           IF(OFFSET(PLE!$G$15,$M41-$A$15,DA$13)="",10^12,OFFSET(PLE!$G$15,$M41-$A$15,DA$13)))</f>
        <v>1000000000000</v>
      </c>
      <c r="DB41" s="354" t="n">
        <f aca="true">IF(OR($D41&lt;&gt;"Serviço",AND(AUTOEVENTO="Manual",$M41=$A$15),$M41&gt;(ROW(PLE.lastrow)-ROW(PLE.firstrow))),0,
           IF(OFFSET(PLE!$G$15,$M41-$A$15,DB$13)="",10^12,OFFSET(PLE!$G$15,$M41-$A$15,DB$13)))</f>
        <v>1000000000000</v>
      </c>
      <c r="DC41" s="354" t="n">
        <f aca="true">IF(OR($D41&lt;&gt;"Serviço",AND(AUTOEVENTO="Manual",$M41=$A$15),$M41&gt;(ROW(PLE.lastrow)-ROW(PLE.firstrow))),0,
           IF(OFFSET(PLE!$G$15,$M41-$A$15,DC$13)="",10^12,OFFSET(PLE!$G$15,$M41-$A$15,DC$13)))</f>
        <v>1000000000000</v>
      </c>
      <c r="DD41" s="354" t="n">
        <f aca="true">IF(OR($D41&lt;&gt;"Serviço",AND(AUTOEVENTO="Manual",$M41=$A$15),$M41&gt;(ROW(PLE.lastrow)-ROW(PLE.firstrow))),0,
           IF(OFFSET(PLE!$G$15,$M41-$A$15,DD$13)="",10^12,OFFSET(PLE!$G$15,$M41-$A$15,DD$13)))</f>
        <v>1000000000000</v>
      </c>
      <c r="DE41" s="354" t="n">
        <f aca="true">IF(OR($D41&lt;&gt;"Serviço",AND(AUTOEVENTO="Manual",$M41=$A$15),$M41&gt;(ROW(PLE.lastrow)-ROW(PLE.firstrow))),0,
           IF(OFFSET(PLE!$G$15,$M41-$A$15,DE$13)="",10^12,OFFSET(PLE!$G$15,$M41-$A$15,DE$13)))</f>
        <v>1000000000000</v>
      </c>
      <c r="DF41" s="354" t="n">
        <f aca="true">IF(OR($D41&lt;&gt;"Serviço",AND(AUTOEVENTO="Manual",$M41=$A$15),$M41&gt;(ROW(PLE.lastrow)-ROW(PLE.firstrow))),0,
           IF(OFFSET(PLE!$G$15,$M41-$A$15,DF$13)="",10^12,OFFSET(PLE!$G$15,$M41-$A$15,DF$13)))</f>
        <v>1000000000000</v>
      </c>
      <c r="DG41" s="354" t="n">
        <f aca="true">IF(OR($D41&lt;&gt;"Serviço",AND(AUTOEVENTO="Manual",$M41=$A$15),$M41&gt;(ROW(PLE.lastrow)-ROW(PLE.firstrow))),0,
           IF(OFFSET(PLE!$G$15,$M41-$A$15,DG$13)="",10^12,OFFSET(PLE!$G$15,$M41-$A$15,DG$13)))</f>
        <v>1000000000000</v>
      </c>
      <c r="DH41" s="354" t="n">
        <f aca="true">IF(OR($D41&lt;&gt;"Serviço",AND(AUTOEVENTO="Manual",$M41=$A$15),$M41&gt;(ROW(PLE.lastrow)-ROW(PLE.firstrow))),0,
           IF(OFFSET(PLE!$G$15,$M41-$A$15,DH$13)="",10^12,OFFSET(PLE!$G$15,$M41-$A$15,DH$13)))</f>
        <v>1000000000000</v>
      </c>
      <c r="DI41" s="354" t="n">
        <f aca="true">IF(OR($D41&lt;&gt;"Serviço",AND(AUTOEVENTO="Manual",$M41=$A$15),$M41&gt;(ROW(PLE.lastrow)-ROW(PLE.firstrow))),0,
           IF(OFFSET(PLE!$G$15,$M41-$A$15,DI$13)="",10^12,OFFSET(PLE!$G$15,$M41-$A$15,DI$13)))</f>
        <v>1000000000000</v>
      </c>
      <c r="DJ41" s="354" t="n">
        <f aca="true">IF(OR($D41&lt;&gt;"Serviço",AND(AUTOEVENTO="Manual",$M41=$A$15),$M41&gt;(ROW(PLE.lastrow)-ROW(PLE.firstrow))),0,
           IF(OFFSET(PLE!$G$15,$M41-$A$15,DJ$13)="",10^12,OFFSET(PLE!$G$15,$M41-$A$15,DJ$13)))</f>
        <v>1000000000000</v>
      </c>
      <c r="DK41" s="354" t="n">
        <f aca="true">IF(OR($D41&lt;&gt;"Serviço",AND(AUTOEVENTO="Manual",$M41=$A$15),$M41&gt;(ROW(PLE.lastrow)-ROW(PLE.firstrow))),0,
           IF(OFFSET(PLE!$G$15,$M41-$A$15,DK$13)="",10^12,OFFSET(PLE!$G$15,$M41-$A$15,DK$13)))</f>
        <v>1000000000000</v>
      </c>
      <c r="DL41" s="354" t="n">
        <f aca="true">IF(OR($D41&lt;&gt;"Serviço",AND(AUTOEVENTO="Manual",$M41=$A$15),$M41&gt;(ROW(PLE.lastrow)-ROW(PLE.firstrow))),0,
           IF(OFFSET(PLE!$G$15,$M41-$A$15,DL$13)="",10^12,OFFSET(PLE!$G$15,$M41-$A$15,DL$13)))</f>
        <v>1000000000000</v>
      </c>
      <c r="DM41" s="354" t="n">
        <f aca="true">IF(OR($D41&lt;&gt;"Serviço",AND(AUTOEVENTO="Manual",$M41=$A$15),$M41&gt;(ROW(PLE.lastrow)-ROW(PLE.firstrow))),0,
           IF(OFFSET(PLE!$G$15,$M41-$A$15,DM$13)="",10^12,OFFSET(PLE!$G$15,$M41-$A$15,DM$13)))</f>
        <v>1000000000000</v>
      </c>
      <c r="DN41" s="354" t="n">
        <f aca="true">IF(OR($D41&lt;&gt;"Serviço",AND(AUTOEVENTO="Manual",$M41=$A$15),$M41&gt;(ROW(PLE.lastrow)-ROW(PLE.firstrow))),0,
           IF(OFFSET(PLE!$G$15,$M41-$A$15,DN$13)="",10^12,OFFSET(PLE!$G$15,$M41-$A$15,DN$13)))</f>
        <v>1000000000000</v>
      </c>
      <c r="DO41" s="354" t="n">
        <f aca="true">IF(OR($D41&lt;&gt;"Serviço",AND(AUTOEVENTO="Manual",$M41=$A$15),$M41&gt;(ROW(PLE.lastrow)-ROW(PLE.firstrow))),0,
           IF(OFFSET(PLE!$G$15,$M41-$A$15,DO$13)="",10^12,OFFSET(PLE!$G$15,$M41-$A$15,DO$13)))</f>
        <v>1000000000000</v>
      </c>
      <c r="DP41" s="354" t="n">
        <f aca="true">IF(OR($D41&lt;&gt;"Serviço",AND(AUTOEVENTO="Manual",$M41=$A$15),$M41&gt;(ROW(PLE.lastrow)-ROW(PLE.firstrow))),0,
           IF(OFFSET(PLE!$G$15,$M41-$A$15,DP$13)="",10^12,OFFSET(PLE!$G$15,$M41-$A$15,DP$13)))</f>
        <v>1000000000000</v>
      </c>
      <c r="DQ41" s="354" t="n">
        <f aca="true">IF(OR($D41&lt;&gt;"Serviço",AND(AUTOEVENTO="Manual",$M41=$A$15),$M41&gt;(ROW(PLE.lastrow)-ROW(PLE.firstrow))),0,
           IF(OFFSET(PLE!$G$15,$M41-$A$15,DQ$13)="",10^12,OFFSET(PLE!$G$15,$M41-$A$15,DQ$13)))</f>
        <v>1000000000000</v>
      </c>
      <c r="DR41" s="354" t="n">
        <f aca="true">IF(OR($D41&lt;&gt;"Serviço",AND(AUTOEVENTO="Manual",$M41=$A$15),$M41&gt;(ROW(PLE.lastrow)-ROW(PLE.firstrow))),0,
           IF(OFFSET(PLE!$G$15,$M41-$A$15,DR$13)="",10^12,OFFSET(PLE!$G$15,$M41-$A$15,DR$13)))</f>
        <v>1000000000000</v>
      </c>
      <c r="DS41" s="354" t="n">
        <f aca="true">IF(OR($D41&lt;&gt;"Serviço",AND(AUTOEVENTO="Manual",$M41=$A$15),$M41&gt;(ROW(PLE.lastrow)-ROW(PLE.firstrow))),0,
           IF(OFFSET(PLE!$G$15,$M41-$A$15,DS$13)="",10^12,OFFSET(PLE!$G$15,$M41-$A$15,DS$13)))</f>
        <v>1000000000000</v>
      </c>
    </row>
    <row r="42" customFormat="false" ht="23.85" hidden="false" customHeight="false" outlineLevel="0" collapsed="false">
      <c r="A42" s="50" t="str">
        <f aca="true">IFERROR(IF(AUTOEVENTO="Manual",IF(K42&lt;&gt;"",MIN(VALUE(LEFT(K42,FIND(".",K42)-1)),COUNTA(EVENTOS.Lista)),0),IF(OR($B42&gt;AUTOEVENTO,$B42="S",$B42=0),SUBSTITUTE(OFFSET($A42,-1,0),IF($D42="Serviço",".",""),""),ROW(A42)-ROW($A$15)&amp;".")),0)</f>
        <v>24</v>
      </c>
      <c r="B42" s="50" t="str">
        <f aca="true">OFFSET(ORÇAMENTO!C$15,ROW(B42)-ROW(B$15),0)</f>
        <v>S</v>
      </c>
      <c r="C42" s="50" t="str">
        <f aca="true">OFFSET(ORÇAMENTO!L$15,ROW(C42)-ROW(C$15),0)</f>
        <v>F</v>
      </c>
      <c r="D42" s="201" t="str">
        <f aca="true">OFFSET(ORÇAMENTO!N$15,ROW(D42)-ROW(D$15),0)</f>
        <v>Serviço</v>
      </c>
      <c r="E42" s="202" t="str">
        <f aca="true">OFFSET(ORÇAMENTO!O$15,ROW(E42)-ROW(E$15),0)</f>
        <v>1.6.3.</v>
      </c>
      <c r="F42" s="341" t="str">
        <f aca="true">OFFSET(ORÇAMENTO!R$15,ROW(F42)-ROW(F$15),0)</f>
        <v>ARMAÇÃO DE SAPATA ISOLADA, VIGA BALDRAME E SAPATA CORRIDA UTILIZANDO AÇO CA-60 DE 5 MM -MONTAGEM. AF_01/2024</v>
      </c>
      <c r="G42" s="342" t="str">
        <f aca="true">IF($D42&lt;&gt;"Serviço","",OFFSET(ORÇAMENTO!S$15,ROW(G42)-ROW(G$15),0))</f>
        <v>KG</v>
      </c>
      <c r="H42" s="207" t="n">
        <f aca="true">IF($D42&lt;&gt;"Serviço",0,IF(ACOMPANHAMENTO="BM",ROUND(OFFSET(ORÇAMENTO!AJ$15,ROW(H42)-ROW(H$15),0),15-13*ORÇAMENTO!$AF$7),SUMPRODUCT(($Q$1:$AQ$1=1)*ROUND($Q42:$AQ42,15-13*ORÇAMENTO!$AF$7))))</f>
        <v>1172.5</v>
      </c>
      <c r="I42" s="343" t="s">
        <v>931</v>
      </c>
      <c r="J42" s="344" t="e">
        <f aca="false">IF(OR(B42&lt;&gt;"S",CÁLCULO.FrentesPreenchidas=0),"",IF(AND(ACOMPANHAMENTO="PLE",AUTOEVENTO="Manual",OR(H42&gt;0,ORÇAMENTO!AC42="QUANT."),OR(K42="",M42=0,N42="")),"►",IF(AND(ACOMPANHAMENTO="PLE",ORÇAMENTO!AC42="QUANT."),"►►",IF(AND(COUNTIF($P$11:$AQ$11,"▼")=0,H42&gt;0,I42=""),"◄",""))))</f>
        <v>#NAME?</v>
      </c>
      <c r="K42" s="345"/>
      <c r="L42" s="346" t="s">
        <v>876</v>
      </c>
      <c r="M42" s="347" t="n">
        <f aca="true">IF($D42&lt;&gt;"Serviço","",
          IF(AUTOEVENTO="manual",$A42,
                IF(ISERROR(MATCH($A42,$A$15:OFFSET($A42,-1,0),0)),MAX($M$15:OFFSET(M42,-1,0))+1,
                      INDEX($M$15:OFFSET(M42,-1,0),MATCH($A42,$A$15:OFFSET($A42,-1,0),0)))))</f>
        <v>4</v>
      </c>
      <c r="N42" s="348" t="str">
        <f aca="true">IF($D42&lt;&gt;"Serviço","",
         IF(AUTOEVENTO="Manual",
                IF($A42=0,"&lt;-- defina o número do agrupador",
                       OFFSET(EVENTOS!$D$15,$A42-$A$15,0)),
                OFFSET($F$15,$A42,0)))</f>
        <v>BALDRAMES</v>
      </c>
      <c r="O42" s="349"/>
      <c r="Q42" s="349" t="n">
        <v>46.9</v>
      </c>
      <c r="R42" s="350" t="n">
        <f aca="false">Q42</f>
        <v>46.9</v>
      </c>
      <c r="S42" s="350" t="n">
        <f aca="false">R42</f>
        <v>46.9</v>
      </c>
      <c r="T42" s="350" t="n">
        <f aca="false">S42</f>
        <v>46.9</v>
      </c>
      <c r="U42" s="350" t="n">
        <f aca="false">T42</f>
        <v>46.9</v>
      </c>
      <c r="V42" s="350" t="n">
        <f aca="false">U42</f>
        <v>46.9</v>
      </c>
      <c r="W42" s="350" t="n">
        <f aca="false">V42</f>
        <v>46.9</v>
      </c>
      <c r="X42" s="350" t="n">
        <f aca="false">W42</f>
        <v>46.9</v>
      </c>
      <c r="Y42" s="350" t="n">
        <f aca="false">X42</f>
        <v>46.9</v>
      </c>
      <c r="Z42" s="351" t="n">
        <f aca="false">Y42</f>
        <v>46.9</v>
      </c>
      <c r="AA42" s="350" t="n">
        <f aca="false">Z42</f>
        <v>46.9</v>
      </c>
      <c r="AB42" s="350" t="n">
        <f aca="false">AA42</f>
        <v>46.9</v>
      </c>
      <c r="AC42" s="350" t="n">
        <f aca="false">AB42</f>
        <v>46.9</v>
      </c>
      <c r="AD42" s="350" t="n">
        <f aca="false">AC42</f>
        <v>46.9</v>
      </c>
      <c r="AE42" s="350" t="n">
        <f aca="false">AD42</f>
        <v>46.9</v>
      </c>
      <c r="AF42" s="350" t="n">
        <f aca="false">AE42</f>
        <v>46.9</v>
      </c>
      <c r="AG42" s="350" t="n">
        <f aca="false">AF42</f>
        <v>46.9</v>
      </c>
      <c r="AH42" s="351" t="n">
        <f aca="false">AG42</f>
        <v>46.9</v>
      </c>
      <c r="AI42" s="350" t="n">
        <f aca="false">AH42</f>
        <v>46.9</v>
      </c>
      <c r="AJ42" s="350" t="n">
        <f aca="false">AI42</f>
        <v>46.9</v>
      </c>
      <c r="AK42" s="350" t="n">
        <f aca="false">AJ42</f>
        <v>46.9</v>
      </c>
      <c r="AL42" s="350" t="n">
        <f aca="false">AK42</f>
        <v>46.9</v>
      </c>
      <c r="AM42" s="350" t="n">
        <f aca="false">AL42</f>
        <v>46.9</v>
      </c>
      <c r="AN42" s="350" t="n">
        <f aca="false">AM42</f>
        <v>46.9</v>
      </c>
      <c r="AO42" s="350" t="n">
        <f aca="false">AN42</f>
        <v>46.9</v>
      </c>
      <c r="AP42" s="351" t="n">
        <v>53.86</v>
      </c>
      <c r="AR42" s="352" t="n">
        <f aca="true">IF(AND($D42="Serviço",AR$12&lt;&gt;0,$H42&gt;0,OR(AUTOEVENTO&lt;&gt;"manual",$M42&lt;&gt;$A$15)),
        IF(Import.TipoArredondamento&lt;&gt;"TransfereGOV",
              ROUND(OFFSET($P42,0,AR$13),15-13*ORÇAMENTO!$AF$7)/$H42*OFFSET(ORÇAMENTO!$X$15,ROW(AR42)-ROW(AR$15),0),
              ROUND(ROUND(OFFSET($P42,0,AR$13),15-13*ORÇAMENTO!$AF$7)*OFFSET(ORÇAMENTO!$W$15,ROW(AR42)-ROW(AR$15),0),15-13*ORÇAMENTO!$AF$11)),
         0)</f>
        <v>1008.82</v>
      </c>
      <c r="AS42" s="352" t="n">
        <f aca="true">IF(AND($D42="Serviço",AS$12&lt;&gt;0,$H42&gt;0,OR(AUTOEVENTO&lt;&gt;"manual",$M42&lt;&gt;$A$15)),
        IF(Import.TipoArredondamento&lt;&gt;"TransfereGOV",
              ROUND(OFFSET($P42,0,AS$13),15-13*ORÇAMENTO!$AF$7)/$H42*OFFSET(ORÇAMENTO!$X$15,ROW(AS42)-ROW(AS$15),0),
              ROUND(ROUND(OFFSET($P42,0,AS$13),15-13*ORÇAMENTO!$AF$7)*OFFSET(ORÇAMENTO!$W$15,ROW(AS42)-ROW(AS$15),0),15-13*ORÇAMENTO!$AF$11)),
         0)</f>
        <v>1008.82</v>
      </c>
      <c r="AT42" s="352" t="n">
        <f aca="true">IF(AND($D42="Serviço",AT$12&lt;&gt;0,$H42&gt;0,OR(AUTOEVENTO&lt;&gt;"manual",$M42&lt;&gt;$A$15)),
        IF(Import.TipoArredondamento&lt;&gt;"TransfereGOV",
              ROUND(OFFSET($P42,0,AT$13),15-13*ORÇAMENTO!$AF$7)/$H42*OFFSET(ORÇAMENTO!$X$15,ROW(AT42)-ROW(AT$15),0),
              ROUND(ROUND(OFFSET($P42,0,AT$13),15-13*ORÇAMENTO!$AF$7)*OFFSET(ORÇAMENTO!$W$15,ROW(AT42)-ROW(AT$15),0),15-13*ORÇAMENTO!$AF$11)),
         0)</f>
        <v>1008.82</v>
      </c>
      <c r="AU42" s="352" t="n">
        <f aca="true">IF(AND($D42="Serviço",AU$12&lt;&gt;0,$H42&gt;0,OR(AUTOEVENTO&lt;&gt;"manual",$M42&lt;&gt;$A$15)),
        IF(Import.TipoArredondamento&lt;&gt;"TransfereGOV",
              ROUND(OFFSET($P42,0,AU$13),15-13*ORÇAMENTO!$AF$7)/$H42*OFFSET(ORÇAMENTO!$X$15,ROW(AU42)-ROW(AU$15),0),
              ROUND(ROUND(OFFSET($P42,0,AU$13),15-13*ORÇAMENTO!$AF$7)*OFFSET(ORÇAMENTO!$W$15,ROW(AU42)-ROW(AU$15),0),15-13*ORÇAMENTO!$AF$11)),
         0)</f>
        <v>1008.82</v>
      </c>
      <c r="AV42" s="352" t="n">
        <f aca="true">IF(AND($D42="Serviço",AV$12&lt;&gt;0,$H42&gt;0,OR(AUTOEVENTO&lt;&gt;"manual",$M42&lt;&gt;$A$15)),
        IF(Import.TipoArredondamento&lt;&gt;"TransfereGOV",
              ROUND(OFFSET($P42,0,AV$13),15-13*ORÇAMENTO!$AF$7)/$H42*OFFSET(ORÇAMENTO!$X$15,ROW(AV42)-ROW(AV$15),0),
              ROUND(ROUND(OFFSET($P42,0,AV$13),15-13*ORÇAMENTO!$AF$7)*OFFSET(ORÇAMENTO!$W$15,ROW(AV42)-ROW(AV$15),0),15-13*ORÇAMENTO!$AF$11)),
         0)</f>
        <v>1008.82</v>
      </c>
      <c r="AW42" s="352" t="n">
        <f aca="true">IF(AND($D42="Serviço",AW$12&lt;&gt;0,$H42&gt;0,OR(AUTOEVENTO&lt;&gt;"manual",$M42&lt;&gt;$A$15)),
        IF(Import.TipoArredondamento&lt;&gt;"TransfereGOV",
              ROUND(OFFSET($P42,0,AW$13),15-13*ORÇAMENTO!$AF$7)/$H42*OFFSET(ORÇAMENTO!$X$15,ROW(AW42)-ROW(AW$15),0),
              ROUND(ROUND(OFFSET($P42,0,AW$13),15-13*ORÇAMENTO!$AF$7)*OFFSET(ORÇAMENTO!$W$15,ROW(AW42)-ROW(AW$15),0),15-13*ORÇAMENTO!$AF$11)),
         0)</f>
        <v>1008.82</v>
      </c>
      <c r="AX42" s="352" t="n">
        <f aca="true">IF(AND($D42="Serviço",AX$12&lt;&gt;0,$H42&gt;0,OR(AUTOEVENTO&lt;&gt;"manual",$M42&lt;&gt;$A$15)),
        IF(Import.TipoArredondamento&lt;&gt;"TransfereGOV",
              ROUND(OFFSET($P42,0,AX$13),15-13*ORÇAMENTO!$AF$7)/$H42*OFFSET(ORÇAMENTO!$X$15,ROW(AX42)-ROW(AX$15),0),
              ROUND(ROUND(OFFSET($P42,0,AX$13),15-13*ORÇAMENTO!$AF$7)*OFFSET(ORÇAMENTO!$W$15,ROW(AX42)-ROW(AX$15),0),15-13*ORÇAMENTO!$AF$11)),
         0)</f>
        <v>1008.82</v>
      </c>
      <c r="AY42" s="352" t="n">
        <f aca="true">IF(AND($D42="Serviço",AY$12&lt;&gt;0,$H42&gt;0,OR(AUTOEVENTO&lt;&gt;"manual",$M42&lt;&gt;$A$15)),
        IF(Import.TipoArredondamento&lt;&gt;"TransfereGOV",
              ROUND(OFFSET($P42,0,AY$13),15-13*ORÇAMENTO!$AF$7)/$H42*OFFSET(ORÇAMENTO!$X$15,ROW(AY42)-ROW(AY$15),0),
              ROUND(ROUND(OFFSET($P42,0,AY$13),15-13*ORÇAMENTO!$AF$7)*OFFSET(ORÇAMENTO!$W$15,ROW(AY42)-ROW(AY$15),0),15-13*ORÇAMENTO!$AF$11)),
         0)</f>
        <v>1008.82</v>
      </c>
      <c r="AZ42" s="352" t="n">
        <f aca="true">IF(AND($D42="Serviço",AZ$12&lt;&gt;0,$H42&gt;0,OR(AUTOEVENTO&lt;&gt;"manual",$M42&lt;&gt;$A$15)),
        IF(Import.TipoArredondamento&lt;&gt;"TransfereGOV",
              ROUND(OFFSET($P42,0,AZ$13),15-13*ORÇAMENTO!$AF$7)/$H42*OFFSET(ORÇAMENTO!$X$15,ROW(AZ42)-ROW(AZ$15),0),
              ROUND(ROUND(OFFSET($P42,0,AZ$13),15-13*ORÇAMENTO!$AF$7)*OFFSET(ORÇAMENTO!$W$15,ROW(AZ42)-ROW(AZ$15),0),15-13*ORÇAMENTO!$AF$11)),
         0)</f>
        <v>1008.82</v>
      </c>
      <c r="BA42" s="352" t="n">
        <f aca="true">IF(AND($D42="Serviço",BA$12&lt;&gt;0,$H42&gt;0,OR(AUTOEVENTO&lt;&gt;"manual",$M42&lt;&gt;$A$15)),
        IF(Import.TipoArredondamento&lt;&gt;"TransfereGOV",
              ROUND(OFFSET($P42,0,BA$13),15-13*ORÇAMENTO!$AF$7)/$H42*OFFSET(ORÇAMENTO!$X$15,ROW(BA42)-ROW(BA$15),0),
              ROUND(ROUND(OFFSET($P42,0,BA$13),15-13*ORÇAMENTO!$AF$7)*OFFSET(ORÇAMENTO!$W$15,ROW(BA42)-ROW(BA$15),0),15-13*ORÇAMENTO!$AF$11)),
         0)</f>
        <v>1008.82</v>
      </c>
      <c r="BB42" s="352" t="n">
        <f aca="true">IF(AND($D42="Serviço",BB$12&lt;&gt;0,$H42&gt;0,OR(AUTOEVENTO&lt;&gt;"manual",$M42&lt;&gt;$A$15)),
        IF(Import.TipoArredondamento&lt;&gt;"TransfereGOV",
              ROUND(OFFSET($P42,0,BB$13),15-13*ORÇAMENTO!$AF$7)/$H42*OFFSET(ORÇAMENTO!$X$15,ROW(BB42)-ROW(BB$15),0),
              ROUND(ROUND(OFFSET($P42,0,BB$13),15-13*ORÇAMENTO!$AF$7)*OFFSET(ORÇAMENTO!$W$15,ROW(BB42)-ROW(BB$15),0),15-13*ORÇAMENTO!$AF$11)),
         0)</f>
        <v>1008.82</v>
      </c>
      <c r="BC42" s="352" t="n">
        <f aca="true">IF(AND($D42="Serviço",BC$12&lt;&gt;0,$H42&gt;0,OR(AUTOEVENTO&lt;&gt;"manual",$M42&lt;&gt;$A$15)),
        IF(Import.TipoArredondamento&lt;&gt;"TransfereGOV",
              ROUND(OFFSET($P42,0,BC$13),15-13*ORÇAMENTO!$AF$7)/$H42*OFFSET(ORÇAMENTO!$X$15,ROW(BC42)-ROW(BC$15),0),
              ROUND(ROUND(OFFSET($P42,0,BC$13),15-13*ORÇAMENTO!$AF$7)*OFFSET(ORÇAMENTO!$W$15,ROW(BC42)-ROW(BC$15),0),15-13*ORÇAMENTO!$AF$11)),
         0)</f>
        <v>1008.82</v>
      </c>
      <c r="BD42" s="352" t="n">
        <f aca="true">IF(AND($D42="Serviço",BD$12&lt;&gt;0,$H42&gt;0,OR(AUTOEVENTO&lt;&gt;"manual",$M42&lt;&gt;$A$15)),
        IF(Import.TipoArredondamento&lt;&gt;"TransfereGOV",
              ROUND(OFFSET($P42,0,BD$13),15-13*ORÇAMENTO!$AF$7)/$H42*OFFSET(ORÇAMENTO!$X$15,ROW(BD42)-ROW(BD$15),0),
              ROUND(ROUND(OFFSET($P42,0,BD$13),15-13*ORÇAMENTO!$AF$7)*OFFSET(ORÇAMENTO!$W$15,ROW(BD42)-ROW(BD$15),0),15-13*ORÇAMENTO!$AF$11)),
         0)</f>
        <v>1008.82</v>
      </c>
      <c r="BE42" s="352" t="n">
        <f aca="true">IF(AND($D42="Serviço",BE$12&lt;&gt;0,$H42&gt;0,OR(AUTOEVENTO&lt;&gt;"manual",$M42&lt;&gt;$A$15)),
        IF(Import.TipoArredondamento&lt;&gt;"TransfereGOV",
              ROUND(OFFSET($P42,0,BE$13),15-13*ORÇAMENTO!$AF$7)/$H42*OFFSET(ORÇAMENTO!$X$15,ROW(BE42)-ROW(BE$15),0),
              ROUND(ROUND(OFFSET($P42,0,BE$13),15-13*ORÇAMENTO!$AF$7)*OFFSET(ORÇAMENTO!$W$15,ROW(BE42)-ROW(BE$15),0),15-13*ORÇAMENTO!$AF$11)),
         0)</f>
        <v>1008.82</v>
      </c>
      <c r="BF42" s="352" t="n">
        <f aca="true">IF(AND($D42="Serviço",BF$12&lt;&gt;0,$H42&gt;0,OR(AUTOEVENTO&lt;&gt;"manual",$M42&lt;&gt;$A$15)),
        IF(Import.TipoArredondamento&lt;&gt;"TransfereGOV",
              ROUND(OFFSET($P42,0,BF$13),15-13*ORÇAMENTO!$AF$7)/$H42*OFFSET(ORÇAMENTO!$X$15,ROW(BF42)-ROW(BF$15),0),
              ROUND(ROUND(OFFSET($P42,0,BF$13),15-13*ORÇAMENTO!$AF$7)*OFFSET(ORÇAMENTO!$W$15,ROW(BF42)-ROW(BF$15),0),15-13*ORÇAMENTO!$AF$11)),
         0)</f>
        <v>1008.82</v>
      </c>
      <c r="BG42" s="352" t="n">
        <f aca="true">IF(AND($D42="Serviço",BG$12&lt;&gt;0,$H42&gt;0,OR(AUTOEVENTO&lt;&gt;"manual",$M42&lt;&gt;$A$15)),
        IF(Import.TipoArredondamento&lt;&gt;"TransfereGOV",
              ROUND(OFFSET($P42,0,BG$13),15-13*ORÇAMENTO!$AF$7)/$H42*OFFSET(ORÇAMENTO!$X$15,ROW(BG42)-ROW(BG$15),0),
              ROUND(ROUND(OFFSET($P42,0,BG$13),15-13*ORÇAMENTO!$AF$7)*OFFSET(ORÇAMENTO!$W$15,ROW(BG42)-ROW(BG$15),0),15-13*ORÇAMENTO!$AF$11)),
         0)</f>
        <v>1008.82</v>
      </c>
      <c r="BH42" s="352" t="n">
        <f aca="true">IF(AND($D42="Serviço",BH$12&lt;&gt;0,$H42&gt;0,OR(AUTOEVENTO&lt;&gt;"manual",$M42&lt;&gt;$A$15)),
        IF(Import.TipoArredondamento&lt;&gt;"TransfereGOV",
              ROUND(OFFSET($P42,0,BH$13),15-13*ORÇAMENTO!$AF$7)/$H42*OFFSET(ORÇAMENTO!$X$15,ROW(BH42)-ROW(BH$15),0),
              ROUND(ROUND(OFFSET($P42,0,BH$13),15-13*ORÇAMENTO!$AF$7)*OFFSET(ORÇAMENTO!$W$15,ROW(BH42)-ROW(BH$15),0),15-13*ORÇAMENTO!$AF$11)),
         0)</f>
        <v>1008.82</v>
      </c>
      <c r="BI42" s="352" t="n">
        <f aca="true">IF(AND($D42="Serviço",BI$12&lt;&gt;0,$H42&gt;0,OR(AUTOEVENTO&lt;&gt;"manual",$M42&lt;&gt;$A$15)),
        IF(Import.TipoArredondamento&lt;&gt;"TransfereGOV",
              ROUND(OFFSET($P42,0,BI$13),15-13*ORÇAMENTO!$AF$7)/$H42*OFFSET(ORÇAMENTO!$X$15,ROW(BI42)-ROW(BI$15),0),
              ROUND(ROUND(OFFSET($P42,0,BI$13),15-13*ORÇAMENTO!$AF$7)*OFFSET(ORÇAMENTO!$W$15,ROW(BI42)-ROW(BI$15),0),15-13*ORÇAMENTO!$AF$11)),
         0)</f>
        <v>1008.82</v>
      </c>
      <c r="BJ42" s="352" t="n">
        <f aca="true">IF(AND($D42="Serviço",BJ$12&lt;&gt;0,$H42&gt;0,OR(AUTOEVENTO&lt;&gt;"manual",$M42&lt;&gt;$A$15)),
        IF(Import.TipoArredondamento&lt;&gt;"TransfereGOV",
              ROUND(OFFSET($P42,0,BJ$13),15-13*ORÇAMENTO!$AF$7)/$H42*OFFSET(ORÇAMENTO!$X$15,ROW(BJ42)-ROW(BJ$15),0),
              ROUND(ROUND(OFFSET($P42,0,BJ$13),15-13*ORÇAMENTO!$AF$7)*OFFSET(ORÇAMENTO!$W$15,ROW(BJ42)-ROW(BJ$15),0),15-13*ORÇAMENTO!$AF$11)),
         0)</f>
        <v>1008.82</v>
      </c>
      <c r="BK42" s="352" t="n">
        <f aca="true">IF(AND($D42="Serviço",BK$12&lt;&gt;0,$H42&gt;0,OR(AUTOEVENTO&lt;&gt;"manual",$M42&lt;&gt;$A$15)),
        IF(Import.TipoArredondamento&lt;&gt;"TransfereGOV",
              ROUND(OFFSET($P42,0,BK$13),15-13*ORÇAMENTO!$AF$7)/$H42*OFFSET(ORÇAMENTO!$X$15,ROW(BK42)-ROW(BK$15),0),
              ROUND(ROUND(OFFSET($P42,0,BK$13),15-13*ORÇAMENTO!$AF$7)*OFFSET(ORÇAMENTO!$W$15,ROW(BK42)-ROW(BK$15),0),15-13*ORÇAMENTO!$AF$11)),
         0)</f>
        <v>1008.82</v>
      </c>
      <c r="BL42" s="352" t="n">
        <f aca="true">IF(AND($D42="Serviço",BL$12&lt;&gt;0,$H42&gt;0,OR(AUTOEVENTO&lt;&gt;"manual",$M42&lt;&gt;$A$15)),
        IF(Import.TipoArredondamento&lt;&gt;"TransfereGOV",
              ROUND(OFFSET($P42,0,BL$13),15-13*ORÇAMENTO!$AF$7)/$H42*OFFSET(ORÇAMENTO!$X$15,ROW(BL42)-ROW(BL$15),0),
              ROUND(ROUND(OFFSET($P42,0,BL$13),15-13*ORÇAMENTO!$AF$7)*OFFSET(ORÇAMENTO!$W$15,ROW(BL42)-ROW(BL$15),0),15-13*ORÇAMENTO!$AF$11)),
         0)</f>
        <v>1008.82</v>
      </c>
      <c r="BM42" s="352" t="n">
        <f aca="true">IF(AND($D42="Serviço",BM$12&lt;&gt;0,$H42&gt;0,OR(AUTOEVENTO&lt;&gt;"manual",$M42&lt;&gt;$A$15)),
        IF(Import.TipoArredondamento&lt;&gt;"TransfereGOV",
              ROUND(OFFSET($P42,0,BM$13),15-13*ORÇAMENTO!$AF$7)/$H42*OFFSET(ORÇAMENTO!$X$15,ROW(BM42)-ROW(BM$15),0),
              ROUND(ROUND(OFFSET($P42,0,BM$13),15-13*ORÇAMENTO!$AF$7)*OFFSET(ORÇAMENTO!$W$15,ROW(BM42)-ROW(BM$15),0),15-13*ORÇAMENTO!$AF$11)),
         0)</f>
        <v>1008.82</v>
      </c>
      <c r="BN42" s="352" t="n">
        <f aca="true">IF(AND($D42="Serviço",BN$12&lt;&gt;0,$H42&gt;0,OR(AUTOEVENTO&lt;&gt;"manual",$M42&lt;&gt;$A$15)),
        IF(Import.TipoArredondamento&lt;&gt;"TransfereGOV",
              ROUND(OFFSET($P42,0,BN$13),15-13*ORÇAMENTO!$AF$7)/$H42*OFFSET(ORÇAMENTO!$X$15,ROW(BN42)-ROW(BN$15),0),
              ROUND(ROUND(OFFSET($P42,0,BN$13),15-13*ORÇAMENTO!$AF$7)*OFFSET(ORÇAMENTO!$W$15,ROW(BN42)-ROW(BN$15),0),15-13*ORÇAMENTO!$AF$11)),
         0)</f>
        <v>1008.82</v>
      </c>
      <c r="BO42" s="352" t="n">
        <f aca="true">IF(AND($D42="Serviço",BO$12&lt;&gt;0,$H42&gt;0,OR(AUTOEVENTO&lt;&gt;"manual",$M42&lt;&gt;$A$15)),
        IF(Import.TipoArredondamento&lt;&gt;"TransfereGOV",
              ROUND(OFFSET($P42,0,BO$13),15-13*ORÇAMENTO!$AF$7)/$H42*OFFSET(ORÇAMENTO!$X$15,ROW(BO42)-ROW(BO$15),0),
              ROUND(ROUND(OFFSET($P42,0,BO$13),15-13*ORÇAMENTO!$AF$7)*OFFSET(ORÇAMENTO!$W$15,ROW(BO42)-ROW(BO$15),0),15-13*ORÇAMENTO!$AF$11)),
         0)</f>
        <v>1008.82</v>
      </c>
      <c r="BP42" s="352" t="n">
        <f aca="true">IF(AND($D42="Serviço",BP$12&lt;&gt;0,$H42&gt;0,OR(AUTOEVENTO&lt;&gt;"manual",$M42&lt;&gt;$A$15)),
        IF(Import.TipoArredondamento&lt;&gt;"TransfereGOV",
              ROUND(OFFSET($P42,0,BP$13),15-13*ORÇAMENTO!$AF$7)/$H42*OFFSET(ORÇAMENTO!$X$15,ROW(BP42)-ROW(BP$15),0),
              ROUND(ROUND(OFFSET($P42,0,BP$13),15-13*ORÇAMENTO!$AF$7)*OFFSET(ORÇAMENTO!$W$15,ROW(BP42)-ROW(BP$15),0),15-13*ORÇAMENTO!$AF$11)),
         0)</f>
        <v>1008.82</v>
      </c>
      <c r="BQ42" s="352" t="n">
        <f aca="true">IF(AND($D42="Serviço",BQ$12&lt;&gt;0,$H42&gt;0,OR(AUTOEVENTO&lt;&gt;"manual",$M42&lt;&gt;$A$15)),
        IF(Import.TipoArredondamento&lt;&gt;"TransfereGOV",
              ROUND(OFFSET($P42,0,BQ$13),15-13*ORÇAMENTO!$AF$7)/$H42*OFFSET(ORÇAMENTO!$X$15,ROW(BQ42)-ROW(BQ$15),0),
              ROUND(ROUND(OFFSET($P42,0,BQ$13),15-13*ORÇAMENTO!$AF$7)*OFFSET(ORÇAMENTO!$W$15,ROW(BQ42)-ROW(BQ$15),0),15-13*ORÇAMENTO!$AF$11)),
         0)</f>
        <v>0</v>
      </c>
      <c r="BS42" s="353" t="n">
        <f aca="true">IF(OR($D42&lt;&gt;"Serviço",AND(AUTOEVENTO="Manual",$M42=$A$15)),0,
         IF(OFFSET(CRONOPLE!$F$15,$M42-$A$15,BS$13)=0,10^12,OFFSET(CRONOPLE!$F$15,$M42-$A$15,BS$13)))</f>
        <v>1</v>
      </c>
      <c r="BT42" s="353" t="n">
        <f aca="true">IF(OR($D42&lt;&gt;"Serviço",AND(AUTOEVENTO="Manual",$M42=$A$15)),0,
         IF(OFFSET(CRONOPLE!$F$15,$M42-$A$15,BT$13)=0,10^12,OFFSET(CRONOPLE!$F$15,$M42-$A$15,BT$13)))</f>
        <v>2</v>
      </c>
      <c r="BU42" s="353" t="n">
        <f aca="true">IF(OR($D42&lt;&gt;"Serviço",AND(AUTOEVENTO="Manual",$M42=$A$15)),0,
         IF(OFFSET(CRONOPLE!$F$15,$M42-$A$15,BU$13)=0,10^12,OFFSET(CRONOPLE!$F$15,$M42-$A$15,BU$13)))</f>
        <v>3</v>
      </c>
      <c r="BV42" s="353" t="n">
        <f aca="true">IF(OR($D42&lt;&gt;"Serviço",AND(AUTOEVENTO="Manual",$M42=$A$15)),0,
         IF(OFFSET(CRONOPLE!$F$15,$M42-$A$15,BV$13)=0,10^12,OFFSET(CRONOPLE!$F$15,$M42-$A$15,BV$13)))</f>
        <v>4</v>
      </c>
      <c r="BW42" s="353" t="n">
        <f aca="true">IF(OR($D42&lt;&gt;"Serviço",AND(AUTOEVENTO="Manual",$M42=$A$15)),0,
         IF(OFFSET(CRONOPLE!$F$15,$M42-$A$15,BW$13)=0,10^12,OFFSET(CRONOPLE!$F$15,$M42-$A$15,BW$13)))</f>
        <v>5</v>
      </c>
      <c r="BX42" s="353" t="n">
        <f aca="true">IF(OR($D42&lt;&gt;"Serviço",AND(AUTOEVENTO="Manual",$M42=$A$15)),0,
         IF(OFFSET(CRONOPLE!$F$15,$M42-$A$15,BX$13)=0,10^12,OFFSET(CRONOPLE!$F$15,$M42-$A$15,BX$13)))</f>
        <v>6</v>
      </c>
      <c r="BY42" s="353" t="n">
        <f aca="true">IF(OR($D42&lt;&gt;"Serviço",AND(AUTOEVENTO="Manual",$M42=$A$15)),0,
         IF(OFFSET(CRONOPLE!$F$15,$M42-$A$15,BY$13)=0,10^12,OFFSET(CRONOPLE!$F$15,$M42-$A$15,BY$13)))</f>
        <v>7</v>
      </c>
      <c r="BZ42" s="353" t="n">
        <f aca="true">IF(OR($D42&lt;&gt;"Serviço",AND(AUTOEVENTO="Manual",$M42=$A$15)),0,
         IF(OFFSET(CRONOPLE!$F$15,$M42-$A$15,BZ$13)=0,10^12,OFFSET(CRONOPLE!$F$15,$M42-$A$15,BZ$13)))</f>
        <v>8</v>
      </c>
      <c r="CA42" s="353" t="n">
        <f aca="true">IF(OR($D42&lt;&gt;"Serviço",AND(AUTOEVENTO="Manual",$M42=$A$15)),0,
         IF(OFFSET(CRONOPLE!$F$15,$M42-$A$15,CA$13)=0,10^12,OFFSET(CRONOPLE!$F$15,$M42-$A$15,CA$13)))</f>
        <v>9</v>
      </c>
      <c r="CB42" s="353" t="n">
        <f aca="true">IF(OR($D42&lt;&gt;"Serviço",AND(AUTOEVENTO="Manual",$M42=$A$15)),0,
         IF(OFFSET(CRONOPLE!$F$15,$M42-$A$15,CB$13)=0,10^12,OFFSET(CRONOPLE!$F$15,$M42-$A$15,CB$13)))</f>
        <v>10</v>
      </c>
      <c r="CC42" s="353" t="n">
        <f aca="true">IF(OR($D42&lt;&gt;"Serviço",AND(AUTOEVENTO="Manual",$M42=$A$15)),0,
         IF(OFFSET(CRONOPLE!$F$15,$M42-$A$15,CC$13)=0,10^12,OFFSET(CRONOPLE!$F$15,$M42-$A$15,CC$13)))</f>
        <v>11</v>
      </c>
      <c r="CD42" s="353" t="n">
        <f aca="true">IF(OR($D42&lt;&gt;"Serviço",AND(AUTOEVENTO="Manual",$M42=$A$15)),0,
         IF(OFFSET(CRONOPLE!$F$15,$M42-$A$15,CD$13)=0,10^12,OFFSET(CRONOPLE!$F$15,$M42-$A$15,CD$13)))</f>
        <v>12</v>
      </c>
      <c r="CE42" s="353" t="n">
        <f aca="true">IF(OR($D42&lt;&gt;"Serviço",AND(AUTOEVENTO="Manual",$M42=$A$15)),0,
         IF(OFFSET(CRONOPLE!$F$15,$M42-$A$15,CE$13)=0,10^12,OFFSET(CRONOPLE!$F$15,$M42-$A$15,CE$13)))</f>
        <v>13</v>
      </c>
      <c r="CF42" s="353" t="n">
        <f aca="true">IF(OR($D42&lt;&gt;"Serviço",AND(AUTOEVENTO="Manual",$M42=$A$15)),0,
         IF(OFFSET(CRONOPLE!$F$15,$M42-$A$15,CF$13)=0,10^12,OFFSET(CRONOPLE!$F$15,$M42-$A$15,CF$13)))</f>
        <v>14</v>
      </c>
      <c r="CG42" s="353" t="n">
        <f aca="true">IF(OR($D42&lt;&gt;"Serviço",AND(AUTOEVENTO="Manual",$M42=$A$15)),0,
         IF(OFFSET(CRONOPLE!$F$15,$M42-$A$15,CG$13)=0,10^12,OFFSET(CRONOPLE!$F$15,$M42-$A$15,CG$13)))</f>
        <v>15</v>
      </c>
      <c r="CH42" s="353" t="n">
        <f aca="true">IF(OR($D42&lt;&gt;"Serviço",AND(AUTOEVENTO="Manual",$M42=$A$15)),0,
         IF(OFFSET(CRONOPLE!$F$15,$M42-$A$15,CH$13)=0,10^12,OFFSET(CRONOPLE!$F$15,$M42-$A$15,CH$13)))</f>
        <v>16</v>
      </c>
      <c r="CI42" s="353" t="n">
        <f aca="true">IF(OR($D42&lt;&gt;"Serviço",AND(AUTOEVENTO="Manual",$M42=$A$15)),0,
         IF(OFFSET(CRONOPLE!$F$15,$M42-$A$15,CI$13)=0,10^12,OFFSET(CRONOPLE!$F$15,$M42-$A$15,CI$13)))</f>
        <v>17</v>
      </c>
      <c r="CJ42" s="353" t="n">
        <f aca="true">IF(OR($D42&lt;&gt;"Serviço",AND(AUTOEVENTO="Manual",$M42=$A$15)),0,
         IF(OFFSET(CRONOPLE!$F$15,$M42-$A$15,CJ$13)=0,10^12,OFFSET(CRONOPLE!$F$15,$M42-$A$15,CJ$13)))</f>
        <v>18</v>
      </c>
      <c r="CK42" s="353" t="n">
        <f aca="true">IF(OR($D42&lt;&gt;"Serviço",AND(AUTOEVENTO="Manual",$M42=$A$15)),0,
         IF(OFFSET(CRONOPLE!$F$15,$M42-$A$15,CK$13)=0,10^12,OFFSET(CRONOPLE!$F$15,$M42-$A$15,CK$13)))</f>
        <v>19</v>
      </c>
      <c r="CL42" s="353" t="n">
        <f aca="true">IF(OR($D42&lt;&gt;"Serviço",AND(AUTOEVENTO="Manual",$M42=$A$15)),0,
         IF(OFFSET(CRONOPLE!$F$15,$M42-$A$15,CL$13)=0,10^12,OFFSET(CRONOPLE!$F$15,$M42-$A$15,CL$13)))</f>
        <v>20</v>
      </c>
      <c r="CM42" s="353" t="n">
        <f aca="true">IF(OR($D42&lt;&gt;"Serviço",AND(AUTOEVENTO="Manual",$M42=$A$15)),0,
         IF(OFFSET(CRONOPLE!$F$15,$M42-$A$15,CM$13)=0,10^12,OFFSET(CRONOPLE!$F$15,$M42-$A$15,CM$13)))</f>
        <v>21</v>
      </c>
      <c r="CN42" s="353" t="n">
        <f aca="true">IF(OR($D42&lt;&gt;"Serviço",AND(AUTOEVENTO="Manual",$M42=$A$15)),0,
         IF(OFFSET(CRONOPLE!$F$15,$M42-$A$15,CN$13)=0,10^12,OFFSET(CRONOPLE!$F$15,$M42-$A$15,CN$13)))</f>
        <v>22</v>
      </c>
      <c r="CO42" s="353" t="n">
        <f aca="true">IF(OR($D42&lt;&gt;"Serviço",AND(AUTOEVENTO="Manual",$M42=$A$15)),0,
         IF(OFFSET(CRONOPLE!$F$15,$M42-$A$15,CO$13)=0,10^12,OFFSET(CRONOPLE!$F$15,$M42-$A$15,CO$13)))</f>
        <v>23</v>
      </c>
      <c r="CP42" s="353" t="n">
        <f aca="true">IF(OR($D42&lt;&gt;"Serviço",AND(AUTOEVENTO="Manual",$M42=$A$15)),0,
         IF(OFFSET(CRONOPLE!$F$15,$M42-$A$15,CP$13)=0,10^12,OFFSET(CRONOPLE!$F$15,$M42-$A$15,CP$13)))</f>
        <v>24</v>
      </c>
      <c r="CQ42" s="353" t="n">
        <f aca="true">IF(OR($D42&lt;&gt;"Serviço",AND(AUTOEVENTO="Manual",$M42=$A$15)),0,
         IF(OFFSET(CRONOPLE!$F$15,$M42-$A$15,CQ$13)=0,10^12,OFFSET(CRONOPLE!$F$15,$M42-$A$15,CQ$13)))</f>
        <v>25</v>
      </c>
      <c r="CR42" s="353" t="n">
        <f aca="true">IF(OR($D42&lt;&gt;"Serviço",AND(AUTOEVENTO="Manual",$M42=$A$15)),0,
         IF(OFFSET(CRONOPLE!$F$15,$M42-$A$15,CR$13)=0,10^12,OFFSET(CRONOPLE!$F$15,$M42-$A$15,CR$13)))</f>
        <v>1000000000000</v>
      </c>
      <c r="CT42" s="354" t="n">
        <f aca="true">IF(OR($D42&lt;&gt;"Serviço",AND(AUTOEVENTO="Manual",$M42=$A$15),$M42&gt;(ROW(PLE.lastrow)-ROW(PLE.firstrow))),0,
           IF(OFFSET(PLE!$G$15,$M42-$A$15,CT$13)="",10^12,OFFSET(PLE!$G$15,$M42-$A$15,CT$13)))</f>
        <v>1000000000000</v>
      </c>
      <c r="CU42" s="354" t="n">
        <f aca="true">IF(OR($D42&lt;&gt;"Serviço",AND(AUTOEVENTO="Manual",$M42=$A$15),$M42&gt;(ROW(PLE.lastrow)-ROW(PLE.firstrow))),0,
           IF(OFFSET(PLE!$G$15,$M42-$A$15,CU$13)="",10^12,OFFSET(PLE!$G$15,$M42-$A$15,CU$13)))</f>
        <v>1000000000000</v>
      </c>
      <c r="CV42" s="354" t="n">
        <f aca="true">IF(OR($D42&lt;&gt;"Serviço",AND(AUTOEVENTO="Manual",$M42=$A$15),$M42&gt;(ROW(PLE.lastrow)-ROW(PLE.firstrow))),0,
           IF(OFFSET(PLE!$G$15,$M42-$A$15,CV$13)="",10^12,OFFSET(PLE!$G$15,$M42-$A$15,CV$13)))</f>
        <v>1000000000000</v>
      </c>
      <c r="CW42" s="354" t="n">
        <f aca="true">IF(OR($D42&lt;&gt;"Serviço",AND(AUTOEVENTO="Manual",$M42=$A$15),$M42&gt;(ROW(PLE.lastrow)-ROW(PLE.firstrow))),0,
           IF(OFFSET(PLE!$G$15,$M42-$A$15,CW$13)="",10^12,OFFSET(PLE!$G$15,$M42-$A$15,CW$13)))</f>
        <v>1000000000000</v>
      </c>
      <c r="CX42" s="354" t="n">
        <f aca="true">IF(OR($D42&lt;&gt;"Serviço",AND(AUTOEVENTO="Manual",$M42=$A$15),$M42&gt;(ROW(PLE.lastrow)-ROW(PLE.firstrow))),0,
           IF(OFFSET(PLE!$G$15,$M42-$A$15,CX$13)="",10^12,OFFSET(PLE!$G$15,$M42-$A$15,CX$13)))</f>
        <v>1000000000000</v>
      </c>
      <c r="CY42" s="354" t="n">
        <f aca="true">IF(OR($D42&lt;&gt;"Serviço",AND(AUTOEVENTO="Manual",$M42=$A$15),$M42&gt;(ROW(PLE.lastrow)-ROW(PLE.firstrow))),0,
           IF(OFFSET(PLE!$G$15,$M42-$A$15,CY$13)="",10^12,OFFSET(PLE!$G$15,$M42-$A$15,CY$13)))</f>
        <v>1000000000000</v>
      </c>
      <c r="CZ42" s="354" t="n">
        <f aca="true">IF(OR($D42&lt;&gt;"Serviço",AND(AUTOEVENTO="Manual",$M42=$A$15),$M42&gt;(ROW(PLE.lastrow)-ROW(PLE.firstrow))),0,
           IF(OFFSET(PLE!$G$15,$M42-$A$15,CZ$13)="",10^12,OFFSET(PLE!$G$15,$M42-$A$15,CZ$13)))</f>
        <v>1000000000000</v>
      </c>
      <c r="DA42" s="354" t="n">
        <f aca="true">IF(OR($D42&lt;&gt;"Serviço",AND(AUTOEVENTO="Manual",$M42=$A$15),$M42&gt;(ROW(PLE.lastrow)-ROW(PLE.firstrow))),0,
           IF(OFFSET(PLE!$G$15,$M42-$A$15,DA$13)="",10^12,OFFSET(PLE!$G$15,$M42-$A$15,DA$13)))</f>
        <v>1000000000000</v>
      </c>
      <c r="DB42" s="354" t="n">
        <f aca="true">IF(OR($D42&lt;&gt;"Serviço",AND(AUTOEVENTO="Manual",$M42=$A$15),$M42&gt;(ROW(PLE.lastrow)-ROW(PLE.firstrow))),0,
           IF(OFFSET(PLE!$G$15,$M42-$A$15,DB$13)="",10^12,OFFSET(PLE!$G$15,$M42-$A$15,DB$13)))</f>
        <v>1000000000000</v>
      </c>
      <c r="DC42" s="354" t="n">
        <f aca="true">IF(OR($D42&lt;&gt;"Serviço",AND(AUTOEVENTO="Manual",$M42=$A$15),$M42&gt;(ROW(PLE.lastrow)-ROW(PLE.firstrow))),0,
           IF(OFFSET(PLE!$G$15,$M42-$A$15,DC$13)="",10^12,OFFSET(PLE!$G$15,$M42-$A$15,DC$13)))</f>
        <v>1000000000000</v>
      </c>
      <c r="DD42" s="354" t="n">
        <f aca="true">IF(OR($D42&lt;&gt;"Serviço",AND(AUTOEVENTO="Manual",$M42=$A$15),$M42&gt;(ROW(PLE.lastrow)-ROW(PLE.firstrow))),0,
           IF(OFFSET(PLE!$G$15,$M42-$A$15,DD$13)="",10^12,OFFSET(PLE!$G$15,$M42-$A$15,DD$13)))</f>
        <v>1000000000000</v>
      </c>
      <c r="DE42" s="354" t="n">
        <f aca="true">IF(OR($D42&lt;&gt;"Serviço",AND(AUTOEVENTO="Manual",$M42=$A$15),$M42&gt;(ROW(PLE.lastrow)-ROW(PLE.firstrow))),0,
           IF(OFFSET(PLE!$G$15,$M42-$A$15,DE$13)="",10^12,OFFSET(PLE!$G$15,$M42-$A$15,DE$13)))</f>
        <v>1000000000000</v>
      </c>
      <c r="DF42" s="354" t="n">
        <f aca="true">IF(OR($D42&lt;&gt;"Serviço",AND(AUTOEVENTO="Manual",$M42=$A$15),$M42&gt;(ROW(PLE.lastrow)-ROW(PLE.firstrow))),0,
           IF(OFFSET(PLE!$G$15,$M42-$A$15,DF$13)="",10^12,OFFSET(PLE!$G$15,$M42-$A$15,DF$13)))</f>
        <v>1000000000000</v>
      </c>
      <c r="DG42" s="354" t="n">
        <f aca="true">IF(OR($D42&lt;&gt;"Serviço",AND(AUTOEVENTO="Manual",$M42=$A$15),$M42&gt;(ROW(PLE.lastrow)-ROW(PLE.firstrow))),0,
           IF(OFFSET(PLE!$G$15,$M42-$A$15,DG$13)="",10^12,OFFSET(PLE!$G$15,$M42-$A$15,DG$13)))</f>
        <v>1000000000000</v>
      </c>
      <c r="DH42" s="354" t="n">
        <f aca="true">IF(OR($D42&lt;&gt;"Serviço",AND(AUTOEVENTO="Manual",$M42=$A$15),$M42&gt;(ROW(PLE.lastrow)-ROW(PLE.firstrow))),0,
           IF(OFFSET(PLE!$G$15,$M42-$A$15,DH$13)="",10^12,OFFSET(PLE!$G$15,$M42-$A$15,DH$13)))</f>
        <v>1000000000000</v>
      </c>
      <c r="DI42" s="354" t="n">
        <f aca="true">IF(OR($D42&lt;&gt;"Serviço",AND(AUTOEVENTO="Manual",$M42=$A$15),$M42&gt;(ROW(PLE.lastrow)-ROW(PLE.firstrow))),0,
           IF(OFFSET(PLE!$G$15,$M42-$A$15,DI$13)="",10^12,OFFSET(PLE!$G$15,$M42-$A$15,DI$13)))</f>
        <v>1000000000000</v>
      </c>
      <c r="DJ42" s="354" t="n">
        <f aca="true">IF(OR($D42&lt;&gt;"Serviço",AND(AUTOEVENTO="Manual",$M42=$A$15),$M42&gt;(ROW(PLE.lastrow)-ROW(PLE.firstrow))),0,
           IF(OFFSET(PLE!$G$15,$M42-$A$15,DJ$13)="",10^12,OFFSET(PLE!$G$15,$M42-$A$15,DJ$13)))</f>
        <v>1000000000000</v>
      </c>
      <c r="DK42" s="354" t="n">
        <f aca="true">IF(OR($D42&lt;&gt;"Serviço",AND(AUTOEVENTO="Manual",$M42=$A$15),$M42&gt;(ROW(PLE.lastrow)-ROW(PLE.firstrow))),0,
           IF(OFFSET(PLE!$G$15,$M42-$A$15,DK$13)="",10^12,OFFSET(PLE!$G$15,$M42-$A$15,DK$13)))</f>
        <v>1000000000000</v>
      </c>
      <c r="DL42" s="354" t="n">
        <f aca="true">IF(OR($D42&lt;&gt;"Serviço",AND(AUTOEVENTO="Manual",$M42=$A$15),$M42&gt;(ROW(PLE.lastrow)-ROW(PLE.firstrow))),0,
           IF(OFFSET(PLE!$G$15,$M42-$A$15,DL$13)="",10^12,OFFSET(PLE!$G$15,$M42-$A$15,DL$13)))</f>
        <v>1000000000000</v>
      </c>
      <c r="DM42" s="354" t="n">
        <f aca="true">IF(OR($D42&lt;&gt;"Serviço",AND(AUTOEVENTO="Manual",$M42=$A$15),$M42&gt;(ROW(PLE.lastrow)-ROW(PLE.firstrow))),0,
           IF(OFFSET(PLE!$G$15,$M42-$A$15,DM$13)="",10^12,OFFSET(PLE!$G$15,$M42-$A$15,DM$13)))</f>
        <v>1000000000000</v>
      </c>
      <c r="DN42" s="354" t="n">
        <f aca="true">IF(OR($D42&lt;&gt;"Serviço",AND(AUTOEVENTO="Manual",$M42=$A$15),$M42&gt;(ROW(PLE.lastrow)-ROW(PLE.firstrow))),0,
           IF(OFFSET(PLE!$G$15,$M42-$A$15,DN$13)="",10^12,OFFSET(PLE!$G$15,$M42-$A$15,DN$13)))</f>
        <v>1000000000000</v>
      </c>
      <c r="DO42" s="354" t="n">
        <f aca="true">IF(OR($D42&lt;&gt;"Serviço",AND(AUTOEVENTO="Manual",$M42=$A$15),$M42&gt;(ROW(PLE.lastrow)-ROW(PLE.firstrow))),0,
           IF(OFFSET(PLE!$G$15,$M42-$A$15,DO$13)="",10^12,OFFSET(PLE!$G$15,$M42-$A$15,DO$13)))</f>
        <v>1000000000000</v>
      </c>
      <c r="DP42" s="354" t="n">
        <f aca="true">IF(OR($D42&lt;&gt;"Serviço",AND(AUTOEVENTO="Manual",$M42=$A$15),$M42&gt;(ROW(PLE.lastrow)-ROW(PLE.firstrow))),0,
           IF(OFFSET(PLE!$G$15,$M42-$A$15,DP$13)="",10^12,OFFSET(PLE!$G$15,$M42-$A$15,DP$13)))</f>
        <v>1000000000000</v>
      </c>
      <c r="DQ42" s="354" t="n">
        <f aca="true">IF(OR($D42&lt;&gt;"Serviço",AND(AUTOEVENTO="Manual",$M42=$A$15),$M42&gt;(ROW(PLE.lastrow)-ROW(PLE.firstrow))),0,
           IF(OFFSET(PLE!$G$15,$M42-$A$15,DQ$13)="",10^12,OFFSET(PLE!$G$15,$M42-$A$15,DQ$13)))</f>
        <v>1000000000000</v>
      </c>
      <c r="DR42" s="354" t="n">
        <f aca="true">IF(OR($D42&lt;&gt;"Serviço",AND(AUTOEVENTO="Manual",$M42=$A$15),$M42&gt;(ROW(PLE.lastrow)-ROW(PLE.firstrow))),0,
           IF(OFFSET(PLE!$G$15,$M42-$A$15,DR$13)="",10^12,OFFSET(PLE!$G$15,$M42-$A$15,DR$13)))</f>
        <v>1000000000000</v>
      </c>
      <c r="DS42" s="354" t="n">
        <f aca="true">IF(OR($D42&lt;&gt;"Serviço",AND(AUTOEVENTO="Manual",$M42=$A$15),$M42&gt;(ROW(PLE.lastrow)-ROW(PLE.firstrow))),0,
           IF(OFFSET(PLE!$G$15,$M42-$A$15,DS$13)="",10^12,OFFSET(PLE!$G$15,$M42-$A$15,DS$13)))</f>
        <v>1000000000000</v>
      </c>
    </row>
    <row r="43" customFormat="false" ht="23.85" hidden="false" customHeight="false" outlineLevel="0" collapsed="false">
      <c r="A43" s="50" t="str">
        <f aca="true">IFERROR(IF(AUTOEVENTO="Manual",IF(K43&lt;&gt;"",MIN(VALUE(LEFT(K43,FIND(".",K43)-1)),COUNTA(EVENTOS.Lista)),0),IF(OR($B43&gt;AUTOEVENTO,$B43="S",$B43=0),SUBSTITUTE(OFFSET($A43,-1,0),IF($D43="Serviço",".",""),""),ROW(A43)-ROW($A$15)&amp;".")),0)</f>
        <v>24</v>
      </c>
      <c r="B43" s="50" t="str">
        <f aca="true">OFFSET(ORÇAMENTO!C$15,ROW(B43)-ROW(B$15),0)</f>
        <v>S</v>
      </c>
      <c r="C43" s="50" t="str">
        <f aca="true">OFFSET(ORÇAMENTO!L$15,ROW(C43)-ROW(C$15),0)</f>
        <v>F</v>
      </c>
      <c r="D43" s="201" t="str">
        <f aca="true">OFFSET(ORÇAMENTO!N$15,ROW(D43)-ROW(D$15),0)</f>
        <v>Serviço</v>
      </c>
      <c r="E43" s="202" t="str">
        <f aca="true">OFFSET(ORÇAMENTO!O$15,ROW(E43)-ROW(E$15),0)</f>
        <v>1.6.4.</v>
      </c>
      <c r="F43" s="341" t="str">
        <f aca="true">OFFSET(ORÇAMENTO!R$15,ROW(F43)-ROW(F$15),0)</f>
        <v>ARMAÇÃO DE SAPATA ISOLADA, VIGA BALDRAME E SAPATA CORRIDA UTILIZANDO AÇO CA-50 DE 10 MM -MONTAGEM. AF_01/2024</v>
      </c>
      <c r="G43" s="342" t="str">
        <f aca="true">IF($D43&lt;&gt;"Serviço","",OFFSET(ORÇAMENTO!S$15,ROW(G43)-ROW(G$15),0))</f>
        <v>KG</v>
      </c>
      <c r="H43" s="207" t="n">
        <f aca="true">IF($D43&lt;&gt;"Serviço",0,IF(ACOMPANHAMENTO="BM",ROUND(OFFSET(ORÇAMENTO!AJ$15,ROW(H43)-ROW(H$15),0),15-13*ORÇAMENTO!$AF$7),SUMPRODUCT(($Q$1:$AQ$1=1)*ROUND($Q43:$AQ43,15-13*ORÇAMENTO!$AF$7))))</f>
        <v>3615</v>
      </c>
      <c r="I43" s="343" t="s">
        <v>932</v>
      </c>
      <c r="J43" s="344" t="e">
        <f aca="false">IF(OR(B43&lt;&gt;"S",CÁLCULO.FrentesPreenchidas=0),"",IF(AND(ACOMPANHAMENTO="PLE",AUTOEVENTO="Manual",OR(H43&gt;0,ORÇAMENTO!AC43="QUANT."),OR(K43="",M43=0,N43="")),"►",IF(AND(ACOMPANHAMENTO="PLE",ORÇAMENTO!AC43="QUANT."),"►►",IF(AND(COUNTIF($P$11:$AQ$11,"▼")=0,H43&gt;0,I43=""),"◄",""))))</f>
        <v>#NAME?</v>
      </c>
      <c r="K43" s="345"/>
      <c r="L43" s="346" t="s">
        <v>876</v>
      </c>
      <c r="M43" s="347" t="n">
        <f aca="true">IF($D43&lt;&gt;"Serviço","",
          IF(AUTOEVENTO="manual",$A43,
                IF(ISERROR(MATCH($A43,$A$15:OFFSET($A43,-1,0),0)),MAX($M$15:OFFSET(M43,-1,0))+1,
                      INDEX($M$15:OFFSET(M43,-1,0),MATCH($A43,$A$15:OFFSET($A43,-1,0),0)))))</f>
        <v>4</v>
      </c>
      <c r="N43" s="348" t="str">
        <f aca="true">IF($D43&lt;&gt;"Serviço","",
         IF(AUTOEVENTO="Manual",
                IF($A43=0,"&lt;-- defina o número do agrupador",
                       OFFSET(EVENTOS!$D$15,$A43-$A$15,0)),
                OFFSET($F$15,$A43,0)))</f>
        <v>BALDRAMES</v>
      </c>
      <c r="O43" s="349"/>
      <c r="Q43" s="349" t="n">
        <v>144.6</v>
      </c>
      <c r="R43" s="350" t="n">
        <f aca="false">Q43</f>
        <v>144.6</v>
      </c>
      <c r="S43" s="350" t="n">
        <f aca="false">R43</f>
        <v>144.6</v>
      </c>
      <c r="T43" s="350" t="n">
        <f aca="false">S43</f>
        <v>144.6</v>
      </c>
      <c r="U43" s="350" t="n">
        <f aca="false">T43</f>
        <v>144.6</v>
      </c>
      <c r="V43" s="350" t="n">
        <f aca="false">U43</f>
        <v>144.6</v>
      </c>
      <c r="W43" s="350" t="n">
        <f aca="false">V43</f>
        <v>144.6</v>
      </c>
      <c r="X43" s="350" t="n">
        <f aca="false">W43</f>
        <v>144.6</v>
      </c>
      <c r="Y43" s="350" t="n">
        <f aca="false">X43</f>
        <v>144.6</v>
      </c>
      <c r="Z43" s="351" t="n">
        <f aca="false">Y43</f>
        <v>144.6</v>
      </c>
      <c r="AA43" s="350" t="n">
        <f aca="false">Z43</f>
        <v>144.6</v>
      </c>
      <c r="AB43" s="350" t="n">
        <f aca="false">AA43</f>
        <v>144.6</v>
      </c>
      <c r="AC43" s="350" t="n">
        <f aca="false">AB43</f>
        <v>144.6</v>
      </c>
      <c r="AD43" s="350" t="n">
        <f aca="false">AC43</f>
        <v>144.6</v>
      </c>
      <c r="AE43" s="350" t="n">
        <f aca="false">AD43</f>
        <v>144.6</v>
      </c>
      <c r="AF43" s="350" t="n">
        <f aca="false">AE43</f>
        <v>144.6</v>
      </c>
      <c r="AG43" s="350" t="n">
        <f aca="false">AF43</f>
        <v>144.6</v>
      </c>
      <c r="AH43" s="351" t="n">
        <f aca="false">AG43</f>
        <v>144.6</v>
      </c>
      <c r="AI43" s="350" t="n">
        <f aca="false">AH43</f>
        <v>144.6</v>
      </c>
      <c r="AJ43" s="350" t="n">
        <f aca="false">AI43</f>
        <v>144.6</v>
      </c>
      <c r="AK43" s="350" t="n">
        <f aca="false">AJ43</f>
        <v>144.6</v>
      </c>
      <c r="AL43" s="350" t="n">
        <f aca="false">AK43</f>
        <v>144.6</v>
      </c>
      <c r="AM43" s="350" t="n">
        <f aca="false">AL43</f>
        <v>144.6</v>
      </c>
      <c r="AN43" s="350" t="n">
        <f aca="false">AM43</f>
        <v>144.6</v>
      </c>
      <c r="AO43" s="350" t="n">
        <f aca="false">AN43</f>
        <v>144.6</v>
      </c>
      <c r="AP43" s="351"/>
      <c r="AR43" s="352" t="n">
        <f aca="true">IF(AND($D43="Serviço",AR$12&lt;&gt;0,$H43&gt;0,OR(AUTOEVENTO&lt;&gt;"manual",$M43&lt;&gt;$A$15)),
        IF(Import.TipoArredondamento&lt;&gt;"TransfereGOV",
              ROUND(OFFSET($P43,0,AR$13),15-13*ORÇAMENTO!$AF$7)/$H43*OFFSET(ORÇAMENTO!$X$15,ROW(AR43)-ROW(AR$15),0),
              ROUND(ROUND(OFFSET($P43,0,AR$13),15-13*ORÇAMENTO!$AF$7)*OFFSET(ORÇAMENTO!$W$15,ROW(AR43)-ROW(AR$15),0),15-13*ORÇAMENTO!$AF$11)),
         0)</f>
        <v>2346.86</v>
      </c>
      <c r="AS43" s="352" t="n">
        <f aca="true">IF(AND($D43="Serviço",AS$12&lt;&gt;0,$H43&gt;0,OR(AUTOEVENTO&lt;&gt;"manual",$M43&lt;&gt;$A$15)),
        IF(Import.TipoArredondamento&lt;&gt;"TransfereGOV",
              ROUND(OFFSET($P43,0,AS$13),15-13*ORÇAMENTO!$AF$7)/$H43*OFFSET(ORÇAMENTO!$X$15,ROW(AS43)-ROW(AS$15),0),
              ROUND(ROUND(OFFSET($P43,0,AS$13),15-13*ORÇAMENTO!$AF$7)*OFFSET(ORÇAMENTO!$W$15,ROW(AS43)-ROW(AS$15),0),15-13*ORÇAMENTO!$AF$11)),
         0)</f>
        <v>2346.86</v>
      </c>
      <c r="AT43" s="352" t="n">
        <f aca="true">IF(AND($D43="Serviço",AT$12&lt;&gt;0,$H43&gt;0,OR(AUTOEVENTO&lt;&gt;"manual",$M43&lt;&gt;$A$15)),
        IF(Import.TipoArredondamento&lt;&gt;"TransfereGOV",
              ROUND(OFFSET($P43,0,AT$13),15-13*ORÇAMENTO!$AF$7)/$H43*OFFSET(ORÇAMENTO!$X$15,ROW(AT43)-ROW(AT$15),0),
              ROUND(ROUND(OFFSET($P43,0,AT$13),15-13*ORÇAMENTO!$AF$7)*OFFSET(ORÇAMENTO!$W$15,ROW(AT43)-ROW(AT$15),0),15-13*ORÇAMENTO!$AF$11)),
         0)</f>
        <v>2346.86</v>
      </c>
      <c r="AU43" s="352" t="n">
        <f aca="true">IF(AND($D43="Serviço",AU$12&lt;&gt;0,$H43&gt;0,OR(AUTOEVENTO&lt;&gt;"manual",$M43&lt;&gt;$A$15)),
        IF(Import.TipoArredondamento&lt;&gt;"TransfereGOV",
              ROUND(OFFSET($P43,0,AU$13),15-13*ORÇAMENTO!$AF$7)/$H43*OFFSET(ORÇAMENTO!$X$15,ROW(AU43)-ROW(AU$15),0),
              ROUND(ROUND(OFFSET($P43,0,AU$13),15-13*ORÇAMENTO!$AF$7)*OFFSET(ORÇAMENTO!$W$15,ROW(AU43)-ROW(AU$15),0),15-13*ORÇAMENTO!$AF$11)),
         0)</f>
        <v>2346.86</v>
      </c>
      <c r="AV43" s="352" t="n">
        <f aca="true">IF(AND($D43="Serviço",AV$12&lt;&gt;0,$H43&gt;0,OR(AUTOEVENTO&lt;&gt;"manual",$M43&lt;&gt;$A$15)),
        IF(Import.TipoArredondamento&lt;&gt;"TransfereGOV",
              ROUND(OFFSET($P43,0,AV$13),15-13*ORÇAMENTO!$AF$7)/$H43*OFFSET(ORÇAMENTO!$X$15,ROW(AV43)-ROW(AV$15),0),
              ROUND(ROUND(OFFSET($P43,0,AV$13),15-13*ORÇAMENTO!$AF$7)*OFFSET(ORÇAMENTO!$W$15,ROW(AV43)-ROW(AV$15),0),15-13*ORÇAMENTO!$AF$11)),
         0)</f>
        <v>2346.86</v>
      </c>
      <c r="AW43" s="352" t="n">
        <f aca="true">IF(AND($D43="Serviço",AW$12&lt;&gt;0,$H43&gt;0,OR(AUTOEVENTO&lt;&gt;"manual",$M43&lt;&gt;$A$15)),
        IF(Import.TipoArredondamento&lt;&gt;"TransfereGOV",
              ROUND(OFFSET($P43,0,AW$13),15-13*ORÇAMENTO!$AF$7)/$H43*OFFSET(ORÇAMENTO!$X$15,ROW(AW43)-ROW(AW$15),0),
              ROUND(ROUND(OFFSET($P43,0,AW$13),15-13*ORÇAMENTO!$AF$7)*OFFSET(ORÇAMENTO!$W$15,ROW(AW43)-ROW(AW$15),0),15-13*ORÇAMENTO!$AF$11)),
         0)</f>
        <v>2346.86</v>
      </c>
      <c r="AX43" s="352" t="n">
        <f aca="true">IF(AND($D43="Serviço",AX$12&lt;&gt;0,$H43&gt;0,OR(AUTOEVENTO&lt;&gt;"manual",$M43&lt;&gt;$A$15)),
        IF(Import.TipoArredondamento&lt;&gt;"TransfereGOV",
              ROUND(OFFSET($P43,0,AX$13),15-13*ORÇAMENTO!$AF$7)/$H43*OFFSET(ORÇAMENTO!$X$15,ROW(AX43)-ROW(AX$15),0),
              ROUND(ROUND(OFFSET($P43,0,AX$13),15-13*ORÇAMENTO!$AF$7)*OFFSET(ORÇAMENTO!$W$15,ROW(AX43)-ROW(AX$15),0),15-13*ORÇAMENTO!$AF$11)),
         0)</f>
        <v>2346.86</v>
      </c>
      <c r="AY43" s="352" t="n">
        <f aca="true">IF(AND($D43="Serviço",AY$12&lt;&gt;0,$H43&gt;0,OR(AUTOEVENTO&lt;&gt;"manual",$M43&lt;&gt;$A$15)),
        IF(Import.TipoArredondamento&lt;&gt;"TransfereGOV",
              ROUND(OFFSET($P43,0,AY$13),15-13*ORÇAMENTO!$AF$7)/$H43*OFFSET(ORÇAMENTO!$X$15,ROW(AY43)-ROW(AY$15),0),
              ROUND(ROUND(OFFSET($P43,0,AY$13),15-13*ORÇAMENTO!$AF$7)*OFFSET(ORÇAMENTO!$W$15,ROW(AY43)-ROW(AY$15),0),15-13*ORÇAMENTO!$AF$11)),
         0)</f>
        <v>2346.86</v>
      </c>
      <c r="AZ43" s="352" t="n">
        <f aca="true">IF(AND($D43="Serviço",AZ$12&lt;&gt;0,$H43&gt;0,OR(AUTOEVENTO&lt;&gt;"manual",$M43&lt;&gt;$A$15)),
        IF(Import.TipoArredondamento&lt;&gt;"TransfereGOV",
              ROUND(OFFSET($P43,0,AZ$13),15-13*ORÇAMENTO!$AF$7)/$H43*OFFSET(ORÇAMENTO!$X$15,ROW(AZ43)-ROW(AZ$15),0),
              ROUND(ROUND(OFFSET($P43,0,AZ$13),15-13*ORÇAMENTO!$AF$7)*OFFSET(ORÇAMENTO!$W$15,ROW(AZ43)-ROW(AZ$15),0),15-13*ORÇAMENTO!$AF$11)),
         0)</f>
        <v>2346.86</v>
      </c>
      <c r="BA43" s="352" t="n">
        <f aca="true">IF(AND($D43="Serviço",BA$12&lt;&gt;0,$H43&gt;0,OR(AUTOEVENTO&lt;&gt;"manual",$M43&lt;&gt;$A$15)),
        IF(Import.TipoArredondamento&lt;&gt;"TransfereGOV",
              ROUND(OFFSET($P43,0,BA$13),15-13*ORÇAMENTO!$AF$7)/$H43*OFFSET(ORÇAMENTO!$X$15,ROW(BA43)-ROW(BA$15),0),
              ROUND(ROUND(OFFSET($P43,0,BA$13),15-13*ORÇAMENTO!$AF$7)*OFFSET(ORÇAMENTO!$W$15,ROW(BA43)-ROW(BA$15),0),15-13*ORÇAMENTO!$AF$11)),
         0)</f>
        <v>2346.86</v>
      </c>
      <c r="BB43" s="352" t="n">
        <f aca="true">IF(AND($D43="Serviço",BB$12&lt;&gt;0,$H43&gt;0,OR(AUTOEVENTO&lt;&gt;"manual",$M43&lt;&gt;$A$15)),
        IF(Import.TipoArredondamento&lt;&gt;"TransfereGOV",
              ROUND(OFFSET($P43,0,BB$13),15-13*ORÇAMENTO!$AF$7)/$H43*OFFSET(ORÇAMENTO!$X$15,ROW(BB43)-ROW(BB$15),0),
              ROUND(ROUND(OFFSET($P43,0,BB$13),15-13*ORÇAMENTO!$AF$7)*OFFSET(ORÇAMENTO!$W$15,ROW(BB43)-ROW(BB$15),0),15-13*ORÇAMENTO!$AF$11)),
         0)</f>
        <v>2346.86</v>
      </c>
      <c r="BC43" s="352" t="n">
        <f aca="true">IF(AND($D43="Serviço",BC$12&lt;&gt;0,$H43&gt;0,OR(AUTOEVENTO&lt;&gt;"manual",$M43&lt;&gt;$A$15)),
        IF(Import.TipoArredondamento&lt;&gt;"TransfereGOV",
              ROUND(OFFSET($P43,0,BC$13),15-13*ORÇAMENTO!$AF$7)/$H43*OFFSET(ORÇAMENTO!$X$15,ROW(BC43)-ROW(BC$15),0),
              ROUND(ROUND(OFFSET($P43,0,BC$13),15-13*ORÇAMENTO!$AF$7)*OFFSET(ORÇAMENTO!$W$15,ROW(BC43)-ROW(BC$15),0),15-13*ORÇAMENTO!$AF$11)),
         0)</f>
        <v>2346.86</v>
      </c>
      <c r="BD43" s="352" t="n">
        <f aca="true">IF(AND($D43="Serviço",BD$12&lt;&gt;0,$H43&gt;0,OR(AUTOEVENTO&lt;&gt;"manual",$M43&lt;&gt;$A$15)),
        IF(Import.TipoArredondamento&lt;&gt;"TransfereGOV",
              ROUND(OFFSET($P43,0,BD$13),15-13*ORÇAMENTO!$AF$7)/$H43*OFFSET(ORÇAMENTO!$X$15,ROW(BD43)-ROW(BD$15),0),
              ROUND(ROUND(OFFSET($P43,0,BD$13),15-13*ORÇAMENTO!$AF$7)*OFFSET(ORÇAMENTO!$W$15,ROW(BD43)-ROW(BD$15),0),15-13*ORÇAMENTO!$AF$11)),
         0)</f>
        <v>2346.86</v>
      </c>
      <c r="BE43" s="352" t="n">
        <f aca="true">IF(AND($D43="Serviço",BE$12&lt;&gt;0,$H43&gt;0,OR(AUTOEVENTO&lt;&gt;"manual",$M43&lt;&gt;$A$15)),
        IF(Import.TipoArredondamento&lt;&gt;"TransfereGOV",
              ROUND(OFFSET($P43,0,BE$13),15-13*ORÇAMENTO!$AF$7)/$H43*OFFSET(ORÇAMENTO!$X$15,ROW(BE43)-ROW(BE$15),0),
              ROUND(ROUND(OFFSET($P43,0,BE$13),15-13*ORÇAMENTO!$AF$7)*OFFSET(ORÇAMENTO!$W$15,ROW(BE43)-ROW(BE$15),0),15-13*ORÇAMENTO!$AF$11)),
         0)</f>
        <v>2346.86</v>
      </c>
      <c r="BF43" s="352" t="n">
        <f aca="true">IF(AND($D43="Serviço",BF$12&lt;&gt;0,$H43&gt;0,OR(AUTOEVENTO&lt;&gt;"manual",$M43&lt;&gt;$A$15)),
        IF(Import.TipoArredondamento&lt;&gt;"TransfereGOV",
              ROUND(OFFSET($P43,0,BF$13),15-13*ORÇAMENTO!$AF$7)/$H43*OFFSET(ORÇAMENTO!$X$15,ROW(BF43)-ROW(BF$15),0),
              ROUND(ROUND(OFFSET($P43,0,BF$13),15-13*ORÇAMENTO!$AF$7)*OFFSET(ORÇAMENTO!$W$15,ROW(BF43)-ROW(BF$15),0),15-13*ORÇAMENTO!$AF$11)),
         0)</f>
        <v>2346.86</v>
      </c>
      <c r="BG43" s="352" t="n">
        <f aca="true">IF(AND($D43="Serviço",BG$12&lt;&gt;0,$H43&gt;0,OR(AUTOEVENTO&lt;&gt;"manual",$M43&lt;&gt;$A$15)),
        IF(Import.TipoArredondamento&lt;&gt;"TransfereGOV",
              ROUND(OFFSET($P43,0,BG$13),15-13*ORÇAMENTO!$AF$7)/$H43*OFFSET(ORÇAMENTO!$X$15,ROW(BG43)-ROW(BG$15),0),
              ROUND(ROUND(OFFSET($P43,0,BG$13),15-13*ORÇAMENTO!$AF$7)*OFFSET(ORÇAMENTO!$W$15,ROW(BG43)-ROW(BG$15),0),15-13*ORÇAMENTO!$AF$11)),
         0)</f>
        <v>2346.86</v>
      </c>
      <c r="BH43" s="352" t="n">
        <f aca="true">IF(AND($D43="Serviço",BH$12&lt;&gt;0,$H43&gt;0,OR(AUTOEVENTO&lt;&gt;"manual",$M43&lt;&gt;$A$15)),
        IF(Import.TipoArredondamento&lt;&gt;"TransfereGOV",
              ROUND(OFFSET($P43,0,BH$13),15-13*ORÇAMENTO!$AF$7)/$H43*OFFSET(ORÇAMENTO!$X$15,ROW(BH43)-ROW(BH$15),0),
              ROUND(ROUND(OFFSET($P43,0,BH$13),15-13*ORÇAMENTO!$AF$7)*OFFSET(ORÇAMENTO!$W$15,ROW(BH43)-ROW(BH$15),0),15-13*ORÇAMENTO!$AF$11)),
         0)</f>
        <v>2346.86</v>
      </c>
      <c r="BI43" s="352" t="n">
        <f aca="true">IF(AND($D43="Serviço",BI$12&lt;&gt;0,$H43&gt;0,OR(AUTOEVENTO&lt;&gt;"manual",$M43&lt;&gt;$A$15)),
        IF(Import.TipoArredondamento&lt;&gt;"TransfereGOV",
              ROUND(OFFSET($P43,0,BI$13),15-13*ORÇAMENTO!$AF$7)/$H43*OFFSET(ORÇAMENTO!$X$15,ROW(BI43)-ROW(BI$15),0),
              ROUND(ROUND(OFFSET($P43,0,BI$13),15-13*ORÇAMENTO!$AF$7)*OFFSET(ORÇAMENTO!$W$15,ROW(BI43)-ROW(BI$15),0),15-13*ORÇAMENTO!$AF$11)),
         0)</f>
        <v>2346.86</v>
      </c>
      <c r="BJ43" s="352" t="n">
        <f aca="true">IF(AND($D43="Serviço",BJ$12&lt;&gt;0,$H43&gt;0,OR(AUTOEVENTO&lt;&gt;"manual",$M43&lt;&gt;$A$15)),
        IF(Import.TipoArredondamento&lt;&gt;"TransfereGOV",
              ROUND(OFFSET($P43,0,BJ$13),15-13*ORÇAMENTO!$AF$7)/$H43*OFFSET(ORÇAMENTO!$X$15,ROW(BJ43)-ROW(BJ$15),0),
              ROUND(ROUND(OFFSET($P43,0,BJ$13),15-13*ORÇAMENTO!$AF$7)*OFFSET(ORÇAMENTO!$W$15,ROW(BJ43)-ROW(BJ$15),0),15-13*ORÇAMENTO!$AF$11)),
         0)</f>
        <v>2346.86</v>
      </c>
      <c r="BK43" s="352" t="n">
        <f aca="true">IF(AND($D43="Serviço",BK$12&lt;&gt;0,$H43&gt;0,OR(AUTOEVENTO&lt;&gt;"manual",$M43&lt;&gt;$A$15)),
        IF(Import.TipoArredondamento&lt;&gt;"TransfereGOV",
              ROUND(OFFSET($P43,0,BK$13),15-13*ORÇAMENTO!$AF$7)/$H43*OFFSET(ORÇAMENTO!$X$15,ROW(BK43)-ROW(BK$15),0),
              ROUND(ROUND(OFFSET($P43,0,BK$13),15-13*ORÇAMENTO!$AF$7)*OFFSET(ORÇAMENTO!$W$15,ROW(BK43)-ROW(BK$15),0),15-13*ORÇAMENTO!$AF$11)),
         0)</f>
        <v>2346.86</v>
      </c>
      <c r="BL43" s="352" t="n">
        <f aca="true">IF(AND($D43="Serviço",BL$12&lt;&gt;0,$H43&gt;0,OR(AUTOEVENTO&lt;&gt;"manual",$M43&lt;&gt;$A$15)),
        IF(Import.TipoArredondamento&lt;&gt;"TransfereGOV",
              ROUND(OFFSET($P43,0,BL$13),15-13*ORÇAMENTO!$AF$7)/$H43*OFFSET(ORÇAMENTO!$X$15,ROW(BL43)-ROW(BL$15),0),
              ROUND(ROUND(OFFSET($P43,0,BL$13),15-13*ORÇAMENTO!$AF$7)*OFFSET(ORÇAMENTO!$W$15,ROW(BL43)-ROW(BL$15),0),15-13*ORÇAMENTO!$AF$11)),
         0)</f>
        <v>2346.86</v>
      </c>
      <c r="BM43" s="352" t="n">
        <f aca="true">IF(AND($D43="Serviço",BM$12&lt;&gt;0,$H43&gt;0,OR(AUTOEVENTO&lt;&gt;"manual",$M43&lt;&gt;$A$15)),
        IF(Import.TipoArredondamento&lt;&gt;"TransfereGOV",
              ROUND(OFFSET($P43,0,BM$13),15-13*ORÇAMENTO!$AF$7)/$H43*OFFSET(ORÇAMENTO!$X$15,ROW(BM43)-ROW(BM$15),0),
              ROUND(ROUND(OFFSET($P43,0,BM$13),15-13*ORÇAMENTO!$AF$7)*OFFSET(ORÇAMENTO!$W$15,ROW(BM43)-ROW(BM$15),0),15-13*ORÇAMENTO!$AF$11)),
         0)</f>
        <v>2346.86</v>
      </c>
      <c r="BN43" s="352" t="n">
        <f aca="true">IF(AND($D43="Serviço",BN$12&lt;&gt;0,$H43&gt;0,OR(AUTOEVENTO&lt;&gt;"manual",$M43&lt;&gt;$A$15)),
        IF(Import.TipoArredondamento&lt;&gt;"TransfereGOV",
              ROUND(OFFSET($P43,0,BN$13),15-13*ORÇAMENTO!$AF$7)/$H43*OFFSET(ORÇAMENTO!$X$15,ROW(BN43)-ROW(BN$15),0),
              ROUND(ROUND(OFFSET($P43,0,BN$13),15-13*ORÇAMENTO!$AF$7)*OFFSET(ORÇAMENTO!$W$15,ROW(BN43)-ROW(BN$15),0),15-13*ORÇAMENTO!$AF$11)),
         0)</f>
        <v>2346.86</v>
      </c>
      <c r="BO43" s="352" t="n">
        <f aca="true">IF(AND($D43="Serviço",BO$12&lt;&gt;0,$H43&gt;0,OR(AUTOEVENTO&lt;&gt;"manual",$M43&lt;&gt;$A$15)),
        IF(Import.TipoArredondamento&lt;&gt;"TransfereGOV",
              ROUND(OFFSET($P43,0,BO$13),15-13*ORÇAMENTO!$AF$7)/$H43*OFFSET(ORÇAMENTO!$X$15,ROW(BO43)-ROW(BO$15),0),
              ROUND(ROUND(OFFSET($P43,0,BO$13),15-13*ORÇAMENTO!$AF$7)*OFFSET(ORÇAMENTO!$W$15,ROW(BO43)-ROW(BO$15),0),15-13*ORÇAMENTO!$AF$11)),
         0)</f>
        <v>2346.86</v>
      </c>
      <c r="BP43" s="352" t="n">
        <f aca="true">IF(AND($D43="Serviço",BP$12&lt;&gt;0,$H43&gt;0,OR(AUTOEVENTO&lt;&gt;"manual",$M43&lt;&gt;$A$15)),
        IF(Import.TipoArredondamento&lt;&gt;"TransfereGOV",
              ROUND(OFFSET($P43,0,BP$13),15-13*ORÇAMENTO!$AF$7)/$H43*OFFSET(ORÇAMENTO!$X$15,ROW(BP43)-ROW(BP$15),0),
              ROUND(ROUND(OFFSET($P43,0,BP$13),15-13*ORÇAMENTO!$AF$7)*OFFSET(ORÇAMENTO!$W$15,ROW(BP43)-ROW(BP$15),0),15-13*ORÇAMENTO!$AF$11)),
         0)</f>
        <v>2346.86</v>
      </c>
      <c r="BQ43" s="352" t="n">
        <f aca="true">IF(AND($D43="Serviço",BQ$12&lt;&gt;0,$H43&gt;0,OR(AUTOEVENTO&lt;&gt;"manual",$M43&lt;&gt;$A$15)),
        IF(Import.TipoArredondamento&lt;&gt;"TransfereGOV",
              ROUND(OFFSET($P43,0,BQ$13),15-13*ORÇAMENTO!$AF$7)/$H43*OFFSET(ORÇAMENTO!$X$15,ROW(BQ43)-ROW(BQ$15),0),
              ROUND(ROUND(OFFSET($P43,0,BQ$13),15-13*ORÇAMENTO!$AF$7)*OFFSET(ORÇAMENTO!$W$15,ROW(BQ43)-ROW(BQ$15),0),15-13*ORÇAMENTO!$AF$11)),
         0)</f>
        <v>0</v>
      </c>
      <c r="BS43" s="353" t="n">
        <f aca="true">IF(OR($D43&lt;&gt;"Serviço",AND(AUTOEVENTO="Manual",$M43=$A$15)),0,
         IF(OFFSET(CRONOPLE!$F$15,$M43-$A$15,BS$13)=0,10^12,OFFSET(CRONOPLE!$F$15,$M43-$A$15,BS$13)))</f>
        <v>1</v>
      </c>
      <c r="BT43" s="353" t="n">
        <f aca="true">IF(OR($D43&lt;&gt;"Serviço",AND(AUTOEVENTO="Manual",$M43=$A$15)),0,
         IF(OFFSET(CRONOPLE!$F$15,$M43-$A$15,BT$13)=0,10^12,OFFSET(CRONOPLE!$F$15,$M43-$A$15,BT$13)))</f>
        <v>2</v>
      </c>
      <c r="BU43" s="353" t="n">
        <f aca="true">IF(OR($D43&lt;&gt;"Serviço",AND(AUTOEVENTO="Manual",$M43=$A$15)),0,
         IF(OFFSET(CRONOPLE!$F$15,$M43-$A$15,BU$13)=0,10^12,OFFSET(CRONOPLE!$F$15,$M43-$A$15,BU$13)))</f>
        <v>3</v>
      </c>
      <c r="BV43" s="353" t="n">
        <f aca="true">IF(OR($D43&lt;&gt;"Serviço",AND(AUTOEVENTO="Manual",$M43=$A$15)),0,
         IF(OFFSET(CRONOPLE!$F$15,$M43-$A$15,BV$13)=0,10^12,OFFSET(CRONOPLE!$F$15,$M43-$A$15,BV$13)))</f>
        <v>4</v>
      </c>
      <c r="BW43" s="353" t="n">
        <f aca="true">IF(OR($D43&lt;&gt;"Serviço",AND(AUTOEVENTO="Manual",$M43=$A$15)),0,
         IF(OFFSET(CRONOPLE!$F$15,$M43-$A$15,BW$13)=0,10^12,OFFSET(CRONOPLE!$F$15,$M43-$A$15,BW$13)))</f>
        <v>5</v>
      </c>
      <c r="BX43" s="353" t="n">
        <f aca="true">IF(OR($D43&lt;&gt;"Serviço",AND(AUTOEVENTO="Manual",$M43=$A$15)),0,
         IF(OFFSET(CRONOPLE!$F$15,$M43-$A$15,BX$13)=0,10^12,OFFSET(CRONOPLE!$F$15,$M43-$A$15,BX$13)))</f>
        <v>6</v>
      </c>
      <c r="BY43" s="353" t="n">
        <f aca="true">IF(OR($D43&lt;&gt;"Serviço",AND(AUTOEVENTO="Manual",$M43=$A$15)),0,
         IF(OFFSET(CRONOPLE!$F$15,$M43-$A$15,BY$13)=0,10^12,OFFSET(CRONOPLE!$F$15,$M43-$A$15,BY$13)))</f>
        <v>7</v>
      </c>
      <c r="BZ43" s="353" t="n">
        <f aca="true">IF(OR($D43&lt;&gt;"Serviço",AND(AUTOEVENTO="Manual",$M43=$A$15)),0,
         IF(OFFSET(CRONOPLE!$F$15,$M43-$A$15,BZ$13)=0,10^12,OFFSET(CRONOPLE!$F$15,$M43-$A$15,BZ$13)))</f>
        <v>8</v>
      </c>
      <c r="CA43" s="353" t="n">
        <f aca="true">IF(OR($D43&lt;&gt;"Serviço",AND(AUTOEVENTO="Manual",$M43=$A$15)),0,
         IF(OFFSET(CRONOPLE!$F$15,$M43-$A$15,CA$13)=0,10^12,OFFSET(CRONOPLE!$F$15,$M43-$A$15,CA$13)))</f>
        <v>9</v>
      </c>
      <c r="CB43" s="353" t="n">
        <f aca="true">IF(OR($D43&lt;&gt;"Serviço",AND(AUTOEVENTO="Manual",$M43=$A$15)),0,
         IF(OFFSET(CRONOPLE!$F$15,$M43-$A$15,CB$13)=0,10^12,OFFSET(CRONOPLE!$F$15,$M43-$A$15,CB$13)))</f>
        <v>10</v>
      </c>
      <c r="CC43" s="353" t="n">
        <f aca="true">IF(OR($D43&lt;&gt;"Serviço",AND(AUTOEVENTO="Manual",$M43=$A$15)),0,
         IF(OFFSET(CRONOPLE!$F$15,$M43-$A$15,CC$13)=0,10^12,OFFSET(CRONOPLE!$F$15,$M43-$A$15,CC$13)))</f>
        <v>11</v>
      </c>
      <c r="CD43" s="353" t="n">
        <f aca="true">IF(OR($D43&lt;&gt;"Serviço",AND(AUTOEVENTO="Manual",$M43=$A$15)),0,
         IF(OFFSET(CRONOPLE!$F$15,$M43-$A$15,CD$13)=0,10^12,OFFSET(CRONOPLE!$F$15,$M43-$A$15,CD$13)))</f>
        <v>12</v>
      </c>
      <c r="CE43" s="353" t="n">
        <f aca="true">IF(OR($D43&lt;&gt;"Serviço",AND(AUTOEVENTO="Manual",$M43=$A$15)),0,
         IF(OFFSET(CRONOPLE!$F$15,$M43-$A$15,CE$13)=0,10^12,OFFSET(CRONOPLE!$F$15,$M43-$A$15,CE$13)))</f>
        <v>13</v>
      </c>
      <c r="CF43" s="353" t="n">
        <f aca="true">IF(OR($D43&lt;&gt;"Serviço",AND(AUTOEVENTO="Manual",$M43=$A$15)),0,
         IF(OFFSET(CRONOPLE!$F$15,$M43-$A$15,CF$13)=0,10^12,OFFSET(CRONOPLE!$F$15,$M43-$A$15,CF$13)))</f>
        <v>14</v>
      </c>
      <c r="CG43" s="353" t="n">
        <f aca="true">IF(OR($D43&lt;&gt;"Serviço",AND(AUTOEVENTO="Manual",$M43=$A$15)),0,
         IF(OFFSET(CRONOPLE!$F$15,$M43-$A$15,CG$13)=0,10^12,OFFSET(CRONOPLE!$F$15,$M43-$A$15,CG$13)))</f>
        <v>15</v>
      </c>
      <c r="CH43" s="353" t="n">
        <f aca="true">IF(OR($D43&lt;&gt;"Serviço",AND(AUTOEVENTO="Manual",$M43=$A$15)),0,
         IF(OFFSET(CRONOPLE!$F$15,$M43-$A$15,CH$13)=0,10^12,OFFSET(CRONOPLE!$F$15,$M43-$A$15,CH$13)))</f>
        <v>16</v>
      </c>
      <c r="CI43" s="353" t="n">
        <f aca="true">IF(OR($D43&lt;&gt;"Serviço",AND(AUTOEVENTO="Manual",$M43=$A$15)),0,
         IF(OFFSET(CRONOPLE!$F$15,$M43-$A$15,CI$13)=0,10^12,OFFSET(CRONOPLE!$F$15,$M43-$A$15,CI$13)))</f>
        <v>17</v>
      </c>
      <c r="CJ43" s="353" t="n">
        <f aca="true">IF(OR($D43&lt;&gt;"Serviço",AND(AUTOEVENTO="Manual",$M43=$A$15)),0,
         IF(OFFSET(CRONOPLE!$F$15,$M43-$A$15,CJ$13)=0,10^12,OFFSET(CRONOPLE!$F$15,$M43-$A$15,CJ$13)))</f>
        <v>18</v>
      </c>
      <c r="CK43" s="353" t="n">
        <f aca="true">IF(OR($D43&lt;&gt;"Serviço",AND(AUTOEVENTO="Manual",$M43=$A$15)),0,
         IF(OFFSET(CRONOPLE!$F$15,$M43-$A$15,CK$13)=0,10^12,OFFSET(CRONOPLE!$F$15,$M43-$A$15,CK$13)))</f>
        <v>19</v>
      </c>
      <c r="CL43" s="353" t="n">
        <f aca="true">IF(OR($D43&lt;&gt;"Serviço",AND(AUTOEVENTO="Manual",$M43=$A$15)),0,
         IF(OFFSET(CRONOPLE!$F$15,$M43-$A$15,CL$13)=0,10^12,OFFSET(CRONOPLE!$F$15,$M43-$A$15,CL$13)))</f>
        <v>20</v>
      </c>
      <c r="CM43" s="353" t="n">
        <f aca="true">IF(OR($D43&lt;&gt;"Serviço",AND(AUTOEVENTO="Manual",$M43=$A$15)),0,
         IF(OFFSET(CRONOPLE!$F$15,$M43-$A$15,CM$13)=0,10^12,OFFSET(CRONOPLE!$F$15,$M43-$A$15,CM$13)))</f>
        <v>21</v>
      </c>
      <c r="CN43" s="353" t="n">
        <f aca="true">IF(OR($D43&lt;&gt;"Serviço",AND(AUTOEVENTO="Manual",$M43=$A$15)),0,
         IF(OFFSET(CRONOPLE!$F$15,$M43-$A$15,CN$13)=0,10^12,OFFSET(CRONOPLE!$F$15,$M43-$A$15,CN$13)))</f>
        <v>22</v>
      </c>
      <c r="CO43" s="353" t="n">
        <f aca="true">IF(OR($D43&lt;&gt;"Serviço",AND(AUTOEVENTO="Manual",$M43=$A$15)),0,
         IF(OFFSET(CRONOPLE!$F$15,$M43-$A$15,CO$13)=0,10^12,OFFSET(CRONOPLE!$F$15,$M43-$A$15,CO$13)))</f>
        <v>23</v>
      </c>
      <c r="CP43" s="353" t="n">
        <f aca="true">IF(OR($D43&lt;&gt;"Serviço",AND(AUTOEVENTO="Manual",$M43=$A$15)),0,
         IF(OFFSET(CRONOPLE!$F$15,$M43-$A$15,CP$13)=0,10^12,OFFSET(CRONOPLE!$F$15,$M43-$A$15,CP$13)))</f>
        <v>24</v>
      </c>
      <c r="CQ43" s="353" t="n">
        <f aca="true">IF(OR($D43&lt;&gt;"Serviço",AND(AUTOEVENTO="Manual",$M43=$A$15)),0,
         IF(OFFSET(CRONOPLE!$F$15,$M43-$A$15,CQ$13)=0,10^12,OFFSET(CRONOPLE!$F$15,$M43-$A$15,CQ$13)))</f>
        <v>25</v>
      </c>
      <c r="CR43" s="353" t="n">
        <f aca="true">IF(OR($D43&lt;&gt;"Serviço",AND(AUTOEVENTO="Manual",$M43=$A$15)),0,
         IF(OFFSET(CRONOPLE!$F$15,$M43-$A$15,CR$13)=0,10^12,OFFSET(CRONOPLE!$F$15,$M43-$A$15,CR$13)))</f>
        <v>1000000000000</v>
      </c>
      <c r="CT43" s="354" t="n">
        <f aca="true">IF(OR($D43&lt;&gt;"Serviço",AND(AUTOEVENTO="Manual",$M43=$A$15),$M43&gt;(ROW(PLE.lastrow)-ROW(PLE.firstrow))),0,
           IF(OFFSET(PLE!$G$15,$M43-$A$15,CT$13)="",10^12,OFFSET(PLE!$G$15,$M43-$A$15,CT$13)))</f>
        <v>1000000000000</v>
      </c>
      <c r="CU43" s="354" t="n">
        <f aca="true">IF(OR($D43&lt;&gt;"Serviço",AND(AUTOEVENTO="Manual",$M43=$A$15),$M43&gt;(ROW(PLE.lastrow)-ROW(PLE.firstrow))),0,
           IF(OFFSET(PLE!$G$15,$M43-$A$15,CU$13)="",10^12,OFFSET(PLE!$G$15,$M43-$A$15,CU$13)))</f>
        <v>1000000000000</v>
      </c>
      <c r="CV43" s="354" t="n">
        <f aca="true">IF(OR($D43&lt;&gt;"Serviço",AND(AUTOEVENTO="Manual",$M43=$A$15),$M43&gt;(ROW(PLE.lastrow)-ROW(PLE.firstrow))),0,
           IF(OFFSET(PLE!$G$15,$M43-$A$15,CV$13)="",10^12,OFFSET(PLE!$G$15,$M43-$A$15,CV$13)))</f>
        <v>1000000000000</v>
      </c>
      <c r="CW43" s="354" t="n">
        <f aca="true">IF(OR($D43&lt;&gt;"Serviço",AND(AUTOEVENTO="Manual",$M43=$A$15),$M43&gt;(ROW(PLE.lastrow)-ROW(PLE.firstrow))),0,
           IF(OFFSET(PLE!$G$15,$M43-$A$15,CW$13)="",10^12,OFFSET(PLE!$G$15,$M43-$A$15,CW$13)))</f>
        <v>1000000000000</v>
      </c>
      <c r="CX43" s="354" t="n">
        <f aca="true">IF(OR($D43&lt;&gt;"Serviço",AND(AUTOEVENTO="Manual",$M43=$A$15),$M43&gt;(ROW(PLE.lastrow)-ROW(PLE.firstrow))),0,
           IF(OFFSET(PLE!$G$15,$M43-$A$15,CX$13)="",10^12,OFFSET(PLE!$G$15,$M43-$A$15,CX$13)))</f>
        <v>1000000000000</v>
      </c>
      <c r="CY43" s="354" t="n">
        <f aca="true">IF(OR($D43&lt;&gt;"Serviço",AND(AUTOEVENTO="Manual",$M43=$A$15),$M43&gt;(ROW(PLE.lastrow)-ROW(PLE.firstrow))),0,
           IF(OFFSET(PLE!$G$15,$M43-$A$15,CY$13)="",10^12,OFFSET(PLE!$G$15,$M43-$A$15,CY$13)))</f>
        <v>1000000000000</v>
      </c>
      <c r="CZ43" s="354" t="n">
        <f aca="true">IF(OR($D43&lt;&gt;"Serviço",AND(AUTOEVENTO="Manual",$M43=$A$15),$M43&gt;(ROW(PLE.lastrow)-ROW(PLE.firstrow))),0,
           IF(OFFSET(PLE!$G$15,$M43-$A$15,CZ$13)="",10^12,OFFSET(PLE!$G$15,$M43-$A$15,CZ$13)))</f>
        <v>1000000000000</v>
      </c>
      <c r="DA43" s="354" t="n">
        <f aca="true">IF(OR($D43&lt;&gt;"Serviço",AND(AUTOEVENTO="Manual",$M43=$A$15),$M43&gt;(ROW(PLE.lastrow)-ROW(PLE.firstrow))),0,
           IF(OFFSET(PLE!$G$15,$M43-$A$15,DA$13)="",10^12,OFFSET(PLE!$G$15,$M43-$A$15,DA$13)))</f>
        <v>1000000000000</v>
      </c>
      <c r="DB43" s="354" t="n">
        <f aca="true">IF(OR($D43&lt;&gt;"Serviço",AND(AUTOEVENTO="Manual",$M43=$A$15),$M43&gt;(ROW(PLE.lastrow)-ROW(PLE.firstrow))),0,
           IF(OFFSET(PLE!$G$15,$M43-$A$15,DB$13)="",10^12,OFFSET(PLE!$G$15,$M43-$A$15,DB$13)))</f>
        <v>1000000000000</v>
      </c>
      <c r="DC43" s="354" t="n">
        <f aca="true">IF(OR($D43&lt;&gt;"Serviço",AND(AUTOEVENTO="Manual",$M43=$A$15),$M43&gt;(ROW(PLE.lastrow)-ROW(PLE.firstrow))),0,
           IF(OFFSET(PLE!$G$15,$M43-$A$15,DC$13)="",10^12,OFFSET(PLE!$G$15,$M43-$A$15,DC$13)))</f>
        <v>1000000000000</v>
      </c>
      <c r="DD43" s="354" t="n">
        <f aca="true">IF(OR($D43&lt;&gt;"Serviço",AND(AUTOEVENTO="Manual",$M43=$A$15),$M43&gt;(ROW(PLE.lastrow)-ROW(PLE.firstrow))),0,
           IF(OFFSET(PLE!$G$15,$M43-$A$15,DD$13)="",10^12,OFFSET(PLE!$G$15,$M43-$A$15,DD$13)))</f>
        <v>1000000000000</v>
      </c>
      <c r="DE43" s="354" t="n">
        <f aca="true">IF(OR($D43&lt;&gt;"Serviço",AND(AUTOEVENTO="Manual",$M43=$A$15),$M43&gt;(ROW(PLE.lastrow)-ROW(PLE.firstrow))),0,
           IF(OFFSET(PLE!$G$15,$M43-$A$15,DE$13)="",10^12,OFFSET(PLE!$G$15,$M43-$A$15,DE$13)))</f>
        <v>1000000000000</v>
      </c>
      <c r="DF43" s="354" t="n">
        <f aca="true">IF(OR($D43&lt;&gt;"Serviço",AND(AUTOEVENTO="Manual",$M43=$A$15),$M43&gt;(ROW(PLE.lastrow)-ROW(PLE.firstrow))),0,
           IF(OFFSET(PLE!$G$15,$M43-$A$15,DF$13)="",10^12,OFFSET(PLE!$G$15,$M43-$A$15,DF$13)))</f>
        <v>1000000000000</v>
      </c>
      <c r="DG43" s="354" t="n">
        <f aca="true">IF(OR($D43&lt;&gt;"Serviço",AND(AUTOEVENTO="Manual",$M43=$A$15),$M43&gt;(ROW(PLE.lastrow)-ROW(PLE.firstrow))),0,
           IF(OFFSET(PLE!$G$15,$M43-$A$15,DG$13)="",10^12,OFFSET(PLE!$G$15,$M43-$A$15,DG$13)))</f>
        <v>1000000000000</v>
      </c>
      <c r="DH43" s="354" t="n">
        <f aca="true">IF(OR($D43&lt;&gt;"Serviço",AND(AUTOEVENTO="Manual",$M43=$A$15),$M43&gt;(ROW(PLE.lastrow)-ROW(PLE.firstrow))),0,
           IF(OFFSET(PLE!$G$15,$M43-$A$15,DH$13)="",10^12,OFFSET(PLE!$G$15,$M43-$A$15,DH$13)))</f>
        <v>1000000000000</v>
      </c>
      <c r="DI43" s="354" t="n">
        <f aca="true">IF(OR($D43&lt;&gt;"Serviço",AND(AUTOEVENTO="Manual",$M43=$A$15),$M43&gt;(ROW(PLE.lastrow)-ROW(PLE.firstrow))),0,
           IF(OFFSET(PLE!$G$15,$M43-$A$15,DI$13)="",10^12,OFFSET(PLE!$G$15,$M43-$A$15,DI$13)))</f>
        <v>1000000000000</v>
      </c>
      <c r="DJ43" s="354" t="n">
        <f aca="true">IF(OR($D43&lt;&gt;"Serviço",AND(AUTOEVENTO="Manual",$M43=$A$15),$M43&gt;(ROW(PLE.lastrow)-ROW(PLE.firstrow))),0,
           IF(OFFSET(PLE!$G$15,$M43-$A$15,DJ$13)="",10^12,OFFSET(PLE!$G$15,$M43-$A$15,DJ$13)))</f>
        <v>1000000000000</v>
      </c>
      <c r="DK43" s="354" t="n">
        <f aca="true">IF(OR($D43&lt;&gt;"Serviço",AND(AUTOEVENTO="Manual",$M43=$A$15),$M43&gt;(ROW(PLE.lastrow)-ROW(PLE.firstrow))),0,
           IF(OFFSET(PLE!$G$15,$M43-$A$15,DK$13)="",10^12,OFFSET(PLE!$G$15,$M43-$A$15,DK$13)))</f>
        <v>1000000000000</v>
      </c>
      <c r="DL43" s="354" t="n">
        <f aca="true">IF(OR($D43&lt;&gt;"Serviço",AND(AUTOEVENTO="Manual",$M43=$A$15),$M43&gt;(ROW(PLE.lastrow)-ROW(PLE.firstrow))),0,
           IF(OFFSET(PLE!$G$15,$M43-$A$15,DL$13)="",10^12,OFFSET(PLE!$G$15,$M43-$A$15,DL$13)))</f>
        <v>1000000000000</v>
      </c>
      <c r="DM43" s="354" t="n">
        <f aca="true">IF(OR($D43&lt;&gt;"Serviço",AND(AUTOEVENTO="Manual",$M43=$A$15),$M43&gt;(ROW(PLE.lastrow)-ROW(PLE.firstrow))),0,
           IF(OFFSET(PLE!$G$15,$M43-$A$15,DM$13)="",10^12,OFFSET(PLE!$G$15,$M43-$A$15,DM$13)))</f>
        <v>1000000000000</v>
      </c>
      <c r="DN43" s="354" t="n">
        <f aca="true">IF(OR($D43&lt;&gt;"Serviço",AND(AUTOEVENTO="Manual",$M43=$A$15),$M43&gt;(ROW(PLE.lastrow)-ROW(PLE.firstrow))),0,
           IF(OFFSET(PLE!$G$15,$M43-$A$15,DN$13)="",10^12,OFFSET(PLE!$G$15,$M43-$A$15,DN$13)))</f>
        <v>1000000000000</v>
      </c>
      <c r="DO43" s="354" t="n">
        <f aca="true">IF(OR($D43&lt;&gt;"Serviço",AND(AUTOEVENTO="Manual",$M43=$A$15),$M43&gt;(ROW(PLE.lastrow)-ROW(PLE.firstrow))),0,
           IF(OFFSET(PLE!$G$15,$M43-$A$15,DO$13)="",10^12,OFFSET(PLE!$G$15,$M43-$A$15,DO$13)))</f>
        <v>1000000000000</v>
      </c>
      <c r="DP43" s="354" t="n">
        <f aca="true">IF(OR($D43&lt;&gt;"Serviço",AND(AUTOEVENTO="Manual",$M43=$A$15),$M43&gt;(ROW(PLE.lastrow)-ROW(PLE.firstrow))),0,
           IF(OFFSET(PLE!$G$15,$M43-$A$15,DP$13)="",10^12,OFFSET(PLE!$G$15,$M43-$A$15,DP$13)))</f>
        <v>1000000000000</v>
      </c>
      <c r="DQ43" s="354" t="n">
        <f aca="true">IF(OR($D43&lt;&gt;"Serviço",AND(AUTOEVENTO="Manual",$M43=$A$15),$M43&gt;(ROW(PLE.lastrow)-ROW(PLE.firstrow))),0,
           IF(OFFSET(PLE!$G$15,$M43-$A$15,DQ$13)="",10^12,OFFSET(PLE!$G$15,$M43-$A$15,DQ$13)))</f>
        <v>1000000000000</v>
      </c>
      <c r="DR43" s="354" t="n">
        <f aca="true">IF(OR($D43&lt;&gt;"Serviço",AND(AUTOEVENTO="Manual",$M43=$A$15),$M43&gt;(ROW(PLE.lastrow)-ROW(PLE.firstrow))),0,
           IF(OFFSET(PLE!$G$15,$M43-$A$15,DR$13)="",10^12,OFFSET(PLE!$G$15,$M43-$A$15,DR$13)))</f>
        <v>1000000000000</v>
      </c>
      <c r="DS43" s="354" t="n">
        <f aca="true">IF(OR($D43&lt;&gt;"Serviço",AND(AUTOEVENTO="Manual",$M43=$A$15),$M43&gt;(ROW(PLE.lastrow)-ROW(PLE.firstrow))),0,
           IF(OFFSET(PLE!$G$15,$M43-$A$15,DS$13)="",10^12,OFFSET(PLE!$G$15,$M43-$A$15,DS$13)))</f>
        <v>1000000000000</v>
      </c>
    </row>
    <row r="44" customFormat="false" ht="35.05" hidden="false" customHeight="false" outlineLevel="0" collapsed="false">
      <c r="A44" s="50" t="str">
        <f aca="true">IFERROR(IF(AUTOEVENTO="Manual",IF(K44&lt;&gt;"",MIN(VALUE(LEFT(K44,FIND(".",K44)-1)),COUNTA(EVENTOS.Lista)),0),IF(OR($B44&gt;AUTOEVENTO,$B44="S",$B44=0),SUBSTITUTE(OFFSET($A44,-1,0),IF($D44="Serviço",".",""),""),ROW(A44)-ROW($A$15)&amp;".")),0)</f>
        <v>24</v>
      </c>
      <c r="B44" s="50" t="str">
        <f aca="true">OFFSET(ORÇAMENTO!C$15,ROW(B44)-ROW(B$15),0)</f>
        <v>S</v>
      </c>
      <c r="C44" s="50" t="str">
        <f aca="true">OFFSET(ORÇAMENTO!L$15,ROW(C44)-ROW(C$15),0)</f>
        <v>F</v>
      </c>
      <c r="D44" s="201" t="str">
        <f aca="true">OFFSET(ORÇAMENTO!N$15,ROW(D44)-ROW(D$15),0)</f>
        <v>Serviço</v>
      </c>
      <c r="E44" s="202" t="str">
        <f aca="true">OFFSET(ORÇAMENTO!O$15,ROW(E44)-ROW(E$15),0)</f>
        <v>1.6.5.</v>
      </c>
      <c r="F44" s="341" t="str">
        <f aca="true">OFFSET(ORÇAMENTO!R$15,ROW(F44)-ROW(F$15),0)</f>
        <v>CONCRETO FCK = 25MPA, TRAÇO 1:2,3:2,7 (EM MASSA SECA DE CIMENTO/ AREIAMÉDIA/ BRITA 1) - PREPARO MECÂNICO COM BETONEIRA 400 L</v>
      </c>
      <c r="G44" s="342" t="str">
        <f aca="true">IF($D44&lt;&gt;"Serviço","",OFFSET(ORÇAMENTO!S$15,ROW(G44)-ROW(G$15),0))</f>
        <v>M3</v>
      </c>
      <c r="H44" s="207" t="n">
        <f aca="true">IF($D44&lt;&gt;"Serviço",0,IF(ACOMPANHAMENTO="BM",ROUND(OFFSET(ORÇAMENTO!AJ$15,ROW(H44)-ROW(H$15),0),15-13*ORÇAMENTO!$AF$7),SUMPRODUCT(($Q$1:$AQ$1=1)*ROUND($Q44:$AQ44,15-13*ORÇAMENTO!$AF$7))))</f>
        <v>45.75</v>
      </c>
      <c r="I44" s="343" t="s">
        <v>929</v>
      </c>
      <c r="J44" s="344" t="e">
        <f aca="false">IF(OR(B44&lt;&gt;"S",CÁLCULO.FrentesPreenchidas=0),"",IF(AND(ACOMPANHAMENTO="PLE",AUTOEVENTO="Manual",OR(H44&gt;0,ORÇAMENTO!AC44="QUANT."),OR(K44="",M44=0,N44="")),"►",IF(AND(ACOMPANHAMENTO="PLE",ORÇAMENTO!AC44="QUANT."),"►►",IF(AND(COUNTIF($P$11:$AQ$11,"▼")=0,H44&gt;0,I44=""),"◄",""))))</f>
        <v>#NAME?</v>
      </c>
      <c r="K44" s="345"/>
      <c r="L44" s="346" t="s">
        <v>876</v>
      </c>
      <c r="M44" s="347" t="n">
        <f aca="true">IF($D44&lt;&gt;"Serviço","",
          IF(AUTOEVENTO="manual",$A44,
                IF(ISERROR(MATCH($A44,$A$15:OFFSET($A44,-1,0),0)),MAX($M$15:OFFSET(M44,-1,0))+1,
                      INDEX($M$15:OFFSET(M44,-1,0),MATCH($A44,$A$15:OFFSET($A44,-1,0),0)))))</f>
        <v>4</v>
      </c>
      <c r="N44" s="348" t="str">
        <f aca="true">IF($D44&lt;&gt;"Serviço","",
         IF(AUTOEVENTO="Manual",
                IF($A44=0,"&lt;-- defina o número do agrupador",
                       OFFSET(EVENTOS!$D$15,$A44-$A$15,0)),
                OFFSET($F$15,$A44,0)))</f>
        <v>BALDRAMES</v>
      </c>
      <c r="O44" s="349"/>
      <c r="Q44" s="349" t="n">
        <v>1.83</v>
      </c>
      <c r="R44" s="350" t="n">
        <f aca="false">Q44</f>
        <v>1.83</v>
      </c>
      <c r="S44" s="350" t="n">
        <f aca="false">R44</f>
        <v>1.83</v>
      </c>
      <c r="T44" s="350" t="n">
        <f aca="false">S44</f>
        <v>1.83</v>
      </c>
      <c r="U44" s="350" t="n">
        <f aca="false">T44</f>
        <v>1.83</v>
      </c>
      <c r="V44" s="350" t="n">
        <f aca="false">U44</f>
        <v>1.83</v>
      </c>
      <c r="W44" s="350" t="n">
        <f aca="false">V44</f>
        <v>1.83</v>
      </c>
      <c r="X44" s="350" t="n">
        <f aca="false">W44</f>
        <v>1.83</v>
      </c>
      <c r="Y44" s="350" t="n">
        <f aca="false">X44</f>
        <v>1.83</v>
      </c>
      <c r="Z44" s="351" t="n">
        <f aca="false">Y44</f>
        <v>1.83</v>
      </c>
      <c r="AA44" s="350" t="n">
        <f aca="false">Z44</f>
        <v>1.83</v>
      </c>
      <c r="AB44" s="350" t="n">
        <f aca="false">AA44</f>
        <v>1.83</v>
      </c>
      <c r="AC44" s="350" t="n">
        <f aca="false">AB44</f>
        <v>1.83</v>
      </c>
      <c r="AD44" s="350" t="n">
        <f aca="false">AC44</f>
        <v>1.83</v>
      </c>
      <c r="AE44" s="350" t="n">
        <f aca="false">AD44</f>
        <v>1.83</v>
      </c>
      <c r="AF44" s="350" t="n">
        <f aca="false">AE44</f>
        <v>1.83</v>
      </c>
      <c r="AG44" s="350" t="n">
        <f aca="false">AF44</f>
        <v>1.83</v>
      </c>
      <c r="AH44" s="351" t="n">
        <f aca="false">AG44</f>
        <v>1.83</v>
      </c>
      <c r="AI44" s="350" t="n">
        <f aca="false">AH44</f>
        <v>1.83</v>
      </c>
      <c r="AJ44" s="350" t="n">
        <f aca="false">AI44</f>
        <v>1.83</v>
      </c>
      <c r="AK44" s="350" t="n">
        <f aca="false">AJ44</f>
        <v>1.83</v>
      </c>
      <c r="AL44" s="350" t="n">
        <f aca="false">AK44</f>
        <v>1.83</v>
      </c>
      <c r="AM44" s="350" t="n">
        <f aca="false">AL44</f>
        <v>1.83</v>
      </c>
      <c r="AN44" s="350" t="n">
        <f aca="false">AM44</f>
        <v>1.83</v>
      </c>
      <c r="AO44" s="350" t="n">
        <f aca="false">AN44</f>
        <v>1.83</v>
      </c>
      <c r="AP44" s="351"/>
      <c r="AR44" s="352" t="n">
        <f aca="true">IF(AND($D44="Serviço",AR$12&lt;&gt;0,$H44&gt;0,OR(AUTOEVENTO&lt;&gt;"manual",$M44&lt;&gt;$A$15)),
        IF(Import.TipoArredondamento&lt;&gt;"TransfereGOV",
              ROUND(OFFSET($P44,0,AR$13),15-13*ORÇAMENTO!$AF$7)/$H44*OFFSET(ORÇAMENTO!$X$15,ROW(AR44)-ROW(AR$15),0),
              ROUND(ROUND(OFFSET($P44,0,AR$13),15-13*ORÇAMENTO!$AF$7)*OFFSET(ORÇAMENTO!$W$15,ROW(AR44)-ROW(AR$15),0),15-13*ORÇAMENTO!$AF$11)),
         0)</f>
        <v>1315.79</v>
      </c>
      <c r="AS44" s="352" t="n">
        <f aca="true">IF(AND($D44="Serviço",AS$12&lt;&gt;0,$H44&gt;0,OR(AUTOEVENTO&lt;&gt;"manual",$M44&lt;&gt;$A$15)),
        IF(Import.TipoArredondamento&lt;&gt;"TransfereGOV",
              ROUND(OFFSET($P44,0,AS$13),15-13*ORÇAMENTO!$AF$7)/$H44*OFFSET(ORÇAMENTO!$X$15,ROW(AS44)-ROW(AS$15),0),
              ROUND(ROUND(OFFSET($P44,0,AS$13),15-13*ORÇAMENTO!$AF$7)*OFFSET(ORÇAMENTO!$W$15,ROW(AS44)-ROW(AS$15),0),15-13*ORÇAMENTO!$AF$11)),
         0)</f>
        <v>1315.79</v>
      </c>
      <c r="AT44" s="352" t="n">
        <f aca="true">IF(AND($D44="Serviço",AT$12&lt;&gt;0,$H44&gt;0,OR(AUTOEVENTO&lt;&gt;"manual",$M44&lt;&gt;$A$15)),
        IF(Import.TipoArredondamento&lt;&gt;"TransfereGOV",
              ROUND(OFFSET($P44,0,AT$13),15-13*ORÇAMENTO!$AF$7)/$H44*OFFSET(ORÇAMENTO!$X$15,ROW(AT44)-ROW(AT$15),0),
              ROUND(ROUND(OFFSET($P44,0,AT$13),15-13*ORÇAMENTO!$AF$7)*OFFSET(ORÇAMENTO!$W$15,ROW(AT44)-ROW(AT$15),0),15-13*ORÇAMENTO!$AF$11)),
         0)</f>
        <v>1315.79</v>
      </c>
      <c r="AU44" s="352" t="n">
        <f aca="true">IF(AND($D44="Serviço",AU$12&lt;&gt;0,$H44&gt;0,OR(AUTOEVENTO&lt;&gt;"manual",$M44&lt;&gt;$A$15)),
        IF(Import.TipoArredondamento&lt;&gt;"TransfereGOV",
              ROUND(OFFSET($P44,0,AU$13),15-13*ORÇAMENTO!$AF$7)/$H44*OFFSET(ORÇAMENTO!$X$15,ROW(AU44)-ROW(AU$15),0),
              ROUND(ROUND(OFFSET($P44,0,AU$13),15-13*ORÇAMENTO!$AF$7)*OFFSET(ORÇAMENTO!$W$15,ROW(AU44)-ROW(AU$15),0),15-13*ORÇAMENTO!$AF$11)),
         0)</f>
        <v>1315.79</v>
      </c>
      <c r="AV44" s="352" t="n">
        <f aca="true">IF(AND($D44="Serviço",AV$12&lt;&gt;0,$H44&gt;0,OR(AUTOEVENTO&lt;&gt;"manual",$M44&lt;&gt;$A$15)),
        IF(Import.TipoArredondamento&lt;&gt;"TransfereGOV",
              ROUND(OFFSET($P44,0,AV$13),15-13*ORÇAMENTO!$AF$7)/$H44*OFFSET(ORÇAMENTO!$X$15,ROW(AV44)-ROW(AV$15),0),
              ROUND(ROUND(OFFSET($P44,0,AV$13),15-13*ORÇAMENTO!$AF$7)*OFFSET(ORÇAMENTO!$W$15,ROW(AV44)-ROW(AV$15),0),15-13*ORÇAMENTO!$AF$11)),
         0)</f>
        <v>1315.79</v>
      </c>
      <c r="AW44" s="352" t="n">
        <f aca="true">IF(AND($D44="Serviço",AW$12&lt;&gt;0,$H44&gt;0,OR(AUTOEVENTO&lt;&gt;"manual",$M44&lt;&gt;$A$15)),
        IF(Import.TipoArredondamento&lt;&gt;"TransfereGOV",
              ROUND(OFFSET($P44,0,AW$13),15-13*ORÇAMENTO!$AF$7)/$H44*OFFSET(ORÇAMENTO!$X$15,ROW(AW44)-ROW(AW$15),0),
              ROUND(ROUND(OFFSET($P44,0,AW$13),15-13*ORÇAMENTO!$AF$7)*OFFSET(ORÇAMENTO!$W$15,ROW(AW44)-ROW(AW$15),0),15-13*ORÇAMENTO!$AF$11)),
         0)</f>
        <v>1315.79</v>
      </c>
      <c r="AX44" s="352" t="n">
        <f aca="true">IF(AND($D44="Serviço",AX$12&lt;&gt;0,$H44&gt;0,OR(AUTOEVENTO&lt;&gt;"manual",$M44&lt;&gt;$A$15)),
        IF(Import.TipoArredondamento&lt;&gt;"TransfereGOV",
              ROUND(OFFSET($P44,0,AX$13),15-13*ORÇAMENTO!$AF$7)/$H44*OFFSET(ORÇAMENTO!$X$15,ROW(AX44)-ROW(AX$15),0),
              ROUND(ROUND(OFFSET($P44,0,AX$13),15-13*ORÇAMENTO!$AF$7)*OFFSET(ORÇAMENTO!$W$15,ROW(AX44)-ROW(AX$15),0),15-13*ORÇAMENTO!$AF$11)),
         0)</f>
        <v>1315.79</v>
      </c>
      <c r="AY44" s="352" t="n">
        <f aca="true">IF(AND($D44="Serviço",AY$12&lt;&gt;0,$H44&gt;0,OR(AUTOEVENTO&lt;&gt;"manual",$M44&lt;&gt;$A$15)),
        IF(Import.TipoArredondamento&lt;&gt;"TransfereGOV",
              ROUND(OFFSET($P44,0,AY$13),15-13*ORÇAMENTO!$AF$7)/$H44*OFFSET(ORÇAMENTO!$X$15,ROW(AY44)-ROW(AY$15),0),
              ROUND(ROUND(OFFSET($P44,0,AY$13),15-13*ORÇAMENTO!$AF$7)*OFFSET(ORÇAMENTO!$W$15,ROW(AY44)-ROW(AY$15),0),15-13*ORÇAMENTO!$AF$11)),
         0)</f>
        <v>1315.79</v>
      </c>
      <c r="AZ44" s="352" t="n">
        <f aca="true">IF(AND($D44="Serviço",AZ$12&lt;&gt;0,$H44&gt;0,OR(AUTOEVENTO&lt;&gt;"manual",$M44&lt;&gt;$A$15)),
        IF(Import.TipoArredondamento&lt;&gt;"TransfereGOV",
              ROUND(OFFSET($P44,0,AZ$13),15-13*ORÇAMENTO!$AF$7)/$H44*OFFSET(ORÇAMENTO!$X$15,ROW(AZ44)-ROW(AZ$15),0),
              ROUND(ROUND(OFFSET($P44,0,AZ$13),15-13*ORÇAMENTO!$AF$7)*OFFSET(ORÇAMENTO!$W$15,ROW(AZ44)-ROW(AZ$15),0),15-13*ORÇAMENTO!$AF$11)),
         0)</f>
        <v>1315.79</v>
      </c>
      <c r="BA44" s="352" t="n">
        <f aca="true">IF(AND($D44="Serviço",BA$12&lt;&gt;0,$H44&gt;0,OR(AUTOEVENTO&lt;&gt;"manual",$M44&lt;&gt;$A$15)),
        IF(Import.TipoArredondamento&lt;&gt;"TransfereGOV",
              ROUND(OFFSET($P44,0,BA$13),15-13*ORÇAMENTO!$AF$7)/$H44*OFFSET(ORÇAMENTO!$X$15,ROW(BA44)-ROW(BA$15),0),
              ROUND(ROUND(OFFSET($P44,0,BA$13),15-13*ORÇAMENTO!$AF$7)*OFFSET(ORÇAMENTO!$W$15,ROW(BA44)-ROW(BA$15),0),15-13*ORÇAMENTO!$AF$11)),
         0)</f>
        <v>1315.79</v>
      </c>
      <c r="BB44" s="352" t="n">
        <f aca="true">IF(AND($D44="Serviço",BB$12&lt;&gt;0,$H44&gt;0,OR(AUTOEVENTO&lt;&gt;"manual",$M44&lt;&gt;$A$15)),
        IF(Import.TipoArredondamento&lt;&gt;"TransfereGOV",
              ROUND(OFFSET($P44,0,BB$13),15-13*ORÇAMENTO!$AF$7)/$H44*OFFSET(ORÇAMENTO!$X$15,ROW(BB44)-ROW(BB$15),0),
              ROUND(ROUND(OFFSET($P44,0,BB$13),15-13*ORÇAMENTO!$AF$7)*OFFSET(ORÇAMENTO!$W$15,ROW(BB44)-ROW(BB$15),0),15-13*ORÇAMENTO!$AF$11)),
         0)</f>
        <v>1315.79</v>
      </c>
      <c r="BC44" s="352" t="n">
        <f aca="true">IF(AND($D44="Serviço",BC$12&lt;&gt;0,$H44&gt;0,OR(AUTOEVENTO&lt;&gt;"manual",$M44&lt;&gt;$A$15)),
        IF(Import.TipoArredondamento&lt;&gt;"TransfereGOV",
              ROUND(OFFSET($P44,0,BC$13),15-13*ORÇAMENTO!$AF$7)/$H44*OFFSET(ORÇAMENTO!$X$15,ROW(BC44)-ROW(BC$15),0),
              ROUND(ROUND(OFFSET($P44,0,BC$13),15-13*ORÇAMENTO!$AF$7)*OFFSET(ORÇAMENTO!$W$15,ROW(BC44)-ROW(BC$15),0),15-13*ORÇAMENTO!$AF$11)),
         0)</f>
        <v>1315.79</v>
      </c>
      <c r="BD44" s="352" t="n">
        <f aca="true">IF(AND($D44="Serviço",BD$12&lt;&gt;0,$H44&gt;0,OR(AUTOEVENTO&lt;&gt;"manual",$M44&lt;&gt;$A$15)),
        IF(Import.TipoArredondamento&lt;&gt;"TransfereGOV",
              ROUND(OFFSET($P44,0,BD$13),15-13*ORÇAMENTO!$AF$7)/$H44*OFFSET(ORÇAMENTO!$X$15,ROW(BD44)-ROW(BD$15),0),
              ROUND(ROUND(OFFSET($P44,0,BD$13),15-13*ORÇAMENTO!$AF$7)*OFFSET(ORÇAMENTO!$W$15,ROW(BD44)-ROW(BD$15),0),15-13*ORÇAMENTO!$AF$11)),
         0)</f>
        <v>1315.79</v>
      </c>
      <c r="BE44" s="352" t="n">
        <f aca="true">IF(AND($D44="Serviço",BE$12&lt;&gt;0,$H44&gt;0,OR(AUTOEVENTO&lt;&gt;"manual",$M44&lt;&gt;$A$15)),
        IF(Import.TipoArredondamento&lt;&gt;"TransfereGOV",
              ROUND(OFFSET($P44,0,BE$13),15-13*ORÇAMENTO!$AF$7)/$H44*OFFSET(ORÇAMENTO!$X$15,ROW(BE44)-ROW(BE$15),0),
              ROUND(ROUND(OFFSET($P44,0,BE$13),15-13*ORÇAMENTO!$AF$7)*OFFSET(ORÇAMENTO!$W$15,ROW(BE44)-ROW(BE$15),0),15-13*ORÇAMENTO!$AF$11)),
         0)</f>
        <v>1315.79</v>
      </c>
      <c r="BF44" s="352" t="n">
        <f aca="true">IF(AND($D44="Serviço",BF$12&lt;&gt;0,$H44&gt;0,OR(AUTOEVENTO&lt;&gt;"manual",$M44&lt;&gt;$A$15)),
        IF(Import.TipoArredondamento&lt;&gt;"TransfereGOV",
              ROUND(OFFSET($P44,0,BF$13),15-13*ORÇAMENTO!$AF$7)/$H44*OFFSET(ORÇAMENTO!$X$15,ROW(BF44)-ROW(BF$15),0),
              ROUND(ROUND(OFFSET($P44,0,BF$13),15-13*ORÇAMENTO!$AF$7)*OFFSET(ORÇAMENTO!$W$15,ROW(BF44)-ROW(BF$15),0),15-13*ORÇAMENTO!$AF$11)),
         0)</f>
        <v>1315.79</v>
      </c>
      <c r="BG44" s="352" t="n">
        <f aca="true">IF(AND($D44="Serviço",BG$12&lt;&gt;0,$H44&gt;0,OR(AUTOEVENTO&lt;&gt;"manual",$M44&lt;&gt;$A$15)),
        IF(Import.TipoArredondamento&lt;&gt;"TransfereGOV",
              ROUND(OFFSET($P44,0,BG$13),15-13*ORÇAMENTO!$AF$7)/$H44*OFFSET(ORÇAMENTO!$X$15,ROW(BG44)-ROW(BG$15),0),
              ROUND(ROUND(OFFSET($P44,0,BG$13),15-13*ORÇAMENTO!$AF$7)*OFFSET(ORÇAMENTO!$W$15,ROW(BG44)-ROW(BG$15),0),15-13*ORÇAMENTO!$AF$11)),
         0)</f>
        <v>1315.79</v>
      </c>
      <c r="BH44" s="352" t="n">
        <f aca="true">IF(AND($D44="Serviço",BH$12&lt;&gt;0,$H44&gt;0,OR(AUTOEVENTO&lt;&gt;"manual",$M44&lt;&gt;$A$15)),
        IF(Import.TipoArredondamento&lt;&gt;"TransfereGOV",
              ROUND(OFFSET($P44,0,BH$13),15-13*ORÇAMENTO!$AF$7)/$H44*OFFSET(ORÇAMENTO!$X$15,ROW(BH44)-ROW(BH$15),0),
              ROUND(ROUND(OFFSET($P44,0,BH$13),15-13*ORÇAMENTO!$AF$7)*OFFSET(ORÇAMENTO!$W$15,ROW(BH44)-ROW(BH$15),0),15-13*ORÇAMENTO!$AF$11)),
         0)</f>
        <v>1315.79</v>
      </c>
      <c r="BI44" s="352" t="n">
        <f aca="true">IF(AND($D44="Serviço",BI$12&lt;&gt;0,$H44&gt;0,OR(AUTOEVENTO&lt;&gt;"manual",$M44&lt;&gt;$A$15)),
        IF(Import.TipoArredondamento&lt;&gt;"TransfereGOV",
              ROUND(OFFSET($P44,0,BI$13),15-13*ORÇAMENTO!$AF$7)/$H44*OFFSET(ORÇAMENTO!$X$15,ROW(BI44)-ROW(BI$15),0),
              ROUND(ROUND(OFFSET($P44,0,BI$13),15-13*ORÇAMENTO!$AF$7)*OFFSET(ORÇAMENTO!$W$15,ROW(BI44)-ROW(BI$15),0),15-13*ORÇAMENTO!$AF$11)),
         0)</f>
        <v>1315.79</v>
      </c>
      <c r="BJ44" s="352" t="n">
        <f aca="true">IF(AND($D44="Serviço",BJ$12&lt;&gt;0,$H44&gt;0,OR(AUTOEVENTO&lt;&gt;"manual",$M44&lt;&gt;$A$15)),
        IF(Import.TipoArredondamento&lt;&gt;"TransfereGOV",
              ROUND(OFFSET($P44,0,BJ$13),15-13*ORÇAMENTO!$AF$7)/$H44*OFFSET(ORÇAMENTO!$X$15,ROW(BJ44)-ROW(BJ$15),0),
              ROUND(ROUND(OFFSET($P44,0,BJ$13),15-13*ORÇAMENTO!$AF$7)*OFFSET(ORÇAMENTO!$W$15,ROW(BJ44)-ROW(BJ$15),0),15-13*ORÇAMENTO!$AF$11)),
         0)</f>
        <v>1315.79</v>
      </c>
      <c r="BK44" s="352" t="n">
        <f aca="true">IF(AND($D44="Serviço",BK$12&lt;&gt;0,$H44&gt;0,OR(AUTOEVENTO&lt;&gt;"manual",$M44&lt;&gt;$A$15)),
        IF(Import.TipoArredondamento&lt;&gt;"TransfereGOV",
              ROUND(OFFSET($P44,0,BK$13),15-13*ORÇAMENTO!$AF$7)/$H44*OFFSET(ORÇAMENTO!$X$15,ROW(BK44)-ROW(BK$15),0),
              ROUND(ROUND(OFFSET($P44,0,BK$13),15-13*ORÇAMENTO!$AF$7)*OFFSET(ORÇAMENTO!$W$15,ROW(BK44)-ROW(BK$15),0),15-13*ORÇAMENTO!$AF$11)),
         0)</f>
        <v>1315.79</v>
      </c>
      <c r="BL44" s="352" t="n">
        <f aca="true">IF(AND($D44="Serviço",BL$12&lt;&gt;0,$H44&gt;0,OR(AUTOEVENTO&lt;&gt;"manual",$M44&lt;&gt;$A$15)),
        IF(Import.TipoArredondamento&lt;&gt;"TransfereGOV",
              ROUND(OFFSET($P44,0,BL$13),15-13*ORÇAMENTO!$AF$7)/$H44*OFFSET(ORÇAMENTO!$X$15,ROW(BL44)-ROW(BL$15),0),
              ROUND(ROUND(OFFSET($P44,0,BL$13),15-13*ORÇAMENTO!$AF$7)*OFFSET(ORÇAMENTO!$W$15,ROW(BL44)-ROW(BL$15),0),15-13*ORÇAMENTO!$AF$11)),
         0)</f>
        <v>1315.79</v>
      </c>
      <c r="BM44" s="352" t="n">
        <f aca="true">IF(AND($D44="Serviço",BM$12&lt;&gt;0,$H44&gt;0,OR(AUTOEVENTO&lt;&gt;"manual",$M44&lt;&gt;$A$15)),
        IF(Import.TipoArredondamento&lt;&gt;"TransfereGOV",
              ROUND(OFFSET($P44,0,BM$13),15-13*ORÇAMENTO!$AF$7)/$H44*OFFSET(ORÇAMENTO!$X$15,ROW(BM44)-ROW(BM$15),0),
              ROUND(ROUND(OFFSET($P44,0,BM$13),15-13*ORÇAMENTO!$AF$7)*OFFSET(ORÇAMENTO!$W$15,ROW(BM44)-ROW(BM$15),0),15-13*ORÇAMENTO!$AF$11)),
         0)</f>
        <v>1315.79</v>
      </c>
      <c r="BN44" s="352" t="n">
        <f aca="true">IF(AND($D44="Serviço",BN$12&lt;&gt;0,$H44&gt;0,OR(AUTOEVENTO&lt;&gt;"manual",$M44&lt;&gt;$A$15)),
        IF(Import.TipoArredondamento&lt;&gt;"TransfereGOV",
              ROUND(OFFSET($P44,0,BN$13),15-13*ORÇAMENTO!$AF$7)/$H44*OFFSET(ORÇAMENTO!$X$15,ROW(BN44)-ROW(BN$15),0),
              ROUND(ROUND(OFFSET($P44,0,BN$13),15-13*ORÇAMENTO!$AF$7)*OFFSET(ORÇAMENTO!$W$15,ROW(BN44)-ROW(BN$15),0),15-13*ORÇAMENTO!$AF$11)),
         0)</f>
        <v>1315.79</v>
      </c>
      <c r="BO44" s="352" t="n">
        <f aca="true">IF(AND($D44="Serviço",BO$12&lt;&gt;0,$H44&gt;0,OR(AUTOEVENTO&lt;&gt;"manual",$M44&lt;&gt;$A$15)),
        IF(Import.TipoArredondamento&lt;&gt;"TransfereGOV",
              ROUND(OFFSET($P44,0,BO$13),15-13*ORÇAMENTO!$AF$7)/$H44*OFFSET(ORÇAMENTO!$X$15,ROW(BO44)-ROW(BO$15),0),
              ROUND(ROUND(OFFSET($P44,0,BO$13),15-13*ORÇAMENTO!$AF$7)*OFFSET(ORÇAMENTO!$W$15,ROW(BO44)-ROW(BO$15),0),15-13*ORÇAMENTO!$AF$11)),
         0)</f>
        <v>1315.79</v>
      </c>
      <c r="BP44" s="352" t="n">
        <f aca="true">IF(AND($D44="Serviço",BP$12&lt;&gt;0,$H44&gt;0,OR(AUTOEVENTO&lt;&gt;"manual",$M44&lt;&gt;$A$15)),
        IF(Import.TipoArredondamento&lt;&gt;"TransfereGOV",
              ROUND(OFFSET($P44,0,BP$13),15-13*ORÇAMENTO!$AF$7)/$H44*OFFSET(ORÇAMENTO!$X$15,ROW(BP44)-ROW(BP$15),0),
              ROUND(ROUND(OFFSET($P44,0,BP$13),15-13*ORÇAMENTO!$AF$7)*OFFSET(ORÇAMENTO!$W$15,ROW(BP44)-ROW(BP$15),0),15-13*ORÇAMENTO!$AF$11)),
         0)</f>
        <v>1315.79</v>
      </c>
      <c r="BQ44" s="352" t="n">
        <f aca="true">IF(AND($D44="Serviço",BQ$12&lt;&gt;0,$H44&gt;0,OR(AUTOEVENTO&lt;&gt;"manual",$M44&lt;&gt;$A$15)),
        IF(Import.TipoArredondamento&lt;&gt;"TransfereGOV",
              ROUND(OFFSET($P44,0,BQ$13),15-13*ORÇAMENTO!$AF$7)/$H44*OFFSET(ORÇAMENTO!$X$15,ROW(BQ44)-ROW(BQ$15),0),
              ROUND(ROUND(OFFSET($P44,0,BQ$13),15-13*ORÇAMENTO!$AF$7)*OFFSET(ORÇAMENTO!$W$15,ROW(BQ44)-ROW(BQ$15),0),15-13*ORÇAMENTO!$AF$11)),
         0)</f>
        <v>0</v>
      </c>
      <c r="BS44" s="353" t="n">
        <f aca="true">IF(OR($D44&lt;&gt;"Serviço",AND(AUTOEVENTO="Manual",$M44=$A$15)),0,
         IF(OFFSET(CRONOPLE!$F$15,$M44-$A$15,BS$13)=0,10^12,OFFSET(CRONOPLE!$F$15,$M44-$A$15,BS$13)))</f>
        <v>1</v>
      </c>
      <c r="BT44" s="353" t="n">
        <f aca="true">IF(OR($D44&lt;&gt;"Serviço",AND(AUTOEVENTO="Manual",$M44=$A$15)),0,
         IF(OFFSET(CRONOPLE!$F$15,$M44-$A$15,BT$13)=0,10^12,OFFSET(CRONOPLE!$F$15,$M44-$A$15,BT$13)))</f>
        <v>2</v>
      </c>
      <c r="BU44" s="353" t="n">
        <f aca="true">IF(OR($D44&lt;&gt;"Serviço",AND(AUTOEVENTO="Manual",$M44=$A$15)),0,
         IF(OFFSET(CRONOPLE!$F$15,$M44-$A$15,BU$13)=0,10^12,OFFSET(CRONOPLE!$F$15,$M44-$A$15,BU$13)))</f>
        <v>3</v>
      </c>
      <c r="BV44" s="353" t="n">
        <f aca="true">IF(OR($D44&lt;&gt;"Serviço",AND(AUTOEVENTO="Manual",$M44=$A$15)),0,
         IF(OFFSET(CRONOPLE!$F$15,$M44-$A$15,BV$13)=0,10^12,OFFSET(CRONOPLE!$F$15,$M44-$A$15,BV$13)))</f>
        <v>4</v>
      </c>
      <c r="BW44" s="353" t="n">
        <f aca="true">IF(OR($D44&lt;&gt;"Serviço",AND(AUTOEVENTO="Manual",$M44=$A$15)),0,
         IF(OFFSET(CRONOPLE!$F$15,$M44-$A$15,BW$13)=0,10^12,OFFSET(CRONOPLE!$F$15,$M44-$A$15,BW$13)))</f>
        <v>5</v>
      </c>
      <c r="BX44" s="353" t="n">
        <f aca="true">IF(OR($D44&lt;&gt;"Serviço",AND(AUTOEVENTO="Manual",$M44=$A$15)),0,
         IF(OFFSET(CRONOPLE!$F$15,$M44-$A$15,BX$13)=0,10^12,OFFSET(CRONOPLE!$F$15,$M44-$A$15,BX$13)))</f>
        <v>6</v>
      </c>
      <c r="BY44" s="353" t="n">
        <f aca="true">IF(OR($D44&lt;&gt;"Serviço",AND(AUTOEVENTO="Manual",$M44=$A$15)),0,
         IF(OFFSET(CRONOPLE!$F$15,$M44-$A$15,BY$13)=0,10^12,OFFSET(CRONOPLE!$F$15,$M44-$A$15,BY$13)))</f>
        <v>7</v>
      </c>
      <c r="BZ44" s="353" t="n">
        <f aca="true">IF(OR($D44&lt;&gt;"Serviço",AND(AUTOEVENTO="Manual",$M44=$A$15)),0,
         IF(OFFSET(CRONOPLE!$F$15,$M44-$A$15,BZ$13)=0,10^12,OFFSET(CRONOPLE!$F$15,$M44-$A$15,BZ$13)))</f>
        <v>8</v>
      </c>
      <c r="CA44" s="353" t="n">
        <f aca="true">IF(OR($D44&lt;&gt;"Serviço",AND(AUTOEVENTO="Manual",$M44=$A$15)),0,
         IF(OFFSET(CRONOPLE!$F$15,$M44-$A$15,CA$13)=0,10^12,OFFSET(CRONOPLE!$F$15,$M44-$A$15,CA$13)))</f>
        <v>9</v>
      </c>
      <c r="CB44" s="353" t="n">
        <f aca="true">IF(OR($D44&lt;&gt;"Serviço",AND(AUTOEVENTO="Manual",$M44=$A$15)),0,
         IF(OFFSET(CRONOPLE!$F$15,$M44-$A$15,CB$13)=0,10^12,OFFSET(CRONOPLE!$F$15,$M44-$A$15,CB$13)))</f>
        <v>10</v>
      </c>
      <c r="CC44" s="353" t="n">
        <f aca="true">IF(OR($D44&lt;&gt;"Serviço",AND(AUTOEVENTO="Manual",$M44=$A$15)),0,
         IF(OFFSET(CRONOPLE!$F$15,$M44-$A$15,CC$13)=0,10^12,OFFSET(CRONOPLE!$F$15,$M44-$A$15,CC$13)))</f>
        <v>11</v>
      </c>
      <c r="CD44" s="353" t="n">
        <f aca="true">IF(OR($D44&lt;&gt;"Serviço",AND(AUTOEVENTO="Manual",$M44=$A$15)),0,
         IF(OFFSET(CRONOPLE!$F$15,$M44-$A$15,CD$13)=0,10^12,OFFSET(CRONOPLE!$F$15,$M44-$A$15,CD$13)))</f>
        <v>12</v>
      </c>
      <c r="CE44" s="353" t="n">
        <f aca="true">IF(OR($D44&lt;&gt;"Serviço",AND(AUTOEVENTO="Manual",$M44=$A$15)),0,
         IF(OFFSET(CRONOPLE!$F$15,$M44-$A$15,CE$13)=0,10^12,OFFSET(CRONOPLE!$F$15,$M44-$A$15,CE$13)))</f>
        <v>13</v>
      </c>
      <c r="CF44" s="353" t="n">
        <f aca="true">IF(OR($D44&lt;&gt;"Serviço",AND(AUTOEVENTO="Manual",$M44=$A$15)),0,
         IF(OFFSET(CRONOPLE!$F$15,$M44-$A$15,CF$13)=0,10^12,OFFSET(CRONOPLE!$F$15,$M44-$A$15,CF$13)))</f>
        <v>14</v>
      </c>
      <c r="CG44" s="353" t="n">
        <f aca="true">IF(OR($D44&lt;&gt;"Serviço",AND(AUTOEVENTO="Manual",$M44=$A$15)),0,
         IF(OFFSET(CRONOPLE!$F$15,$M44-$A$15,CG$13)=0,10^12,OFFSET(CRONOPLE!$F$15,$M44-$A$15,CG$13)))</f>
        <v>15</v>
      </c>
      <c r="CH44" s="353" t="n">
        <f aca="true">IF(OR($D44&lt;&gt;"Serviço",AND(AUTOEVENTO="Manual",$M44=$A$15)),0,
         IF(OFFSET(CRONOPLE!$F$15,$M44-$A$15,CH$13)=0,10^12,OFFSET(CRONOPLE!$F$15,$M44-$A$15,CH$13)))</f>
        <v>16</v>
      </c>
      <c r="CI44" s="353" t="n">
        <f aca="true">IF(OR($D44&lt;&gt;"Serviço",AND(AUTOEVENTO="Manual",$M44=$A$15)),0,
         IF(OFFSET(CRONOPLE!$F$15,$M44-$A$15,CI$13)=0,10^12,OFFSET(CRONOPLE!$F$15,$M44-$A$15,CI$13)))</f>
        <v>17</v>
      </c>
      <c r="CJ44" s="353" t="n">
        <f aca="true">IF(OR($D44&lt;&gt;"Serviço",AND(AUTOEVENTO="Manual",$M44=$A$15)),0,
         IF(OFFSET(CRONOPLE!$F$15,$M44-$A$15,CJ$13)=0,10^12,OFFSET(CRONOPLE!$F$15,$M44-$A$15,CJ$13)))</f>
        <v>18</v>
      </c>
      <c r="CK44" s="353" t="n">
        <f aca="true">IF(OR($D44&lt;&gt;"Serviço",AND(AUTOEVENTO="Manual",$M44=$A$15)),0,
         IF(OFFSET(CRONOPLE!$F$15,$M44-$A$15,CK$13)=0,10^12,OFFSET(CRONOPLE!$F$15,$M44-$A$15,CK$13)))</f>
        <v>19</v>
      </c>
      <c r="CL44" s="353" t="n">
        <f aca="true">IF(OR($D44&lt;&gt;"Serviço",AND(AUTOEVENTO="Manual",$M44=$A$15)),0,
         IF(OFFSET(CRONOPLE!$F$15,$M44-$A$15,CL$13)=0,10^12,OFFSET(CRONOPLE!$F$15,$M44-$A$15,CL$13)))</f>
        <v>20</v>
      </c>
      <c r="CM44" s="353" t="n">
        <f aca="true">IF(OR($D44&lt;&gt;"Serviço",AND(AUTOEVENTO="Manual",$M44=$A$15)),0,
         IF(OFFSET(CRONOPLE!$F$15,$M44-$A$15,CM$13)=0,10^12,OFFSET(CRONOPLE!$F$15,$M44-$A$15,CM$13)))</f>
        <v>21</v>
      </c>
      <c r="CN44" s="353" t="n">
        <f aca="true">IF(OR($D44&lt;&gt;"Serviço",AND(AUTOEVENTO="Manual",$M44=$A$15)),0,
         IF(OFFSET(CRONOPLE!$F$15,$M44-$A$15,CN$13)=0,10^12,OFFSET(CRONOPLE!$F$15,$M44-$A$15,CN$13)))</f>
        <v>22</v>
      </c>
      <c r="CO44" s="353" t="n">
        <f aca="true">IF(OR($D44&lt;&gt;"Serviço",AND(AUTOEVENTO="Manual",$M44=$A$15)),0,
         IF(OFFSET(CRONOPLE!$F$15,$M44-$A$15,CO$13)=0,10^12,OFFSET(CRONOPLE!$F$15,$M44-$A$15,CO$13)))</f>
        <v>23</v>
      </c>
      <c r="CP44" s="353" t="n">
        <f aca="true">IF(OR($D44&lt;&gt;"Serviço",AND(AUTOEVENTO="Manual",$M44=$A$15)),0,
         IF(OFFSET(CRONOPLE!$F$15,$M44-$A$15,CP$13)=0,10^12,OFFSET(CRONOPLE!$F$15,$M44-$A$15,CP$13)))</f>
        <v>24</v>
      </c>
      <c r="CQ44" s="353" t="n">
        <f aca="true">IF(OR($D44&lt;&gt;"Serviço",AND(AUTOEVENTO="Manual",$M44=$A$15)),0,
         IF(OFFSET(CRONOPLE!$F$15,$M44-$A$15,CQ$13)=0,10^12,OFFSET(CRONOPLE!$F$15,$M44-$A$15,CQ$13)))</f>
        <v>25</v>
      </c>
      <c r="CR44" s="353" t="n">
        <f aca="true">IF(OR($D44&lt;&gt;"Serviço",AND(AUTOEVENTO="Manual",$M44=$A$15)),0,
         IF(OFFSET(CRONOPLE!$F$15,$M44-$A$15,CR$13)=0,10^12,OFFSET(CRONOPLE!$F$15,$M44-$A$15,CR$13)))</f>
        <v>1000000000000</v>
      </c>
      <c r="CT44" s="354" t="n">
        <f aca="true">IF(OR($D44&lt;&gt;"Serviço",AND(AUTOEVENTO="Manual",$M44=$A$15),$M44&gt;(ROW(PLE.lastrow)-ROW(PLE.firstrow))),0,
           IF(OFFSET(PLE!$G$15,$M44-$A$15,CT$13)="",10^12,OFFSET(PLE!$G$15,$M44-$A$15,CT$13)))</f>
        <v>1000000000000</v>
      </c>
      <c r="CU44" s="354" t="n">
        <f aca="true">IF(OR($D44&lt;&gt;"Serviço",AND(AUTOEVENTO="Manual",$M44=$A$15),$M44&gt;(ROW(PLE.lastrow)-ROW(PLE.firstrow))),0,
           IF(OFFSET(PLE!$G$15,$M44-$A$15,CU$13)="",10^12,OFFSET(PLE!$G$15,$M44-$A$15,CU$13)))</f>
        <v>1000000000000</v>
      </c>
      <c r="CV44" s="354" t="n">
        <f aca="true">IF(OR($D44&lt;&gt;"Serviço",AND(AUTOEVENTO="Manual",$M44=$A$15),$M44&gt;(ROW(PLE.lastrow)-ROW(PLE.firstrow))),0,
           IF(OFFSET(PLE!$G$15,$M44-$A$15,CV$13)="",10^12,OFFSET(PLE!$G$15,$M44-$A$15,CV$13)))</f>
        <v>1000000000000</v>
      </c>
      <c r="CW44" s="354" t="n">
        <f aca="true">IF(OR($D44&lt;&gt;"Serviço",AND(AUTOEVENTO="Manual",$M44=$A$15),$M44&gt;(ROW(PLE.lastrow)-ROW(PLE.firstrow))),0,
           IF(OFFSET(PLE!$G$15,$M44-$A$15,CW$13)="",10^12,OFFSET(PLE!$G$15,$M44-$A$15,CW$13)))</f>
        <v>1000000000000</v>
      </c>
      <c r="CX44" s="354" t="n">
        <f aca="true">IF(OR($D44&lt;&gt;"Serviço",AND(AUTOEVENTO="Manual",$M44=$A$15),$M44&gt;(ROW(PLE.lastrow)-ROW(PLE.firstrow))),0,
           IF(OFFSET(PLE!$G$15,$M44-$A$15,CX$13)="",10^12,OFFSET(PLE!$G$15,$M44-$A$15,CX$13)))</f>
        <v>1000000000000</v>
      </c>
      <c r="CY44" s="354" t="n">
        <f aca="true">IF(OR($D44&lt;&gt;"Serviço",AND(AUTOEVENTO="Manual",$M44=$A$15),$M44&gt;(ROW(PLE.lastrow)-ROW(PLE.firstrow))),0,
           IF(OFFSET(PLE!$G$15,$M44-$A$15,CY$13)="",10^12,OFFSET(PLE!$G$15,$M44-$A$15,CY$13)))</f>
        <v>1000000000000</v>
      </c>
      <c r="CZ44" s="354" t="n">
        <f aca="true">IF(OR($D44&lt;&gt;"Serviço",AND(AUTOEVENTO="Manual",$M44=$A$15),$M44&gt;(ROW(PLE.lastrow)-ROW(PLE.firstrow))),0,
           IF(OFFSET(PLE!$G$15,$M44-$A$15,CZ$13)="",10^12,OFFSET(PLE!$G$15,$M44-$A$15,CZ$13)))</f>
        <v>1000000000000</v>
      </c>
      <c r="DA44" s="354" t="n">
        <f aca="true">IF(OR($D44&lt;&gt;"Serviço",AND(AUTOEVENTO="Manual",$M44=$A$15),$M44&gt;(ROW(PLE.lastrow)-ROW(PLE.firstrow))),0,
           IF(OFFSET(PLE!$G$15,$M44-$A$15,DA$13)="",10^12,OFFSET(PLE!$G$15,$M44-$A$15,DA$13)))</f>
        <v>1000000000000</v>
      </c>
      <c r="DB44" s="354" t="n">
        <f aca="true">IF(OR($D44&lt;&gt;"Serviço",AND(AUTOEVENTO="Manual",$M44=$A$15),$M44&gt;(ROW(PLE.lastrow)-ROW(PLE.firstrow))),0,
           IF(OFFSET(PLE!$G$15,$M44-$A$15,DB$13)="",10^12,OFFSET(PLE!$G$15,$M44-$A$15,DB$13)))</f>
        <v>1000000000000</v>
      </c>
      <c r="DC44" s="354" t="n">
        <f aca="true">IF(OR($D44&lt;&gt;"Serviço",AND(AUTOEVENTO="Manual",$M44=$A$15),$M44&gt;(ROW(PLE.lastrow)-ROW(PLE.firstrow))),0,
           IF(OFFSET(PLE!$G$15,$M44-$A$15,DC$13)="",10^12,OFFSET(PLE!$G$15,$M44-$A$15,DC$13)))</f>
        <v>1000000000000</v>
      </c>
      <c r="DD44" s="354" t="n">
        <f aca="true">IF(OR($D44&lt;&gt;"Serviço",AND(AUTOEVENTO="Manual",$M44=$A$15),$M44&gt;(ROW(PLE.lastrow)-ROW(PLE.firstrow))),0,
           IF(OFFSET(PLE!$G$15,$M44-$A$15,DD$13)="",10^12,OFFSET(PLE!$G$15,$M44-$A$15,DD$13)))</f>
        <v>1000000000000</v>
      </c>
      <c r="DE44" s="354" t="n">
        <f aca="true">IF(OR($D44&lt;&gt;"Serviço",AND(AUTOEVENTO="Manual",$M44=$A$15),$M44&gt;(ROW(PLE.lastrow)-ROW(PLE.firstrow))),0,
           IF(OFFSET(PLE!$G$15,$M44-$A$15,DE$13)="",10^12,OFFSET(PLE!$G$15,$M44-$A$15,DE$13)))</f>
        <v>1000000000000</v>
      </c>
      <c r="DF44" s="354" t="n">
        <f aca="true">IF(OR($D44&lt;&gt;"Serviço",AND(AUTOEVENTO="Manual",$M44=$A$15),$M44&gt;(ROW(PLE.lastrow)-ROW(PLE.firstrow))),0,
           IF(OFFSET(PLE!$G$15,$M44-$A$15,DF$13)="",10^12,OFFSET(PLE!$G$15,$M44-$A$15,DF$13)))</f>
        <v>1000000000000</v>
      </c>
      <c r="DG44" s="354" t="n">
        <f aca="true">IF(OR($D44&lt;&gt;"Serviço",AND(AUTOEVENTO="Manual",$M44=$A$15),$M44&gt;(ROW(PLE.lastrow)-ROW(PLE.firstrow))),0,
           IF(OFFSET(PLE!$G$15,$M44-$A$15,DG$13)="",10^12,OFFSET(PLE!$G$15,$M44-$A$15,DG$13)))</f>
        <v>1000000000000</v>
      </c>
      <c r="DH44" s="354" t="n">
        <f aca="true">IF(OR($D44&lt;&gt;"Serviço",AND(AUTOEVENTO="Manual",$M44=$A$15),$M44&gt;(ROW(PLE.lastrow)-ROW(PLE.firstrow))),0,
           IF(OFFSET(PLE!$G$15,$M44-$A$15,DH$13)="",10^12,OFFSET(PLE!$G$15,$M44-$A$15,DH$13)))</f>
        <v>1000000000000</v>
      </c>
      <c r="DI44" s="354" t="n">
        <f aca="true">IF(OR($D44&lt;&gt;"Serviço",AND(AUTOEVENTO="Manual",$M44=$A$15),$M44&gt;(ROW(PLE.lastrow)-ROW(PLE.firstrow))),0,
           IF(OFFSET(PLE!$G$15,$M44-$A$15,DI$13)="",10^12,OFFSET(PLE!$G$15,$M44-$A$15,DI$13)))</f>
        <v>1000000000000</v>
      </c>
      <c r="DJ44" s="354" t="n">
        <f aca="true">IF(OR($D44&lt;&gt;"Serviço",AND(AUTOEVENTO="Manual",$M44=$A$15),$M44&gt;(ROW(PLE.lastrow)-ROW(PLE.firstrow))),0,
           IF(OFFSET(PLE!$G$15,$M44-$A$15,DJ$13)="",10^12,OFFSET(PLE!$G$15,$M44-$A$15,DJ$13)))</f>
        <v>1000000000000</v>
      </c>
      <c r="DK44" s="354" t="n">
        <f aca="true">IF(OR($D44&lt;&gt;"Serviço",AND(AUTOEVENTO="Manual",$M44=$A$15),$M44&gt;(ROW(PLE.lastrow)-ROW(PLE.firstrow))),0,
           IF(OFFSET(PLE!$G$15,$M44-$A$15,DK$13)="",10^12,OFFSET(PLE!$G$15,$M44-$A$15,DK$13)))</f>
        <v>1000000000000</v>
      </c>
      <c r="DL44" s="354" t="n">
        <f aca="true">IF(OR($D44&lt;&gt;"Serviço",AND(AUTOEVENTO="Manual",$M44=$A$15),$M44&gt;(ROW(PLE.lastrow)-ROW(PLE.firstrow))),0,
           IF(OFFSET(PLE!$G$15,$M44-$A$15,DL$13)="",10^12,OFFSET(PLE!$G$15,$M44-$A$15,DL$13)))</f>
        <v>1000000000000</v>
      </c>
      <c r="DM44" s="354" t="n">
        <f aca="true">IF(OR($D44&lt;&gt;"Serviço",AND(AUTOEVENTO="Manual",$M44=$A$15),$M44&gt;(ROW(PLE.lastrow)-ROW(PLE.firstrow))),0,
           IF(OFFSET(PLE!$G$15,$M44-$A$15,DM$13)="",10^12,OFFSET(PLE!$G$15,$M44-$A$15,DM$13)))</f>
        <v>1000000000000</v>
      </c>
      <c r="DN44" s="354" t="n">
        <f aca="true">IF(OR($D44&lt;&gt;"Serviço",AND(AUTOEVENTO="Manual",$M44=$A$15),$M44&gt;(ROW(PLE.lastrow)-ROW(PLE.firstrow))),0,
           IF(OFFSET(PLE!$G$15,$M44-$A$15,DN$13)="",10^12,OFFSET(PLE!$G$15,$M44-$A$15,DN$13)))</f>
        <v>1000000000000</v>
      </c>
      <c r="DO44" s="354" t="n">
        <f aca="true">IF(OR($D44&lt;&gt;"Serviço",AND(AUTOEVENTO="Manual",$M44=$A$15),$M44&gt;(ROW(PLE.lastrow)-ROW(PLE.firstrow))),0,
           IF(OFFSET(PLE!$G$15,$M44-$A$15,DO$13)="",10^12,OFFSET(PLE!$G$15,$M44-$A$15,DO$13)))</f>
        <v>1000000000000</v>
      </c>
      <c r="DP44" s="354" t="n">
        <f aca="true">IF(OR($D44&lt;&gt;"Serviço",AND(AUTOEVENTO="Manual",$M44=$A$15),$M44&gt;(ROW(PLE.lastrow)-ROW(PLE.firstrow))),0,
           IF(OFFSET(PLE!$G$15,$M44-$A$15,DP$13)="",10^12,OFFSET(PLE!$G$15,$M44-$A$15,DP$13)))</f>
        <v>1000000000000</v>
      </c>
      <c r="DQ44" s="354" t="n">
        <f aca="true">IF(OR($D44&lt;&gt;"Serviço",AND(AUTOEVENTO="Manual",$M44=$A$15),$M44&gt;(ROW(PLE.lastrow)-ROW(PLE.firstrow))),0,
           IF(OFFSET(PLE!$G$15,$M44-$A$15,DQ$13)="",10^12,OFFSET(PLE!$G$15,$M44-$A$15,DQ$13)))</f>
        <v>1000000000000</v>
      </c>
      <c r="DR44" s="354" t="n">
        <f aca="true">IF(OR($D44&lt;&gt;"Serviço",AND(AUTOEVENTO="Manual",$M44=$A$15),$M44&gt;(ROW(PLE.lastrow)-ROW(PLE.firstrow))),0,
           IF(OFFSET(PLE!$G$15,$M44-$A$15,DR$13)="",10^12,OFFSET(PLE!$G$15,$M44-$A$15,DR$13)))</f>
        <v>1000000000000</v>
      </c>
      <c r="DS44" s="354" t="n">
        <f aca="true">IF(OR($D44&lt;&gt;"Serviço",AND(AUTOEVENTO="Manual",$M44=$A$15),$M44&gt;(ROW(PLE.lastrow)-ROW(PLE.firstrow))),0,
           IF(OFFSET(PLE!$G$15,$M44-$A$15,DS$13)="",10^12,OFFSET(PLE!$G$15,$M44-$A$15,DS$13)))</f>
        <v>1000000000000</v>
      </c>
    </row>
    <row r="45" customFormat="false" ht="35.05" hidden="false" customHeight="false" outlineLevel="0" collapsed="false">
      <c r="A45" s="50" t="str">
        <f aca="true">IFERROR(IF(AUTOEVENTO="Manual",IF(K45&lt;&gt;"",MIN(VALUE(LEFT(K45,FIND(".",K45)-1)),COUNTA(EVENTOS.Lista)),0),IF(OR($B45&gt;AUTOEVENTO,$B45="S",$B45=0),SUBSTITUTE(OFFSET($A45,-1,0),IF($D45="Serviço",".",""),""),ROW(A45)-ROW($A$15)&amp;".")),0)</f>
        <v>24</v>
      </c>
      <c r="B45" s="50" t="str">
        <f aca="true">OFFSET(ORÇAMENTO!C$15,ROW(B45)-ROW(B$15),0)</f>
        <v>S</v>
      </c>
      <c r="C45" s="50" t="str">
        <f aca="true">OFFSET(ORÇAMENTO!L$15,ROW(C45)-ROW(C$15),0)</f>
        <v>F</v>
      </c>
      <c r="D45" s="201" t="str">
        <f aca="true">OFFSET(ORÇAMENTO!N$15,ROW(D45)-ROW(D$15),0)</f>
        <v>Serviço</v>
      </c>
      <c r="E45" s="202" t="str">
        <f aca="true">OFFSET(ORÇAMENTO!O$15,ROW(E45)-ROW(E$15),0)</f>
        <v>1.6.6.</v>
      </c>
      <c r="F45" s="341" t="str">
        <f aca="true">OFFSET(ORÇAMENTO!R$15,ROW(F45)-ROW(F$15),0)</f>
        <v>FÔRMA E DESFORMA DE TÁBUA E SARRAFO,
REAPROVEITAMENTO (5X), EXCLUSIVE ESCORAMENTO</v>
      </c>
      <c r="G45" s="342" t="str">
        <f aca="true">IF($D45&lt;&gt;"Serviço","",OFFSET(ORÇAMENTO!S$15,ROW(G45)-ROW(G$15),0))</f>
        <v>M2</v>
      </c>
      <c r="H45" s="207" t="n">
        <f aca="true">IF($D45&lt;&gt;"Serviço",0,IF(ACOMPANHAMENTO="BM",ROUND(OFFSET(ORÇAMENTO!AJ$15,ROW(H45)-ROW(H$15),0),15-13*ORÇAMENTO!$AF$7),SUMPRODUCT(($Q$1:$AQ$1=1)*ROUND($Q45:$AQ45,15-13*ORÇAMENTO!$AF$7))))</f>
        <v>838.5</v>
      </c>
      <c r="I45" s="343" t="s">
        <v>933</v>
      </c>
      <c r="J45" s="344" t="e">
        <f aca="false">IF(OR(B45&lt;&gt;"S",CÁLCULO.FrentesPreenchidas=0),"",IF(AND(ACOMPANHAMENTO="PLE",AUTOEVENTO="Manual",OR(H45&gt;0,ORÇAMENTO!AC45="QUANT."),OR(K45="",M45=0,N45="")),"►",IF(AND(ACOMPANHAMENTO="PLE",ORÇAMENTO!AC45="QUANT."),"►►",IF(AND(COUNTIF($P$11:$AQ$11,"▼")=0,H45&gt;0,I45=""),"◄",""))))</f>
        <v>#NAME?</v>
      </c>
      <c r="K45" s="345"/>
      <c r="L45" s="346" t="s">
        <v>876</v>
      </c>
      <c r="M45" s="347" t="n">
        <f aca="true">IF($D45&lt;&gt;"Serviço","",
          IF(AUTOEVENTO="manual",$A45,
                IF(ISERROR(MATCH($A45,$A$15:OFFSET($A45,-1,0),0)),MAX($M$15:OFFSET(M45,-1,0))+1,
                      INDEX($M$15:OFFSET(M45,-1,0),MATCH($A45,$A$15:OFFSET($A45,-1,0),0)))))</f>
        <v>4</v>
      </c>
      <c r="N45" s="348" t="str">
        <f aca="true">IF($D45&lt;&gt;"Serviço","",
         IF(AUTOEVENTO="Manual",
                IF($A45=0,"&lt;-- defina o número do agrupador",
                       OFFSET(EVENTOS!$D$15,$A45-$A$15,0)),
                OFFSET($F$15,$A45,0)))</f>
        <v>BALDRAMES</v>
      </c>
      <c r="O45" s="349"/>
      <c r="Q45" s="349" t="n">
        <v>33.54</v>
      </c>
      <c r="R45" s="350" t="n">
        <f aca="false">Q45</f>
        <v>33.54</v>
      </c>
      <c r="S45" s="350" t="n">
        <f aca="false">R45</f>
        <v>33.54</v>
      </c>
      <c r="T45" s="350" t="n">
        <f aca="false">S45</f>
        <v>33.54</v>
      </c>
      <c r="U45" s="350" t="n">
        <f aca="false">T45</f>
        <v>33.54</v>
      </c>
      <c r="V45" s="350" t="n">
        <f aca="false">U45</f>
        <v>33.54</v>
      </c>
      <c r="W45" s="350" t="n">
        <f aca="false">V45</f>
        <v>33.54</v>
      </c>
      <c r="X45" s="350" t="n">
        <f aca="false">W45</f>
        <v>33.54</v>
      </c>
      <c r="Y45" s="350" t="n">
        <f aca="false">X45</f>
        <v>33.54</v>
      </c>
      <c r="Z45" s="351" t="n">
        <f aca="false">Y45</f>
        <v>33.54</v>
      </c>
      <c r="AA45" s="350" t="n">
        <f aca="false">Z45</f>
        <v>33.54</v>
      </c>
      <c r="AB45" s="350" t="n">
        <f aca="false">AA45</f>
        <v>33.54</v>
      </c>
      <c r="AC45" s="350" t="n">
        <f aca="false">AB45</f>
        <v>33.54</v>
      </c>
      <c r="AD45" s="350" t="n">
        <f aca="false">AC45</f>
        <v>33.54</v>
      </c>
      <c r="AE45" s="350" t="n">
        <f aca="false">AD45</f>
        <v>33.54</v>
      </c>
      <c r="AF45" s="350" t="n">
        <f aca="false">AE45</f>
        <v>33.54</v>
      </c>
      <c r="AG45" s="350" t="n">
        <f aca="false">AF45</f>
        <v>33.54</v>
      </c>
      <c r="AH45" s="351" t="n">
        <f aca="false">AG45</f>
        <v>33.54</v>
      </c>
      <c r="AI45" s="350" t="n">
        <f aca="false">AH45</f>
        <v>33.54</v>
      </c>
      <c r="AJ45" s="350" t="n">
        <f aca="false">AI45</f>
        <v>33.54</v>
      </c>
      <c r="AK45" s="350" t="n">
        <f aca="false">AJ45</f>
        <v>33.54</v>
      </c>
      <c r="AL45" s="350" t="n">
        <f aca="false">AK45</f>
        <v>33.54</v>
      </c>
      <c r="AM45" s="350" t="n">
        <f aca="false">AL45</f>
        <v>33.54</v>
      </c>
      <c r="AN45" s="350" t="n">
        <f aca="false">AM45</f>
        <v>33.54</v>
      </c>
      <c r="AO45" s="350" t="n">
        <f aca="false">AN45</f>
        <v>33.54</v>
      </c>
      <c r="AP45" s="351"/>
      <c r="AR45" s="352" t="n">
        <f aca="true">IF(AND($D45="Serviço",AR$12&lt;&gt;0,$H45&gt;0,OR(AUTOEVENTO&lt;&gt;"manual",$M45&lt;&gt;$A$15)),
        IF(Import.TipoArredondamento&lt;&gt;"TransfereGOV",
              ROUND(OFFSET($P45,0,AR$13),15-13*ORÇAMENTO!$AF$7)/$H45*OFFSET(ORÇAMENTO!$X$15,ROW(AR45)-ROW(AR$15),0),
              ROUND(ROUND(OFFSET($P45,0,AR$13),15-13*ORÇAMENTO!$AF$7)*OFFSET(ORÇAMENTO!$W$15,ROW(AR45)-ROW(AR$15),0),15-13*ORÇAMENTO!$AF$11)),
         0)</f>
        <v>2294.81</v>
      </c>
      <c r="AS45" s="352" t="n">
        <f aca="true">IF(AND($D45="Serviço",AS$12&lt;&gt;0,$H45&gt;0,OR(AUTOEVENTO&lt;&gt;"manual",$M45&lt;&gt;$A$15)),
        IF(Import.TipoArredondamento&lt;&gt;"TransfereGOV",
              ROUND(OFFSET($P45,0,AS$13),15-13*ORÇAMENTO!$AF$7)/$H45*OFFSET(ORÇAMENTO!$X$15,ROW(AS45)-ROW(AS$15),0),
              ROUND(ROUND(OFFSET($P45,0,AS$13),15-13*ORÇAMENTO!$AF$7)*OFFSET(ORÇAMENTO!$W$15,ROW(AS45)-ROW(AS$15),0),15-13*ORÇAMENTO!$AF$11)),
         0)</f>
        <v>2294.81</v>
      </c>
      <c r="AT45" s="352" t="n">
        <f aca="true">IF(AND($D45="Serviço",AT$12&lt;&gt;0,$H45&gt;0,OR(AUTOEVENTO&lt;&gt;"manual",$M45&lt;&gt;$A$15)),
        IF(Import.TipoArredondamento&lt;&gt;"TransfereGOV",
              ROUND(OFFSET($P45,0,AT$13),15-13*ORÇAMENTO!$AF$7)/$H45*OFFSET(ORÇAMENTO!$X$15,ROW(AT45)-ROW(AT$15),0),
              ROUND(ROUND(OFFSET($P45,0,AT$13),15-13*ORÇAMENTO!$AF$7)*OFFSET(ORÇAMENTO!$W$15,ROW(AT45)-ROW(AT$15),0),15-13*ORÇAMENTO!$AF$11)),
         0)</f>
        <v>2294.81</v>
      </c>
      <c r="AU45" s="352" t="n">
        <f aca="true">IF(AND($D45="Serviço",AU$12&lt;&gt;0,$H45&gt;0,OR(AUTOEVENTO&lt;&gt;"manual",$M45&lt;&gt;$A$15)),
        IF(Import.TipoArredondamento&lt;&gt;"TransfereGOV",
              ROUND(OFFSET($P45,0,AU$13),15-13*ORÇAMENTO!$AF$7)/$H45*OFFSET(ORÇAMENTO!$X$15,ROW(AU45)-ROW(AU$15),0),
              ROUND(ROUND(OFFSET($P45,0,AU$13),15-13*ORÇAMENTO!$AF$7)*OFFSET(ORÇAMENTO!$W$15,ROW(AU45)-ROW(AU$15),0),15-13*ORÇAMENTO!$AF$11)),
         0)</f>
        <v>2294.81</v>
      </c>
      <c r="AV45" s="352" t="n">
        <f aca="true">IF(AND($D45="Serviço",AV$12&lt;&gt;0,$H45&gt;0,OR(AUTOEVENTO&lt;&gt;"manual",$M45&lt;&gt;$A$15)),
        IF(Import.TipoArredondamento&lt;&gt;"TransfereGOV",
              ROUND(OFFSET($P45,0,AV$13),15-13*ORÇAMENTO!$AF$7)/$H45*OFFSET(ORÇAMENTO!$X$15,ROW(AV45)-ROW(AV$15),0),
              ROUND(ROUND(OFFSET($P45,0,AV$13),15-13*ORÇAMENTO!$AF$7)*OFFSET(ORÇAMENTO!$W$15,ROW(AV45)-ROW(AV$15),0),15-13*ORÇAMENTO!$AF$11)),
         0)</f>
        <v>2294.81</v>
      </c>
      <c r="AW45" s="352" t="n">
        <f aca="true">IF(AND($D45="Serviço",AW$12&lt;&gt;0,$H45&gt;0,OR(AUTOEVENTO&lt;&gt;"manual",$M45&lt;&gt;$A$15)),
        IF(Import.TipoArredondamento&lt;&gt;"TransfereGOV",
              ROUND(OFFSET($P45,0,AW$13),15-13*ORÇAMENTO!$AF$7)/$H45*OFFSET(ORÇAMENTO!$X$15,ROW(AW45)-ROW(AW$15),0),
              ROUND(ROUND(OFFSET($P45,0,AW$13),15-13*ORÇAMENTO!$AF$7)*OFFSET(ORÇAMENTO!$W$15,ROW(AW45)-ROW(AW$15),0),15-13*ORÇAMENTO!$AF$11)),
         0)</f>
        <v>2294.81</v>
      </c>
      <c r="AX45" s="352" t="n">
        <f aca="true">IF(AND($D45="Serviço",AX$12&lt;&gt;0,$H45&gt;0,OR(AUTOEVENTO&lt;&gt;"manual",$M45&lt;&gt;$A$15)),
        IF(Import.TipoArredondamento&lt;&gt;"TransfereGOV",
              ROUND(OFFSET($P45,0,AX$13),15-13*ORÇAMENTO!$AF$7)/$H45*OFFSET(ORÇAMENTO!$X$15,ROW(AX45)-ROW(AX$15),0),
              ROUND(ROUND(OFFSET($P45,0,AX$13),15-13*ORÇAMENTO!$AF$7)*OFFSET(ORÇAMENTO!$W$15,ROW(AX45)-ROW(AX$15),0),15-13*ORÇAMENTO!$AF$11)),
         0)</f>
        <v>2294.81</v>
      </c>
      <c r="AY45" s="352" t="n">
        <f aca="true">IF(AND($D45="Serviço",AY$12&lt;&gt;0,$H45&gt;0,OR(AUTOEVENTO&lt;&gt;"manual",$M45&lt;&gt;$A$15)),
        IF(Import.TipoArredondamento&lt;&gt;"TransfereGOV",
              ROUND(OFFSET($P45,0,AY$13),15-13*ORÇAMENTO!$AF$7)/$H45*OFFSET(ORÇAMENTO!$X$15,ROW(AY45)-ROW(AY$15),0),
              ROUND(ROUND(OFFSET($P45,0,AY$13),15-13*ORÇAMENTO!$AF$7)*OFFSET(ORÇAMENTO!$W$15,ROW(AY45)-ROW(AY$15),0),15-13*ORÇAMENTO!$AF$11)),
         0)</f>
        <v>2294.81</v>
      </c>
      <c r="AZ45" s="352" t="n">
        <f aca="true">IF(AND($D45="Serviço",AZ$12&lt;&gt;0,$H45&gt;0,OR(AUTOEVENTO&lt;&gt;"manual",$M45&lt;&gt;$A$15)),
        IF(Import.TipoArredondamento&lt;&gt;"TransfereGOV",
              ROUND(OFFSET($P45,0,AZ$13),15-13*ORÇAMENTO!$AF$7)/$H45*OFFSET(ORÇAMENTO!$X$15,ROW(AZ45)-ROW(AZ$15),0),
              ROUND(ROUND(OFFSET($P45,0,AZ$13),15-13*ORÇAMENTO!$AF$7)*OFFSET(ORÇAMENTO!$W$15,ROW(AZ45)-ROW(AZ$15),0),15-13*ORÇAMENTO!$AF$11)),
         0)</f>
        <v>2294.81</v>
      </c>
      <c r="BA45" s="352" t="n">
        <f aca="true">IF(AND($D45="Serviço",BA$12&lt;&gt;0,$H45&gt;0,OR(AUTOEVENTO&lt;&gt;"manual",$M45&lt;&gt;$A$15)),
        IF(Import.TipoArredondamento&lt;&gt;"TransfereGOV",
              ROUND(OFFSET($P45,0,BA$13),15-13*ORÇAMENTO!$AF$7)/$H45*OFFSET(ORÇAMENTO!$X$15,ROW(BA45)-ROW(BA$15),0),
              ROUND(ROUND(OFFSET($P45,0,BA$13),15-13*ORÇAMENTO!$AF$7)*OFFSET(ORÇAMENTO!$W$15,ROW(BA45)-ROW(BA$15),0),15-13*ORÇAMENTO!$AF$11)),
         0)</f>
        <v>2294.81</v>
      </c>
      <c r="BB45" s="352" t="n">
        <f aca="true">IF(AND($D45="Serviço",BB$12&lt;&gt;0,$H45&gt;0,OR(AUTOEVENTO&lt;&gt;"manual",$M45&lt;&gt;$A$15)),
        IF(Import.TipoArredondamento&lt;&gt;"TransfereGOV",
              ROUND(OFFSET($P45,0,BB$13),15-13*ORÇAMENTO!$AF$7)/$H45*OFFSET(ORÇAMENTO!$X$15,ROW(BB45)-ROW(BB$15),0),
              ROUND(ROUND(OFFSET($P45,0,BB$13),15-13*ORÇAMENTO!$AF$7)*OFFSET(ORÇAMENTO!$W$15,ROW(BB45)-ROW(BB$15),0),15-13*ORÇAMENTO!$AF$11)),
         0)</f>
        <v>2294.81</v>
      </c>
      <c r="BC45" s="352" t="n">
        <f aca="true">IF(AND($D45="Serviço",BC$12&lt;&gt;0,$H45&gt;0,OR(AUTOEVENTO&lt;&gt;"manual",$M45&lt;&gt;$A$15)),
        IF(Import.TipoArredondamento&lt;&gt;"TransfereGOV",
              ROUND(OFFSET($P45,0,BC$13),15-13*ORÇAMENTO!$AF$7)/$H45*OFFSET(ORÇAMENTO!$X$15,ROW(BC45)-ROW(BC$15),0),
              ROUND(ROUND(OFFSET($P45,0,BC$13),15-13*ORÇAMENTO!$AF$7)*OFFSET(ORÇAMENTO!$W$15,ROW(BC45)-ROW(BC$15),0),15-13*ORÇAMENTO!$AF$11)),
         0)</f>
        <v>2294.81</v>
      </c>
      <c r="BD45" s="352" t="n">
        <f aca="true">IF(AND($D45="Serviço",BD$12&lt;&gt;0,$H45&gt;0,OR(AUTOEVENTO&lt;&gt;"manual",$M45&lt;&gt;$A$15)),
        IF(Import.TipoArredondamento&lt;&gt;"TransfereGOV",
              ROUND(OFFSET($P45,0,BD$13),15-13*ORÇAMENTO!$AF$7)/$H45*OFFSET(ORÇAMENTO!$X$15,ROW(BD45)-ROW(BD$15),0),
              ROUND(ROUND(OFFSET($P45,0,BD$13),15-13*ORÇAMENTO!$AF$7)*OFFSET(ORÇAMENTO!$W$15,ROW(BD45)-ROW(BD$15),0),15-13*ORÇAMENTO!$AF$11)),
         0)</f>
        <v>2294.81</v>
      </c>
      <c r="BE45" s="352" t="n">
        <f aca="true">IF(AND($D45="Serviço",BE$12&lt;&gt;0,$H45&gt;0,OR(AUTOEVENTO&lt;&gt;"manual",$M45&lt;&gt;$A$15)),
        IF(Import.TipoArredondamento&lt;&gt;"TransfereGOV",
              ROUND(OFFSET($P45,0,BE$13),15-13*ORÇAMENTO!$AF$7)/$H45*OFFSET(ORÇAMENTO!$X$15,ROW(BE45)-ROW(BE$15),0),
              ROUND(ROUND(OFFSET($P45,0,BE$13),15-13*ORÇAMENTO!$AF$7)*OFFSET(ORÇAMENTO!$W$15,ROW(BE45)-ROW(BE$15),0),15-13*ORÇAMENTO!$AF$11)),
         0)</f>
        <v>2294.81</v>
      </c>
      <c r="BF45" s="352" t="n">
        <f aca="true">IF(AND($D45="Serviço",BF$12&lt;&gt;0,$H45&gt;0,OR(AUTOEVENTO&lt;&gt;"manual",$M45&lt;&gt;$A$15)),
        IF(Import.TipoArredondamento&lt;&gt;"TransfereGOV",
              ROUND(OFFSET($P45,0,BF$13),15-13*ORÇAMENTO!$AF$7)/$H45*OFFSET(ORÇAMENTO!$X$15,ROW(BF45)-ROW(BF$15),0),
              ROUND(ROUND(OFFSET($P45,0,BF$13),15-13*ORÇAMENTO!$AF$7)*OFFSET(ORÇAMENTO!$W$15,ROW(BF45)-ROW(BF$15),0),15-13*ORÇAMENTO!$AF$11)),
         0)</f>
        <v>2294.81</v>
      </c>
      <c r="BG45" s="352" t="n">
        <f aca="true">IF(AND($D45="Serviço",BG$12&lt;&gt;0,$H45&gt;0,OR(AUTOEVENTO&lt;&gt;"manual",$M45&lt;&gt;$A$15)),
        IF(Import.TipoArredondamento&lt;&gt;"TransfereGOV",
              ROUND(OFFSET($P45,0,BG$13),15-13*ORÇAMENTO!$AF$7)/$H45*OFFSET(ORÇAMENTO!$X$15,ROW(BG45)-ROW(BG$15),0),
              ROUND(ROUND(OFFSET($P45,0,BG$13),15-13*ORÇAMENTO!$AF$7)*OFFSET(ORÇAMENTO!$W$15,ROW(BG45)-ROW(BG$15),0),15-13*ORÇAMENTO!$AF$11)),
         0)</f>
        <v>2294.81</v>
      </c>
      <c r="BH45" s="352" t="n">
        <f aca="true">IF(AND($D45="Serviço",BH$12&lt;&gt;0,$H45&gt;0,OR(AUTOEVENTO&lt;&gt;"manual",$M45&lt;&gt;$A$15)),
        IF(Import.TipoArredondamento&lt;&gt;"TransfereGOV",
              ROUND(OFFSET($P45,0,BH$13),15-13*ORÇAMENTO!$AF$7)/$H45*OFFSET(ORÇAMENTO!$X$15,ROW(BH45)-ROW(BH$15),0),
              ROUND(ROUND(OFFSET($P45,0,BH$13),15-13*ORÇAMENTO!$AF$7)*OFFSET(ORÇAMENTO!$W$15,ROW(BH45)-ROW(BH$15),0),15-13*ORÇAMENTO!$AF$11)),
         0)</f>
        <v>2294.81</v>
      </c>
      <c r="BI45" s="352" t="n">
        <f aca="true">IF(AND($D45="Serviço",BI$12&lt;&gt;0,$H45&gt;0,OR(AUTOEVENTO&lt;&gt;"manual",$M45&lt;&gt;$A$15)),
        IF(Import.TipoArredondamento&lt;&gt;"TransfereGOV",
              ROUND(OFFSET($P45,0,BI$13),15-13*ORÇAMENTO!$AF$7)/$H45*OFFSET(ORÇAMENTO!$X$15,ROW(BI45)-ROW(BI$15),0),
              ROUND(ROUND(OFFSET($P45,0,BI$13),15-13*ORÇAMENTO!$AF$7)*OFFSET(ORÇAMENTO!$W$15,ROW(BI45)-ROW(BI$15),0),15-13*ORÇAMENTO!$AF$11)),
         0)</f>
        <v>2294.81</v>
      </c>
      <c r="BJ45" s="352" t="n">
        <f aca="true">IF(AND($D45="Serviço",BJ$12&lt;&gt;0,$H45&gt;0,OR(AUTOEVENTO&lt;&gt;"manual",$M45&lt;&gt;$A$15)),
        IF(Import.TipoArredondamento&lt;&gt;"TransfereGOV",
              ROUND(OFFSET($P45,0,BJ$13),15-13*ORÇAMENTO!$AF$7)/$H45*OFFSET(ORÇAMENTO!$X$15,ROW(BJ45)-ROW(BJ$15),0),
              ROUND(ROUND(OFFSET($P45,0,BJ$13),15-13*ORÇAMENTO!$AF$7)*OFFSET(ORÇAMENTO!$W$15,ROW(BJ45)-ROW(BJ$15),0),15-13*ORÇAMENTO!$AF$11)),
         0)</f>
        <v>2294.81</v>
      </c>
      <c r="BK45" s="352" t="n">
        <f aca="true">IF(AND($D45="Serviço",BK$12&lt;&gt;0,$H45&gt;0,OR(AUTOEVENTO&lt;&gt;"manual",$M45&lt;&gt;$A$15)),
        IF(Import.TipoArredondamento&lt;&gt;"TransfereGOV",
              ROUND(OFFSET($P45,0,BK$13),15-13*ORÇAMENTO!$AF$7)/$H45*OFFSET(ORÇAMENTO!$X$15,ROW(BK45)-ROW(BK$15),0),
              ROUND(ROUND(OFFSET($P45,0,BK$13),15-13*ORÇAMENTO!$AF$7)*OFFSET(ORÇAMENTO!$W$15,ROW(BK45)-ROW(BK$15),0),15-13*ORÇAMENTO!$AF$11)),
         0)</f>
        <v>2294.81</v>
      </c>
      <c r="BL45" s="352" t="n">
        <f aca="true">IF(AND($D45="Serviço",BL$12&lt;&gt;0,$H45&gt;0,OR(AUTOEVENTO&lt;&gt;"manual",$M45&lt;&gt;$A$15)),
        IF(Import.TipoArredondamento&lt;&gt;"TransfereGOV",
              ROUND(OFFSET($P45,0,BL$13),15-13*ORÇAMENTO!$AF$7)/$H45*OFFSET(ORÇAMENTO!$X$15,ROW(BL45)-ROW(BL$15),0),
              ROUND(ROUND(OFFSET($P45,0,BL$13),15-13*ORÇAMENTO!$AF$7)*OFFSET(ORÇAMENTO!$W$15,ROW(BL45)-ROW(BL$15),0),15-13*ORÇAMENTO!$AF$11)),
         0)</f>
        <v>2294.81</v>
      </c>
      <c r="BM45" s="352" t="n">
        <f aca="true">IF(AND($D45="Serviço",BM$12&lt;&gt;0,$H45&gt;0,OR(AUTOEVENTO&lt;&gt;"manual",$M45&lt;&gt;$A$15)),
        IF(Import.TipoArredondamento&lt;&gt;"TransfereGOV",
              ROUND(OFFSET($P45,0,BM$13),15-13*ORÇAMENTO!$AF$7)/$H45*OFFSET(ORÇAMENTO!$X$15,ROW(BM45)-ROW(BM$15),0),
              ROUND(ROUND(OFFSET($P45,0,BM$13),15-13*ORÇAMENTO!$AF$7)*OFFSET(ORÇAMENTO!$W$15,ROW(BM45)-ROW(BM$15),0),15-13*ORÇAMENTO!$AF$11)),
         0)</f>
        <v>2294.81</v>
      </c>
      <c r="BN45" s="352" t="n">
        <f aca="true">IF(AND($D45="Serviço",BN$12&lt;&gt;0,$H45&gt;0,OR(AUTOEVENTO&lt;&gt;"manual",$M45&lt;&gt;$A$15)),
        IF(Import.TipoArredondamento&lt;&gt;"TransfereGOV",
              ROUND(OFFSET($P45,0,BN$13),15-13*ORÇAMENTO!$AF$7)/$H45*OFFSET(ORÇAMENTO!$X$15,ROW(BN45)-ROW(BN$15),0),
              ROUND(ROUND(OFFSET($P45,0,BN$13),15-13*ORÇAMENTO!$AF$7)*OFFSET(ORÇAMENTO!$W$15,ROW(BN45)-ROW(BN$15),0),15-13*ORÇAMENTO!$AF$11)),
         0)</f>
        <v>2294.81</v>
      </c>
      <c r="BO45" s="352" t="n">
        <f aca="true">IF(AND($D45="Serviço",BO$12&lt;&gt;0,$H45&gt;0,OR(AUTOEVENTO&lt;&gt;"manual",$M45&lt;&gt;$A$15)),
        IF(Import.TipoArredondamento&lt;&gt;"TransfereGOV",
              ROUND(OFFSET($P45,0,BO$13),15-13*ORÇAMENTO!$AF$7)/$H45*OFFSET(ORÇAMENTO!$X$15,ROW(BO45)-ROW(BO$15),0),
              ROUND(ROUND(OFFSET($P45,0,BO$13),15-13*ORÇAMENTO!$AF$7)*OFFSET(ORÇAMENTO!$W$15,ROW(BO45)-ROW(BO$15),0),15-13*ORÇAMENTO!$AF$11)),
         0)</f>
        <v>2294.81</v>
      </c>
      <c r="BP45" s="352" t="n">
        <f aca="true">IF(AND($D45="Serviço",BP$12&lt;&gt;0,$H45&gt;0,OR(AUTOEVENTO&lt;&gt;"manual",$M45&lt;&gt;$A$15)),
        IF(Import.TipoArredondamento&lt;&gt;"TransfereGOV",
              ROUND(OFFSET($P45,0,BP$13),15-13*ORÇAMENTO!$AF$7)/$H45*OFFSET(ORÇAMENTO!$X$15,ROW(BP45)-ROW(BP$15),0),
              ROUND(ROUND(OFFSET($P45,0,BP$13),15-13*ORÇAMENTO!$AF$7)*OFFSET(ORÇAMENTO!$W$15,ROW(BP45)-ROW(BP$15),0),15-13*ORÇAMENTO!$AF$11)),
         0)</f>
        <v>2294.81</v>
      </c>
      <c r="BQ45" s="352" t="n">
        <f aca="true">IF(AND($D45="Serviço",BQ$12&lt;&gt;0,$H45&gt;0,OR(AUTOEVENTO&lt;&gt;"manual",$M45&lt;&gt;$A$15)),
        IF(Import.TipoArredondamento&lt;&gt;"TransfereGOV",
              ROUND(OFFSET($P45,0,BQ$13),15-13*ORÇAMENTO!$AF$7)/$H45*OFFSET(ORÇAMENTO!$X$15,ROW(BQ45)-ROW(BQ$15),0),
              ROUND(ROUND(OFFSET($P45,0,BQ$13),15-13*ORÇAMENTO!$AF$7)*OFFSET(ORÇAMENTO!$W$15,ROW(BQ45)-ROW(BQ$15),0),15-13*ORÇAMENTO!$AF$11)),
         0)</f>
        <v>0</v>
      </c>
      <c r="BS45" s="353" t="n">
        <f aca="true">IF(OR($D45&lt;&gt;"Serviço",AND(AUTOEVENTO="Manual",$M45=$A$15)),0,
         IF(OFFSET(CRONOPLE!$F$15,$M45-$A$15,BS$13)=0,10^12,OFFSET(CRONOPLE!$F$15,$M45-$A$15,BS$13)))</f>
        <v>1</v>
      </c>
      <c r="BT45" s="353" t="n">
        <f aca="true">IF(OR($D45&lt;&gt;"Serviço",AND(AUTOEVENTO="Manual",$M45=$A$15)),0,
         IF(OFFSET(CRONOPLE!$F$15,$M45-$A$15,BT$13)=0,10^12,OFFSET(CRONOPLE!$F$15,$M45-$A$15,BT$13)))</f>
        <v>2</v>
      </c>
      <c r="BU45" s="353" t="n">
        <f aca="true">IF(OR($D45&lt;&gt;"Serviço",AND(AUTOEVENTO="Manual",$M45=$A$15)),0,
         IF(OFFSET(CRONOPLE!$F$15,$M45-$A$15,BU$13)=0,10^12,OFFSET(CRONOPLE!$F$15,$M45-$A$15,BU$13)))</f>
        <v>3</v>
      </c>
      <c r="BV45" s="353" t="n">
        <f aca="true">IF(OR($D45&lt;&gt;"Serviço",AND(AUTOEVENTO="Manual",$M45=$A$15)),0,
         IF(OFFSET(CRONOPLE!$F$15,$M45-$A$15,BV$13)=0,10^12,OFFSET(CRONOPLE!$F$15,$M45-$A$15,BV$13)))</f>
        <v>4</v>
      </c>
      <c r="BW45" s="353" t="n">
        <f aca="true">IF(OR($D45&lt;&gt;"Serviço",AND(AUTOEVENTO="Manual",$M45=$A$15)),0,
         IF(OFFSET(CRONOPLE!$F$15,$M45-$A$15,BW$13)=0,10^12,OFFSET(CRONOPLE!$F$15,$M45-$A$15,BW$13)))</f>
        <v>5</v>
      </c>
      <c r="BX45" s="353" t="n">
        <f aca="true">IF(OR($D45&lt;&gt;"Serviço",AND(AUTOEVENTO="Manual",$M45=$A$15)),0,
         IF(OFFSET(CRONOPLE!$F$15,$M45-$A$15,BX$13)=0,10^12,OFFSET(CRONOPLE!$F$15,$M45-$A$15,BX$13)))</f>
        <v>6</v>
      </c>
      <c r="BY45" s="353" t="n">
        <f aca="true">IF(OR($D45&lt;&gt;"Serviço",AND(AUTOEVENTO="Manual",$M45=$A$15)),0,
         IF(OFFSET(CRONOPLE!$F$15,$M45-$A$15,BY$13)=0,10^12,OFFSET(CRONOPLE!$F$15,$M45-$A$15,BY$13)))</f>
        <v>7</v>
      </c>
      <c r="BZ45" s="353" t="n">
        <f aca="true">IF(OR($D45&lt;&gt;"Serviço",AND(AUTOEVENTO="Manual",$M45=$A$15)),0,
         IF(OFFSET(CRONOPLE!$F$15,$M45-$A$15,BZ$13)=0,10^12,OFFSET(CRONOPLE!$F$15,$M45-$A$15,BZ$13)))</f>
        <v>8</v>
      </c>
      <c r="CA45" s="353" t="n">
        <f aca="true">IF(OR($D45&lt;&gt;"Serviço",AND(AUTOEVENTO="Manual",$M45=$A$15)),0,
         IF(OFFSET(CRONOPLE!$F$15,$M45-$A$15,CA$13)=0,10^12,OFFSET(CRONOPLE!$F$15,$M45-$A$15,CA$13)))</f>
        <v>9</v>
      </c>
      <c r="CB45" s="353" t="n">
        <f aca="true">IF(OR($D45&lt;&gt;"Serviço",AND(AUTOEVENTO="Manual",$M45=$A$15)),0,
         IF(OFFSET(CRONOPLE!$F$15,$M45-$A$15,CB$13)=0,10^12,OFFSET(CRONOPLE!$F$15,$M45-$A$15,CB$13)))</f>
        <v>10</v>
      </c>
      <c r="CC45" s="353" t="n">
        <f aca="true">IF(OR($D45&lt;&gt;"Serviço",AND(AUTOEVENTO="Manual",$M45=$A$15)),0,
         IF(OFFSET(CRONOPLE!$F$15,$M45-$A$15,CC$13)=0,10^12,OFFSET(CRONOPLE!$F$15,$M45-$A$15,CC$13)))</f>
        <v>11</v>
      </c>
      <c r="CD45" s="353" t="n">
        <f aca="true">IF(OR($D45&lt;&gt;"Serviço",AND(AUTOEVENTO="Manual",$M45=$A$15)),0,
         IF(OFFSET(CRONOPLE!$F$15,$M45-$A$15,CD$13)=0,10^12,OFFSET(CRONOPLE!$F$15,$M45-$A$15,CD$13)))</f>
        <v>12</v>
      </c>
      <c r="CE45" s="353" t="n">
        <f aca="true">IF(OR($D45&lt;&gt;"Serviço",AND(AUTOEVENTO="Manual",$M45=$A$15)),0,
         IF(OFFSET(CRONOPLE!$F$15,$M45-$A$15,CE$13)=0,10^12,OFFSET(CRONOPLE!$F$15,$M45-$A$15,CE$13)))</f>
        <v>13</v>
      </c>
      <c r="CF45" s="353" t="n">
        <f aca="true">IF(OR($D45&lt;&gt;"Serviço",AND(AUTOEVENTO="Manual",$M45=$A$15)),0,
         IF(OFFSET(CRONOPLE!$F$15,$M45-$A$15,CF$13)=0,10^12,OFFSET(CRONOPLE!$F$15,$M45-$A$15,CF$13)))</f>
        <v>14</v>
      </c>
      <c r="CG45" s="353" t="n">
        <f aca="true">IF(OR($D45&lt;&gt;"Serviço",AND(AUTOEVENTO="Manual",$M45=$A$15)),0,
         IF(OFFSET(CRONOPLE!$F$15,$M45-$A$15,CG$13)=0,10^12,OFFSET(CRONOPLE!$F$15,$M45-$A$15,CG$13)))</f>
        <v>15</v>
      </c>
      <c r="CH45" s="353" t="n">
        <f aca="true">IF(OR($D45&lt;&gt;"Serviço",AND(AUTOEVENTO="Manual",$M45=$A$15)),0,
         IF(OFFSET(CRONOPLE!$F$15,$M45-$A$15,CH$13)=0,10^12,OFFSET(CRONOPLE!$F$15,$M45-$A$15,CH$13)))</f>
        <v>16</v>
      </c>
      <c r="CI45" s="353" t="n">
        <f aca="true">IF(OR($D45&lt;&gt;"Serviço",AND(AUTOEVENTO="Manual",$M45=$A$15)),0,
         IF(OFFSET(CRONOPLE!$F$15,$M45-$A$15,CI$13)=0,10^12,OFFSET(CRONOPLE!$F$15,$M45-$A$15,CI$13)))</f>
        <v>17</v>
      </c>
      <c r="CJ45" s="353" t="n">
        <f aca="true">IF(OR($D45&lt;&gt;"Serviço",AND(AUTOEVENTO="Manual",$M45=$A$15)),0,
         IF(OFFSET(CRONOPLE!$F$15,$M45-$A$15,CJ$13)=0,10^12,OFFSET(CRONOPLE!$F$15,$M45-$A$15,CJ$13)))</f>
        <v>18</v>
      </c>
      <c r="CK45" s="353" t="n">
        <f aca="true">IF(OR($D45&lt;&gt;"Serviço",AND(AUTOEVENTO="Manual",$M45=$A$15)),0,
         IF(OFFSET(CRONOPLE!$F$15,$M45-$A$15,CK$13)=0,10^12,OFFSET(CRONOPLE!$F$15,$M45-$A$15,CK$13)))</f>
        <v>19</v>
      </c>
      <c r="CL45" s="353" t="n">
        <f aca="true">IF(OR($D45&lt;&gt;"Serviço",AND(AUTOEVENTO="Manual",$M45=$A$15)),0,
         IF(OFFSET(CRONOPLE!$F$15,$M45-$A$15,CL$13)=0,10^12,OFFSET(CRONOPLE!$F$15,$M45-$A$15,CL$13)))</f>
        <v>20</v>
      </c>
      <c r="CM45" s="353" t="n">
        <f aca="true">IF(OR($D45&lt;&gt;"Serviço",AND(AUTOEVENTO="Manual",$M45=$A$15)),0,
         IF(OFFSET(CRONOPLE!$F$15,$M45-$A$15,CM$13)=0,10^12,OFFSET(CRONOPLE!$F$15,$M45-$A$15,CM$13)))</f>
        <v>21</v>
      </c>
      <c r="CN45" s="353" t="n">
        <f aca="true">IF(OR($D45&lt;&gt;"Serviço",AND(AUTOEVENTO="Manual",$M45=$A$15)),0,
         IF(OFFSET(CRONOPLE!$F$15,$M45-$A$15,CN$13)=0,10^12,OFFSET(CRONOPLE!$F$15,$M45-$A$15,CN$13)))</f>
        <v>22</v>
      </c>
      <c r="CO45" s="353" t="n">
        <f aca="true">IF(OR($D45&lt;&gt;"Serviço",AND(AUTOEVENTO="Manual",$M45=$A$15)),0,
         IF(OFFSET(CRONOPLE!$F$15,$M45-$A$15,CO$13)=0,10^12,OFFSET(CRONOPLE!$F$15,$M45-$A$15,CO$13)))</f>
        <v>23</v>
      </c>
      <c r="CP45" s="353" t="n">
        <f aca="true">IF(OR($D45&lt;&gt;"Serviço",AND(AUTOEVENTO="Manual",$M45=$A$15)),0,
         IF(OFFSET(CRONOPLE!$F$15,$M45-$A$15,CP$13)=0,10^12,OFFSET(CRONOPLE!$F$15,$M45-$A$15,CP$13)))</f>
        <v>24</v>
      </c>
      <c r="CQ45" s="353" t="n">
        <f aca="true">IF(OR($D45&lt;&gt;"Serviço",AND(AUTOEVENTO="Manual",$M45=$A$15)),0,
         IF(OFFSET(CRONOPLE!$F$15,$M45-$A$15,CQ$13)=0,10^12,OFFSET(CRONOPLE!$F$15,$M45-$A$15,CQ$13)))</f>
        <v>25</v>
      </c>
      <c r="CR45" s="353" t="n">
        <f aca="true">IF(OR($D45&lt;&gt;"Serviço",AND(AUTOEVENTO="Manual",$M45=$A$15)),0,
         IF(OFFSET(CRONOPLE!$F$15,$M45-$A$15,CR$13)=0,10^12,OFFSET(CRONOPLE!$F$15,$M45-$A$15,CR$13)))</f>
        <v>1000000000000</v>
      </c>
      <c r="CT45" s="354" t="n">
        <f aca="true">IF(OR($D45&lt;&gt;"Serviço",AND(AUTOEVENTO="Manual",$M45=$A$15),$M45&gt;(ROW(PLE.lastrow)-ROW(PLE.firstrow))),0,
           IF(OFFSET(PLE!$G$15,$M45-$A$15,CT$13)="",10^12,OFFSET(PLE!$G$15,$M45-$A$15,CT$13)))</f>
        <v>1000000000000</v>
      </c>
      <c r="CU45" s="354" t="n">
        <f aca="true">IF(OR($D45&lt;&gt;"Serviço",AND(AUTOEVENTO="Manual",$M45=$A$15),$M45&gt;(ROW(PLE.lastrow)-ROW(PLE.firstrow))),0,
           IF(OFFSET(PLE!$G$15,$M45-$A$15,CU$13)="",10^12,OFFSET(PLE!$G$15,$M45-$A$15,CU$13)))</f>
        <v>1000000000000</v>
      </c>
      <c r="CV45" s="354" t="n">
        <f aca="true">IF(OR($D45&lt;&gt;"Serviço",AND(AUTOEVENTO="Manual",$M45=$A$15),$M45&gt;(ROW(PLE.lastrow)-ROW(PLE.firstrow))),0,
           IF(OFFSET(PLE!$G$15,$M45-$A$15,CV$13)="",10^12,OFFSET(PLE!$G$15,$M45-$A$15,CV$13)))</f>
        <v>1000000000000</v>
      </c>
      <c r="CW45" s="354" t="n">
        <f aca="true">IF(OR($D45&lt;&gt;"Serviço",AND(AUTOEVENTO="Manual",$M45=$A$15),$M45&gt;(ROW(PLE.lastrow)-ROW(PLE.firstrow))),0,
           IF(OFFSET(PLE!$G$15,$M45-$A$15,CW$13)="",10^12,OFFSET(PLE!$G$15,$M45-$A$15,CW$13)))</f>
        <v>1000000000000</v>
      </c>
      <c r="CX45" s="354" t="n">
        <f aca="true">IF(OR($D45&lt;&gt;"Serviço",AND(AUTOEVENTO="Manual",$M45=$A$15),$M45&gt;(ROW(PLE.lastrow)-ROW(PLE.firstrow))),0,
           IF(OFFSET(PLE!$G$15,$M45-$A$15,CX$13)="",10^12,OFFSET(PLE!$G$15,$M45-$A$15,CX$13)))</f>
        <v>1000000000000</v>
      </c>
      <c r="CY45" s="354" t="n">
        <f aca="true">IF(OR($D45&lt;&gt;"Serviço",AND(AUTOEVENTO="Manual",$M45=$A$15),$M45&gt;(ROW(PLE.lastrow)-ROW(PLE.firstrow))),0,
           IF(OFFSET(PLE!$G$15,$M45-$A$15,CY$13)="",10^12,OFFSET(PLE!$G$15,$M45-$A$15,CY$13)))</f>
        <v>1000000000000</v>
      </c>
      <c r="CZ45" s="354" t="n">
        <f aca="true">IF(OR($D45&lt;&gt;"Serviço",AND(AUTOEVENTO="Manual",$M45=$A$15),$M45&gt;(ROW(PLE.lastrow)-ROW(PLE.firstrow))),0,
           IF(OFFSET(PLE!$G$15,$M45-$A$15,CZ$13)="",10^12,OFFSET(PLE!$G$15,$M45-$A$15,CZ$13)))</f>
        <v>1000000000000</v>
      </c>
      <c r="DA45" s="354" t="n">
        <f aca="true">IF(OR($D45&lt;&gt;"Serviço",AND(AUTOEVENTO="Manual",$M45=$A$15),$M45&gt;(ROW(PLE.lastrow)-ROW(PLE.firstrow))),0,
           IF(OFFSET(PLE!$G$15,$M45-$A$15,DA$13)="",10^12,OFFSET(PLE!$G$15,$M45-$A$15,DA$13)))</f>
        <v>1000000000000</v>
      </c>
      <c r="DB45" s="354" t="n">
        <f aca="true">IF(OR($D45&lt;&gt;"Serviço",AND(AUTOEVENTO="Manual",$M45=$A$15),$M45&gt;(ROW(PLE.lastrow)-ROW(PLE.firstrow))),0,
           IF(OFFSET(PLE!$G$15,$M45-$A$15,DB$13)="",10^12,OFFSET(PLE!$G$15,$M45-$A$15,DB$13)))</f>
        <v>1000000000000</v>
      </c>
      <c r="DC45" s="354" t="n">
        <f aca="true">IF(OR($D45&lt;&gt;"Serviço",AND(AUTOEVENTO="Manual",$M45=$A$15),$M45&gt;(ROW(PLE.lastrow)-ROW(PLE.firstrow))),0,
           IF(OFFSET(PLE!$G$15,$M45-$A$15,DC$13)="",10^12,OFFSET(PLE!$G$15,$M45-$A$15,DC$13)))</f>
        <v>1000000000000</v>
      </c>
      <c r="DD45" s="354" t="n">
        <f aca="true">IF(OR($D45&lt;&gt;"Serviço",AND(AUTOEVENTO="Manual",$M45=$A$15),$M45&gt;(ROW(PLE.lastrow)-ROW(PLE.firstrow))),0,
           IF(OFFSET(PLE!$G$15,$M45-$A$15,DD$13)="",10^12,OFFSET(PLE!$G$15,$M45-$A$15,DD$13)))</f>
        <v>1000000000000</v>
      </c>
      <c r="DE45" s="354" t="n">
        <f aca="true">IF(OR($D45&lt;&gt;"Serviço",AND(AUTOEVENTO="Manual",$M45=$A$15),$M45&gt;(ROW(PLE.lastrow)-ROW(PLE.firstrow))),0,
           IF(OFFSET(PLE!$G$15,$M45-$A$15,DE$13)="",10^12,OFFSET(PLE!$G$15,$M45-$A$15,DE$13)))</f>
        <v>1000000000000</v>
      </c>
      <c r="DF45" s="354" t="n">
        <f aca="true">IF(OR($D45&lt;&gt;"Serviço",AND(AUTOEVENTO="Manual",$M45=$A$15),$M45&gt;(ROW(PLE.lastrow)-ROW(PLE.firstrow))),0,
           IF(OFFSET(PLE!$G$15,$M45-$A$15,DF$13)="",10^12,OFFSET(PLE!$G$15,$M45-$A$15,DF$13)))</f>
        <v>1000000000000</v>
      </c>
      <c r="DG45" s="354" t="n">
        <f aca="true">IF(OR($D45&lt;&gt;"Serviço",AND(AUTOEVENTO="Manual",$M45=$A$15),$M45&gt;(ROW(PLE.lastrow)-ROW(PLE.firstrow))),0,
           IF(OFFSET(PLE!$G$15,$M45-$A$15,DG$13)="",10^12,OFFSET(PLE!$G$15,$M45-$A$15,DG$13)))</f>
        <v>1000000000000</v>
      </c>
      <c r="DH45" s="354" t="n">
        <f aca="true">IF(OR($D45&lt;&gt;"Serviço",AND(AUTOEVENTO="Manual",$M45=$A$15),$M45&gt;(ROW(PLE.lastrow)-ROW(PLE.firstrow))),0,
           IF(OFFSET(PLE!$G$15,$M45-$A$15,DH$13)="",10^12,OFFSET(PLE!$G$15,$M45-$A$15,DH$13)))</f>
        <v>1000000000000</v>
      </c>
      <c r="DI45" s="354" t="n">
        <f aca="true">IF(OR($D45&lt;&gt;"Serviço",AND(AUTOEVENTO="Manual",$M45=$A$15),$M45&gt;(ROW(PLE.lastrow)-ROW(PLE.firstrow))),0,
           IF(OFFSET(PLE!$G$15,$M45-$A$15,DI$13)="",10^12,OFFSET(PLE!$G$15,$M45-$A$15,DI$13)))</f>
        <v>1000000000000</v>
      </c>
      <c r="DJ45" s="354" t="n">
        <f aca="true">IF(OR($D45&lt;&gt;"Serviço",AND(AUTOEVENTO="Manual",$M45=$A$15),$M45&gt;(ROW(PLE.lastrow)-ROW(PLE.firstrow))),0,
           IF(OFFSET(PLE!$G$15,$M45-$A$15,DJ$13)="",10^12,OFFSET(PLE!$G$15,$M45-$A$15,DJ$13)))</f>
        <v>1000000000000</v>
      </c>
      <c r="DK45" s="354" t="n">
        <f aca="true">IF(OR($D45&lt;&gt;"Serviço",AND(AUTOEVENTO="Manual",$M45=$A$15),$M45&gt;(ROW(PLE.lastrow)-ROW(PLE.firstrow))),0,
           IF(OFFSET(PLE!$G$15,$M45-$A$15,DK$13)="",10^12,OFFSET(PLE!$G$15,$M45-$A$15,DK$13)))</f>
        <v>1000000000000</v>
      </c>
      <c r="DL45" s="354" t="n">
        <f aca="true">IF(OR($D45&lt;&gt;"Serviço",AND(AUTOEVENTO="Manual",$M45=$A$15),$M45&gt;(ROW(PLE.lastrow)-ROW(PLE.firstrow))),0,
           IF(OFFSET(PLE!$G$15,$M45-$A$15,DL$13)="",10^12,OFFSET(PLE!$G$15,$M45-$A$15,DL$13)))</f>
        <v>1000000000000</v>
      </c>
      <c r="DM45" s="354" t="n">
        <f aca="true">IF(OR($D45&lt;&gt;"Serviço",AND(AUTOEVENTO="Manual",$M45=$A$15),$M45&gt;(ROW(PLE.lastrow)-ROW(PLE.firstrow))),0,
           IF(OFFSET(PLE!$G$15,$M45-$A$15,DM$13)="",10^12,OFFSET(PLE!$G$15,$M45-$A$15,DM$13)))</f>
        <v>1000000000000</v>
      </c>
      <c r="DN45" s="354" t="n">
        <f aca="true">IF(OR($D45&lt;&gt;"Serviço",AND(AUTOEVENTO="Manual",$M45=$A$15),$M45&gt;(ROW(PLE.lastrow)-ROW(PLE.firstrow))),0,
           IF(OFFSET(PLE!$G$15,$M45-$A$15,DN$13)="",10^12,OFFSET(PLE!$G$15,$M45-$A$15,DN$13)))</f>
        <v>1000000000000</v>
      </c>
      <c r="DO45" s="354" t="n">
        <f aca="true">IF(OR($D45&lt;&gt;"Serviço",AND(AUTOEVENTO="Manual",$M45=$A$15),$M45&gt;(ROW(PLE.lastrow)-ROW(PLE.firstrow))),0,
           IF(OFFSET(PLE!$G$15,$M45-$A$15,DO$13)="",10^12,OFFSET(PLE!$G$15,$M45-$A$15,DO$13)))</f>
        <v>1000000000000</v>
      </c>
      <c r="DP45" s="354" t="n">
        <f aca="true">IF(OR($D45&lt;&gt;"Serviço",AND(AUTOEVENTO="Manual",$M45=$A$15),$M45&gt;(ROW(PLE.lastrow)-ROW(PLE.firstrow))),0,
           IF(OFFSET(PLE!$G$15,$M45-$A$15,DP$13)="",10^12,OFFSET(PLE!$G$15,$M45-$A$15,DP$13)))</f>
        <v>1000000000000</v>
      </c>
      <c r="DQ45" s="354" t="n">
        <f aca="true">IF(OR($D45&lt;&gt;"Serviço",AND(AUTOEVENTO="Manual",$M45=$A$15),$M45&gt;(ROW(PLE.lastrow)-ROW(PLE.firstrow))),0,
           IF(OFFSET(PLE!$G$15,$M45-$A$15,DQ$13)="",10^12,OFFSET(PLE!$G$15,$M45-$A$15,DQ$13)))</f>
        <v>1000000000000</v>
      </c>
      <c r="DR45" s="354" t="n">
        <f aca="true">IF(OR($D45&lt;&gt;"Serviço",AND(AUTOEVENTO="Manual",$M45=$A$15),$M45&gt;(ROW(PLE.lastrow)-ROW(PLE.firstrow))),0,
           IF(OFFSET(PLE!$G$15,$M45-$A$15,DR$13)="",10^12,OFFSET(PLE!$G$15,$M45-$A$15,DR$13)))</f>
        <v>1000000000000</v>
      </c>
      <c r="DS45" s="354" t="n">
        <f aca="true">IF(OR($D45&lt;&gt;"Serviço",AND(AUTOEVENTO="Manual",$M45=$A$15),$M45&gt;(ROW(PLE.lastrow)-ROW(PLE.firstrow))),0,
           IF(OFFSET(PLE!$G$15,$M45-$A$15,DS$13)="",10^12,OFFSET(PLE!$G$15,$M45-$A$15,DS$13)))</f>
        <v>1000000000000</v>
      </c>
    </row>
    <row r="46" customFormat="false" ht="12.75" hidden="false" customHeight="false" outlineLevel="0" collapsed="false">
      <c r="A46" s="50" t="str">
        <f aca="true">IFERROR(IF(AUTOEVENTO="Manual",IF(K46&lt;&gt;"",MIN(VALUE(LEFT(K46,FIND(".",K46)-1)),COUNTA(EVENTOS.Lista)),0),IF(OR($B46&gt;AUTOEVENTO,$B46="S",$B46=0),SUBSTITUTE(OFFSET($A46,-1,0),IF($D46="Serviço",".",""),""),ROW(A46)-ROW($A$15)&amp;".")),0)</f>
        <v>31.</v>
      </c>
      <c r="B46" s="50" t="n">
        <f aca="true">OFFSET(ORÇAMENTO!C$15,ROW(B46)-ROW(B$15),0)</f>
        <v>2</v>
      </c>
      <c r="C46" s="50" t="str">
        <f aca="true">OFFSET(ORÇAMENTO!L$15,ROW(C46)-ROW(C$15),0)</f>
        <v>F</v>
      </c>
      <c r="D46" s="201" t="str">
        <f aca="true">OFFSET(ORÇAMENTO!N$15,ROW(D46)-ROW(D$15),0)</f>
        <v>Nível 2</v>
      </c>
      <c r="E46" s="202" t="str">
        <f aca="true">OFFSET(ORÇAMENTO!O$15,ROW(E46)-ROW(E$15),0)</f>
        <v>1.7.</v>
      </c>
      <c r="F46" s="341" t="str">
        <f aca="true">OFFSET(ORÇAMENTO!R$15,ROW(F46)-ROW(F$15),0)</f>
        <v>IMPERMEABILIZAÇÃO</v>
      </c>
      <c r="G46" s="342" t="str">
        <f aca="true">IF($D46&lt;&gt;"Serviço","",OFFSET(ORÇAMENTO!S$15,ROW(G46)-ROW(G$15),0))</f>
        <v/>
      </c>
      <c r="H46" s="207" t="n">
        <f aca="true">IF($D46&lt;&gt;"Serviço",0,IF(ACOMPANHAMENTO="BM",ROUND(OFFSET(ORÇAMENTO!AJ$15,ROW(H46)-ROW(H$15),0),15-13*ORÇAMENTO!$AF$7),SUMPRODUCT(($Q$1:$AQ$1=1)*ROUND($Q46:$AQ46,15-13*ORÇAMENTO!$AF$7))))</f>
        <v>0</v>
      </c>
      <c r="I46" s="343"/>
      <c r="J46" s="344" t="str">
        <f aca="false">IF(OR(B46&lt;&gt;"S",CÁLCULO.FrentesPreenchidas=0),"",IF(AND(ACOMPANHAMENTO="PLE",AUTOEVENTO="Manual",OR(H46&gt;0,ORÇAMENTO!AC46="QUANT."),OR(K46="",M46=0,N46="")),"►",IF(AND(ACOMPANHAMENTO="PLE",ORÇAMENTO!AC46="QUANT."),"►►",IF(AND(COUNTIF($P$11:$AQ$11,"▼")=0,H46&gt;0,I46=""),"◄",""))))</f>
        <v/>
      </c>
      <c r="K46" s="345"/>
      <c r="L46" s="346" t="s">
        <v>876</v>
      </c>
      <c r="M46" s="347" t="str">
        <f aca="true">IF($D46&lt;&gt;"Serviço","",
          IF(AUTOEVENTO="manual",$A46,
                IF(ISERROR(MATCH($A46,$A$15:OFFSET($A46,-1,0),0)),MAX($M$15:OFFSET(M46,-1,0))+1,
                      INDEX($M$15:OFFSET(M46,-1,0),MATCH($A46,$A$15:OFFSET($A46,-1,0),0)))))</f>
        <v/>
      </c>
      <c r="N46" s="348" t="str">
        <f aca="true">IF($D46&lt;&gt;"Serviço","",
         IF(AUTOEVENTO="Manual",
                IF($A46=0,"&lt;-- defina o número do agrupador",
                       OFFSET(EVENTOS!$D$15,$A46-$A$15,0)),
                OFFSET($F$15,$A46,0)))</f>
        <v/>
      </c>
      <c r="O46" s="349"/>
      <c r="Q46" s="349"/>
      <c r="R46" s="350"/>
      <c r="S46" s="350"/>
      <c r="T46" s="350"/>
      <c r="U46" s="350"/>
      <c r="V46" s="350"/>
      <c r="W46" s="350"/>
      <c r="X46" s="350"/>
      <c r="Y46" s="350"/>
      <c r="Z46" s="351"/>
      <c r="AA46" s="350"/>
      <c r="AB46" s="350"/>
      <c r="AC46" s="350"/>
      <c r="AD46" s="350"/>
      <c r="AE46" s="350"/>
      <c r="AF46" s="350"/>
      <c r="AG46" s="350"/>
      <c r="AH46" s="351"/>
      <c r="AI46" s="350"/>
      <c r="AJ46" s="350"/>
      <c r="AK46" s="350"/>
      <c r="AL46" s="350"/>
      <c r="AM46" s="350"/>
      <c r="AN46" s="350"/>
      <c r="AO46" s="350"/>
      <c r="AP46" s="351"/>
      <c r="AR46" s="352" t="n">
        <f aca="true">IF(AND($D46="Serviço",AR$12&lt;&gt;0,$H46&gt;0,OR(AUTOEVENTO&lt;&gt;"manual",$M46&lt;&gt;$A$15)),
        IF(Import.TipoArredondamento&lt;&gt;"TransfereGOV",
              ROUND(OFFSET($P46,0,AR$13),15-13*ORÇAMENTO!$AF$7)/$H46*OFFSET(ORÇAMENTO!$X$15,ROW(AR46)-ROW(AR$15),0),
              ROUND(ROUND(OFFSET($P46,0,AR$13),15-13*ORÇAMENTO!$AF$7)*OFFSET(ORÇAMENTO!$W$15,ROW(AR46)-ROW(AR$15),0),15-13*ORÇAMENTO!$AF$11)),
         0)</f>
        <v>0</v>
      </c>
      <c r="AS46" s="352" t="n">
        <f aca="true">IF(AND($D46="Serviço",AS$12&lt;&gt;0,$H46&gt;0,OR(AUTOEVENTO&lt;&gt;"manual",$M46&lt;&gt;$A$15)),
        IF(Import.TipoArredondamento&lt;&gt;"TransfereGOV",
              ROUND(OFFSET($P46,0,AS$13),15-13*ORÇAMENTO!$AF$7)/$H46*OFFSET(ORÇAMENTO!$X$15,ROW(AS46)-ROW(AS$15),0),
              ROUND(ROUND(OFFSET($P46,0,AS$13),15-13*ORÇAMENTO!$AF$7)*OFFSET(ORÇAMENTO!$W$15,ROW(AS46)-ROW(AS$15),0),15-13*ORÇAMENTO!$AF$11)),
         0)</f>
        <v>0</v>
      </c>
      <c r="AT46" s="352" t="n">
        <f aca="true">IF(AND($D46="Serviço",AT$12&lt;&gt;0,$H46&gt;0,OR(AUTOEVENTO&lt;&gt;"manual",$M46&lt;&gt;$A$15)),
        IF(Import.TipoArredondamento&lt;&gt;"TransfereGOV",
              ROUND(OFFSET($P46,0,AT$13),15-13*ORÇAMENTO!$AF$7)/$H46*OFFSET(ORÇAMENTO!$X$15,ROW(AT46)-ROW(AT$15),0),
              ROUND(ROUND(OFFSET($P46,0,AT$13),15-13*ORÇAMENTO!$AF$7)*OFFSET(ORÇAMENTO!$W$15,ROW(AT46)-ROW(AT$15),0),15-13*ORÇAMENTO!$AF$11)),
         0)</f>
        <v>0</v>
      </c>
      <c r="AU46" s="352" t="n">
        <f aca="true">IF(AND($D46="Serviço",AU$12&lt;&gt;0,$H46&gt;0,OR(AUTOEVENTO&lt;&gt;"manual",$M46&lt;&gt;$A$15)),
        IF(Import.TipoArredondamento&lt;&gt;"TransfereGOV",
              ROUND(OFFSET($P46,0,AU$13),15-13*ORÇAMENTO!$AF$7)/$H46*OFFSET(ORÇAMENTO!$X$15,ROW(AU46)-ROW(AU$15),0),
              ROUND(ROUND(OFFSET($P46,0,AU$13),15-13*ORÇAMENTO!$AF$7)*OFFSET(ORÇAMENTO!$W$15,ROW(AU46)-ROW(AU$15),0),15-13*ORÇAMENTO!$AF$11)),
         0)</f>
        <v>0</v>
      </c>
      <c r="AV46" s="352" t="n">
        <f aca="true">IF(AND($D46="Serviço",AV$12&lt;&gt;0,$H46&gt;0,OR(AUTOEVENTO&lt;&gt;"manual",$M46&lt;&gt;$A$15)),
        IF(Import.TipoArredondamento&lt;&gt;"TransfereGOV",
              ROUND(OFFSET($P46,0,AV$13),15-13*ORÇAMENTO!$AF$7)/$H46*OFFSET(ORÇAMENTO!$X$15,ROW(AV46)-ROW(AV$15),0),
              ROUND(ROUND(OFFSET($P46,0,AV$13),15-13*ORÇAMENTO!$AF$7)*OFFSET(ORÇAMENTO!$W$15,ROW(AV46)-ROW(AV$15),0),15-13*ORÇAMENTO!$AF$11)),
         0)</f>
        <v>0</v>
      </c>
      <c r="AW46" s="352" t="n">
        <f aca="true">IF(AND($D46="Serviço",AW$12&lt;&gt;0,$H46&gt;0,OR(AUTOEVENTO&lt;&gt;"manual",$M46&lt;&gt;$A$15)),
        IF(Import.TipoArredondamento&lt;&gt;"TransfereGOV",
              ROUND(OFFSET($P46,0,AW$13),15-13*ORÇAMENTO!$AF$7)/$H46*OFFSET(ORÇAMENTO!$X$15,ROW(AW46)-ROW(AW$15),0),
              ROUND(ROUND(OFFSET($P46,0,AW$13),15-13*ORÇAMENTO!$AF$7)*OFFSET(ORÇAMENTO!$W$15,ROW(AW46)-ROW(AW$15),0),15-13*ORÇAMENTO!$AF$11)),
         0)</f>
        <v>0</v>
      </c>
      <c r="AX46" s="352" t="n">
        <f aca="true">IF(AND($D46="Serviço",AX$12&lt;&gt;0,$H46&gt;0,OR(AUTOEVENTO&lt;&gt;"manual",$M46&lt;&gt;$A$15)),
        IF(Import.TipoArredondamento&lt;&gt;"TransfereGOV",
              ROUND(OFFSET($P46,0,AX$13),15-13*ORÇAMENTO!$AF$7)/$H46*OFFSET(ORÇAMENTO!$X$15,ROW(AX46)-ROW(AX$15),0),
              ROUND(ROUND(OFFSET($P46,0,AX$13),15-13*ORÇAMENTO!$AF$7)*OFFSET(ORÇAMENTO!$W$15,ROW(AX46)-ROW(AX$15),0),15-13*ORÇAMENTO!$AF$11)),
         0)</f>
        <v>0</v>
      </c>
      <c r="AY46" s="352" t="n">
        <f aca="true">IF(AND($D46="Serviço",AY$12&lt;&gt;0,$H46&gt;0,OR(AUTOEVENTO&lt;&gt;"manual",$M46&lt;&gt;$A$15)),
        IF(Import.TipoArredondamento&lt;&gt;"TransfereGOV",
              ROUND(OFFSET($P46,0,AY$13),15-13*ORÇAMENTO!$AF$7)/$H46*OFFSET(ORÇAMENTO!$X$15,ROW(AY46)-ROW(AY$15),0),
              ROUND(ROUND(OFFSET($P46,0,AY$13),15-13*ORÇAMENTO!$AF$7)*OFFSET(ORÇAMENTO!$W$15,ROW(AY46)-ROW(AY$15),0),15-13*ORÇAMENTO!$AF$11)),
         0)</f>
        <v>0</v>
      </c>
      <c r="AZ46" s="352" t="n">
        <f aca="true">IF(AND($D46="Serviço",AZ$12&lt;&gt;0,$H46&gt;0,OR(AUTOEVENTO&lt;&gt;"manual",$M46&lt;&gt;$A$15)),
        IF(Import.TipoArredondamento&lt;&gt;"TransfereGOV",
              ROUND(OFFSET($P46,0,AZ$13),15-13*ORÇAMENTO!$AF$7)/$H46*OFFSET(ORÇAMENTO!$X$15,ROW(AZ46)-ROW(AZ$15),0),
              ROUND(ROUND(OFFSET($P46,0,AZ$13),15-13*ORÇAMENTO!$AF$7)*OFFSET(ORÇAMENTO!$W$15,ROW(AZ46)-ROW(AZ$15),0),15-13*ORÇAMENTO!$AF$11)),
         0)</f>
        <v>0</v>
      </c>
      <c r="BA46" s="352" t="n">
        <f aca="true">IF(AND($D46="Serviço",BA$12&lt;&gt;0,$H46&gt;0,OR(AUTOEVENTO&lt;&gt;"manual",$M46&lt;&gt;$A$15)),
        IF(Import.TipoArredondamento&lt;&gt;"TransfereGOV",
              ROUND(OFFSET($P46,0,BA$13),15-13*ORÇAMENTO!$AF$7)/$H46*OFFSET(ORÇAMENTO!$X$15,ROW(BA46)-ROW(BA$15),0),
              ROUND(ROUND(OFFSET($P46,0,BA$13),15-13*ORÇAMENTO!$AF$7)*OFFSET(ORÇAMENTO!$W$15,ROW(BA46)-ROW(BA$15),0),15-13*ORÇAMENTO!$AF$11)),
         0)</f>
        <v>0</v>
      </c>
      <c r="BB46" s="352" t="n">
        <f aca="true">IF(AND($D46="Serviço",BB$12&lt;&gt;0,$H46&gt;0,OR(AUTOEVENTO&lt;&gt;"manual",$M46&lt;&gt;$A$15)),
        IF(Import.TipoArredondamento&lt;&gt;"TransfereGOV",
              ROUND(OFFSET($P46,0,BB$13),15-13*ORÇAMENTO!$AF$7)/$H46*OFFSET(ORÇAMENTO!$X$15,ROW(BB46)-ROW(BB$15),0),
              ROUND(ROUND(OFFSET($P46,0,BB$13),15-13*ORÇAMENTO!$AF$7)*OFFSET(ORÇAMENTO!$W$15,ROW(BB46)-ROW(BB$15),0),15-13*ORÇAMENTO!$AF$11)),
         0)</f>
        <v>0</v>
      </c>
      <c r="BC46" s="352" t="n">
        <f aca="true">IF(AND($D46="Serviço",BC$12&lt;&gt;0,$H46&gt;0,OR(AUTOEVENTO&lt;&gt;"manual",$M46&lt;&gt;$A$15)),
        IF(Import.TipoArredondamento&lt;&gt;"TransfereGOV",
              ROUND(OFFSET($P46,0,BC$13),15-13*ORÇAMENTO!$AF$7)/$H46*OFFSET(ORÇAMENTO!$X$15,ROW(BC46)-ROW(BC$15),0),
              ROUND(ROUND(OFFSET($P46,0,BC$13),15-13*ORÇAMENTO!$AF$7)*OFFSET(ORÇAMENTO!$W$15,ROW(BC46)-ROW(BC$15),0),15-13*ORÇAMENTO!$AF$11)),
         0)</f>
        <v>0</v>
      </c>
      <c r="BD46" s="352" t="n">
        <f aca="true">IF(AND($D46="Serviço",BD$12&lt;&gt;0,$H46&gt;0,OR(AUTOEVENTO&lt;&gt;"manual",$M46&lt;&gt;$A$15)),
        IF(Import.TipoArredondamento&lt;&gt;"TransfereGOV",
              ROUND(OFFSET($P46,0,BD$13),15-13*ORÇAMENTO!$AF$7)/$H46*OFFSET(ORÇAMENTO!$X$15,ROW(BD46)-ROW(BD$15),0),
              ROUND(ROUND(OFFSET($P46,0,BD$13),15-13*ORÇAMENTO!$AF$7)*OFFSET(ORÇAMENTO!$W$15,ROW(BD46)-ROW(BD$15),0),15-13*ORÇAMENTO!$AF$11)),
         0)</f>
        <v>0</v>
      </c>
      <c r="BE46" s="352" t="n">
        <f aca="true">IF(AND($D46="Serviço",BE$12&lt;&gt;0,$H46&gt;0,OR(AUTOEVENTO&lt;&gt;"manual",$M46&lt;&gt;$A$15)),
        IF(Import.TipoArredondamento&lt;&gt;"TransfereGOV",
              ROUND(OFFSET($P46,0,BE$13),15-13*ORÇAMENTO!$AF$7)/$H46*OFFSET(ORÇAMENTO!$X$15,ROW(BE46)-ROW(BE$15),0),
              ROUND(ROUND(OFFSET($P46,0,BE$13),15-13*ORÇAMENTO!$AF$7)*OFFSET(ORÇAMENTO!$W$15,ROW(BE46)-ROW(BE$15),0),15-13*ORÇAMENTO!$AF$11)),
         0)</f>
        <v>0</v>
      </c>
      <c r="BF46" s="352" t="n">
        <f aca="true">IF(AND($D46="Serviço",BF$12&lt;&gt;0,$H46&gt;0,OR(AUTOEVENTO&lt;&gt;"manual",$M46&lt;&gt;$A$15)),
        IF(Import.TipoArredondamento&lt;&gt;"TransfereGOV",
              ROUND(OFFSET($P46,0,BF$13),15-13*ORÇAMENTO!$AF$7)/$H46*OFFSET(ORÇAMENTO!$X$15,ROW(BF46)-ROW(BF$15),0),
              ROUND(ROUND(OFFSET($P46,0,BF$13),15-13*ORÇAMENTO!$AF$7)*OFFSET(ORÇAMENTO!$W$15,ROW(BF46)-ROW(BF$15),0),15-13*ORÇAMENTO!$AF$11)),
         0)</f>
        <v>0</v>
      </c>
      <c r="BG46" s="352" t="n">
        <f aca="true">IF(AND($D46="Serviço",BG$12&lt;&gt;0,$H46&gt;0,OR(AUTOEVENTO&lt;&gt;"manual",$M46&lt;&gt;$A$15)),
        IF(Import.TipoArredondamento&lt;&gt;"TransfereGOV",
              ROUND(OFFSET($P46,0,BG$13),15-13*ORÇAMENTO!$AF$7)/$H46*OFFSET(ORÇAMENTO!$X$15,ROW(BG46)-ROW(BG$15),0),
              ROUND(ROUND(OFFSET($P46,0,BG$13),15-13*ORÇAMENTO!$AF$7)*OFFSET(ORÇAMENTO!$W$15,ROW(BG46)-ROW(BG$15),0),15-13*ORÇAMENTO!$AF$11)),
         0)</f>
        <v>0</v>
      </c>
      <c r="BH46" s="352" t="n">
        <f aca="true">IF(AND($D46="Serviço",BH$12&lt;&gt;0,$H46&gt;0,OR(AUTOEVENTO&lt;&gt;"manual",$M46&lt;&gt;$A$15)),
        IF(Import.TipoArredondamento&lt;&gt;"TransfereGOV",
              ROUND(OFFSET($P46,0,BH$13),15-13*ORÇAMENTO!$AF$7)/$H46*OFFSET(ORÇAMENTO!$X$15,ROW(BH46)-ROW(BH$15),0),
              ROUND(ROUND(OFFSET($P46,0,BH$13),15-13*ORÇAMENTO!$AF$7)*OFFSET(ORÇAMENTO!$W$15,ROW(BH46)-ROW(BH$15),0),15-13*ORÇAMENTO!$AF$11)),
         0)</f>
        <v>0</v>
      </c>
      <c r="BI46" s="352" t="n">
        <f aca="true">IF(AND($D46="Serviço",BI$12&lt;&gt;0,$H46&gt;0,OR(AUTOEVENTO&lt;&gt;"manual",$M46&lt;&gt;$A$15)),
        IF(Import.TipoArredondamento&lt;&gt;"TransfereGOV",
              ROUND(OFFSET($P46,0,BI$13),15-13*ORÇAMENTO!$AF$7)/$H46*OFFSET(ORÇAMENTO!$X$15,ROW(BI46)-ROW(BI$15),0),
              ROUND(ROUND(OFFSET($P46,0,BI$13),15-13*ORÇAMENTO!$AF$7)*OFFSET(ORÇAMENTO!$W$15,ROW(BI46)-ROW(BI$15),0),15-13*ORÇAMENTO!$AF$11)),
         0)</f>
        <v>0</v>
      </c>
      <c r="BJ46" s="352" t="n">
        <f aca="true">IF(AND($D46="Serviço",BJ$12&lt;&gt;0,$H46&gt;0,OR(AUTOEVENTO&lt;&gt;"manual",$M46&lt;&gt;$A$15)),
        IF(Import.TipoArredondamento&lt;&gt;"TransfereGOV",
              ROUND(OFFSET($P46,0,BJ$13),15-13*ORÇAMENTO!$AF$7)/$H46*OFFSET(ORÇAMENTO!$X$15,ROW(BJ46)-ROW(BJ$15),0),
              ROUND(ROUND(OFFSET($P46,0,BJ$13),15-13*ORÇAMENTO!$AF$7)*OFFSET(ORÇAMENTO!$W$15,ROW(BJ46)-ROW(BJ$15),0),15-13*ORÇAMENTO!$AF$11)),
         0)</f>
        <v>0</v>
      </c>
      <c r="BK46" s="352" t="n">
        <f aca="true">IF(AND($D46="Serviço",BK$12&lt;&gt;0,$H46&gt;0,OR(AUTOEVENTO&lt;&gt;"manual",$M46&lt;&gt;$A$15)),
        IF(Import.TipoArredondamento&lt;&gt;"TransfereGOV",
              ROUND(OFFSET($P46,0,BK$13),15-13*ORÇAMENTO!$AF$7)/$H46*OFFSET(ORÇAMENTO!$X$15,ROW(BK46)-ROW(BK$15),0),
              ROUND(ROUND(OFFSET($P46,0,BK$13),15-13*ORÇAMENTO!$AF$7)*OFFSET(ORÇAMENTO!$W$15,ROW(BK46)-ROW(BK$15),0),15-13*ORÇAMENTO!$AF$11)),
         0)</f>
        <v>0</v>
      </c>
      <c r="BL46" s="352" t="n">
        <f aca="true">IF(AND($D46="Serviço",BL$12&lt;&gt;0,$H46&gt;0,OR(AUTOEVENTO&lt;&gt;"manual",$M46&lt;&gt;$A$15)),
        IF(Import.TipoArredondamento&lt;&gt;"TransfereGOV",
              ROUND(OFFSET($P46,0,BL$13),15-13*ORÇAMENTO!$AF$7)/$H46*OFFSET(ORÇAMENTO!$X$15,ROW(BL46)-ROW(BL$15),0),
              ROUND(ROUND(OFFSET($P46,0,BL$13),15-13*ORÇAMENTO!$AF$7)*OFFSET(ORÇAMENTO!$W$15,ROW(BL46)-ROW(BL$15),0),15-13*ORÇAMENTO!$AF$11)),
         0)</f>
        <v>0</v>
      </c>
      <c r="BM46" s="352" t="n">
        <f aca="true">IF(AND($D46="Serviço",BM$12&lt;&gt;0,$H46&gt;0,OR(AUTOEVENTO&lt;&gt;"manual",$M46&lt;&gt;$A$15)),
        IF(Import.TipoArredondamento&lt;&gt;"TransfereGOV",
              ROUND(OFFSET($P46,0,BM$13),15-13*ORÇAMENTO!$AF$7)/$H46*OFFSET(ORÇAMENTO!$X$15,ROW(BM46)-ROW(BM$15),0),
              ROUND(ROUND(OFFSET($P46,0,BM$13),15-13*ORÇAMENTO!$AF$7)*OFFSET(ORÇAMENTO!$W$15,ROW(BM46)-ROW(BM$15),0),15-13*ORÇAMENTO!$AF$11)),
         0)</f>
        <v>0</v>
      </c>
      <c r="BN46" s="352" t="n">
        <f aca="true">IF(AND($D46="Serviço",BN$12&lt;&gt;0,$H46&gt;0,OR(AUTOEVENTO&lt;&gt;"manual",$M46&lt;&gt;$A$15)),
        IF(Import.TipoArredondamento&lt;&gt;"TransfereGOV",
              ROUND(OFFSET($P46,0,BN$13),15-13*ORÇAMENTO!$AF$7)/$H46*OFFSET(ORÇAMENTO!$X$15,ROW(BN46)-ROW(BN$15),0),
              ROUND(ROUND(OFFSET($P46,0,BN$13),15-13*ORÇAMENTO!$AF$7)*OFFSET(ORÇAMENTO!$W$15,ROW(BN46)-ROW(BN$15),0),15-13*ORÇAMENTO!$AF$11)),
         0)</f>
        <v>0</v>
      </c>
      <c r="BO46" s="352" t="n">
        <f aca="true">IF(AND($D46="Serviço",BO$12&lt;&gt;0,$H46&gt;0,OR(AUTOEVENTO&lt;&gt;"manual",$M46&lt;&gt;$A$15)),
        IF(Import.TipoArredondamento&lt;&gt;"TransfereGOV",
              ROUND(OFFSET($P46,0,BO$13),15-13*ORÇAMENTO!$AF$7)/$H46*OFFSET(ORÇAMENTO!$X$15,ROW(BO46)-ROW(BO$15),0),
              ROUND(ROUND(OFFSET($P46,0,BO$13),15-13*ORÇAMENTO!$AF$7)*OFFSET(ORÇAMENTO!$W$15,ROW(BO46)-ROW(BO$15),0),15-13*ORÇAMENTO!$AF$11)),
         0)</f>
        <v>0</v>
      </c>
      <c r="BP46" s="352" t="n">
        <f aca="true">IF(AND($D46="Serviço",BP$12&lt;&gt;0,$H46&gt;0,OR(AUTOEVENTO&lt;&gt;"manual",$M46&lt;&gt;$A$15)),
        IF(Import.TipoArredondamento&lt;&gt;"TransfereGOV",
              ROUND(OFFSET($P46,0,BP$13),15-13*ORÇAMENTO!$AF$7)/$H46*OFFSET(ORÇAMENTO!$X$15,ROW(BP46)-ROW(BP$15),0),
              ROUND(ROUND(OFFSET($P46,0,BP$13),15-13*ORÇAMENTO!$AF$7)*OFFSET(ORÇAMENTO!$W$15,ROW(BP46)-ROW(BP$15),0),15-13*ORÇAMENTO!$AF$11)),
         0)</f>
        <v>0</v>
      </c>
      <c r="BQ46" s="352" t="n">
        <f aca="true">IF(AND($D46="Serviço",BQ$12&lt;&gt;0,$H46&gt;0,OR(AUTOEVENTO&lt;&gt;"manual",$M46&lt;&gt;$A$15)),
        IF(Import.TipoArredondamento&lt;&gt;"TransfereGOV",
              ROUND(OFFSET($P46,0,BQ$13),15-13*ORÇAMENTO!$AF$7)/$H46*OFFSET(ORÇAMENTO!$X$15,ROW(BQ46)-ROW(BQ$15),0),
              ROUND(ROUND(OFFSET($P46,0,BQ$13),15-13*ORÇAMENTO!$AF$7)*OFFSET(ORÇAMENTO!$W$15,ROW(BQ46)-ROW(BQ$15),0),15-13*ORÇAMENTO!$AF$11)),
         0)</f>
        <v>0</v>
      </c>
      <c r="BS46" s="353" t="n">
        <f aca="true">IF(OR($D46&lt;&gt;"Serviço",AND(AUTOEVENTO="Manual",$M46=$A$15)),0,
         IF(OFFSET(CRONOPLE!$F$15,$M46-$A$15,BS$13)=0,10^12,OFFSET(CRONOPLE!$F$15,$M46-$A$15,BS$13)))</f>
        <v>0</v>
      </c>
      <c r="BT46" s="353" t="n">
        <f aca="true">IF(OR($D46&lt;&gt;"Serviço",AND(AUTOEVENTO="Manual",$M46=$A$15)),0,
         IF(OFFSET(CRONOPLE!$F$15,$M46-$A$15,BT$13)=0,10^12,OFFSET(CRONOPLE!$F$15,$M46-$A$15,BT$13)))</f>
        <v>0</v>
      </c>
      <c r="BU46" s="353" t="n">
        <f aca="true">IF(OR($D46&lt;&gt;"Serviço",AND(AUTOEVENTO="Manual",$M46=$A$15)),0,
         IF(OFFSET(CRONOPLE!$F$15,$M46-$A$15,BU$13)=0,10^12,OFFSET(CRONOPLE!$F$15,$M46-$A$15,BU$13)))</f>
        <v>0</v>
      </c>
      <c r="BV46" s="353" t="n">
        <f aca="true">IF(OR($D46&lt;&gt;"Serviço",AND(AUTOEVENTO="Manual",$M46=$A$15)),0,
         IF(OFFSET(CRONOPLE!$F$15,$M46-$A$15,BV$13)=0,10^12,OFFSET(CRONOPLE!$F$15,$M46-$A$15,BV$13)))</f>
        <v>0</v>
      </c>
      <c r="BW46" s="353" t="n">
        <f aca="true">IF(OR($D46&lt;&gt;"Serviço",AND(AUTOEVENTO="Manual",$M46=$A$15)),0,
         IF(OFFSET(CRONOPLE!$F$15,$M46-$A$15,BW$13)=0,10^12,OFFSET(CRONOPLE!$F$15,$M46-$A$15,BW$13)))</f>
        <v>0</v>
      </c>
      <c r="BX46" s="353" t="n">
        <f aca="true">IF(OR($D46&lt;&gt;"Serviço",AND(AUTOEVENTO="Manual",$M46=$A$15)),0,
         IF(OFFSET(CRONOPLE!$F$15,$M46-$A$15,BX$13)=0,10^12,OFFSET(CRONOPLE!$F$15,$M46-$A$15,BX$13)))</f>
        <v>0</v>
      </c>
      <c r="BY46" s="353" t="n">
        <f aca="true">IF(OR($D46&lt;&gt;"Serviço",AND(AUTOEVENTO="Manual",$M46=$A$15)),0,
         IF(OFFSET(CRONOPLE!$F$15,$M46-$A$15,BY$13)=0,10^12,OFFSET(CRONOPLE!$F$15,$M46-$A$15,BY$13)))</f>
        <v>0</v>
      </c>
      <c r="BZ46" s="353" t="n">
        <f aca="true">IF(OR($D46&lt;&gt;"Serviço",AND(AUTOEVENTO="Manual",$M46=$A$15)),0,
         IF(OFFSET(CRONOPLE!$F$15,$M46-$A$15,BZ$13)=0,10^12,OFFSET(CRONOPLE!$F$15,$M46-$A$15,BZ$13)))</f>
        <v>0</v>
      </c>
      <c r="CA46" s="353" t="n">
        <f aca="true">IF(OR($D46&lt;&gt;"Serviço",AND(AUTOEVENTO="Manual",$M46=$A$15)),0,
         IF(OFFSET(CRONOPLE!$F$15,$M46-$A$15,CA$13)=0,10^12,OFFSET(CRONOPLE!$F$15,$M46-$A$15,CA$13)))</f>
        <v>0</v>
      </c>
      <c r="CB46" s="353" t="n">
        <f aca="true">IF(OR($D46&lt;&gt;"Serviço",AND(AUTOEVENTO="Manual",$M46=$A$15)),0,
         IF(OFFSET(CRONOPLE!$F$15,$M46-$A$15,CB$13)=0,10^12,OFFSET(CRONOPLE!$F$15,$M46-$A$15,CB$13)))</f>
        <v>0</v>
      </c>
      <c r="CC46" s="353" t="n">
        <f aca="true">IF(OR($D46&lt;&gt;"Serviço",AND(AUTOEVENTO="Manual",$M46=$A$15)),0,
         IF(OFFSET(CRONOPLE!$F$15,$M46-$A$15,CC$13)=0,10^12,OFFSET(CRONOPLE!$F$15,$M46-$A$15,CC$13)))</f>
        <v>0</v>
      </c>
      <c r="CD46" s="353" t="n">
        <f aca="true">IF(OR($D46&lt;&gt;"Serviço",AND(AUTOEVENTO="Manual",$M46=$A$15)),0,
         IF(OFFSET(CRONOPLE!$F$15,$M46-$A$15,CD$13)=0,10^12,OFFSET(CRONOPLE!$F$15,$M46-$A$15,CD$13)))</f>
        <v>0</v>
      </c>
      <c r="CE46" s="353" t="n">
        <f aca="true">IF(OR($D46&lt;&gt;"Serviço",AND(AUTOEVENTO="Manual",$M46=$A$15)),0,
         IF(OFFSET(CRONOPLE!$F$15,$M46-$A$15,CE$13)=0,10^12,OFFSET(CRONOPLE!$F$15,$M46-$A$15,CE$13)))</f>
        <v>0</v>
      </c>
      <c r="CF46" s="353" t="n">
        <f aca="true">IF(OR($D46&lt;&gt;"Serviço",AND(AUTOEVENTO="Manual",$M46=$A$15)),0,
         IF(OFFSET(CRONOPLE!$F$15,$M46-$A$15,CF$13)=0,10^12,OFFSET(CRONOPLE!$F$15,$M46-$A$15,CF$13)))</f>
        <v>0</v>
      </c>
      <c r="CG46" s="353" t="n">
        <f aca="true">IF(OR($D46&lt;&gt;"Serviço",AND(AUTOEVENTO="Manual",$M46=$A$15)),0,
         IF(OFFSET(CRONOPLE!$F$15,$M46-$A$15,CG$13)=0,10^12,OFFSET(CRONOPLE!$F$15,$M46-$A$15,CG$13)))</f>
        <v>0</v>
      </c>
      <c r="CH46" s="353" t="n">
        <f aca="true">IF(OR($D46&lt;&gt;"Serviço",AND(AUTOEVENTO="Manual",$M46=$A$15)),0,
         IF(OFFSET(CRONOPLE!$F$15,$M46-$A$15,CH$13)=0,10^12,OFFSET(CRONOPLE!$F$15,$M46-$A$15,CH$13)))</f>
        <v>0</v>
      </c>
      <c r="CI46" s="353" t="n">
        <f aca="true">IF(OR($D46&lt;&gt;"Serviço",AND(AUTOEVENTO="Manual",$M46=$A$15)),0,
         IF(OFFSET(CRONOPLE!$F$15,$M46-$A$15,CI$13)=0,10^12,OFFSET(CRONOPLE!$F$15,$M46-$A$15,CI$13)))</f>
        <v>0</v>
      </c>
      <c r="CJ46" s="353" t="n">
        <f aca="true">IF(OR($D46&lt;&gt;"Serviço",AND(AUTOEVENTO="Manual",$M46=$A$15)),0,
         IF(OFFSET(CRONOPLE!$F$15,$M46-$A$15,CJ$13)=0,10^12,OFFSET(CRONOPLE!$F$15,$M46-$A$15,CJ$13)))</f>
        <v>0</v>
      </c>
      <c r="CK46" s="353" t="n">
        <f aca="true">IF(OR($D46&lt;&gt;"Serviço",AND(AUTOEVENTO="Manual",$M46=$A$15)),0,
         IF(OFFSET(CRONOPLE!$F$15,$M46-$A$15,CK$13)=0,10^12,OFFSET(CRONOPLE!$F$15,$M46-$A$15,CK$13)))</f>
        <v>0</v>
      </c>
      <c r="CL46" s="353" t="n">
        <f aca="true">IF(OR($D46&lt;&gt;"Serviço",AND(AUTOEVENTO="Manual",$M46=$A$15)),0,
         IF(OFFSET(CRONOPLE!$F$15,$M46-$A$15,CL$13)=0,10^12,OFFSET(CRONOPLE!$F$15,$M46-$A$15,CL$13)))</f>
        <v>0</v>
      </c>
      <c r="CM46" s="353" t="n">
        <f aca="true">IF(OR($D46&lt;&gt;"Serviço",AND(AUTOEVENTO="Manual",$M46=$A$15)),0,
         IF(OFFSET(CRONOPLE!$F$15,$M46-$A$15,CM$13)=0,10^12,OFFSET(CRONOPLE!$F$15,$M46-$A$15,CM$13)))</f>
        <v>0</v>
      </c>
      <c r="CN46" s="353" t="n">
        <f aca="true">IF(OR($D46&lt;&gt;"Serviço",AND(AUTOEVENTO="Manual",$M46=$A$15)),0,
         IF(OFFSET(CRONOPLE!$F$15,$M46-$A$15,CN$13)=0,10^12,OFFSET(CRONOPLE!$F$15,$M46-$A$15,CN$13)))</f>
        <v>0</v>
      </c>
      <c r="CO46" s="353" t="n">
        <f aca="true">IF(OR($D46&lt;&gt;"Serviço",AND(AUTOEVENTO="Manual",$M46=$A$15)),0,
         IF(OFFSET(CRONOPLE!$F$15,$M46-$A$15,CO$13)=0,10^12,OFFSET(CRONOPLE!$F$15,$M46-$A$15,CO$13)))</f>
        <v>0</v>
      </c>
      <c r="CP46" s="353" t="n">
        <f aca="true">IF(OR($D46&lt;&gt;"Serviço",AND(AUTOEVENTO="Manual",$M46=$A$15)),0,
         IF(OFFSET(CRONOPLE!$F$15,$M46-$A$15,CP$13)=0,10^12,OFFSET(CRONOPLE!$F$15,$M46-$A$15,CP$13)))</f>
        <v>0</v>
      </c>
      <c r="CQ46" s="353" t="n">
        <f aca="true">IF(OR($D46&lt;&gt;"Serviço",AND(AUTOEVENTO="Manual",$M46=$A$15)),0,
         IF(OFFSET(CRONOPLE!$F$15,$M46-$A$15,CQ$13)=0,10^12,OFFSET(CRONOPLE!$F$15,$M46-$A$15,CQ$13)))</f>
        <v>0</v>
      </c>
      <c r="CR46" s="353" t="n">
        <f aca="true">IF(OR($D46&lt;&gt;"Serviço",AND(AUTOEVENTO="Manual",$M46=$A$15)),0,
         IF(OFFSET(CRONOPLE!$F$15,$M46-$A$15,CR$13)=0,10^12,OFFSET(CRONOPLE!$F$15,$M46-$A$15,CR$13)))</f>
        <v>0</v>
      </c>
      <c r="CT46" s="354" t="n">
        <f aca="true">IF(OR($D46&lt;&gt;"Serviço",AND(AUTOEVENTO="Manual",$M46=$A$15),$M46&gt;(ROW(PLE.lastrow)-ROW(PLE.firstrow))),0,
           IF(OFFSET(PLE!$G$15,$M46-$A$15,CT$13)="",10^12,OFFSET(PLE!$G$15,$M46-$A$15,CT$13)))</f>
        <v>0</v>
      </c>
      <c r="CU46" s="354" t="n">
        <f aca="true">IF(OR($D46&lt;&gt;"Serviço",AND(AUTOEVENTO="Manual",$M46=$A$15),$M46&gt;(ROW(PLE.lastrow)-ROW(PLE.firstrow))),0,
           IF(OFFSET(PLE!$G$15,$M46-$A$15,CU$13)="",10^12,OFFSET(PLE!$G$15,$M46-$A$15,CU$13)))</f>
        <v>0</v>
      </c>
      <c r="CV46" s="354" t="n">
        <f aca="true">IF(OR($D46&lt;&gt;"Serviço",AND(AUTOEVENTO="Manual",$M46=$A$15),$M46&gt;(ROW(PLE.lastrow)-ROW(PLE.firstrow))),0,
           IF(OFFSET(PLE!$G$15,$M46-$A$15,CV$13)="",10^12,OFFSET(PLE!$G$15,$M46-$A$15,CV$13)))</f>
        <v>0</v>
      </c>
      <c r="CW46" s="354" t="n">
        <f aca="true">IF(OR($D46&lt;&gt;"Serviço",AND(AUTOEVENTO="Manual",$M46=$A$15),$M46&gt;(ROW(PLE.lastrow)-ROW(PLE.firstrow))),0,
           IF(OFFSET(PLE!$G$15,$M46-$A$15,CW$13)="",10^12,OFFSET(PLE!$G$15,$M46-$A$15,CW$13)))</f>
        <v>0</v>
      </c>
      <c r="CX46" s="354" t="n">
        <f aca="true">IF(OR($D46&lt;&gt;"Serviço",AND(AUTOEVENTO="Manual",$M46=$A$15),$M46&gt;(ROW(PLE.lastrow)-ROW(PLE.firstrow))),0,
           IF(OFFSET(PLE!$G$15,$M46-$A$15,CX$13)="",10^12,OFFSET(PLE!$G$15,$M46-$A$15,CX$13)))</f>
        <v>0</v>
      </c>
      <c r="CY46" s="354" t="n">
        <f aca="true">IF(OR($D46&lt;&gt;"Serviço",AND(AUTOEVENTO="Manual",$M46=$A$15),$M46&gt;(ROW(PLE.lastrow)-ROW(PLE.firstrow))),0,
           IF(OFFSET(PLE!$G$15,$M46-$A$15,CY$13)="",10^12,OFFSET(PLE!$G$15,$M46-$A$15,CY$13)))</f>
        <v>0</v>
      </c>
      <c r="CZ46" s="354" t="n">
        <f aca="true">IF(OR($D46&lt;&gt;"Serviço",AND(AUTOEVENTO="Manual",$M46=$A$15),$M46&gt;(ROW(PLE.lastrow)-ROW(PLE.firstrow))),0,
           IF(OFFSET(PLE!$G$15,$M46-$A$15,CZ$13)="",10^12,OFFSET(PLE!$G$15,$M46-$A$15,CZ$13)))</f>
        <v>0</v>
      </c>
      <c r="DA46" s="354" t="n">
        <f aca="true">IF(OR($D46&lt;&gt;"Serviço",AND(AUTOEVENTO="Manual",$M46=$A$15),$M46&gt;(ROW(PLE.lastrow)-ROW(PLE.firstrow))),0,
           IF(OFFSET(PLE!$G$15,$M46-$A$15,DA$13)="",10^12,OFFSET(PLE!$G$15,$M46-$A$15,DA$13)))</f>
        <v>0</v>
      </c>
      <c r="DB46" s="354" t="n">
        <f aca="true">IF(OR($D46&lt;&gt;"Serviço",AND(AUTOEVENTO="Manual",$M46=$A$15),$M46&gt;(ROW(PLE.lastrow)-ROW(PLE.firstrow))),0,
           IF(OFFSET(PLE!$G$15,$M46-$A$15,DB$13)="",10^12,OFFSET(PLE!$G$15,$M46-$A$15,DB$13)))</f>
        <v>0</v>
      </c>
      <c r="DC46" s="354" t="n">
        <f aca="true">IF(OR($D46&lt;&gt;"Serviço",AND(AUTOEVENTO="Manual",$M46=$A$15),$M46&gt;(ROW(PLE.lastrow)-ROW(PLE.firstrow))),0,
           IF(OFFSET(PLE!$G$15,$M46-$A$15,DC$13)="",10^12,OFFSET(PLE!$G$15,$M46-$A$15,DC$13)))</f>
        <v>0</v>
      </c>
      <c r="DD46" s="354" t="n">
        <f aca="true">IF(OR($D46&lt;&gt;"Serviço",AND(AUTOEVENTO="Manual",$M46=$A$15),$M46&gt;(ROW(PLE.lastrow)-ROW(PLE.firstrow))),0,
           IF(OFFSET(PLE!$G$15,$M46-$A$15,DD$13)="",10^12,OFFSET(PLE!$G$15,$M46-$A$15,DD$13)))</f>
        <v>0</v>
      </c>
      <c r="DE46" s="354" t="n">
        <f aca="true">IF(OR($D46&lt;&gt;"Serviço",AND(AUTOEVENTO="Manual",$M46=$A$15),$M46&gt;(ROW(PLE.lastrow)-ROW(PLE.firstrow))),0,
           IF(OFFSET(PLE!$G$15,$M46-$A$15,DE$13)="",10^12,OFFSET(PLE!$G$15,$M46-$A$15,DE$13)))</f>
        <v>0</v>
      </c>
      <c r="DF46" s="354" t="n">
        <f aca="true">IF(OR($D46&lt;&gt;"Serviço",AND(AUTOEVENTO="Manual",$M46=$A$15),$M46&gt;(ROW(PLE.lastrow)-ROW(PLE.firstrow))),0,
           IF(OFFSET(PLE!$G$15,$M46-$A$15,DF$13)="",10^12,OFFSET(PLE!$G$15,$M46-$A$15,DF$13)))</f>
        <v>0</v>
      </c>
      <c r="DG46" s="354" t="n">
        <f aca="true">IF(OR($D46&lt;&gt;"Serviço",AND(AUTOEVENTO="Manual",$M46=$A$15),$M46&gt;(ROW(PLE.lastrow)-ROW(PLE.firstrow))),0,
           IF(OFFSET(PLE!$G$15,$M46-$A$15,DG$13)="",10^12,OFFSET(PLE!$G$15,$M46-$A$15,DG$13)))</f>
        <v>0</v>
      </c>
      <c r="DH46" s="354" t="n">
        <f aca="true">IF(OR($D46&lt;&gt;"Serviço",AND(AUTOEVENTO="Manual",$M46=$A$15),$M46&gt;(ROW(PLE.lastrow)-ROW(PLE.firstrow))),0,
           IF(OFFSET(PLE!$G$15,$M46-$A$15,DH$13)="",10^12,OFFSET(PLE!$G$15,$M46-$A$15,DH$13)))</f>
        <v>0</v>
      </c>
      <c r="DI46" s="354" t="n">
        <f aca="true">IF(OR($D46&lt;&gt;"Serviço",AND(AUTOEVENTO="Manual",$M46=$A$15),$M46&gt;(ROW(PLE.lastrow)-ROW(PLE.firstrow))),0,
           IF(OFFSET(PLE!$G$15,$M46-$A$15,DI$13)="",10^12,OFFSET(PLE!$G$15,$M46-$A$15,DI$13)))</f>
        <v>0</v>
      </c>
      <c r="DJ46" s="354" t="n">
        <f aca="true">IF(OR($D46&lt;&gt;"Serviço",AND(AUTOEVENTO="Manual",$M46=$A$15),$M46&gt;(ROW(PLE.lastrow)-ROW(PLE.firstrow))),0,
           IF(OFFSET(PLE!$G$15,$M46-$A$15,DJ$13)="",10^12,OFFSET(PLE!$G$15,$M46-$A$15,DJ$13)))</f>
        <v>0</v>
      </c>
      <c r="DK46" s="354" t="n">
        <f aca="true">IF(OR($D46&lt;&gt;"Serviço",AND(AUTOEVENTO="Manual",$M46=$A$15),$M46&gt;(ROW(PLE.lastrow)-ROW(PLE.firstrow))),0,
           IF(OFFSET(PLE!$G$15,$M46-$A$15,DK$13)="",10^12,OFFSET(PLE!$G$15,$M46-$A$15,DK$13)))</f>
        <v>0</v>
      </c>
      <c r="DL46" s="354" t="n">
        <f aca="true">IF(OR($D46&lt;&gt;"Serviço",AND(AUTOEVENTO="Manual",$M46=$A$15),$M46&gt;(ROW(PLE.lastrow)-ROW(PLE.firstrow))),0,
           IF(OFFSET(PLE!$G$15,$M46-$A$15,DL$13)="",10^12,OFFSET(PLE!$G$15,$M46-$A$15,DL$13)))</f>
        <v>0</v>
      </c>
      <c r="DM46" s="354" t="n">
        <f aca="true">IF(OR($D46&lt;&gt;"Serviço",AND(AUTOEVENTO="Manual",$M46=$A$15),$M46&gt;(ROW(PLE.lastrow)-ROW(PLE.firstrow))),0,
           IF(OFFSET(PLE!$G$15,$M46-$A$15,DM$13)="",10^12,OFFSET(PLE!$G$15,$M46-$A$15,DM$13)))</f>
        <v>0</v>
      </c>
      <c r="DN46" s="354" t="n">
        <f aca="true">IF(OR($D46&lt;&gt;"Serviço",AND(AUTOEVENTO="Manual",$M46=$A$15),$M46&gt;(ROW(PLE.lastrow)-ROW(PLE.firstrow))),0,
           IF(OFFSET(PLE!$G$15,$M46-$A$15,DN$13)="",10^12,OFFSET(PLE!$G$15,$M46-$A$15,DN$13)))</f>
        <v>0</v>
      </c>
      <c r="DO46" s="354" t="n">
        <f aca="true">IF(OR($D46&lt;&gt;"Serviço",AND(AUTOEVENTO="Manual",$M46=$A$15),$M46&gt;(ROW(PLE.lastrow)-ROW(PLE.firstrow))),0,
           IF(OFFSET(PLE!$G$15,$M46-$A$15,DO$13)="",10^12,OFFSET(PLE!$G$15,$M46-$A$15,DO$13)))</f>
        <v>0</v>
      </c>
      <c r="DP46" s="354" t="n">
        <f aca="true">IF(OR($D46&lt;&gt;"Serviço",AND(AUTOEVENTO="Manual",$M46=$A$15),$M46&gt;(ROW(PLE.lastrow)-ROW(PLE.firstrow))),0,
           IF(OFFSET(PLE!$G$15,$M46-$A$15,DP$13)="",10^12,OFFSET(PLE!$G$15,$M46-$A$15,DP$13)))</f>
        <v>0</v>
      </c>
      <c r="DQ46" s="354" t="n">
        <f aca="true">IF(OR($D46&lt;&gt;"Serviço",AND(AUTOEVENTO="Manual",$M46=$A$15),$M46&gt;(ROW(PLE.lastrow)-ROW(PLE.firstrow))),0,
           IF(OFFSET(PLE!$G$15,$M46-$A$15,DQ$13)="",10^12,OFFSET(PLE!$G$15,$M46-$A$15,DQ$13)))</f>
        <v>0</v>
      </c>
      <c r="DR46" s="354" t="n">
        <f aca="true">IF(OR($D46&lt;&gt;"Serviço",AND(AUTOEVENTO="Manual",$M46=$A$15),$M46&gt;(ROW(PLE.lastrow)-ROW(PLE.firstrow))),0,
           IF(OFFSET(PLE!$G$15,$M46-$A$15,DR$13)="",10^12,OFFSET(PLE!$G$15,$M46-$A$15,DR$13)))</f>
        <v>0</v>
      </c>
      <c r="DS46" s="354" t="n">
        <f aca="true">IF(OR($D46&lt;&gt;"Serviço",AND(AUTOEVENTO="Manual",$M46=$A$15),$M46&gt;(ROW(PLE.lastrow)-ROW(PLE.firstrow))),0,
           IF(OFFSET(PLE!$G$15,$M46-$A$15,DS$13)="",10^12,OFFSET(PLE!$G$15,$M46-$A$15,DS$13)))</f>
        <v>0</v>
      </c>
    </row>
    <row r="47" customFormat="false" ht="23.85" hidden="false" customHeight="false" outlineLevel="0" collapsed="false">
      <c r="A47" s="50" t="str">
        <f aca="true">IFERROR(IF(AUTOEVENTO="Manual",IF(K47&lt;&gt;"",MIN(VALUE(LEFT(K47,FIND(".",K47)-1)),COUNTA(EVENTOS.Lista)),0),IF(OR($B47&gt;AUTOEVENTO,$B47="S",$B47=0),SUBSTITUTE(OFFSET($A47,-1,0),IF($D47="Serviço",".",""),""),ROW(A47)-ROW($A$15)&amp;".")),0)</f>
        <v>31</v>
      </c>
      <c r="B47" s="50" t="str">
        <f aca="true">OFFSET(ORÇAMENTO!C$15,ROW(B47)-ROW(B$15),0)</f>
        <v>S</v>
      </c>
      <c r="C47" s="50" t="str">
        <f aca="true">OFFSET(ORÇAMENTO!L$15,ROW(C47)-ROW(C$15),0)</f>
        <v>F</v>
      </c>
      <c r="D47" s="201" t="str">
        <f aca="true">OFFSET(ORÇAMENTO!N$15,ROW(D47)-ROW(D$15),0)</f>
        <v>Serviço</v>
      </c>
      <c r="E47" s="202" t="str">
        <f aca="true">OFFSET(ORÇAMENTO!O$15,ROW(E47)-ROW(E$15),0)</f>
        <v>1.7.1.</v>
      </c>
      <c r="F47" s="341" t="str">
        <f aca="true">OFFSET(ORÇAMENTO!R$15,ROW(F47)-ROW(F$15),0)</f>
        <v>IMPERMEABILIZAÇÃO DE SUPERFÍCIE COM EMULSÃO ASFÁLTICA, 2 DEMÃOS. AF_09/2023</v>
      </c>
      <c r="G47" s="342" t="str">
        <f aca="true">IF($D47&lt;&gt;"Serviço","",OFFSET(ORÇAMENTO!S$15,ROW(G47)-ROW(G$15),0))</f>
        <v>M2</v>
      </c>
      <c r="H47" s="207" t="n">
        <f aca="true">IF($D47&lt;&gt;"Serviço",0,IF(ACOMPANHAMENTO="BM",ROUND(OFFSET(ORÇAMENTO!AJ$15,ROW(H47)-ROW(H$15),0),15-13*ORÇAMENTO!$AF$7),SUMPRODUCT(($Q$1:$AQ$1=1)*ROUND($Q47:$AQ47,15-13*ORÇAMENTO!$AF$7))))</f>
        <v>849.5</v>
      </c>
      <c r="I47" s="343" t="s">
        <v>934</v>
      </c>
      <c r="J47" s="344" t="e">
        <f aca="false">IF(OR(B47&lt;&gt;"S",CÁLCULO.FrentesPreenchidas=0),"",IF(AND(ACOMPANHAMENTO="PLE",AUTOEVENTO="Manual",OR(H47&gt;0,ORÇAMENTO!AC47="QUANT."),OR(K47="",M47=0,N47="")),"►",IF(AND(ACOMPANHAMENTO="PLE",ORÇAMENTO!AC47="QUANT."),"►►",IF(AND(COUNTIF($P$11:$AQ$11,"▼")=0,H47&gt;0,I47=""),"◄",""))))</f>
        <v>#NAME?</v>
      </c>
      <c r="K47" s="345"/>
      <c r="L47" s="346" t="s">
        <v>876</v>
      </c>
      <c r="M47" s="347" t="n">
        <f aca="true">IF($D47&lt;&gt;"Serviço","",
          IF(AUTOEVENTO="manual",$A47,
                IF(ISERROR(MATCH($A47,$A$15:OFFSET($A47,-1,0),0)),MAX($M$15:OFFSET(M47,-1,0))+1,
                      INDEX($M$15:OFFSET(M47,-1,0),MATCH($A47,$A$15:OFFSET($A47,-1,0),0)))))</f>
        <v>5</v>
      </c>
      <c r="N47" s="348" t="str">
        <f aca="true">IF($D47&lt;&gt;"Serviço","",
         IF(AUTOEVENTO="Manual",
                IF($A47=0,"&lt;-- defina o número do agrupador",
                       OFFSET(EVENTOS!$D$15,$A47-$A$15,0)),
                OFFSET($F$15,$A47,0)))</f>
        <v>IMPERMEABILIZAÇÃO</v>
      </c>
      <c r="O47" s="349"/>
      <c r="Q47" s="349" t="n">
        <v>33.98</v>
      </c>
      <c r="R47" s="350" t="n">
        <v>33.98</v>
      </c>
      <c r="S47" s="350" t="n">
        <v>33.98</v>
      </c>
      <c r="T47" s="350" t="n">
        <v>33.98</v>
      </c>
      <c r="U47" s="350" t="n">
        <v>33.98</v>
      </c>
      <c r="V47" s="350" t="n">
        <v>33.98</v>
      </c>
      <c r="W47" s="350" t="n">
        <v>33.98</v>
      </c>
      <c r="X47" s="350" t="n">
        <v>33.98</v>
      </c>
      <c r="Y47" s="350" t="n">
        <v>33.98</v>
      </c>
      <c r="Z47" s="351" t="n">
        <v>33.98</v>
      </c>
      <c r="AA47" s="350" t="n">
        <v>33.98</v>
      </c>
      <c r="AB47" s="350" t="n">
        <v>33.98</v>
      </c>
      <c r="AC47" s="350" t="n">
        <v>33.98</v>
      </c>
      <c r="AD47" s="350" t="n">
        <v>33.98</v>
      </c>
      <c r="AE47" s="350" t="n">
        <v>33.98</v>
      </c>
      <c r="AF47" s="350" t="n">
        <v>33.98</v>
      </c>
      <c r="AG47" s="350" t="n">
        <v>33.98</v>
      </c>
      <c r="AH47" s="351" t="n">
        <v>33.98</v>
      </c>
      <c r="AI47" s="350" t="n">
        <v>33.98</v>
      </c>
      <c r="AJ47" s="350" t="n">
        <v>33.98</v>
      </c>
      <c r="AK47" s="350" t="n">
        <v>33.98</v>
      </c>
      <c r="AL47" s="350" t="n">
        <v>33.98</v>
      </c>
      <c r="AM47" s="350" t="n">
        <v>33.98</v>
      </c>
      <c r="AN47" s="350" t="n">
        <v>33.98</v>
      </c>
      <c r="AO47" s="350" t="n">
        <v>33.98</v>
      </c>
      <c r="AP47" s="351"/>
      <c r="AR47" s="352" t="n">
        <f aca="true">IF(AND($D47="Serviço",AR$12&lt;&gt;0,$H47&gt;0,OR(AUTOEVENTO&lt;&gt;"manual",$M47&lt;&gt;$A$15)),
        IF(Import.TipoArredondamento&lt;&gt;"TransfereGOV",
              ROUND(OFFSET($P47,0,AR$13),15-13*ORÇAMENTO!$AF$7)/$H47*OFFSET(ORÇAMENTO!$X$15,ROW(AR47)-ROW(AR$15),0),
              ROUND(ROUND(OFFSET($P47,0,AR$13),15-13*ORÇAMENTO!$AF$7)*OFFSET(ORÇAMENTO!$W$15,ROW(AR47)-ROW(AR$15),0),15-13*ORÇAMENTO!$AF$11)),
         0)</f>
        <v>1737.74</v>
      </c>
      <c r="AS47" s="352" t="n">
        <f aca="true">IF(AND($D47="Serviço",AS$12&lt;&gt;0,$H47&gt;0,OR(AUTOEVENTO&lt;&gt;"manual",$M47&lt;&gt;$A$15)),
        IF(Import.TipoArredondamento&lt;&gt;"TransfereGOV",
              ROUND(OFFSET($P47,0,AS$13),15-13*ORÇAMENTO!$AF$7)/$H47*OFFSET(ORÇAMENTO!$X$15,ROW(AS47)-ROW(AS$15),0),
              ROUND(ROUND(OFFSET($P47,0,AS$13),15-13*ORÇAMENTO!$AF$7)*OFFSET(ORÇAMENTO!$W$15,ROW(AS47)-ROW(AS$15),0),15-13*ORÇAMENTO!$AF$11)),
         0)</f>
        <v>1737.74</v>
      </c>
      <c r="AT47" s="352" t="n">
        <f aca="true">IF(AND($D47="Serviço",AT$12&lt;&gt;0,$H47&gt;0,OR(AUTOEVENTO&lt;&gt;"manual",$M47&lt;&gt;$A$15)),
        IF(Import.TipoArredondamento&lt;&gt;"TransfereGOV",
              ROUND(OFFSET($P47,0,AT$13),15-13*ORÇAMENTO!$AF$7)/$H47*OFFSET(ORÇAMENTO!$X$15,ROW(AT47)-ROW(AT$15),0),
              ROUND(ROUND(OFFSET($P47,0,AT$13),15-13*ORÇAMENTO!$AF$7)*OFFSET(ORÇAMENTO!$W$15,ROW(AT47)-ROW(AT$15),0),15-13*ORÇAMENTO!$AF$11)),
         0)</f>
        <v>1737.74</v>
      </c>
      <c r="AU47" s="352" t="n">
        <f aca="true">IF(AND($D47="Serviço",AU$12&lt;&gt;0,$H47&gt;0,OR(AUTOEVENTO&lt;&gt;"manual",$M47&lt;&gt;$A$15)),
        IF(Import.TipoArredondamento&lt;&gt;"TransfereGOV",
              ROUND(OFFSET($P47,0,AU$13),15-13*ORÇAMENTO!$AF$7)/$H47*OFFSET(ORÇAMENTO!$X$15,ROW(AU47)-ROW(AU$15),0),
              ROUND(ROUND(OFFSET($P47,0,AU$13),15-13*ORÇAMENTO!$AF$7)*OFFSET(ORÇAMENTO!$W$15,ROW(AU47)-ROW(AU$15),0),15-13*ORÇAMENTO!$AF$11)),
         0)</f>
        <v>1737.74</v>
      </c>
      <c r="AV47" s="352" t="n">
        <f aca="true">IF(AND($D47="Serviço",AV$12&lt;&gt;0,$H47&gt;0,OR(AUTOEVENTO&lt;&gt;"manual",$M47&lt;&gt;$A$15)),
        IF(Import.TipoArredondamento&lt;&gt;"TransfereGOV",
              ROUND(OFFSET($P47,0,AV$13),15-13*ORÇAMENTO!$AF$7)/$H47*OFFSET(ORÇAMENTO!$X$15,ROW(AV47)-ROW(AV$15),0),
              ROUND(ROUND(OFFSET($P47,0,AV$13),15-13*ORÇAMENTO!$AF$7)*OFFSET(ORÇAMENTO!$W$15,ROW(AV47)-ROW(AV$15),0),15-13*ORÇAMENTO!$AF$11)),
         0)</f>
        <v>1737.74</v>
      </c>
      <c r="AW47" s="352" t="n">
        <f aca="true">IF(AND($D47="Serviço",AW$12&lt;&gt;0,$H47&gt;0,OR(AUTOEVENTO&lt;&gt;"manual",$M47&lt;&gt;$A$15)),
        IF(Import.TipoArredondamento&lt;&gt;"TransfereGOV",
              ROUND(OFFSET($P47,0,AW$13),15-13*ORÇAMENTO!$AF$7)/$H47*OFFSET(ORÇAMENTO!$X$15,ROW(AW47)-ROW(AW$15),0),
              ROUND(ROUND(OFFSET($P47,0,AW$13),15-13*ORÇAMENTO!$AF$7)*OFFSET(ORÇAMENTO!$W$15,ROW(AW47)-ROW(AW$15),0),15-13*ORÇAMENTO!$AF$11)),
         0)</f>
        <v>1737.74</v>
      </c>
      <c r="AX47" s="352" t="n">
        <f aca="true">IF(AND($D47="Serviço",AX$12&lt;&gt;0,$H47&gt;0,OR(AUTOEVENTO&lt;&gt;"manual",$M47&lt;&gt;$A$15)),
        IF(Import.TipoArredondamento&lt;&gt;"TransfereGOV",
              ROUND(OFFSET($P47,0,AX$13),15-13*ORÇAMENTO!$AF$7)/$H47*OFFSET(ORÇAMENTO!$X$15,ROW(AX47)-ROW(AX$15),0),
              ROUND(ROUND(OFFSET($P47,0,AX$13),15-13*ORÇAMENTO!$AF$7)*OFFSET(ORÇAMENTO!$W$15,ROW(AX47)-ROW(AX$15),0),15-13*ORÇAMENTO!$AF$11)),
         0)</f>
        <v>1737.74</v>
      </c>
      <c r="AY47" s="352" t="n">
        <f aca="true">IF(AND($D47="Serviço",AY$12&lt;&gt;0,$H47&gt;0,OR(AUTOEVENTO&lt;&gt;"manual",$M47&lt;&gt;$A$15)),
        IF(Import.TipoArredondamento&lt;&gt;"TransfereGOV",
              ROUND(OFFSET($P47,0,AY$13),15-13*ORÇAMENTO!$AF$7)/$H47*OFFSET(ORÇAMENTO!$X$15,ROW(AY47)-ROW(AY$15),0),
              ROUND(ROUND(OFFSET($P47,0,AY$13),15-13*ORÇAMENTO!$AF$7)*OFFSET(ORÇAMENTO!$W$15,ROW(AY47)-ROW(AY$15),0),15-13*ORÇAMENTO!$AF$11)),
         0)</f>
        <v>1737.74</v>
      </c>
      <c r="AZ47" s="352" t="n">
        <f aca="true">IF(AND($D47="Serviço",AZ$12&lt;&gt;0,$H47&gt;0,OR(AUTOEVENTO&lt;&gt;"manual",$M47&lt;&gt;$A$15)),
        IF(Import.TipoArredondamento&lt;&gt;"TransfereGOV",
              ROUND(OFFSET($P47,0,AZ$13),15-13*ORÇAMENTO!$AF$7)/$H47*OFFSET(ORÇAMENTO!$X$15,ROW(AZ47)-ROW(AZ$15),0),
              ROUND(ROUND(OFFSET($P47,0,AZ$13),15-13*ORÇAMENTO!$AF$7)*OFFSET(ORÇAMENTO!$W$15,ROW(AZ47)-ROW(AZ$15),0),15-13*ORÇAMENTO!$AF$11)),
         0)</f>
        <v>1737.74</v>
      </c>
      <c r="BA47" s="352" t="n">
        <f aca="true">IF(AND($D47="Serviço",BA$12&lt;&gt;0,$H47&gt;0,OR(AUTOEVENTO&lt;&gt;"manual",$M47&lt;&gt;$A$15)),
        IF(Import.TipoArredondamento&lt;&gt;"TransfereGOV",
              ROUND(OFFSET($P47,0,BA$13),15-13*ORÇAMENTO!$AF$7)/$H47*OFFSET(ORÇAMENTO!$X$15,ROW(BA47)-ROW(BA$15),0),
              ROUND(ROUND(OFFSET($P47,0,BA$13),15-13*ORÇAMENTO!$AF$7)*OFFSET(ORÇAMENTO!$W$15,ROW(BA47)-ROW(BA$15),0),15-13*ORÇAMENTO!$AF$11)),
         0)</f>
        <v>1737.74</v>
      </c>
      <c r="BB47" s="352" t="n">
        <f aca="true">IF(AND($D47="Serviço",BB$12&lt;&gt;0,$H47&gt;0,OR(AUTOEVENTO&lt;&gt;"manual",$M47&lt;&gt;$A$15)),
        IF(Import.TipoArredondamento&lt;&gt;"TransfereGOV",
              ROUND(OFFSET($P47,0,BB$13),15-13*ORÇAMENTO!$AF$7)/$H47*OFFSET(ORÇAMENTO!$X$15,ROW(BB47)-ROW(BB$15),0),
              ROUND(ROUND(OFFSET($P47,0,BB$13),15-13*ORÇAMENTO!$AF$7)*OFFSET(ORÇAMENTO!$W$15,ROW(BB47)-ROW(BB$15),0),15-13*ORÇAMENTO!$AF$11)),
         0)</f>
        <v>1737.74</v>
      </c>
      <c r="BC47" s="352" t="n">
        <f aca="true">IF(AND($D47="Serviço",BC$12&lt;&gt;0,$H47&gt;0,OR(AUTOEVENTO&lt;&gt;"manual",$M47&lt;&gt;$A$15)),
        IF(Import.TipoArredondamento&lt;&gt;"TransfereGOV",
              ROUND(OFFSET($P47,0,BC$13),15-13*ORÇAMENTO!$AF$7)/$H47*OFFSET(ORÇAMENTO!$X$15,ROW(BC47)-ROW(BC$15),0),
              ROUND(ROUND(OFFSET($P47,0,BC$13),15-13*ORÇAMENTO!$AF$7)*OFFSET(ORÇAMENTO!$W$15,ROW(BC47)-ROW(BC$15),0),15-13*ORÇAMENTO!$AF$11)),
         0)</f>
        <v>1737.74</v>
      </c>
      <c r="BD47" s="352" t="n">
        <f aca="true">IF(AND($D47="Serviço",BD$12&lt;&gt;0,$H47&gt;0,OR(AUTOEVENTO&lt;&gt;"manual",$M47&lt;&gt;$A$15)),
        IF(Import.TipoArredondamento&lt;&gt;"TransfereGOV",
              ROUND(OFFSET($P47,0,BD$13),15-13*ORÇAMENTO!$AF$7)/$H47*OFFSET(ORÇAMENTO!$X$15,ROW(BD47)-ROW(BD$15),0),
              ROUND(ROUND(OFFSET($P47,0,BD$13),15-13*ORÇAMENTO!$AF$7)*OFFSET(ORÇAMENTO!$W$15,ROW(BD47)-ROW(BD$15),0),15-13*ORÇAMENTO!$AF$11)),
         0)</f>
        <v>1737.74</v>
      </c>
      <c r="BE47" s="352" t="n">
        <f aca="true">IF(AND($D47="Serviço",BE$12&lt;&gt;0,$H47&gt;0,OR(AUTOEVENTO&lt;&gt;"manual",$M47&lt;&gt;$A$15)),
        IF(Import.TipoArredondamento&lt;&gt;"TransfereGOV",
              ROUND(OFFSET($P47,0,BE$13),15-13*ORÇAMENTO!$AF$7)/$H47*OFFSET(ORÇAMENTO!$X$15,ROW(BE47)-ROW(BE$15),0),
              ROUND(ROUND(OFFSET($P47,0,BE$13),15-13*ORÇAMENTO!$AF$7)*OFFSET(ORÇAMENTO!$W$15,ROW(BE47)-ROW(BE$15),0),15-13*ORÇAMENTO!$AF$11)),
         0)</f>
        <v>1737.74</v>
      </c>
      <c r="BF47" s="352" t="n">
        <f aca="true">IF(AND($D47="Serviço",BF$12&lt;&gt;0,$H47&gt;0,OR(AUTOEVENTO&lt;&gt;"manual",$M47&lt;&gt;$A$15)),
        IF(Import.TipoArredondamento&lt;&gt;"TransfereGOV",
              ROUND(OFFSET($P47,0,BF$13),15-13*ORÇAMENTO!$AF$7)/$H47*OFFSET(ORÇAMENTO!$X$15,ROW(BF47)-ROW(BF$15),0),
              ROUND(ROUND(OFFSET($P47,0,BF$13),15-13*ORÇAMENTO!$AF$7)*OFFSET(ORÇAMENTO!$W$15,ROW(BF47)-ROW(BF$15),0),15-13*ORÇAMENTO!$AF$11)),
         0)</f>
        <v>1737.74</v>
      </c>
      <c r="BG47" s="352" t="n">
        <f aca="true">IF(AND($D47="Serviço",BG$12&lt;&gt;0,$H47&gt;0,OR(AUTOEVENTO&lt;&gt;"manual",$M47&lt;&gt;$A$15)),
        IF(Import.TipoArredondamento&lt;&gt;"TransfereGOV",
              ROUND(OFFSET($P47,0,BG$13),15-13*ORÇAMENTO!$AF$7)/$H47*OFFSET(ORÇAMENTO!$X$15,ROW(BG47)-ROW(BG$15),0),
              ROUND(ROUND(OFFSET($P47,0,BG$13),15-13*ORÇAMENTO!$AF$7)*OFFSET(ORÇAMENTO!$W$15,ROW(BG47)-ROW(BG$15),0),15-13*ORÇAMENTO!$AF$11)),
         0)</f>
        <v>1737.74</v>
      </c>
      <c r="BH47" s="352" t="n">
        <f aca="true">IF(AND($D47="Serviço",BH$12&lt;&gt;0,$H47&gt;0,OR(AUTOEVENTO&lt;&gt;"manual",$M47&lt;&gt;$A$15)),
        IF(Import.TipoArredondamento&lt;&gt;"TransfereGOV",
              ROUND(OFFSET($P47,0,BH$13),15-13*ORÇAMENTO!$AF$7)/$H47*OFFSET(ORÇAMENTO!$X$15,ROW(BH47)-ROW(BH$15),0),
              ROUND(ROUND(OFFSET($P47,0,BH$13),15-13*ORÇAMENTO!$AF$7)*OFFSET(ORÇAMENTO!$W$15,ROW(BH47)-ROW(BH$15),0),15-13*ORÇAMENTO!$AF$11)),
         0)</f>
        <v>1737.74</v>
      </c>
      <c r="BI47" s="352" t="n">
        <f aca="true">IF(AND($D47="Serviço",BI$12&lt;&gt;0,$H47&gt;0,OR(AUTOEVENTO&lt;&gt;"manual",$M47&lt;&gt;$A$15)),
        IF(Import.TipoArredondamento&lt;&gt;"TransfereGOV",
              ROUND(OFFSET($P47,0,BI$13),15-13*ORÇAMENTO!$AF$7)/$H47*OFFSET(ORÇAMENTO!$X$15,ROW(BI47)-ROW(BI$15),0),
              ROUND(ROUND(OFFSET($P47,0,BI$13),15-13*ORÇAMENTO!$AF$7)*OFFSET(ORÇAMENTO!$W$15,ROW(BI47)-ROW(BI$15),0),15-13*ORÇAMENTO!$AF$11)),
         0)</f>
        <v>1737.74</v>
      </c>
      <c r="BJ47" s="352" t="n">
        <f aca="true">IF(AND($D47="Serviço",BJ$12&lt;&gt;0,$H47&gt;0,OR(AUTOEVENTO&lt;&gt;"manual",$M47&lt;&gt;$A$15)),
        IF(Import.TipoArredondamento&lt;&gt;"TransfereGOV",
              ROUND(OFFSET($P47,0,BJ$13),15-13*ORÇAMENTO!$AF$7)/$H47*OFFSET(ORÇAMENTO!$X$15,ROW(BJ47)-ROW(BJ$15),0),
              ROUND(ROUND(OFFSET($P47,0,BJ$13),15-13*ORÇAMENTO!$AF$7)*OFFSET(ORÇAMENTO!$W$15,ROW(BJ47)-ROW(BJ$15),0),15-13*ORÇAMENTO!$AF$11)),
         0)</f>
        <v>1737.74</v>
      </c>
      <c r="BK47" s="352" t="n">
        <f aca="true">IF(AND($D47="Serviço",BK$12&lt;&gt;0,$H47&gt;0,OR(AUTOEVENTO&lt;&gt;"manual",$M47&lt;&gt;$A$15)),
        IF(Import.TipoArredondamento&lt;&gt;"TransfereGOV",
              ROUND(OFFSET($P47,0,BK$13),15-13*ORÇAMENTO!$AF$7)/$H47*OFFSET(ORÇAMENTO!$X$15,ROW(BK47)-ROW(BK$15),0),
              ROUND(ROUND(OFFSET($P47,0,BK$13),15-13*ORÇAMENTO!$AF$7)*OFFSET(ORÇAMENTO!$W$15,ROW(BK47)-ROW(BK$15),0),15-13*ORÇAMENTO!$AF$11)),
         0)</f>
        <v>1737.74</v>
      </c>
      <c r="BL47" s="352" t="n">
        <f aca="true">IF(AND($D47="Serviço",BL$12&lt;&gt;0,$H47&gt;0,OR(AUTOEVENTO&lt;&gt;"manual",$M47&lt;&gt;$A$15)),
        IF(Import.TipoArredondamento&lt;&gt;"TransfereGOV",
              ROUND(OFFSET($P47,0,BL$13),15-13*ORÇAMENTO!$AF$7)/$H47*OFFSET(ORÇAMENTO!$X$15,ROW(BL47)-ROW(BL$15),0),
              ROUND(ROUND(OFFSET($P47,0,BL$13),15-13*ORÇAMENTO!$AF$7)*OFFSET(ORÇAMENTO!$W$15,ROW(BL47)-ROW(BL$15),0),15-13*ORÇAMENTO!$AF$11)),
         0)</f>
        <v>1737.74</v>
      </c>
      <c r="BM47" s="352" t="n">
        <f aca="true">IF(AND($D47="Serviço",BM$12&lt;&gt;0,$H47&gt;0,OR(AUTOEVENTO&lt;&gt;"manual",$M47&lt;&gt;$A$15)),
        IF(Import.TipoArredondamento&lt;&gt;"TransfereGOV",
              ROUND(OFFSET($P47,0,BM$13),15-13*ORÇAMENTO!$AF$7)/$H47*OFFSET(ORÇAMENTO!$X$15,ROW(BM47)-ROW(BM$15),0),
              ROUND(ROUND(OFFSET($P47,0,BM$13),15-13*ORÇAMENTO!$AF$7)*OFFSET(ORÇAMENTO!$W$15,ROW(BM47)-ROW(BM$15),0),15-13*ORÇAMENTO!$AF$11)),
         0)</f>
        <v>1737.74</v>
      </c>
      <c r="BN47" s="352" t="n">
        <f aca="true">IF(AND($D47="Serviço",BN$12&lt;&gt;0,$H47&gt;0,OR(AUTOEVENTO&lt;&gt;"manual",$M47&lt;&gt;$A$15)),
        IF(Import.TipoArredondamento&lt;&gt;"TransfereGOV",
              ROUND(OFFSET($P47,0,BN$13),15-13*ORÇAMENTO!$AF$7)/$H47*OFFSET(ORÇAMENTO!$X$15,ROW(BN47)-ROW(BN$15),0),
              ROUND(ROUND(OFFSET($P47,0,BN$13),15-13*ORÇAMENTO!$AF$7)*OFFSET(ORÇAMENTO!$W$15,ROW(BN47)-ROW(BN$15),0),15-13*ORÇAMENTO!$AF$11)),
         0)</f>
        <v>1737.74</v>
      </c>
      <c r="BO47" s="352" t="n">
        <f aca="true">IF(AND($D47="Serviço",BO$12&lt;&gt;0,$H47&gt;0,OR(AUTOEVENTO&lt;&gt;"manual",$M47&lt;&gt;$A$15)),
        IF(Import.TipoArredondamento&lt;&gt;"TransfereGOV",
              ROUND(OFFSET($P47,0,BO$13),15-13*ORÇAMENTO!$AF$7)/$H47*OFFSET(ORÇAMENTO!$X$15,ROW(BO47)-ROW(BO$15),0),
              ROUND(ROUND(OFFSET($P47,0,BO$13),15-13*ORÇAMENTO!$AF$7)*OFFSET(ORÇAMENTO!$W$15,ROW(BO47)-ROW(BO$15),0),15-13*ORÇAMENTO!$AF$11)),
         0)</f>
        <v>1737.74</v>
      </c>
      <c r="BP47" s="352" t="n">
        <f aca="true">IF(AND($D47="Serviço",BP$12&lt;&gt;0,$H47&gt;0,OR(AUTOEVENTO&lt;&gt;"manual",$M47&lt;&gt;$A$15)),
        IF(Import.TipoArredondamento&lt;&gt;"TransfereGOV",
              ROUND(OFFSET($P47,0,BP$13),15-13*ORÇAMENTO!$AF$7)/$H47*OFFSET(ORÇAMENTO!$X$15,ROW(BP47)-ROW(BP$15),0),
              ROUND(ROUND(OFFSET($P47,0,BP$13),15-13*ORÇAMENTO!$AF$7)*OFFSET(ORÇAMENTO!$W$15,ROW(BP47)-ROW(BP$15),0),15-13*ORÇAMENTO!$AF$11)),
         0)</f>
        <v>1737.74</v>
      </c>
      <c r="BQ47" s="352" t="n">
        <f aca="true">IF(AND($D47="Serviço",BQ$12&lt;&gt;0,$H47&gt;0,OR(AUTOEVENTO&lt;&gt;"manual",$M47&lt;&gt;$A$15)),
        IF(Import.TipoArredondamento&lt;&gt;"TransfereGOV",
              ROUND(OFFSET($P47,0,BQ$13),15-13*ORÇAMENTO!$AF$7)/$H47*OFFSET(ORÇAMENTO!$X$15,ROW(BQ47)-ROW(BQ$15),0),
              ROUND(ROUND(OFFSET($P47,0,BQ$13),15-13*ORÇAMENTO!$AF$7)*OFFSET(ORÇAMENTO!$W$15,ROW(BQ47)-ROW(BQ$15),0),15-13*ORÇAMENTO!$AF$11)),
         0)</f>
        <v>0</v>
      </c>
      <c r="BS47" s="353" t="n">
        <f aca="true">IF(OR($D47&lt;&gt;"Serviço",AND(AUTOEVENTO="Manual",$M47=$A$15)),0,
         IF(OFFSET(CRONOPLE!$F$15,$M47-$A$15,BS$13)=0,10^12,OFFSET(CRONOPLE!$F$15,$M47-$A$15,BS$13)))</f>
        <v>1</v>
      </c>
      <c r="BT47" s="353" t="n">
        <f aca="true">IF(OR($D47&lt;&gt;"Serviço",AND(AUTOEVENTO="Manual",$M47=$A$15)),0,
         IF(OFFSET(CRONOPLE!$F$15,$M47-$A$15,BT$13)=0,10^12,OFFSET(CRONOPLE!$F$15,$M47-$A$15,BT$13)))</f>
        <v>2</v>
      </c>
      <c r="BU47" s="353" t="n">
        <f aca="true">IF(OR($D47&lt;&gt;"Serviço",AND(AUTOEVENTO="Manual",$M47=$A$15)),0,
         IF(OFFSET(CRONOPLE!$F$15,$M47-$A$15,BU$13)=0,10^12,OFFSET(CRONOPLE!$F$15,$M47-$A$15,BU$13)))</f>
        <v>3</v>
      </c>
      <c r="BV47" s="353" t="n">
        <f aca="true">IF(OR($D47&lt;&gt;"Serviço",AND(AUTOEVENTO="Manual",$M47=$A$15)),0,
         IF(OFFSET(CRONOPLE!$F$15,$M47-$A$15,BV$13)=0,10^12,OFFSET(CRONOPLE!$F$15,$M47-$A$15,BV$13)))</f>
        <v>4</v>
      </c>
      <c r="BW47" s="353" t="n">
        <f aca="true">IF(OR($D47&lt;&gt;"Serviço",AND(AUTOEVENTO="Manual",$M47=$A$15)),0,
         IF(OFFSET(CRONOPLE!$F$15,$M47-$A$15,BW$13)=0,10^12,OFFSET(CRONOPLE!$F$15,$M47-$A$15,BW$13)))</f>
        <v>5</v>
      </c>
      <c r="BX47" s="353" t="n">
        <f aca="true">IF(OR($D47&lt;&gt;"Serviço",AND(AUTOEVENTO="Manual",$M47=$A$15)),0,
         IF(OFFSET(CRONOPLE!$F$15,$M47-$A$15,BX$13)=0,10^12,OFFSET(CRONOPLE!$F$15,$M47-$A$15,BX$13)))</f>
        <v>6</v>
      </c>
      <c r="BY47" s="353" t="n">
        <f aca="true">IF(OR($D47&lt;&gt;"Serviço",AND(AUTOEVENTO="Manual",$M47=$A$15)),0,
         IF(OFFSET(CRONOPLE!$F$15,$M47-$A$15,BY$13)=0,10^12,OFFSET(CRONOPLE!$F$15,$M47-$A$15,BY$13)))</f>
        <v>7</v>
      </c>
      <c r="BZ47" s="353" t="n">
        <f aca="true">IF(OR($D47&lt;&gt;"Serviço",AND(AUTOEVENTO="Manual",$M47=$A$15)),0,
         IF(OFFSET(CRONOPLE!$F$15,$M47-$A$15,BZ$13)=0,10^12,OFFSET(CRONOPLE!$F$15,$M47-$A$15,BZ$13)))</f>
        <v>8</v>
      </c>
      <c r="CA47" s="353" t="n">
        <f aca="true">IF(OR($D47&lt;&gt;"Serviço",AND(AUTOEVENTO="Manual",$M47=$A$15)),0,
         IF(OFFSET(CRONOPLE!$F$15,$M47-$A$15,CA$13)=0,10^12,OFFSET(CRONOPLE!$F$15,$M47-$A$15,CA$13)))</f>
        <v>9</v>
      </c>
      <c r="CB47" s="353" t="n">
        <f aca="true">IF(OR($D47&lt;&gt;"Serviço",AND(AUTOEVENTO="Manual",$M47=$A$15)),0,
         IF(OFFSET(CRONOPLE!$F$15,$M47-$A$15,CB$13)=0,10^12,OFFSET(CRONOPLE!$F$15,$M47-$A$15,CB$13)))</f>
        <v>10</v>
      </c>
      <c r="CC47" s="353" t="n">
        <f aca="true">IF(OR($D47&lt;&gt;"Serviço",AND(AUTOEVENTO="Manual",$M47=$A$15)),0,
         IF(OFFSET(CRONOPLE!$F$15,$M47-$A$15,CC$13)=0,10^12,OFFSET(CRONOPLE!$F$15,$M47-$A$15,CC$13)))</f>
        <v>11</v>
      </c>
      <c r="CD47" s="353" t="n">
        <f aca="true">IF(OR($D47&lt;&gt;"Serviço",AND(AUTOEVENTO="Manual",$M47=$A$15)),0,
         IF(OFFSET(CRONOPLE!$F$15,$M47-$A$15,CD$13)=0,10^12,OFFSET(CRONOPLE!$F$15,$M47-$A$15,CD$13)))</f>
        <v>12</v>
      </c>
      <c r="CE47" s="353" t="n">
        <f aca="true">IF(OR($D47&lt;&gt;"Serviço",AND(AUTOEVENTO="Manual",$M47=$A$15)),0,
         IF(OFFSET(CRONOPLE!$F$15,$M47-$A$15,CE$13)=0,10^12,OFFSET(CRONOPLE!$F$15,$M47-$A$15,CE$13)))</f>
        <v>13</v>
      </c>
      <c r="CF47" s="353" t="n">
        <f aca="true">IF(OR($D47&lt;&gt;"Serviço",AND(AUTOEVENTO="Manual",$M47=$A$15)),0,
         IF(OFFSET(CRONOPLE!$F$15,$M47-$A$15,CF$13)=0,10^12,OFFSET(CRONOPLE!$F$15,$M47-$A$15,CF$13)))</f>
        <v>14</v>
      </c>
      <c r="CG47" s="353" t="n">
        <f aca="true">IF(OR($D47&lt;&gt;"Serviço",AND(AUTOEVENTO="Manual",$M47=$A$15)),0,
         IF(OFFSET(CRONOPLE!$F$15,$M47-$A$15,CG$13)=0,10^12,OFFSET(CRONOPLE!$F$15,$M47-$A$15,CG$13)))</f>
        <v>15</v>
      </c>
      <c r="CH47" s="353" t="n">
        <f aca="true">IF(OR($D47&lt;&gt;"Serviço",AND(AUTOEVENTO="Manual",$M47=$A$15)),0,
         IF(OFFSET(CRONOPLE!$F$15,$M47-$A$15,CH$13)=0,10^12,OFFSET(CRONOPLE!$F$15,$M47-$A$15,CH$13)))</f>
        <v>16</v>
      </c>
      <c r="CI47" s="353" t="n">
        <f aca="true">IF(OR($D47&lt;&gt;"Serviço",AND(AUTOEVENTO="Manual",$M47=$A$15)),0,
         IF(OFFSET(CRONOPLE!$F$15,$M47-$A$15,CI$13)=0,10^12,OFFSET(CRONOPLE!$F$15,$M47-$A$15,CI$13)))</f>
        <v>17</v>
      </c>
      <c r="CJ47" s="353" t="n">
        <f aca="true">IF(OR($D47&lt;&gt;"Serviço",AND(AUTOEVENTO="Manual",$M47=$A$15)),0,
         IF(OFFSET(CRONOPLE!$F$15,$M47-$A$15,CJ$13)=0,10^12,OFFSET(CRONOPLE!$F$15,$M47-$A$15,CJ$13)))</f>
        <v>18</v>
      </c>
      <c r="CK47" s="353" t="n">
        <f aca="true">IF(OR($D47&lt;&gt;"Serviço",AND(AUTOEVENTO="Manual",$M47=$A$15)),0,
         IF(OFFSET(CRONOPLE!$F$15,$M47-$A$15,CK$13)=0,10^12,OFFSET(CRONOPLE!$F$15,$M47-$A$15,CK$13)))</f>
        <v>19</v>
      </c>
      <c r="CL47" s="353" t="n">
        <f aca="true">IF(OR($D47&lt;&gt;"Serviço",AND(AUTOEVENTO="Manual",$M47=$A$15)),0,
         IF(OFFSET(CRONOPLE!$F$15,$M47-$A$15,CL$13)=0,10^12,OFFSET(CRONOPLE!$F$15,$M47-$A$15,CL$13)))</f>
        <v>20</v>
      </c>
      <c r="CM47" s="353" t="n">
        <f aca="true">IF(OR($D47&lt;&gt;"Serviço",AND(AUTOEVENTO="Manual",$M47=$A$15)),0,
         IF(OFFSET(CRONOPLE!$F$15,$M47-$A$15,CM$13)=0,10^12,OFFSET(CRONOPLE!$F$15,$M47-$A$15,CM$13)))</f>
        <v>21</v>
      </c>
      <c r="CN47" s="353" t="n">
        <f aca="true">IF(OR($D47&lt;&gt;"Serviço",AND(AUTOEVENTO="Manual",$M47=$A$15)),0,
         IF(OFFSET(CRONOPLE!$F$15,$M47-$A$15,CN$13)=0,10^12,OFFSET(CRONOPLE!$F$15,$M47-$A$15,CN$13)))</f>
        <v>22</v>
      </c>
      <c r="CO47" s="353" t="n">
        <f aca="true">IF(OR($D47&lt;&gt;"Serviço",AND(AUTOEVENTO="Manual",$M47=$A$15)),0,
         IF(OFFSET(CRONOPLE!$F$15,$M47-$A$15,CO$13)=0,10^12,OFFSET(CRONOPLE!$F$15,$M47-$A$15,CO$13)))</f>
        <v>23</v>
      </c>
      <c r="CP47" s="353" t="n">
        <f aca="true">IF(OR($D47&lt;&gt;"Serviço",AND(AUTOEVENTO="Manual",$M47=$A$15)),0,
         IF(OFFSET(CRONOPLE!$F$15,$M47-$A$15,CP$13)=0,10^12,OFFSET(CRONOPLE!$F$15,$M47-$A$15,CP$13)))</f>
        <v>24</v>
      </c>
      <c r="CQ47" s="353" t="n">
        <f aca="true">IF(OR($D47&lt;&gt;"Serviço",AND(AUTOEVENTO="Manual",$M47=$A$15)),0,
         IF(OFFSET(CRONOPLE!$F$15,$M47-$A$15,CQ$13)=0,10^12,OFFSET(CRONOPLE!$F$15,$M47-$A$15,CQ$13)))</f>
        <v>25</v>
      </c>
      <c r="CR47" s="353" t="n">
        <f aca="true">IF(OR($D47&lt;&gt;"Serviço",AND(AUTOEVENTO="Manual",$M47=$A$15)),0,
         IF(OFFSET(CRONOPLE!$F$15,$M47-$A$15,CR$13)=0,10^12,OFFSET(CRONOPLE!$F$15,$M47-$A$15,CR$13)))</f>
        <v>1000000000000</v>
      </c>
      <c r="CT47" s="354" t="n">
        <f aca="true">IF(OR($D47&lt;&gt;"Serviço",AND(AUTOEVENTO="Manual",$M47=$A$15),$M47&gt;(ROW(PLE.lastrow)-ROW(PLE.firstrow))),0,
           IF(OFFSET(PLE!$G$15,$M47-$A$15,CT$13)="",10^12,OFFSET(PLE!$G$15,$M47-$A$15,CT$13)))</f>
        <v>1000000000000</v>
      </c>
      <c r="CU47" s="354" t="n">
        <f aca="true">IF(OR($D47&lt;&gt;"Serviço",AND(AUTOEVENTO="Manual",$M47=$A$15),$M47&gt;(ROW(PLE.lastrow)-ROW(PLE.firstrow))),0,
           IF(OFFSET(PLE!$G$15,$M47-$A$15,CU$13)="",10^12,OFFSET(PLE!$G$15,$M47-$A$15,CU$13)))</f>
        <v>1000000000000</v>
      </c>
      <c r="CV47" s="354" t="n">
        <f aca="true">IF(OR($D47&lt;&gt;"Serviço",AND(AUTOEVENTO="Manual",$M47=$A$15),$M47&gt;(ROW(PLE.lastrow)-ROW(PLE.firstrow))),0,
           IF(OFFSET(PLE!$G$15,$M47-$A$15,CV$13)="",10^12,OFFSET(PLE!$G$15,$M47-$A$15,CV$13)))</f>
        <v>1000000000000</v>
      </c>
      <c r="CW47" s="354" t="n">
        <f aca="true">IF(OR($D47&lt;&gt;"Serviço",AND(AUTOEVENTO="Manual",$M47=$A$15),$M47&gt;(ROW(PLE.lastrow)-ROW(PLE.firstrow))),0,
           IF(OFFSET(PLE!$G$15,$M47-$A$15,CW$13)="",10^12,OFFSET(PLE!$G$15,$M47-$A$15,CW$13)))</f>
        <v>1000000000000</v>
      </c>
      <c r="CX47" s="354" t="n">
        <f aca="true">IF(OR($D47&lt;&gt;"Serviço",AND(AUTOEVENTO="Manual",$M47=$A$15),$M47&gt;(ROW(PLE.lastrow)-ROW(PLE.firstrow))),0,
           IF(OFFSET(PLE!$G$15,$M47-$A$15,CX$13)="",10^12,OFFSET(PLE!$G$15,$M47-$A$15,CX$13)))</f>
        <v>1000000000000</v>
      </c>
      <c r="CY47" s="354" t="n">
        <f aca="true">IF(OR($D47&lt;&gt;"Serviço",AND(AUTOEVENTO="Manual",$M47=$A$15),$M47&gt;(ROW(PLE.lastrow)-ROW(PLE.firstrow))),0,
           IF(OFFSET(PLE!$G$15,$M47-$A$15,CY$13)="",10^12,OFFSET(PLE!$G$15,$M47-$A$15,CY$13)))</f>
        <v>1000000000000</v>
      </c>
      <c r="CZ47" s="354" t="n">
        <f aca="true">IF(OR($D47&lt;&gt;"Serviço",AND(AUTOEVENTO="Manual",$M47=$A$15),$M47&gt;(ROW(PLE.lastrow)-ROW(PLE.firstrow))),0,
           IF(OFFSET(PLE!$G$15,$M47-$A$15,CZ$13)="",10^12,OFFSET(PLE!$G$15,$M47-$A$15,CZ$13)))</f>
        <v>1000000000000</v>
      </c>
      <c r="DA47" s="354" t="n">
        <f aca="true">IF(OR($D47&lt;&gt;"Serviço",AND(AUTOEVENTO="Manual",$M47=$A$15),$M47&gt;(ROW(PLE.lastrow)-ROW(PLE.firstrow))),0,
           IF(OFFSET(PLE!$G$15,$M47-$A$15,DA$13)="",10^12,OFFSET(PLE!$G$15,$M47-$A$15,DA$13)))</f>
        <v>1000000000000</v>
      </c>
      <c r="DB47" s="354" t="n">
        <f aca="true">IF(OR($D47&lt;&gt;"Serviço",AND(AUTOEVENTO="Manual",$M47=$A$15),$M47&gt;(ROW(PLE.lastrow)-ROW(PLE.firstrow))),0,
           IF(OFFSET(PLE!$G$15,$M47-$A$15,DB$13)="",10^12,OFFSET(PLE!$G$15,$M47-$A$15,DB$13)))</f>
        <v>1000000000000</v>
      </c>
      <c r="DC47" s="354" t="n">
        <f aca="true">IF(OR($D47&lt;&gt;"Serviço",AND(AUTOEVENTO="Manual",$M47=$A$15),$M47&gt;(ROW(PLE.lastrow)-ROW(PLE.firstrow))),0,
           IF(OFFSET(PLE!$G$15,$M47-$A$15,DC$13)="",10^12,OFFSET(PLE!$G$15,$M47-$A$15,DC$13)))</f>
        <v>1000000000000</v>
      </c>
      <c r="DD47" s="354" t="n">
        <f aca="true">IF(OR($D47&lt;&gt;"Serviço",AND(AUTOEVENTO="Manual",$M47=$A$15),$M47&gt;(ROW(PLE.lastrow)-ROW(PLE.firstrow))),0,
           IF(OFFSET(PLE!$G$15,$M47-$A$15,DD$13)="",10^12,OFFSET(PLE!$G$15,$M47-$A$15,DD$13)))</f>
        <v>1000000000000</v>
      </c>
      <c r="DE47" s="354" t="n">
        <f aca="true">IF(OR($D47&lt;&gt;"Serviço",AND(AUTOEVENTO="Manual",$M47=$A$15),$M47&gt;(ROW(PLE.lastrow)-ROW(PLE.firstrow))),0,
           IF(OFFSET(PLE!$G$15,$M47-$A$15,DE$13)="",10^12,OFFSET(PLE!$G$15,$M47-$A$15,DE$13)))</f>
        <v>1000000000000</v>
      </c>
      <c r="DF47" s="354" t="n">
        <f aca="true">IF(OR($D47&lt;&gt;"Serviço",AND(AUTOEVENTO="Manual",$M47=$A$15),$M47&gt;(ROW(PLE.lastrow)-ROW(PLE.firstrow))),0,
           IF(OFFSET(PLE!$G$15,$M47-$A$15,DF$13)="",10^12,OFFSET(PLE!$G$15,$M47-$A$15,DF$13)))</f>
        <v>1000000000000</v>
      </c>
      <c r="DG47" s="354" t="n">
        <f aca="true">IF(OR($D47&lt;&gt;"Serviço",AND(AUTOEVENTO="Manual",$M47=$A$15),$M47&gt;(ROW(PLE.lastrow)-ROW(PLE.firstrow))),0,
           IF(OFFSET(PLE!$G$15,$M47-$A$15,DG$13)="",10^12,OFFSET(PLE!$G$15,$M47-$A$15,DG$13)))</f>
        <v>1000000000000</v>
      </c>
      <c r="DH47" s="354" t="n">
        <f aca="true">IF(OR($D47&lt;&gt;"Serviço",AND(AUTOEVENTO="Manual",$M47=$A$15),$M47&gt;(ROW(PLE.lastrow)-ROW(PLE.firstrow))),0,
           IF(OFFSET(PLE!$G$15,$M47-$A$15,DH$13)="",10^12,OFFSET(PLE!$G$15,$M47-$A$15,DH$13)))</f>
        <v>1000000000000</v>
      </c>
      <c r="DI47" s="354" t="n">
        <f aca="true">IF(OR($D47&lt;&gt;"Serviço",AND(AUTOEVENTO="Manual",$M47=$A$15),$M47&gt;(ROW(PLE.lastrow)-ROW(PLE.firstrow))),0,
           IF(OFFSET(PLE!$G$15,$M47-$A$15,DI$13)="",10^12,OFFSET(PLE!$G$15,$M47-$A$15,DI$13)))</f>
        <v>1000000000000</v>
      </c>
      <c r="DJ47" s="354" t="n">
        <f aca="true">IF(OR($D47&lt;&gt;"Serviço",AND(AUTOEVENTO="Manual",$M47=$A$15),$M47&gt;(ROW(PLE.lastrow)-ROW(PLE.firstrow))),0,
           IF(OFFSET(PLE!$G$15,$M47-$A$15,DJ$13)="",10^12,OFFSET(PLE!$G$15,$M47-$A$15,DJ$13)))</f>
        <v>1000000000000</v>
      </c>
      <c r="DK47" s="354" t="n">
        <f aca="true">IF(OR($D47&lt;&gt;"Serviço",AND(AUTOEVENTO="Manual",$M47=$A$15),$M47&gt;(ROW(PLE.lastrow)-ROW(PLE.firstrow))),0,
           IF(OFFSET(PLE!$G$15,$M47-$A$15,DK$13)="",10^12,OFFSET(PLE!$G$15,$M47-$A$15,DK$13)))</f>
        <v>1000000000000</v>
      </c>
      <c r="DL47" s="354" t="n">
        <f aca="true">IF(OR($D47&lt;&gt;"Serviço",AND(AUTOEVENTO="Manual",$M47=$A$15),$M47&gt;(ROW(PLE.lastrow)-ROW(PLE.firstrow))),0,
           IF(OFFSET(PLE!$G$15,$M47-$A$15,DL$13)="",10^12,OFFSET(PLE!$G$15,$M47-$A$15,DL$13)))</f>
        <v>1000000000000</v>
      </c>
      <c r="DM47" s="354" t="n">
        <f aca="true">IF(OR($D47&lt;&gt;"Serviço",AND(AUTOEVENTO="Manual",$M47=$A$15),$M47&gt;(ROW(PLE.lastrow)-ROW(PLE.firstrow))),0,
           IF(OFFSET(PLE!$G$15,$M47-$A$15,DM$13)="",10^12,OFFSET(PLE!$G$15,$M47-$A$15,DM$13)))</f>
        <v>1000000000000</v>
      </c>
      <c r="DN47" s="354" t="n">
        <f aca="true">IF(OR($D47&lt;&gt;"Serviço",AND(AUTOEVENTO="Manual",$M47=$A$15),$M47&gt;(ROW(PLE.lastrow)-ROW(PLE.firstrow))),0,
           IF(OFFSET(PLE!$G$15,$M47-$A$15,DN$13)="",10^12,OFFSET(PLE!$G$15,$M47-$A$15,DN$13)))</f>
        <v>1000000000000</v>
      </c>
      <c r="DO47" s="354" t="n">
        <f aca="true">IF(OR($D47&lt;&gt;"Serviço",AND(AUTOEVENTO="Manual",$M47=$A$15),$M47&gt;(ROW(PLE.lastrow)-ROW(PLE.firstrow))),0,
           IF(OFFSET(PLE!$G$15,$M47-$A$15,DO$13)="",10^12,OFFSET(PLE!$G$15,$M47-$A$15,DO$13)))</f>
        <v>1000000000000</v>
      </c>
      <c r="DP47" s="354" t="n">
        <f aca="true">IF(OR($D47&lt;&gt;"Serviço",AND(AUTOEVENTO="Manual",$M47=$A$15),$M47&gt;(ROW(PLE.lastrow)-ROW(PLE.firstrow))),0,
           IF(OFFSET(PLE!$G$15,$M47-$A$15,DP$13)="",10^12,OFFSET(PLE!$G$15,$M47-$A$15,DP$13)))</f>
        <v>1000000000000</v>
      </c>
      <c r="DQ47" s="354" t="n">
        <f aca="true">IF(OR($D47&lt;&gt;"Serviço",AND(AUTOEVENTO="Manual",$M47=$A$15),$M47&gt;(ROW(PLE.lastrow)-ROW(PLE.firstrow))),0,
           IF(OFFSET(PLE!$G$15,$M47-$A$15,DQ$13)="",10^12,OFFSET(PLE!$G$15,$M47-$A$15,DQ$13)))</f>
        <v>1000000000000</v>
      </c>
      <c r="DR47" s="354" t="n">
        <f aca="true">IF(OR($D47&lt;&gt;"Serviço",AND(AUTOEVENTO="Manual",$M47=$A$15),$M47&gt;(ROW(PLE.lastrow)-ROW(PLE.firstrow))),0,
           IF(OFFSET(PLE!$G$15,$M47-$A$15,DR$13)="",10^12,OFFSET(PLE!$G$15,$M47-$A$15,DR$13)))</f>
        <v>1000000000000</v>
      </c>
      <c r="DS47" s="354" t="n">
        <f aca="true">IF(OR($D47&lt;&gt;"Serviço",AND(AUTOEVENTO="Manual",$M47=$A$15),$M47&gt;(ROW(PLE.lastrow)-ROW(PLE.firstrow))),0,
           IF(OFFSET(PLE!$G$15,$M47-$A$15,DS$13)="",10^12,OFFSET(PLE!$G$15,$M47-$A$15,DS$13)))</f>
        <v>1000000000000</v>
      </c>
    </row>
    <row r="48" customFormat="false" ht="12.75" hidden="false" customHeight="false" outlineLevel="0" collapsed="false">
      <c r="A48" s="50" t="str">
        <f aca="true">IFERROR(IF(AUTOEVENTO="Manual",IF(K48&lt;&gt;"",MIN(VALUE(LEFT(K48,FIND(".",K48)-1)),COUNTA(EVENTOS.Lista)),0),IF(OR($B48&gt;AUTOEVENTO,$B48="S",$B48=0),SUBSTITUTE(OFFSET($A48,-1,0),IF($D48="Serviço",".",""),""),ROW(A48)-ROW($A$15)&amp;".")),0)</f>
        <v>33.</v>
      </c>
      <c r="B48" s="50" t="n">
        <f aca="true">OFFSET(ORÇAMENTO!C$15,ROW(B48)-ROW(B$15),0)</f>
        <v>2</v>
      </c>
      <c r="C48" s="50" t="str">
        <f aca="true">OFFSET(ORÇAMENTO!L$15,ROW(C48)-ROW(C$15),0)</f>
        <v>F</v>
      </c>
      <c r="D48" s="201" t="str">
        <f aca="true">OFFSET(ORÇAMENTO!N$15,ROW(D48)-ROW(D$15),0)</f>
        <v>Nível 2</v>
      </c>
      <c r="E48" s="202" t="str">
        <f aca="true">OFFSET(ORÇAMENTO!O$15,ROW(E48)-ROW(E$15),0)</f>
        <v>1.8.</v>
      </c>
      <c r="F48" s="341" t="str">
        <f aca="true">OFFSET(ORÇAMENTO!R$15,ROW(F48)-ROW(F$15),0)</f>
        <v>SUPRAESTRUTURA</v>
      </c>
      <c r="G48" s="342" t="str">
        <f aca="true">IF($D48&lt;&gt;"Serviço","",OFFSET(ORÇAMENTO!S$15,ROW(G48)-ROW(G$15),0))</f>
        <v/>
      </c>
      <c r="H48" s="207" t="n">
        <f aca="true">IF($D48&lt;&gt;"Serviço",0,IF(ACOMPANHAMENTO="BM",ROUND(OFFSET(ORÇAMENTO!AJ$15,ROW(H48)-ROW(H$15),0),15-13*ORÇAMENTO!$AF$7),SUMPRODUCT(($Q$1:$AQ$1=1)*ROUND($Q48:$AQ48,15-13*ORÇAMENTO!$AF$7))))</f>
        <v>0</v>
      </c>
      <c r="I48" s="343"/>
      <c r="J48" s="344" t="str">
        <f aca="false">IF(OR(B48&lt;&gt;"S",CÁLCULO.FrentesPreenchidas=0),"",IF(AND(ACOMPANHAMENTO="PLE",AUTOEVENTO="Manual",OR(H48&gt;0,ORÇAMENTO!AC48="QUANT."),OR(K48="",M48=0,N48="")),"►",IF(AND(ACOMPANHAMENTO="PLE",ORÇAMENTO!AC48="QUANT."),"►►",IF(AND(COUNTIF($P$11:$AQ$11,"▼")=0,H48&gt;0,I48=""),"◄",""))))</f>
        <v/>
      </c>
      <c r="K48" s="345"/>
      <c r="L48" s="346" t="s">
        <v>876</v>
      </c>
      <c r="M48" s="347" t="str">
        <f aca="true">IF($D48&lt;&gt;"Serviço","",
          IF(AUTOEVENTO="manual",$A48,
                IF(ISERROR(MATCH($A48,$A$15:OFFSET($A48,-1,0),0)),MAX($M$15:OFFSET(M48,-1,0))+1,
                      INDEX($M$15:OFFSET(M48,-1,0),MATCH($A48,$A$15:OFFSET($A48,-1,0),0)))))</f>
        <v/>
      </c>
      <c r="N48" s="348" t="str">
        <f aca="true">IF($D48&lt;&gt;"Serviço","",
         IF(AUTOEVENTO="Manual",
                IF($A48=0,"&lt;-- defina o número do agrupador",
                       OFFSET(EVENTOS!$D$15,$A48-$A$15,0)),
                OFFSET($F$15,$A48,0)))</f>
        <v/>
      </c>
      <c r="O48" s="349"/>
      <c r="Q48" s="349"/>
      <c r="R48" s="350"/>
      <c r="S48" s="350"/>
      <c r="T48" s="350"/>
      <c r="U48" s="350"/>
      <c r="V48" s="350"/>
      <c r="W48" s="350"/>
      <c r="X48" s="350"/>
      <c r="Y48" s="350"/>
      <c r="Z48" s="351"/>
      <c r="AA48" s="350"/>
      <c r="AB48" s="350"/>
      <c r="AC48" s="350"/>
      <c r="AD48" s="350"/>
      <c r="AE48" s="350"/>
      <c r="AF48" s="350"/>
      <c r="AG48" s="350"/>
      <c r="AH48" s="351"/>
      <c r="AI48" s="350"/>
      <c r="AJ48" s="350"/>
      <c r="AK48" s="350"/>
      <c r="AL48" s="350"/>
      <c r="AM48" s="350"/>
      <c r="AN48" s="350"/>
      <c r="AO48" s="350"/>
      <c r="AP48" s="351"/>
      <c r="AR48" s="352" t="n">
        <f aca="true">IF(AND($D48="Serviço",AR$12&lt;&gt;0,$H48&gt;0,OR(AUTOEVENTO&lt;&gt;"manual",$M48&lt;&gt;$A$15)),
        IF(Import.TipoArredondamento&lt;&gt;"TransfereGOV",
              ROUND(OFFSET($P48,0,AR$13),15-13*ORÇAMENTO!$AF$7)/$H48*OFFSET(ORÇAMENTO!$X$15,ROW(AR48)-ROW(AR$15),0),
              ROUND(ROUND(OFFSET($P48,0,AR$13),15-13*ORÇAMENTO!$AF$7)*OFFSET(ORÇAMENTO!$W$15,ROW(AR48)-ROW(AR$15),0),15-13*ORÇAMENTO!$AF$11)),
         0)</f>
        <v>0</v>
      </c>
      <c r="AS48" s="352" t="n">
        <f aca="true">IF(AND($D48="Serviço",AS$12&lt;&gt;0,$H48&gt;0,OR(AUTOEVENTO&lt;&gt;"manual",$M48&lt;&gt;$A$15)),
        IF(Import.TipoArredondamento&lt;&gt;"TransfereGOV",
              ROUND(OFFSET($P48,0,AS$13),15-13*ORÇAMENTO!$AF$7)/$H48*OFFSET(ORÇAMENTO!$X$15,ROW(AS48)-ROW(AS$15),0),
              ROUND(ROUND(OFFSET($P48,0,AS$13),15-13*ORÇAMENTO!$AF$7)*OFFSET(ORÇAMENTO!$W$15,ROW(AS48)-ROW(AS$15),0),15-13*ORÇAMENTO!$AF$11)),
         0)</f>
        <v>0</v>
      </c>
      <c r="AT48" s="352" t="n">
        <f aca="true">IF(AND($D48="Serviço",AT$12&lt;&gt;0,$H48&gt;0,OR(AUTOEVENTO&lt;&gt;"manual",$M48&lt;&gt;$A$15)),
        IF(Import.TipoArredondamento&lt;&gt;"TransfereGOV",
              ROUND(OFFSET($P48,0,AT$13),15-13*ORÇAMENTO!$AF$7)/$H48*OFFSET(ORÇAMENTO!$X$15,ROW(AT48)-ROW(AT$15),0),
              ROUND(ROUND(OFFSET($P48,0,AT$13),15-13*ORÇAMENTO!$AF$7)*OFFSET(ORÇAMENTO!$W$15,ROW(AT48)-ROW(AT$15),0),15-13*ORÇAMENTO!$AF$11)),
         0)</f>
        <v>0</v>
      </c>
      <c r="AU48" s="352" t="n">
        <f aca="true">IF(AND($D48="Serviço",AU$12&lt;&gt;0,$H48&gt;0,OR(AUTOEVENTO&lt;&gt;"manual",$M48&lt;&gt;$A$15)),
        IF(Import.TipoArredondamento&lt;&gt;"TransfereGOV",
              ROUND(OFFSET($P48,0,AU$13),15-13*ORÇAMENTO!$AF$7)/$H48*OFFSET(ORÇAMENTO!$X$15,ROW(AU48)-ROW(AU$15),0),
              ROUND(ROUND(OFFSET($P48,0,AU$13),15-13*ORÇAMENTO!$AF$7)*OFFSET(ORÇAMENTO!$W$15,ROW(AU48)-ROW(AU$15),0),15-13*ORÇAMENTO!$AF$11)),
         0)</f>
        <v>0</v>
      </c>
      <c r="AV48" s="352" t="n">
        <f aca="true">IF(AND($D48="Serviço",AV$12&lt;&gt;0,$H48&gt;0,OR(AUTOEVENTO&lt;&gt;"manual",$M48&lt;&gt;$A$15)),
        IF(Import.TipoArredondamento&lt;&gt;"TransfereGOV",
              ROUND(OFFSET($P48,0,AV$13),15-13*ORÇAMENTO!$AF$7)/$H48*OFFSET(ORÇAMENTO!$X$15,ROW(AV48)-ROW(AV$15),0),
              ROUND(ROUND(OFFSET($P48,0,AV$13),15-13*ORÇAMENTO!$AF$7)*OFFSET(ORÇAMENTO!$W$15,ROW(AV48)-ROW(AV$15),0),15-13*ORÇAMENTO!$AF$11)),
         0)</f>
        <v>0</v>
      </c>
      <c r="AW48" s="352" t="n">
        <f aca="true">IF(AND($D48="Serviço",AW$12&lt;&gt;0,$H48&gt;0,OR(AUTOEVENTO&lt;&gt;"manual",$M48&lt;&gt;$A$15)),
        IF(Import.TipoArredondamento&lt;&gt;"TransfereGOV",
              ROUND(OFFSET($P48,0,AW$13),15-13*ORÇAMENTO!$AF$7)/$H48*OFFSET(ORÇAMENTO!$X$15,ROW(AW48)-ROW(AW$15),0),
              ROUND(ROUND(OFFSET($P48,0,AW$13),15-13*ORÇAMENTO!$AF$7)*OFFSET(ORÇAMENTO!$W$15,ROW(AW48)-ROW(AW$15),0),15-13*ORÇAMENTO!$AF$11)),
         0)</f>
        <v>0</v>
      </c>
      <c r="AX48" s="352" t="n">
        <f aca="true">IF(AND($D48="Serviço",AX$12&lt;&gt;0,$H48&gt;0,OR(AUTOEVENTO&lt;&gt;"manual",$M48&lt;&gt;$A$15)),
        IF(Import.TipoArredondamento&lt;&gt;"TransfereGOV",
              ROUND(OFFSET($P48,0,AX$13),15-13*ORÇAMENTO!$AF$7)/$H48*OFFSET(ORÇAMENTO!$X$15,ROW(AX48)-ROW(AX$15),0),
              ROUND(ROUND(OFFSET($P48,0,AX$13),15-13*ORÇAMENTO!$AF$7)*OFFSET(ORÇAMENTO!$W$15,ROW(AX48)-ROW(AX$15),0),15-13*ORÇAMENTO!$AF$11)),
         0)</f>
        <v>0</v>
      </c>
      <c r="AY48" s="352" t="n">
        <f aca="true">IF(AND($D48="Serviço",AY$12&lt;&gt;0,$H48&gt;0,OR(AUTOEVENTO&lt;&gt;"manual",$M48&lt;&gt;$A$15)),
        IF(Import.TipoArredondamento&lt;&gt;"TransfereGOV",
              ROUND(OFFSET($P48,0,AY$13),15-13*ORÇAMENTO!$AF$7)/$H48*OFFSET(ORÇAMENTO!$X$15,ROW(AY48)-ROW(AY$15),0),
              ROUND(ROUND(OFFSET($P48,0,AY$13),15-13*ORÇAMENTO!$AF$7)*OFFSET(ORÇAMENTO!$W$15,ROW(AY48)-ROW(AY$15),0),15-13*ORÇAMENTO!$AF$11)),
         0)</f>
        <v>0</v>
      </c>
      <c r="AZ48" s="352" t="n">
        <f aca="true">IF(AND($D48="Serviço",AZ$12&lt;&gt;0,$H48&gt;0,OR(AUTOEVENTO&lt;&gt;"manual",$M48&lt;&gt;$A$15)),
        IF(Import.TipoArredondamento&lt;&gt;"TransfereGOV",
              ROUND(OFFSET($P48,0,AZ$13),15-13*ORÇAMENTO!$AF$7)/$H48*OFFSET(ORÇAMENTO!$X$15,ROW(AZ48)-ROW(AZ$15),0),
              ROUND(ROUND(OFFSET($P48,0,AZ$13),15-13*ORÇAMENTO!$AF$7)*OFFSET(ORÇAMENTO!$W$15,ROW(AZ48)-ROW(AZ$15),0),15-13*ORÇAMENTO!$AF$11)),
         0)</f>
        <v>0</v>
      </c>
      <c r="BA48" s="352" t="n">
        <f aca="true">IF(AND($D48="Serviço",BA$12&lt;&gt;0,$H48&gt;0,OR(AUTOEVENTO&lt;&gt;"manual",$M48&lt;&gt;$A$15)),
        IF(Import.TipoArredondamento&lt;&gt;"TransfereGOV",
              ROUND(OFFSET($P48,0,BA$13),15-13*ORÇAMENTO!$AF$7)/$H48*OFFSET(ORÇAMENTO!$X$15,ROW(BA48)-ROW(BA$15),0),
              ROUND(ROUND(OFFSET($P48,0,BA$13),15-13*ORÇAMENTO!$AF$7)*OFFSET(ORÇAMENTO!$W$15,ROW(BA48)-ROW(BA$15),0),15-13*ORÇAMENTO!$AF$11)),
         0)</f>
        <v>0</v>
      </c>
      <c r="BB48" s="352" t="n">
        <f aca="true">IF(AND($D48="Serviço",BB$12&lt;&gt;0,$H48&gt;0,OR(AUTOEVENTO&lt;&gt;"manual",$M48&lt;&gt;$A$15)),
        IF(Import.TipoArredondamento&lt;&gt;"TransfereGOV",
              ROUND(OFFSET($P48,0,BB$13),15-13*ORÇAMENTO!$AF$7)/$H48*OFFSET(ORÇAMENTO!$X$15,ROW(BB48)-ROW(BB$15),0),
              ROUND(ROUND(OFFSET($P48,0,BB$13),15-13*ORÇAMENTO!$AF$7)*OFFSET(ORÇAMENTO!$W$15,ROW(BB48)-ROW(BB$15),0),15-13*ORÇAMENTO!$AF$11)),
         0)</f>
        <v>0</v>
      </c>
      <c r="BC48" s="352" t="n">
        <f aca="true">IF(AND($D48="Serviço",BC$12&lt;&gt;0,$H48&gt;0,OR(AUTOEVENTO&lt;&gt;"manual",$M48&lt;&gt;$A$15)),
        IF(Import.TipoArredondamento&lt;&gt;"TransfereGOV",
              ROUND(OFFSET($P48,0,BC$13),15-13*ORÇAMENTO!$AF$7)/$H48*OFFSET(ORÇAMENTO!$X$15,ROW(BC48)-ROW(BC$15),0),
              ROUND(ROUND(OFFSET($P48,0,BC$13),15-13*ORÇAMENTO!$AF$7)*OFFSET(ORÇAMENTO!$W$15,ROW(BC48)-ROW(BC$15),0),15-13*ORÇAMENTO!$AF$11)),
         0)</f>
        <v>0</v>
      </c>
      <c r="BD48" s="352" t="n">
        <f aca="true">IF(AND($D48="Serviço",BD$12&lt;&gt;0,$H48&gt;0,OR(AUTOEVENTO&lt;&gt;"manual",$M48&lt;&gt;$A$15)),
        IF(Import.TipoArredondamento&lt;&gt;"TransfereGOV",
              ROUND(OFFSET($P48,0,BD$13),15-13*ORÇAMENTO!$AF$7)/$H48*OFFSET(ORÇAMENTO!$X$15,ROW(BD48)-ROW(BD$15),0),
              ROUND(ROUND(OFFSET($P48,0,BD$13),15-13*ORÇAMENTO!$AF$7)*OFFSET(ORÇAMENTO!$W$15,ROW(BD48)-ROW(BD$15),0),15-13*ORÇAMENTO!$AF$11)),
         0)</f>
        <v>0</v>
      </c>
      <c r="BE48" s="352" t="n">
        <f aca="true">IF(AND($D48="Serviço",BE$12&lt;&gt;0,$H48&gt;0,OR(AUTOEVENTO&lt;&gt;"manual",$M48&lt;&gt;$A$15)),
        IF(Import.TipoArredondamento&lt;&gt;"TransfereGOV",
              ROUND(OFFSET($P48,0,BE$13),15-13*ORÇAMENTO!$AF$7)/$H48*OFFSET(ORÇAMENTO!$X$15,ROW(BE48)-ROW(BE$15),0),
              ROUND(ROUND(OFFSET($P48,0,BE$13),15-13*ORÇAMENTO!$AF$7)*OFFSET(ORÇAMENTO!$W$15,ROW(BE48)-ROW(BE$15),0),15-13*ORÇAMENTO!$AF$11)),
         0)</f>
        <v>0</v>
      </c>
      <c r="BF48" s="352" t="n">
        <f aca="true">IF(AND($D48="Serviço",BF$12&lt;&gt;0,$H48&gt;0,OR(AUTOEVENTO&lt;&gt;"manual",$M48&lt;&gt;$A$15)),
        IF(Import.TipoArredondamento&lt;&gt;"TransfereGOV",
              ROUND(OFFSET($P48,0,BF$13),15-13*ORÇAMENTO!$AF$7)/$H48*OFFSET(ORÇAMENTO!$X$15,ROW(BF48)-ROW(BF$15),0),
              ROUND(ROUND(OFFSET($P48,0,BF$13),15-13*ORÇAMENTO!$AF$7)*OFFSET(ORÇAMENTO!$W$15,ROW(BF48)-ROW(BF$15),0),15-13*ORÇAMENTO!$AF$11)),
         0)</f>
        <v>0</v>
      </c>
      <c r="BG48" s="352" t="n">
        <f aca="true">IF(AND($D48="Serviço",BG$12&lt;&gt;0,$H48&gt;0,OR(AUTOEVENTO&lt;&gt;"manual",$M48&lt;&gt;$A$15)),
        IF(Import.TipoArredondamento&lt;&gt;"TransfereGOV",
              ROUND(OFFSET($P48,0,BG$13),15-13*ORÇAMENTO!$AF$7)/$H48*OFFSET(ORÇAMENTO!$X$15,ROW(BG48)-ROW(BG$15),0),
              ROUND(ROUND(OFFSET($P48,0,BG$13),15-13*ORÇAMENTO!$AF$7)*OFFSET(ORÇAMENTO!$W$15,ROW(BG48)-ROW(BG$15),0),15-13*ORÇAMENTO!$AF$11)),
         0)</f>
        <v>0</v>
      </c>
      <c r="BH48" s="352" t="n">
        <f aca="true">IF(AND($D48="Serviço",BH$12&lt;&gt;0,$H48&gt;0,OR(AUTOEVENTO&lt;&gt;"manual",$M48&lt;&gt;$A$15)),
        IF(Import.TipoArredondamento&lt;&gt;"TransfereGOV",
              ROUND(OFFSET($P48,0,BH$13),15-13*ORÇAMENTO!$AF$7)/$H48*OFFSET(ORÇAMENTO!$X$15,ROW(BH48)-ROW(BH$15),0),
              ROUND(ROUND(OFFSET($P48,0,BH$13),15-13*ORÇAMENTO!$AF$7)*OFFSET(ORÇAMENTO!$W$15,ROW(BH48)-ROW(BH$15),0),15-13*ORÇAMENTO!$AF$11)),
         0)</f>
        <v>0</v>
      </c>
      <c r="BI48" s="352" t="n">
        <f aca="true">IF(AND($D48="Serviço",BI$12&lt;&gt;0,$H48&gt;0,OR(AUTOEVENTO&lt;&gt;"manual",$M48&lt;&gt;$A$15)),
        IF(Import.TipoArredondamento&lt;&gt;"TransfereGOV",
              ROUND(OFFSET($P48,0,BI$13),15-13*ORÇAMENTO!$AF$7)/$H48*OFFSET(ORÇAMENTO!$X$15,ROW(BI48)-ROW(BI$15),0),
              ROUND(ROUND(OFFSET($P48,0,BI$13),15-13*ORÇAMENTO!$AF$7)*OFFSET(ORÇAMENTO!$W$15,ROW(BI48)-ROW(BI$15),0),15-13*ORÇAMENTO!$AF$11)),
         0)</f>
        <v>0</v>
      </c>
      <c r="BJ48" s="352" t="n">
        <f aca="true">IF(AND($D48="Serviço",BJ$12&lt;&gt;0,$H48&gt;0,OR(AUTOEVENTO&lt;&gt;"manual",$M48&lt;&gt;$A$15)),
        IF(Import.TipoArredondamento&lt;&gt;"TransfereGOV",
              ROUND(OFFSET($P48,0,BJ$13),15-13*ORÇAMENTO!$AF$7)/$H48*OFFSET(ORÇAMENTO!$X$15,ROW(BJ48)-ROW(BJ$15),0),
              ROUND(ROUND(OFFSET($P48,0,BJ$13),15-13*ORÇAMENTO!$AF$7)*OFFSET(ORÇAMENTO!$W$15,ROW(BJ48)-ROW(BJ$15),0),15-13*ORÇAMENTO!$AF$11)),
         0)</f>
        <v>0</v>
      </c>
      <c r="BK48" s="352" t="n">
        <f aca="true">IF(AND($D48="Serviço",BK$12&lt;&gt;0,$H48&gt;0,OR(AUTOEVENTO&lt;&gt;"manual",$M48&lt;&gt;$A$15)),
        IF(Import.TipoArredondamento&lt;&gt;"TransfereGOV",
              ROUND(OFFSET($P48,0,BK$13),15-13*ORÇAMENTO!$AF$7)/$H48*OFFSET(ORÇAMENTO!$X$15,ROW(BK48)-ROW(BK$15),0),
              ROUND(ROUND(OFFSET($P48,0,BK$13),15-13*ORÇAMENTO!$AF$7)*OFFSET(ORÇAMENTO!$W$15,ROW(BK48)-ROW(BK$15),0),15-13*ORÇAMENTO!$AF$11)),
         0)</f>
        <v>0</v>
      </c>
      <c r="BL48" s="352" t="n">
        <f aca="true">IF(AND($D48="Serviço",BL$12&lt;&gt;0,$H48&gt;0,OR(AUTOEVENTO&lt;&gt;"manual",$M48&lt;&gt;$A$15)),
        IF(Import.TipoArredondamento&lt;&gt;"TransfereGOV",
              ROUND(OFFSET($P48,0,BL$13),15-13*ORÇAMENTO!$AF$7)/$H48*OFFSET(ORÇAMENTO!$X$15,ROW(BL48)-ROW(BL$15),0),
              ROUND(ROUND(OFFSET($P48,0,BL$13),15-13*ORÇAMENTO!$AF$7)*OFFSET(ORÇAMENTO!$W$15,ROW(BL48)-ROW(BL$15),0),15-13*ORÇAMENTO!$AF$11)),
         0)</f>
        <v>0</v>
      </c>
      <c r="BM48" s="352" t="n">
        <f aca="true">IF(AND($D48="Serviço",BM$12&lt;&gt;0,$H48&gt;0,OR(AUTOEVENTO&lt;&gt;"manual",$M48&lt;&gt;$A$15)),
        IF(Import.TipoArredondamento&lt;&gt;"TransfereGOV",
              ROUND(OFFSET($P48,0,BM$13),15-13*ORÇAMENTO!$AF$7)/$H48*OFFSET(ORÇAMENTO!$X$15,ROW(BM48)-ROW(BM$15),0),
              ROUND(ROUND(OFFSET($P48,0,BM$13),15-13*ORÇAMENTO!$AF$7)*OFFSET(ORÇAMENTO!$W$15,ROW(BM48)-ROW(BM$15),0),15-13*ORÇAMENTO!$AF$11)),
         0)</f>
        <v>0</v>
      </c>
      <c r="BN48" s="352" t="n">
        <f aca="true">IF(AND($D48="Serviço",BN$12&lt;&gt;0,$H48&gt;0,OR(AUTOEVENTO&lt;&gt;"manual",$M48&lt;&gt;$A$15)),
        IF(Import.TipoArredondamento&lt;&gt;"TransfereGOV",
              ROUND(OFFSET($P48,0,BN$13),15-13*ORÇAMENTO!$AF$7)/$H48*OFFSET(ORÇAMENTO!$X$15,ROW(BN48)-ROW(BN$15),0),
              ROUND(ROUND(OFFSET($P48,0,BN$13),15-13*ORÇAMENTO!$AF$7)*OFFSET(ORÇAMENTO!$W$15,ROW(BN48)-ROW(BN$15),0),15-13*ORÇAMENTO!$AF$11)),
         0)</f>
        <v>0</v>
      </c>
      <c r="BO48" s="352" t="n">
        <f aca="true">IF(AND($D48="Serviço",BO$12&lt;&gt;0,$H48&gt;0,OR(AUTOEVENTO&lt;&gt;"manual",$M48&lt;&gt;$A$15)),
        IF(Import.TipoArredondamento&lt;&gt;"TransfereGOV",
              ROUND(OFFSET($P48,0,BO$13),15-13*ORÇAMENTO!$AF$7)/$H48*OFFSET(ORÇAMENTO!$X$15,ROW(BO48)-ROW(BO$15),0),
              ROUND(ROUND(OFFSET($P48,0,BO$13),15-13*ORÇAMENTO!$AF$7)*OFFSET(ORÇAMENTO!$W$15,ROW(BO48)-ROW(BO$15),0),15-13*ORÇAMENTO!$AF$11)),
         0)</f>
        <v>0</v>
      </c>
      <c r="BP48" s="352" t="n">
        <f aca="true">IF(AND($D48="Serviço",BP$12&lt;&gt;0,$H48&gt;0,OR(AUTOEVENTO&lt;&gt;"manual",$M48&lt;&gt;$A$15)),
        IF(Import.TipoArredondamento&lt;&gt;"TransfereGOV",
              ROUND(OFFSET($P48,0,BP$13),15-13*ORÇAMENTO!$AF$7)/$H48*OFFSET(ORÇAMENTO!$X$15,ROW(BP48)-ROW(BP$15),0),
              ROUND(ROUND(OFFSET($P48,0,BP$13),15-13*ORÇAMENTO!$AF$7)*OFFSET(ORÇAMENTO!$W$15,ROW(BP48)-ROW(BP$15),0),15-13*ORÇAMENTO!$AF$11)),
         0)</f>
        <v>0</v>
      </c>
      <c r="BQ48" s="352" t="n">
        <f aca="true">IF(AND($D48="Serviço",BQ$12&lt;&gt;0,$H48&gt;0,OR(AUTOEVENTO&lt;&gt;"manual",$M48&lt;&gt;$A$15)),
        IF(Import.TipoArredondamento&lt;&gt;"TransfereGOV",
              ROUND(OFFSET($P48,0,BQ$13),15-13*ORÇAMENTO!$AF$7)/$H48*OFFSET(ORÇAMENTO!$X$15,ROW(BQ48)-ROW(BQ$15),0),
              ROUND(ROUND(OFFSET($P48,0,BQ$13),15-13*ORÇAMENTO!$AF$7)*OFFSET(ORÇAMENTO!$W$15,ROW(BQ48)-ROW(BQ$15),0),15-13*ORÇAMENTO!$AF$11)),
         0)</f>
        <v>0</v>
      </c>
      <c r="BS48" s="353" t="n">
        <f aca="true">IF(OR($D48&lt;&gt;"Serviço",AND(AUTOEVENTO="Manual",$M48=$A$15)),0,
         IF(OFFSET(CRONOPLE!$F$15,$M48-$A$15,BS$13)=0,10^12,OFFSET(CRONOPLE!$F$15,$M48-$A$15,BS$13)))</f>
        <v>0</v>
      </c>
      <c r="BT48" s="353" t="n">
        <f aca="true">IF(OR($D48&lt;&gt;"Serviço",AND(AUTOEVENTO="Manual",$M48=$A$15)),0,
         IF(OFFSET(CRONOPLE!$F$15,$M48-$A$15,BT$13)=0,10^12,OFFSET(CRONOPLE!$F$15,$M48-$A$15,BT$13)))</f>
        <v>0</v>
      </c>
      <c r="BU48" s="353" t="n">
        <f aca="true">IF(OR($D48&lt;&gt;"Serviço",AND(AUTOEVENTO="Manual",$M48=$A$15)),0,
         IF(OFFSET(CRONOPLE!$F$15,$M48-$A$15,BU$13)=0,10^12,OFFSET(CRONOPLE!$F$15,$M48-$A$15,BU$13)))</f>
        <v>0</v>
      </c>
      <c r="BV48" s="353" t="n">
        <f aca="true">IF(OR($D48&lt;&gt;"Serviço",AND(AUTOEVENTO="Manual",$M48=$A$15)),0,
         IF(OFFSET(CRONOPLE!$F$15,$M48-$A$15,BV$13)=0,10^12,OFFSET(CRONOPLE!$F$15,$M48-$A$15,BV$13)))</f>
        <v>0</v>
      </c>
      <c r="BW48" s="353" t="n">
        <f aca="true">IF(OR($D48&lt;&gt;"Serviço",AND(AUTOEVENTO="Manual",$M48=$A$15)),0,
         IF(OFFSET(CRONOPLE!$F$15,$M48-$A$15,BW$13)=0,10^12,OFFSET(CRONOPLE!$F$15,$M48-$A$15,BW$13)))</f>
        <v>0</v>
      </c>
      <c r="BX48" s="353" t="n">
        <f aca="true">IF(OR($D48&lt;&gt;"Serviço",AND(AUTOEVENTO="Manual",$M48=$A$15)),0,
         IF(OFFSET(CRONOPLE!$F$15,$M48-$A$15,BX$13)=0,10^12,OFFSET(CRONOPLE!$F$15,$M48-$A$15,BX$13)))</f>
        <v>0</v>
      </c>
      <c r="BY48" s="353" t="n">
        <f aca="true">IF(OR($D48&lt;&gt;"Serviço",AND(AUTOEVENTO="Manual",$M48=$A$15)),0,
         IF(OFFSET(CRONOPLE!$F$15,$M48-$A$15,BY$13)=0,10^12,OFFSET(CRONOPLE!$F$15,$M48-$A$15,BY$13)))</f>
        <v>0</v>
      </c>
      <c r="BZ48" s="353" t="n">
        <f aca="true">IF(OR($D48&lt;&gt;"Serviço",AND(AUTOEVENTO="Manual",$M48=$A$15)),0,
         IF(OFFSET(CRONOPLE!$F$15,$M48-$A$15,BZ$13)=0,10^12,OFFSET(CRONOPLE!$F$15,$M48-$A$15,BZ$13)))</f>
        <v>0</v>
      </c>
      <c r="CA48" s="353" t="n">
        <f aca="true">IF(OR($D48&lt;&gt;"Serviço",AND(AUTOEVENTO="Manual",$M48=$A$15)),0,
         IF(OFFSET(CRONOPLE!$F$15,$M48-$A$15,CA$13)=0,10^12,OFFSET(CRONOPLE!$F$15,$M48-$A$15,CA$13)))</f>
        <v>0</v>
      </c>
      <c r="CB48" s="353" t="n">
        <f aca="true">IF(OR($D48&lt;&gt;"Serviço",AND(AUTOEVENTO="Manual",$M48=$A$15)),0,
         IF(OFFSET(CRONOPLE!$F$15,$M48-$A$15,CB$13)=0,10^12,OFFSET(CRONOPLE!$F$15,$M48-$A$15,CB$13)))</f>
        <v>0</v>
      </c>
      <c r="CC48" s="353" t="n">
        <f aca="true">IF(OR($D48&lt;&gt;"Serviço",AND(AUTOEVENTO="Manual",$M48=$A$15)),0,
         IF(OFFSET(CRONOPLE!$F$15,$M48-$A$15,CC$13)=0,10^12,OFFSET(CRONOPLE!$F$15,$M48-$A$15,CC$13)))</f>
        <v>0</v>
      </c>
      <c r="CD48" s="353" t="n">
        <f aca="true">IF(OR($D48&lt;&gt;"Serviço",AND(AUTOEVENTO="Manual",$M48=$A$15)),0,
         IF(OFFSET(CRONOPLE!$F$15,$M48-$A$15,CD$13)=0,10^12,OFFSET(CRONOPLE!$F$15,$M48-$A$15,CD$13)))</f>
        <v>0</v>
      </c>
      <c r="CE48" s="353" t="n">
        <f aca="true">IF(OR($D48&lt;&gt;"Serviço",AND(AUTOEVENTO="Manual",$M48=$A$15)),0,
         IF(OFFSET(CRONOPLE!$F$15,$M48-$A$15,CE$13)=0,10^12,OFFSET(CRONOPLE!$F$15,$M48-$A$15,CE$13)))</f>
        <v>0</v>
      </c>
      <c r="CF48" s="353" t="n">
        <f aca="true">IF(OR($D48&lt;&gt;"Serviço",AND(AUTOEVENTO="Manual",$M48=$A$15)),0,
         IF(OFFSET(CRONOPLE!$F$15,$M48-$A$15,CF$13)=0,10^12,OFFSET(CRONOPLE!$F$15,$M48-$A$15,CF$13)))</f>
        <v>0</v>
      </c>
      <c r="CG48" s="353" t="n">
        <f aca="true">IF(OR($D48&lt;&gt;"Serviço",AND(AUTOEVENTO="Manual",$M48=$A$15)),0,
         IF(OFFSET(CRONOPLE!$F$15,$M48-$A$15,CG$13)=0,10^12,OFFSET(CRONOPLE!$F$15,$M48-$A$15,CG$13)))</f>
        <v>0</v>
      </c>
      <c r="CH48" s="353" t="n">
        <f aca="true">IF(OR($D48&lt;&gt;"Serviço",AND(AUTOEVENTO="Manual",$M48=$A$15)),0,
         IF(OFFSET(CRONOPLE!$F$15,$M48-$A$15,CH$13)=0,10^12,OFFSET(CRONOPLE!$F$15,$M48-$A$15,CH$13)))</f>
        <v>0</v>
      </c>
      <c r="CI48" s="353" t="n">
        <f aca="true">IF(OR($D48&lt;&gt;"Serviço",AND(AUTOEVENTO="Manual",$M48=$A$15)),0,
         IF(OFFSET(CRONOPLE!$F$15,$M48-$A$15,CI$13)=0,10^12,OFFSET(CRONOPLE!$F$15,$M48-$A$15,CI$13)))</f>
        <v>0</v>
      </c>
      <c r="CJ48" s="353" t="n">
        <f aca="true">IF(OR($D48&lt;&gt;"Serviço",AND(AUTOEVENTO="Manual",$M48=$A$15)),0,
         IF(OFFSET(CRONOPLE!$F$15,$M48-$A$15,CJ$13)=0,10^12,OFFSET(CRONOPLE!$F$15,$M48-$A$15,CJ$13)))</f>
        <v>0</v>
      </c>
      <c r="CK48" s="353" t="n">
        <f aca="true">IF(OR($D48&lt;&gt;"Serviço",AND(AUTOEVENTO="Manual",$M48=$A$15)),0,
         IF(OFFSET(CRONOPLE!$F$15,$M48-$A$15,CK$13)=0,10^12,OFFSET(CRONOPLE!$F$15,$M48-$A$15,CK$13)))</f>
        <v>0</v>
      </c>
      <c r="CL48" s="353" t="n">
        <f aca="true">IF(OR($D48&lt;&gt;"Serviço",AND(AUTOEVENTO="Manual",$M48=$A$15)),0,
         IF(OFFSET(CRONOPLE!$F$15,$M48-$A$15,CL$13)=0,10^12,OFFSET(CRONOPLE!$F$15,$M48-$A$15,CL$13)))</f>
        <v>0</v>
      </c>
      <c r="CM48" s="353" t="n">
        <f aca="true">IF(OR($D48&lt;&gt;"Serviço",AND(AUTOEVENTO="Manual",$M48=$A$15)),0,
         IF(OFFSET(CRONOPLE!$F$15,$M48-$A$15,CM$13)=0,10^12,OFFSET(CRONOPLE!$F$15,$M48-$A$15,CM$13)))</f>
        <v>0</v>
      </c>
      <c r="CN48" s="353" t="n">
        <f aca="true">IF(OR($D48&lt;&gt;"Serviço",AND(AUTOEVENTO="Manual",$M48=$A$15)),0,
         IF(OFFSET(CRONOPLE!$F$15,$M48-$A$15,CN$13)=0,10^12,OFFSET(CRONOPLE!$F$15,$M48-$A$15,CN$13)))</f>
        <v>0</v>
      </c>
      <c r="CO48" s="353" t="n">
        <f aca="true">IF(OR($D48&lt;&gt;"Serviço",AND(AUTOEVENTO="Manual",$M48=$A$15)),0,
         IF(OFFSET(CRONOPLE!$F$15,$M48-$A$15,CO$13)=0,10^12,OFFSET(CRONOPLE!$F$15,$M48-$A$15,CO$13)))</f>
        <v>0</v>
      </c>
      <c r="CP48" s="353" t="n">
        <f aca="true">IF(OR($D48&lt;&gt;"Serviço",AND(AUTOEVENTO="Manual",$M48=$A$15)),0,
         IF(OFFSET(CRONOPLE!$F$15,$M48-$A$15,CP$13)=0,10^12,OFFSET(CRONOPLE!$F$15,$M48-$A$15,CP$13)))</f>
        <v>0</v>
      </c>
      <c r="CQ48" s="353" t="n">
        <f aca="true">IF(OR($D48&lt;&gt;"Serviço",AND(AUTOEVENTO="Manual",$M48=$A$15)),0,
         IF(OFFSET(CRONOPLE!$F$15,$M48-$A$15,CQ$13)=0,10^12,OFFSET(CRONOPLE!$F$15,$M48-$A$15,CQ$13)))</f>
        <v>0</v>
      </c>
      <c r="CR48" s="353" t="n">
        <f aca="true">IF(OR($D48&lt;&gt;"Serviço",AND(AUTOEVENTO="Manual",$M48=$A$15)),0,
         IF(OFFSET(CRONOPLE!$F$15,$M48-$A$15,CR$13)=0,10^12,OFFSET(CRONOPLE!$F$15,$M48-$A$15,CR$13)))</f>
        <v>0</v>
      </c>
      <c r="CT48" s="354" t="n">
        <f aca="true">IF(OR($D48&lt;&gt;"Serviço",AND(AUTOEVENTO="Manual",$M48=$A$15),$M48&gt;(ROW(PLE.lastrow)-ROW(PLE.firstrow))),0,
           IF(OFFSET(PLE!$G$15,$M48-$A$15,CT$13)="",10^12,OFFSET(PLE!$G$15,$M48-$A$15,CT$13)))</f>
        <v>0</v>
      </c>
      <c r="CU48" s="354" t="n">
        <f aca="true">IF(OR($D48&lt;&gt;"Serviço",AND(AUTOEVENTO="Manual",$M48=$A$15),$M48&gt;(ROW(PLE.lastrow)-ROW(PLE.firstrow))),0,
           IF(OFFSET(PLE!$G$15,$M48-$A$15,CU$13)="",10^12,OFFSET(PLE!$G$15,$M48-$A$15,CU$13)))</f>
        <v>0</v>
      </c>
      <c r="CV48" s="354" t="n">
        <f aca="true">IF(OR($D48&lt;&gt;"Serviço",AND(AUTOEVENTO="Manual",$M48=$A$15),$M48&gt;(ROW(PLE.lastrow)-ROW(PLE.firstrow))),0,
           IF(OFFSET(PLE!$G$15,$M48-$A$15,CV$13)="",10^12,OFFSET(PLE!$G$15,$M48-$A$15,CV$13)))</f>
        <v>0</v>
      </c>
      <c r="CW48" s="354" t="n">
        <f aca="true">IF(OR($D48&lt;&gt;"Serviço",AND(AUTOEVENTO="Manual",$M48=$A$15),$M48&gt;(ROW(PLE.lastrow)-ROW(PLE.firstrow))),0,
           IF(OFFSET(PLE!$G$15,$M48-$A$15,CW$13)="",10^12,OFFSET(PLE!$G$15,$M48-$A$15,CW$13)))</f>
        <v>0</v>
      </c>
      <c r="CX48" s="354" t="n">
        <f aca="true">IF(OR($D48&lt;&gt;"Serviço",AND(AUTOEVENTO="Manual",$M48=$A$15),$M48&gt;(ROW(PLE.lastrow)-ROW(PLE.firstrow))),0,
           IF(OFFSET(PLE!$G$15,$M48-$A$15,CX$13)="",10^12,OFFSET(PLE!$G$15,$M48-$A$15,CX$13)))</f>
        <v>0</v>
      </c>
      <c r="CY48" s="354" t="n">
        <f aca="true">IF(OR($D48&lt;&gt;"Serviço",AND(AUTOEVENTO="Manual",$M48=$A$15),$M48&gt;(ROW(PLE.lastrow)-ROW(PLE.firstrow))),0,
           IF(OFFSET(PLE!$G$15,$M48-$A$15,CY$13)="",10^12,OFFSET(PLE!$G$15,$M48-$A$15,CY$13)))</f>
        <v>0</v>
      </c>
      <c r="CZ48" s="354" t="n">
        <f aca="true">IF(OR($D48&lt;&gt;"Serviço",AND(AUTOEVENTO="Manual",$M48=$A$15),$M48&gt;(ROW(PLE.lastrow)-ROW(PLE.firstrow))),0,
           IF(OFFSET(PLE!$G$15,$M48-$A$15,CZ$13)="",10^12,OFFSET(PLE!$G$15,$M48-$A$15,CZ$13)))</f>
        <v>0</v>
      </c>
      <c r="DA48" s="354" t="n">
        <f aca="true">IF(OR($D48&lt;&gt;"Serviço",AND(AUTOEVENTO="Manual",$M48=$A$15),$M48&gt;(ROW(PLE.lastrow)-ROW(PLE.firstrow))),0,
           IF(OFFSET(PLE!$G$15,$M48-$A$15,DA$13)="",10^12,OFFSET(PLE!$G$15,$M48-$A$15,DA$13)))</f>
        <v>0</v>
      </c>
      <c r="DB48" s="354" t="n">
        <f aca="true">IF(OR($D48&lt;&gt;"Serviço",AND(AUTOEVENTO="Manual",$M48=$A$15),$M48&gt;(ROW(PLE.lastrow)-ROW(PLE.firstrow))),0,
           IF(OFFSET(PLE!$G$15,$M48-$A$15,DB$13)="",10^12,OFFSET(PLE!$G$15,$M48-$A$15,DB$13)))</f>
        <v>0</v>
      </c>
      <c r="DC48" s="354" t="n">
        <f aca="true">IF(OR($D48&lt;&gt;"Serviço",AND(AUTOEVENTO="Manual",$M48=$A$15),$M48&gt;(ROW(PLE.lastrow)-ROW(PLE.firstrow))),0,
           IF(OFFSET(PLE!$G$15,$M48-$A$15,DC$13)="",10^12,OFFSET(PLE!$G$15,$M48-$A$15,DC$13)))</f>
        <v>0</v>
      </c>
      <c r="DD48" s="354" t="n">
        <f aca="true">IF(OR($D48&lt;&gt;"Serviço",AND(AUTOEVENTO="Manual",$M48=$A$15),$M48&gt;(ROW(PLE.lastrow)-ROW(PLE.firstrow))),0,
           IF(OFFSET(PLE!$G$15,$M48-$A$15,DD$13)="",10^12,OFFSET(PLE!$G$15,$M48-$A$15,DD$13)))</f>
        <v>0</v>
      </c>
      <c r="DE48" s="354" t="n">
        <f aca="true">IF(OR($D48&lt;&gt;"Serviço",AND(AUTOEVENTO="Manual",$M48=$A$15),$M48&gt;(ROW(PLE.lastrow)-ROW(PLE.firstrow))),0,
           IF(OFFSET(PLE!$G$15,$M48-$A$15,DE$13)="",10^12,OFFSET(PLE!$G$15,$M48-$A$15,DE$13)))</f>
        <v>0</v>
      </c>
      <c r="DF48" s="354" t="n">
        <f aca="true">IF(OR($D48&lt;&gt;"Serviço",AND(AUTOEVENTO="Manual",$M48=$A$15),$M48&gt;(ROW(PLE.lastrow)-ROW(PLE.firstrow))),0,
           IF(OFFSET(PLE!$G$15,$M48-$A$15,DF$13)="",10^12,OFFSET(PLE!$G$15,$M48-$A$15,DF$13)))</f>
        <v>0</v>
      </c>
      <c r="DG48" s="354" t="n">
        <f aca="true">IF(OR($D48&lt;&gt;"Serviço",AND(AUTOEVENTO="Manual",$M48=$A$15),$M48&gt;(ROW(PLE.lastrow)-ROW(PLE.firstrow))),0,
           IF(OFFSET(PLE!$G$15,$M48-$A$15,DG$13)="",10^12,OFFSET(PLE!$G$15,$M48-$A$15,DG$13)))</f>
        <v>0</v>
      </c>
      <c r="DH48" s="354" t="n">
        <f aca="true">IF(OR($D48&lt;&gt;"Serviço",AND(AUTOEVENTO="Manual",$M48=$A$15),$M48&gt;(ROW(PLE.lastrow)-ROW(PLE.firstrow))),0,
           IF(OFFSET(PLE!$G$15,$M48-$A$15,DH$13)="",10^12,OFFSET(PLE!$G$15,$M48-$A$15,DH$13)))</f>
        <v>0</v>
      </c>
      <c r="DI48" s="354" t="n">
        <f aca="true">IF(OR($D48&lt;&gt;"Serviço",AND(AUTOEVENTO="Manual",$M48=$A$15),$M48&gt;(ROW(PLE.lastrow)-ROW(PLE.firstrow))),0,
           IF(OFFSET(PLE!$G$15,$M48-$A$15,DI$13)="",10^12,OFFSET(PLE!$G$15,$M48-$A$15,DI$13)))</f>
        <v>0</v>
      </c>
      <c r="DJ48" s="354" t="n">
        <f aca="true">IF(OR($D48&lt;&gt;"Serviço",AND(AUTOEVENTO="Manual",$M48=$A$15),$M48&gt;(ROW(PLE.lastrow)-ROW(PLE.firstrow))),0,
           IF(OFFSET(PLE!$G$15,$M48-$A$15,DJ$13)="",10^12,OFFSET(PLE!$G$15,$M48-$A$15,DJ$13)))</f>
        <v>0</v>
      </c>
      <c r="DK48" s="354" t="n">
        <f aca="true">IF(OR($D48&lt;&gt;"Serviço",AND(AUTOEVENTO="Manual",$M48=$A$15),$M48&gt;(ROW(PLE.lastrow)-ROW(PLE.firstrow))),0,
           IF(OFFSET(PLE!$G$15,$M48-$A$15,DK$13)="",10^12,OFFSET(PLE!$G$15,$M48-$A$15,DK$13)))</f>
        <v>0</v>
      </c>
      <c r="DL48" s="354" t="n">
        <f aca="true">IF(OR($D48&lt;&gt;"Serviço",AND(AUTOEVENTO="Manual",$M48=$A$15),$M48&gt;(ROW(PLE.lastrow)-ROW(PLE.firstrow))),0,
           IF(OFFSET(PLE!$G$15,$M48-$A$15,DL$13)="",10^12,OFFSET(PLE!$G$15,$M48-$A$15,DL$13)))</f>
        <v>0</v>
      </c>
      <c r="DM48" s="354" t="n">
        <f aca="true">IF(OR($D48&lt;&gt;"Serviço",AND(AUTOEVENTO="Manual",$M48=$A$15),$M48&gt;(ROW(PLE.lastrow)-ROW(PLE.firstrow))),0,
           IF(OFFSET(PLE!$G$15,$M48-$A$15,DM$13)="",10^12,OFFSET(PLE!$G$15,$M48-$A$15,DM$13)))</f>
        <v>0</v>
      </c>
      <c r="DN48" s="354" t="n">
        <f aca="true">IF(OR($D48&lt;&gt;"Serviço",AND(AUTOEVENTO="Manual",$M48=$A$15),$M48&gt;(ROW(PLE.lastrow)-ROW(PLE.firstrow))),0,
           IF(OFFSET(PLE!$G$15,$M48-$A$15,DN$13)="",10^12,OFFSET(PLE!$G$15,$M48-$A$15,DN$13)))</f>
        <v>0</v>
      </c>
      <c r="DO48" s="354" t="n">
        <f aca="true">IF(OR($D48&lt;&gt;"Serviço",AND(AUTOEVENTO="Manual",$M48=$A$15),$M48&gt;(ROW(PLE.lastrow)-ROW(PLE.firstrow))),0,
           IF(OFFSET(PLE!$G$15,$M48-$A$15,DO$13)="",10^12,OFFSET(PLE!$G$15,$M48-$A$15,DO$13)))</f>
        <v>0</v>
      </c>
      <c r="DP48" s="354" t="n">
        <f aca="true">IF(OR($D48&lt;&gt;"Serviço",AND(AUTOEVENTO="Manual",$M48=$A$15),$M48&gt;(ROW(PLE.lastrow)-ROW(PLE.firstrow))),0,
           IF(OFFSET(PLE!$G$15,$M48-$A$15,DP$13)="",10^12,OFFSET(PLE!$G$15,$M48-$A$15,DP$13)))</f>
        <v>0</v>
      </c>
      <c r="DQ48" s="354" t="n">
        <f aca="true">IF(OR($D48&lt;&gt;"Serviço",AND(AUTOEVENTO="Manual",$M48=$A$15),$M48&gt;(ROW(PLE.lastrow)-ROW(PLE.firstrow))),0,
           IF(OFFSET(PLE!$G$15,$M48-$A$15,DQ$13)="",10^12,OFFSET(PLE!$G$15,$M48-$A$15,DQ$13)))</f>
        <v>0</v>
      </c>
      <c r="DR48" s="354" t="n">
        <f aca="true">IF(OR($D48&lt;&gt;"Serviço",AND(AUTOEVENTO="Manual",$M48=$A$15),$M48&gt;(ROW(PLE.lastrow)-ROW(PLE.firstrow))),0,
           IF(OFFSET(PLE!$G$15,$M48-$A$15,DR$13)="",10^12,OFFSET(PLE!$G$15,$M48-$A$15,DR$13)))</f>
        <v>0</v>
      </c>
      <c r="DS48" s="354" t="n">
        <f aca="true">IF(OR($D48&lt;&gt;"Serviço",AND(AUTOEVENTO="Manual",$M48=$A$15),$M48&gt;(ROW(PLE.lastrow)-ROW(PLE.firstrow))),0,
           IF(OFFSET(PLE!$G$15,$M48-$A$15,DS$13)="",10^12,OFFSET(PLE!$G$15,$M48-$A$15,DS$13)))</f>
        <v>0</v>
      </c>
    </row>
    <row r="49" customFormat="false" ht="12.75" hidden="false" customHeight="false" outlineLevel="0" collapsed="false">
      <c r="A49" s="50" t="str">
        <f aca="true">IFERROR(IF(AUTOEVENTO="Manual",IF(K49&lt;&gt;"",MIN(VALUE(LEFT(K49,FIND(".",K49)-1)),COUNTA(EVENTOS.Lista)),0),IF(OR($B49&gt;AUTOEVENTO,$B49="S",$B49=0),SUBSTITUTE(OFFSET($A49,-1,0),IF($D49="Serviço",".",""),""),ROW(A49)-ROW($A$15)&amp;".")),0)</f>
        <v>34.</v>
      </c>
      <c r="B49" s="50" t="n">
        <f aca="true">OFFSET(ORÇAMENTO!C$15,ROW(B49)-ROW(B$15),0)</f>
        <v>2</v>
      </c>
      <c r="C49" s="50" t="str">
        <f aca="true">OFFSET(ORÇAMENTO!L$15,ROW(C49)-ROW(C$15),0)</f>
        <v>F</v>
      </c>
      <c r="D49" s="201" t="str">
        <f aca="true">OFFSET(ORÇAMENTO!N$15,ROW(D49)-ROW(D$15),0)</f>
        <v>Nível 2</v>
      </c>
      <c r="E49" s="202" t="str">
        <f aca="true">OFFSET(ORÇAMENTO!O$15,ROW(E49)-ROW(E$15),0)</f>
        <v>1.9.</v>
      </c>
      <c r="F49" s="341" t="str">
        <f aca="true">OFFSET(ORÇAMENTO!R$15,ROW(F49)-ROW(F$15),0)</f>
        <v>PILARES, VIGAS E LAJES</v>
      </c>
      <c r="G49" s="342" t="str">
        <f aca="true">IF($D49&lt;&gt;"Serviço","",OFFSET(ORÇAMENTO!S$15,ROW(G49)-ROW(G$15),0))</f>
        <v/>
      </c>
      <c r="H49" s="207" t="n">
        <f aca="true">IF($D49&lt;&gt;"Serviço",0,IF(ACOMPANHAMENTO="BM",ROUND(OFFSET(ORÇAMENTO!AJ$15,ROW(H49)-ROW(H$15),0),15-13*ORÇAMENTO!$AF$7),SUMPRODUCT(($Q$1:$AQ$1=1)*ROUND($Q49:$AQ49,15-13*ORÇAMENTO!$AF$7))))</f>
        <v>0</v>
      </c>
      <c r="I49" s="343"/>
      <c r="J49" s="344" t="str">
        <f aca="false">IF(OR(B49&lt;&gt;"S",CÁLCULO.FrentesPreenchidas=0),"",IF(AND(ACOMPANHAMENTO="PLE",AUTOEVENTO="Manual",OR(H49&gt;0,ORÇAMENTO!AC49="QUANT."),OR(K49="",M49=0,N49="")),"►",IF(AND(ACOMPANHAMENTO="PLE",ORÇAMENTO!AC49="QUANT."),"►►",IF(AND(COUNTIF($P$11:$AQ$11,"▼")=0,H49&gt;0,I49=""),"◄",""))))</f>
        <v/>
      </c>
      <c r="K49" s="345"/>
      <c r="L49" s="346" t="s">
        <v>876</v>
      </c>
      <c r="M49" s="347" t="str">
        <f aca="true">IF($D49&lt;&gt;"Serviço","",
          IF(AUTOEVENTO="manual",$A49,
                IF(ISERROR(MATCH($A49,$A$15:OFFSET($A49,-1,0),0)),MAX($M$15:OFFSET(M49,-1,0))+1,
                      INDEX($M$15:OFFSET(M49,-1,0),MATCH($A49,$A$15:OFFSET($A49,-1,0),0)))))</f>
        <v/>
      </c>
      <c r="N49" s="348" t="str">
        <f aca="true">IF($D49&lt;&gt;"Serviço","",
         IF(AUTOEVENTO="Manual",
                IF($A49=0,"&lt;-- defina o número do agrupador",
                       OFFSET(EVENTOS!$D$15,$A49-$A$15,0)),
                OFFSET($F$15,$A49,0)))</f>
        <v/>
      </c>
      <c r="O49" s="349"/>
      <c r="Q49" s="349"/>
      <c r="R49" s="350"/>
      <c r="S49" s="350"/>
      <c r="T49" s="350"/>
      <c r="U49" s="350"/>
      <c r="V49" s="350"/>
      <c r="W49" s="350"/>
      <c r="X49" s="350"/>
      <c r="Y49" s="350"/>
      <c r="Z49" s="351"/>
      <c r="AA49" s="350"/>
      <c r="AB49" s="350"/>
      <c r="AC49" s="350"/>
      <c r="AD49" s="350"/>
      <c r="AE49" s="350"/>
      <c r="AF49" s="350"/>
      <c r="AG49" s="350"/>
      <c r="AH49" s="351"/>
      <c r="AI49" s="350"/>
      <c r="AJ49" s="350"/>
      <c r="AK49" s="350"/>
      <c r="AL49" s="350"/>
      <c r="AM49" s="350"/>
      <c r="AN49" s="350"/>
      <c r="AO49" s="350"/>
      <c r="AP49" s="351"/>
      <c r="AR49" s="352" t="n">
        <f aca="true">IF(AND($D49="Serviço",AR$12&lt;&gt;0,$H49&gt;0,OR(AUTOEVENTO&lt;&gt;"manual",$M49&lt;&gt;$A$15)),
        IF(Import.TipoArredondamento&lt;&gt;"TransfereGOV",
              ROUND(OFFSET($P49,0,AR$13),15-13*ORÇAMENTO!$AF$7)/$H49*OFFSET(ORÇAMENTO!$X$15,ROW(AR49)-ROW(AR$15),0),
              ROUND(ROUND(OFFSET($P49,0,AR$13),15-13*ORÇAMENTO!$AF$7)*OFFSET(ORÇAMENTO!$W$15,ROW(AR49)-ROW(AR$15),0),15-13*ORÇAMENTO!$AF$11)),
         0)</f>
        <v>0</v>
      </c>
      <c r="AS49" s="352" t="n">
        <f aca="true">IF(AND($D49="Serviço",AS$12&lt;&gt;0,$H49&gt;0,OR(AUTOEVENTO&lt;&gt;"manual",$M49&lt;&gt;$A$15)),
        IF(Import.TipoArredondamento&lt;&gt;"TransfereGOV",
              ROUND(OFFSET($P49,0,AS$13),15-13*ORÇAMENTO!$AF$7)/$H49*OFFSET(ORÇAMENTO!$X$15,ROW(AS49)-ROW(AS$15),0),
              ROUND(ROUND(OFFSET($P49,0,AS$13),15-13*ORÇAMENTO!$AF$7)*OFFSET(ORÇAMENTO!$W$15,ROW(AS49)-ROW(AS$15),0),15-13*ORÇAMENTO!$AF$11)),
         0)</f>
        <v>0</v>
      </c>
      <c r="AT49" s="352" t="n">
        <f aca="true">IF(AND($D49="Serviço",AT$12&lt;&gt;0,$H49&gt;0,OR(AUTOEVENTO&lt;&gt;"manual",$M49&lt;&gt;$A$15)),
        IF(Import.TipoArredondamento&lt;&gt;"TransfereGOV",
              ROUND(OFFSET($P49,0,AT$13),15-13*ORÇAMENTO!$AF$7)/$H49*OFFSET(ORÇAMENTO!$X$15,ROW(AT49)-ROW(AT$15),0),
              ROUND(ROUND(OFFSET($P49,0,AT$13),15-13*ORÇAMENTO!$AF$7)*OFFSET(ORÇAMENTO!$W$15,ROW(AT49)-ROW(AT$15),0),15-13*ORÇAMENTO!$AF$11)),
         0)</f>
        <v>0</v>
      </c>
      <c r="AU49" s="352" t="n">
        <f aca="true">IF(AND($D49="Serviço",AU$12&lt;&gt;0,$H49&gt;0,OR(AUTOEVENTO&lt;&gt;"manual",$M49&lt;&gt;$A$15)),
        IF(Import.TipoArredondamento&lt;&gt;"TransfereGOV",
              ROUND(OFFSET($P49,0,AU$13),15-13*ORÇAMENTO!$AF$7)/$H49*OFFSET(ORÇAMENTO!$X$15,ROW(AU49)-ROW(AU$15),0),
              ROUND(ROUND(OFFSET($P49,0,AU$13),15-13*ORÇAMENTO!$AF$7)*OFFSET(ORÇAMENTO!$W$15,ROW(AU49)-ROW(AU$15),0),15-13*ORÇAMENTO!$AF$11)),
         0)</f>
        <v>0</v>
      </c>
      <c r="AV49" s="352" t="n">
        <f aca="true">IF(AND($D49="Serviço",AV$12&lt;&gt;0,$H49&gt;0,OR(AUTOEVENTO&lt;&gt;"manual",$M49&lt;&gt;$A$15)),
        IF(Import.TipoArredondamento&lt;&gt;"TransfereGOV",
              ROUND(OFFSET($P49,0,AV$13),15-13*ORÇAMENTO!$AF$7)/$H49*OFFSET(ORÇAMENTO!$X$15,ROW(AV49)-ROW(AV$15),0),
              ROUND(ROUND(OFFSET($P49,0,AV$13),15-13*ORÇAMENTO!$AF$7)*OFFSET(ORÇAMENTO!$W$15,ROW(AV49)-ROW(AV$15),0),15-13*ORÇAMENTO!$AF$11)),
         0)</f>
        <v>0</v>
      </c>
      <c r="AW49" s="352" t="n">
        <f aca="true">IF(AND($D49="Serviço",AW$12&lt;&gt;0,$H49&gt;0,OR(AUTOEVENTO&lt;&gt;"manual",$M49&lt;&gt;$A$15)),
        IF(Import.TipoArredondamento&lt;&gt;"TransfereGOV",
              ROUND(OFFSET($P49,0,AW$13),15-13*ORÇAMENTO!$AF$7)/$H49*OFFSET(ORÇAMENTO!$X$15,ROW(AW49)-ROW(AW$15),0),
              ROUND(ROUND(OFFSET($P49,0,AW$13),15-13*ORÇAMENTO!$AF$7)*OFFSET(ORÇAMENTO!$W$15,ROW(AW49)-ROW(AW$15),0),15-13*ORÇAMENTO!$AF$11)),
         0)</f>
        <v>0</v>
      </c>
      <c r="AX49" s="352" t="n">
        <f aca="true">IF(AND($D49="Serviço",AX$12&lt;&gt;0,$H49&gt;0,OR(AUTOEVENTO&lt;&gt;"manual",$M49&lt;&gt;$A$15)),
        IF(Import.TipoArredondamento&lt;&gt;"TransfereGOV",
              ROUND(OFFSET($P49,0,AX$13),15-13*ORÇAMENTO!$AF$7)/$H49*OFFSET(ORÇAMENTO!$X$15,ROW(AX49)-ROW(AX$15),0),
              ROUND(ROUND(OFFSET($P49,0,AX$13),15-13*ORÇAMENTO!$AF$7)*OFFSET(ORÇAMENTO!$W$15,ROW(AX49)-ROW(AX$15),0),15-13*ORÇAMENTO!$AF$11)),
         0)</f>
        <v>0</v>
      </c>
      <c r="AY49" s="352" t="n">
        <f aca="true">IF(AND($D49="Serviço",AY$12&lt;&gt;0,$H49&gt;0,OR(AUTOEVENTO&lt;&gt;"manual",$M49&lt;&gt;$A$15)),
        IF(Import.TipoArredondamento&lt;&gt;"TransfereGOV",
              ROUND(OFFSET($P49,0,AY$13),15-13*ORÇAMENTO!$AF$7)/$H49*OFFSET(ORÇAMENTO!$X$15,ROW(AY49)-ROW(AY$15),0),
              ROUND(ROUND(OFFSET($P49,0,AY$13),15-13*ORÇAMENTO!$AF$7)*OFFSET(ORÇAMENTO!$W$15,ROW(AY49)-ROW(AY$15),0),15-13*ORÇAMENTO!$AF$11)),
         0)</f>
        <v>0</v>
      </c>
      <c r="AZ49" s="352" t="n">
        <f aca="true">IF(AND($D49="Serviço",AZ$12&lt;&gt;0,$H49&gt;0,OR(AUTOEVENTO&lt;&gt;"manual",$M49&lt;&gt;$A$15)),
        IF(Import.TipoArredondamento&lt;&gt;"TransfereGOV",
              ROUND(OFFSET($P49,0,AZ$13),15-13*ORÇAMENTO!$AF$7)/$H49*OFFSET(ORÇAMENTO!$X$15,ROW(AZ49)-ROW(AZ$15),0),
              ROUND(ROUND(OFFSET($P49,0,AZ$13),15-13*ORÇAMENTO!$AF$7)*OFFSET(ORÇAMENTO!$W$15,ROW(AZ49)-ROW(AZ$15),0),15-13*ORÇAMENTO!$AF$11)),
         0)</f>
        <v>0</v>
      </c>
      <c r="BA49" s="352" t="n">
        <f aca="true">IF(AND($D49="Serviço",BA$12&lt;&gt;0,$H49&gt;0,OR(AUTOEVENTO&lt;&gt;"manual",$M49&lt;&gt;$A$15)),
        IF(Import.TipoArredondamento&lt;&gt;"TransfereGOV",
              ROUND(OFFSET($P49,0,BA$13),15-13*ORÇAMENTO!$AF$7)/$H49*OFFSET(ORÇAMENTO!$X$15,ROW(BA49)-ROW(BA$15),0),
              ROUND(ROUND(OFFSET($P49,0,BA$13),15-13*ORÇAMENTO!$AF$7)*OFFSET(ORÇAMENTO!$W$15,ROW(BA49)-ROW(BA$15),0),15-13*ORÇAMENTO!$AF$11)),
         0)</f>
        <v>0</v>
      </c>
      <c r="BB49" s="352" t="n">
        <f aca="true">IF(AND($D49="Serviço",BB$12&lt;&gt;0,$H49&gt;0,OR(AUTOEVENTO&lt;&gt;"manual",$M49&lt;&gt;$A$15)),
        IF(Import.TipoArredondamento&lt;&gt;"TransfereGOV",
              ROUND(OFFSET($P49,0,BB$13),15-13*ORÇAMENTO!$AF$7)/$H49*OFFSET(ORÇAMENTO!$X$15,ROW(BB49)-ROW(BB$15),0),
              ROUND(ROUND(OFFSET($P49,0,BB$13),15-13*ORÇAMENTO!$AF$7)*OFFSET(ORÇAMENTO!$W$15,ROW(BB49)-ROW(BB$15),0),15-13*ORÇAMENTO!$AF$11)),
         0)</f>
        <v>0</v>
      </c>
      <c r="BC49" s="352" t="n">
        <f aca="true">IF(AND($D49="Serviço",BC$12&lt;&gt;0,$H49&gt;0,OR(AUTOEVENTO&lt;&gt;"manual",$M49&lt;&gt;$A$15)),
        IF(Import.TipoArredondamento&lt;&gt;"TransfereGOV",
              ROUND(OFFSET($P49,0,BC$13),15-13*ORÇAMENTO!$AF$7)/$H49*OFFSET(ORÇAMENTO!$X$15,ROW(BC49)-ROW(BC$15),0),
              ROUND(ROUND(OFFSET($P49,0,BC$13),15-13*ORÇAMENTO!$AF$7)*OFFSET(ORÇAMENTO!$W$15,ROW(BC49)-ROW(BC$15),0),15-13*ORÇAMENTO!$AF$11)),
         0)</f>
        <v>0</v>
      </c>
      <c r="BD49" s="352" t="n">
        <f aca="true">IF(AND($D49="Serviço",BD$12&lt;&gt;0,$H49&gt;0,OR(AUTOEVENTO&lt;&gt;"manual",$M49&lt;&gt;$A$15)),
        IF(Import.TipoArredondamento&lt;&gt;"TransfereGOV",
              ROUND(OFFSET($P49,0,BD$13),15-13*ORÇAMENTO!$AF$7)/$H49*OFFSET(ORÇAMENTO!$X$15,ROW(BD49)-ROW(BD$15),0),
              ROUND(ROUND(OFFSET($P49,0,BD$13),15-13*ORÇAMENTO!$AF$7)*OFFSET(ORÇAMENTO!$W$15,ROW(BD49)-ROW(BD$15),0),15-13*ORÇAMENTO!$AF$11)),
         0)</f>
        <v>0</v>
      </c>
      <c r="BE49" s="352" t="n">
        <f aca="true">IF(AND($D49="Serviço",BE$12&lt;&gt;0,$H49&gt;0,OR(AUTOEVENTO&lt;&gt;"manual",$M49&lt;&gt;$A$15)),
        IF(Import.TipoArredondamento&lt;&gt;"TransfereGOV",
              ROUND(OFFSET($P49,0,BE$13),15-13*ORÇAMENTO!$AF$7)/$H49*OFFSET(ORÇAMENTO!$X$15,ROW(BE49)-ROW(BE$15),0),
              ROUND(ROUND(OFFSET($P49,0,BE$13),15-13*ORÇAMENTO!$AF$7)*OFFSET(ORÇAMENTO!$W$15,ROW(BE49)-ROW(BE$15),0),15-13*ORÇAMENTO!$AF$11)),
         0)</f>
        <v>0</v>
      </c>
      <c r="BF49" s="352" t="n">
        <f aca="true">IF(AND($D49="Serviço",BF$12&lt;&gt;0,$H49&gt;0,OR(AUTOEVENTO&lt;&gt;"manual",$M49&lt;&gt;$A$15)),
        IF(Import.TipoArredondamento&lt;&gt;"TransfereGOV",
              ROUND(OFFSET($P49,0,BF$13),15-13*ORÇAMENTO!$AF$7)/$H49*OFFSET(ORÇAMENTO!$X$15,ROW(BF49)-ROW(BF$15),0),
              ROUND(ROUND(OFFSET($P49,0,BF$13),15-13*ORÇAMENTO!$AF$7)*OFFSET(ORÇAMENTO!$W$15,ROW(BF49)-ROW(BF$15),0),15-13*ORÇAMENTO!$AF$11)),
         0)</f>
        <v>0</v>
      </c>
      <c r="BG49" s="352" t="n">
        <f aca="true">IF(AND($D49="Serviço",BG$12&lt;&gt;0,$H49&gt;0,OR(AUTOEVENTO&lt;&gt;"manual",$M49&lt;&gt;$A$15)),
        IF(Import.TipoArredondamento&lt;&gt;"TransfereGOV",
              ROUND(OFFSET($P49,0,BG$13),15-13*ORÇAMENTO!$AF$7)/$H49*OFFSET(ORÇAMENTO!$X$15,ROW(BG49)-ROW(BG$15),0),
              ROUND(ROUND(OFFSET($P49,0,BG$13),15-13*ORÇAMENTO!$AF$7)*OFFSET(ORÇAMENTO!$W$15,ROW(BG49)-ROW(BG$15),0),15-13*ORÇAMENTO!$AF$11)),
         0)</f>
        <v>0</v>
      </c>
      <c r="BH49" s="352" t="n">
        <f aca="true">IF(AND($D49="Serviço",BH$12&lt;&gt;0,$H49&gt;0,OR(AUTOEVENTO&lt;&gt;"manual",$M49&lt;&gt;$A$15)),
        IF(Import.TipoArredondamento&lt;&gt;"TransfereGOV",
              ROUND(OFFSET($P49,0,BH$13),15-13*ORÇAMENTO!$AF$7)/$H49*OFFSET(ORÇAMENTO!$X$15,ROW(BH49)-ROW(BH$15),0),
              ROUND(ROUND(OFFSET($P49,0,BH$13),15-13*ORÇAMENTO!$AF$7)*OFFSET(ORÇAMENTO!$W$15,ROW(BH49)-ROW(BH$15),0),15-13*ORÇAMENTO!$AF$11)),
         0)</f>
        <v>0</v>
      </c>
      <c r="BI49" s="352" t="n">
        <f aca="true">IF(AND($D49="Serviço",BI$12&lt;&gt;0,$H49&gt;0,OR(AUTOEVENTO&lt;&gt;"manual",$M49&lt;&gt;$A$15)),
        IF(Import.TipoArredondamento&lt;&gt;"TransfereGOV",
              ROUND(OFFSET($P49,0,BI$13),15-13*ORÇAMENTO!$AF$7)/$H49*OFFSET(ORÇAMENTO!$X$15,ROW(BI49)-ROW(BI$15),0),
              ROUND(ROUND(OFFSET($P49,0,BI$13),15-13*ORÇAMENTO!$AF$7)*OFFSET(ORÇAMENTO!$W$15,ROW(BI49)-ROW(BI$15),0),15-13*ORÇAMENTO!$AF$11)),
         0)</f>
        <v>0</v>
      </c>
      <c r="BJ49" s="352" t="n">
        <f aca="true">IF(AND($D49="Serviço",BJ$12&lt;&gt;0,$H49&gt;0,OR(AUTOEVENTO&lt;&gt;"manual",$M49&lt;&gt;$A$15)),
        IF(Import.TipoArredondamento&lt;&gt;"TransfereGOV",
              ROUND(OFFSET($P49,0,BJ$13),15-13*ORÇAMENTO!$AF$7)/$H49*OFFSET(ORÇAMENTO!$X$15,ROW(BJ49)-ROW(BJ$15),0),
              ROUND(ROUND(OFFSET($P49,0,BJ$13),15-13*ORÇAMENTO!$AF$7)*OFFSET(ORÇAMENTO!$W$15,ROW(BJ49)-ROW(BJ$15),0),15-13*ORÇAMENTO!$AF$11)),
         0)</f>
        <v>0</v>
      </c>
      <c r="BK49" s="352" t="n">
        <f aca="true">IF(AND($D49="Serviço",BK$12&lt;&gt;0,$H49&gt;0,OR(AUTOEVENTO&lt;&gt;"manual",$M49&lt;&gt;$A$15)),
        IF(Import.TipoArredondamento&lt;&gt;"TransfereGOV",
              ROUND(OFFSET($P49,0,BK$13),15-13*ORÇAMENTO!$AF$7)/$H49*OFFSET(ORÇAMENTO!$X$15,ROW(BK49)-ROW(BK$15),0),
              ROUND(ROUND(OFFSET($P49,0,BK$13),15-13*ORÇAMENTO!$AF$7)*OFFSET(ORÇAMENTO!$W$15,ROW(BK49)-ROW(BK$15),0),15-13*ORÇAMENTO!$AF$11)),
         0)</f>
        <v>0</v>
      </c>
      <c r="BL49" s="352" t="n">
        <f aca="true">IF(AND($D49="Serviço",BL$12&lt;&gt;0,$H49&gt;0,OR(AUTOEVENTO&lt;&gt;"manual",$M49&lt;&gt;$A$15)),
        IF(Import.TipoArredondamento&lt;&gt;"TransfereGOV",
              ROUND(OFFSET($P49,0,BL$13),15-13*ORÇAMENTO!$AF$7)/$H49*OFFSET(ORÇAMENTO!$X$15,ROW(BL49)-ROW(BL$15),0),
              ROUND(ROUND(OFFSET($P49,0,BL$13),15-13*ORÇAMENTO!$AF$7)*OFFSET(ORÇAMENTO!$W$15,ROW(BL49)-ROW(BL$15),0),15-13*ORÇAMENTO!$AF$11)),
         0)</f>
        <v>0</v>
      </c>
      <c r="BM49" s="352" t="n">
        <f aca="true">IF(AND($D49="Serviço",BM$12&lt;&gt;0,$H49&gt;0,OR(AUTOEVENTO&lt;&gt;"manual",$M49&lt;&gt;$A$15)),
        IF(Import.TipoArredondamento&lt;&gt;"TransfereGOV",
              ROUND(OFFSET($P49,0,BM$13),15-13*ORÇAMENTO!$AF$7)/$H49*OFFSET(ORÇAMENTO!$X$15,ROW(BM49)-ROW(BM$15),0),
              ROUND(ROUND(OFFSET($P49,0,BM$13),15-13*ORÇAMENTO!$AF$7)*OFFSET(ORÇAMENTO!$W$15,ROW(BM49)-ROW(BM$15),0),15-13*ORÇAMENTO!$AF$11)),
         0)</f>
        <v>0</v>
      </c>
      <c r="BN49" s="352" t="n">
        <f aca="true">IF(AND($D49="Serviço",BN$12&lt;&gt;0,$H49&gt;0,OR(AUTOEVENTO&lt;&gt;"manual",$M49&lt;&gt;$A$15)),
        IF(Import.TipoArredondamento&lt;&gt;"TransfereGOV",
              ROUND(OFFSET($P49,0,BN$13),15-13*ORÇAMENTO!$AF$7)/$H49*OFFSET(ORÇAMENTO!$X$15,ROW(BN49)-ROW(BN$15),0),
              ROUND(ROUND(OFFSET($P49,0,BN$13),15-13*ORÇAMENTO!$AF$7)*OFFSET(ORÇAMENTO!$W$15,ROW(BN49)-ROW(BN$15),0),15-13*ORÇAMENTO!$AF$11)),
         0)</f>
        <v>0</v>
      </c>
      <c r="BO49" s="352" t="n">
        <f aca="true">IF(AND($D49="Serviço",BO$12&lt;&gt;0,$H49&gt;0,OR(AUTOEVENTO&lt;&gt;"manual",$M49&lt;&gt;$A$15)),
        IF(Import.TipoArredondamento&lt;&gt;"TransfereGOV",
              ROUND(OFFSET($P49,0,BO$13),15-13*ORÇAMENTO!$AF$7)/$H49*OFFSET(ORÇAMENTO!$X$15,ROW(BO49)-ROW(BO$15),0),
              ROUND(ROUND(OFFSET($P49,0,BO$13),15-13*ORÇAMENTO!$AF$7)*OFFSET(ORÇAMENTO!$W$15,ROW(BO49)-ROW(BO$15),0),15-13*ORÇAMENTO!$AF$11)),
         0)</f>
        <v>0</v>
      </c>
      <c r="BP49" s="352" t="n">
        <f aca="true">IF(AND($D49="Serviço",BP$12&lt;&gt;0,$H49&gt;0,OR(AUTOEVENTO&lt;&gt;"manual",$M49&lt;&gt;$A$15)),
        IF(Import.TipoArredondamento&lt;&gt;"TransfereGOV",
              ROUND(OFFSET($P49,0,BP$13),15-13*ORÇAMENTO!$AF$7)/$H49*OFFSET(ORÇAMENTO!$X$15,ROW(BP49)-ROW(BP$15),0),
              ROUND(ROUND(OFFSET($P49,0,BP$13),15-13*ORÇAMENTO!$AF$7)*OFFSET(ORÇAMENTO!$W$15,ROW(BP49)-ROW(BP$15),0),15-13*ORÇAMENTO!$AF$11)),
         0)</f>
        <v>0</v>
      </c>
      <c r="BQ49" s="352" t="n">
        <f aca="true">IF(AND($D49="Serviço",BQ$12&lt;&gt;0,$H49&gt;0,OR(AUTOEVENTO&lt;&gt;"manual",$M49&lt;&gt;$A$15)),
        IF(Import.TipoArredondamento&lt;&gt;"TransfereGOV",
              ROUND(OFFSET($P49,0,BQ$13),15-13*ORÇAMENTO!$AF$7)/$H49*OFFSET(ORÇAMENTO!$X$15,ROW(BQ49)-ROW(BQ$15),0),
              ROUND(ROUND(OFFSET($P49,0,BQ$13),15-13*ORÇAMENTO!$AF$7)*OFFSET(ORÇAMENTO!$W$15,ROW(BQ49)-ROW(BQ$15),0),15-13*ORÇAMENTO!$AF$11)),
         0)</f>
        <v>0</v>
      </c>
      <c r="BS49" s="353" t="n">
        <f aca="true">IF(OR($D49&lt;&gt;"Serviço",AND(AUTOEVENTO="Manual",$M49=$A$15)),0,
         IF(OFFSET(CRONOPLE!$F$15,$M49-$A$15,BS$13)=0,10^12,OFFSET(CRONOPLE!$F$15,$M49-$A$15,BS$13)))</f>
        <v>0</v>
      </c>
      <c r="BT49" s="353" t="n">
        <f aca="true">IF(OR($D49&lt;&gt;"Serviço",AND(AUTOEVENTO="Manual",$M49=$A$15)),0,
         IF(OFFSET(CRONOPLE!$F$15,$M49-$A$15,BT$13)=0,10^12,OFFSET(CRONOPLE!$F$15,$M49-$A$15,BT$13)))</f>
        <v>0</v>
      </c>
      <c r="BU49" s="353" t="n">
        <f aca="true">IF(OR($D49&lt;&gt;"Serviço",AND(AUTOEVENTO="Manual",$M49=$A$15)),0,
         IF(OFFSET(CRONOPLE!$F$15,$M49-$A$15,BU$13)=0,10^12,OFFSET(CRONOPLE!$F$15,$M49-$A$15,BU$13)))</f>
        <v>0</v>
      </c>
      <c r="BV49" s="353" t="n">
        <f aca="true">IF(OR($D49&lt;&gt;"Serviço",AND(AUTOEVENTO="Manual",$M49=$A$15)),0,
         IF(OFFSET(CRONOPLE!$F$15,$M49-$A$15,BV$13)=0,10^12,OFFSET(CRONOPLE!$F$15,$M49-$A$15,BV$13)))</f>
        <v>0</v>
      </c>
      <c r="BW49" s="353" t="n">
        <f aca="true">IF(OR($D49&lt;&gt;"Serviço",AND(AUTOEVENTO="Manual",$M49=$A$15)),0,
         IF(OFFSET(CRONOPLE!$F$15,$M49-$A$15,BW$13)=0,10^12,OFFSET(CRONOPLE!$F$15,$M49-$A$15,BW$13)))</f>
        <v>0</v>
      </c>
      <c r="BX49" s="353" t="n">
        <f aca="true">IF(OR($D49&lt;&gt;"Serviço",AND(AUTOEVENTO="Manual",$M49=$A$15)),0,
         IF(OFFSET(CRONOPLE!$F$15,$M49-$A$15,BX$13)=0,10^12,OFFSET(CRONOPLE!$F$15,$M49-$A$15,BX$13)))</f>
        <v>0</v>
      </c>
      <c r="BY49" s="353" t="n">
        <f aca="true">IF(OR($D49&lt;&gt;"Serviço",AND(AUTOEVENTO="Manual",$M49=$A$15)),0,
         IF(OFFSET(CRONOPLE!$F$15,$M49-$A$15,BY$13)=0,10^12,OFFSET(CRONOPLE!$F$15,$M49-$A$15,BY$13)))</f>
        <v>0</v>
      </c>
      <c r="BZ49" s="353" t="n">
        <f aca="true">IF(OR($D49&lt;&gt;"Serviço",AND(AUTOEVENTO="Manual",$M49=$A$15)),0,
         IF(OFFSET(CRONOPLE!$F$15,$M49-$A$15,BZ$13)=0,10^12,OFFSET(CRONOPLE!$F$15,$M49-$A$15,BZ$13)))</f>
        <v>0</v>
      </c>
      <c r="CA49" s="353" t="n">
        <f aca="true">IF(OR($D49&lt;&gt;"Serviço",AND(AUTOEVENTO="Manual",$M49=$A$15)),0,
         IF(OFFSET(CRONOPLE!$F$15,$M49-$A$15,CA$13)=0,10^12,OFFSET(CRONOPLE!$F$15,$M49-$A$15,CA$13)))</f>
        <v>0</v>
      </c>
      <c r="CB49" s="353" t="n">
        <f aca="true">IF(OR($D49&lt;&gt;"Serviço",AND(AUTOEVENTO="Manual",$M49=$A$15)),0,
         IF(OFFSET(CRONOPLE!$F$15,$M49-$A$15,CB$13)=0,10^12,OFFSET(CRONOPLE!$F$15,$M49-$A$15,CB$13)))</f>
        <v>0</v>
      </c>
      <c r="CC49" s="353" t="n">
        <f aca="true">IF(OR($D49&lt;&gt;"Serviço",AND(AUTOEVENTO="Manual",$M49=$A$15)),0,
         IF(OFFSET(CRONOPLE!$F$15,$M49-$A$15,CC$13)=0,10^12,OFFSET(CRONOPLE!$F$15,$M49-$A$15,CC$13)))</f>
        <v>0</v>
      </c>
      <c r="CD49" s="353" t="n">
        <f aca="true">IF(OR($D49&lt;&gt;"Serviço",AND(AUTOEVENTO="Manual",$M49=$A$15)),0,
         IF(OFFSET(CRONOPLE!$F$15,$M49-$A$15,CD$13)=0,10^12,OFFSET(CRONOPLE!$F$15,$M49-$A$15,CD$13)))</f>
        <v>0</v>
      </c>
      <c r="CE49" s="353" t="n">
        <f aca="true">IF(OR($D49&lt;&gt;"Serviço",AND(AUTOEVENTO="Manual",$M49=$A$15)),0,
         IF(OFFSET(CRONOPLE!$F$15,$M49-$A$15,CE$13)=0,10^12,OFFSET(CRONOPLE!$F$15,$M49-$A$15,CE$13)))</f>
        <v>0</v>
      </c>
      <c r="CF49" s="353" t="n">
        <f aca="true">IF(OR($D49&lt;&gt;"Serviço",AND(AUTOEVENTO="Manual",$M49=$A$15)),0,
         IF(OFFSET(CRONOPLE!$F$15,$M49-$A$15,CF$13)=0,10^12,OFFSET(CRONOPLE!$F$15,$M49-$A$15,CF$13)))</f>
        <v>0</v>
      </c>
      <c r="CG49" s="353" t="n">
        <f aca="true">IF(OR($D49&lt;&gt;"Serviço",AND(AUTOEVENTO="Manual",$M49=$A$15)),0,
         IF(OFFSET(CRONOPLE!$F$15,$M49-$A$15,CG$13)=0,10^12,OFFSET(CRONOPLE!$F$15,$M49-$A$15,CG$13)))</f>
        <v>0</v>
      </c>
      <c r="CH49" s="353" t="n">
        <f aca="true">IF(OR($D49&lt;&gt;"Serviço",AND(AUTOEVENTO="Manual",$M49=$A$15)),0,
         IF(OFFSET(CRONOPLE!$F$15,$M49-$A$15,CH$13)=0,10^12,OFFSET(CRONOPLE!$F$15,$M49-$A$15,CH$13)))</f>
        <v>0</v>
      </c>
      <c r="CI49" s="353" t="n">
        <f aca="true">IF(OR($D49&lt;&gt;"Serviço",AND(AUTOEVENTO="Manual",$M49=$A$15)),0,
         IF(OFFSET(CRONOPLE!$F$15,$M49-$A$15,CI$13)=0,10^12,OFFSET(CRONOPLE!$F$15,$M49-$A$15,CI$13)))</f>
        <v>0</v>
      </c>
      <c r="CJ49" s="353" t="n">
        <f aca="true">IF(OR($D49&lt;&gt;"Serviço",AND(AUTOEVENTO="Manual",$M49=$A$15)),0,
         IF(OFFSET(CRONOPLE!$F$15,$M49-$A$15,CJ$13)=0,10^12,OFFSET(CRONOPLE!$F$15,$M49-$A$15,CJ$13)))</f>
        <v>0</v>
      </c>
      <c r="CK49" s="353" t="n">
        <f aca="true">IF(OR($D49&lt;&gt;"Serviço",AND(AUTOEVENTO="Manual",$M49=$A$15)),0,
         IF(OFFSET(CRONOPLE!$F$15,$M49-$A$15,CK$13)=0,10^12,OFFSET(CRONOPLE!$F$15,$M49-$A$15,CK$13)))</f>
        <v>0</v>
      </c>
      <c r="CL49" s="353" t="n">
        <f aca="true">IF(OR($D49&lt;&gt;"Serviço",AND(AUTOEVENTO="Manual",$M49=$A$15)),0,
         IF(OFFSET(CRONOPLE!$F$15,$M49-$A$15,CL$13)=0,10^12,OFFSET(CRONOPLE!$F$15,$M49-$A$15,CL$13)))</f>
        <v>0</v>
      </c>
      <c r="CM49" s="353" t="n">
        <f aca="true">IF(OR($D49&lt;&gt;"Serviço",AND(AUTOEVENTO="Manual",$M49=$A$15)),0,
         IF(OFFSET(CRONOPLE!$F$15,$M49-$A$15,CM$13)=0,10^12,OFFSET(CRONOPLE!$F$15,$M49-$A$15,CM$13)))</f>
        <v>0</v>
      </c>
      <c r="CN49" s="353" t="n">
        <f aca="true">IF(OR($D49&lt;&gt;"Serviço",AND(AUTOEVENTO="Manual",$M49=$A$15)),0,
         IF(OFFSET(CRONOPLE!$F$15,$M49-$A$15,CN$13)=0,10^12,OFFSET(CRONOPLE!$F$15,$M49-$A$15,CN$13)))</f>
        <v>0</v>
      </c>
      <c r="CO49" s="353" t="n">
        <f aca="true">IF(OR($D49&lt;&gt;"Serviço",AND(AUTOEVENTO="Manual",$M49=$A$15)),0,
         IF(OFFSET(CRONOPLE!$F$15,$M49-$A$15,CO$13)=0,10^12,OFFSET(CRONOPLE!$F$15,$M49-$A$15,CO$13)))</f>
        <v>0</v>
      </c>
      <c r="CP49" s="353" t="n">
        <f aca="true">IF(OR($D49&lt;&gt;"Serviço",AND(AUTOEVENTO="Manual",$M49=$A$15)),0,
         IF(OFFSET(CRONOPLE!$F$15,$M49-$A$15,CP$13)=0,10^12,OFFSET(CRONOPLE!$F$15,$M49-$A$15,CP$13)))</f>
        <v>0</v>
      </c>
      <c r="CQ49" s="353" t="n">
        <f aca="true">IF(OR($D49&lt;&gt;"Serviço",AND(AUTOEVENTO="Manual",$M49=$A$15)),0,
         IF(OFFSET(CRONOPLE!$F$15,$M49-$A$15,CQ$13)=0,10^12,OFFSET(CRONOPLE!$F$15,$M49-$A$15,CQ$13)))</f>
        <v>0</v>
      </c>
      <c r="CR49" s="353" t="n">
        <f aca="true">IF(OR($D49&lt;&gt;"Serviço",AND(AUTOEVENTO="Manual",$M49=$A$15)),0,
         IF(OFFSET(CRONOPLE!$F$15,$M49-$A$15,CR$13)=0,10^12,OFFSET(CRONOPLE!$F$15,$M49-$A$15,CR$13)))</f>
        <v>0</v>
      </c>
      <c r="CT49" s="354" t="n">
        <f aca="true">IF(OR($D49&lt;&gt;"Serviço",AND(AUTOEVENTO="Manual",$M49=$A$15),$M49&gt;(ROW(PLE.lastrow)-ROW(PLE.firstrow))),0,
           IF(OFFSET(PLE!$G$15,$M49-$A$15,CT$13)="",10^12,OFFSET(PLE!$G$15,$M49-$A$15,CT$13)))</f>
        <v>0</v>
      </c>
      <c r="CU49" s="354" t="n">
        <f aca="true">IF(OR($D49&lt;&gt;"Serviço",AND(AUTOEVENTO="Manual",$M49=$A$15),$M49&gt;(ROW(PLE.lastrow)-ROW(PLE.firstrow))),0,
           IF(OFFSET(PLE!$G$15,$M49-$A$15,CU$13)="",10^12,OFFSET(PLE!$G$15,$M49-$A$15,CU$13)))</f>
        <v>0</v>
      </c>
      <c r="CV49" s="354" t="n">
        <f aca="true">IF(OR($D49&lt;&gt;"Serviço",AND(AUTOEVENTO="Manual",$M49=$A$15),$M49&gt;(ROW(PLE.lastrow)-ROW(PLE.firstrow))),0,
           IF(OFFSET(PLE!$G$15,$M49-$A$15,CV$13)="",10^12,OFFSET(PLE!$G$15,$M49-$A$15,CV$13)))</f>
        <v>0</v>
      </c>
      <c r="CW49" s="354" t="n">
        <f aca="true">IF(OR($D49&lt;&gt;"Serviço",AND(AUTOEVENTO="Manual",$M49=$A$15),$M49&gt;(ROW(PLE.lastrow)-ROW(PLE.firstrow))),0,
           IF(OFFSET(PLE!$G$15,$M49-$A$15,CW$13)="",10^12,OFFSET(PLE!$G$15,$M49-$A$15,CW$13)))</f>
        <v>0</v>
      </c>
      <c r="CX49" s="354" t="n">
        <f aca="true">IF(OR($D49&lt;&gt;"Serviço",AND(AUTOEVENTO="Manual",$M49=$A$15),$M49&gt;(ROW(PLE.lastrow)-ROW(PLE.firstrow))),0,
           IF(OFFSET(PLE!$G$15,$M49-$A$15,CX$13)="",10^12,OFFSET(PLE!$G$15,$M49-$A$15,CX$13)))</f>
        <v>0</v>
      </c>
      <c r="CY49" s="354" t="n">
        <f aca="true">IF(OR($D49&lt;&gt;"Serviço",AND(AUTOEVENTO="Manual",$M49=$A$15),$M49&gt;(ROW(PLE.lastrow)-ROW(PLE.firstrow))),0,
           IF(OFFSET(PLE!$G$15,$M49-$A$15,CY$13)="",10^12,OFFSET(PLE!$G$15,$M49-$A$15,CY$13)))</f>
        <v>0</v>
      </c>
      <c r="CZ49" s="354" t="n">
        <f aca="true">IF(OR($D49&lt;&gt;"Serviço",AND(AUTOEVENTO="Manual",$M49=$A$15),$M49&gt;(ROW(PLE.lastrow)-ROW(PLE.firstrow))),0,
           IF(OFFSET(PLE!$G$15,$M49-$A$15,CZ$13)="",10^12,OFFSET(PLE!$G$15,$M49-$A$15,CZ$13)))</f>
        <v>0</v>
      </c>
      <c r="DA49" s="354" t="n">
        <f aca="true">IF(OR($D49&lt;&gt;"Serviço",AND(AUTOEVENTO="Manual",$M49=$A$15),$M49&gt;(ROW(PLE.lastrow)-ROW(PLE.firstrow))),0,
           IF(OFFSET(PLE!$G$15,$M49-$A$15,DA$13)="",10^12,OFFSET(PLE!$G$15,$M49-$A$15,DA$13)))</f>
        <v>0</v>
      </c>
      <c r="DB49" s="354" t="n">
        <f aca="true">IF(OR($D49&lt;&gt;"Serviço",AND(AUTOEVENTO="Manual",$M49=$A$15),$M49&gt;(ROW(PLE.lastrow)-ROW(PLE.firstrow))),0,
           IF(OFFSET(PLE!$G$15,$M49-$A$15,DB$13)="",10^12,OFFSET(PLE!$G$15,$M49-$A$15,DB$13)))</f>
        <v>0</v>
      </c>
      <c r="DC49" s="354" t="n">
        <f aca="true">IF(OR($D49&lt;&gt;"Serviço",AND(AUTOEVENTO="Manual",$M49=$A$15),$M49&gt;(ROW(PLE.lastrow)-ROW(PLE.firstrow))),0,
           IF(OFFSET(PLE!$G$15,$M49-$A$15,DC$13)="",10^12,OFFSET(PLE!$G$15,$M49-$A$15,DC$13)))</f>
        <v>0</v>
      </c>
      <c r="DD49" s="354" t="n">
        <f aca="true">IF(OR($D49&lt;&gt;"Serviço",AND(AUTOEVENTO="Manual",$M49=$A$15),$M49&gt;(ROW(PLE.lastrow)-ROW(PLE.firstrow))),0,
           IF(OFFSET(PLE!$G$15,$M49-$A$15,DD$13)="",10^12,OFFSET(PLE!$G$15,$M49-$A$15,DD$13)))</f>
        <v>0</v>
      </c>
      <c r="DE49" s="354" t="n">
        <f aca="true">IF(OR($D49&lt;&gt;"Serviço",AND(AUTOEVENTO="Manual",$M49=$A$15),$M49&gt;(ROW(PLE.lastrow)-ROW(PLE.firstrow))),0,
           IF(OFFSET(PLE!$G$15,$M49-$A$15,DE$13)="",10^12,OFFSET(PLE!$G$15,$M49-$A$15,DE$13)))</f>
        <v>0</v>
      </c>
      <c r="DF49" s="354" t="n">
        <f aca="true">IF(OR($D49&lt;&gt;"Serviço",AND(AUTOEVENTO="Manual",$M49=$A$15),$M49&gt;(ROW(PLE.lastrow)-ROW(PLE.firstrow))),0,
           IF(OFFSET(PLE!$G$15,$M49-$A$15,DF$13)="",10^12,OFFSET(PLE!$G$15,$M49-$A$15,DF$13)))</f>
        <v>0</v>
      </c>
      <c r="DG49" s="354" t="n">
        <f aca="true">IF(OR($D49&lt;&gt;"Serviço",AND(AUTOEVENTO="Manual",$M49=$A$15),$M49&gt;(ROW(PLE.lastrow)-ROW(PLE.firstrow))),0,
           IF(OFFSET(PLE!$G$15,$M49-$A$15,DG$13)="",10^12,OFFSET(PLE!$G$15,$M49-$A$15,DG$13)))</f>
        <v>0</v>
      </c>
      <c r="DH49" s="354" t="n">
        <f aca="true">IF(OR($D49&lt;&gt;"Serviço",AND(AUTOEVENTO="Manual",$M49=$A$15),$M49&gt;(ROW(PLE.lastrow)-ROW(PLE.firstrow))),0,
           IF(OFFSET(PLE!$G$15,$M49-$A$15,DH$13)="",10^12,OFFSET(PLE!$G$15,$M49-$A$15,DH$13)))</f>
        <v>0</v>
      </c>
      <c r="DI49" s="354" t="n">
        <f aca="true">IF(OR($D49&lt;&gt;"Serviço",AND(AUTOEVENTO="Manual",$M49=$A$15),$M49&gt;(ROW(PLE.lastrow)-ROW(PLE.firstrow))),0,
           IF(OFFSET(PLE!$G$15,$M49-$A$15,DI$13)="",10^12,OFFSET(PLE!$G$15,$M49-$A$15,DI$13)))</f>
        <v>0</v>
      </c>
      <c r="DJ49" s="354" t="n">
        <f aca="true">IF(OR($D49&lt;&gt;"Serviço",AND(AUTOEVENTO="Manual",$M49=$A$15),$M49&gt;(ROW(PLE.lastrow)-ROW(PLE.firstrow))),0,
           IF(OFFSET(PLE!$G$15,$M49-$A$15,DJ$13)="",10^12,OFFSET(PLE!$G$15,$M49-$A$15,DJ$13)))</f>
        <v>0</v>
      </c>
      <c r="DK49" s="354" t="n">
        <f aca="true">IF(OR($D49&lt;&gt;"Serviço",AND(AUTOEVENTO="Manual",$M49=$A$15),$M49&gt;(ROW(PLE.lastrow)-ROW(PLE.firstrow))),0,
           IF(OFFSET(PLE!$G$15,$M49-$A$15,DK$13)="",10^12,OFFSET(PLE!$G$15,$M49-$A$15,DK$13)))</f>
        <v>0</v>
      </c>
      <c r="DL49" s="354" t="n">
        <f aca="true">IF(OR($D49&lt;&gt;"Serviço",AND(AUTOEVENTO="Manual",$M49=$A$15),$M49&gt;(ROW(PLE.lastrow)-ROW(PLE.firstrow))),0,
           IF(OFFSET(PLE!$G$15,$M49-$A$15,DL$13)="",10^12,OFFSET(PLE!$G$15,$M49-$A$15,DL$13)))</f>
        <v>0</v>
      </c>
      <c r="DM49" s="354" t="n">
        <f aca="true">IF(OR($D49&lt;&gt;"Serviço",AND(AUTOEVENTO="Manual",$M49=$A$15),$M49&gt;(ROW(PLE.lastrow)-ROW(PLE.firstrow))),0,
           IF(OFFSET(PLE!$G$15,$M49-$A$15,DM$13)="",10^12,OFFSET(PLE!$G$15,$M49-$A$15,DM$13)))</f>
        <v>0</v>
      </c>
      <c r="DN49" s="354" t="n">
        <f aca="true">IF(OR($D49&lt;&gt;"Serviço",AND(AUTOEVENTO="Manual",$M49=$A$15),$M49&gt;(ROW(PLE.lastrow)-ROW(PLE.firstrow))),0,
           IF(OFFSET(PLE!$G$15,$M49-$A$15,DN$13)="",10^12,OFFSET(PLE!$G$15,$M49-$A$15,DN$13)))</f>
        <v>0</v>
      </c>
      <c r="DO49" s="354" t="n">
        <f aca="true">IF(OR($D49&lt;&gt;"Serviço",AND(AUTOEVENTO="Manual",$M49=$A$15),$M49&gt;(ROW(PLE.lastrow)-ROW(PLE.firstrow))),0,
           IF(OFFSET(PLE!$G$15,$M49-$A$15,DO$13)="",10^12,OFFSET(PLE!$G$15,$M49-$A$15,DO$13)))</f>
        <v>0</v>
      </c>
      <c r="DP49" s="354" t="n">
        <f aca="true">IF(OR($D49&lt;&gt;"Serviço",AND(AUTOEVENTO="Manual",$M49=$A$15),$M49&gt;(ROW(PLE.lastrow)-ROW(PLE.firstrow))),0,
           IF(OFFSET(PLE!$G$15,$M49-$A$15,DP$13)="",10^12,OFFSET(PLE!$G$15,$M49-$A$15,DP$13)))</f>
        <v>0</v>
      </c>
      <c r="DQ49" s="354" t="n">
        <f aca="true">IF(OR($D49&lt;&gt;"Serviço",AND(AUTOEVENTO="Manual",$M49=$A$15),$M49&gt;(ROW(PLE.lastrow)-ROW(PLE.firstrow))),0,
           IF(OFFSET(PLE!$G$15,$M49-$A$15,DQ$13)="",10^12,OFFSET(PLE!$G$15,$M49-$A$15,DQ$13)))</f>
        <v>0</v>
      </c>
      <c r="DR49" s="354" t="n">
        <f aca="true">IF(OR($D49&lt;&gt;"Serviço",AND(AUTOEVENTO="Manual",$M49=$A$15),$M49&gt;(ROW(PLE.lastrow)-ROW(PLE.firstrow))),0,
           IF(OFFSET(PLE!$G$15,$M49-$A$15,DR$13)="",10^12,OFFSET(PLE!$G$15,$M49-$A$15,DR$13)))</f>
        <v>0</v>
      </c>
      <c r="DS49" s="354" t="n">
        <f aca="true">IF(OR($D49&lt;&gt;"Serviço",AND(AUTOEVENTO="Manual",$M49=$A$15),$M49&gt;(ROW(PLE.lastrow)-ROW(PLE.firstrow))),0,
           IF(OFFSET(PLE!$G$15,$M49-$A$15,DS$13)="",10^12,OFFSET(PLE!$G$15,$M49-$A$15,DS$13)))</f>
        <v>0</v>
      </c>
    </row>
    <row r="50" customFormat="false" ht="35.05" hidden="false" customHeight="false" outlineLevel="0" collapsed="false">
      <c r="A50" s="50" t="str">
        <f aca="true">IFERROR(IF(AUTOEVENTO="Manual",IF(K50&lt;&gt;"",MIN(VALUE(LEFT(K50,FIND(".",K50)-1)),COUNTA(EVENTOS.Lista)),0),IF(OR($B50&gt;AUTOEVENTO,$B50="S",$B50=0),SUBSTITUTE(OFFSET($A50,-1,0),IF($D50="Serviço",".",""),""),ROW(A50)-ROW($A$15)&amp;".")),0)</f>
        <v>34</v>
      </c>
      <c r="B50" s="50" t="str">
        <f aca="true">OFFSET(ORÇAMENTO!C$15,ROW(B50)-ROW(B$15),0)</f>
        <v>S</v>
      </c>
      <c r="C50" s="50" t="str">
        <f aca="true">OFFSET(ORÇAMENTO!L$15,ROW(C50)-ROW(C$15),0)</f>
        <v>F</v>
      </c>
      <c r="D50" s="201" t="str">
        <f aca="true">OFFSET(ORÇAMENTO!N$15,ROW(D50)-ROW(D$15),0)</f>
        <v>Serviço</v>
      </c>
      <c r="E50" s="202" t="str">
        <f aca="true">OFFSET(ORÇAMENTO!O$15,ROW(E50)-ROW(E$15),0)</f>
        <v>1.9.1.</v>
      </c>
      <c r="F50" s="341" t="str">
        <f aca="true">OFFSET(ORÇAMENTO!R$15,ROW(F50)-ROW(F$15),0)</f>
        <v>ARMAÇÃO DE PILAR OU VIGA DE ESTRUTURA CONVENCIONAL DE CONCRETO ARMADO UTILIZANDO AÇO CA-60
DE 5,0 MM - MONTAGEM. AF_06/2022</v>
      </c>
      <c r="G50" s="342" t="str">
        <f aca="true">IF($D50&lt;&gt;"Serviço","",OFFSET(ORÇAMENTO!S$15,ROW(G50)-ROW(G$15),0))</f>
        <v>KG</v>
      </c>
      <c r="H50" s="207" t="n">
        <f aca="true">IF($D50&lt;&gt;"Serviço",0,IF(ACOMPANHAMENTO="BM",ROUND(OFFSET(ORÇAMENTO!AJ$15,ROW(H50)-ROW(H$15),0),15-13*ORÇAMENTO!$AF$7),SUMPRODUCT(($Q$1:$AQ$1=1)*ROUND($Q50:$AQ50,15-13*ORÇAMENTO!$AF$7))))</f>
        <v>2182.5</v>
      </c>
      <c r="I50" s="343" t="s">
        <v>935</v>
      </c>
      <c r="J50" s="344" t="e">
        <f aca="false">IF(OR(B50&lt;&gt;"S",CÁLCULO.FrentesPreenchidas=0),"",IF(AND(ACOMPANHAMENTO="PLE",AUTOEVENTO="Manual",OR(H50&gt;0,ORÇAMENTO!AC50="QUANT."),OR(K50="",M50=0,N50="")),"►",IF(AND(ACOMPANHAMENTO="PLE",ORÇAMENTO!AC50="QUANT."),"►►",IF(AND(COUNTIF($P$11:$AQ$11,"▼")=0,H50&gt;0,I50=""),"◄",""))))</f>
        <v>#NAME?</v>
      </c>
      <c r="K50" s="345"/>
      <c r="L50" s="346" t="s">
        <v>876</v>
      </c>
      <c r="M50" s="347" t="n">
        <f aca="true">IF($D50&lt;&gt;"Serviço","",
          IF(AUTOEVENTO="manual",$A50,
                IF(ISERROR(MATCH($A50,$A$15:OFFSET($A50,-1,0),0)),MAX($M$15:OFFSET(M50,-1,0))+1,
                      INDEX($M$15:OFFSET(M50,-1,0),MATCH($A50,$A$15:OFFSET($A50,-1,0),0)))))</f>
        <v>6</v>
      </c>
      <c r="N50" s="348" t="str">
        <f aca="true">IF($D50&lt;&gt;"Serviço","",
         IF(AUTOEVENTO="Manual",
                IF($A50=0,"&lt;-- defina o número do agrupador",
                       OFFSET(EVENTOS!$D$15,$A50-$A$15,0)),
                OFFSET($F$15,$A50,0)))</f>
        <v>PILARES, VIGAS E LAJES</v>
      </c>
      <c r="O50" s="349"/>
      <c r="Q50" s="349" t="n">
        <f aca="false">30.1+57.2</f>
        <v>87.3</v>
      </c>
      <c r="R50" s="350" t="n">
        <f aca="false">Q50</f>
        <v>87.3</v>
      </c>
      <c r="S50" s="350" t="n">
        <f aca="false">R50</f>
        <v>87.3</v>
      </c>
      <c r="T50" s="350" t="n">
        <f aca="false">S50</f>
        <v>87.3</v>
      </c>
      <c r="U50" s="350" t="n">
        <f aca="false">T50</f>
        <v>87.3</v>
      </c>
      <c r="V50" s="350" t="n">
        <f aca="false">U50</f>
        <v>87.3</v>
      </c>
      <c r="W50" s="350" t="n">
        <f aca="false">V50</f>
        <v>87.3</v>
      </c>
      <c r="X50" s="350" t="n">
        <f aca="false">W50</f>
        <v>87.3</v>
      </c>
      <c r="Y50" s="350" t="n">
        <f aca="false">X50</f>
        <v>87.3</v>
      </c>
      <c r="Z50" s="351" t="n">
        <f aca="false">Y50</f>
        <v>87.3</v>
      </c>
      <c r="AA50" s="350" t="n">
        <f aca="false">Z50</f>
        <v>87.3</v>
      </c>
      <c r="AB50" s="350" t="n">
        <f aca="false">AA50</f>
        <v>87.3</v>
      </c>
      <c r="AC50" s="350" t="n">
        <f aca="false">AB50</f>
        <v>87.3</v>
      </c>
      <c r="AD50" s="350" t="n">
        <f aca="false">AC50</f>
        <v>87.3</v>
      </c>
      <c r="AE50" s="350" t="n">
        <f aca="false">AD50</f>
        <v>87.3</v>
      </c>
      <c r="AF50" s="350" t="n">
        <f aca="false">AE50</f>
        <v>87.3</v>
      </c>
      <c r="AG50" s="350" t="n">
        <f aca="false">AF50</f>
        <v>87.3</v>
      </c>
      <c r="AH50" s="351" t="n">
        <f aca="false">AG50</f>
        <v>87.3</v>
      </c>
      <c r="AI50" s="350" t="n">
        <f aca="false">AH50</f>
        <v>87.3</v>
      </c>
      <c r="AJ50" s="350" t="n">
        <f aca="false">AI50</f>
        <v>87.3</v>
      </c>
      <c r="AK50" s="350" t="n">
        <f aca="false">AJ50</f>
        <v>87.3</v>
      </c>
      <c r="AL50" s="350" t="n">
        <f aca="false">AK50</f>
        <v>87.3</v>
      </c>
      <c r="AM50" s="350" t="n">
        <f aca="false">AL50</f>
        <v>87.3</v>
      </c>
      <c r="AN50" s="350" t="n">
        <f aca="false">AM50</f>
        <v>87.3</v>
      </c>
      <c r="AO50" s="350" t="n">
        <f aca="false">AN50</f>
        <v>87.3</v>
      </c>
      <c r="AP50" s="351" t="n">
        <v>137.89</v>
      </c>
      <c r="AR50" s="352" t="n">
        <f aca="true">IF(AND($D50="Serviço",AR$12&lt;&gt;0,$H50&gt;0,OR(AUTOEVENTO&lt;&gt;"manual",$M50&lt;&gt;$A$15)),
        IF(Import.TipoArredondamento&lt;&gt;"TransfereGOV",
              ROUND(OFFSET($P50,0,AR$13),15-13*ORÇAMENTO!$AF$7)/$H50*OFFSET(ORÇAMENTO!$X$15,ROW(AR50)-ROW(AR$15),0),
              ROUND(ROUND(OFFSET($P50,0,AR$13),15-13*ORÇAMENTO!$AF$7)*OFFSET(ORÇAMENTO!$W$15,ROW(AR50)-ROW(AR$15),0),15-13*ORÇAMENTO!$AF$11)),
         0)</f>
        <v>1575.77</v>
      </c>
      <c r="AS50" s="352" t="n">
        <f aca="true">IF(AND($D50="Serviço",AS$12&lt;&gt;0,$H50&gt;0,OR(AUTOEVENTO&lt;&gt;"manual",$M50&lt;&gt;$A$15)),
        IF(Import.TipoArredondamento&lt;&gt;"TransfereGOV",
              ROUND(OFFSET($P50,0,AS$13),15-13*ORÇAMENTO!$AF$7)/$H50*OFFSET(ORÇAMENTO!$X$15,ROW(AS50)-ROW(AS$15),0),
              ROUND(ROUND(OFFSET($P50,0,AS$13),15-13*ORÇAMENTO!$AF$7)*OFFSET(ORÇAMENTO!$W$15,ROW(AS50)-ROW(AS$15),0),15-13*ORÇAMENTO!$AF$11)),
         0)</f>
        <v>1575.77</v>
      </c>
      <c r="AT50" s="352" t="n">
        <f aca="true">IF(AND($D50="Serviço",AT$12&lt;&gt;0,$H50&gt;0,OR(AUTOEVENTO&lt;&gt;"manual",$M50&lt;&gt;$A$15)),
        IF(Import.TipoArredondamento&lt;&gt;"TransfereGOV",
              ROUND(OFFSET($P50,0,AT$13),15-13*ORÇAMENTO!$AF$7)/$H50*OFFSET(ORÇAMENTO!$X$15,ROW(AT50)-ROW(AT$15),0),
              ROUND(ROUND(OFFSET($P50,0,AT$13),15-13*ORÇAMENTO!$AF$7)*OFFSET(ORÇAMENTO!$W$15,ROW(AT50)-ROW(AT$15),0),15-13*ORÇAMENTO!$AF$11)),
         0)</f>
        <v>1575.77</v>
      </c>
      <c r="AU50" s="352" t="n">
        <f aca="true">IF(AND($D50="Serviço",AU$12&lt;&gt;0,$H50&gt;0,OR(AUTOEVENTO&lt;&gt;"manual",$M50&lt;&gt;$A$15)),
        IF(Import.TipoArredondamento&lt;&gt;"TransfereGOV",
              ROUND(OFFSET($P50,0,AU$13),15-13*ORÇAMENTO!$AF$7)/$H50*OFFSET(ORÇAMENTO!$X$15,ROW(AU50)-ROW(AU$15),0),
              ROUND(ROUND(OFFSET($P50,0,AU$13),15-13*ORÇAMENTO!$AF$7)*OFFSET(ORÇAMENTO!$W$15,ROW(AU50)-ROW(AU$15),0),15-13*ORÇAMENTO!$AF$11)),
         0)</f>
        <v>1575.77</v>
      </c>
      <c r="AV50" s="352" t="n">
        <f aca="true">IF(AND($D50="Serviço",AV$12&lt;&gt;0,$H50&gt;0,OR(AUTOEVENTO&lt;&gt;"manual",$M50&lt;&gt;$A$15)),
        IF(Import.TipoArredondamento&lt;&gt;"TransfereGOV",
              ROUND(OFFSET($P50,0,AV$13),15-13*ORÇAMENTO!$AF$7)/$H50*OFFSET(ORÇAMENTO!$X$15,ROW(AV50)-ROW(AV$15),0),
              ROUND(ROUND(OFFSET($P50,0,AV$13),15-13*ORÇAMENTO!$AF$7)*OFFSET(ORÇAMENTO!$W$15,ROW(AV50)-ROW(AV$15),0),15-13*ORÇAMENTO!$AF$11)),
         0)</f>
        <v>1575.77</v>
      </c>
      <c r="AW50" s="352" t="n">
        <f aca="true">IF(AND($D50="Serviço",AW$12&lt;&gt;0,$H50&gt;0,OR(AUTOEVENTO&lt;&gt;"manual",$M50&lt;&gt;$A$15)),
        IF(Import.TipoArredondamento&lt;&gt;"TransfereGOV",
              ROUND(OFFSET($P50,0,AW$13),15-13*ORÇAMENTO!$AF$7)/$H50*OFFSET(ORÇAMENTO!$X$15,ROW(AW50)-ROW(AW$15),0),
              ROUND(ROUND(OFFSET($P50,0,AW$13),15-13*ORÇAMENTO!$AF$7)*OFFSET(ORÇAMENTO!$W$15,ROW(AW50)-ROW(AW$15),0),15-13*ORÇAMENTO!$AF$11)),
         0)</f>
        <v>1575.77</v>
      </c>
      <c r="AX50" s="352" t="n">
        <f aca="true">IF(AND($D50="Serviço",AX$12&lt;&gt;0,$H50&gt;0,OR(AUTOEVENTO&lt;&gt;"manual",$M50&lt;&gt;$A$15)),
        IF(Import.TipoArredondamento&lt;&gt;"TransfereGOV",
              ROUND(OFFSET($P50,0,AX$13),15-13*ORÇAMENTO!$AF$7)/$H50*OFFSET(ORÇAMENTO!$X$15,ROW(AX50)-ROW(AX$15),0),
              ROUND(ROUND(OFFSET($P50,0,AX$13),15-13*ORÇAMENTO!$AF$7)*OFFSET(ORÇAMENTO!$W$15,ROW(AX50)-ROW(AX$15),0),15-13*ORÇAMENTO!$AF$11)),
         0)</f>
        <v>1575.77</v>
      </c>
      <c r="AY50" s="352" t="n">
        <f aca="true">IF(AND($D50="Serviço",AY$12&lt;&gt;0,$H50&gt;0,OR(AUTOEVENTO&lt;&gt;"manual",$M50&lt;&gt;$A$15)),
        IF(Import.TipoArredondamento&lt;&gt;"TransfereGOV",
              ROUND(OFFSET($P50,0,AY$13),15-13*ORÇAMENTO!$AF$7)/$H50*OFFSET(ORÇAMENTO!$X$15,ROW(AY50)-ROW(AY$15),0),
              ROUND(ROUND(OFFSET($P50,0,AY$13),15-13*ORÇAMENTO!$AF$7)*OFFSET(ORÇAMENTO!$W$15,ROW(AY50)-ROW(AY$15),0),15-13*ORÇAMENTO!$AF$11)),
         0)</f>
        <v>1575.77</v>
      </c>
      <c r="AZ50" s="352" t="n">
        <f aca="true">IF(AND($D50="Serviço",AZ$12&lt;&gt;0,$H50&gt;0,OR(AUTOEVENTO&lt;&gt;"manual",$M50&lt;&gt;$A$15)),
        IF(Import.TipoArredondamento&lt;&gt;"TransfereGOV",
              ROUND(OFFSET($P50,0,AZ$13),15-13*ORÇAMENTO!$AF$7)/$H50*OFFSET(ORÇAMENTO!$X$15,ROW(AZ50)-ROW(AZ$15),0),
              ROUND(ROUND(OFFSET($P50,0,AZ$13),15-13*ORÇAMENTO!$AF$7)*OFFSET(ORÇAMENTO!$W$15,ROW(AZ50)-ROW(AZ$15),0),15-13*ORÇAMENTO!$AF$11)),
         0)</f>
        <v>1575.77</v>
      </c>
      <c r="BA50" s="352" t="n">
        <f aca="true">IF(AND($D50="Serviço",BA$12&lt;&gt;0,$H50&gt;0,OR(AUTOEVENTO&lt;&gt;"manual",$M50&lt;&gt;$A$15)),
        IF(Import.TipoArredondamento&lt;&gt;"TransfereGOV",
              ROUND(OFFSET($P50,0,BA$13),15-13*ORÇAMENTO!$AF$7)/$H50*OFFSET(ORÇAMENTO!$X$15,ROW(BA50)-ROW(BA$15),0),
              ROUND(ROUND(OFFSET($P50,0,BA$13),15-13*ORÇAMENTO!$AF$7)*OFFSET(ORÇAMENTO!$W$15,ROW(BA50)-ROW(BA$15),0),15-13*ORÇAMENTO!$AF$11)),
         0)</f>
        <v>1575.77</v>
      </c>
      <c r="BB50" s="352" t="n">
        <f aca="true">IF(AND($D50="Serviço",BB$12&lt;&gt;0,$H50&gt;0,OR(AUTOEVENTO&lt;&gt;"manual",$M50&lt;&gt;$A$15)),
        IF(Import.TipoArredondamento&lt;&gt;"TransfereGOV",
              ROUND(OFFSET($P50,0,BB$13),15-13*ORÇAMENTO!$AF$7)/$H50*OFFSET(ORÇAMENTO!$X$15,ROW(BB50)-ROW(BB$15),0),
              ROUND(ROUND(OFFSET($P50,0,BB$13),15-13*ORÇAMENTO!$AF$7)*OFFSET(ORÇAMENTO!$W$15,ROW(BB50)-ROW(BB$15),0),15-13*ORÇAMENTO!$AF$11)),
         0)</f>
        <v>1575.77</v>
      </c>
      <c r="BC50" s="352" t="n">
        <f aca="true">IF(AND($D50="Serviço",BC$12&lt;&gt;0,$H50&gt;0,OR(AUTOEVENTO&lt;&gt;"manual",$M50&lt;&gt;$A$15)),
        IF(Import.TipoArredondamento&lt;&gt;"TransfereGOV",
              ROUND(OFFSET($P50,0,BC$13),15-13*ORÇAMENTO!$AF$7)/$H50*OFFSET(ORÇAMENTO!$X$15,ROW(BC50)-ROW(BC$15),0),
              ROUND(ROUND(OFFSET($P50,0,BC$13),15-13*ORÇAMENTO!$AF$7)*OFFSET(ORÇAMENTO!$W$15,ROW(BC50)-ROW(BC$15),0),15-13*ORÇAMENTO!$AF$11)),
         0)</f>
        <v>1575.77</v>
      </c>
      <c r="BD50" s="352" t="n">
        <f aca="true">IF(AND($D50="Serviço",BD$12&lt;&gt;0,$H50&gt;0,OR(AUTOEVENTO&lt;&gt;"manual",$M50&lt;&gt;$A$15)),
        IF(Import.TipoArredondamento&lt;&gt;"TransfereGOV",
              ROUND(OFFSET($P50,0,BD$13),15-13*ORÇAMENTO!$AF$7)/$H50*OFFSET(ORÇAMENTO!$X$15,ROW(BD50)-ROW(BD$15),0),
              ROUND(ROUND(OFFSET($P50,0,BD$13),15-13*ORÇAMENTO!$AF$7)*OFFSET(ORÇAMENTO!$W$15,ROW(BD50)-ROW(BD$15),0),15-13*ORÇAMENTO!$AF$11)),
         0)</f>
        <v>1575.77</v>
      </c>
      <c r="BE50" s="352" t="n">
        <f aca="true">IF(AND($D50="Serviço",BE$12&lt;&gt;0,$H50&gt;0,OR(AUTOEVENTO&lt;&gt;"manual",$M50&lt;&gt;$A$15)),
        IF(Import.TipoArredondamento&lt;&gt;"TransfereGOV",
              ROUND(OFFSET($P50,0,BE$13),15-13*ORÇAMENTO!$AF$7)/$H50*OFFSET(ORÇAMENTO!$X$15,ROW(BE50)-ROW(BE$15),0),
              ROUND(ROUND(OFFSET($P50,0,BE$13),15-13*ORÇAMENTO!$AF$7)*OFFSET(ORÇAMENTO!$W$15,ROW(BE50)-ROW(BE$15),0),15-13*ORÇAMENTO!$AF$11)),
         0)</f>
        <v>1575.77</v>
      </c>
      <c r="BF50" s="352" t="n">
        <f aca="true">IF(AND($D50="Serviço",BF$12&lt;&gt;0,$H50&gt;0,OR(AUTOEVENTO&lt;&gt;"manual",$M50&lt;&gt;$A$15)),
        IF(Import.TipoArredondamento&lt;&gt;"TransfereGOV",
              ROUND(OFFSET($P50,0,BF$13),15-13*ORÇAMENTO!$AF$7)/$H50*OFFSET(ORÇAMENTO!$X$15,ROW(BF50)-ROW(BF$15),0),
              ROUND(ROUND(OFFSET($P50,0,BF$13),15-13*ORÇAMENTO!$AF$7)*OFFSET(ORÇAMENTO!$W$15,ROW(BF50)-ROW(BF$15),0),15-13*ORÇAMENTO!$AF$11)),
         0)</f>
        <v>1575.77</v>
      </c>
      <c r="BG50" s="352" t="n">
        <f aca="true">IF(AND($D50="Serviço",BG$12&lt;&gt;0,$H50&gt;0,OR(AUTOEVENTO&lt;&gt;"manual",$M50&lt;&gt;$A$15)),
        IF(Import.TipoArredondamento&lt;&gt;"TransfereGOV",
              ROUND(OFFSET($P50,0,BG$13),15-13*ORÇAMENTO!$AF$7)/$H50*OFFSET(ORÇAMENTO!$X$15,ROW(BG50)-ROW(BG$15),0),
              ROUND(ROUND(OFFSET($P50,0,BG$13),15-13*ORÇAMENTO!$AF$7)*OFFSET(ORÇAMENTO!$W$15,ROW(BG50)-ROW(BG$15),0),15-13*ORÇAMENTO!$AF$11)),
         0)</f>
        <v>1575.77</v>
      </c>
      <c r="BH50" s="352" t="n">
        <f aca="true">IF(AND($D50="Serviço",BH$12&lt;&gt;0,$H50&gt;0,OR(AUTOEVENTO&lt;&gt;"manual",$M50&lt;&gt;$A$15)),
        IF(Import.TipoArredondamento&lt;&gt;"TransfereGOV",
              ROUND(OFFSET($P50,0,BH$13),15-13*ORÇAMENTO!$AF$7)/$H50*OFFSET(ORÇAMENTO!$X$15,ROW(BH50)-ROW(BH$15),0),
              ROUND(ROUND(OFFSET($P50,0,BH$13),15-13*ORÇAMENTO!$AF$7)*OFFSET(ORÇAMENTO!$W$15,ROW(BH50)-ROW(BH$15),0),15-13*ORÇAMENTO!$AF$11)),
         0)</f>
        <v>1575.77</v>
      </c>
      <c r="BI50" s="352" t="n">
        <f aca="true">IF(AND($D50="Serviço",BI$12&lt;&gt;0,$H50&gt;0,OR(AUTOEVENTO&lt;&gt;"manual",$M50&lt;&gt;$A$15)),
        IF(Import.TipoArredondamento&lt;&gt;"TransfereGOV",
              ROUND(OFFSET($P50,0,BI$13),15-13*ORÇAMENTO!$AF$7)/$H50*OFFSET(ORÇAMENTO!$X$15,ROW(BI50)-ROW(BI$15),0),
              ROUND(ROUND(OFFSET($P50,0,BI$13),15-13*ORÇAMENTO!$AF$7)*OFFSET(ORÇAMENTO!$W$15,ROW(BI50)-ROW(BI$15),0),15-13*ORÇAMENTO!$AF$11)),
         0)</f>
        <v>1575.77</v>
      </c>
      <c r="BJ50" s="352" t="n">
        <f aca="true">IF(AND($D50="Serviço",BJ$12&lt;&gt;0,$H50&gt;0,OR(AUTOEVENTO&lt;&gt;"manual",$M50&lt;&gt;$A$15)),
        IF(Import.TipoArredondamento&lt;&gt;"TransfereGOV",
              ROUND(OFFSET($P50,0,BJ$13),15-13*ORÇAMENTO!$AF$7)/$H50*OFFSET(ORÇAMENTO!$X$15,ROW(BJ50)-ROW(BJ$15),0),
              ROUND(ROUND(OFFSET($P50,0,BJ$13),15-13*ORÇAMENTO!$AF$7)*OFFSET(ORÇAMENTO!$W$15,ROW(BJ50)-ROW(BJ$15),0),15-13*ORÇAMENTO!$AF$11)),
         0)</f>
        <v>1575.77</v>
      </c>
      <c r="BK50" s="352" t="n">
        <f aca="true">IF(AND($D50="Serviço",BK$12&lt;&gt;0,$H50&gt;0,OR(AUTOEVENTO&lt;&gt;"manual",$M50&lt;&gt;$A$15)),
        IF(Import.TipoArredondamento&lt;&gt;"TransfereGOV",
              ROUND(OFFSET($P50,0,BK$13),15-13*ORÇAMENTO!$AF$7)/$H50*OFFSET(ORÇAMENTO!$X$15,ROW(BK50)-ROW(BK$15),0),
              ROUND(ROUND(OFFSET($P50,0,BK$13),15-13*ORÇAMENTO!$AF$7)*OFFSET(ORÇAMENTO!$W$15,ROW(BK50)-ROW(BK$15),0),15-13*ORÇAMENTO!$AF$11)),
         0)</f>
        <v>1575.77</v>
      </c>
      <c r="BL50" s="352" t="n">
        <f aca="true">IF(AND($D50="Serviço",BL$12&lt;&gt;0,$H50&gt;0,OR(AUTOEVENTO&lt;&gt;"manual",$M50&lt;&gt;$A$15)),
        IF(Import.TipoArredondamento&lt;&gt;"TransfereGOV",
              ROUND(OFFSET($P50,0,BL$13),15-13*ORÇAMENTO!$AF$7)/$H50*OFFSET(ORÇAMENTO!$X$15,ROW(BL50)-ROW(BL$15),0),
              ROUND(ROUND(OFFSET($P50,0,BL$13),15-13*ORÇAMENTO!$AF$7)*OFFSET(ORÇAMENTO!$W$15,ROW(BL50)-ROW(BL$15),0),15-13*ORÇAMENTO!$AF$11)),
         0)</f>
        <v>1575.77</v>
      </c>
      <c r="BM50" s="352" t="n">
        <f aca="true">IF(AND($D50="Serviço",BM$12&lt;&gt;0,$H50&gt;0,OR(AUTOEVENTO&lt;&gt;"manual",$M50&lt;&gt;$A$15)),
        IF(Import.TipoArredondamento&lt;&gt;"TransfereGOV",
              ROUND(OFFSET($P50,0,BM$13),15-13*ORÇAMENTO!$AF$7)/$H50*OFFSET(ORÇAMENTO!$X$15,ROW(BM50)-ROW(BM$15),0),
              ROUND(ROUND(OFFSET($P50,0,BM$13),15-13*ORÇAMENTO!$AF$7)*OFFSET(ORÇAMENTO!$W$15,ROW(BM50)-ROW(BM$15),0),15-13*ORÇAMENTO!$AF$11)),
         0)</f>
        <v>1575.77</v>
      </c>
      <c r="BN50" s="352" t="n">
        <f aca="true">IF(AND($D50="Serviço",BN$12&lt;&gt;0,$H50&gt;0,OR(AUTOEVENTO&lt;&gt;"manual",$M50&lt;&gt;$A$15)),
        IF(Import.TipoArredondamento&lt;&gt;"TransfereGOV",
              ROUND(OFFSET($P50,0,BN$13),15-13*ORÇAMENTO!$AF$7)/$H50*OFFSET(ORÇAMENTO!$X$15,ROW(BN50)-ROW(BN$15),0),
              ROUND(ROUND(OFFSET($P50,0,BN$13),15-13*ORÇAMENTO!$AF$7)*OFFSET(ORÇAMENTO!$W$15,ROW(BN50)-ROW(BN$15),0),15-13*ORÇAMENTO!$AF$11)),
         0)</f>
        <v>1575.77</v>
      </c>
      <c r="BO50" s="352" t="n">
        <f aca="true">IF(AND($D50="Serviço",BO$12&lt;&gt;0,$H50&gt;0,OR(AUTOEVENTO&lt;&gt;"manual",$M50&lt;&gt;$A$15)),
        IF(Import.TipoArredondamento&lt;&gt;"TransfereGOV",
              ROUND(OFFSET($P50,0,BO$13),15-13*ORÇAMENTO!$AF$7)/$H50*OFFSET(ORÇAMENTO!$X$15,ROW(BO50)-ROW(BO$15),0),
              ROUND(ROUND(OFFSET($P50,0,BO$13),15-13*ORÇAMENTO!$AF$7)*OFFSET(ORÇAMENTO!$W$15,ROW(BO50)-ROW(BO$15),0),15-13*ORÇAMENTO!$AF$11)),
         0)</f>
        <v>1575.77</v>
      </c>
      <c r="BP50" s="352" t="n">
        <f aca="true">IF(AND($D50="Serviço",BP$12&lt;&gt;0,$H50&gt;0,OR(AUTOEVENTO&lt;&gt;"manual",$M50&lt;&gt;$A$15)),
        IF(Import.TipoArredondamento&lt;&gt;"TransfereGOV",
              ROUND(OFFSET($P50,0,BP$13),15-13*ORÇAMENTO!$AF$7)/$H50*OFFSET(ORÇAMENTO!$X$15,ROW(BP50)-ROW(BP$15),0),
              ROUND(ROUND(OFFSET($P50,0,BP$13),15-13*ORÇAMENTO!$AF$7)*OFFSET(ORÇAMENTO!$W$15,ROW(BP50)-ROW(BP$15),0),15-13*ORÇAMENTO!$AF$11)),
         0)</f>
        <v>1575.77</v>
      </c>
      <c r="BQ50" s="352" t="n">
        <f aca="true">IF(AND($D50="Serviço",BQ$12&lt;&gt;0,$H50&gt;0,OR(AUTOEVENTO&lt;&gt;"manual",$M50&lt;&gt;$A$15)),
        IF(Import.TipoArredondamento&lt;&gt;"TransfereGOV",
              ROUND(OFFSET($P50,0,BQ$13),15-13*ORÇAMENTO!$AF$7)/$H50*OFFSET(ORÇAMENTO!$X$15,ROW(BQ50)-ROW(BQ$15),0),
              ROUND(ROUND(OFFSET($P50,0,BQ$13),15-13*ORÇAMENTO!$AF$7)*OFFSET(ORÇAMENTO!$W$15,ROW(BQ50)-ROW(BQ$15),0),15-13*ORÇAMENTO!$AF$11)),
         0)</f>
        <v>0</v>
      </c>
      <c r="BS50" s="353" t="n">
        <f aca="true">IF(OR($D50&lt;&gt;"Serviço",AND(AUTOEVENTO="Manual",$M50=$A$15)),0,
         IF(OFFSET(CRONOPLE!$F$15,$M50-$A$15,BS$13)=0,10^12,OFFSET(CRONOPLE!$F$15,$M50-$A$15,BS$13)))</f>
        <v>1</v>
      </c>
      <c r="BT50" s="353" t="n">
        <f aca="true">IF(OR($D50&lt;&gt;"Serviço",AND(AUTOEVENTO="Manual",$M50=$A$15)),0,
         IF(OFFSET(CRONOPLE!$F$15,$M50-$A$15,BT$13)=0,10^12,OFFSET(CRONOPLE!$F$15,$M50-$A$15,BT$13)))</f>
        <v>2</v>
      </c>
      <c r="BU50" s="353" t="n">
        <f aca="true">IF(OR($D50&lt;&gt;"Serviço",AND(AUTOEVENTO="Manual",$M50=$A$15)),0,
         IF(OFFSET(CRONOPLE!$F$15,$M50-$A$15,BU$13)=0,10^12,OFFSET(CRONOPLE!$F$15,$M50-$A$15,BU$13)))</f>
        <v>3</v>
      </c>
      <c r="BV50" s="353" t="n">
        <f aca="true">IF(OR($D50&lt;&gt;"Serviço",AND(AUTOEVENTO="Manual",$M50=$A$15)),0,
         IF(OFFSET(CRONOPLE!$F$15,$M50-$A$15,BV$13)=0,10^12,OFFSET(CRONOPLE!$F$15,$M50-$A$15,BV$13)))</f>
        <v>4</v>
      </c>
      <c r="BW50" s="353" t="n">
        <f aca="true">IF(OR($D50&lt;&gt;"Serviço",AND(AUTOEVENTO="Manual",$M50=$A$15)),0,
         IF(OFFSET(CRONOPLE!$F$15,$M50-$A$15,BW$13)=0,10^12,OFFSET(CRONOPLE!$F$15,$M50-$A$15,BW$13)))</f>
        <v>5</v>
      </c>
      <c r="BX50" s="353" t="n">
        <f aca="true">IF(OR($D50&lt;&gt;"Serviço",AND(AUTOEVENTO="Manual",$M50=$A$15)),0,
         IF(OFFSET(CRONOPLE!$F$15,$M50-$A$15,BX$13)=0,10^12,OFFSET(CRONOPLE!$F$15,$M50-$A$15,BX$13)))</f>
        <v>6</v>
      </c>
      <c r="BY50" s="353" t="n">
        <f aca="true">IF(OR($D50&lt;&gt;"Serviço",AND(AUTOEVENTO="Manual",$M50=$A$15)),0,
         IF(OFFSET(CRONOPLE!$F$15,$M50-$A$15,BY$13)=0,10^12,OFFSET(CRONOPLE!$F$15,$M50-$A$15,BY$13)))</f>
        <v>7</v>
      </c>
      <c r="BZ50" s="353" t="n">
        <f aca="true">IF(OR($D50&lt;&gt;"Serviço",AND(AUTOEVENTO="Manual",$M50=$A$15)),0,
         IF(OFFSET(CRONOPLE!$F$15,$M50-$A$15,BZ$13)=0,10^12,OFFSET(CRONOPLE!$F$15,$M50-$A$15,BZ$13)))</f>
        <v>8</v>
      </c>
      <c r="CA50" s="353" t="n">
        <f aca="true">IF(OR($D50&lt;&gt;"Serviço",AND(AUTOEVENTO="Manual",$M50=$A$15)),0,
         IF(OFFSET(CRONOPLE!$F$15,$M50-$A$15,CA$13)=0,10^12,OFFSET(CRONOPLE!$F$15,$M50-$A$15,CA$13)))</f>
        <v>9</v>
      </c>
      <c r="CB50" s="353" t="n">
        <f aca="true">IF(OR($D50&lt;&gt;"Serviço",AND(AUTOEVENTO="Manual",$M50=$A$15)),0,
         IF(OFFSET(CRONOPLE!$F$15,$M50-$A$15,CB$13)=0,10^12,OFFSET(CRONOPLE!$F$15,$M50-$A$15,CB$13)))</f>
        <v>10</v>
      </c>
      <c r="CC50" s="353" t="n">
        <f aca="true">IF(OR($D50&lt;&gt;"Serviço",AND(AUTOEVENTO="Manual",$M50=$A$15)),0,
         IF(OFFSET(CRONOPLE!$F$15,$M50-$A$15,CC$13)=0,10^12,OFFSET(CRONOPLE!$F$15,$M50-$A$15,CC$13)))</f>
        <v>11</v>
      </c>
      <c r="CD50" s="353" t="n">
        <f aca="true">IF(OR($D50&lt;&gt;"Serviço",AND(AUTOEVENTO="Manual",$M50=$A$15)),0,
         IF(OFFSET(CRONOPLE!$F$15,$M50-$A$15,CD$13)=0,10^12,OFFSET(CRONOPLE!$F$15,$M50-$A$15,CD$13)))</f>
        <v>12</v>
      </c>
      <c r="CE50" s="353" t="n">
        <f aca="true">IF(OR($D50&lt;&gt;"Serviço",AND(AUTOEVENTO="Manual",$M50=$A$15)),0,
         IF(OFFSET(CRONOPLE!$F$15,$M50-$A$15,CE$13)=0,10^12,OFFSET(CRONOPLE!$F$15,$M50-$A$15,CE$13)))</f>
        <v>13</v>
      </c>
      <c r="CF50" s="353" t="n">
        <f aca="true">IF(OR($D50&lt;&gt;"Serviço",AND(AUTOEVENTO="Manual",$M50=$A$15)),0,
         IF(OFFSET(CRONOPLE!$F$15,$M50-$A$15,CF$13)=0,10^12,OFFSET(CRONOPLE!$F$15,$M50-$A$15,CF$13)))</f>
        <v>14</v>
      </c>
      <c r="CG50" s="353" t="n">
        <f aca="true">IF(OR($D50&lt;&gt;"Serviço",AND(AUTOEVENTO="Manual",$M50=$A$15)),0,
         IF(OFFSET(CRONOPLE!$F$15,$M50-$A$15,CG$13)=0,10^12,OFFSET(CRONOPLE!$F$15,$M50-$A$15,CG$13)))</f>
        <v>15</v>
      </c>
      <c r="CH50" s="353" t="n">
        <f aca="true">IF(OR($D50&lt;&gt;"Serviço",AND(AUTOEVENTO="Manual",$M50=$A$15)),0,
         IF(OFFSET(CRONOPLE!$F$15,$M50-$A$15,CH$13)=0,10^12,OFFSET(CRONOPLE!$F$15,$M50-$A$15,CH$13)))</f>
        <v>16</v>
      </c>
      <c r="CI50" s="353" t="n">
        <f aca="true">IF(OR($D50&lt;&gt;"Serviço",AND(AUTOEVENTO="Manual",$M50=$A$15)),0,
         IF(OFFSET(CRONOPLE!$F$15,$M50-$A$15,CI$13)=0,10^12,OFFSET(CRONOPLE!$F$15,$M50-$A$15,CI$13)))</f>
        <v>17</v>
      </c>
      <c r="CJ50" s="353" t="n">
        <f aca="true">IF(OR($D50&lt;&gt;"Serviço",AND(AUTOEVENTO="Manual",$M50=$A$15)),0,
         IF(OFFSET(CRONOPLE!$F$15,$M50-$A$15,CJ$13)=0,10^12,OFFSET(CRONOPLE!$F$15,$M50-$A$15,CJ$13)))</f>
        <v>18</v>
      </c>
      <c r="CK50" s="353" t="n">
        <f aca="true">IF(OR($D50&lt;&gt;"Serviço",AND(AUTOEVENTO="Manual",$M50=$A$15)),0,
         IF(OFFSET(CRONOPLE!$F$15,$M50-$A$15,CK$13)=0,10^12,OFFSET(CRONOPLE!$F$15,$M50-$A$15,CK$13)))</f>
        <v>19</v>
      </c>
      <c r="CL50" s="353" t="n">
        <f aca="true">IF(OR($D50&lt;&gt;"Serviço",AND(AUTOEVENTO="Manual",$M50=$A$15)),0,
         IF(OFFSET(CRONOPLE!$F$15,$M50-$A$15,CL$13)=0,10^12,OFFSET(CRONOPLE!$F$15,$M50-$A$15,CL$13)))</f>
        <v>20</v>
      </c>
      <c r="CM50" s="353" t="n">
        <f aca="true">IF(OR($D50&lt;&gt;"Serviço",AND(AUTOEVENTO="Manual",$M50=$A$15)),0,
         IF(OFFSET(CRONOPLE!$F$15,$M50-$A$15,CM$13)=0,10^12,OFFSET(CRONOPLE!$F$15,$M50-$A$15,CM$13)))</f>
        <v>21</v>
      </c>
      <c r="CN50" s="353" t="n">
        <f aca="true">IF(OR($D50&lt;&gt;"Serviço",AND(AUTOEVENTO="Manual",$M50=$A$15)),0,
         IF(OFFSET(CRONOPLE!$F$15,$M50-$A$15,CN$13)=0,10^12,OFFSET(CRONOPLE!$F$15,$M50-$A$15,CN$13)))</f>
        <v>22</v>
      </c>
      <c r="CO50" s="353" t="n">
        <f aca="true">IF(OR($D50&lt;&gt;"Serviço",AND(AUTOEVENTO="Manual",$M50=$A$15)),0,
         IF(OFFSET(CRONOPLE!$F$15,$M50-$A$15,CO$13)=0,10^12,OFFSET(CRONOPLE!$F$15,$M50-$A$15,CO$13)))</f>
        <v>23</v>
      </c>
      <c r="CP50" s="353" t="n">
        <f aca="true">IF(OR($D50&lt;&gt;"Serviço",AND(AUTOEVENTO="Manual",$M50=$A$15)),0,
         IF(OFFSET(CRONOPLE!$F$15,$M50-$A$15,CP$13)=0,10^12,OFFSET(CRONOPLE!$F$15,$M50-$A$15,CP$13)))</f>
        <v>24</v>
      </c>
      <c r="CQ50" s="353" t="n">
        <f aca="true">IF(OR($D50&lt;&gt;"Serviço",AND(AUTOEVENTO="Manual",$M50=$A$15)),0,
         IF(OFFSET(CRONOPLE!$F$15,$M50-$A$15,CQ$13)=0,10^12,OFFSET(CRONOPLE!$F$15,$M50-$A$15,CQ$13)))</f>
        <v>25</v>
      </c>
      <c r="CR50" s="353" t="n">
        <f aca="true">IF(OR($D50&lt;&gt;"Serviço",AND(AUTOEVENTO="Manual",$M50=$A$15)),0,
         IF(OFFSET(CRONOPLE!$F$15,$M50-$A$15,CR$13)=0,10^12,OFFSET(CRONOPLE!$F$15,$M50-$A$15,CR$13)))</f>
        <v>1000000000000</v>
      </c>
      <c r="CT50" s="354" t="n">
        <f aca="true">IF(OR($D50&lt;&gt;"Serviço",AND(AUTOEVENTO="Manual",$M50=$A$15),$M50&gt;(ROW(PLE.lastrow)-ROW(PLE.firstrow))),0,
           IF(OFFSET(PLE!$G$15,$M50-$A$15,CT$13)="",10^12,OFFSET(PLE!$G$15,$M50-$A$15,CT$13)))</f>
        <v>1000000000000</v>
      </c>
      <c r="CU50" s="354" t="n">
        <f aca="true">IF(OR($D50&lt;&gt;"Serviço",AND(AUTOEVENTO="Manual",$M50=$A$15),$M50&gt;(ROW(PLE.lastrow)-ROW(PLE.firstrow))),0,
           IF(OFFSET(PLE!$G$15,$M50-$A$15,CU$13)="",10^12,OFFSET(PLE!$G$15,$M50-$A$15,CU$13)))</f>
        <v>1000000000000</v>
      </c>
      <c r="CV50" s="354" t="n">
        <f aca="true">IF(OR($D50&lt;&gt;"Serviço",AND(AUTOEVENTO="Manual",$M50=$A$15),$M50&gt;(ROW(PLE.lastrow)-ROW(PLE.firstrow))),0,
           IF(OFFSET(PLE!$G$15,$M50-$A$15,CV$13)="",10^12,OFFSET(PLE!$G$15,$M50-$A$15,CV$13)))</f>
        <v>1000000000000</v>
      </c>
      <c r="CW50" s="354" t="n">
        <f aca="true">IF(OR($D50&lt;&gt;"Serviço",AND(AUTOEVENTO="Manual",$M50=$A$15),$M50&gt;(ROW(PLE.lastrow)-ROW(PLE.firstrow))),0,
           IF(OFFSET(PLE!$G$15,$M50-$A$15,CW$13)="",10^12,OFFSET(PLE!$G$15,$M50-$A$15,CW$13)))</f>
        <v>1000000000000</v>
      </c>
      <c r="CX50" s="354" t="n">
        <f aca="true">IF(OR($D50&lt;&gt;"Serviço",AND(AUTOEVENTO="Manual",$M50=$A$15),$M50&gt;(ROW(PLE.lastrow)-ROW(PLE.firstrow))),0,
           IF(OFFSET(PLE!$G$15,$M50-$A$15,CX$13)="",10^12,OFFSET(PLE!$G$15,$M50-$A$15,CX$13)))</f>
        <v>1000000000000</v>
      </c>
      <c r="CY50" s="354" t="n">
        <f aca="true">IF(OR($D50&lt;&gt;"Serviço",AND(AUTOEVENTO="Manual",$M50=$A$15),$M50&gt;(ROW(PLE.lastrow)-ROW(PLE.firstrow))),0,
           IF(OFFSET(PLE!$G$15,$M50-$A$15,CY$13)="",10^12,OFFSET(PLE!$G$15,$M50-$A$15,CY$13)))</f>
        <v>1000000000000</v>
      </c>
      <c r="CZ50" s="354" t="n">
        <f aca="true">IF(OR($D50&lt;&gt;"Serviço",AND(AUTOEVENTO="Manual",$M50=$A$15),$M50&gt;(ROW(PLE.lastrow)-ROW(PLE.firstrow))),0,
           IF(OFFSET(PLE!$G$15,$M50-$A$15,CZ$13)="",10^12,OFFSET(PLE!$G$15,$M50-$A$15,CZ$13)))</f>
        <v>1000000000000</v>
      </c>
      <c r="DA50" s="354" t="n">
        <f aca="true">IF(OR($D50&lt;&gt;"Serviço",AND(AUTOEVENTO="Manual",$M50=$A$15),$M50&gt;(ROW(PLE.lastrow)-ROW(PLE.firstrow))),0,
           IF(OFFSET(PLE!$G$15,$M50-$A$15,DA$13)="",10^12,OFFSET(PLE!$G$15,$M50-$A$15,DA$13)))</f>
        <v>1000000000000</v>
      </c>
      <c r="DB50" s="354" t="n">
        <f aca="true">IF(OR($D50&lt;&gt;"Serviço",AND(AUTOEVENTO="Manual",$M50=$A$15),$M50&gt;(ROW(PLE.lastrow)-ROW(PLE.firstrow))),0,
           IF(OFFSET(PLE!$G$15,$M50-$A$15,DB$13)="",10^12,OFFSET(PLE!$G$15,$M50-$A$15,DB$13)))</f>
        <v>1000000000000</v>
      </c>
      <c r="DC50" s="354" t="n">
        <f aca="true">IF(OR($D50&lt;&gt;"Serviço",AND(AUTOEVENTO="Manual",$M50=$A$15),$M50&gt;(ROW(PLE.lastrow)-ROW(PLE.firstrow))),0,
           IF(OFFSET(PLE!$G$15,$M50-$A$15,DC$13)="",10^12,OFFSET(PLE!$G$15,$M50-$A$15,DC$13)))</f>
        <v>1000000000000</v>
      </c>
      <c r="DD50" s="354" t="n">
        <f aca="true">IF(OR($D50&lt;&gt;"Serviço",AND(AUTOEVENTO="Manual",$M50=$A$15),$M50&gt;(ROW(PLE.lastrow)-ROW(PLE.firstrow))),0,
           IF(OFFSET(PLE!$G$15,$M50-$A$15,DD$13)="",10^12,OFFSET(PLE!$G$15,$M50-$A$15,DD$13)))</f>
        <v>1000000000000</v>
      </c>
      <c r="DE50" s="354" t="n">
        <f aca="true">IF(OR($D50&lt;&gt;"Serviço",AND(AUTOEVENTO="Manual",$M50=$A$15),$M50&gt;(ROW(PLE.lastrow)-ROW(PLE.firstrow))),0,
           IF(OFFSET(PLE!$G$15,$M50-$A$15,DE$13)="",10^12,OFFSET(PLE!$G$15,$M50-$A$15,DE$13)))</f>
        <v>1000000000000</v>
      </c>
      <c r="DF50" s="354" t="n">
        <f aca="true">IF(OR($D50&lt;&gt;"Serviço",AND(AUTOEVENTO="Manual",$M50=$A$15),$M50&gt;(ROW(PLE.lastrow)-ROW(PLE.firstrow))),0,
           IF(OFFSET(PLE!$G$15,$M50-$A$15,DF$13)="",10^12,OFFSET(PLE!$G$15,$M50-$A$15,DF$13)))</f>
        <v>1000000000000</v>
      </c>
      <c r="DG50" s="354" t="n">
        <f aca="true">IF(OR($D50&lt;&gt;"Serviço",AND(AUTOEVENTO="Manual",$M50=$A$15),$M50&gt;(ROW(PLE.lastrow)-ROW(PLE.firstrow))),0,
           IF(OFFSET(PLE!$G$15,$M50-$A$15,DG$13)="",10^12,OFFSET(PLE!$G$15,$M50-$A$15,DG$13)))</f>
        <v>1000000000000</v>
      </c>
      <c r="DH50" s="354" t="n">
        <f aca="true">IF(OR($D50&lt;&gt;"Serviço",AND(AUTOEVENTO="Manual",$M50=$A$15),$M50&gt;(ROW(PLE.lastrow)-ROW(PLE.firstrow))),0,
           IF(OFFSET(PLE!$G$15,$M50-$A$15,DH$13)="",10^12,OFFSET(PLE!$G$15,$M50-$A$15,DH$13)))</f>
        <v>1000000000000</v>
      </c>
      <c r="DI50" s="354" t="n">
        <f aca="true">IF(OR($D50&lt;&gt;"Serviço",AND(AUTOEVENTO="Manual",$M50=$A$15),$M50&gt;(ROW(PLE.lastrow)-ROW(PLE.firstrow))),0,
           IF(OFFSET(PLE!$G$15,$M50-$A$15,DI$13)="",10^12,OFFSET(PLE!$G$15,$M50-$A$15,DI$13)))</f>
        <v>1000000000000</v>
      </c>
      <c r="DJ50" s="354" t="n">
        <f aca="true">IF(OR($D50&lt;&gt;"Serviço",AND(AUTOEVENTO="Manual",$M50=$A$15),$M50&gt;(ROW(PLE.lastrow)-ROW(PLE.firstrow))),0,
           IF(OFFSET(PLE!$G$15,$M50-$A$15,DJ$13)="",10^12,OFFSET(PLE!$G$15,$M50-$A$15,DJ$13)))</f>
        <v>1000000000000</v>
      </c>
      <c r="DK50" s="354" t="n">
        <f aca="true">IF(OR($D50&lt;&gt;"Serviço",AND(AUTOEVENTO="Manual",$M50=$A$15),$M50&gt;(ROW(PLE.lastrow)-ROW(PLE.firstrow))),0,
           IF(OFFSET(PLE!$G$15,$M50-$A$15,DK$13)="",10^12,OFFSET(PLE!$G$15,$M50-$A$15,DK$13)))</f>
        <v>1000000000000</v>
      </c>
      <c r="DL50" s="354" t="n">
        <f aca="true">IF(OR($D50&lt;&gt;"Serviço",AND(AUTOEVENTO="Manual",$M50=$A$15),$M50&gt;(ROW(PLE.lastrow)-ROW(PLE.firstrow))),0,
           IF(OFFSET(PLE!$G$15,$M50-$A$15,DL$13)="",10^12,OFFSET(PLE!$G$15,$M50-$A$15,DL$13)))</f>
        <v>1000000000000</v>
      </c>
      <c r="DM50" s="354" t="n">
        <f aca="true">IF(OR($D50&lt;&gt;"Serviço",AND(AUTOEVENTO="Manual",$M50=$A$15),$M50&gt;(ROW(PLE.lastrow)-ROW(PLE.firstrow))),0,
           IF(OFFSET(PLE!$G$15,$M50-$A$15,DM$13)="",10^12,OFFSET(PLE!$G$15,$M50-$A$15,DM$13)))</f>
        <v>1000000000000</v>
      </c>
      <c r="DN50" s="354" t="n">
        <f aca="true">IF(OR($D50&lt;&gt;"Serviço",AND(AUTOEVENTO="Manual",$M50=$A$15),$M50&gt;(ROW(PLE.lastrow)-ROW(PLE.firstrow))),0,
           IF(OFFSET(PLE!$G$15,$M50-$A$15,DN$13)="",10^12,OFFSET(PLE!$G$15,$M50-$A$15,DN$13)))</f>
        <v>1000000000000</v>
      </c>
      <c r="DO50" s="354" t="n">
        <f aca="true">IF(OR($D50&lt;&gt;"Serviço",AND(AUTOEVENTO="Manual",$M50=$A$15),$M50&gt;(ROW(PLE.lastrow)-ROW(PLE.firstrow))),0,
           IF(OFFSET(PLE!$G$15,$M50-$A$15,DO$13)="",10^12,OFFSET(PLE!$G$15,$M50-$A$15,DO$13)))</f>
        <v>1000000000000</v>
      </c>
      <c r="DP50" s="354" t="n">
        <f aca="true">IF(OR($D50&lt;&gt;"Serviço",AND(AUTOEVENTO="Manual",$M50=$A$15),$M50&gt;(ROW(PLE.lastrow)-ROW(PLE.firstrow))),0,
           IF(OFFSET(PLE!$G$15,$M50-$A$15,DP$13)="",10^12,OFFSET(PLE!$G$15,$M50-$A$15,DP$13)))</f>
        <v>1000000000000</v>
      </c>
      <c r="DQ50" s="354" t="n">
        <f aca="true">IF(OR($D50&lt;&gt;"Serviço",AND(AUTOEVENTO="Manual",$M50=$A$15),$M50&gt;(ROW(PLE.lastrow)-ROW(PLE.firstrow))),0,
           IF(OFFSET(PLE!$G$15,$M50-$A$15,DQ$13)="",10^12,OFFSET(PLE!$G$15,$M50-$A$15,DQ$13)))</f>
        <v>1000000000000</v>
      </c>
      <c r="DR50" s="354" t="n">
        <f aca="true">IF(OR($D50&lt;&gt;"Serviço",AND(AUTOEVENTO="Manual",$M50=$A$15),$M50&gt;(ROW(PLE.lastrow)-ROW(PLE.firstrow))),0,
           IF(OFFSET(PLE!$G$15,$M50-$A$15,DR$13)="",10^12,OFFSET(PLE!$G$15,$M50-$A$15,DR$13)))</f>
        <v>1000000000000</v>
      </c>
      <c r="DS50" s="354" t="n">
        <f aca="true">IF(OR($D50&lt;&gt;"Serviço",AND(AUTOEVENTO="Manual",$M50=$A$15),$M50&gt;(ROW(PLE.lastrow)-ROW(PLE.firstrow))),0,
           IF(OFFSET(PLE!$G$15,$M50-$A$15,DS$13)="",10^12,OFFSET(PLE!$G$15,$M50-$A$15,DS$13)))</f>
        <v>1000000000000</v>
      </c>
    </row>
    <row r="51" customFormat="false" ht="35.05" hidden="false" customHeight="false" outlineLevel="0" collapsed="false">
      <c r="A51" s="50" t="str">
        <f aca="true">IFERROR(IF(AUTOEVENTO="Manual",IF(K51&lt;&gt;"",MIN(VALUE(LEFT(K51,FIND(".",K51)-1)),COUNTA(EVENTOS.Lista)),0),IF(OR($B51&gt;AUTOEVENTO,$B51="S",$B51=0),SUBSTITUTE(OFFSET($A51,-1,0),IF($D51="Serviço",".",""),""),ROW(A51)-ROW($A$15)&amp;".")),0)</f>
        <v>34</v>
      </c>
      <c r="B51" s="50" t="str">
        <f aca="true">OFFSET(ORÇAMENTO!C$15,ROW(B51)-ROW(B$15),0)</f>
        <v>S</v>
      </c>
      <c r="C51" s="50" t="str">
        <f aca="true">OFFSET(ORÇAMENTO!L$15,ROW(C51)-ROW(C$15),0)</f>
        <v>F</v>
      </c>
      <c r="D51" s="201" t="str">
        <f aca="true">OFFSET(ORÇAMENTO!N$15,ROW(D51)-ROW(D$15),0)</f>
        <v>Serviço</v>
      </c>
      <c r="E51" s="202" t="str">
        <f aca="true">OFFSET(ORÇAMENTO!O$15,ROW(E51)-ROW(E$15),0)</f>
        <v>1.9.2.</v>
      </c>
      <c r="F51" s="341" t="str">
        <f aca="true">OFFSET(ORÇAMENTO!R$15,ROW(F51)-ROW(F$15),0)</f>
        <v>ARMAÇÃO DE PILAR OU VIGA DE ESTRUTURA CONVENCIONAL DE CONCRETO ARMADO UTILIZANDO AÇO CA-50
DE 10,0 MM - MONTAGEM. AF_06/2022</v>
      </c>
      <c r="G51" s="342" t="str">
        <f aca="true">IF($D51&lt;&gt;"Serviço","",OFFSET(ORÇAMENTO!S$15,ROW(G51)-ROW(G$15),0))</f>
        <v>KG</v>
      </c>
      <c r="H51" s="207" t="n">
        <f aca="true">IF($D51&lt;&gt;"Serviço",0,IF(ACOMPANHAMENTO="BM",ROUND(OFFSET(ORÇAMENTO!AJ$15,ROW(H51)-ROW(H$15),0),15-13*ORÇAMENTO!$AF$7),SUMPRODUCT(($Q$1:$AQ$1=1)*ROUND($Q51:$AQ51,15-13*ORÇAMENTO!$AF$7))))</f>
        <v>6300</v>
      </c>
      <c r="I51" s="343" t="s">
        <v>936</v>
      </c>
      <c r="J51" s="344" t="e">
        <f aca="false">IF(OR(B51&lt;&gt;"S",CÁLCULO.FrentesPreenchidas=0),"",IF(AND(ACOMPANHAMENTO="PLE",AUTOEVENTO="Manual",OR(H51&gt;0,ORÇAMENTO!AC51="QUANT."),OR(K51="",M51=0,N51="")),"►",IF(AND(ACOMPANHAMENTO="PLE",ORÇAMENTO!AC51="QUANT."),"►►",IF(AND(COUNTIF($P$11:$AQ$11,"▼")=0,H51&gt;0,I51=""),"◄",""))))</f>
        <v>#NAME?</v>
      </c>
      <c r="K51" s="345"/>
      <c r="L51" s="346" t="s">
        <v>876</v>
      </c>
      <c r="M51" s="347" t="n">
        <f aca="true">IF($D51&lt;&gt;"Serviço","",
          IF(AUTOEVENTO="manual",$A51,
                IF(ISERROR(MATCH($A51,$A$15:OFFSET($A51,-1,0),0)),MAX($M$15:OFFSET(M51,-1,0))+1,
                      INDEX($M$15:OFFSET(M51,-1,0),MATCH($A51,$A$15:OFFSET($A51,-1,0),0)))))</f>
        <v>6</v>
      </c>
      <c r="N51" s="348" t="str">
        <f aca="true">IF($D51&lt;&gt;"Serviço","",
         IF(AUTOEVENTO="Manual",
                IF($A51=0,"&lt;-- defina o número do agrupador",
                       OFFSET(EVENTOS!$D$15,$A51-$A$15,0)),
                OFFSET($F$15,$A51,0)))</f>
        <v>PILARES, VIGAS E LAJES</v>
      </c>
      <c r="O51" s="349"/>
      <c r="Q51" s="349" t="n">
        <f aca="false">164.1+87.9</f>
        <v>252</v>
      </c>
      <c r="R51" s="350" t="n">
        <f aca="false">164.1+87.9</f>
        <v>252</v>
      </c>
      <c r="S51" s="350" t="n">
        <f aca="false">164.1+87.9</f>
        <v>252</v>
      </c>
      <c r="T51" s="350" t="n">
        <f aca="false">164.1+87.9</f>
        <v>252</v>
      </c>
      <c r="U51" s="350" t="n">
        <f aca="false">164.1+87.9</f>
        <v>252</v>
      </c>
      <c r="V51" s="350" t="n">
        <f aca="false">164.1+87.9</f>
        <v>252</v>
      </c>
      <c r="W51" s="350" t="n">
        <f aca="false">164.1+87.9</f>
        <v>252</v>
      </c>
      <c r="X51" s="350" t="n">
        <f aca="false">164.1+87.9</f>
        <v>252</v>
      </c>
      <c r="Y51" s="350" t="n">
        <f aca="false">164.1+87.9</f>
        <v>252</v>
      </c>
      <c r="Z51" s="351" t="n">
        <f aca="false">164.1+87.9</f>
        <v>252</v>
      </c>
      <c r="AA51" s="350" t="n">
        <f aca="false">164.1+87.9</f>
        <v>252</v>
      </c>
      <c r="AB51" s="350" t="n">
        <f aca="false">164.1+87.9</f>
        <v>252</v>
      </c>
      <c r="AC51" s="350" t="n">
        <f aca="false">164.1+87.9</f>
        <v>252</v>
      </c>
      <c r="AD51" s="350" t="n">
        <f aca="false">164.1+87.9</f>
        <v>252</v>
      </c>
      <c r="AE51" s="350" t="n">
        <f aca="false">164.1+87.9</f>
        <v>252</v>
      </c>
      <c r="AF51" s="350" t="n">
        <f aca="false">164.1+87.9</f>
        <v>252</v>
      </c>
      <c r="AG51" s="350" t="n">
        <f aca="false">164.1+87.9</f>
        <v>252</v>
      </c>
      <c r="AH51" s="351" t="n">
        <f aca="false">164.1+87.9</f>
        <v>252</v>
      </c>
      <c r="AI51" s="350" t="n">
        <f aca="false">164.1+87.9</f>
        <v>252</v>
      </c>
      <c r="AJ51" s="350" t="n">
        <f aca="false">164.1+87.9</f>
        <v>252</v>
      </c>
      <c r="AK51" s="350" t="n">
        <f aca="false">164.1+87.9</f>
        <v>252</v>
      </c>
      <c r="AL51" s="350" t="n">
        <f aca="false">164.1+87.9</f>
        <v>252</v>
      </c>
      <c r="AM51" s="350" t="n">
        <f aca="false">164.1+87.9</f>
        <v>252</v>
      </c>
      <c r="AN51" s="350" t="n">
        <f aca="false">164.1+87.9</f>
        <v>252</v>
      </c>
      <c r="AO51" s="350" t="n">
        <f aca="false">164.1+87.9</f>
        <v>252</v>
      </c>
      <c r="AP51" s="351"/>
      <c r="AR51" s="352" t="n">
        <f aca="true">IF(AND($D51="Serviço",AR$12&lt;&gt;0,$H51&gt;0,OR(AUTOEVENTO&lt;&gt;"manual",$M51&lt;&gt;$A$15)),
        IF(Import.TipoArredondamento&lt;&gt;"TransfereGOV",
              ROUND(OFFSET($P51,0,AR$13),15-13*ORÇAMENTO!$AF$7)/$H51*OFFSET(ORÇAMENTO!$X$15,ROW(AR51)-ROW(AR$15),0),
              ROUND(ROUND(OFFSET($P51,0,AR$13),15-13*ORÇAMENTO!$AF$7)*OFFSET(ORÇAMENTO!$W$15,ROW(AR51)-ROW(AR$15),0),15-13*ORÇAMENTO!$AF$11)),
         0)</f>
        <v>3530.52</v>
      </c>
      <c r="AS51" s="352" t="n">
        <f aca="true">IF(AND($D51="Serviço",AS$12&lt;&gt;0,$H51&gt;0,OR(AUTOEVENTO&lt;&gt;"manual",$M51&lt;&gt;$A$15)),
        IF(Import.TipoArredondamento&lt;&gt;"TransfereGOV",
              ROUND(OFFSET($P51,0,AS$13),15-13*ORÇAMENTO!$AF$7)/$H51*OFFSET(ORÇAMENTO!$X$15,ROW(AS51)-ROW(AS$15),0),
              ROUND(ROUND(OFFSET($P51,0,AS$13),15-13*ORÇAMENTO!$AF$7)*OFFSET(ORÇAMENTO!$W$15,ROW(AS51)-ROW(AS$15),0),15-13*ORÇAMENTO!$AF$11)),
         0)</f>
        <v>3530.52</v>
      </c>
      <c r="AT51" s="352" t="n">
        <f aca="true">IF(AND($D51="Serviço",AT$12&lt;&gt;0,$H51&gt;0,OR(AUTOEVENTO&lt;&gt;"manual",$M51&lt;&gt;$A$15)),
        IF(Import.TipoArredondamento&lt;&gt;"TransfereGOV",
              ROUND(OFFSET($P51,0,AT$13),15-13*ORÇAMENTO!$AF$7)/$H51*OFFSET(ORÇAMENTO!$X$15,ROW(AT51)-ROW(AT$15),0),
              ROUND(ROUND(OFFSET($P51,0,AT$13),15-13*ORÇAMENTO!$AF$7)*OFFSET(ORÇAMENTO!$W$15,ROW(AT51)-ROW(AT$15),0),15-13*ORÇAMENTO!$AF$11)),
         0)</f>
        <v>3530.52</v>
      </c>
      <c r="AU51" s="352" t="n">
        <f aca="true">IF(AND($D51="Serviço",AU$12&lt;&gt;0,$H51&gt;0,OR(AUTOEVENTO&lt;&gt;"manual",$M51&lt;&gt;$A$15)),
        IF(Import.TipoArredondamento&lt;&gt;"TransfereGOV",
              ROUND(OFFSET($P51,0,AU$13),15-13*ORÇAMENTO!$AF$7)/$H51*OFFSET(ORÇAMENTO!$X$15,ROW(AU51)-ROW(AU$15),0),
              ROUND(ROUND(OFFSET($P51,0,AU$13),15-13*ORÇAMENTO!$AF$7)*OFFSET(ORÇAMENTO!$W$15,ROW(AU51)-ROW(AU$15),0),15-13*ORÇAMENTO!$AF$11)),
         0)</f>
        <v>3530.52</v>
      </c>
      <c r="AV51" s="352" t="n">
        <f aca="true">IF(AND($D51="Serviço",AV$12&lt;&gt;0,$H51&gt;0,OR(AUTOEVENTO&lt;&gt;"manual",$M51&lt;&gt;$A$15)),
        IF(Import.TipoArredondamento&lt;&gt;"TransfereGOV",
              ROUND(OFFSET($P51,0,AV$13),15-13*ORÇAMENTO!$AF$7)/$H51*OFFSET(ORÇAMENTO!$X$15,ROW(AV51)-ROW(AV$15),0),
              ROUND(ROUND(OFFSET($P51,0,AV$13),15-13*ORÇAMENTO!$AF$7)*OFFSET(ORÇAMENTO!$W$15,ROW(AV51)-ROW(AV$15),0),15-13*ORÇAMENTO!$AF$11)),
         0)</f>
        <v>3530.52</v>
      </c>
      <c r="AW51" s="352" t="n">
        <f aca="true">IF(AND($D51="Serviço",AW$12&lt;&gt;0,$H51&gt;0,OR(AUTOEVENTO&lt;&gt;"manual",$M51&lt;&gt;$A$15)),
        IF(Import.TipoArredondamento&lt;&gt;"TransfereGOV",
              ROUND(OFFSET($P51,0,AW$13),15-13*ORÇAMENTO!$AF$7)/$H51*OFFSET(ORÇAMENTO!$X$15,ROW(AW51)-ROW(AW$15),0),
              ROUND(ROUND(OFFSET($P51,0,AW$13),15-13*ORÇAMENTO!$AF$7)*OFFSET(ORÇAMENTO!$W$15,ROW(AW51)-ROW(AW$15),0),15-13*ORÇAMENTO!$AF$11)),
         0)</f>
        <v>3530.52</v>
      </c>
      <c r="AX51" s="352" t="n">
        <f aca="true">IF(AND($D51="Serviço",AX$12&lt;&gt;0,$H51&gt;0,OR(AUTOEVENTO&lt;&gt;"manual",$M51&lt;&gt;$A$15)),
        IF(Import.TipoArredondamento&lt;&gt;"TransfereGOV",
              ROUND(OFFSET($P51,0,AX$13),15-13*ORÇAMENTO!$AF$7)/$H51*OFFSET(ORÇAMENTO!$X$15,ROW(AX51)-ROW(AX$15),0),
              ROUND(ROUND(OFFSET($P51,0,AX$13),15-13*ORÇAMENTO!$AF$7)*OFFSET(ORÇAMENTO!$W$15,ROW(AX51)-ROW(AX$15),0),15-13*ORÇAMENTO!$AF$11)),
         0)</f>
        <v>3530.52</v>
      </c>
      <c r="AY51" s="352" t="n">
        <f aca="true">IF(AND($D51="Serviço",AY$12&lt;&gt;0,$H51&gt;0,OR(AUTOEVENTO&lt;&gt;"manual",$M51&lt;&gt;$A$15)),
        IF(Import.TipoArredondamento&lt;&gt;"TransfereGOV",
              ROUND(OFFSET($P51,0,AY$13),15-13*ORÇAMENTO!$AF$7)/$H51*OFFSET(ORÇAMENTO!$X$15,ROW(AY51)-ROW(AY$15),0),
              ROUND(ROUND(OFFSET($P51,0,AY$13),15-13*ORÇAMENTO!$AF$7)*OFFSET(ORÇAMENTO!$W$15,ROW(AY51)-ROW(AY$15),0),15-13*ORÇAMENTO!$AF$11)),
         0)</f>
        <v>3530.52</v>
      </c>
      <c r="AZ51" s="352" t="n">
        <f aca="true">IF(AND($D51="Serviço",AZ$12&lt;&gt;0,$H51&gt;0,OR(AUTOEVENTO&lt;&gt;"manual",$M51&lt;&gt;$A$15)),
        IF(Import.TipoArredondamento&lt;&gt;"TransfereGOV",
              ROUND(OFFSET($P51,0,AZ$13),15-13*ORÇAMENTO!$AF$7)/$H51*OFFSET(ORÇAMENTO!$X$15,ROW(AZ51)-ROW(AZ$15),0),
              ROUND(ROUND(OFFSET($P51,0,AZ$13),15-13*ORÇAMENTO!$AF$7)*OFFSET(ORÇAMENTO!$W$15,ROW(AZ51)-ROW(AZ$15),0),15-13*ORÇAMENTO!$AF$11)),
         0)</f>
        <v>3530.52</v>
      </c>
      <c r="BA51" s="352" t="n">
        <f aca="true">IF(AND($D51="Serviço",BA$12&lt;&gt;0,$H51&gt;0,OR(AUTOEVENTO&lt;&gt;"manual",$M51&lt;&gt;$A$15)),
        IF(Import.TipoArredondamento&lt;&gt;"TransfereGOV",
              ROUND(OFFSET($P51,0,BA$13),15-13*ORÇAMENTO!$AF$7)/$H51*OFFSET(ORÇAMENTO!$X$15,ROW(BA51)-ROW(BA$15),0),
              ROUND(ROUND(OFFSET($P51,0,BA$13),15-13*ORÇAMENTO!$AF$7)*OFFSET(ORÇAMENTO!$W$15,ROW(BA51)-ROW(BA$15),0),15-13*ORÇAMENTO!$AF$11)),
         0)</f>
        <v>3530.52</v>
      </c>
      <c r="BB51" s="352" t="n">
        <f aca="true">IF(AND($D51="Serviço",BB$12&lt;&gt;0,$H51&gt;0,OR(AUTOEVENTO&lt;&gt;"manual",$M51&lt;&gt;$A$15)),
        IF(Import.TipoArredondamento&lt;&gt;"TransfereGOV",
              ROUND(OFFSET($P51,0,BB$13),15-13*ORÇAMENTO!$AF$7)/$H51*OFFSET(ORÇAMENTO!$X$15,ROW(BB51)-ROW(BB$15),0),
              ROUND(ROUND(OFFSET($P51,0,BB$13),15-13*ORÇAMENTO!$AF$7)*OFFSET(ORÇAMENTO!$W$15,ROW(BB51)-ROW(BB$15),0),15-13*ORÇAMENTO!$AF$11)),
         0)</f>
        <v>3530.52</v>
      </c>
      <c r="BC51" s="352" t="n">
        <f aca="true">IF(AND($D51="Serviço",BC$12&lt;&gt;0,$H51&gt;0,OR(AUTOEVENTO&lt;&gt;"manual",$M51&lt;&gt;$A$15)),
        IF(Import.TipoArredondamento&lt;&gt;"TransfereGOV",
              ROUND(OFFSET($P51,0,BC$13),15-13*ORÇAMENTO!$AF$7)/$H51*OFFSET(ORÇAMENTO!$X$15,ROW(BC51)-ROW(BC$15),0),
              ROUND(ROUND(OFFSET($P51,0,BC$13),15-13*ORÇAMENTO!$AF$7)*OFFSET(ORÇAMENTO!$W$15,ROW(BC51)-ROW(BC$15),0),15-13*ORÇAMENTO!$AF$11)),
         0)</f>
        <v>3530.52</v>
      </c>
      <c r="BD51" s="352" t="n">
        <f aca="true">IF(AND($D51="Serviço",BD$12&lt;&gt;0,$H51&gt;0,OR(AUTOEVENTO&lt;&gt;"manual",$M51&lt;&gt;$A$15)),
        IF(Import.TipoArredondamento&lt;&gt;"TransfereGOV",
              ROUND(OFFSET($P51,0,BD$13),15-13*ORÇAMENTO!$AF$7)/$H51*OFFSET(ORÇAMENTO!$X$15,ROW(BD51)-ROW(BD$15),0),
              ROUND(ROUND(OFFSET($P51,0,BD$13),15-13*ORÇAMENTO!$AF$7)*OFFSET(ORÇAMENTO!$W$15,ROW(BD51)-ROW(BD$15),0),15-13*ORÇAMENTO!$AF$11)),
         0)</f>
        <v>3530.52</v>
      </c>
      <c r="BE51" s="352" t="n">
        <f aca="true">IF(AND($D51="Serviço",BE$12&lt;&gt;0,$H51&gt;0,OR(AUTOEVENTO&lt;&gt;"manual",$M51&lt;&gt;$A$15)),
        IF(Import.TipoArredondamento&lt;&gt;"TransfereGOV",
              ROUND(OFFSET($P51,0,BE$13),15-13*ORÇAMENTO!$AF$7)/$H51*OFFSET(ORÇAMENTO!$X$15,ROW(BE51)-ROW(BE$15),0),
              ROUND(ROUND(OFFSET($P51,0,BE$13),15-13*ORÇAMENTO!$AF$7)*OFFSET(ORÇAMENTO!$W$15,ROW(BE51)-ROW(BE$15),0),15-13*ORÇAMENTO!$AF$11)),
         0)</f>
        <v>3530.52</v>
      </c>
      <c r="BF51" s="352" t="n">
        <f aca="true">IF(AND($D51="Serviço",BF$12&lt;&gt;0,$H51&gt;0,OR(AUTOEVENTO&lt;&gt;"manual",$M51&lt;&gt;$A$15)),
        IF(Import.TipoArredondamento&lt;&gt;"TransfereGOV",
              ROUND(OFFSET($P51,0,BF$13),15-13*ORÇAMENTO!$AF$7)/$H51*OFFSET(ORÇAMENTO!$X$15,ROW(BF51)-ROW(BF$15),0),
              ROUND(ROUND(OFFSET($P51,0,BF$13),15-13*ORÇAMENTO!$AF$7)*OFFSET(ORÇAMENTO!$W$15,ROW(BF51)-ROW(BF$15),0),15-13*ORÇAMENTO!$AF$11)),
         0)</f>
        <v>3530.52</v>
      </c>
      <c r="BG51" s="352" t="n">
        <f aca="true">IF(AND($D51="Serviço",BG$12&lt;&gt;0,$H51&gt;0,OR(AUTOEVENTO&lt;&gt;"manual",$M51&lt;&gt;$A$15)),
        IF(Import.TipoArredondamento&lt;&gt;"TransfereGOV",
              ROUND(OFFSET($P51,0,BG$13),15-13*ORÇAMENTO!$AF$7)/$H51*OFFSET(ORÇAMENTO!$X$15,ROW(BG51)-ROW(BG$15),0),
              ROUND(ROUND(OFFSET($P51,0,BG$13),15-13*ORÇAMENTO!$AF$7)*OFFSET(ORÇAMENTO!$W$15,ROW(BG51)-ROW(BG$15),0),15-13*ORÇAMENTO!$AF$11)),
         0)</f>
        <v>3530.52</v>
      </c>
      <c r="BH51" s="352" t="n">
        <f aca="true">IF(AND($D51="Serviço",BH$12&lt;&gt;0,$H51&gt;0,OR(AUTOEVENTO&lt;&gt;"manual",$M51&lt;&gt;$A$15)),
        IF(Import.TipoArredondamento&lt;&gt;"TransfereGOV",
              ROUND(OFFSET($P51,0,BH$13),15-13*ORÇAMENTO!$AF$7)/$H51*OFFSET(ORÇAMENTO!$X$15,ROW(BH51)-ROW(BH$15),0),
              ROUND(ROUND(OFFSET($P51,0,BH$13),15-13*ORÇAMENTO!$AF$7)*OFFSET(ORÇAMENTO!$W$15,ROW(BH51)-ROW(BH$15),0),15-13*ORÇAMENTO!$AF$11)),
         0)</f>
        <v>3530.52</v>
      </c>
      <c r="BI51" s="352" t="n">
        <f aca="true">IF(AND($D51="Serviço",BI$12&lt;&gt;0,$H51&gt;0,OR(AUTOEVENTO&lt;&gt;"manual",$M51&lt;&gt;$A$15)),
        IF(Import.TipoArredondamento&lt;&gt;"TransfereGOV",
              ROUND(OFFSET($P51,0,BI$13),15-13*ORÇAMENTO!$AF$7)/$H51*OFFSET(ORÇAMENTO!$X$15,ROW(BI51)-ROW(BI$15),0),
              ROUND(ROUND(OFFSET($P51,0,BI$13),15-13*ORÇAMENTO!$AF$7)*OFFSET(ORÇAMENTO!$W$15,ROW(BI51)-ROW(BI$15),0),15-13*ORÇAMENTO!$AF$11)),
         0)</f>
        <v>3530.52</v>
      </c>
      <c r="BJ51" s="352" t="n">
        <f aca="true">IF(AND($D51="Serviço",BJ$12&lt;&gt;0,$H51&gt;0,OR(AUTOEVENTO&lt;&gt;"manual",$M51&lt;&gt;$A$15)),
        IF(Import.TipoArredondamento&lt;&gt;"TransfereGOV",
              ROUND(OFFSET($P51,0,BJ$13),15-13*ORÇAMENTO!$AF$7)/$H51*OFFSET(ORÇAMENTO!$X$15,ROW(BJ51)-ROW(BJ$15),0),
              ROUND(ROUND(OFFSET($P51,0,BJ$13),15-13*ORÇAMENTO!$AF$7)*OFFSET(ORÇAMENTO!$W$15,ROW(BJ51)-ROW(BJ$15),0),15-13*ORÇAMENTO!$AF$11)),
         0)</f>
        <v>3530.52</v>
      </c>
      <c r="BK51" s="352" t="n">
        <f aca="true">IF(AND($D51="Serviço",BK$12&lt;&gt;0,$H51&gt;0,OR(AUTOEVENTO&lt;&gt;"manual",$M51&lt;&gt;$A$15)),
        IF(Import.TipoArredondamento&lt;&gt;"TransfereGOV",
              ROUND(OFFSET($P51,0,BK$13),15-13*ORÇAMENTO!$AF$7)/$H51*OFFSET(ORÇAMENTO!$X$15,ROW(BK51)-ROW(BK$15),0),
              ROUND(ROUND(OFFSET($P51,0,BK$13),15-13*ORÇAMENTO!$AF$7)*OFFSET(ORÇAMENTO!$W$15,ROW(BK51)-ROW(BK$15),0),15-13*ORÇAMENTO!$AF$11)),
         0)</f>
        <v>3530.52</v>
      </c>
      <c r="BL51" s="352" t="n">
        <f aca="true">IF(AND($D51="Serviço",BL$12&lt;&gt;0,$H51&gt;0,OR(AUTOEVENTO&lt;&gt;"manual",$M51&lt;&gt;$A$15)),
        IF(Import.TipoArredondamento&lt;&gt;"TransfereGOV",
              ROUND(OFFSET($P51,0,BL$13),15-13*ORÇAMENTO!$AF$7)/$H51*OFFSET(ORÇAMENTO!$X$15,ROW(BL51)-ROW(BL$15),0),
              ROUND(ROUND(OFFSET($P51,0,BL$13),15-13*ORÇAMENTO!$AF$7)*OFFSET(ORÇAMENTO!$W$15,ROW(BL51)-ROW(BL$15),0),15-13*ORÇAMENTO!$AF$11)),
         0)</f>
        <v>3530.52</v>
      </c>
      <c r="BM51" s="352" t="n">
        <f aca="true">IF(AND($D51="Serviço",BM$12&lt;&gt;0,$H51&gt;0,OR(AUTOEVENTO&lt;&gt;"manual",$M51&lt;&gt;$A$15)),
        IF(Import.TipoArredondamento&lt;&gt;"TransfereGOV",
              ROUND(OFFSET($P51,0,BM$13),15-13*ORÇAMENTO!$AF$7)/$H51*OFFSET(ORÇAMENTO!$X$15,ROW(BM51)-ROW(BM$15),0),
              ROUND(ROUND(OFFSET($P51,0,BM$13),15-13*ORÇAMENTO!$AF$7)*OFFSET(ORÇAMENTO!$W$15,ROW(BM51)-ROW(BM$15),0),15-13*ORÇAMENTO!$AF$11)),
         0)</f>
        <v>3530.52</v>
      </c>
      <c r="BN51" s="352" t="n">
        <f aca="true">IF(AND($D51="Serviço",BN$12&lt;&gt;0,$H51&gt;0,OR(AUTOEVENTO&lt;&gt;"manual",$M51&lt;&gt;$A$15)),
        IF(Import.TipoArredondamento&lt;&gt;"TransfereGOV",
              ROUND(OFFSET($P51,0,BN$13),15-13*ORÇAMENTO!$AF$7)/$H51*OFFSET(ORÇAMENTO!$X$15,ROW(BN51)-ROW(BN$15),0),
              ROUND(ROUND(OFFSET($P51,0,BN$13),15-13*ORÇAMENTO!$AF$7)*OFFSET(ORÇAMENTO!$W$15,ROW(BN51)-ROW(BN$15),0),15-13*ORÇAMENTO!$AF$11)),
         0)</f>
        <v>3530.52</v>
      </c>
      <c r="BO51" s="352" t="n">
        <f aca="true">IF(AND($D51="Serviço",BO$12&lt;&gt;0,$H51&gt;0,OR(AUTOEVENTO&lt;&gt;"manual",$M51&lt;&gt;$A$15)),
        IF(Import.TipoArredondamento&lt;&gt;"TransfereGOV",
              ROUND(OFFSET($P51,0,BO$13),15-13*ORÇAMENTO!$AF$7)/$H51*OFFSET(ORÇAMENTO!$X$15,ROW(BO51)-ROW(BO$15),0),
              ROUND(ROUND(OFFSET($P51,0,BO$13),15-13*ORÇAMENTO!$AF$7)*OFFSET(ORÇAMENTO!$W$15,ROW(BO51)-ROW(BO$15),0),15-13*ORÇAMENTO!$AF$11)),
         0)</f>
        <v>3530.52</v>
      </c>
      <c r="BP51" s="352" t="n">
        <f aca="true">IF(AND($D51="Serviço",BP$12&lt;&gt;0,$H51&gt;0,OR(AUTOEVENTO&lt;&gt;"manual",$M51&lt;&gt;$A$15)),
        IF(Import.TipoArredondamento&lt;&gt;"TransfereGOV",
              ROUND(OFFSET($P51,0,BP$13),15-13*ORÇAMENTO!$AF$7)/$H51*OFFSET(ORÇAMENTO!$X$15,ROW(BP51)-ROW(BP$15),0),
              ROUND(ROUND(OFFSET($P51,0,BP$13),15-13*ORÇAMENTO!$AF$7)*OFFSET(ORÇAMENTO!$W$15,ROW(BP51)-ROW(BP$15),0),15-13*ORÇAMENTO!$AF$11)),
         0)</f>
        <v>3530.52</v>
      </c>
      <c r="BQ51" s="352" t="n">
        <f aca="true">IF(AND($D51="Serviço",BQ$12&lt;&gt;0,$H51&gt;0,OR(AUTOEVENTO&lt;&gt;"manual",$M51&lt;&gt;$A$15)),
        IF(Import.TipoArredondamento&lt;&gt;"TransfereGOV",
              ROUND(OFFSET($P51,0,BQ$13),15-13*ORÇAMENTO!$AF$7)/$H51*OFFSET(ORÇAMENTO!$X$15,ROW(BQ51)-ROW(BQ$15),0),
              ROUND(ROUND(OFFSET($P51,0,BQ$13),15-13*ORÇAMENTO!$AF$7)*OFFSET(ORÇAMENTO!$W$15,ROW(BQ51)-ROW(BQ$15),0),15-13*ORÇAMENTO!$AF$11)),
         0)</f>
        <v>0</v>
      </c>
      <c r="BS51" s="353" t="n">
        <f aca="true">IF(OR($D51&lt;&gt;"Serviço",AND(AUTOEVENTO="Manual",$M51=$A$15)),0,
         IF(OFFSET(CRONOPLE!$F$15,$M51-$A$15,BS$13)=0,10^12,OFFSET(CRONOPLE!$F$15,$M51-$A$15,BS$13)))</f>
        <v>1</v>
      </c>
      <c r="BT51" s="353" t="n">
        <f aca="true">IF(OR($D51&lt;&gt;"Serviço",AND(AUTOEVENTO="Manual",$M51=$A$15)),0,
         IF(OFFSET(CRONOPLE!$F$15,$M51-$A$15,BT$13)=0,10^12,OFFSET(CRONOPLE!$F$15,$M51-$A$15,BT$13)))</f>
        <v>2</v>
      </c>
      <c r="BU51" s="353" t="n">
        <f aca="true">IF(OR($D51&lt;&gt;"Serviço",AND(AUTOEVENTO="Manual",$M51=$A$15)),0,
         IF(OFFSET(CRONOPLE!$F$15,$M51-$A$15,BU$13)=0,10^12,OFFSET(CRONOPLE!$F$15,$M51-$A$15,BU$13)))</f>
        <v>3</v>
      </c>
      <c r="BV51" s="353" t="n">
        <f aca="true">IF(OR($D51&lt;&gt;"Serviço",AND(AUTOEVENTO="Manual",$M51=$A$15)),0,
         IF(OFFSET(CRONOPLE!$F$15,$M51-$A$15,BV$13)=0,10^12,OFFSET(CRONOPLE!$F$15,$M51-$A$15,BV$13)))</f>
        <v>4</v>
      </c>
      <c r="BW51" s="353" t="n">
        <f aca="true">IF(OR($D51&lt;&gt;"Serviço",AND(AUTOEVENTO="Manual",$M51=$A$15)),0,
         IF(OFFSET(CRONOPLE!$F$15,$M51-$A$15,BW$13)=0,10^12,OFFSET(CRONOPLE!$F$15,$M51-$A$15,BW$13)))</f>
        <v>5</v>
      </c>
      <c r="BX51" s="353" t="n">
        <f aca="true">IF(OR($D51&lt;&gt;"Serviço",AND(AUTOEVENTO="Manual",$M51=$A$15)),0,
         IF(OFFSET(CRONOPLE!$F$15,$M51-$A$15,BX$13)=0,10^12,OFFSET(CRONOPLE!$F$15,$M51-$A$15,BX$13)))</f>
        <v>6</v>
      </c>
      <c r="BY51" s="353" t="n">
        <f aca="true">IF(OR($D51&lt;&gt;"Serviço",AND(AUTOEVENTO="Manual",$M51=$A$15)),0,
         IF(OFFSET(CRONOPLE!$F$15,$M51-$A$15,BY$13)=0,10^12,OFFSET(CRONOPLE!$F$15,$M51-$A$15,BY$13)))</f>
        <v>7</v>
      </c>
      <c r="BZ51" s="353" t="n">
        <f aca="true">IF(OR($D51&lt;&gt;"Serviço",AND(AUTOEVENTO="Manual",$M51=$A$15)),0,
         IF(OFFSET(CRONOPLE!$F$15,$M51-$A$15,BZ$13)=0,10^12,OFFSET(CRONOPLE!$F$15,$M51-$A$15,BZ$13)))</f>
        <v>8</v>
      </c>
      <c r="CA51" s="353" t="n">
        <f aca="true">IF(OR($D51&lt;&gt;"Serviço",AND(AUTOEVENTO="Manual",$M51=$A$15)),0,
         IF(OFFSET(CRONOPLE!$F$15,$M51-$A$15,CA$13)=0,10^12,OFFSET(CRONOPLE!$F$15,$M51-$A$15,CA$13)))</f>
        <v>9</v>
      </c>
      <c r="CB51" s="353" t="n">
        <f aca="true">IF(OR($D51&lt;&gt;"Serviço",AND(AUTOEVENTO="Manual",$M51=$A$15)),0,
         IF(OFFSET(CRONOPLE!$F$15,$M51-$A$15,CB$13)=0,10^12,OFFSET(CRONOPLE!$F$15,$M51-$A$15,CB$13)))</f>
        <v>10</v>
      </c>
      <c r="CC51" s="353" t="n">
        <f aca="true">IF(OR($D51&lt;&gt;"Serviço",AND(AUTOEVENTO="Manual",$M51=$A$15)),0,
         IF(OFFSET(CRONOPLE!$F$15,$M51-$A$15,CC$13)=0,10^12,OFFSET(CRONOPLE!$F$15,$M51-$A$15,CC$13)))</f>
        <v>11</v>
      </c>
      <c r="CD51" s="353" t="n">
        <f aca="true">IF(OR($D51&lt;&gt;"Serviço",AND(AUTOEVENTO="Manual",$M51=$A$15)),0,
         IF(OFFSET(CRONOPLE!$F$15,$M51-$A$15,CD$13)=0,10^12,OFFSET(CRONOPLE!$F$15,$M51-$A$15,CD$13)))</f>
        <v>12</v>
      </c>
      <c r="CE51" s="353" t="n">
        <f aca="true">IF(OR($D51&lt;&gt;"Serviço",AND(AUTOEVENTO="Manual",$M51=$A$15)),0,
         IF(OFFSET(CRONOPLE!$F$15,$M51-$A$15,CE$13)=0,10^12,OFFSET(CRONOPLE!$F$15,$M51-$A$15,CE$13)))</f>
        <v>13</v>
      </c>
      <c r="CF51" s="353" t="n">
        <f aca="true">IF(OR($D51&lt;&gt;"Serviço",AND(AUTOEVENTO="Manual",$M51=$A$15)),0,
         IF(OFFSET(CRONOPLE!$F$15,$M51-$A$15,CF$13)=0,10^12,OFFSET(CRONOPLE!$F$15,$M51-$A$15,CF$13)))</f>
        <v>14</v>
      </c>
      <c r="CG51" s="353" t="n">
        <f aca="true">IF(OR($D51&lt;&gt;"Serviço",AND(AUTOEVENTO="Manual",$M51=$A$15)),0,
         IF(OFFSET(CRONOPLE!$F$15,$M51-$A$15,CG$13)=0,10^12,OFFSET(CRONOPLE!$F$15,$M51-$A$15,CG$13)))</f>
        <v>15</v>
      </c>
      <c r="CH51" s="353" t="n">
        <f aca="true">IF(OR($D51&lt;&gt;"Serviço",AND(AUTOEVENTO="Manual",$M51=$A$15)),0,
         IF(OFFSET(CRONOPLE!$F$15,$M51-$A$15,CH$13)=0,10^12,OFFSET(CRONOPLE!$F$15,$M51-$A$15,CH$13)))</f>
        <v>16</v>
      </c>
      <c r="CI51" s="353" t="n">
        <f aca="true">IF(OR($D51&lt;&gt;"Serviço",AND(AUTOEVENTO="Manual",$M51=$A$15)),0,
         IF(OFFSET(CRONOPLE!$F$15,$M51-$A$15,CI$13)=0,10^12,OFFSET(CRONOPLE!$F$15,$M51-$A$15,CI$13)))</f>
        <v>17</v>
      </c>
      <c r="CJ51" s="353" t="n">
        <f aca="true">IF(OR($D51&lt;&gt;"Serviço",AND(AUTOEVENTO="Manual",$M51=$A$15)),0,
         IF(OFFSET(CRONOPLE!$F$15,$M51-$A$15,CJ$13)=0,10^12,OFFSET(CRONOPLE!$F$15,$M51-$A$15,CJ$13)))</f>
        <v>18</v>
      </c>
      <c r="CK51" s="353" t="n">
        <f aca="true">IF(OR($D51&lt;&gt;"Serviço",AND(AUTOEVENTO="Manual",$M51=$A$15)),0,
         IF(OFFSET(CRONOPLE!$F$15,$M51-$A$15,CK$13)=0,10^12,OFFSET(CRONOPLE!$F$15,$M51-$A$15,CK$13)))</f>
        <v>19</v>
      </c>
      <c r="CL51" s="353" t="n">
        <f aca="true">IF(OR($D51&lt;&gt;"Serviço",AND(AUTOEVENTO="Manual",$M51=$A$15)),0,
         IF(OFFSET(CRONOPLE!$F$15,$M51-$A$15,CL$13)=0,10^12,OFFSET(CRONOPLE!$F$15,$M51-$A$15,CL$13)))</f>
        <v>20</v>
      </c>
      <c r="CM51" s="353" t="n">
        <f aca="true">IF(OR($D51&lt;&gt;"Serviço",AND(AUTOEVENTO="Manual",$M51=$A$15)),0,
         IF(OFFSET(CRONOPLE!$F$15,$M51-$A$15,CM$13)=0,10^12,OFFSET(CRONOPLE!$F$15,$M51-$A$15,CM$13)))</f>
        <v>21</v>
      </c>
      <c r="CN51" s="353" t="n">
        <f aca="true">IF(OR($D51&lt;&gt;"Serviço",AND(AUTOEVENTO="Manual",$M51=$A$15)),0,
         IF(OFFSET(CRONOPLE!$F$15,$M51-$A$15,CN$13)=0,10^12,OFFSET(CRONOPLE!$F$15,$M51-$A$15,CN$13)))</f>
        <v>22</v>
      </c>
      <c r="CO51" s="353" t="n">
        <f aca="true">IF(OR($D51&lt;&gt;"Serviço",AND(AUTOEVENTO="Manual",$M51=$A$15)),0,
         IF(OFFSET(CRONOPLE!$F$15,$M51-$A$15,CO$13)=0,10^12,OFFSET(CRONOPLE!$F$15,$M51-$A$15,CO$13)))</f>
        <v>23</v>
      </c>
      <c r="CP51" s="353" t="n">
        <f aca="true">IF(OR($D51&lt;&gt;"Serviço",AND(AUTOEVENTO="Manual",$M51=$A$15)),0,
         IF(OFFSET(CRONOPLE!$F$15,$M51-$A$15,CP$13)=0,10^12,OFFSET(CRONOPLE!$F$15,$M51-$A$15,CP$13)))</f>
        <v>24</v>
      </c>
      <c r="CQ51" s="353" t="n">
        <f aca="true">IF(OR($D51&lt;&gt;"Serviço",AND(AUTOEVENTO="Manual",$M51=$A$15)),0,
         IF(OFFSET(CRONOPLE!$F$15,$M51-$A$15,CQ$13)=0,10^12,OFFSET(CRONOPLE!$F$15,$M51-$A$15,CQ$13)))</f>
        <v>25</v>
      </c>
      <c r="CR51" s="353" t="n">
        <f aca="true">IF(OR($D51&lt;&gt;"Serviço",AND(AUTOEVENTO="Manual",$M51=$A$15)),0,
         IF(OFFSET(CRONOPLE!$F$15,$M51-$A$15,CR$13)=0,10^12,OFFSET(CRONOPLE!$F$15,$M51-$A$15,CR$13)))</f>
        <v>1000000000000</v>
      </c>
      <c r="CT51" s="354" t="n">
        <f aca="true">IF(OR($D51&lt;&gt;"Serviço",AND(AUTOEVENTO="Manual",$M51=$A$15),$M51&gt;(ROW(PLE.lastrow)-ROW(PLE.firstrow))),0,
           IF(OFFSET(PLE!$G$15,$M51-$A$15,CT$13)="",10^12,OFFSET(PLE!$G$15,$M51-$A$15,CT$13)))</f>
        <v>1000000000000</v>
      </c>
      <c r="CU51" s="354" t="n">
        <f aca="true">IF(OR($D51&lt;&gt;"Serviço",AND(AUTOEVENTO="Manual",$M51=$A$15),$M51&gt;(ROW(PLE.lastrow)-ROW(PLE.firstrow))),0,
           IF(OFFSET(PLE!$G$15,$M51-$A$15,CU$13)="",10^12,OFFSET(PLE!$G$15,$M51-$A$15,CU$13)))</f>
        <v>1000000000000</v>
      </c>
      <c r="CV51" s="354" t="n">
        <f aca="true">IF(OR($D51&lt;&gt;"Serviço",AND(AUTOEVENTO="Manual",$M51=$A$15),$M51&gt;(ROW(PLE.lastrow)-ROW(PLE.firstrow))),0,
           IF(OFFSET(PLE!$G$15,$M51-$A$15,CV$13)="",10^12,OFFSET(PLE!$G$15,$M51-$A$15,CV$13)))</f>
        <v>1000000000000</v>
      </c>
      <c r="CW51" s="354" t="n">
        <f aca="true">IF(OR($D51&lt;&gt;"Serviço",AND(AUTOEVENTO="Manual",$M51=$A$15),$M51&gt;(ROW(PLE.lastrow)-ROW(PLE.firstrow))),0,
           IF(OFFSET(PLE!$G$15,$M51-$A$15,CW$13)="",10^12,OFFSET(PLE!$G$15,$M51-$A$15,CW$13)))</f>
        <v>1000000000000</v>
      </c>
      <c r="CX51" s="354" t="n">
        <f aca="true">IF(OR($D51&lt;&gt;"Serviço",AND(AUTOEVENTO="Manual",$M51=$A$15),$M51&gt;(ROW(PLE.lastrow)-ROW(PLE.firstrow))),0,
           IF(OFFSET(PLE!$G$15,$M51-$A$15,CX$13)="",10^12,OFFSET(PLE!$G$15,$M51-$A$15,CX$13)))</f>
        <v>1000000000000</v>
      </c>
      <c r="CY51" s="354" t="n">
        <f aca="true">IF(OR($D51&lt;&gt;"Serviço",AND(AUTOEVENTO="Manual",$M51=$A$15),$M51&gt;(ROW(PLE.lastrow)-ROW(PLE.firstrow))),0,
           IF(OFFSET(PLE!$G$15,$M51-$A$15,CY$13)="",10^12,OFFSET(PLE!$G$15,$M51-$A$15,CY$13)))</f>
        <v>1000000000000</v>
      </c>
      <c r="CZ51" s="354" t="n">
        <f aca="true">IF(OR($D51&lt;&gt;"Serviço",AND(AUTOEVENTO="Manual",$M51=$A$15),$M51&gt;(ROW(PLE.lastrow)-ROW(PLE.firstrow))),0,
           IF(OFFSET(PLE!$G$15,$M51-$A$15,CZ$13)="",10^12,OFFSET(PLE!$G$15,$M51-$A$15,CZ$13)))</f>
        <v>1000000000000</v>
      </c>
      <c r="DA51" s="354" t="n">
        <f aca="true">IF(OR($D51&lt;&gt;"Serviço",AND(AUTOEVENTO="Manual",$M51=$A$15),$M51&gt;(ROW(PLE.lastrow)-ROW(PLE.firstrow))),0,
           IF(OFFSET(PLE!$G$15,$M51-$A$15,DA$13)="",10^12,OFFSET(PLE!$G$15,$M51-$A$15,DA$13)))</f>
        <v>1000000000000</v>
      </c>
      <c r="DB51" s="354" t="n">
        <f aca="true">IF(OR($D51&lt;&gt;"Serviço",AND(AUTOEVENTO="Manual",$M51=$A$15),$M51&gt;(ROW(PLE.lastrow)-ROW(PLE.firstrow))),0,
           IF(OFFSET(PLE!$G$15,$M51-$A$15,DB$13)="",10^12,OFFSET(PLE!$G$15,$M51-$A$15,DB$13)))</f>
        <v>1000000000000</v>
      </c>
      <c r="DC51" s="354" t="n">
        <f aca="true">IF(OR($D51&lt;&gt;"Serviço",AND(AUTOEVENTO="Manual",$M51=$A$15),$M51&gt;(ROW(PLE.lastrow)-ROW(PLE.firstrow))),0,
           IF(OFFSET(PLE!$G$15,$M51-$A$15,DC$13)="",10^12,OFFSET(PLE!$G$15,$M51-$A$15,DC$13)))</f>
        <v>1000000000000</v>
      </c>
      <c r="DD51" s="354" t="n">
        <f aca="true">IF(OR($D51&lt;&gt;"Serviço",AND(AUTOEVENTO="Manual",$M51=$A$15),$M51&gt;(ROW(PLE.lastrow)-ROW(PLE.firstrow))),0,
           IF(OFFSET(PLE!$G$15,$M51-$A$15,DD$13)="",10^12,OFFSET(PLE!$G$15,$M51-$A$15,DD$13)))</f>
        <v>1000000000000</v>
      </c>
      <c r="DE51" s="354" t="n">
        <f aca="true">IF(OR($D51&lt;&gt;"Serviço",AND(AUTOEVENTO="Manual",$M51=$A$15),$M51&gt;(ROW(PLE.lastrow)-ROW(PLE.firstrow))),0,
           IF(OFFSET(PLE!$G$15,$M51-$A$15,DE$13)="",10^12,OFFSET(PLE!$G$15,$M51-$A$15,DE$13)))</f>
        <v>1000000000000</v>
      </c>
      <c r="DF51" s="354" t="n">
        <f aca="true">IF(OR($D51&lt;&gt;"Serviço",AND(AUTOEVENTO="Manual",$M51=$A$15),$M51&gt;(ROW(PLE.lastrow)-ROW(PLE.firstrow))),0,
           IF(OFFSET(PLE!$G$15,$M51-$A$15,DF$13)="",10^12,OFFSET(PLE!$G$15,$M51-$A$15,DF$13)))</f>
        <v>1000000000000</v>
      </c>
      <c r="DG51" s="354" t="n">
        <f aca="true">IF(OR($D51&lt;&gt;"Serviço",AND(AUTOEVENTO="Manual",$M51=$A$15),$M51&gt;(ROW(PLE.lastrow)-ROW(PLE.firstrow))),0,
           IF(OFFSET(PLE!$G$15,$M51-$A$15,DG$13)="",10^12,OFFSET(PLE!$G$15,$M51-$A$15,DG$13)))</f>
        <v>1000000000000</v>
      </c>
      <c r="DH51" s="354" t="n">
        <f aca="true">IF(OR($D51&lt;&gt;"Serviço",AND(AUTOEVENTO="Manual",$M51=$A$15),$M51&gt;(ROW(PLE.lastrow)-ROW(PLE.firstrow))),0,
           IF(OFFSET(PLE!$G$15,$M51-$A$15,DH$13)="",10^12,OFFSET(PLE!$G$15,$M51-$A$15,DH$13)))</f>
        <v>1000000000000</v>
      </c>
      <c r="DI51" s="354" t="n">
        <f aca="true">IF(OR($D51&lt;&gt;"Serviço",AND(AUTOEVENTO="Manual",$M51=$A$15),$M51&gt;(ROW(PLE.lastrow)-ROW(PLE.firstrow))),0,
           IF(OFFSET(PLE!$G$15,$M51-$A$15,DI$13)="",10^12,OFFSET(PLE!$G$15,$M51-$A$15,DI$13)))</f>
        <v>1000000000000</v>
      </c>
      <c r="DJ51" s="354" t="n">
        <f aca="true">IF(OR($D51&lt;&gt;"Serviço",AND(AUTOEVENTO="Manual",$M51=$A$15),$M51&gt;(ROW(PLE.lastrow)-ROW(PLE.firstrow))),0,
           IF(OFFSET(PLE!$G$15,$M51-$A$15,DJ$13)="",10^12,OFFSET(PLE!$G$15,$M51-$A$15,DJ$13)))</f>
        <v>1000000000000</v>
      </c>
      <c r="DK51" s="354" t="n">
        <f aca="true">IF(OR($D51&lt;&gt;"Serviço",AND(AUTOEVENTO="Manual",$M51=$A$15),$M51&gt;(ROW(PLE.lastrow)-ROW(PLE.firstrow))),0,
           IF(OFFSET(PLE!$G$15,$M51-$A$15,DK$13)="",10^12,OFFSET(PLE!$G$15,$M51-$A$15,DK$13)))</f>
        <v>1000000000000</v>
      </c>
      <c r="DL51" s="354" t="n">
        <f aca="true">IF(OR($D51&lt;&gt;"Serviço",AND(AUTOEVENTO="Manual",$M51=$A$15),$M51&gt;(ROW(PLE.lastrow)-ROW(PLE.firstrow))),0,
           IF(OFFSET(PLE!$G$15,$M51-$A$15,DL$13)="",10^12,OFFSET(PLE!$G$15,$M51-$A$15,DL$13)))</f>
        <v>1000000000000</v>
      </c>
      <c r="DM51" s="354" t="n">
        <f aca="true">IF(OR($D51&lt;&gt;"Serviço",AND(AUTOEVENTO="Manual",$M51=$A$15),$M51&gt;(ROW(PLE.lastrow)-ROW(PLE.firstrow))),0,
           IF(OFFSET(PLE!$G$15,$M51-$A$15,DM$13)="",10^12,OFFSET(PLE!$G$15,$M51-$A$15,DM$13)))</f>
        <v>1000000000000</v>
      </c>
      <c r="DN51" s="354" t="n">
        <f aca="true">IF(OR($D51&lt;&gt;"Serviço",AND(AUTOEVENTO="Manual",$M51=$A$15),$M51&gt;(ROW(PLE.lastrow)-ROW(PLE.firstrow))),0,
           IF(OFFSET(PLE!$G$15,$M51-$A$15,DN$13)="",10^12,OFFSET(PLE!$G$15,$M51-$A$15,DN$13)))</f>
        <v>1000000000000</v>
      </c>
      <c r="DO51" s="354" t="n">
        <f aca="true">IF(OR($D51&lt;&gt;"Serviço",AND(AUTOEVENTO="Manual",$M51=$A$15),$M51&gt;(ROW(PLE.lastrow)-ROW(PLE.firstrow))),0,
           IF(OFFSET(PLE!$G$15,$M51-$A$15,DO$13)="",10^12,OFFSET(PLE!$G$15,$M51-$A$15,DO$13)))</f>
        <v>1000000000000</v>
      </c>
      <c r="DP51" s="354" t="n">
        <f aca="true">IF(OR($D51&lt;&gt;"Serviço",AND(AUTOEVENTO="Manual",$M51=$A$15),$M51&gt;(ROW(PLE.lastrow)-ROW(PLE.firstrow))),0,
           IF(OFFSET(PLE!$G$15,$M51-$A$15,DP$13)="",10^12,OFFSET(PLE!$G$15,$M51-$A$15,DP$13)))</f>
        <v>1000000000000</v>
      </c>
      <c r="DQ51" s="354" t="n">
        <f aca="true">IF(OR($D51&lt;&gt;"Serviço",AND(AUTOEVENTO="Manual",$M51=$A$15),$M51&gt;(ROW(PLE.lastrow)-ROW(PLE.firstrow))),0,
           IF(OFFSET(PLE!$G$15,$M51-$A$15,DQ$13)="",10^12,OFFSET(PLE!$G$15,$M51-$A$15,DQ$13)))</f>
        <v>1000000000000</v>
      </c>
      <c r="DR51" s="354" t="n">
        <f aca="true">IF(OR($D51&lt;&gt;"Serviço",AND(AUTOEVENTO="Manual",$M51=$A$15),$M51&gt;(ROW(PLE.lastrow)-ROW(PLE.firstrow))),0,
           IF(OFFSET(PLE!$G$15,$M51-$A$15,DR$13)="",10^12,OFFSET(PLE!$G$15,$M51-$A$15,DR$13)))</f>
        <v>1000000000000</v>
      </c>
      <c r="DS51" s="354" t="n">
        <f aca="true">IF(OR($D51&lt;&gt;"Serviço",AND(AUTOEVENTO="Manual",$M51=$A$15),$M51&gt;(ROW(PLE.lastrow)-ROW(PLE.firstrow))),0,
           IF(OFFSET(PLE!$G$15,$M51-$A$15,DS$13)="",10^12,OFFSET(PLE!$G$15,$M51-$A$15,DS$13)))</f>
        <v>1000000000000</v>
      </c>
    </row>
    <row r="52" customFormat="false" ht="57.45" hidden="false" customHeight="false" outlineLevel="0" collapsed="false">
      <c r="A52" s="50" t="str">
        <f aca="true">IFERROR(IF(AUTOEVENTO="Manual",IF(K52&lt;&gt;"",MIN(VALUE(LEFT(K52,FIND(".",K52)-1)),COUNTA(EVENTOS.Lista)),0),IF(OR($B52&gt;AUTOEVENTO,$B52="S",$B52=0),SUBSTITUTE(OFFSET($A52,-1,0),IF($D52="Serviço",".",""),""),ROW(A52)-ROW($A$15)&amp;".")),0)</f>
        <v>34</v>
      </c>
      <c r="B52" s="50" t="str">
        <f aca="true">OFFSET(ORÇAMENTO!C$15,ROW(B52)-ROW(B$15),0)</f>
        <v>S</v>
      </c>
      <c r="C52" s="50" t="str">
        <f aca="true">OFFSET(ORÇAMENTO!L$15,ROW(C52)-ROW(C$15),0)</f>
        <v>F</v>
      </c>
      <c r="D52" s="201" t="str">
        <f aca="true">OFFSET(ORÇAMENTO!N$15,ROW(D52)-ROW(D$15),0)</f>
        <v>Serviço</v>
      </c>
      <c r="E52" s="202" t="str">
        <f aca="true">OFFSET(ORÇAMENTO!O$15,ROW(E52)-ROW(E$15),0)</f>
        <v>1.9.3.</v>
      </c>
      <c r="F52" s="341" t="str">
        <f aca="true">OFFSET(ORÇAMENTO!R$15,ROW(F52)-ROW(F$15),0)</f>
        <v>CONCRETO FCK = 25MPA, TRAÇO 1:2,3:2,7 (EM MASSA SECA DE CIMENTO/ AREIAMÉDIA/ BRITA 1) - PREPARO MECÂNICO COM BETONEIRA 400 L</v>
      </c>
      <c r="G52" s="342" t="str">
        <f aca="true">IF($D52&lt;&gt;"Serviço","",OFFSET(ORÇAMENTO!S$15,ROW(G52)-ROW(G$15),0))</f>
        <v>M3</v>
      </c>
      <c r="H52" s="207" t="n">
        <f aca="true">IF($D52&lt;&gt;"Serviço",0,IF(ACOMPANHAMENTO="BM",ROUND(OFFSET(ORÇAMENTO!AJ$15,ROW(H52)-ROW(H$15),0),15-13*ORÇAMENTO!$AF$7),SUMPRODUCT(($Q$1:$AQ$1=1)*ROUND($Q52:$AQ52,15-13*ORÇAMENTO!$AF$7))))</f>
        <v>103.25</v>
      </c>
      <c r="I52" s="343" t="s">
        <v>937</v>
      </c>
      <c r="J52" s="344" t="e">
        <f aca="false">IF(OR(B52&lt;&gt;"S",CÁLCULO.FrentesPreenchidas=0),"",IF(AND(ACOMPANHAMENTO="PLE",AUTOEVENTO="Manual",OR(H52&gt;0,ORÇAMENTO!AC52="QUANT."),OR(K52="",M52=0,N52="")),"►",IF(AND(ACOMPANHAMENTO="PLE",ORÇAMENTO!AC52="QUANT."),"►►",IF(AND(COUNTIF($P$11:$AQ$11,"▼")=0,H52&gt;0,I52=""),"◄",""))))</f>
        <v>#NAME?</v>
      </c>
      <c r="K52" s="345"/>
      <c r="L52" s="346" t="s">
        <v>876</v>
      </c>
      <c r="M52" s="347" t="n">
        <f aca="true">IF($D52&lt;&gt;"Serviço","",
          IF(AUTOEVENTO="manual",$A52,
                IF(ISERROR(MATCH($A52,$A$15:OFFSET($A52,-1,0),0)),MAX($M$15:OFFSET(M52,-1,0))+1,
                      INDEX($M$15:OFFSET(M52,-1,0),MATCH($A52,$A$15:OFFSET($A52,-1,0),0)))))</f>
        <v>6</v>
      </c>
      <c r="N52" s="348" t="str">
        <f aca="true">IF($D52&lt;&gt;"Serviço","",
         IF(AUTOEVENTO="Manual",
                IF($A52=0,"&lt;-- defina o número do agrupador",
                       OFFSET(EVENTOS!$D$15,$A52-$A$15,0)),
                OFFSET($F$15,$A52,0)))</f>
        <v>PILARES, VIGAS E LAJES</v>
      </c>
      <c r="O52" s="349"/>
      <c r="Q52" s="349" t="n">
        <v>4.13</v>
      </c>
      <c r="R52" s="350" t="n">
        <f aca="false">Q52</f>
        <v>4.13</v>
      </c>
      <c r="S52" s="350" t="n">
        <f aca="false">R52</f>
        <v>4.13</v>
      </c>
      <c r="T52" s="350" t="n">
        <f aca="false">S52</f>
        <v>4.13</v>
      </c>
      <c r="U52" s="350" t="n">
        <f aca="false">T52</f>
        <v>4.13</v>
      </c>
      <c r="V52" s="350" t="n">
        <f aca="false">U52</f>
        <v>4.13</v>
      </c>
      <c r="W52" s="350" t="n">
        <f aca="false">V52</f>
        <v>4.13</v>
      </c>
      <c r="X52" s="350" t="n">
        <f aca="false">W52</f>
        <v>4.13</v>
      </c>
      <c r="Y52" s="350" t="n">
        <f aca="false">X52</f>
        <v>4.13</v>
      </c>
      <c r="Z52" s="351" t="n">
        <f aca="false">Y52</f>
        <v>4.13</v>
      </c>
      <c r="AA52" s="350" t="n">
        <f aca="false">Z52</f>
        <v>4.13</v>
      </c>
      <c r="AB52" s="350" t="n">
        <f aca="false">AA52</f>
        <v>4.13</v>
      </c>
      <c r="AC52" s="350" t="n">
        <f aca="false">AB52</f>
        <v>4.13</v>
      </c>
      <c r="AD52" s="350" t="n">
        <f aca="false">AC52</f>
        <v>4.13</v>
      </c>
      <c r="AE52" s="350" t="n">
        <f aca="false">AD52</f>
        <v>4.13</v>
      </c>
      <c r="AF52" s="350" t="n">
        <f aca="false">AE52</f>
        <v>4.13</v>
      </c>
      <c r="AG52" s="350" t="n">
        <f aca="false">AF52</f>
        <v>4.13</v>
      </c>
      <c r="AH52" s="351" t="n">
        <f aca="false">AG52</f>
        <v>4.13</v>
      </c>
      <c r="AI52" s="350" t="n">
        <f aca="false">AH52</f>
        <v>4.13</v>
      </c>
      <c r="AJ52" s="350" t="n">
        <f aca="false">AI52</f>
        <v>4.13</v>
      </c>
      <c r="AK52" s="350" t="n">
        <f aca="false">AJ52</f>
        <v>4.13</v>
      </c>
      <c r="AL52" s="350" t="n">
        <f aca="false">AK52</f>
        <v>4.13</v>
      </c>
      <c r="AM52" s="350" t="n">
        <f aca="false">AL52</f>
        <v>4.13</v>
      </c>
      <c r="AN52" s="350" t="n">
        <f aca="false">AM52</f>
        <v>4.13</v>
      </c>
      <c r="AO52" s="350" t="n">
        <f aca="false">AN52</f>
        <v>4.13</v>
      </c>
      <c r="AP52" s="351" t="n">
        <v>0.32</v>
      </c>
      <c r="AR52" s="352" t="n">
        <f aca="true">IF(AND($D52="Serviço",AR$12&lt;&gt;0,$H52&gt;0,OR(AUTOEVENTO&lt;&gt;"manual",$M52&lt;&gt;$A$15)),
        IF(Import.TipoArredondamento&lt;&gt;"TransfereGOV",
              ROUND(OFFSET($P52,0,AR$13),15-13*ORÇAMENTO!$AF$7)/$H52*OFFSET(ORÇAMENTO!$X$15,ROW(AR52)-ROW(AR$15),0),
              ROUND(ROUND(OFFSET($P52,0,AR$13),15-13*ORÇAMENTO!$AF$7)*OFFSET(ORÇAMENTO!$W$15,ROW(AR52)-ROW(AR$15),0),15-13*ORÇAMENTO!$AF$11)),
         0)</f>
        <v>2969.51</v>
      </c>
      <c r="AS52" s="352" t="n">
        <f aca="true">IF(AND($D52="Serviço",AS$12&lt;&gt;0,$H52&gt;0,OR(AUTOEVENTO&lt;&gt;"manual",$M52&lt;&gt;$A$15)),
        IF(Import.TipoArredondamento&lt;&gt;"TransfereGOV",
              ROUND(OFFSET($P52,0,AS$13),15-13*ORÇAMENTO!$AF$7)/$H52*OFFSET(ORÇAMENTO!$X$15,ROW(AS52)-ROW(AS$15),0),
              ROUND(ROUND(OFFSET($P52,0,AS$13),15-13*ORÇAMENTO!$AF$7)*OFFSET(ORÇAMENTO!$W$15,ROW(AS52)-ROW(AS$15),0),15-13*ORÇAMENTO!$AF$11)),
         0)</f>
        <v>2969.51</v>
      </c>
      <c r="AT52" s="352" t="n">
        <f aca="true">IF(AND($D52="Serviço",AT$12&lt;&gt;0,$H52&gt;0,OR(AUTOEVENTO&lt;&gt;"manual",$M52&lt;&gt;$A$15)),
        IF(Import.TipoArredondamento&lt;&gt;"TransfereGOV",
              ROUND(OFFSET($P52,0,AT$13),15-13*ORÇAMENTO!$AF$7)/$H52*OFFSET(ORÇAMENTO!$X$15,ROW(AT52)-ROW(AT$15),0),
              ROUND(ROUND(OFFSET($P52,0,AT$13),15-13*ORÇAMENTO!$AF$7)*OFFSET(ORÇAMENTO!$W$15,ROW(AT52)-ROW(AT$15),0),15-13*ORÇAMENTO!$AF$11)),
         0)</f>
        <v>2969.51</v>
      </c>
      <c r="AU52" s="352" t="n">
        <f aca="true">IF(AND($D52="Serviço",AU$12&lt;&gt;0,$H52&gt;0,OR(AUTOEVENTO&lt;&gt;"manual",$M52&lt;&gt;$A$15)),
        IF(Import.TipoArredondamento&lt;&gt;"TransfereGOV",
              ROUND(OFFSET($P52,0,AU$13),15-13*ORÇAMENTO!$AF$7)/$H52*OFFSET(ORÇAMENTO!$X$15,ROW(AU52)-ROW(AU$15),0),
              ROUND(ROUND(OFFSET($P52,0,AU$13),15-13*ORÇAMENTO!$AF$7)*OFFSET(ORÇAMENTO!$W$15,ROW(AU52)-ROW(AU$15),0),15-13*ORÇAMENTO!$AF$11)),
         0)</f>
        <v>2969.51</v>
      </c>
      <c r="AV52" s="352" t="n">
        <f aca="true">IF(AND($D52="Serviço",AV$12&lt;&gt;0,$H52&gt;0,OR(AUTOEVENTO&lt;&gt;"manual",$M52&lt;&gt;$A$15)),
        IF(Import.TipoArredondamento&lt;&gt;"TransfereGOV",
              ROUND(OFFSET($P52,0,AV$13),15-13*ORÇAMENTO!$AF$7)/$H52*OFFSET(ORÇAMENTO!$X$15,ROW(AV52)-ROW(AV$15),0),
              ROUND(ROUND(OFFSET($P52,0,AV$13),15-13*ORÇAMENTO!$AF$7)*OFFSET(ORÇAMENTO!$W$15,ROW(AV52)-ROW(AV$15),0),15-13*ORÇAMENTO!$AF$11)),
         0)</f>
        <v>2969.51</v>
      </c>
      <c r="AW52" s="352" t="n">
        <f aca="true">IF(AND($D52="Serviço",AW$12&lt;&gt;0,$H52&gt;0,OR(AUTOEVENTO&lt;&gt;"manual",$M52&lt;&gt;$A$15)),
        IF(Import.TipoArredondamento&lt;&gt;"TransfereGOV",
              ROUND(OFFSET($P52,0,AW$13),15-13*ORÇAMENTO!$AF$7)/$H52*OFFSET(ORÇAMENTO!$X$15,ROW(AW52)-ROW(AW$15),0),
              ROUND(ROUND(OFFSET($P52,0,AW$13),15-13*ORÇAMENTO!$AF$7)*OFFSET(ORÇAMENTO!$W$15,ROW(AW52)-ROW(AW$15),0),15-13*ORÇAMENTO!$AF$11)),
         0)</f>
        <v>2969.51</v>
      </c>
      <c r="AX52" s="352" t="n">
        <f aca="true">IF(AND($D52="Serviço",AX$12&lt;&gt;0,$H52&gt;0,OR(AUTOEVENTO&lt;&gt;"manual",$M52&lt;&gt;$A$15)),
        IF(Import.TipoArredondamento&lt;&gt;"TransfereGOV",
              ROUND(OFFSET($P52,0,AX$13),15-13*ORÇAMENTO!$AF$7)/$H52*OFFSET(ORÇAMENTO!$X$15,ROW(AX52)-ROW(AX$15),0),
              ROUND(ROUND(OFFSET($P52,0,AX$13),15-13*ORÇAMENTO!$AF$7)*OFFSET(ORÇAMENTO!$W$15,ROW(AX52)-ROW(AX$15),0),15-13*ORÇAMENTO!$AF$11)),
         0)</f>
        <v>2969.51</v>
      </c>
      <c r="AY52" s="352" t="n">
        <f aca="true">IF(AND($D52="Serviço",AY$12&lt;&gt;0,$H52&gt;0,OR(AUTOEVENTO&lt;&gt;"manual",$M52&lt;&gt;$A$15)),
        IF(Import.TipoArredondamento&lt;&gt;"TransfereGOV",
              ROUND(OFFSET($P52,0,AY$13),15-13*ORÇAMENTO!$AF$7)/$H52*OFFSET(ORÇAMENTO!$X$15,ROW(AY52)-ROW(AY$15),0),
              ROUND(ROUND(OFFSET($P52,0,AY$13),15-13*ORÇAMENTO!$AF$7)*OFFSET(ORÇAMENTO!$W$15,ROW(AY52)-ROW(AY$15),0),15-13*ORÇAMENTO!$AF$11)),
         0)</f>
        <v>2969.51</v>
      </c>
      <c r="AZ52" s="352" t="n">
        <f aca="true">IF(AND($D52="Serviço",AZ$12&lt;&gt;0,$H52&gt;0,OR(AUTOEVENTO&lt;&gt;"manual",$M52&lt;&gt;$A$15)),
        IF(Import.TipoArredondamento&lt;&gt;"TransfereGOV",
              ROUND(OFFSET($P52,0,AZ$13),15-13*ORÇAMENTO!$AF$7)/$H52*OFFSET(ORÇAMENTO!$X$15,ROW(AZ52)-ROW(AZ$15),0),
              ROUND(ROUND(OFFSET($P52,0,AZ$13),15-13*ORÇAMENTO!$AF$7)*OFFSET(ORÇAMENTO!$W$15,ROW(AZ52)-ROW(AZ$15),0),15-13*ORÇAMENTO!$AF$11)),
         0)</f>
        <v>2969.51</v>
      </c>
      <c r="BA52" s="352" t="n">
        <f aca="true">IF(AND($D52="Serviço",BA$12&lt;&gt;0,$H52&gt;0,OR(AUTOEVENTO&lt;&gt;"manual",$M52&lt;&gt;$A$15)),
        IF(Import.TipoArredondamento&lt;&gt;"TransfereGOV",
              ROUND(OFFSET($P52,0,BA$13),15-13*ORÇAMENTO!$AF$7)/$H52*OFFSET(ORÇAMENTO!$X$15,ROW(BA52)-ROW(BA$15),0),
              ROUND(ROUND(OFFSET($P52,0,BA$13),15-13*ORÇAMENTO!$AF$7)*OFFSET(ORÇAMENTO!$W$15,ROW(BA52)-ROW(BA$15),0),15-13*ORÇAMENTO!$AF$11)),
         0)</f>
        <v>2969.51</v>
      </c>
      <c r="BB52" s="352" t="n">
        <f aca="true">IF(AND($D52="Serviço",BB$12&lt;&gt;0,$H52&gt;0,OR(AUTOEVENTO&lt;&gt;"manual",$M52&lt;&gt;$A$15)),
        IF(Import.TipoArredondamento&lt;&gt;"TransfereGOV",
              ROUND(OFFSET($P52,0,BB$13),15-13*ORÇAMENTO!$AF$7)/$H52*OFFSET(ORÇAMENTO!$X$15,ROW(BB52)-ROW(BB$15),0),
              ROUND(ROUND(OFFSET($P52,0,BB$13),15-13*ORÇAMENTO!$AF$7)*OFFSET(ORÇAMENTO!$W$15,ROW(BB52)-ROW(BB$15),0),15-13*ORÇAMENTO!$AF$11)),
         0)</f>
        <v>2969.51</v>
      </c>
      <c r="BC52" s="352" t="n">
        <f aca="true">IF(AND($D52="Serviço",BC$12&lt;&gt;0,$H52&gt;0,OR(AUTOEVENTO&lt;&gt;"manual",$M52&lt;&gt;$A$15)),
        IF(Import.TipoArredondamento&lt;&gt;"TransfereGOV",
              ROUND(OFFSET($P52,0,BC$13),15-13*ORÇAMENTO!$AF$7)/$H52*OFFSET(ORÇAMENTO!$X$15,ROW(BC52)-ROW(BC$15),0),
              ROUND(ROUND(OFFSET($P52,0,BC$13),15-13*ORÇAMENTO!$AF$7)*OFFSET(ORÇAMENTO!$W$15,ROW(BC52)-ROW(BC$15),0),15-13*ORÇAMENTO!$AF$11)),
         0)</f>
        <v>2969.51</v>
      </c>
      <c r="BD52" s="352" t="n">
        <f aca="true">IF(AND($D52="Serviço",BD$12&lt;&gt;0,$H52&gt;0,OR(AUTOEVENTO&lt;&gt;"manual",$M52&lt;&gt;$A$15)),
        IF(Import.TipoArredondamento&lt;&gt;"TransfereGOV",
              ROUND(OFFSET($P52,0,BD$13),15-13*ORÇAMENTO!$AF$7)/$H52*OFFSET(ORÇAMENTO!$X$15,ROW(BD52)-ROW(BD$15),0),
              ROUND(ROUND(OFFSET($P52,0,BD$13),15-13*ORÇAMENTO!$AF$7)*OFFSET(ORÇAMENTO!$W$15,ROW(BD52)-ROW(BD$15),0),15-13*ORÇAMENTO!$AF$11)),
         0)</f>
        <v>2969.51</v>
      </c>
      <c r="BE52" s="352" t="n">
        <f aca="true">IF(AND($D52="Serviço",BE$12&lt;&gt;0,$H52&gt;0,OR(AUTOEVENTO&lt;&gt;"manual",$M52&lt;&gt;$A$15)),
        IF(Import.TipoArredondamento&lt;&gt;"TransfereGOV",
              ROUND(OFFSET($P52,0,BE$13),15-13*ORÇAMENTO!$AF$7)/$H52*OFFSET(ORÇAMENTO!$X$15,ROW(BE52)-ROW(BE$15),0),
              ROUND(ROUND(OFFSET($P52,0,BE$13),15-13*ORÇAMENTO!$AF$7)*OFFSET(ORÇAMENTO!$W$15,ROW(BE52)-ROW(BE$15),0),15-13*ORÇAMENTO!$AF$11)),
         0)</f>
        <v>2969.51</v>
      </c>
      <c r="BF52" s="352" t="n">
        <f aca="true">IF(AND($D52="Serviço",BF$12&lt;&gt;0,$H52&gt;0,OR(AUTOEVENTO&lt;&gt;"manual",$M52&lt;&gt;$A$15)),
        IF(Import.TipoArredondamento&lt;&gt;"TransfereGOV",
              ROUND(OFFSET($P52,0,BF$13),15-13*ORÇAMENTO!$AF$7)/$H52*OFFSET(ORÇAMENTO!$X$15,ROW(BF52)-ROW(BF$15),0),
              ROUND(ROUND(OFFSET($P52,0,BF$13),15-13*ORÇAMENTO!$AF$7)*OFFSET(ORÇAMENTO!$W$15,ROW(BF52)-ROW(BF$15),0),15-13*ORÇAMENTO!$AF$11)),
         0)</f>
        <v>2969.51</v>
      </c>
      <c r="BG52" s="352" t="n">
        <f aca="true">IF(AND($D52="Serviço",BG$12&lt;&gt;0,$H52&gt;0,OR(AUTOEVENTO&lt;&gt;"manual",$M52&lt;&gt;$A$15)),
        IF(Import.TipoArredondamento&lt;&gt;"TransfereGOV",
              ROUND(OFFSET($P52,0,BG$13),15-13*ORÇAMENTO!$AF$7)/$H52*OFFSET(ORÇAMENTO!$X$15,ROW(BG52)-ROW(BG$15),0),
              ROUND(ROUND(OFFSET($P52,0,BG$13),15-13*ORÇAMENTO!$AF$7)*OFFSET(ORÇAMENTO!$W$15,ROW(BG52)-ROW(BG$15),0),15-13*ORÇAMENTO!$AF$11)),
         0)</f>
        <v>2969.51</v>
      </c>
      <c r="BH52" s="352" t="n">
        <f aca="true">IF(AND($D52="Serviço",BH$12&lt;&gt;0,$H52&gt;0,OR(AUTOEVENTO&lt;&gt;"manual",$M52&lt;&gt;$A$15)),
        IF(Import.TipoArredondamento&lt;&gt;"TransfereGOV",
              ROUND(OFFSET($P52,0,BH$13),15-13*ORÇAMENTO!$AF$7)/$H52*OFFSET(ORÇAMENTO!$X$15,ROW(BH52)-ROW(BH$15),0),
              ROUND(ROUND(OFFSET($P52,0,BH$13),15-13*ORÇAMENTO!$AF$7)*OFFSET(ORÇAMENTO!$W$15,ROW(BH52)-ROW(BH$15),0),15-13*ORÇAMENTO!$AF$11)),
         0)</f>
        <v>2969.51</v>
      </c>
      <c r="BI52" s="352" t="n">
        <f aca="true">IF(AND($D52="Serviço",BI$12&lt;&gt;0,$H52&gt;0,OR(AUTOEVENTO&lt;&gt;"manual",$M52&lt;&gt;$A$15)),
        IF(Import.TipoArredondamento&lt;&gt;"TransfereGOV",
              ROUND(OFFSET($P52,0,BI$13),15-13*ORÇAMENTO!$AF$7)/$H52*OFFSET(ORÇAMENTO!$X$15,ROW(BI52)-ROW(BI$15),0),
              ROUND(ROUND(OFFSET($P52,0,BI$13),15-13*ORÇAMENTO!$AF$7)*OFFSET(ORÇAMENTO!$W$15,ROW(BI52)-ROW(BI$15),0),15-13*ORÇAMENTO!$AF$11)),
         0)</f>
        <v>2969.51</v>
      </c>
      <c r="BJ52" s="352" t="n">
        <f aca="true">IF(AND($D52="Serviço",BJ$12&lt;&gt;0,$H52&gt;0,OR(AUTOEVENTO&lt;&gt;"manual",$M52&lt;&gt;$A$15)),
        IF(Import.TipoArredondamento&lt;&gt;"TransfereGOV",
              ROUND(OFFSET($P52,0,BJ$13),15-13*ORÇAMENTO!$AF$7)/$H52*OFFSET(ORÇAMENTO!$X$15,ROW(BJ52)-ROW(BJ$15),0),
              ROUND(ROUND(OFFSET($P52,0,BJ$13),15-13*ORÇAMENTO!$AF$7)*OFFSET(ORÇAMENTO!$W$15,ROW(BJ52)-ROW(BJ$15),0),15-13*ORÇAMENTO!$AF$11)),
         0)</f>
        <v>2969.51</v>
      </c>
      <c r="BK52" s="352" t="n">
        <f aca="true">IF(AND($D52="Serviço",BK$12&lt;&gt;0,$H52&gt;0,OR(AUTOEVENTO&lt;&gt;"manual",$M52&lt;&gt;$A$15)),
        IF(Import.TipoArredondamento&lt;&gt;"TransfereGOV",
              ROUND(OFFSET($P52,0,BK$13),15-13*ORÇAMENTO!$AF$7)/$H52*OFFSET(ORÇAMENTO!$X$15,ROW(BK52)-ROW(BK$15),0),
              ROUND(ROUND(OFFSET($P52,0,BK$13),15-13*ORÇAMENTO!$AF$7)*OFFSET(ORÇAMENTO!$W$15,ROW(BK52)-ROW(BK$15),0),15-13*ORÇAMENTO!$AF$11)),
         0)</f>
        <v>2969.51</v>
      </c>
      <c r="BL52" s="352" t="n">
        <f aca="true">IF(AND($D52="Serviço",BL$12&lt;&gt;0,$H52&gt;0,OR(AUTOEVENTO&lt;&gt;"manual",$M52&lt;&gt;$A$15)),
        IF(Import.TipoArredondamento&lt;&gt;"TransfereGOV",
              ROUND(OFFSET($P52,0,BL$13),15-13*ORÇAMENTO!$AF$7)/$H52*OFFSET(ORÇAMENTO!$X$15,ROW(BL52)-ROW(BL$15),0),
              ROUND(ROUND(OFFSET($P52,0,BL$13),15-13*ORÇAMENTO!$AF$7)*OFFSET(ORÇAMENTO!$W$15,ROW(BL52)-ROW(BL$15),0),15-13*ORÇAMENTO!$AF$11)),
         0)</f>
        <v>2969.51</v>
      </c>
      <c r="BM52" s="352" t="n">
        <f aca="true">IF(AND($D52="Serviço",BM$12&lt;&gt;0,$H52&gt;0,OR(AUTOEVENTO&lt;&gt;"manual",$M52&lt;&gt;$A$15)),
        IF(Import.TipoArredondamento&lt;&gt;"TransfereGOV",
              ROUND(OFFSET($P52,0,BM$13),15-13*ORÇAMENTO!$AF$7)/$H52*OFFSET(ORÇAMENTO!$X$15,ROW(BM52)-ROW(BM$15),0),
              ROUND(ROUND(OFFSET($P52,0,BM$13),15-13*ORÇAMENTO!$AF$7)*OFFSET(ORÇAMENTO!$W$15,ROW(BM52)-ROW(BM$15),0),15-13*ORÇAMENTO!$AF$11)),
         0)</f>
        <v>2969.51</v>
      </c>
      <c r="BN52" s="352" t="n">
        <f aca="true">IF(AND($D52="Serviço",BN$12&lt;&gt;0,$H52&gt;0,OR(AUTOEVENTO&lt;&gt;"manual",$M52&lt;&gt;$A$15)),
        IF(Import.TipoArredondamento&lt;&gt;"TransfereGOV",
              ROUND(OFFSET($P52,0,BN$13),15-13*ORÇAMENTO!$AF$7)/$H52*OFFSET(ORÇAMENTO!$X$15,ROW(BN52)-ROW(BN$15),0),
              ROUND(ROUND(OFFSET($P52,0,BN$13),15-13*ORÇAMENTO!$AF$7)*OFFSET(ORÇAMENTO!$W$15,ROW(BN52)-ROW(BN$15),0),15-13*ORÇAMENTO!$AF$11)),
         0)</f>
        <v>2969.51</v>
      </c>
      <c r="BO52" s="352" t="n">
        <f aca="true">IF(AND($D52="Serviço",BO$12&lt;&gt;0,$H52&gt;0,OR(AUTOEVENTO&lt;&gt;"manual",$M52&lt;&gt;$A$15)),
        IF(Import.TipoArredondamento&lt;&gt;"TransfereGOV",
              ROUND(OFFSET($P52,0,BO$13),15-13*ORÇAMENTO!$AF$7)/$H52*OFFSET(ORÇAMENTO!$X$15,ROW(BO52)-ROW(BO$15),0),
              ROUND(ROUND(OFFSET($P52,0,BO$13),15-13*ORÇAMENTO!$AF$7)*OFFSET(ORÇAMENTO!$W$15,ROW(BO52)-ROW(BO$15),0),15-13*ORÇAMENTO!$AF$11)),
         0)</f>
        <v>2969.51</v>
      </c>
      <c r="BP52" s="352" t="n">
        <f aca="true">IF(AND($D52="Serviço",BP$12&lt;&gt;0,$H52&gt;0,OR(AUTOEVENTO&lt;&gt;"manual",$M52&lt;&gt;$A$15)),
        IF(Import.TipoArredondamento&lt;&gt;"TransfereGOV",
              ROUND(OFFSET($P52,0,BP$13),15-13*ORÇAMENTO!$AF$7)/$H52*OFFSET(ORÇAMENTO!$X$15,ROW(BP52)-ROW(BP$15),0),
              ROUND(ROUND(OFFSET($P52,0,BP$13),15-13*ORÇAMENTO!$AF$7)*OFFSET(ORÇAMENTO!$W$15,ROW(BP52)-ROW(BP$15),0),15-13*ORÇAMENTO!$AF$11)),
         0)</f>
        <v>2969.51</v>
      </c>
      <c r="BQ52" s="352" t="n">
        <f aca="true">IF(AND($D52="Serviço",BQ$12&lt;&gt;0,$H52&gt;0,OR(AUTOEVENTO&lt;&gt;"manual",$M52&lt;&gt;$A$15)),
        IF(Import.TipoArredondamento&lt;&gt;"TransfereGOV",
              ROUND(OFFSET($P52,0,BQ$13),15-13*ORÇAMENTO!$AF$7)/$H52*OFFSET(ORÇAMENTO!$X$15,ROW(BQ52)-ROW(BQ$15),0),
              ROUND(ROUND(OFFSET($P52,0,BQ$13),15-13*ORÇAMENTO!$AF$7)*OFFSET(ORÇAMENTO!$W$15,ROW(BQ52)-ROW(BQ$15),0),15-13*ORÇAMENTO!$AF$11)),
         0)</f>
        <v>0</v>
      </c>
      <c r="BS52" s="353" t="n">
        <f aca="true">IF(OR($D52&lt;&gt;"Serviço",AND(AUTOEVENTO="Manual",$M52=$A$15)),0,
         IF(OFFSET(CRONOPLE!$F$15,$M52-$A$15,BS$13)=0,10^12,OFFSET(CRONOPLE!$F$15,$M52-$A$15,BS$13)))</f>
        <v>1</v>
      </c>
      <c r="BT52" s="353" t="n">
        <f aca="true">IF(OR($D52&lt;&gt;"Serviço",AND(AUTOEVENTO="Manual",$M52=$A$15)),0,
         IF(OFFSET(CRONOPLE!$F$15,$M52-$A$15,BT$13)=0,10^12,OFFSET(CRONOPLE!$F$15,$M52-$A$15,BT$13)))</f>
        <v>2</v>
      </c>
      <c r="BU52" s="353" t="n">
        <f aca="true">IF(OR($D52&lt;&gt;"Serviço",AND(AUTOEVENTO="Manual",$M52=$A$15)),0,
         IF(OFFSET(CRONOPLE!$F$15,$M52-$A$15,BU$13)=0,10^12,OFFSET(CRONOPLE!$F$15,$M52-$A$15,BU$13)))</f>
        <v>3</v>
      </c>
      <c r="BV52" s="353" t="n">
        <f aca="true">IF(OR($D52&lt;&gt;"Serviço",AND(AUTOEVENTO="Manual",$M52=$A$15)),0,
         IF(OFFSET(CRONOPLE!$F$15,$M52-$A$15,BV$13)=0,10^12,OFFSET(CRONOPLE!$F$15,$M52-$A$15,BV$13)))</f>
        <v>4</v>
      </c>
      <c r="BW52" s="353" t="n">
        <f aca="true">IF(OR($D52&lt;&gt;"Serviço",AND(AUTOEVENTO="Manual",$M52=$A$15)),0,
         IF(OFFSET(CRONOPLE!$F$15,$M52-$A$15,BW$13)=0,10^12,OFFSET(CRONOPLE!$F$15,$M52-$A$15,BW$13)))</f>
        <v>5</v>
      </c>
      <c r="BX52" s="353" t="n">
        <f aca="true">IF(OR($D52&lt;&gt;"Serviço",AND(AUTOEVENTO="Manual",$M52=$A$15)),0,
         IF(OFFSET(CRONOPLE!$F$15,$M52-$A$15,BX$13)=0,10^12,OFFSET(CRONOPLE!$F$15,$M52-$A$15,BX$13)))</f>
        <v>6</v>
      </c>
      <c r="BY52" s="353" t="n">
        <f aca="true">IF(OR($D52&lt;&gt;"Serviço",AND(AUTOEVENTO="Manual",$M52=$A$15)),0,
         IF(OFFSET(CRONOPLE!$F$15,$M52-$A$15,BY$13)=0,10^12,OFFSET(CRONOPLE!$F$15,$M52-$A$15,BY$13)))</f>
        <v>7</v>
      </c>
      <c r="BZ52" s="353" t="n">
        <f aca="true">IF(OR($D52&lt;&gt;"Serviço",AND(AUTOEVENTO="Manual",$M52=$A$15)),0,
         IF(OFFSET(CRONOPLE!$F$15,$M52-$A$15,BZ$13)=0,10^12,OFFSET(CRONOPLE!$F$15,$M52-$A$15,BZ$13)))</f>
        <v>8</v>
      </c>
      <c r="CA52" s="353" t="n">
        <f aca="true">IF(OR($D52&lt;&gt;"Serviço",AND(AUTOEVENTO="Manual",$M52=$A$15)),0,
         IF(OFFSET(CRONOPLE!$F$15,$M52-$A$15,CA$13)=0,10^12,OFFSET(CRONOPLE!$F$15,$M52-$A$15,CA$13)))</f>
        <v>9</v>
      </c>
      <c r="CB52" s="353" t="n">
        <f aca="true">IF(OR($D52&lt;&gt;"Serviço",AND(AUTOEVENTO="Manual",$M52=$A$15)),0,
         IF(OFFSET(CRONOPLE!$F$15,$M52-$A$15,CB$13)=0,10^12,OFFSET(CRONOPLE!$F$15,$M52-$A$15,CB$13)))</f>
        <v>10</v>
      </c>
      <c r="CC52" s="353" t="n">
        <f aca="true">IF(OR($D52&lt;&gt;"Serviço",AND(AUTOEVENTO="Manual",$M52=$A$15)),0,
         IF(OFFSET(CRONOPLE!$F$15,$M52-$A$15,CC$13)=0,10^12,OFFSET(CRONOPLE!$F$15,$M52-$A$15,CC$13)))</f>
        <v>11</v>
      </c>
      <c r="CD52" s="353" t="n">
        <f aca="true">IF(OR($D52&lt;&gt;"Serviço",AND(AUTOEVENTO="Manual",$M52=$A$15)),0,
         IF(OFFSET(CRONOPLE!$F$15,$M52-$A$15,CD$13)=0,10^12,OFFSET(CRONOPLE!$F$15,$M52-$A$15,CD$13)))</f>
        <v>12</v>
      </c>
      <c r="CE52" s="353" t="n">
        <f aca="true">IF(OR($D52&lt;&gt;"Serviço",AND(AUTOEVENTO="Manual",$M52=$A$15)),0,
         IF(OFFSET(CRONOPLE!$F$15,$M52-$A$15,CE$13)=0,10^12,OFFSET(CRONOPLE!$F$15,$M52-$A$15,CE$13)))</f>
        <v>13</v>
      </c>
      <c r="CF52" s="353" t="n">
        <f aca="true">IF(OR($D52&lt;&gt;"Serviço",AND(AUTOEVENTO="Manual",$M52=$A$15)),0,
         IF(OFFSET(CRONOPLE!$F$15,$M52-$A$15,CF$13)=0,10^12,OFFSET(CRONOPLE!$F$15,$M52-$A$15,CF$13)))</f>
        <v>14</v>
      </c>
      <c r="CG52" s="353" t="n">
        <f aca="true">IF(OR($D52&lt;&gt;"Serviço",AND(AUTOEVENTO="Manual",$M52=$A$15)),0,
         IF(OFFSET(CRONOPLE!$F$15,$M52-$A$15,CG$13)=0,10^12,OFFSET(CRONOPLE!$F$15,$M52-$A$15,CG$13)))</f>
        <v>15</v>
      </c>
      <c r="CH52" s="353" t="n">
        <f aca="true">IF(OR($D52&lt;&gt;"Serviço",AND(AUTOEVENTO="Manual",$M52=$A$15)),0,
         IF(OFFSET(CRONOPLE!$F$15,$M52-$A$15,CH$13)=0,10^12,OFFSET(CRONOPLE!$F$15,$M52-$A$15,CH$13)))</f>
        <v>16</v>
      </c>
      <c r="CI52" s="353" t="n">
        <f aca="true">IF(OR($D52&lt;&gt;"Serviço",AND(AUTOEVENTO="Manual",$M52=$A$15)),0,
         IF(OFFSET(CRONOPLE!$F$15,$M52-$A$15,CI$13)=0,10^12,OFFSET(CRONOPLE!$F$15,$M52-$A$15,CI$13)))</f>
        <v>17</v>
      </c>
      <c r="CJ52" s="353" t="n">
        <f aca="true">IF(OR($D52&lt;&gt;"Serviço",AND(AUTOEVENTO="Manual",$M52=$A$15)),0,
         IF(OFFSET(CRONOPLE!$F$15,$M52-$A$15,CJ$13)=0,10^12,OFFSET(CRONOPLE!$F$15,$M52-$A$15,CJ$13)))</f>
        <v>18</v>
      </c>
      <c r="CK52" s="353" t="n">
        <f aca="true">IF(OR($D52&lt;&gt;"Serviço",AND(AUTOEVENTO="Manual",$M52=$A$15)),0,
         IF(OFFSET(CRONOPLE!$F$15,$M52-$A$15,CK$13)=0,10^12,OFFSET(CRONOPLE!$F$15,$M52-$A$15,CK$13)))</f>
        <v>19</v>
      </c>
      <c r="CL52" s="353" t="n">
        <f aca="true">IF(OR($D52&lt;&gt;"Serviço",AND(AUTOEVENTO="Manual",$M52=$A$15)),0,
         IF(OFFSET(CRONOPLE!$F$15,$M52-$A$15,CL$13)=0,10^12,OFFSET(CRONOPLE!$F$15,$M52-$A$15,CL$13)))</f>
        <v>20</v>
      </c>
      <c r="CM52" s="353" t="n">
        <f aca="true">IF(OR($D52&lt;&gt;"Serviço",AND(AUTOEVENTO="Manual",$M52=$A$15)),0,
         IF(OFFSET(CRONOPLE!$F$15,$M52-$A$15,CM$13)=0,10^12,OFFSET(CRONOPLE!$F$15,$M52-$A$15,CM$13)))</f>
        <v>21</v>
      </c>
      <c r="CN52" s="353" t="n">
        <f aca="true">IF(OR($D52&lt;&gt;"Serviço",AND(AUTOEVENTO="Manual",$M52=$A$15)),0,
         IF(OFFSET(CRONOPLE!$F$15,$M52-$A$15,CN$13)=0,10^12,OFFSET(CRONOPLE!$F$15,$M52-$A$15,CN$13)))</f>
        <v>22</v>
      </c>
      <c r="CO52" s="353" t="n">
        <f aca="true">IF(OR($D52&lt;&gt;"Serviço",AND(AUTOEVENTO="Manual",$M52=$A$15)),0,
         IF(OFFSET(CRONOPLE!$F$15,$M52-$A$15,CO$13)=0,10^12,OFFSET(CRONOPLE!$F$15,$M52-$A$15,CO$13)))</f>
        <v>23</v>
      </c>
      <c r="CP52" s="353" t="n">
        <f aca="true">IF(OR($D52&lt;&gt;"Serviço",AND(AUTOEVENTO="Manual",$M52=$A$15)),0,
         IF(OFFSET(CRONOPLE!$F$15,$M52-$A$15,CP$13)=0,10^12,OFFSET(CRONOPLE!$F$15,$M52-$A$15,CP$13)))</f>
        <v>24</v>
      </c>
      <c r="CQ52" s="353" t="n">
        <f aca="true">IF(OR($D52&lt;&gt;"Serviço",AND(AUTOEVENTO="Manual",$M52=$A$15)),0,
         IF(OFFSET(CRONOPLE!$F$15,$M52-$A$15,CQ$13)=0,10^12,OFFSET(CRONOPLE!$F$15,$M52-$A$15,CQ$13)))</f>
        <v>25</v>
      </c>
      <c r="CR52" s="353" t="n">
        <f aca="true">IF(OR($D52&lt;&gt;"Serviço",AND(AUTOEVENTO="Manual",$M52=$A$15)),0,
         IF(OFFSET(CRONOPLE!$F$15,$M52-$A$15,CR$13)=0,10^12,OFFSET(CRONOPLE!$F$15,$M52-$A$15,CR$13)))</f>
        <v>1000000000000</v>
      </c>
      <c r="CT52" s="354" t="n">
        <f aca="true">IF(OR($D52&lt;&gt;"Serviço",AND(AUTOEVENTO="Manual",$M52=$A$15),$M52&gt;(ROW(PLE.lastrow)-ROW(PLE.firstrow))),0,
           IF(OFFSET(PLE!$G$15,$M52-$A$15,CT$13)="",10^12,OFFSET(PLE!$G$15,$M52-$A$15,CT$13)))</f>
        <v>1000000000000</v>
      </c>
      <c r="CU52" s="354" t="n">
        <f aca="true">IF(OR($D52&lt;&gt;"Serviço",AND(AUTOEVENTO="Manual",$M52=$A$15),$M52&gt;(ROW(PLE.lastrow)-ROW(PLE.firstrow))),0,
           IF(OFFSET(PLE!$G$15,$M52-$A$15,CU$13)="",10^12,OFFSET(PLE!$G$15,$M52-$A$15,CU$13)))</f>
        <v>1000000000000</v>
      </c>
      <c r="CV52" s="354" t="n">
        <f aca="true">IF(OR($D52&lt;&gt;"Serviço",AND(AUTOEVENTO="Manual",$M52=$A$15),$M52&gt;(ROW(PLE.lastrow)-ROW(PLE.firstrow))),0,
           IF(OFFSET(PLE!$G$15,$M52-$A$15,CV$13)="",10^12,OFFSET(PLE!$G$15,$M52-$A$15,CV$13)))</f>
        <v>1000000000000</v>
      </c>
      <c r="CW52" s="354" t="n">
        <f aca="true">IF(OR($D52&lt;&gt;"Serviço",AND(AUTOEVENTO="Manual",$M52=$A$15),$M52&gt;(ROW(PLE.lastrow)-ROW(PLE.firstrow))),0,
           IF(OFFSET(PLE!$G$15,$M52-$A$15,CW$13)="",10^12,OFFSET(PLE!$G$15,$M52-$A$15,CW$13)))</f>
        <v>1000000000000</v>
      </c>
      <c r="CX52" s="354" t="n">
        <f aca="true">IF(OR($D52&lt;&gt;"Serviço",AND(AUTOEVENTO="Manual",$M52=$A$15),$M52&gt;(ROW(PLE.lastrow)-ROW(PLE.firstrow))),0,
           IF(OFFSET(PLE!$G$15,$M52-$A$15,CX$13)="",10^12,OFFSET(PLE!$G$15,$M52-$A$15,CX$13)))</f>
        <v>1000000000000</v>
      </c>
      <c r="CY52" s="354" t="n">
        <f aca="true">IF(OR($D52&lt;&gt;"Serviço",AND(AUTOEVENTO="Manual",$M52=$A$15),$M52&gt;(ROW(PLE.lastrow)-ROW(PLE.firstrow))),0,
           IF(OFFSET(PLE!$G$15,$M52-$A$15,CY$13)="",10^12,OFFSET(PLE!$G$15,$M52-$A$15,CY$13)))</f>
        <v>1000000000000</v>
      </c>
      <c r="CZ52" s="354" t="n">
        <f aca="true">IF(OR($D52&lt;&gt;"Serviço",AND(AUTOEVENTO="Manual",$M52=$A$15),$M52&gt;(ROW(PLE.lastrow)-ROW(PLE.firstrow))),0,
           IF(OFFSET(PLE!$G$15,$M52-$A$15,CZ$13)="",10^12,OFFSET(PLE!$G$15,$M52-$A$15,CZ$13)))</f>
        <v>1000000000000</v>
      </c>
      <c r="DA52" s="354" t="n">
        <f aca="true">IF(OR($D52&lt;&gt;"Serviço",AND(AUTOEVENTO="Manual",$M52=$A$15),$M52&gt;(ROW(PLE.lastrow)-ROW(PLE.firstrow))),0,
           IF(OFFSET(PLE!$G$15,$M52-$A$15,DA$13)="",10^12,OFFSET(PLE!$G$15,$M52-$A$15,DA$13)))</f>
        <v>1000000000000</v>
      </c>
      <c r="DB52" s="354" t="n">
        <f aca="true">IF(OR($D52&lt;&gt;"Serviço",AND(AUTOEVENTO="Manual",$M52=$A$15),$M52&gt;(ROW(PLE.lastrow)-ROW(PLE.firstrow))),0,
           IF(OFFSET(PLE!$G$15,$M52-$A$15,DB$13)="",10^12,OFFSET(PLE!$G$15,$M52-$A$15,DB$13)))</f>
        <v>1000000000000</v>
      </c>
      <c r="DC52" s="354" t="n">
        <f aca="true">IF(OR($D52&lt;&gt;"Serviço",AND(AUTOEVENTO="Manual",$M52=$A$15),$M52&gt;(ROW(PLE.lastrow)-ROW(PLE.firstrow))),0,
           IF(OFFSET(PLE!$G$15,$M52-$A$15,DC$13)="",10^12,OFFSET(PLE!$G$15,$M52-$A$15,DC$13)))</f>
        <v>1000000000000</v>
      </c>
      <c r="DD52" s="354" t="n">
        <f aca="true">IF(OR($D52&lt;&gt;"Serviço",AND(AUTOEVENTO="Manual",$M52=$A$15),$M52&gt;(ROW(PLE.lastrow)-ROW(PLE.firstrow))),0,
           IF(OFFSET(PLE!$G$15,$M52-$A$15,DD$13)="",10^12,OFFSET(PLE!$G$15,$M52-$A$15,DD$13)))</f>
        <v>1000000000000</v>
      </c>
      <c r="DE52" s="354" t="n">
        <f aca="true">IF(OR($D52&lt;&gt;"Serviço",AND(AUTOEVENTO="Manual",$M52=$A$15),$M52&gt;(ROW(PLE.lastrow)-ROW(PLE.firstrow))),0,
           IF(OFFSET(PLE!$G$15,$M52-$A$15,DE$13)="",10^12,OFFSET(PLE!$G$15,$M52-$A$15,DE$13)))</f>
        <v>1000000000000</v>
      </c>
      <c r="DF52" s="354" t="n">
        <f aca="true">IF(OR($D52&lt;&gt;"Serviço",AND(AUTOEVENTO="Manual",$M52=$A$15),$M52&gt;(ROW(PLE.lastrow)-ROW(PLE.firstrow))),0,
           IF(OFFSET(PLE!$G$15,$M52-$A$15,DF$13)="",10^12,OFFSET(PLE!$G$15,$M52-$A$15,DF$13)))</f>
        <v>1000000000000</v>
      </c>
      <c r="DG52" s="354" t="n">
        <f aca="true">IF(OR($D52&lt;&gt;"Serviço",AND(AUTOEVENTO="Manual",$M52=$A$15),$M52&gt;(ROW(PLE.lastrow)-ROW(PLE.firstrow))),0,
           IF(OFFSET(PLE!$G$15,$M52-$A$15,DG$13)="",10^12,OFFSET(PLE!$G$15,$M52-$A$15,DG$13)))</f>
        <v>1000000000000</v>
      </c>
      <c r="DH52" s="354" t="n">
        <f aca="true">IF(OR($D52&lt;&gt;"Serviço",AND(AUTOEVENTO="Manual",$M52=$A$15),$M52&gt;(ROW(PLE.lastrow)-ROW(PLE.firstrow))),0,
           IF(OFFSET(PLE!$G$15,$M52-$A$15,DH$13)="",10^12,OFFSET(PLE!$G$15,$M52-$A$15,DH$13)))</f>
        <v>1000000000000</v>
      </c>
      <c r="DI52" s="354" t="n">
        <f aca="true">IF(OR($D52&lt;&gt;"Serviço",AND(AUTOEVENTO="Manual",$M52=$A$15),$M52&gt;(ROW(PLE.lastrow)-ROW(PLE.firstrow))),0,
           IF(OFFSET(PLE!$G$15,$M52-$A$15,DI$13)="",10^12,OFFSET(PLE!$G$15,$M52-$A$15,DI$13)))</f>
        <v>1000000000000</v>
      </c>
      <c r="DJ52" s="354" t="n">
        <f aca="true">IF(OR($D52&lt;&gt;"Serviço",AND(AUTOEVENTO="Manual",$M52=$A$15),$M52&gt;(ROW(PLE.lastrow)-ROW(PLE.firstrow))),0,
           IF(OFFSET(PLE!$G$15,$M52-$A$15,DJ$13)="",10^12,OFFSET(PLE!$G$15,$M52-$A$15,DJ$13)))</f>
        <v>1000000000000</v>
      </c>
      <c r="DK52" s="354" t="n">
        <f aca="true">IF(OR($D52&lt;&gt;"Serviço",AND(AUTOEVENTO="Manual",$M52=$A$15),$M52&gt;(ROW(PLE.lastrow)-ROW(PLE.firstrow))),0,
           IF(OFFSET(PLE!$G$15,$M52-$A$15,DK$13)="",10^12,OFFSET(PLE!$G$15,$M52-$A$15,DK$13)))</f>
        <v>1000000000000</v>
      </c>
      <c r="DL52" s="354" t="n">
        <f aca="true">IF(OR($D52&lt;&gt;"Serviço",AND(AUTOEVENTO="Manual",$M52=$A$15),$M52&gt;(ROW(PLE.lastrow)-ROW(PLE.firstrow))),0,
           IF(OFFSET(PLE!$G$15,$M52-$A$15,DL$13)="",10^12,OFFSET(PLE!$G$15,$M52-$A$15,DL$13)))</f>
        <v>1000000000000</v>
      </c>
      <c r="DM52" s="354" t="n">
        <f aca="true">IF(OR($D52&lt;&gt;"Serviço",AND(AUTOEVENTO="Manual",$M52=$A$15),$M52&gt;(ROW(PLE.lastrow)-ROW(PLE.firstrow))),0,
           IF(OFFSET(PLE!$G$15,$M52-$A$15,DM$13)="",10^12,OFFSET(PLE!$G$15,$M52-$A$15,DM$13)))</f>
        <v>1000000000000</v>
      </c>
      <c r="DN52" s="354" t="n">
        <f aca="true">IF(OR($D52&lt;&gt;"Serviço",AND(AUTOEVENTO="Manual",$M52=$A$15),$M52&gt;(ROW(PLE.lastrow)-ROW(PLE.firstrow))),0,
           IF(OFFSET(PLE!$G$15,$M52-$A$15,DN$13)="",10^12,OFFSET(PLE!$G$15,$M52-$A$15,DN$13)))</f>
        <v>1000000000000</v>
      </c>
      <c r="DO52" s="354" t="n">
        <f aca="true">IF(OR($D52&lt;&gt;"Serviço",AND(AUTOEVENTO="Manual",$M52=$A$15),$M52&gt;(ROW(PLE.lastrow)-ROW(PLE.firstrow))),0,
           IF(OFFSET(PLE!$G$15,$M52-$A$15,DO$13)="",10^12,OFFSET(PLE!$G$15,$M52-$A$15,DO$13)))</f>
        <v>1000000000000</v>
      </c>
      <c r="DP52" s="354" t="n">
        <f aca="true">IF(OR($D52&lt;&gt;"Serviço",AND(AUTOEVENTO="Manual",$M52=$A$15),$M52&gt;(ROW(PLE.lastrow)-ROW(PLE.firstrow))),0,
           IF(OFFSET(PLE!$G$15,$M52-$A$15,DP$13)="",10^12,OFFSET(PLE!$G$15,$M52-$A$15,DP$13)))</f>
        <v>1000000000000</v>
      </c>
      <c r="DQ52" s="354" t="n">
        <f aca="true">IF(OR($D52&lt;&gt;"Serviço",AND(AUTOEVENTO="Manual",$M52=$A$15),$M52&gt;(ROW(PLE.lastrow)-ROW(PLE.firstrow))),0,
           IF(OFFSET(PLE!$G$15,$M52-$A$15,DQ$13)="",10^12,OFFSET(PLE!$G$15,$M52-$A$15,DQ$13)))</f>
        <v>1000000000000</v>
      </c>
      <c r="DR52" s="354" t="n">
        <f aca="true">IF(OR($D52&lt;&gt;"Serviço",AND(AUTOEVENTO="Manual",$M52=$A$15),$M52&gt;(ROW(PLE.lastrow)-ROW(PLE.firstrow))),0,
           IF(OFFSET(PLE!$G$15,$M52-$A$15,DR$13)="",10^12,OFFSET(PLE!$G$15,$M52-$A$15,DR$13)))</f>
        <v>1000000000000</v>
      </c>
      <c r="DS52" s="354" t="n">
        <f aca="true">IF(OR($D52&lt;&gt;"Serviço",AND(AUTOEVENTO="Manual",$M52=$A$15),$M52&gt;(ROW(PLE.lastrow)-ROW(PLE.firstrow))),0,
           IF(OFFSET(PLE!$G$15,$M52-$A$15,DS$13)="",10^12,OFFSET(PLE!$G$15,$M52-$A$15,DS$13)))</f>
        <v>1000000000000</v>
      </c>
    </row>
    <row r="53" customFormat="false" ht="68.65" hidden="false" customHeight="false" outlineLevel="0" collapsed="false">
      <c r="A53" s="50" t="str">
        <f aca="true">IFERROR(IF(AUTOEVENTO="Manual",IF(K53&lt;&gt;"",MIN(VALUE(LEFT(K53,FIND(".",K53)-1)),COUNTA(EVENTOS.Lista)),0),IF(OR($B53&gt;AUTOEVENTO,$B53="S",$B53=0),SUBSTITUTE(OFFSET($A53,-1,0),IF($D53="Serviço",".",""),""),ROW(A53)-ROW($A$15)&amp;".")),0)</f>
        <v>34</v>
      </c>
      <c r="B53" s="50" t="str">
        <f aca="true">OFFSET(ORÇAMENTO!C$15,ROW(B53)-ROW(B$15),0)</f>
        <v>S</v>
      </c>
      <c r="C53" s="50" t="str">
        <f aca="true">OFFSET(ORÇAMENTO!L$15,ROW(C53)-ROW(C$15),0)</f>
        <v>F</v>
      </c>
      <c r="D53" s="201" t="str">
        <f aca="true">OFFSET(ORÇAMENTO!N$15,ROW(D53)-ROW(D$15),0)</f>
        <v>Serviço</v>
      </c>
      <c r="E53" s="202" t="str">
        <f aca="true">OFFSET(ORÇAMENTO!O$15,ROW(E53)-ROW(E$15),0)</f>
        <v>1.9.4.</v>
      </c>
      <c r="F53" s="341" t="str">
        <f aca="true">OFFSET(ORÇAMENTO!R$15,ROW(F53)-ROW(F$15),0)</f>
        <v>FÔRMA E DESFORMA DE TÁBUA E SARRAFO,
REAPROVEITAMENTO (5X), EXCLUSIVE ESCORAMENTO</v>
      </c>
      <c r="G53" s="342" t="str">
        <f aca="true">IF($D53&lt;&gt;"Serviço","",OFFSET(ORÇAMENTO!S$15,ROW(G53)-ROW(G$15),0))</f>
        <v>M2</v>
      </c>
      <c r="H53" s="207" t="n">
        <f aca="true">IF($D53&lt;&gt;"Serviço",0,IF(ACOMPANHAMENTO="BM",ROUND(OFFSET(ORÇAMENTO!AJ$15,ROW(H53)-ROW(H$15),0),15-13*ORÇAMENTO!$AF$7),SUMPRODUCT(($Q$1:$AQ$1=1)*ROUND($Q53:$AQ53,15-13*ORÇAMENTO!$AF$7))))</f>
        <v>1620.75</v>
      </c>
      <c r="I53" s="343" t="s">
        <v>938</v>
      </c>
      <c r="J53" s="344" t="e">
        <f aca="false">IF(OR(B53&lt;&gt;"S",CÁLCULO.FrentesPreenchidas=0),"",IF(AND(ACOMPANHAMENTO="PLE",AUTOEVENTO="Manual",OR(H53&gt;0,ORÇAMENTO!AC53="QUANT."),OR(K53="",M53=0,N53="")),"►",IF(AND(ACOMPANHAMENTO="PLE",ORÇAMENTO!AC53="QUANT."),"►►",IF(AND(COUNTIF($P$11:$AQ$11,"▼")=0,H53&gt;0,I53=""),"◄",""))))</f>
        <v>#NAME?</v>
      </c>
      <c r="K53" s="345"/>
      <c r="L53" s="346" t="s">
        <v>876</v>
      </c>
      <c r="M53" s="347" t="n">
        <f aca="true">IF($D53&lt;&gt;"Serviço","",
          IF(AUTOEVENTO="manual",$A53,
                IF(ISERROR(MATCH($A53,$A$15:OFFSET($A53,-1,0),0)),MAX($M$15:OFFSET(M53,-1,0))+1,
                      INDEX($M$15:OFFSET(M53,-1,0),MATCH($A53,$A$15:OFFSET($A53,-1,0),0)))))</f>
        <v>6</v>
      </c>
      <c r="N53" s="348" t="str">
        <f aca="true">IF($D53&lt;&gt;"Serviço","",
         IF(AUTOEVENTO="Manual",
                IF($A53=0,"&lt;-- defina o número do agrupador",
                       OFFSET(EVENTOS!$D$15,$A53-$A$15,0)),
                OFFSET($F$15,$A53,0)))</f>
        <v>PILARES, VIGAS E LAJES</v>
      </c>
      <c r="O53" s="349"/>
      <c r="Q53" s="349" t="n">
        <v>64.83</v>
      </c>
      <c r="R53" s="350" t="n">
        <f aca="false">Q53</f>
        <v>64.83</v>
      </c>
      <c r="S53" s="350" t="n">
        <f aca="false">R53</f>
        <v>64.83</v>
      </c>
      <c r="T53" s="350" t="n">
        <f aca="false">S53</f>
        <v>64.83</v>
      </c>
      <c r="U53" s="350" t="n">
        <f aca="false">T53</f>
        <v>64.83</v>
      </c>
      <c r="V53" s="350" t="n">
        <f aca="false">U53</f>
        <v>64.83</v>
      </c>
      <c r="W53" s="350" t="n">
        <f aca="false">V53</f>
        <v>64.83</v>
      </c>
      <c r="X53" s="350" t="n">
        <f aca="false">W53</f>
        <v>64.83</v>
      </c>
      <c r="Y53" s="350" t="n">
        <f aca="false">X53</f>
        <v>64.83</v>
      </c>
      <c r="Z53" s="351" t="n">
        <f aca="false">Y53</f>
        <v>64.83</v>
      </c>
      <c r="AA53" s="350" t="n">
        <f aca="false">Z53</f>
        <v>64.83</v>
      </c>
      <c r="AB53" s="350" t="n">
        <f aca="false">AA53</f>
        <v>64.83</v>
      </c>
      <c r="AC53" s="350" t="n">
        <f aca="false">AB53</f>
        <v>64.83</v>
      </c>
      <c r="AD53" s="350" t="n">
        <f aca="false">AC53</f>
        <v>64.83</v>
      </c>
      <c r="AE53" s="350" t="n">
        <f aca="false">AD53</f>
        <v>64.83</v>
      </c>
      <c r="AF53" s="350" t="n">
        <f aca="false">AE53</f>
        <v>64.83</v>
      </c>
      <c r="AG53" s="350" t="n">
        <f aca="false">AF53</f>
        <v>64.83</v>
      </c>
      <c r="AH53" s="351" t="n">
        <f aca="false">AG53</f>
        <v>64.83</v>
      </c>
      <c r="AI53" s="350" t="n">
        <f aca="false">AH53</f>
        <v>64.83</v>
      </c>
      <c r="AJ53" s="350" t="n">
        <f aca="false">AI53</f>
        <v>64.83</v>
      </c>
      <c r="AK53" s="350" t="n">
        <f aca="false">AJ53</f>
        <v>64.83</v>
      </c>
      <c r="AL53" s="350" t="n">
        <f aca="false">AK53</f>
        <v>64.83</v>
      </c>
      <c r="AM53" s="350" t="n">
        <f aca="false">AL53</f>
        <v>64.83</v>
      </c>
      <c r="AN53" s="350" t="n">
        <f aca="false">AM53</f>
        <v>64.83</v>
      </c>
      <c r="AO53" s="350" t="n">
        <f aca="false">AN53</f>
        <v>64.83</v>
      </c>
      <c r="AP53" s="351" t="n">
        <v>4</v>
      </c>
      <c r="AR53" s="352" t="n">
        <f aca="true">IF(AND($D53="Serviço",AR$12&lt;&gt;0,$H53&gt;0,OR(AUTOEVENTO&lt;&gt;"manual",$M53&lt;&gt;$A$15)),
        IF(Import.TipoArredondamento&lt;&gt;"TransfereGOV",
              ROUND(OFFSET($P53,0,AR$13),15-13*ORÇAMENTO!$AF$7)/$H53*OFFSET(ORÇAMENTO!$X$15,ROW(AR53)-ROW(AR$15),0),
              ROUND(ROUND(OFFSET($P53,0,AR$13),15-13*ORÇAMENTO!$AF$7)*OFFSET(ORÇAMENTO!$W$15,ROW(AR53)-ROW(AR$15),0),15-13*ORÇAMENTO!$AF$11)),
         0)</f>
        <v>4435.67</v>
      </c>
      <c r="AS53" s="352" t="n">
        <f aca="true">IF(AND($D53="Serviço",AS$12&lt;&gt;0,$H53&gt;0,OR(AUTOEVENTO&lt;&gt;"manual",$M53&lt;&gt;$A$15)),
        IF(Import.TipoArredondamento&lt;&gt;"TransfereGOV",
              ROUND(OFFSET($P53,0,AS$13),15-13*ORÇAMENTO!$AF$7)/$H53*OFFSET(ORÇAMENTO!$X$15,ROW(AS53)-ROW(AS$15),0),
              ROUND(ROUND(OFFSET($P53,0,AS$13),15-13*ORÇAMENTO!$AF$7)*OFFSET(ORÇAMENTO!$W$15,ROW(AS53)-ROW(AS$15),0),15-13*ORÇAMENTO!$AF$11)),
         0)</f>
        <v>4435.67</v>
      </c>
      <c r="AT53" s="352" t="n">
        <f aca="true">IF(AND($D53="Serviço",AT$12&lt;&gt;0,$H53&gt;0,OR(AUTOEVENTO&lt;&gt;"manual",$M53&lt;&gt;$A$15)),
        IF(Import.TipoArredondamento&lt;&gt;"TransfereGOV",
              ROUND(OFFSET($P53,0,AT$13),15-13*ORÇAMENTO!$AF$7)/$H53*OFFSET(ORÇAMENTO!$X$15,ROW(AT53)-ROW(AT$15),0),
              ROUND(ROUND(OFFSET($P53,0,AT$13),15-13*ORÇAMENTO!$AF$7)*OFFSET(ORÇAMENTO!$W$15,ROW(AT53)-ROW(AT$15),0),15-13*ORÇAMENTO!$AF$11)),
         0)</f>
        <v>4435.67</v>
      </c>
      <c r="AU53" s="352" t="n">
        <f aca="true">IF(AND($D53="Serviço",AU$12&lt;&gt;0,$H53&gt;0,OR(AUTOEVENTO&lt;&gt;"manual",$M53&lt;&gt;$A$15)),
        IF(Import.TipoArredondamento&lt;&gt;"TransfereGOV",
              ROUND(OFFSET($P53,0,AU$13),15-13*ORÇAMENTO!$AF$7)/$H53*OFFSET(ORÇAMENTO!$X$15,ROW(AU53)-ROW(AU$15),0),
              ROUND(ROUND(OFFSET($P53,0,AU$13),15-13*ORÇAMENTO!$AF$7)*OFFSET(ORÇAMENTO!$W$15,ROW(AU53)-ROW(AU$15),0),15-13*ORÇAMENTO!$AF$11)),
         0)</f>
        <v>4435.67</v>
      </c>
      <c r="AV53" s="352" t="n">
        <f aca="true">IF(AND($D53="Serviço",AV$12&lt;&gt;0,$H53&gt;0,OR(AUTOEVENTO&lt;&gt;"manual",$M53&lt;&gt;$A$15)),
        IF(Import.TipoArredondamento&lt;&gt;"TransfereGOV",
              ROUND(OFFSET($P53,0,AV$13),15-13*ORÇAMENTO!$AF$7)/$H53*OFFSET(ORÇAMENTO!$X$15,ROW(AV53)-ROW(AV$15),0),
              ROUND(ROUND(OFFSET($P53,0,AV$13),15-13*ORÇAMENTO!$AF$7)*OFFSET(ORÇAMENTO!$W$15,ROW(AV53)-ROW(AV$15),0),15-13*ORÇAMENTO!$AF$11)),
         0)</f>
        <v>4435.67</v>
      </c>
      <c r="AW53" s="352" t="n">
        <f aca="true">IF(AND($D53="Serviço",AW$12&lt;&gt;0,$H53&gt;0,OR(AUTOEVENTO&lt;&gt;"manual",$M53&lt;&gt;$A$15)),
        IF(Import.TipoArredondamento&lt;&gt;"TransfereGOV",
              ROUND(OFFSET($P53,0,AW$13),15-13*ORÇAMENTO!$AF$7)/$H53*OFFSET(ORÇAMENTO!$X$15,ROW(AW53)-ROW(AW$15),0),
              ROUND(ROUND(OFFSET($P53,0,AW$13),15-13*ORÇAMENTO!$AF$7)*OFFSET(ORÇAMENTO!$W$15,ROW(AW53)-ROW(AW$15),0),15-13*ORÇAMENTO!$AF$11)),
         0)</f>
        <v>4435.67</v>
      </c>
      <c r="AX53" s="352" t="n">
        <f aca="true">IF(AND($D53="Serviço",AX$12&lt;&gt;0,$H53&gt;0,OR(AUTOEVENTO&lt;&gt;"manual",$M53&lt;&gt;$A$15)),
        IF(Import.TipoArredondamento&lt;&gt;"TransfereGOV",
              ROUND(OFFSET($P53,0,AX$13),15-13*ORÇAMENTO!$AF$7)/$H53*OFFSET(ORÇAMENTO!$X$15,ROW(AX53)-ROW(AX$15),0),
              ROUND(ROUND(OFFSET($P53,0,AX$13),15-13*ORÇAMENTO!$AF$7)*OFFSET(ORÇAMENTO!$W$15,ROW(AX53)-ROW(AX$15),0),15-13*ORÇAMENTO!$AF$11)),
         0)</f>
        <v>4435.67</v>
      </c>
      <c r="AY53" s="352" t="n">
        <f aca="true">IF(AND($D53="Serviço",AY$12&lt;&gt;0,$H53&gt;0,OR(AUTOEVENTO&lt;&gt;"manual",$M53&lt;&gt;$A$15)),
        IF(Import.TipoArredondamento&lt;&gt;"TransfereGOV",
              ROUND(OFFSET($P53,0,AY$13),15-13*ORÇAMENTO!$AF$7)/$H53*OFFSET(ORÇAMENTO!$X$15,ROW(AY53)-ROW(AY$15),0),
              ROUND(ROUND(OFFSET($P53,0,AY$13),15-13*ORÇAMENTO!$AF$7)*OFFSET(ORÇAMENTO!$W$15,ROW(AY53)-ROW(AY$15),0),15-13*ORÇAMENTO!$AF$11)),
         0)</f>
        <v>4435.67</v>
      </c>
      <c r="AZ53" s="352" t="n">
        <f aca="true">IF(AND($D53="Serviço",AZ$12&lt;&gt;0,$H53&gt;0,OR(AUTOEVENTO&lt;&gt;"manual",$M53&lt;&gt;$A$15)),
        IF(Import.TipoArredondamento&lt;&gt;"TransfereGOV",
              ROUND(OFFSET($P53,0,AZ$13),15-13*ORÇAMENTO!$AF$7)/$H53*OFFSET(ORÇAMENTO!$X$15,ROW(AZ53)-ROW(AZ$15),0),
              ROUND(ROUND(OFFSET($P53,0,AZ$13),15-13*ORÇAMENTO!$AF$7)*OFFSET(ORÇAMENTO!$W$15,ROW(AZ53)-ROW(AZ$15),0),15-13*ORÇAMENTO!$AF$11)),
         0)</f>
        <v>4435.67</v>
      </c>
      <c r="BA53" s="352" t="n">
        <f aca="true">IF(AND($D53="Serviço",BA$12&lt;&gt;0,$H53&gt;0,OR(AUTOEVENTO&lt;&gt;"manual",$M53&lt;&gt;$A$15)),
        IF(Import.TipoArredondamento&lt;&gt;"TransfereGOV",
              ROUND(OFFSET($P53,0,BA$13),15-13*ORÇAMENTO!$AF$7)/$H53*OFFSET(ORÇAMENTO!$X$15,ROW(BA53)-ROW(BA$15),0),
              ROUND(ROUND(OFFSET($P53,0,BA$13),15-13*ORÇAMENTO!$AF$7)*OFFSET(ORÇAMENTO!$W$15,ROW(BA53)-ROW(BA$15),0),15-13*ORÇAMENTO!$AF$11)),
         0)</f>
        <v>4435.67</v>
      </c>
      <c r="BB53" s="352" t="n">
        <f aca="true">IF(AND($D53="Serviço",BB$12&lt;&gt;0,$H53&gt;0,OR(AUTOEVENTO&lt;&gt;"manual",$M53&lt;&gt;$A$15)),
        IF(Import.TipoArredondamento&lt;&gt;"TransfereGOV",
              ROUND(OFFSET($P53,0,BB$13),15-13*ORÇAMENTO!$AF$7)/$H53*OFFSET(ORÇAMENTO!$X$15,ROW(BB53)-ROW(BB$15),0),
              ROUND(ROUND(OFFSET($P53,0,BB$13),15-13*ORÇAMENTO!$AF$7)*OFFSET(ORÇAMENTO!$W$15,ROW(BB53)-ROW(BB$15),0),15-13*ORÇAMENTO!$AF$11)),
         0)</f>
        <v>4435.67</v>
      </c>
      <c r="BC53" s="352" t="n">
        <f aca="true">IF(AND($D53="Serviço",BC$12&lt;&gt;0,$H53&gt;0,OR(AUTOEVENTO&lt;&gt;"manual",$M53&lt;&gt;$A$15)),
        IF(Import.TipoArredondamento&lt;&gt;"TransfereGOV",
              ROUND(OFFSET($P53,0,BC$13),15-13*ORÇAMENTO!$AF$7)/$H53*OFFSET(ORÇAMENTO!$X$15,ROW(BC53)-ROW(BC$15),0),
              ROUND(ROUND(OFFSET($P53,0,BC$13),15-13*ORÇAMENTO!$AF$7)*OFFSET(ORÇAMENTO!$W$15,ROW(BC53)-ROW(BC$15),0),15-13*ORÇAMENTO!$AF$11)),
         0)</f>
        <v>4435.67</v>
      </c>
      <c r="BD53" s="352" t="n">
        <f aca="true">IF(AND($D53="Serviço",BD$12&lt;&gt;0,$H53&gt;0,OR(AUTOEVENTO&lt;&gt;"manual",$M53&lt;&gt;$A$15)),
        IF(Import.TipoArredondamento&lt;&gt;"TransfereGOV",
              ROUND(OFFSET($P53,0,BD$13),15-13*ORÇAMENTO!$AF$7)/$H53*OFFSET(ORÇAMENTO!$X$15,ROW(BD53)-ROW(BD$15),0),
              ROUND(ROUND(OFFSET($P53,0,BD$13),15-13*ORÇAMENTO!$AF$7)*OFFSET(ORÇAMENTO!$W$15,ROW(BD53)-ROW(BD$15),0),15-13*ORÇAMENTO!$AF$11)),
         0)</f>
        <v>4435.67</v>
      </c>
      <c r="BE53" s="352" t="n">
        <f aca="true">IF(AND($D53="Serviço",BE$12&lt;&gt;0,$H53&gt;0,OR(AUTOEVENTO&lt;&gt;"manual",$M53&lt;&gt;$A$15)),
        IF(Import.TipoArredondamento&lt;&gt;"TransfereGOV",
              ROUND(OFFSET($P53,0,BE$13),15-13*ORÇAMENTO!$AF$7)/$H53*OFFSET(ORÇAMENTO!$X$15,ROW(BE53)-ROW(BE$15),0),
              ROUND(ROUND(OFFSET($P53,0,BE$13),15-13*ORÇAMENTO!$AF$7)*OFFSET(ORÇAMENTO!$W$15,ROW(BE53)-ROW(BE$15),0),15-13*ORÇAMENTO!$AF$11)),
         0)</f>
        <v>4435.67</v>
      </c>
      <c r="BF53" s="352" t="n">
        <f aca="true">IF(AND($D53="Serviço",BF$12&lt;&gt;0,$H53&gt;0,OR(AUTOEVENTO&lt;&gt;"manual",$M53&lt;&gt;$A$15)),
        IF(Import.TipoArredondamento&lt;&gt;"TransfereGOV",
              ROUND(OFFSET($P53,0,BF$13),15-13*ORÇAMENTO!$AF$7)/$H53*OFFSET(ORÇAMENTO!$X$15,ROW(BF53)-ROW(BF$15),0),
              ROUND(ROUND(OFFSET($P53,0,BF$13),15-13*ORÇAMENTO!$AF$7)*OFFSET(ORÇAMENTO!$W$15,ROW(BF53)-ROW(BF$15),0),15-13*ORÇAMENTO!$AF$11)),
         0)</f>
        <v>4435.67</v>
      </c>
      <c r="BG53" s="352" t="n">
        <f aca="true">IF(AND($D53="Serviço",BG$12&lt;&gt;0,$H53&gt;0,OR(AUTOEVENTO&lt;&gt;"manual",$M53&lt;&gt;$A$15)),
        IF(Import.TipoArredondamento&lt;&gt;"TransfereGOV",
              ROUND(OFFSET($P53,0,BG$13),15-13*ORÇAMENTO!$AF$7)/$H53*OFFSET(ORÇAMENTO!$X$15,ROW(BG53)-ROW(BG$15),0),
              ROUND(ROUND(OFFSET($P53,0,BG$13),15-13*ORÇAMENTO!$AF$7)*OFFSET(ORÇAMENTO!$W$15,ROW(BG53)-ROW(BG$15),0),15-13*ORÇAMENTO!$AF$11)),
         0)</f>
        <v>4435.67</v>
      </c>
      <c r="BH53" s="352" t="n">
        <f aca="true">IF(AND($D53="Serviço",BH$12&lt;&gt;0,$H53&gt;0,OR(AUTOEVENTO&lt;&gt;"manual",$M53&lt;&gt;$A$15)),
        IF(Import.TipoArredondamento&lt;&gt;"TransfereGOV",
              ROUND(OFFSET($P53,0,BH$13),15-13*ORÇAMENTO!$AF$7)/$H53*OFFSET(ORÇAMENTO!$X$15,ROW(BH53)-ROW(BH$15),0),
              ROUND(ROUND(OFFSET($P53,0,BH$13),15-13*ORÇAMENTO!$AF$7)*OFFSET(ORÇAMENTO!$W$15,ROW(BH53)-ROW(BH$15),0),15-13*ORÇAMENTO!$AF$11)),
         0)</f>
        <v>4435.67</v>
      </c>
      <c r="BI53" s="352" t="n">
        <f aca="true">IF(AND($D53="Serviço",BI$12&lt;&gt;0,$H53&gt;0,OR(AUTOEVENTO&lt;&gt;"manual",$M53&lt;&gt;$A$15)),
        IF(Import.TipoArredondamento&lt;&gt;"TransfereGOV",
              ROUND(OFFSET($P53,0,BI$13),15-13*ORÇAMENTO!$AF$7)/$H53*OFFSET(ORÇAMENTO!$X$15,ROW(BI53)-ROW(BI$15),0),
              ROUND(ROUND(OFFSET($P53,0,BI$13),15-13*ORÇAMENTO!$AF$7)*OFFSET(ORÇAMENTO!$W$15,ROW(BI53)-ROW(BI$15),0),15-13*ORÇAMENTO!$AF$11)),
         0)</f>
        <v>4435.67</v>
      </c>
      <c r="BJ53" s="352" t="n">
        <f aca="true">IF(AND($D53="Serviço",BJ$12&lt;&gt;0,$H53&gt;0,OR(AUTOEVENTO&lt;&gt;"manual",$M53&lt;&gt;$A$15)),
        IF(Import.TipoArredondamento&lt;&gt;"TransfereGOV",
              ROUND(OFFSET($P53,0,BJ$13),15-13*ORÇAMENTO!$AF$7)/$H53*OFFSET(ORÇAMENTO!$X$15,ROW(BJ53)-ROW(BJ$15),0),
              ROUND(ROUND(OFFSET($P53,0,BJ$13),15-13*ORÇAMENTO!$AF$7)*OFFSET(ORÇAMENTO!$W$15,ROW(BJ53)-ROW(BJ$15),0),15-13*ORÇAMENTO!$AF$11)),
         0)</f>
        <v>4435.67</v>
      </c>
      <c r="BK53" s="352" t="n">
        <f aca="true">IF(AND($D53="Serviço",BK$12&lt;&gt;0,$H53&gt;0,OR(AUTOEVENTO&lt;&gt;"manual",$M53&lt;&gt;$A$15)),
        IF(Import.TipoArredondamento&lt;&gt;"TransfereGOV",
              ROUND(OFFSET($P53,0,BK$13),15-13*ORÇAMENTO!$AF$7)/$H53*OFFSET(ORÇAMENTO!$X$15,ROW(BK53)-ROW(BK$15),0),
              ROUND(ROUND(OFFSET($P53,0,BK$13),15-13*ORÇAMENTO!$AF$7)*OFFSET(ORÇAMENTO!$W$15,ROW(BK53)-ROW(BK$15),0),15-13*ORÇAMENTO!$AF$11)),
         0)</f>
        <v>4435.67</v>
      </c>
      <c r="BL53" s="352" t="n">
        <f aca="true">IF(AND($D53="Serviço",BL$12&lt;&gt;0,$H53&gt;0,OR(AUTOEVENTO&lt;&gt;"manual",$M53&lt;&gt;$A$15)),
        IF(Import.TipoArredondamento&lt;&gt;"TransfereGOV",
              ROUND(OFFSET($P53,0,BL$13),15-13*ORÇAMENTO!$AF$7)/$H53*OFFSET(ORÇAMENTO!$X$15,ROW(BL53)-ROW(BL$15),0),
              ROUND(ROUND(OFFSET($P53,0,BL$13),15-13*ORÇAMENTO!$AF$7)*OFFSET(ORÇAMENTO!$W$15,ROW(BL53)-ROW(BL$15),0),15-13*ORÇAMENTO!$AF$11)),
         0)</f>
        <v>4435.67</v>
      </c>
      <c r="BM53" s="352" t="n">
        <f aca="true">IF(AND($D53="Serviço",BM$12&lt;&gt;0,$H53&gt;0,OR(AUTOEVENTO&lt;&gt;"manual",$M53&lt;&gt;$A$15)),
        IF(Import.TipoArredondamento&lt;&gt;"TransfereGOV",
              ROUND(OFFSET($P53,0,BM$13),15-13*ORÇAMENTO!$AF$7)/$H53*OFFSET(ORÇAMENTO!$X$15,ROW(BM53)-ROW(BM$15),0),
              ROUND(ROUND(OFFSET($P53,0,BM$13),15-13*ORÇAMENTO!$AF$7)*OFFSET(ORÇAMENTO!$W$15,ROW(BM53)-ROW(BM$15),0),15-13*ORÇAMENTO!$AF$11)),
         0)</f>
        <v>4435.67</v>
      </c>
      <c r="BN53" s="352" t="n">
        <f aca="true">IF(AND($D53="Serviço",BN$12&lt;&gt;0,$H53&gt;0,OR(AUTOEVENTO&lt;&gt;"manual",$M53&lt;&gt;$A$15)),
        IF(Import.TipoArredondamento&lt;&gt;"TransfereGOV",
              ROUND(OFFSET($P53,0,BN$13),15-13*ORÇAMENTO!$AF$7)/$H53*OFFSET(ORÇAMENTO!$X$15,ROW(BN53)-ROW(BN$15),0),
              ROUND(ROUND(OFFSET($P53,0,BN$13),15-13*ORÇAMENTO!$AF$7)*OFFSET(ORÇAMENTO!$W$15,ROW(BN53)-ROW(BN$15),0),15-13*ORÇAMENTO!$AF$11)),
         0)</f>
        <v>4435.67</v>
      </c>
      <c r="BO53" s="352" t="n">
        <f aca="true">IF(AND($D53="Serviço",BO$12&lt;&gt;0,$H53&gt;0,OR(AUTOEVENTO&lt;&gt;"manual",$M53&lt;&gt;$A$15)),
        IF(Import.TipoArredondamento&lt;&gt;"TransfereGOV",
              ROUND(OFFSET($P53,0,BO$13),15-13*ORÇAMENTO!$AF$7)/$H53*OFFSET(ORÇAMENTO!$X$15,ROW(BO53)-ROW(BO$15),0),
              ROUND(ROUND(OFFSET($P53,0,BO$13),15-13*ORÇAMENTO!$AF$7)*OFFSET(ORÇAMENTO!$W$15,ROW(BO53)-ROW(BO$15),0),15-13*ORÇAMENTO!$AF$11)),
         0)</f>
        <v>4435.67</v>
      </c>
      <c r="BP53" s="352" t="n">
        <f aca="true">IF(AND($D53="Serviço",BP$12&lt;&gt;0,$H53&gt;0,OR(AUTOEVENTO&lt;&gt;"manual",$M53&lt;&gt;$A$15)),
        IF(Import.TipoArredondamento&lt;&gt;"TransfereGOV",
              ROUND(OFFSET($P53,0,BP$13),15-13*ORÇAMENTO!$AF$7)/$H53*OFFSET(ORÇAMENTO!$X$15,ROW(BP53)-ROW(BP$15),0),
              ROUND(ROUND(OFFSET($P53,0,BP$13),15-13*ORÇAMENTO!$AF$7)*OFFSET(ORÇAMENTO!$W$15,ROW(BP53)-ROW(BP$15),0),15-13*ORÇAMENTO!$AF$11)),
         0)</f>
        <v>4435.67</v>
      </c>
      <c r="BQ53" s="352" t="n">
        <f aca="true">IF(AND($D53="Serviço",BQ$12&lt;&gt;0,$H53&gt;0,OR(AUTOEVENTO&lt;&gt;"manual",$M53&lt;&gt;$A$15)),
        IF(Import.TipoArredondamento&lt;&gt;"TransfereGOV",
              ROUND(OFFSET($P53,0,BQ$13),15-13*ORÇAMENTO!$AF$7)/$H53*OFFSET(ORÇAMENTO!$X$15,ROW(BQ53)-ROW(BQ$15),0),
              ROUND(ROUND(OFFSET($P53,0,BQ$13),15-13*ORÇAMENTO!$AF$7)*OFFSET(ORÇAMENTO!$W$15,ROW(BQ53)-ROW(BQ$15),0),15-13*ORÇAMENTO!$AF$11)),
         0)</f>
        <v>0</v>
      </c>
      <c r="BS53" s="353" t="n">
        <f aca="true">IF(OR($D53&lt;&gt;"Serviço",AND(AUTOEVENTO="Manual",$M53=$A$15)),0,
         IF(OFFSET(CRONOPLE!$F$15,$M53-$A$15,BS$13)=0,10^12,OFFSET(CRONOPLE!$F$15,$M53-$A$15,BS$13)))</f>
        <v>1</v>
      </c>
      <c r="BT53" s="353" t="n">
        <f aca="true">IF(OR($D53&lt;&gt;"Serviço",AND(AUTOEVENTO="Manual",$M53=$A$15)),0,
         IF(OFFSET(CRONOPLE!$F$15,$M53-$A$15,BT$13)=0,10^12,OFFSET(CRONOPLE!$F$15,$M53-$A$15,BT$13)))</f>
        <v>2</v>
      </c>
      <c r="BU53" s="353" t="n">
        <f aca="true">IF(OR($D53&lt;&gt;"Serviço",AND(AUTOEVENTO="Manual",$M53=$A$15)),0,
         IF(OFFSET(CRONOPLE!$F$15,$M53-$A$15,BU$13)=0,10^12,OFFSET(CRONOPLE!$F$15,$M53-$A$15,BU$13)))</f>
        <v>3</v>
      </c>
      <c r="BV53" s="353" t="n">
        <f aca="true">IF(OR($D53&lt;&gt;"Serviço",AND(AUTOEVENTO="Manual",$M53=$A$15)),0,
         IF(OFFSET(CRONOPLE!$F$15,$M53-$A$15,BV$13)=0,10^12,OFFSET(CRONOPLE!$F$15,$M53-$A$15,BV$13)))</f>
        <v>4</v>
      </c>
      <c r="BW53" s="353" t="n">
        <f aca="true">IF(OR($D53&lt;&gt;"Serviço",AND(AUTOEVENTO="Manual",$M53=$A$15)),0,
         IF(OFFSET(CRONOPLE!$F$15,$M53-$A$15,BW$13)=0,10^12,OFFSET(CRONOPLE!$F$15,$M53-$A$15,BW$13)))</f>
        <v>5</v>
      </c>
      <c r="BX53" s="353" t="n">
        <f aca="true">IF(OR($D53&lt;&gt;"Serviço",AND(AUTOEVENTO="Manual",$M53=$A$15)),0,
         IF(OFFSET(CRONOPLE!$F$15,$M53-$A$15,BX$13)=0,10^12,OFFSET(CRONOPLE!$F$15,$M53-$A$15,BX$13)))</f>
        <v>6</v>
      </c>
      <c r="BY53" s="353" t="n">
        <f aca="true">IF(OR($D53&lt;&gt;"Serviço",AND(AUTOEVENTO="Manual",$M53=$A$15)),0,
         IF(OFFSET(CRONOPLE!$F$15,$M53-$A$15,BY$13)=0,10^12,OFFSET(CRONOPLE!$F$15,$M53-$A$15,BY$13)))</f>
        <v>7</v>
      </c>
      <c r="BZ53" s="353" t="n">
        <f aca="true">IF(OR($D53&lt;&gt;"Serviço",AND(AUTOEVENTO="Manual",$M53=$A$15)),0,
         IF(OFFSET(CRONOPLE!$F$15,$M53-$A$15,BZ$13)=0,10^12,OFFSET(CRONOPLE!$F$15,$M53-$A$15,BZ$13)))</f>
        <v>8</v>
      </c>
      <c r="CA53" s="353" t="n">
        <f aca="true">IF(OR($D53&lt;&gt;"Serviço",AND(AUTOEVENTO="Manual",$M53=$A$15)),0,
         IF(OFFSET(CRONOPLE!$F$15,$M53-$A$15,CA$13)=0,10^12,OFFSET(CRONOPLE!$F$15,$M53-$A$15,CA$13)))</f>
        <v>9</v>
      </c>
      <c r="CB53" s="353" t="n">
        <f aca="true">IF(OR($D53&lt;&gt;"Serviço",AND(AUTOEVENTO="Manual",$M53=$A$15)),0,
         IF(OFFSET(CRONOPLE!$F$15,$M53-$A$15,CB$13)=0,10^12,OFFSET(CRONOPLE!$F$15,$M53-$A$15,CB$13)))</f>
        <v>10</v>
      </c>
      <c r="CC53" s="353" t="n">
        <f aca="true">IF(OR($D53&lt;&gt;"Serviço",AND(AUTOEVENTO="Manual",$M53=$A$15)),0,
         IF(OFFSET(CRONOPLE!$F$15,$M53-$A$15,CC$13)=0,10^12,OFFSET(CRONOPLE!$F$15,$M53-$A$15,CC$13)))</f>
        <v>11</v>
      </c>
      <c r="CD53" s="353" t="n">
        <f aca="true">IF(OR($D53&lt;&gt;"Serviço",AND(AUTOEVENTO="Manual",$M53=$A$15)),0,
         IF(OFFSET(CRONOPLE!$F$15,$M53-$A$15,CD$13)=0,10^12,OFFSET(CRONOPLE!$F$15,$M53-$A$15,CD$13)))</f>
        <v>12</v>
      </c>
      <c r="CE53" s="353" t="n">
        <f aca="true">IF(OR($D53&lt;&gt;"Serviço",AND(AUTOEVENTO="Manual",$M53=$A$15)),0,
         IF(OFFSET(CRONOPLE!$F$15,$M53-$A$15,CE$13)=0,10^12,OFFSET(CRONOPLE!$F$15,$M53-$A$15,CE$13)))</f>
        <v>13</v>
      </c>
      <c r="CF53" s="353" t="n">
        <f aca="true">IF(OR($D53&lt;&gt;"Serviço",AND(AUTOEVENTO="Manual",$M53=$A$15)),0,
         IF(OFFSET(CRONOPLE!$F$15,$M53-$A$15,CF$13)=0,10^12,OFFSET(CRONOPLE!$F$15,$M53-$A$15,CF$13)))</f>
        <v>14</v>
      </c>
      <c r="CG53" s="353" t="n">
        <f aca="true">IF(OR($D53&lt;&gt;"Serviço",AND(AUTOEVENTO="Manual",$M53=$A$15)),0,
         IF(OFFSET(CRONOPLE!$F$15,$M53-$A$15,CG$13)=0,10^12,OFFSET(CRONOPLE!$F$15,$M53-$A$15,CG$13)))</f>
        <v>15</v>
      </c>
      <c r="CH53" s="353" t="n">
        <f aca="true">IF(OR($D53&lt;&gt;"Serviço",AND(AUTOEVENTO="Manual",$M53=$A$15)),0,
         IF(OFFSET(CRONOPLE!$F$15,$M53-$A$15,CH$13)=0,10^12,OFFSET(CRONOPLE!$F$15,$M53-$A$15,CH$13)))</f>
        <v>16</v>
      </c>
      <c r="CI53" s="353" t="n">
        <f aca="true">IF(OR($D53&lt;&gt;"Serviço",AND(AUTOEVENTO="Manual",$M53=$A$15)),0,
         IF(OFFSET(CRONOPLE!$F$15,$M53-$A$15,CI$13)=0,10^12,OFFSET(CRONOPLE!$F$15,$M53-$A$15,CI$13)))</f>
        <v>17</v>
      </c>
      <c r="CJ53" s="353" t="n">
        <f aca="true">IF(OR($D53&lt;&gt;"Serviço",AND(AUTOEVENTO="Manual",$M53=$A$15)),0,
         IF(OFFSET(CRONOPLE!$F$15,$M53-$A$15,CJ$13)=0,10^12,OFFSET(CRONOPLE!$F$15,$M53-$A$15,CJ$13)))</f>
        <v>18</v>
      </c>
      <c r="CK53" s="353" t="n">
        <f aca="true">IF(OR($D53&lt;&gt;"Serviço",AND(AUTOEVENTO="Manual",$M53=$A$15)),0,
         IF(OFFSET(CRONOPLE!$F$15,$M53-$A$15,CK$13)=0,10^12,OFFSET(CRONOPLE!$F$15,$M53-$A$15,CK$13)))</f>
        <v>19</v>
      </c>
      <c r="CL53" s="353" t="n">
        <f aca="true">IF(OR($D53&lt;&gt;"Serviço",AND(AUTOEVENTO="Manual",$M53=$A$15)),0,
         IF(OFFSET(CRONOPLE!$F$15,$M53-$A$15,CL$13)=0,10^12,OFFSET(CRONOPLE!$F$15,$M53-$A$15,CL$13)))</f>
        <v>20</v>
      </c>
      <c r="CM53" s="353" t="n">
        <f aca="true">IF(OR($D53&lt;&gt;"Serviço",AND(AUTOEVENTO="Manual",$M53=$A$15)),0,
         IF(OFFSET(CRONOPLE!$F$15,$M53-$A$15,CM$13)=0,10^12,OFFSET(CRONOPLE!$F$15,$M53-$A$15,CM$13)))</f>
        <v>21</v>
      </c>
      <c r="CN53" s="353" t="n">
        <f aca="true">IF(OR($D53&lt;&gt;"Serviço",AND(AUTOEVENTO="Manual",$M53=$A$15)),0,
         IF(OFFSET(CRONOPLE!$F$15,$M53-$A$15,CN$13)=0,10^12,OFFSET(CRONOPLE!$F$15,$M53-$A$15,CN$13)))</f>
        <v>22</v>
      </c>
      <c r="CO53" s="353" t="n">
        <f aca="true">IF(OR($D53&lt;&gt;"Serviço",AND(AUTOEVENTO="Manual",$M53=$A$15)),0,
         IF(OFFSET(CRONOPLE!$F$15,$M53-$A$15,CO$13)=0,10^12,OFFSET(CRONOPLE!$F$15,$M53-$A$15,CO$13)))</f>
        <v>23</v>
      </c>
      <c r="CP53" s="353" t="n">
        <f aca="true">IF(OR($D53&lt;&gt;"Serviço",AND(AUTOEVENTO="Manual",$M53=$A$15)),0,
         IF(OFFSET(CRONOPLE!$F$15,$M53-$A$15,CP$13)=0,10^12,OFFSET(CRONOPLE!$F$15,$M53-$A$15,CP$13)))</f>
        <v>24</v>
      </c>
      <c r="CQ53" s="353" t="n">
        <f aca="true">IF(OR($D53&lt;&gt;"Serviço",AND(AUTOEVENTO="Manual",$M53=$A$15)),0,
         IF(OFFSET(CRONOPLE!$F$15,$M53-$A$15,CQ$13)=0,10^12,OFFSET(CRONOPLE!$F$15,$M53-$A$15,CQ$13)))</f>
        <v>25</v>
      </c>
      <c r="CR53" s="353" t="n">
        <f aca="true">IF(OR($D53&lt;&gt;"Serviço",AND(AUTOEVENTO="Manual",$M53=$A$15)),0,
         IF(OFFSET(CRONOPLE!$F$15,$M53-$A$15,CR$13)=0,10^12,OFFSET(CRONOPLE!$F$15,$M53-$A$15,CR$13)))</f>
        <v>1000000000000</v>
      </c>
      <c r="CT53" s="354" t="n">
        <f aca="true">IF(OR($D53&lt;&gt;"Serviço",AND(AUTOEVENTO="Manual",$M53=$A$15),$M53&gt;(ROW(PLE.lastrow)-ROW(PLE.firstrow))),0,
           IF(OFFSET(PLE!$G$15,$M53-$A$15,CT$13)="",10^12,OFFSET(PLE!$G$15,$M53-$A$15,CT$13)))</f>
        <v>1000000000000</v>
      </c>
      <c r="CU53" s="354" t="n">
        <f aca="true">IF(OR($D53&lt;&gt;"Serviço",AND(AUTOEVENTO="Manual",$M53=$A$15),$M53&gt;(ROW(PLE.lastrow)-ROW(PLE.firstrow))),0,
           IF(OFFSET(PLE!$G$15,$M53-$A$15,CU$13)="",10^12,OFFSET(PLE!$G$15,$M53-$A$15,CU$13)))</f>
        <v>1000000000000</v>
      </c>
      <c r="CV53" s="354" t="n">
        <f aca="true">IF(OR($D53&lt;&gt;"Serviço",AND(AUTOEVENTO="Manual",$M53=$A$15),$M53&gt;(ROW(PLE.lastrow)-ROW(PLE.firstrow))),0,
           IF(OFFSET(PLE!$G$15,$M53-$A$15,CV$13)="",10^12,OFFSET(PLE!$G$15,$M53-$A$15,CV$13)))</f>
        <v>1000000000000</v>
      </c>
      <c r="CW53" s="354" t="n">
        <f aca="true">IF(OR($D53&lt;&gt;"Serviço",AND(AUTOEVENTO="Manual",$M53=$A$15),$M53&gt;(ROW(PLE.lastrow)-ROW(PLE.firstrow))),0,
           IF(OFFSET(PLE!$G$15,$M53-$A$15,CW$13)="",10^12,OFFSET(PLE!$G$15,$M53-$A$15,CW$13)))</f>
        <v>1000000000000</v>
      </c>
      <c r="CX53" s="354" t="n">
        <f aca="true">IF(OR($D53&lt;&gt;"Serviço",AND(AUTOEVENTO="Manual",$M53=$A$15),$M53&gt;(ROW(PLE.lastrow)-ROW(PLE.firstrow))),0,
           IF(OFFSET(PLE!$G$15,$M53-$A$15,CX$13)="",10^12,OFFSET(PLE!$G$15,$M53-$A$15,CX$13)))</f>
        <v>1000000000000</v>
      </c>
      <c r="CY53" s="354" t="n">
        <f aca="true">IF(OR($D53&lt;&gt;"Serviço",AND(AUTOEVENTO="Manual",$M53=$A$15),$M53&gt;(ROW(PLE.lastrow)-ROW(PLE.firstrow))),0,
           IF(OFFSET(PLE!$G$15,$M53-$A$15,CY$13)="",10^12,OFFSET(PLE!$G$15,$M53-$A$15,CY$13)))</f>
        <v>1000000000000</v>
      </c>
      <c r="CZ53" s="354" t="n">
        <f aca="true">IF(OR($D53&lt;&gt;"Serviço",AND(AUTOEVENTO="Manual",$M53=$A$15),$M53&gt;(ROW(PLE.lastrow)-ROW(PLE.firstrow))),0,
           IF(OFFSET(PLE!$G$15,$M53-$A$15,CZ$13)="",10^12,OFFSET(PLE!$G$15,$M53-$A$15,CZ$13)))</f>
        <v>1000000000000</v>
      </c>
      <c r="DA53" s="354" t="n">
        <f aca="true">IF(OR($D53&lt;&gt;"Serviço",AND(AUTOEVENTO="Manual",$M53=$A$15),$M53&gt;(ROW(PLE.lastrow)-ROW(PLE.firstrow))),0,
           IF(OFFSET(PLE!$G$15,$M53-$A$15,DA$13)="",10^12,OFFSET(PLE!$G$15,$M53-$A$15,DA$13)))</f>
        <v>1000000000000</v>
      </c>
      <c r="DB53" s="354" t="n">
        <f aca="true">IF(OR($D53&lt;&gt;"Serviço",AND(AUTOEVENTO="Manual",$M53=$A$15),$M53&gt;(ROW(PLE.lastrow)-ROW(PLE.firstrow))),0,
           IF(OFFSET(PLE!$G$15,$M53-$A$15,DB$13)="",10^12,OFFSET(PLE!$G$15,$M53-$A$15,DB$13)))</f>
        <v>1000000000000</v>
      </c>
      <c r="DC53" s="354" t="n">
        <f aca="true">IF(OR($D53&lt;&gt;"Serviço",AND(AUTOEVENTO="Manual",$M53=$A$15),$M53&gt;(ROW(PLE.lastrow)-ROW(PLE.firstrow))),0,
           IF(OFFSET(PLE!$G$15,$M53-$A$15,DC$13)="",10^12,OFFSET(PLE!$G$15,$M53-$A$15,DC$13)))</f>
        <v>1000000000000</v>
      </c>
      <c r="DD53" s="354" t="n">
        <f aca="true">IF(OR($D53&lt;&gt;"Serviço",AND(AUTOEVENTO="Manual",$M53=$A$15),$M53&gt;(ROW(PLE.lastrow)-ROW(PLE.firstrow))),0,
           IF(OFFSET(PLE!$G$15,$M53-$A$15,DD$13)="",10^12,OFFSET(PLE!$G$15,$M53-$A$15,DD$13)))</f>
        <v>1000000000000</v>
      </c>
      <c r="DE53" s="354" t="n">
        <f aca="true">IF(OR($D53&lt;&gt;"Serviço",AND(AUTOEVENTO="Manual",$M53=$A$15),$M53&gt;(ROW(PLE.lastrow)-ROW(PLE.firstrow))),0,
           IF(OFFSET(PLE!$G$15,$M53-$A$15,DE$13)="",10^12,OFFSET(PLE!$G$15,$M53-$A$15,DE$13)))</f>
        <v>1000000000000</v>
      </c>
      <c r="DF53" s="354" t="n">
        <f aca="true">IF(OR($D53&lt;&gt;"Serviço",AND(AUTOEVENTO="Manual",$M53=$A$15),$M53&gt;(ROW(PLE.lastrow)-ROW(PLE.firstrow))),0,
           IF(OFFSET(PLE!$G$15,$M53-$A$15,DF$13)="",10^12,OFFSET(PLE!$G$15,$M53-$A$15,DF$13)))</f>
        <v>1000000000000</v>
      </c>
      <c r="DG53" s="354" t="n">
        <f aca="true">IF(OR($D53&lt;&gt;"Serviço",AND(AUTOEVENTO="Manual",$M53=$A$15),$M53&gt;(ROW(PLE.lastrow)-ROW(PLE.firstrow))),0,
           IF(OFFSET(PLE!$G$15,$M53-$A$15,DG$13)="",10^12,OFFSET(PLE!$G$15,$M53-$A$15,DG$13)))</f>
        <v>1000000000000</v>
      </c>
      <c r="DH53" s="354" t="n">
        <f aca="true">IF(OR($D53&lt;&gt;"Serviço",AND(AUTOEVENTO="Manual",$M53=$A$15),$M53&gt;(ROW(PLE.lastrow)-ROW(PLE.firstrow))),0,
           IF(OFFSET(PLE!$G$15,$M53-$A$15,DH$13)="",10^12,OFFSET(PLE!$G$15,$M53-$A$15,DH$13)))</f>
        <v>1000000000000</v>
      </c>
      <c r="DI53" s="354" t="n">
        <f aca="true">IF(OR($D53&lt;&gt;"Serviço",AND(AUTOEVENTO="Manual",$M53=$A$15),$M53&gt;(ROW(PLE.lastrow)-ROW(PLE.firstrow))),0,
           IF(OFFSET(PLE!$G$15,$M53-$A$15,DI$13)="",10^12,OFFSET(PLE!$G$15,$M53-$A$15,DI$13)))</f>
        <v>1000000000000</v>
      </c>
      <c r="DJ53" s="354" t="n">
        <f aca="true">IF(OR($D53&lt;&gt;"Serviço",AND(AUTOEVENTO="Manual",$M53=$A$15),$M53&gt;(ROW(PLE.lastrow)-ROW(PLE.firstrow))),0,
           IF(OFFSET(PLE!$G$15,$M53-$A$15,DJ$13)="",10^12,OFFSET(PLE!$G$15,$M53-$A$15,DJ$13)))</f>
        <v>1000000000000</v>
      </c>
      <c r="DK53" s="354" t="n">
        <f aca="true">IF(OR($D53&lt;&gt;"Serviço",AND(AUTOEVENTO="Manual",$M53=$A$15),$M53&gt;(ROW(PLE.lastrow)-ROW(PLE.firstrow))),0,
           IF(OFFSET(PLE!$G$15,$M53-$A$15,DK$13)="",10^12,OFFSET(PLE!$G$15,$M53-$A$15,DK$13)))</f>
        <v>1000000000000</v>
      </c>
      <c r="DL53" s="354" t="n">
        <f aca="true">IF(OR($D53&lt;&gt;"Serviço",AND(AUTOEVENTO="Manual",$M53=$A$15),$M53&gt;(ROW(PLE.lastrow)-ROW(PLE.firstrow))),0,
           IF(OFFSET(PLE!$G$15,$M53-$A$15,DL$13)="",10^12,OFFSET(PLE!$G$15,$M53-$A$15,DL$13)))</f>
        <v>1000000000000</v>
      </c>
      <c r="DM53" s="354" t="n">
        <f aca="true">IF(OR($D53&lt;&gt;"Serviço",AND(AUTOEVENTO="Manual",$M53=$A$15),$M53&gt;(ROW(PLE.lastrow)-ROW(PLE.firstrow))),0,
           IF(OFFSET(PLE!$G$15,$M53-$A$15,DM$13)="",10^12,OFFSET(PLE!$G$15,$M53-$A$15,DM$13)))</f>
        <v>1000000000000</v>
      </c>
      <c r="DN53" s="354" t="n">
        <f aca="true">IF(OR($D53&lt;&gt;"Serviço",AND(AUTOEVENTO="Manual",$M53=$A$15),$M53&gt;(ROW(PLE.lastrow)-ROW(PLE.firstrow))),0,
           IF(OFFSET(PLE!$G$15,$M53-$A$15,DN$13)="",10^12,OFFSET(PLE!$G$15,$M53-$A$15,DN$13)))</f>
        <v>1000000000000</v>
      </c>
      <c r="DO53" s="354" t="n">
        <f aca="true">IF(OR($D53&lt;&gt;"Serviço",AND(AUTOEVENTO="Manual",$M53=$A$15),$M53&gt;(ROW(PLE.lastrow)-ROW(PLE.firstrow))),0,
           IF(OFFSET(PLE!$G$15,$M53-$A$15,DO$13)="",10^12,OFFSET(PLE!$G$15,$M53-$A$15,DO$13)))</f>
        <v>1000000000000</v>
      </c>
      <c r="DP53" s="354" t="n">
        <f aca="true">IF(OR($D53&lt;&gt;"Serviço",AND(AUTOEVENTO="Manual",$M53=$A$15),$M53&gt;(ROW(PLE.lastrow)-ROW(PLE.firstrow))),0,
           IF(OFFSET(PLE!$G$15,$M53-$A$15,DP$13)="",10^12,OFFSET(PLE!$G$15,$M53-$A$15,DP$13)))</f>
        <v>1000000000000</v>
      </c>
      <c r="DQ53" s="354" t="n">
        <f aca="true">IF(OR($D53&lt;&gt;"Serviço",AND(AUTOEVENTO="Manual",$M53=$A$15),$M53&gt;(ROW(PLE.lastrow)-ROW(PLE.firstrow))),0,
           IF(OFFSET(PLE!$G$15,$M53-$A$15,DQ$13)="",10^12,OFFSET(PLE!$G$15,$M53-$A$15,DQ$13)))</f>
        <v>1000000000000</v>
      </c>
      <c r="DR53" s="354" t="n">
        <f aca="true">IF(OR($D53&lt;&gt;"Serviço",AND(AUTOEVENTO="Manual",$M53=$A$15),$M53&gt;(ROW(PLE.lastrow)-ROW(PLE.firstrow))),0,
           IF(OFFSET(PLE!$G$15,$M53-$A$15,DR$13)="",10^12,OFFSET(PLE!$G$15,$M53-$A$15,DR$13)))</f>
        <v>1000000000000</v>
      </c>
      <c r="DS53" s="354" t="n">
        <f aca="true">IF(OR($D53&lt;&gt;"Serviço",AND(AUTOEVENTO="Manual",$M53=$A$15),$M53&gt;(ROW(PLE.lastrow)-ROW(PLE.firstrow))),0,
           IF(OFFSET(PLE!$G$15,$M53-$A$15,DS$13)="",10^12,OFFSET(PLE!$G$15,$M53-$A$15,DS$13)))</f>
        <v>1000000000000</v>
      </c>
    </row>
    <row r="54" customFormat="false" ht="68.65" hidden="false" customHeight="false" outlineLevel="0" collapsed="false">
      <c r="A54" s="50" t="str">
        <f aca="true">IFERROR(IF(AUTOEVENTO="Manual",IF(K54&lt;&gt;"",MIN(VALUE(LEFT(K54,FIND(".",K54)-1)),COUNTA(EVENTOS.Lista)),0),IF(OR($B54&gt;AUTOEVENTO,$B54="S",$B54=0),SUBSTITUTE(OFFSET($A54,-1,0),IF($D54="Serviço",".",""),""),ROW(A54)-ROW($A$15)&amp;".")),0)</f>
        <v>34</v>
      </c>
      <c r="B54" s="50" t="str">
        <f aca="true">OFFSET(ORÇAMENTO!C$15,ROW(B54)-ROW(B$15),0)</f>
        <v>S</v>
      </c>
      <c r="C54" s="50" t="str">
        <f aca="true">OFFSET(ORÇAMENTO!L$15,ROW(C54)-ROW(C$15),0)</f>
        <v>F</v>
      </c>
      <c r="D54" s="201" t="str">
        <f aca="true">OFFSET(ORÇAMENTO!N$15,ROW(D54)-ROW(D$15),0)</f>
        <v>Serviço</v>
      </c>
      <c r="E54" s="202" t="str">
        <f aca="true">OFFSET(ORÇAMENTO!O$15,ROW(E54)-ROW(E$15),0)</f>
        <v>1.9.5.</v>
      </c>
      <c r="F54" s="341" t="str">
        <f aca="true">OFFSET(ORÇAMENTO!R$15,ROW(F54)-ROW(F$15),0)</f>
        <v>LAJE PRÉ-MOLDADA UNIDIRECIONAL COM ENCHIMENTO EM
POLIESTIRENO EXPANDIDO (EPS), CAPEAMENTO DE 4CM,
SOBRECARGA DE 100KG/M2, ALTURA TOTAL DE 11CM E VÃO
LIVRE MÁXIMO DE 3M, INCLUSIVE CONCRETO ESTRUTURAL,
USINADO BOMBEADO COM FCK DE 20MPA, EXCLUSIVE TELA
ARMADA E CIMBRAMENTO</v>
      </c>
      <c r="G54" s="342" t="str">
        <f aca="true">IF($D54&lt;&gt;"Serviço","",OFFSET(ORÇAMENTO!S$15,ROW(G54)-ROW(G$15),0))</f>
        <v>M2</v>
      </c>
      <c r="H54" s="207" t="n">
        <f aca="true">IF($D54&lt;&gt;"Serviço",0,IF(ACOMPANHAMENTO="BM",ROUND(OFFSET(ORÇAMENTO!AJ$15,ROW(H54)-ROW(H$15),0),15-13*ORÇAMENTO!$AF$7),SUMPRODUCT(($Q$1:$AQ$1=1)*ROUND($Q54:$AQ54,15-13*ORÇAMENTO!$AF$7))))</f>
        <v>1346.5</v>
      </c>
      <c r="I54" s="343" t="s">
        <v>939</v>
      </c>
      <c r="J54" s="344" t="e">
        <f aca="false">IF(OR(B54&lt;&gt;"S",CÁLCULO.FrentesPreenchidas=0),"",IF(AND(ACOMPANHAMENTO="PLE",AUTOEVENTO="Manual",OR(H54&gt;0,ORÇAMENTO!AC54="QUANT."),OR(K54="",M54=0,N54="")),"►",IF(AND(ACOMPANHAMENTO="PLE",ORÇAMENTO!AC54="QUANT."),"►►",IF(AND(COUNTIF($P$11:$AQ$11,"▼")=0,H54&gt;0,I54=""),"◄",""))))</f>
        <v>#NAME?</v>
      </c>
      <c r="K54" s="345"/>
      <c r="L54" s="346" t="s">
        <v>876</v>
      </c>
      <c r="M54" s="347" t="n">
        <f aca="true">IF($D54&lt;&gt;"Serviço","",
          IF(AUTOEVENTO="manual",$A54,
                IF(ISERROR(MATCH($A54,$A$15:OFFSET($A54,-1,0),0)),MAX($M$15:OFFSET(M54,-1,0))+1,
                      INDEX($M$15:OFFSET(M54,-1,0),MATCH($A54,$A$15:OFFSET($A54,-1,0),0)))))</f>
        <v>6</v>
      </c>
      <c r="N54" s="348" t="str">
        <f aca="true">IF($D54&lt;&gt;"Serviço","",
         IF(AUTOEVENTO="Manual",
                IF($A54=0,"&lt;-- defina o número do agrupador",
                       OFFSET(EVENTOS!$D$15,$A54-$A$15,0)),
                OFFSET($F$15,$A54,0)))</f>
        <v>PILARES, VIGAS E LAJES</v>
      </c>
      <c r="O54" s="349"/>
      <c r="Q54" s="349" t="n">
        <v>53.86</v>
      </c>
      <c r="R54" s="350" t="n">
        <f aca="false">Q54</f>
        <v>53.86</v>
      </c>
      <c r="S54" s="350" t="n">
        <f aca="false">R54</f>
        <v>53.86</v>
      </c>
      <c r="T54" s="350" t="n">
        <f aca="false">S54</f>
        <v>53.86</v>
      </c>
      <c r="U54" s="350" t="n">
        <f aca="false">T54</f>
        <v>53.86</v>
      </c>
      <c r="V54" s="350" t="n">
        <f aca="false">U54</f>
        <v>53.86</v>
      </c>
      <c r="W54" s="350" t="n">
        <f aca="false">V54</f>
        <v>53.86</v>
      </c>
      <c r="X54" s="350" t="n">
        <f aca="false">W54</f>
        <v>53.86</v>
      </c>
      <c r="Y54" s="350" t="n">
        <f aca="false">X54</f>
        <v>53.86</v>
      </c>
      <c r="Z54" s="351" t="n">
        <f aca="false">Y54</f>
        <v>53.86</v>
      </c>
      <c r="AA54" s="350" t="n">
        <f aca="false">Z54</f>
        <v>53.86</v>
      </c>
      <c r="AB54" s="350" t="n">
        <f aca="false">AA54</f>
        <v>53.86</v>
      </c>
      <c r="AC54" s="350" t="n">
        <f aca="false">AB54</f>
        <v>53.86</v>
      </c>
      <c r="AD54" s="350" t="n">
        <f aca="false">AC54</f>
        <v>53.86</v>
      </c>
      <c r="AE54" s="350" t="n">
        <f aca="false">AD54</f>
        <v>53.86</v>
      </c>
      <c r="AF54" s="350" t="n">
        <f aca="false">AE54</f>
        <v>53.86</v>
      </c>
      <c r="AG54" s="350" t="n">
        <f aca="false">AF54</f>
        <v>53.86</v>
      </c>
      <c r="AH54" s="351" t="n">
        <f aca="false">AG54</f>
        <v>53.86</v>
      </c>
      <c r="AI54" s="350" t="n">
        <f aca="false">AH54</f>
        <v>53.86</v>
      </c>
      <c r="AJ54" s="350" t="n">
        <f aca="false">AI54</f>
        <v>53.86</v>
      </c>
      <c r="AK54" s="350" t="n">
        <f aca="false">AJ54</f>
        <v>53.86</v>
      </c>
      <c r="AL54" s="350" t="n">
        <f aca="false">AK54</f>
        <v>53.86</v>
      </c>
      <c r="AM54" s="350" t="n">
        <f aca="false">AL54</f>
        <v>53.86</v>
      </c>
      <c r="AN54" s="350" t="n">
        <f aca="false">AM54</f>
        <v>53.86</v>
      </c>
      <c r="AO54" s="350" t="n">
        <f aca="false">AN54</f>
        <v>53.86</v>
      </c>
      <c r="AP54" s="351" t="n">
        <v>1</v>
      </c>
      <c r="AR54" s="352" t="n">
        <f aca="true">IF(AND($D54="Serviço",AR$12&lt;&gt;0,$H54&gt;0,OR(AUTOEVENTO&lt;&gt;"manual",$M54&lt;&gt;$A$15)),
        IF(Import.TipoArredondamento&lt;&gt;"TransfereGOV",
              ROUND(OFFSET($P54,0,AR$13),15-13*ORÇAMENTO!$AF$7)/$H54*OFFSET(ORÇAMENTO!$X$15,ROW(AR54)-ROW(AR$15),0),
              ROUND(ROUND(OFFSET($P54,0,AR$13),15-13*ORÇAMENTO!$AF$7)*OFFSET(ORÇAMENTO!$W$15,ROW(AR54)-ROW(AR$15),0),15-13*ORÇAMENTO!$AF$11)),
         0)</f>
        <v>8379</v>
      </c>
      <c r="AS54" s="352" t="n">
        <f aca="true">IF(AND($D54="Serviço",AS$12&lt;&gt;0,$H54&gt;0,OR(AUTOEVENTO&lt;&gt;"manual",$M54&lt;&gt;$A$15)),
        IF(Import.TipoArredondamento&lt;&gt;"TransfereGOV",
              ROUND(OFFSET($P54,0,AS$13),15-13*ORÇAMENTO!$AF$7)/$H54*OFFSET(ORÇAMENTO!$X$15,ROW(AS54)-ROW(AS$15),0),
              ROUND(ROUND(OFFSET($P54,0,AS$13),15-13*ORÇAMENTO!$AF$7)*OFFSET(ORÇAMENTO!$W$15,ROW(AS54)-ROW(AS$15),0),15-13*ORÇAMENTO!$AF$11)),
         0)</f>
        <v>8379</v>
      </c>
      <c r="AT54" s="352" t="n">
        <f aca="true">IF(AND($D54="Serviço",AT$12&lt;&gt;0,$H54&gt;0,OR(AUTOEVENTO&lt;&gt;"manual",$M54&lt;&gt;$A$15)),
        IF(Import.TipoArredondamento&lt;&gt;"TransfereGOV",
              ROUND(OFFSET($P54,0,AT$13),15-13*ORÇAMENTO!$AF$7)/$H54*OFFSET(ORÇAMENTO!$X$15,ROW(AT54)-ROW(AT$15),0),
              ROUND(ROUND(OFFSET($P54,0,AT$13),15-13*ORÇAMENTO!$AF$7)*OFFSET(ORÇAMENTO!$W$15,ROW(AT54)-ROW(AT$15),0),15-13*ORÇAMENTO!$AF$11)),
         0)</f>
        <v>8379</v>
      </c>
      <c r="AU54" s="352" t="n">
        <f aca="true">IF(AND($D54="Serviço",AU$12&lt;&gt;0,$H54&gt;0,OR(AUTOEVENTO&lt;&gt;"manual",$M54&lt;&gt;$A$15)),
        IF(Import.TipoArredondamento&lt;&gt;"TransfereGOV",
              ROUND(OFFSET($P54,0,AU$13),15-13*ORÇAMENTO!$AF$7)/$H54*OFFSET(ORÇAMENTO!$X$15,ROW(AU54)-ROW(AU$15),0),
              ROUND(ROUND(OFFSET($P54,0,AU$13),15-13*ORÇAMENTO!$AF$7)*OFFSET(ORÇAMENTO!$W$15,ROW(AU54)-ROW(AU$15),0),15-13*ORÇAMENTO!$AF$11)),
         0)</f>
        <v>8379</v>
      </c>
      <c r="AV54" s="352" t="n">
        <f aca="true">IF(AND($D54="Serviço",AV$12&lt;&gt;0,$H54&gt;0,OR(AUTOEVENTO&lt;&gt;"manual",$M54&lt;&gt;$A$15)),
        IF(Import.TipoArredondamento&lt;&gt;"TransfereGOV",
              ROUND(OFFSET($P54,0,AV$13),15-13*ORÇAMENTO!$AF$7)/$H54*OFFSET(ORÇAMENTO!$X$15,ROW(AV54)-ROW(AV$15),0),
              ROUND(ROUND(OFFSET($P54,0,AV$13),15-13*ORÇAMENTO!$AF$7)*OFFSET(ORÇAMENTO!$W$15,ROW(AV54)-ROW(AV$15),0),15-13*ORÇAMENTO!$AF$11)),
         0)</f>
        <v>8379</v>
      </c>
      <c r="AW54" s="352" t="n">
        <f aca="true">IF(AND($D54="Serviço",AW$12&lt;&gt;0,$H54&gt;0,OR(AUTOEVENTO&lt;&gt;"manual",$M54&lt;&gt;$A$15)),
        IF(Import.TipoArredondamento&lt;&gt;"TransfereGOV",
              ROUND(OFFSET($P54,0,AW$13),15-13*ORÇAMENTO!$AF$7)/$H54*OFFSET(ORÇAMENTO!$X$15,ROW(AW54)-ROW(AW$15),0),
              ROUND(ROUND(OFFSET($P54,0,AW$13),15-13*ORÇAMENTO!$AF$7)*OFFSET(ORÇAMENTO!$W$15,ROW(AW54)-ROW(AW$15),0),15-13*ORÇAMENTO!$AF$11)),
         0)</f>
        <v>8379</v>
      </c>
      <c r="AX54" s="352" t="n">
        <f aca="true">IF(AND($D54="Serviço",AX$12&lt;&gt;0,$H54&gt;0,OR(AUTOEVENTO&lt;&gt;"manual",$M54&lt;&gt;$A$15)),
        IF(Import.TipoArredondamento&lt;&gt;"TransfereGOV",
              ROUND(OFFSET($P54,0,AX$13),15-13*ORÇAMENTO!$AF$7)/$H54*OFFSET(ORÇAMENTO!$X$15,ROW(AX54)-ROW(AX$15),0),
              ROUND(ROUND(OFFSET($P54,0,AX$13),15-13*ORÇAMENTO!$AF$7)*OFFSET(ORÇAMENTO!$W$15,ROW(AX54)-ROW(AX$15),0),15-13*ORÇAMENTO!$AF$11)),
         0)</f>
        <v>8379</v>
      </c>
      <c r="AY54" s="352" t="n">
        <f aca="true">IF(AND($D54="Serviço",AY$12&lt;&gt;0,$H54&gt;0,OR(AUTOEVENTO&lt;&gt;"manual",$M54&lt;&gt;$A$15)),
        IF(Import.TipoArredondamento&lt;&gt;"TransfereGOV",
              ROUND(OFFSET($P54,0,AY$13),15-13*ORÇAMENTO!$AF$7)/$H54*OFFSET(ORÇAMENTO!$X$15,ROW(AY54)-ROW(AY$15),0),
              ROUND(ROUND(OFFSET($P54,0,AY$13),15-13*ORÇAMENTO!$AF$7)*OFFSET(ORÇAMENTO!$W$15,ROW(AY54)-ROW(AY$15),0),15-13*ORÇAMENTO!$AF$11)),
         0)</f>
        <v>8379</v>
      </c>
      <c r="AZ54" s="352" t="n">
        <f aca="true">IF(AND($D54="Serviço",AZ$12&lt;&gt;0,$H54&gt;0,OR(AUTOEVENTO&lt;&gt;"manual",$M54&lt;&gt;$A$15)),
        IF(Import.TipoArredondamento&lt;&gt;"TransfereGOV",
              ROUND(OFFSET($P54,0,AZ$13),15-13*ORÇAMENTO!$AF$7)/$H54*OFFSET(ORÇAMENTO!$X$15,ROW(AZ54)-ROW(AZ$15),0),
              ROUND(ROUND(OFFSET($P54,0,AZ$13),15-13*ORÇAMENTO!$AF$7)*OFFSET(ORÇAMENTO!$W$15,ROW(AZ54)-ROW(AZ$15),0),15-13*ORÇAMENTO!$AF$11)),
         0)</f>
        <v>8379</v>
      </c>
      <c r="BA54" s="352" t="n">
        <f aca="true">IF(AND($D54="Serviço",BA$12&lt;&gt;0,$H54&gt;0,OR(AUTOEVENTO&lt;&gt;"manual",$M54&lt;&gt;$A$15)),
        IF(Import.TipoArredondamento&lt;&gt;"TransfereGOV",
              ROUND(OFFSET($P54,0,BA$13),15-13*ORÇAMENTO!$AF$7)/$H54*OFFSET(ORÇAMENTO!$X$15,ROW(BA54)-ROW(BA$15),0),
              ROUND(ROUND(OFFSET($P54,0,BA$13),15-13*ORÇAMENTO!$AF$7)*OFFSET(ORÇAMENTO!$W$15,ROW(BA54)-ROW(BA$15),0),15-13*ORÇAMENTO!$AF$11)),
         0)</f>
        <v>8379</v>
      </c>
      <c r="BB54" s="352" t="n">
        <f aca="true">IF(AND($D54="Serviço",BB$12&lt;&gt;0,$H54&gt;0,OR(AUTOEVENTO&lt;&gt;"manual",$M54&lt;&gt;$A$15)),
        IF(Import.TipoArredondamento&lt;&gt;"TransfereGOV",
              ROUND(OFFSET($P54,0,BB$13),15-13*ORÇAMENTO!$AF$7)/$H54*OFFSET(ORÇAMENTO!$X$15,ROW(BB54)-ROW(BB$15),0),
              ROUND(ROUND(OFFSET($P54,0,BB$13),15-13*ORÇAMENTO!$AF$7)*OFFSET(ORÇAMENTO!$W$15,ROW(BB54)-ROW(BB$15),0),15-13*ORÇAMENTO!$AF$11)),
         0)</f>
        <v>8379</v>
      </c>
      <c r="BC54" s="352" t="n">
        <f aca="true">IF(AND($D54="Serviço",BC$12&lt;&gt;0,$H54&gt;0,OR(AUTOEVENTO&lt;&gt;"manual",$M54&lt;&gt;$A$15)),
        IF(Import.TipoArredondamento&lt;&gt;"TransfereGOV",
              ROUND(OFFSET($P54,0,BC$13),15-13*ORÇAMENTO!$AF$7)/$H54*OFFSET(ORÇAMENTO!$X$15,ROW(BC54)-ROW(BC$15),0),
              ROUND(ROUND(OFFSET($P54,0,BC$13),15-13*ORÇAMENTO!$AF$7)*OFFSET(ORÇAMENTO!$W$15,ROW(BC54)-ROW(BC$15),0),15-13*ORÇAMENTO!$AF$11)),
         0)</f>
        <v>8379</v>
      </c>
      <c r="BD54" s="352" t="n">
        <f aca="true">IF(AND($D54="Serviço",BD$12&lt;&gt;0,$H54&gt;0,OR(AUTOEVENTO&lt;&gt;"manual",$M54&lt;&gt;$A$15)),
        IF(Import.TipoArredondamento&lt;&gt;"TransfereGOV",
              ROUND(OFFSET($P54,0,BD$13),15-13*ORÇAMENTO!$AF$7)/$H54*OFFSET(ORÇAMENTO!$X$15,ROW(BD54)-ROW(BD$15),0),
              ROUND(ROUND(OFFSET($P54,0,BD$13),15-13*ORÇAMENTO!$AF$7)*OFFSET(ORÇAMENTO!$W$15,ROW(BD54)-ROW(BD$15),0),15-13*ORÇAMENTO!$AF$11)),
         0)</f>
        <v>8379</v>
      </c>
      <c r="BE54" s="352" t="n">
        <f aca="true">IF(AND($D54="Serviço",BE$12&lt;&gt;0,$H54&gt;0,OR(AUTOEVENTO&lt;&gt;"manual",$M54&lt;&gt;$A$15)),
        IF(Import.TipoArredondamento&lt;&gt;"TransfereGOV",
              ROUND(OFFSET($P54,0,BE$13),15-13*ORÇAMENTO!$AF$7)/$H54*OFFSET(ORÇAMENTO!$X$15,ROW(BE54)-ROW(BE$15),0),
              ROUND(ROUND(OFFSET($P54,0,BE$13),15-13*ORÇAMENTO!$AF$7)*OFFSET(ORÇAMENTO!$W$15,ROW(BE54)-ROW(BE$15),0),15-13*ORÇAMENTO!$AF$11)),
         0)</f>
        <v>8379</v>
      </c>
      <c r="BF54" s="352" t="n">
        <f aca="true">IF(AND($D54="Serviço",BF$12&lt;&gt;0,$H54&gt;0,OR(AUTOEVENTO&lt;&gt;"manual",$M54&lt;&gt;$A$15)),
        IF(Import.TipoArredondamento&lt;&gt;"TransfereGOV",
              ROUND(OFFSET($P54,0,BF$13),15-13*ORÇAMENTO!$AF$7)/$H54*OFFSET(ORÇAMENTO!$X$15,ROW(BF54)-ROW(BF$15),0),
              ROUND(ROUND(OFFSET($P54,0,BF$13),15-13*ORÇAMENTO!$AF$7)*OFFSET(ORÇAMENTO!$W$15,ROW(BF54)-ROW(BF$15),0),15-13*ORÇAMENTO!$AF$11)),
         0)</f>
        <v>8379</v>
      </c>
      <c r="BG54" s="352" t="n">
        <f aca="true">IF(AND($D54="Serviço",BG$12&lt;&gt;0,$H54&gt;0,OR(AUTOEVENTO&lt;&gt;"manual",$M54&lt;&gt;$A$15)),
        IF(Import.TipoArredondamento&lt;&gt;"TransfereGOV",
              ROUND(OFFSET($P54,0,BG$13),15-13*ORÇAMENTO!$AF$7)/$H54*OFFSET(ORÇAMENTO!$X$15,ROW(BG54)-ROW(BG$15),0),
              ROUND(ROUND(OFFSET($P54,0,BG$13),15-13*ORÇAMENTO!$AF$7)*OFFSET(ORÇAMENTO!$W$15,ROW(BG54)-ROW(BG$15),0),15-13*ORÇAMENTO!$AF$11)),
         0)</f>
        <v>8379</v>
      </c>
      <c r="BH54" s="352" t="n">
        <f aca="true">IF(AND($D54="Serviço",BH$12&lt;&gt;0,$H54&gt;0,OR(AUTOEVENTO&lt;&gt;"manual",$M54&lt;&gt;$A$15)),
        IF(Import.TipoArredondamento&lt;&gt;"TransfereGOV",
              ROUND(OFFSET($P54,0,BH$13),15-13*ORÇAMENTO!$AF$7)/$H54*OFFSET(ORÇAMENTO!$X$15,ROW(BH54)-ROW(BH$15),0),
              ROUND(ROUND(OFFSET($P54,0,BH$13),15-13*ORÇAMENTO!$AF$7)*OFFSET(ORÇAMENTO!$W$15,ROW(BH54)-ROW(BH$15),0),15-13*ORÇAMENTO!$AF$11)),
         0)</f>
        <v>8379</v>
      </c>
      <c r="BI54" s="352" t="n">
        <f aca="true">IF(AND($D54="Serviço",BI$12&lt;&gt;0,$H54&gt;0,OR(AUTOEVENTO&lt;&gt;"manual",$M54&lt;&gt;$A$15)),
        IF(Import.TipoArredondamento&lt;&gt;"TransfereGOV",
              ROUND(OFFSET($P54,0,BI$13),15-13*ORÇAMENTO!$AF$7)/$H54*OFFSET(ORÇAMENTO!$X$15,ROW(BI54)-ROW(BI$15),0),
              ROUND(ROUND(OFFSET($P54,0,BI$13),15-13*ORÇAMENTO!$AF$7)*OFFSET(ORÇAMENTO!$W$15,ROW(BI54)-ROW(BI$15),0),15-13*ORÇAMENTO!$AF$11)),
         0)</f>
        <v>8379</v>
      </c>
      <c r="BJ54" s="352" t="n">
        <f aca="true">IF(AND($D54="Serviço",BJ$12&lt;&gt;0,$H54&gt;0,OR(AUTOEVENTO&lt;&gt;"manual",$M54&lt;&gt;$A$15)),
        IF(Import.TipoArredondamento&lt;&gt;"TransfereGOV",
              ROUND(OFFSET($P54,0,BJ$13),15-13*ORÇAMENTO!$AF$7)/$H54*OFFSET(ORÇAMENTO!$X$15,ROW(BJ54)-ROW(BJ$15),0),
              ROUND(ROUND(OFFSET($P54,0,BJ$13),15-13*ORÇAMENTO!$AF$7)*OFFSET(ORÇAMENTO!$W$15,ROW(BJ54)-ROW(BJ$15),0),15-13*ORÇAMENTO!$AF$11)),
         0)</f>
        <v>8379</v>
      </c>
      <c r="BK54" s="352" t="n">
        <f aca="true">IF(AND($D54="Serviço",BK$12&lt;&gt;0,$H54&gt;0,OR(AUTOEVENTO&lt;&gt;"manual",$M54&lt;&gt;$A$15)),
        IF(Import.TipoArredondamento&lt;&gt;"TransfereGOV",
              ROUND(OFFSET($P54,0,BK$13),15-13*ORÇAMENTO!$AF$7)/$H54*OFFSET(ORÇAMENTO!$X$15,ROW(BK54)-ROW(BK$15),0),
              ROUND(ROUND(OFFSET($P54,0,BK$13),15-13*ORÇAMENTO!$AF$7)*OFFSET(ORÇAMENTO!$W$15,ROW(BK54)-ROW(BK$15),0),15-13*ORÇAMENTO!$AF$11)),
         0)</f>
        <v>8379</v>
      </c>
      <c r="BL54" s="352" t="n">
        <f aca="true">IF(AND($D54="Serviço",BL$12&lt;&gt;0,$H54&gt;0,OR(AUTOEVENTO&lt;&gt;"manual",$M54&lt;&gt;$A$15)),
        IF(Import.TipoArredondamento&lt;&gt;"TransfereGOV",
              ROUND(OFFSET($P54,0,BL$13),15-13*ORÇAMENTO!$AF$7)/$H54*OFFSET(ORÇAMENTO!$X$15,ROW(BL54)-ROW(BL$15),0),
              ROUND(ROUND(OFFSET($P54,0,BL$13),15-13*ORÇAMENTO!$AF$7)*OFFSET(ORÇAMENTO!$W$15,ROW(BL54)-ROW(BL$15),0),15-13*ORÇAMENTO!$AF$11)),
         0)</f>
        <v>8379</v>
      </c>
      <c r="BM54" s="352" t="n">
        <f aca="true">IF(AND($D54="Serviço",BM$12&lt;&gt;0,$H54&gt;0,OR(AUTOEVENTO&lt;&gt;"manual",$M54&lt;&gt;$A$15)),
        IF(Import.TipoArredondamento&lt;&gt;"TransfereGOV",
              ROUND(OFFSET($P54,0,BM$13),15-13*ORÇAMENTO!$AF$7)/$H54*OFFSET(ORÇAMENTO!$X$15,ROW(BM54)-ROW(BM$15),0),
              ROUND(ROUND(OFFSET($P54,0,BM$13),15-13*ORÇAMENTO!$AF$7)*OFFSET(ORÇAMENTO!$W$15,ROW(BM54)-ROW(BM$15),0),15-13*ORÇAMENTO!$AF$11)),
         0)</f>
        <v>8379</v>
      </c>
      <c r="BN54" s="352" t="n">
        <f aca="true">IF(AND($D54="Serviço",BN$12&lt;&gt;0,$H54&gt;0,OR(AUTOEVENTO&lt;&gt;"manual",$M54&lt;&gt;$A$15)),
        IF(Import.TipoArredondamento&lt;&gt;"TransfereGOV",
              ROUND(OFFSET($P54,0,BN$13),15-13*ORÇAMENTO!$AF$7)/$H54*OFFSET(ORÇAMENTO!$X$15,ROW(BN54)-ROW(BN$15),0),
              ROUND(ROUND(OFFSET($P54,0,BN$13),15-13*ORÇAMENTO!$AF$7)*OFFSET(ORÇAMENTO!$W$15,ROW(BN54)-ROW(BN$15),0),15-13*ORÇAMENTO!$AF$11)),
         0)</f>
        <v>8379</v>
      </c>
      <c r="BO54" s="352" t="n">
        <f aca="true">IF(AND($D54="Serviço",BO$12&lt;&gt;0,$H54&gt;0,OR(AUTOEVENTO&lt;&gt;"manual",$M54&lt;&gt;$A$15)),
        IF(Import.TipoArredondamento&lt;&gt;"TransfereGOV",
              ROUND(OFFSET($P54,0,BO$13),15-13*ORÇAMENTO!$AF$7)/$H54*OFFSET(ORÇAMENTO!$X$15,ROW(BO54)-ROW(BO$15),0),
              ROUND(ROUND(OFFSET($P54,0,BO$13),15-13*ORÇAMENTO!$AF$7)*OFFSET(ORÇAMENTO!$W$15,ROW(BO54)-ROW(BO$15),0),15-13*ORÇAMENTO!$AF$11)),
         0)</f>
        <v>8379</v>
      </c>
      <c r="BP54" s="352" t="n">
        <f aca="true">IF(AND($D54="Serviço",BP$12&lt;&gt;0,$H54&gt;0,OR(AUTOEVENTO&lt;&gt;"manual",$M54&lt;&gt;$A$15)),
        IF(Import.TipoArredondamento&lt;&gt;"TransfereGOV",
              ROUND(OFFSET($P54,0,BP$13),15-13*ORÇAMENTO!$AF$7)/$H54*OFFSET(ORÇAMENTO!$X$15,ROW(BP54)-ROW(BP$15),0),
              ROUND(ROUND(OFFSET($P54,0,BP$13),15-13*ORÇAMENTO!$AF$7)*OFFSET(ORÇAMENTO!$W$15,ROW(BP54)-ROW(BP$15),0),15-13*ORÇAMENTO!$AF$11)),
         0)</f>
        <v>8379</v>
      </c>
      <c r="BQ54" s="352" t="n">
        <f aca="true">IF(AND($D54="Serviço",BQ$12&lt;&gt;0,$H54&gt;0,OR(AUTOEVENTO&lt;&gt;"manual",$M54&lt;&gt;$A$15)),
        IF(Import.TipoArredondamento&lt;&gt;"TransfereGOV",
              ROUND(OFFSET($P54,0,BQ$13),15-13*ORÇAMENTO!$AF$7)/$H54*OFFSET(ORÇAMENTO!$X$15,ROW(BQ54)-ROW(BQ$15),0),
              ROUND(ROUND(OFFSET($P54,0,BQ$13),15-13*ORÇAMENTO!$AF$7)*OFFSET(ORÇAMENTO!$W$15,ROW(BQ54)-ROW(BQ$15),0),15-13*ORÇAMENTO!$AF$11)),
         0)</f>
        <v>0</v>
      </c>
      <c r="BS54" s="353" t="n">
        <f aca="true">IF(OR($D54&lt;&gt;"Serviço",AND(AUTOEVENTO="Manual",$M54=$A$15)),0,
         IF(OFFSET(CRONOPLE!$F$15,$M54-$A$15,BS$13)=0,10^12,OFFSET(CRONOPLE!$F$15,$M54-$A$15,BS$13)))</f>
        <v>1</v>
      </c>
      <c r="BT54" s="353" t="n">
        <f aca="true">IF(OR($D54&lt;&gt;"Serviço",AND(AUTOEVENTO="Manual",$M54=$A$15)),0,
         IF(OFFSET(CRONOPLE!$F$15,$M54-$A$15,BT$13)=0,10^12,OFFSET(CRONOPLE!$F$15,$M54-$A$15,BT$13)))</f>
        <v>2</v>
      </c>
      <c r="BU54" s="353" t="n">
        <f aca="true">IF(OR($D54&lt;&gt;"Serviço",AND(AUTOEVENTO="Manual",$M54=$A$15)),0,
         IF(OFFSET(CRONOPLE!$F$15,$M54-$A$15,BU$13)=0,10^12,OFFSET(CRONOPLE!$F$15,$M54-$A$15,BU$13)))</f>
        <v>3</v>
      </c>
      <c r="BV54" s="353" t="n">
        <f aca="true">IF(OR($D54&lt;&gt;"Serviço",AND(AUTOEVENTO="Manual",$M54=$A$15)),0,
         IF(OFFSET(CRONOPLE!$F$15,$M54-$A$15,BV$13)=0,10^12,OFFSET(CRONOPLE!$F$15,$M54-$A$15,BV$13)))</f>
        <v>4</v>
      </c>
      <c r="BW54" s="353" t="n">
        <f aca="true">IF(OR($D54&lt;&gt;"Serviço",AND(AUTOEVENTO="Manual",$M54=$A$15)),0,
         IF(OFFSET(CRONOPLE!$F$15,$M54-$A$15,BW$13)=0,10^12,OFFSET(CRONOPLE!$F$15,$M54-$A$15,BW$13)))</f>
        <v>5</v>
      </c>
      <c r="BX54" s="353" t="n">
        <f aca="true">IF(OR($D54&lt;&gt;"Serviço",AND(AUTOEVENTO="Manual",$M54=$A$15)),0,
         IF(OFFSET(CRONOPLE!$F$15,$M54-$A$15,BX$13)=0,10^12,OFFSET(CRONOPLE!$F$15,$M54-$A$15,BX$13)))</f>
        <v>6</v>
      </c>
      <c r="BY54" s="353" t="n">
        <f aca="true">IF(OR($D54&lt;&gt;"Serviço",AND(AUTOEVENTO="Manual",$M54=$A$15)),0,
         IF(OFFSET(CRONOPLE!$F$15,$M54-$A$15,BY$13)=0,10^12,OFFSET(CRONOPLE!$F$15,$M54-$A$15,BY$13)))</f>
        <v>7</v>
      </c>
      <c r="BZ54" s="353" t="n">
        <f aca="true">IF(OR($D54&lt;&gt;"Serviço",AND(AUTOEVENTO="Manual",$M54=$A$15)),0,
         IF(OFFSET(CRONOPLE!$F$15,$M54-$A$15,BZ$13)=0,10^12,OFFSET(CRONOPLE!$F$15,$M54-$A$15,BZ$13)))</f>
        <v>8</v>
      </c>
      <c r="CA54" s="353" t="n">
        <f aca="true">IF(OR($D54&lt;&gt;"Serviço",AND(AUTOEVENTO="Manual",$M54=$A$15)),0,
         IF(OFFSET(CRONOPLE!$F$15,$M54-$A$15,CA$13)=0,10^12,OFFSET(CRONOPLE!$F$15,$M54-$A$15,CA$13)))</f>
        <v>9</v>
      </c>
      <c r="CB54" s="353" t="n">
        <f aca="true">IF(OR($D54&lt;&gt;"Serviço",AND(AUTOEVENTO="Manual",$M54=$A$15)),0,
         IF(OFFSET(CRONOPLE!$F$15,$M54-$A$15,CB$13)=0,10^12,OFFSET(CRONOPLE!$F$15,$M54-$A$15,CB$13)))</f>
        <v>10</v>
      </c>
      <c r="CC54" s="353" t="n">
        <f aca="true">IF(OR($D54&lt;&gt;"Serviço",AND(AUTOEVENTO="Manual",$M54=$A$15)),0,
         IF(OFFSET(CRONOPLE!$F$15,$M54-$A$15,CC$13)=0,10^12,OFFSET(CRONOPLE!$F$15,$M54-$A$15,CC$13)))</f>
        <v>11</v>
      </c>
      <c r="CD54" s="353" t="n">
        <f aca="true">IF(OR($D54&lt;&gt;"Serviço",AND(AUTOEVENTO="Manual",$M54=$A$15)),0,
         IF(OFFSET(CRONOPLE!$F$15,$M54-$A$15,CD$13)=0,10^12,OFFSET(CRONOPLE!$F$15,$M54-$A$15,CD$13)))</f>
        <v>12</v>
      </c>
      <c r="CE54" s="353" t="n">
        <f aca="true">IF(OR($D54&lt;&gt;"Serviço",AND(AUTOEVENTO="Manual",$M54=$A$15)),0,
         IF(OFFSET(CRONOPLE!$F$15,$M54-$A$15,CE$13)=0,10^12,OFFSET(CRONOPLE!$F$15,$M54-$A$15,CE$13)))</f>
        <v>13</v>
      </c>
      <c r="CF54" s="353" t="n">
        <f aca="true">IF(OR($D54&lt;&gt;"Serviço",AND(AUTOEVENTO="Manual",$M54=$A$15)),0,
         IF(OFFSET(CRONOPLE!$F$15,$M54-$A$15,CF$13)=0,10^12,OFFSET(CRONOPLE!$F$15,$M54-$A$15,CF$13)))</f>
        <v>14</v>
      </c>
      <c r="CG54" s="353" t="n">
        <f aca="true">IF(OR($D54&lt;&gt;"Serviço",AND(AUTOEVENTO="Manual",$M54=$A$15)),0,
         IF(OFFSET(CRONOPLE!$F$15,$M54-$A$15,CG$13)=0,10^12,OFFSET(CRONOPLE!$F$15,$M54-$A$15,CG$13)))</f>
        <v>15</v>
      </c>
      <c r="CH54" s="353" t="n">
        <f aca="true">IF(OR($D54&lt;&gt;"Serviço",AND(AUTOEVENTO="Manual",$M54=$A$15)),0,
         IF(OFFSET(CRONOPLE!$F$15,$M54-$A$15,CH$13)=0,10^12,OFFSET(CRONOPLE!$F$15,$M54-$A$15,CH$13)))</f>
        <v>16</v>
      </c>
      <c r="CI54" s="353" t="n">
        <f aca="true">IF(OR($D54&lt;&gt;"Serviço",AND(AUTOEVENTO="Manual",$M54=$A$15)),0,
         IF(OFFSET(CRONOPLE!$F$15,$M54-$A$15,CI$13)=0,10^12,OFFSET(CRONOPLE!$F$15,$M54-$A$15,CI$13)))</f>
        <v>17</v>
      </c>
      <c r="CJ54" s="353" t="n">
        <f aca="true">IF(OR($D54&lt;&gt;"Serviço",AND(AUTOEVENTO="Manual",$M54=$A$15)),0,
         IF(OFFSET(CRONOPLE!$F$15,$M54-$A$15,CJ$13)=0,10^12,OFFSET(CRONOPLE!$F$15,$M54-$A$15,CJ$13)))</f>
        <v>18</v>
      </c>
      <c r="CK54" s="353" t="n">
        <f aca="true">IF(OR($D54&lt;&gt;"Serviço",AND(AUTOEVENTO="Manual",$M54=$A$15)),0,
         IF(OFFSET(CRONOPLE!$F$15,$M54-$A$15,CK$13)=0,10^12,OFFSET(CRONOPLE!$F$15,$M54-$A$15,CK$13)))</f>
        <v>19</v>
      </c>
      <c r="CL54" s="353" t="n">
        <f aca="true">IF(OR($D54&lt;&gt;"Serviço",AND(AUTOEVENTO="Manual",$M54=$A$15)),0,
         IF(OFFSET(CRONOPLE!$F$15,$M54-$A$15,CL$13)=0,10^12,OFFSET(CRONOPLE!$F$15,$M54-$A$15,CL$13)))</f>
        <v>20</v>
      </c>
      <c r="CM54" s="353" t="n">
        <f aca="true">IF(OR($D54&lt;&gt;"Serviço",AND(AUTOEVENTO="Manual",$M54=$A$15)),0,
         IF(OFFSET(CRONOPLE!$F$15,$M54-$A$15,CM$13)=0,10^12,OFFSET(CRONOPLE!$F$15,$M54-$A$15,CM$13)))</f>
        <v>21</v>
      </c>
      <c r="CN54" s="353" t="n">
        <f aca="true">IF(OR($D54&lt;&gt;"Serviço",AND(AUTOEVENTO="Manual",$M54=$A$15)),0,
         IF(OFFSET(CRONOPLE!$F$15,$M54-$A$15,CN$13)=0,10^12,OFFSET(CRONOPLE!$F$15,$M54-$A$15,CN$13)))</f>
        <v>22</v>
      </c>
      <c r="CO54" s="353" t="n">
        <f aca="true">IF(OR($D54&lt;&gt;"Serviço",AND(AUTOEVENTO="Manual",$M54=$A$15)),0,
         IF(OFFSET(CRONOPLE!$F$15,$M54-$A$15,CO$13)=0,10^12,OFFSET(CRONOPLE!$F$15,$M54-$A$15,CO$13)))</f>
        <v>23</v>
      </c>
      <c r="CP54" s="353" t="n">
        <f aca="true">IF(OR($D54&lt;&gt;"Serviço",AND(AUTOEVENTO="Manual",$M54=$A$15)),0,
         IF(OFFSET(CRONOPLE!$F$15,$M54-$A$15,CP$13)=0,10^12,OFFSET(CRONOPLE!$F$15,$M54-$A$15,CP$13)))</f>
        <v>24</v>
      </c>
      <c r="CQ54" s="353" t="n">
        <f aca="true">IF(OR($D54&lt;&gt;"Serviço",AND(AUTOEVENTO="Manual",$M54=$A$15)),0,
         IF(OFFSET(CRONOPLE!$F$15,$M54-$A$15,CQ$13)=0,10^12,OFFSET(CRONOPLE!$F$15,$M54-$A$15,CQ$13)))</f>
        <v>25</v>
      </c>
      <c r="CR54" s="353" t="n">
        <f aca="true">IF(OR($D54&lt;&gt;"Serviço",AND(AUTOEVENTO="Manual",$M54=$A$15)),0,
         IF(OFFSET(CRONOPLE!$F$15,$M54-$A$15,CR$13)=0,10^12,OFFSET(CRONOPLE!$F$15,$M54-$A$15,CR$13)))</f>
        <v>1000000000000</v>
      </c>
      <c r="CT54" s="354" t="n">
        <f aca="true">IF(OR($D54&lt;&gt;"Serviço",AND(AUTOEVENTO="Manual",$M54=$A$15),$M54&gt;(ROW(PLE.lastrow)-ROW(PLE.firstrow))),0,
           IF(OFFSET(PLE!$G$15,$M54-$A$15,CT$13)="",10^12,OFFSET(PLE!$G$15,$M54-$A$15,CT$13)))</f>
        <v>1000000000000</v>
      </c>
      <c r="CU54" s="354" t="n">
        <f aca="true">IF(OR($D54&lt;&gt;"Serviço",AND(AUTOEVENTO="Manual",$M54=$A$15),$M54&gt;(ROW(PLE.lastrow)-ROW(PLE.firstrow))),0,
           IF(OFFSET(PLE!$G$15,$M54-$A$15,CU$13)="",10^12,OFFSET(PLE!$G$15,$M54-$A$15,CU$13)))</f>
        <v>1000000000000</v>
      </c>
      <c r="CV54" s="354" t="n">
        <f aca="true">IF(OR($D54&lt;&gt;"Serviço",AND(AUTOEVENTO="Manual",$M54=$A$15),$M54&gt;(ROW(PLE.lastrow)-ROW(PLE.firstrow))),0,
           IF(OFFSET(PLE!$G$15,$M54-$A$15,CV$13)="",10^12,OFFSET(PLE!$G$15,$M54-$A$15,CV$13)))</f>
        <v>1000000000000</v>
      </c>
      <c r="CW54" s="354" t="n">
        <f aca="true">IF(OR($D54&lt;&gt;"Serviço",AND(AUTOEVENTO="Manual",$M54=$A$15),$M54&gt;(ROW(PLE.lastrow)-ROW(PLE.firstrow))),0,
           IF(OFFSET(PLE!$G$15,$M54-$A$15,CW$13)="",10^12,OFFSET(PLE!$G$15,$M54-$A$15,CW$13)))</f>
        <v>1000000000000</v>
      </c>
      <c r="CX54" s="354" t="n">
        <f aca="true">IF(OR($D54&lt;&gt;"Serviço",AND(AUTOEVENTO="Manual",$M54=$A$15),$M54&gt;(ROW(PLE.lastrow)-ROW(PLE.firstrow))),0,
           IF(OFFSET(PLE!$G$15,$M54-$A$15,CX$13)="",10^12,OFFSET(PLE!$G$15,$M54-$A$15,CX$13)))</f>
        <v>1000000000000</v>
      </c>
      <c r="CY54" s="354" t="n">
        <f aca="true">IF(OR($D54&lt;&gt;"Serviço",AND(AUTOEVENTO="Manual",$M54=$A$15),$M54&gt;(ROW(PLE.lastrow)-ROW(PLE.firstrow))),0,
           IF(OFFSET(PLE!$G$15,$M54-$A$15,CY$13)="",10^12,OFFSET(PLE!$G$15,$M54-$A$15,CY$13)))</f>
        <v>1000000000000</v>
      </c>
      <c r="CZ54" s="354" t="n">
        <f aca="true">IF(OR($D54&lt;&gt;"Serviço",AND(AUTOEVENTO="Manual",$M54=$A$15),$M54&gt;(ROW(PLE.lastrow)-ROW(PLE.firstrow))),0,
           IF(OFFSET(PLE!$G$15,$M54-$A$15,CZ$13)="",10^12,OFFSET(PLE!$G$15,$M54-$A$15,CZ$13)))</f>
        <v>1000000000000</v>
      </c>
      <c r="DA54" s="354" t="n">
        <f aca="true">IF(OR($D54&lt;&gt;"Serviço",AND(AUTOEVENTO="Manual",$M54=$A$15),$M54&gt;(ROW(PLE.lastrow)-ROW(PLE.firstrow))),0,
           IF(OFFSET(PLE!$G$15,$M54-$A$15,DA$13)="",10^12,OFFSET(PLE!$G$15,$M54-$A$15,DA$13)))</f>
        <v>1000000000000</v>
      </c>
      <c r="DB54" s="354" t="n">
        <f aca="true">IF(OR($D54&lt;&gt;"Serviço",AND(AUTOEVENTO="Manual",$M54=$A$15),$M54&gt;(ROW(PLE.lastrow)-ROW(PLE.firstrow))),0,
           IF(OFFSET(PLE!$G$15,$M54-$A$15,DB$13)="",10^12,OFFSET(PLE!$G$15,$M54-$A$15,DB$13)))</f>
        <v>1000000000000</v>
      </c>
      <c r="DC54" s="354" t="n">
        <f aca="true">IF(OR($D54&lt;&gt;"Serviço",AND(AUTOEVENTO="Manual",$M54=$A$15),$M54&gt;(ROW(PLE.lastrow)-ROW(PLE.firstrow))),0,
           IF(OFFSET(PLE!$G$15,$M54-$A$15,DC$13)="",10^12,OFFSET(PLE!$G$15,$M54-$A$15,DC$13)))</f>
        <v>1000000000000</v>
      </c>
      <c r="DD54" s="354" t="n">
        <f aca="true">IF(OR($D54&lt;&gt;"Serviço",AND(AUTOEVENTO="Manual",$M54=$A$15),$M54&gt;(ROW(PLE.lastrow)-ROW(PLE.firstrow))),0,
           IF(OFFSET(PLE!$G$15,$M54-$A$15,DD$13)="",10^12,OFFSET(PLE!$G$15,$M54-$A$15,DD$13)))</f>
        <v>1000000000000</v>
      </c>
      <c r="DE54" s="354" t="n">
        <f aca="true">IF(OR($D54&lt;&gt;"Serviço",AND(AUTOEVENTO="Manual",$M54=$A$15),$M54&gt;(ROW(PLE.lastrow)-ROW(PLE.firstrow))),0,
           IF(OFFSET(PLE!$G$15,$M54-$A$15,DE$13)="",10^12,OFFSET(PLE!$G$15,$M54-$A$15,DE$13)))</f>
        <v>1000000000000</v>
      </c>
      <c r="DF54" s="354" t="n">
        <f aca="true">IF(OR($D54&lt;&gt;"Serviço",AND(AUTOEVENTO="Manual",$M54=$A$15),$M54&gt;(ROW(PLE.lastrow)-ROW(PLE.firstrow))),0,
           IF(OFFSET(PLE!$G$15,$M54-$A$15,DF$13)="",10^12,OFFSET(PLE!$G$15,$M54-$A$15,DF$13)))</f>
        <v>1000000000000</v>
      </c>
      <c r="DG54" s="354" t="n">
        <f aca="true">IF(OR($D54&lt;&gt;"Serviço",AND(AUTOEVENTO="Manual",$M54=$A$15),$M54&gt;(ROW(PLE.lastrow)-ROW(PLE.firstrow))),0,
           IF(OFFSET(PLE!$G$15,$M54-$A$15,DG$13)="",10^12,OFFSET(PLE!$G$15,$M54-$A$15,DG$13)))</f>
        <v>1000000000000</v>
      </c>
      <c r="DH54" s="354" t="n">
        <f aca="true">IF(OR($D54&lt;&gt;"Serviço",AND(AUTOEVENTO="Manual",$M54=$A$15),$M54&gt;(ROW(PLE.lastrow)-ROW(PLE.firstrow))),0,
           IF(OFFSET(PLE!$G$15,$M54-$A$15,DH$13)="",10^12,OFFSET(PLE!$G$15,$M54-$A$15,DH$13)))</f>
        <v>1000000000000</v>
      </c>
      <c r="DI54" s="354" t="n">
        <f aca="true">IF(OR($D54&lt;&gt;"Serviço",AND(AUTOEVENTO="Manual",$M54=$A$15),$M54&gt;(ROW(PLE.lastrow)-ROW(PLE.firstrow))),0,
           IF(OFFSET(PLE!$G$15,$M54-$A$15,DI$13)="",10^12,OFFSET(PLE!$G$15,$M54-$A$15,DI$13)))</f>
        <v>1000000000000</v>
      </c>
      <c r="DJ54" s="354" t="n">
        <f aca="true">IF(OR($D54&lt;&gt;"Serviço",AND(AUTOEVENTO="Manual",$M54=$A$15),$M54&gt;(ROW(PLE.lastrow)-ROW(PLE.firstrow))),0,
           IF(OFFSET(PLE!$G$15,$M54-$A$15,DJ$13)="",10^12,OFFSET(PLE!$G$15,$M54-$A$15,DJ$13)))</f>
        <v>1000000000000</v>
      </c>
      <c r="DK54" s="354" t="n">
        <f aca="true">IF(OR($D54&lt;&gt;"Serviço",AND(AUTOEVENTO="Manual",$M54=$A$15),$M54&gt;(ROW(PLE.lastrow)-ROW(PLE.firstrow))),0,
           IF(OFFSET(PLE!$G$15,$M54-$A$15,DK$13)="",10^12,OFFSET(PLE!$G$15,$M54-$A$15,DK$13)))</f>
        <v>1000000000000</v>
      </c>
      <c r="DL54" s="354" t="n">
        <f aca="true">IF(OR($D54&lt;&gt;"Serviço",AND(AUTOEVENTO="Manual",$M54=$A$15),$M54&gt;(ROW(PLE.lastrow)-ROW(PLE.firstrow))),0,
           IF(OFFSET(PLE!$G$15,$M54-$A$15,DL$13)="",10^12,OFFSET(PLE!$G$15,$M54-$A$15,DL$13)))</f>
        <v>1000000000000</v>
      </c>
      <c r="DM54" s="354" t="n">
        <f aca="true">IF(OR($D54&lt;&gt;"Serviço",AND(AUTOEVENTO="Manual",$M54=$A$15),$M54&gt;(ROW(PLE.lastrow)-ROW(PLE.firstrow))),0,
           IF(OFFSET(PLE!$G$15,$M54-$A$15,DM$13)="",10^12,OFFSET(PLE!$G$15,$M54-$A$15,DM$13)))</f>
        <v>1000000000000</v>
      </c>
      <c r="DN54" s="354" t="n">
        <f aca="true">IF(OR($D54&lt;&gt;"Serviço",AND(AUTOEVENTO="Manual",$M54=$A$15),$M54&gt;(ROW(PLE.lastrow)-ROW(PLE.firstrow))),0,
           IF(OFFSET(PLE!$G$15,$M54-$A$15,DN$13)="",10^12,OFFSET(PLE!$G$15,$M54-$A$15,DN$13)))</f>
        <v>1000000000000</v>
      </c>
      <c r="DO54" s="354" t="n">
        <f aca="true">IF(OR($D54&lt;&gt;"Serviço",AND(AUTOEVENTO="Manual",$M54=$A$15),$M54&gt;(ROW(PLE.lastrow)-ROW(PLE.firstrow))),0,
           IF(OFFSET(PLE!$G$15,$M54-$A$15,DO$13)="",10^12,OFFSET(PLE!$G$15,$M54-$A$15,DO$13)))</f>
        <v>1000000000000</v>
      </c>
      <c r="DP54" s="354" t="n">
        <f aca="true">IF(OR($D54&lt;&gt;"Serviço",AND(AUTOEVENTO="Manual",$M54=$A$15),$M54&gt;(ROW(PLE.lastrow)-ROW(PLE.firstrow))),0,
           IF(OFFSET(PLE!$G$15,$M54-$A$15,DP$13)="",10^12,OFFSET(PLE!$G$15,$M54-$A$15,DP$13)))</f>
        <v>1000000000000</v>
      </c>
      <c r="DQ54" s="354" t="n">
        <f aca="true">IF(OR($D54&lt;&gt;"Serviço",AND(AUTOEVENTO="Manual",$M54=$A$15),$M54&gt;(ROW(PLE.lastrow)-ROW(PLE.firstrow))),0,
           IF(OFFSET(PLE!$G$15,$M54-$A$15,DQ$13)="",10^12,OFFSET(PLE!$G$15,$M54-$A$15,DQ$13)))</f>
        <v>1000000000000</v>
      </c>
      <c r="DR54" s="354" t="n">
        <f aca="true">IF(OR($D54&lt;&gt;"Serviço",AND(AUTOEVENTO="Manual",$M54=$A$15),$M54&gt;(ROW(PLE.lastrow)-ROW(PLE.firstrow))),0,
           IF(OFFSET(PLE!$G$15,$M54-$A$15,DR$13)="",10^12,OFFSET(PLE!$G$15,$M54-$A$15,DR$13)))</f>
        <v>1000000000000</v>
      </c>
      <c r="DS54" s="354" t="n">
        <f aca="true">IF(OR($D54&lt;&gt;"Serviço",AND(AUTOEVENTO="Manual",$M54=$A$15),$M54&gt;(ROW(PLE.lastrow)-ROW(PLE.firstrow))),0,
           IF(OFFSET(PLE!$G$15,$M54-$A$15,DS$13)="",10^12,OFFSET(PLE!$G$15,$M54-$A$15,DS$13)))</f>
        <v>1000000000000</v>
      </c>
    </row>
    <row r="55" customFormat="false" ht="35.05" hidden="false" customHeight="false" outlineLevel="0" collapsed="false">
      <c r="A55" s="50" t="str">
        <f aca="true">IFERROR(IF(AUTOEVENTO="Manual",IF(K55&lt;&gt;"",MIN(VALUE(LEFT(K55,FIND(".",K55)-1)),COUNTA(EVENTOS.Lista)),0),IF(OR($B55&gt;AUTOEVENTO,$B55="S",$B55=0),SUBSTITUTE(OFFSET($A55,-1,0),IF($D55="Serviço",".",""),""),ROW(A55)-ROW($A$15)&amp;".")),0)</f>
        <v>34</v>
      </c>
      <c r="B55" s="50" t="str">
        <f aca="true">OFFSET(ORÇAMENTO!C$15,ROW(B55)-ROW(B$15),0)</f>
        <v>S</v>
      </c>
      <c r="C55" s="50" t="str">
        <f aca="true">OFFSET(ORÇAMENTO!L$15,ROW(C55)-ROW(C$15),0)</f>
        <v>F</v>
      </c>
      <c r="D55" s="201" t="str">
        <f aca="true">OFFSET(ORÇAMENTO!N$15,ROW(D55)-ROW(D$15),0)</f>
        <v>Serviço</v>
      </c>
      <c r="E55" s="202" t="str">
        <f aca="true">OFFSET(ORÇAMENTO!O$15,ROW(E55)-ROW(E$15),0)</f>
        <v>1.9.6.</v>
      </c>
      <c r="F55" s="341" t="str">
        <f aca="true">OFFSET(ORÇAMENTO!R$15,ROW(F55)-ROW(F$15),0)</f>
        <v>CIMBRAMENTO PARA LAJE PRÉ-MOLDADA COM ESCORAMENTO
METÁLICO, TIPO "A", ALTURA DE (200 ATÉ 310)CM, INCLUSIVE
DESCARGA, MONTAGEM, DESMONTAGEM E CARGA</v>
      </c>
      <c r="G55" s="342" t="str">
        <f aca="true">IF($D55&lt;&gt;"Serviço","",OFFSET(ORÇAMENTO!S$15,ROW(G55)-ROW(G$15),0))</f>
        <v>OUTRAS</v>
      </c>
      <c r="H55" s="207" t="n">
        <f aca="true">IF($D55&lt;&gt;"Serviço",0,IF(ACOMPANHAMENTO="BM",ROUND(OFFSET(ORÇAMENTO!AJ$15,ROW(H55)-ROW(H$15),0),15-13*ORÇAMENTO!$AF$7),SUMPRODUCT(($Q$1:$AQ$1=1)*ROUND($Q55:$AQ55,15-13*ORÇAMENTO!$AF$7))))</f>
        <v>1346.5</v>
      </c>
      <c r="I55" s="343" t="s">
        <v>939</v>
      </c>
      <c r="J55" s="344" t="e">
        <f aca="false">IF(OR(B55&lt;&gt;"S",CÁLCULO.FrentesPreenchidas=0),"",IF(AND(ACOMPANHAMENTO="PLE",AUTOEVENTO="Manual",OR(H55&gt;0,ORÇAMENTO!AC55="QUANT."),OR(K55="",M55=0,N55="")),"►",IF(AND(ACOMPANHAMENTO="PLE",ORÇAMENTO!AC55="QUANT."),"►►",IF(AND(COUNTIF($P$11:$AQ$11,"▼")=0,H55&gt;0,I55=""),"◄",""))))</f>
        <v>#NAME?</v>
      </c>
      <c r="K55" s="345"/>
      <c r="L55" s="346" t="s">
        <v>876</v>
      </c>
      <c r="M55" s="347" t="n">
        <f aca="true">IF($D55&lt;&gt;"Serviço","",
          IF(AUTOEVENTO="manual",$A55,
                IF(ISERROR(MATCH($A55,$A$15:OFFSET($A55,-1,0),0)),MAX($M$15:OFFSET(M55,-1,0))+1,
                      INDEX($M$15:OFFSET(M55,-1,0),MATCH($A55,$A$15:OFFSET($A55,-1,0),0)))))</f>
        <v>6</v>
      </c>
      <c r="N55" s="348" t="str">
        <f aca="true">IF($D55&lt;&gt;"Serviço","",
         IF(AUTOEVENTO="Manual",
                IF($A55=0,"&lt;-- defina o número do agrupador",
                       OFFSET(EVENTOS!$D$15,$A55-$A$15,0)),
                OFFSET($F$15,$A55,0)))</f>
        <v>PILARES, VIGAS E LAJES</v>
      </c>
      <c r="O55" s="349"/>
      <c r="Q55" s="349" t="n">
        <v>53.86</v>
      </c>
      <c r="R55" s="350" t="n">
        <f aca="false">Q55</f>
        <v>53.86</v>
      </c>
      <c r="S55" s="350" t="n">
        <f aca="false">R55</f>
        <v>53.86</v>
      </c>
      <c r="T55" s="350" t="n">
        <f aca="false">S55</f>
        <v>53.86</v>
      </c>
      <c r="U55" s="350" t="n">
        <f aca="false">T55</f>
        <v>53.86</v>
      </c>
      <c r="V55" s="350" t="n">
        <f aca="false">U55</f>
        <v>53.86</v>
      </c>
      <c r="W55" s="350" t="n">
        <f aca="false">V55</f>
        <v>53.86</v>
      </c>
      <c r="X55" s="350" t="n">
        <f aca="false">W55</f>
        <v>53.86</v>
      </c>
      <c r="Y55" s="350" t="n">
        <f aca="false">X55</f>
        <v>53.86</v>
      </c>
      <c r="Z55" s="351" t="n">
        <f aca="false">Y55</f>
        <v>53.86</v>
      </c>
      <c r="AA55" s="350" t="n">
        <f aca="false">Z55</f>
        <v>53.86</v>
      </c>
      <c r="AB55" s="350" t="n">
        <f aca="false">AA55</f>
        <v>53.86</v>
      </c>
      <c r="AC55" s="350" t="n">
        <f aca="false">AB55</f>
        <v>53.86</v>
      </c>
      <c r="AD55" s="350" t="n">
        <f aca="false">AC55</f>
        <v>53.86</v>
      </c>
      <c r="AE55" s="350" t="n">
        <f aca="false">AD55</f>
        <v>53.86</v>
      </c>
      <c r="AF55" s="350" t="n">
        <f aca="false">AE55</f>
        <v>53.86</v>
      </c>
      <c r="AG55" s="350" t="n">
        <f aca="false">AF55</f>
        <v>53.86</v>
      </c>
      <c r="AH55" s="351" t="n">
        <f aca="false">AG55</f>
        <v>53.86</v>
      </c>
      <c r="AI55" s="350" t="n">
        <f aca="false">AH55</f>
        <v>53.86</v>
      </c>
      <c r="AJ55" s="350" t="n">
        <f aca="false">AI55</f>
        <v>53.86</v>
      </c>
      <c r="AK55" s="350" t="n">
        <f aca="false">AJ55</f>
        <v>53.86</v>
      </c>
      <c r="AL55" s="350" t="n">
        <f aca="false">AK55</f>
        <v>53.86</v>
      </c>
      <c r="AM55" s="350" t="n">
        <f aca="false">AL55</f>
        <v>53.86</v>
      </c>
      <c r="AN55" s="350" t="n">
        <f aca="false">AM55</f>
        <v>53.86</v>
      </c>
      <c r="AO55" s="350" t="n">
        <f aca="false">AN55</f>
        <v>53.86</v>
      </c>
      <c r="AP55" s="351"/>
      <c r="AR55" s="352" t="n">
        <f aca="true">IF(AND($D55="Serviço",AR$12&lt;&gt;0,$H55&gt;0,OR(AUTOEVENTO&lt;&gt;"manual",$M55&lt;&gt;$A$15)),
        IF(Import.TipoArredondamento&lt;&gt;"TransfereGOV",
              ROUND(OFFSET($P55,0,AR$13),15-13*ORÇAMENTO!$AF$7)/$H55*OFFSET(ORÇAMENTO!$X$15,ROW(AR55)-ROW(AR$15),0),
              ROUND(ROUND(OFFSET($P55,0,AR$13),15-13*ORÇAMENTO!$AF$7)*OFFSET(ORÇAMENTO!$W$15,ROW(AR55)-ROW(AR$15),0),15-13*ORÇAMENTO!$AF$11)),
         0)</f>
        <v>1540.4</v>
      </c>
      <c r="AS55" s="352" t="n">
        <f aca="true">IF(AND($D55="Serviço",AS$12&lt;&gt;0,$H55&gt;0,OR(AUTOEVENTO&lt;&gt;"manual",$M55&lt;&gt;$A$15)),
        IF(Import.TipoArredondamento&lt;&gt;"TransfereGOV",
              ROUND(OFFSET($P55,0,AS$13),15-13*ORÇAMENTO!$AF$7)/$H55*OFFSET(ORÇAMENTO!$X$15,ROW(AS55)-ROW(AS$15),0),
              ROUND(ROUND(OFFSET($P55,0,AS$13),15-13*ORÇAMENTO!$AF$7)*OFFSET(ORÇAMENTO!$W$15,ROW(AS55)-ROW(AS$15),0),15-13*ORÇAMENTO!$AF$11)),
         0)</f>
        <v>1540.4</v>
      </c>
      <c r="AT55" s="352" t="n">
        <f aca="true">IF(AND($D55="Serviço",AT$12&lt;&gt;0,$H55&gt;0,OR(AUTOEVENTO&lt;&gt;"manual",$M55&lt;&gt;$A$15)),
        IF(Import.TipoArredondamento&lt;&gt;"TransfereGOV",
              ROUND(OFFSET($P55,0,AT$13),15-13*ORÇAMENTO!$AF$7)/$H55*OFFSET(ORÇAMENTO!$X$15,ROW(AT55)-ROW(AT$15),0),
              ROUND(ROUND(OFFSET($P55,0,AT$13),15-13*ORÇAMENTO!$AF$7)*OFFSET(ORÇAMENTO!$W$15,ROW(AT55)-ROW(AT$15),0),15-13*ORÇAMENTO!$AF$11)),
         0)</f>
        <v>1540.4</v>
      </c>
      <c r="AU55" s="352" t="n">
        <f aca="true">IF(AND($D55="Serviço",AU$12&lt;&gt;0,$H55&gt;0,OR(AUTOEVENTO&lt;&gt;"manual",$M55&lt;&gt;$A$15)),
        IF(Import.TipoArredondamento&lt;&gt;"TransfereGOV",
              ROUND(OFFSET($P55,0,AU$13),15-13*ORÇAMENTO!$AF$7)/$H55*OFFSET(ORÇAMENTO!$X$15,ROW(AU55)-ROW(AU$15),0),
              ROUND(ROUND(OFFSET($P55,0,AU$13),15-13*ORÇAMENTO!$AF$7)*OFFSET(ORÇAMENTO!$W$15,ROW(AU55)-ROW(AU$15),0),15-13*ORÇAMENTO!$AF$11)),
         0)</f>
        <v>1540.4</v>
      </c>
      <c r="AV55" s="352" t="n">
        <f aca="true">IF(AND($D55="Serviço",AV$12&lt;&gt;0,$H55&gt;0,OR(AUTOEVENTO&lt;&gt;"manual",$M55&lt;&gt;$A$15)),
        IF(Import.TipoArredondamento&lt;&gt;"TransfereGOV",
              ROUND(OFFSET($P55,0,AV$13),15-13*ORÇAMENTO!$AF$7)/$H55*OFFSET(ORÇAMENTO!$X$15,ROW(AV55)-ROW(AV$15),0),
              ROUND(ROUND(OFFSET($P55,0,AV$13),15-13*ORÇAMENTO!$AF$7)*OFFSET(ORÇAMENTO!$W$15,ROW(AV55)-ROW(AV$15),0),15-13*ORÇAMENTO!$AF$11)),
         0)</f>
        <v>1540.4</v>
      </c>
      <c r="AW55" s="352" t="n">
        <f aca="true">IF(AND($D55="Serviço",AW$12&lt;&gt;0,$H55&gt;0,OR(AUTOEVENTO&lt;&gt;"manual",$M55&lt;&gt;$A$15)),
        IF(Import.TipoArredondamento&lt;&gt;"TransfereGOV",
              ROUND(OFFSET($P55,0,AW$13),15-13*ORÇAMENTO!$AF$7)/$H55*OFFSET(ORÇAMENTO!$X$15,ROW(AW55)-ROW(AW$15),0),
              ROUND(ROUND(OFFSET($P55,0,AW$13),15-13*ORÇAMENTO!$AF$7)*OFFSET(ORÇAMENTO!$W$15,ROW(AW55)-ROW(AW$15),0),15-13*ORÇAMENTO!$AF$11)),
         0)</f>
        <v>1540.4</v>
      </c>
      <c r="AX55" s="352" t="n">
        <f aca="true">IF(AND($D55="Serviço",AX$12&lt;&gt;0,$H55&gt;0,OR(AUTOEVENTO&lt;&gt;"manual",$M55&lt;&gt;$A$15)),
        IF(Import.TipoArredondamento&lt;&gt;"TransfereGOV",
              ROUND(OFFSET($P55,0,AX$13),15-13*ORÇAMENTO!$AF$7)/$H55*OFFSET(ORÇAMENTO!$X$15,ROW(AX55)-ROW(AX$15),0),
              ROUND(ROUND(OFFSET($P55,0,AX$13),15-13*ORÇAMENTO!$AF$7)*OFFSET(ORÇAMENTO!$W$15,ROW(AX55)-ROW(AX$15),0),15-13*ORÇAMENTO!$AF$11)),
         0)</f>
        <v>1540.4</v>
      </c>
      <c r="AY55" s="352" t="n">
        <f aca="true">IF(AND($D55="Serviço",AY$12&lt;&gt;0,$H55&gt;0,OR(AUTOEVENTO&lt;&gt;"manual",$M55&lt;&gt;$A$15)),
        IF(Import.TipoArredondamento&lt;&gt;"TransfereGOV",
              ROUND(OFFSET($P55,0,AY$13),15-13*ORÇAMENTO!$AF$7)/$H55*OFFSET(ORÇAMENTO!$X$15,ROW(AY55)-ROW(AY$15),0),
              ROUND(ROUND(OFFSET($P55,0,AY$13),15-13*ORÇAMENTO!$AF$7)*OFFSET(ORÇAMENTO!$W$15,ROW(AY55)-ROW(AY$15),0),15-13*ORÇAMENTO!$AF$11)),
         0)</f>
        <v>1540.4</v>
      </c>
      <c r="AZ55" s="352" t="n">
        <f aca="true">IF(AND($D55="Serviço",AZ$12&lt;&gt;0,$H55&gt;0,OR(AUTOEVENTO&lt;&gt;"manual",$M55&lt;&gt;$A$15)),
        IF(Import.TipoArredondamento&lt;&gt;"TransfereGOV",
              ROUND(OFFSET($P55,0,AZ$13),15-13*ORÇAMENTO!$AF$7)/$H55*OFFSET(ORÇAMENTO!$X$15,ROW(AZ55)-ROW(AZ$15),0),
              ROUND(ROUND(OFFSET($P55,0,AZ$13),15-13*ORÇAMENTO!$AF$7)*OFFSET(ORÇAMENTO!$W$15,ROW(AZ55)-ROW(AZ$15),0),15-13*ORÇAMENTO!$AF$11)),
         0)</f>
        <v>1540.4</v>
      </c>
      <c r="BA55" s="352" t="n">
        <f aca="true">IF(AND($D55="Serviço",BA$12&lt;&gt;0,$H55&gt;0,OR(AUTOEVENTO&lt;&gt;"manual",$M55&lt;&gt;$A$15)),
        IF(Import.TipoArredondamento&lt;&gt;"TransfereGOV",
              ROUND(OFFSET($P55,0,BA$13),15-13*ORÇAMENTO!$AF$7)/$H55*OFFSET(ORÇAMENTO!$X$15,ROW(BA55)-ROW(BA$15),0),
              ROUND(ROUND(OFFSET($P55,0,BA$13),15-13*ORÇAMENTO!$AF$7)*OFFSET(ORÇAMENTO!$W$15,ROW(BA55)-ROW(BA$15),0),15-13*ORÇAMENTO!$AF$11)),
         0)</f>
        <v>1540.4</v>
      </c>
      <c r="BB55" s="352" t="n">
        <f aca="true">IF(AND($D55="Serviço",BB$12&lt;&gt;0,$H55&gt;0,OR(AUTOEVENTO&lt;&gt;"manual",$M55&lt;&gt;$A$15)),
        IF(Import.TipoArredondamento&lt;&gt;"TransfereGOV",
              ROUND(OFFSET($P55,0,BB$13),15-13*ORÇAMENTO!$AF$7)/$H55*OFFSET(ORÇAMENTO!$X$15,ROW(BB55)-ROW(BB$15),0),
              ROUND(ROUND(OFFSET($P55,0,BB$13),15-13*ORÇAMENTO!$AF$7)*OFFSET(ORÇAMENTO!$W$15,ROW(BB55)-ROW(BB$15),0),15-13*ORÇAMENTO!$AF$11)),
         0)</f>
        <v>1540.4</v>
      </c>
      <c r="BC55" s="352" t="n">
        <f aca="true">IF(AND($D55="Serviço",BC$12&lt;&gt;0,$H55&gt;0,OR(AUTOEVENTO&lt;&gt;"manual",$M55&lt;&gt;$A$15)),
        IF(Import.TipoArredondamento&lt;&gt;"TransfereGOV",
              ROUND(OFFSET($P55,0,BC$13),15-13*ORÇAMENTO!$AF$7)/$H55*OFFSET(ORÇAMENTO!$X$15,ROW(BC55)-ROW(BC$15),0),
              ROUND(ROUND(OFFSET($P55,0,BC$13),15-13*ORÇAMENTO!$AF$7)*OFFSET(ORÇAMENTO!$W$15,ROW(BC55)-ROW(BC$15),0),15-13*ORÇAMENTO!$AF$11)),
         0)</f>
        <v>1540.4</v>
      </c>
      <c r="BD55" s="352" t="n">
        <f aca="true">IF(AND($D55="Serviço",BD$12&lt;&gt;0,$H55&gt;0,OR(AUTOEVENTO&lt;&gt;"manual",$M55&lt;&gt;$A$15)),
        IF(Import.TipoArredondamento&lt;&gt;"TransfereGOV",
              ROUND(OFFSET($P55,0,BD$13),15-13*ORÇAMENTO!$AF$7)/$H55*OFFSET(ORÇAMENTO!$X$15,ROW(BD55)-ROW(BD$15),0),
              ROUND(ROUND(OFFSET($P55,0,BD$13),15-13*ORÇAMENTO!$AF$7)*OFFSET(ORÇAMENTO!$W$15,ROW(BD55)-ROW(BD$15),0),15-13*ORÇAMENTO!$AF$11)),
         0)</f>
        <v>1540.4</v>
      </c>
      <c r="BE55" s="352" t="n">
        <f aca="true">IF(AND($D55="Serviço",BE$12&lt;&gt;0,$H55&gt;0,OR(AUTOEVENTO&lt;&gt;"manual",$M55&lt;&gt;$A$15)),
        IF(Import.TipoArredondamento&lt;&gt;"TransfereGOV",
              ROUND(OFFSET($P55,0,BE$13),15-13*ORÇAMENTO!$AF$7)/$H55*OFFSET(ORÇAMENTO!$X$15,ROW(BE55)-ROW(BE$15),0),
              ROUND(ROUND(OFFSET($P55,0,BE$13),15-13*ORÇAMENTO!$AF$7)*OFFSET(ORÇAMENTO!$W$15,ROW(BE55)-ROW(BE$15),0),15-13*ORÇAMENTO!$AF$11)),
         0)</f>
        <v>1540.4</v>
      </c>
      <c r="BF55" s="352" t="n">
        <f aca="true">IF(AND($D55="Serviço",BF$12&lt;&gt;0,$H55&gt;0,OR(AUTOEVENTO&lt;&gt;"manual",$M55&lt;&gt;$A$15)),
        IF(Import.TipoArredondamento&lt;&gt;"TransfereGOV",
              ROUND(OFFSET($P55,0,BF$13),15-13*ORÇAMENTO!$AF$7)/$H55*OFFSET(ORÇAMENTO!$X$15,ROW(BF55)-ROW(BF$15),0),
              ROUND(ROUND(OFFSET($P55,0,BF$13),15-13*ORÇAMENTO!$AF$7)*OFFSET(ORÇAMENTO!$W$15,ROW(BF55)-ROW(BF$15),0),15-13*ORÇAMENTO!$AF$11)),
         0)</f>
        <v>1540.4</v>
      </c>
      <c r="BG55" s="352" t="n">
        <f aca="true">IF(AND($D55="Serviço",BG$12&lt;&gt;0,$H55&gt;0,OR(AUTOEVENTO&lt;&gt;"manual",$M55&lt;&gt;$A$15)),
        IF(Import.TipoArredondamento&lt;&gt;"TransfereGOV",
              ROUND(OFFSET($P55,0,BG$13),15-13*ORÇAMENTO!$AF$7)/$H55*OFFSET(ORÇAMENTO!$X$15,ROW(BG55)-ROW(BG$15),0),
              ROUND(ROUND(OFFSET($P55,0,BG$13),15-13*ORÇAMENTO!$AF$7)*OFFSET(ORÇAMENTO!$W$15,ROW(BG55)-ROW(BG$15),0),15-13*ORÇAMENTO!$AF$11)),
         0)</f>
        <v>1540.4</v>
      </c>
      <c r="BH55" s="352" t="n">
        <f aca="true">IF(AND($D55="Serviço",BH$12&lt;&gt;0,$H55&gt;0,OR(AUTOEVENTO&lt;&gt;"manual",$M55&lt;&gt;$A$15)),
        IF(Import.TipoArredondamento&lt;&gt;"TransfereGOV",
              ROUND(OFFSET($P55,0,BH$13),15-13*ORÇAMENTO!$AF$7)/$H55*OFFSET(ORÇAMENTO!$X$15,ROW(BH55)-ROW(BH$15),0),
              ROUND(ROUND(OFFSET($P55,0,BH$13),15-13*ORÇAMENTO!$AF$7)*OFFSET(ORÇAMENTO!$W$15,ROW(BH55)-ROW(BH$15),0),15-13*ORÇAMENTO!$AF$11)),
         0)</f>
        <v>1540.4</v>
      </c>
      <c r="BI55" s="352" t="n">
        <f aca="true">IF(AND($D55="Serviço",BI$12&lt;&gt;0,$H55&gt;0,OR(AUTOEVENTO&lt;&gt;"manual",$M55&lt;&gt;$A$15)),
        IF(Import.TipoArredondamento&lt;&gt;"TransfereGOV",
              ROUND(OFFSET($P55,0,BI$13),15-13*ORÇAMENTO!$AF$7)/$H55*OFFSET(ORÇAMENTO!$X$15,ROW(BI55)-ROW(BI$15),0),
              ROUND(ROUND(OFFSET($P55,0,BI$13),15-13*ORÇAMENTO!$AF$7)*OFFSET(ORÇAMENTO!$W$15,ROW(BI55)-ROW(BI$15),0),15-13*ORÇAMENTO!$AF$11)),
         0)</f>
        <v>1540.4</v>
      </c>
      <c r="BJ55" s="352" t="n">
        <f aca="true">IF(AND($D55="Serviço",BJ$12&lt;&gt;0,$H55&gt;0,OR(AUTOEVENTO&lt;&gt;"manual",$M55&lt;&gt;$A$15)),
        IF(Import.TipoArredondamento&lt;&gt;"TransfereGOV",
              ROUND(OFFSET($P55,0,BJ$13),15-13*ORÇAMENTO!$AF$7)/$H55*OFFSET(ORÇAMENTO!$X$15,ROW(BJ55)-ROW(BJ$15),0),
              ROUND(ROUND(OFFSET($P55,0,BJ$13),15-13*ORÇAMENTO!$AF$7)*OFFSET(ORÇAMENTO!$W$15,ROW(BJ55)-ROW(BJ$15),0),15-13*ORÇAMENTO!$AF$11)),
         0)</f>
        <v>1540.4</v>
      </c>
      <c r="BK55" s="352" t="n">
        <f aca="true">IF(AND($D55="Serviço",BK$12&lt;&gt;0,$H55&gt;0,OR(AUTOEVENTO&lt;&gt;"manual",$M55&lt;&gt;$A$15)),
        IF(Import.TipoArredondamento&lt;&gt;"TransfereGOV",
              ROUND(OFFSET($P55,0,BK$13),15-13*ORÇAMENTO!$AF$7)/$H55*OFFSET(ORÇAMENTO!$X$15,ROW(BK55)-ROW(BK$15),0),
              ROUND(ROUND(OFFSET($P55,0,BK$13),15-13*ORÇAMENTO!$AF$7)*OFFSET(ORÇAMENTO!$W$15,ROW(BK55)-ROW(BK$15),0),15-13*ORÇAMENTO!$AF$11)),
         0)</f>
        <v>1540.4</v>
      </c>
      <c r="BL55" s="352" t="n">
        <f aca="true">IF(AND($D55="Serviço",BL$12&lt;&gt;0,$H55&gt;0,OR(AUTOEVENTO&lt;&gt;"manual",$M55&lt;&gt;$A$15)),
        IF(Import.TipoArredondamento&lt;&gt;"TransfereGOV",
              ROUND(OFFSET($P55,0,BL$13),15-13*ORÇAMENTO!$AF$7)/$H55*OFFSET(ORÇAMENTO!$X$15,ROW(BL55)-ROW(BL$15),0),
              ROUND(ROUND(OFFSET($P55,0,BL$13),15-13*ORÇAMENTO!$AF$7)*OFFSET(ORÇAMENTO!$W$15,ROW(BL55)-ROW(BL$15),0),15-13*ORÇAMENTO!$AF$11)),
         0)</f>
        <v>1540.4</v>
      </c>
      <c r="BM55" s="352" t="n">
        <f aca="true">IF(AND($D55="Serviço",BM$12&lt;&gt;0,$H55&gt;0,OR(AUTOEVENTO&lt;&gt;"manual",$M55&lt;&gt;$A$15)),
        IF(Import.TipoArredondamento&lt;&gt;"TransfereGOV",
              ROUND(OFFSET($P55,0,BM$13),15-13*ORÇAMENTO!$AF$7)/$H55*OFFSET(ORÇAMENTO!$X$15,ROW(BM55)-ROW(BM$15),0),
              ROUND(ROUND(OFFSET($P55,0,BM$13),15-13*ORÇAMENTO!$AF$7)*OFFSET(ORÇAMENTO!$W$15,ROW(BM55)-ROW(BM$15),0),15-13*ORÇAMENTO!$AF$11)),
         0)</f>
        <v>1540.4</v>
      </c>
      <c r="BN55" s="352" t="n">
        <f aca="true">IF(AND($D55="Serviço",BN$12&lt;&gt;0,$H55&gt;0,OR(AUTOEVENTO&lt;&gt;"manual",$M55&lt;&gt;$A$15)),
        IF(Import.TipoArredondamento&lt;&gt;"TransfereGOV",
              ROUND(OFFSET($P55,0,BN$13),15-13*ORÇAMENTO!$AF$7)/$H55*OFFSET(ORÇAMENTO!$X$15,ROW(BN55)-ROW(BN$15),0),
              ROUND(ROUND(OFFSET($P55,0,BN$13),15-13*ORÇAMENTO!$AF$7)*OFFSET(ORÇAMENTO!$W$15,ROW(BN55)-ROW(BN$15),0),15-13*ORÇAMENTO!$AF$11)),
         0)</f>
        <v>1540.4</v>
      </c>
      <c r="BO55" s="352" t="n">
        <f aca="true">IF(AND($D55="Serviço",BO$12&lt;&gt;0,$H55&gt;0,OR(AUTOEVENTO&lt;&gt;"manual",$M55&lt;&gt;$A$15)),
        IF(Import.TipoArredondamento&lt;&gt;"TransfereGOV",
              ROUND(OFFSET($P55,0,BO$13),15-13*ORÇAMENTO!$AF$7)/$H55*OFFSET(ORÇAMENTO!$X$15,ROW(BO55)-ROW(BO$15),0),
              ROUND(ROUND(OFFSET($P55,0,BO$13),15-13*ORÇAMENTO!$AF$7)*OFFSET(ORÇAMENTO!$W$15,ROW(BO55)-ROW(BO$15),0),15-13*ORÇAMENTO!$AF$11)),
         0)</f>
        <v>1540.4</v>
      </c>
      <c r="BP55" s="352" t="n">
        <f aca="true">IF(AND($D55="Serviço",BP$12&lt;&gt;0,$H55&gt;0,OR(AUTOEVENTO&lt;&gt;"manual",$M55&lt;&gt;$A$15)),
        IF(Import.TipoArredondamento&lt;&gt;"TransfereGOV",
              ROUND(OFFSET($P55,0,BP$13),15-13*ORÇAMENTO!$AF$7)/$H55*OFFSET(ORÇAMENTO!$X$15,ROW(BP55)-ROW(BP$15),0),
              ROUND(ROUND(OFFSET($P55,0,BP$13),15-13*ORÇAMENTO!$AF$7)*OFFSET(ORÇAMENTO!$W$15,ROW(BP55)-ROW(BP$15),0),15-13*ORÇAMENTO!$AF$11)),
         0)</f>
        <v>1540.4</v>
      </c>
      <c r="BQ55" s="352" t="n">
        <f aca="true">IF(AND($D55="Serviço",BQ$12&lt;&gt;0,$H55&gt;0,OR(AUTOEVENTO&lt;&gt;"manual",$M55&lt;&gt;$A$15)),
        IF(Import.TipoArredondamento&lt;&gt;"TransfereGOV",
              ROUND(OFFSET($P55,0,BQ$13),15-13*ORÇAMENTO!$AF$7)/$H55*OFFSET(ORÇAMENTO!$X$15,ROW(BQ55)-ROW(BQ$15),0),
              ROUND(ROUND(OFFSET($P55,0,BQ$13),15-13*ORÇAMENTO!$AF$7)*OFFSET(ORÇAMENTO!$W$15,ROW(BQ55)-ROW(BQ$15),0),15-13*ORÇAMENTO!$AF$11)),
         0)</f>
        <v>0</v>
      </c>
      <c r="BS55" s="353" t="n">
        <f aca="true">IF(OR($D55&lt;&gt;"Serviço",AND(AUTOEVENTO="Manual",$M55=$A$15)),0,
         IF(OFFSET(CRONOPLE!$F$15,$M55-$A$15,BS$13)=0,10^12,OFFSET(CRONOPLE!$F$15,$M55-$A$15,BS$13)))</f>
        <v>1</v>
      </c>
      <c r="BT55" s="353" t="n">
        <f aca="true">IF(OR($D55&lt;&gt;"Serviço",AND(AUTOEVENTO="Manual",$M55=$A$15)),0,
         IF(OFFSET(CRONOPLE!$F$15,$M55-$A$15,BT$13)=0,10^12,OFFSET(CRONOPLE!$F$15,$M55-$A$15,BT$13)))</f>
        <v>2</v>
      </c>
      <c r="BU55" s="353" t="n">
        <f aca="true">IF(OR($D55&lt;&gt;"Serviço",AND(AUTOEVENTO="Manual",$M55=$A$15)),0,
         IF(OFFSET(CRONOPLE!$F$15,$M55-$A$15,BU$13)=0,10^12,OFFSET(CRONOPLE!$F$15,$M55-$A$15,BU$13)))</f>
        <v>3</v>
      </c>
      <c r="BV55" s="353" t="n">
        <f aca="true">IF(OR($D55&lt;&gt;"Serviço",AND(AUTOEVENTO="Manual",$M55=$A$15)),0,
         IF(OFFSET(CRONOPLE!$F$15,$M55-$A$15,BV$13)=0,10^12,OFFSET(CRONOPLE!$F$15,$M55-$A$15,BV$13)))</f>
        <v>4</v>
      </c>
      <c r="BW55" s="353" t="n">
        <f aca="true">IF(OR($D55&lt;&gt;"Serviço",AND(AUTOEVENTO="Manual",$M55=$A$15)),0,
         IF(OFFSET(CRONOPLE!$F$15,$M55-$A$15,BW$13)=0,10^12,OFFSET(CRONOPLE!$F$15,$M55-$A$15,BW$13)))</f>
        <v>5</v>
      </c>
      <c r="BX55" s="353" t="n">
        <f aca="true">IF(OR($D55&lt;&gt;"Serviço",AND(AUTOEVENTO="Manual",$M55=$A$15)),0,
         IF(OFFSET(CRONOPLE!$F$15,$M55-$A$15,BX$13)=0,10^12,OFFSET(CRONOPLE!$F$15,$M55-$A$15,BX$13)))</f>
        <v>6</v>
      </c>
      <c r="BY55" s="353" t="n">
        <f aca="true">IF(OR($D55&lt;&gt;"Serviço",AND(AUTOEVENTO="Manual",$M55=$A$15)),0,
         IF(OFFSET(CRONOPLE!$F$15,$M55-$A$15,BY$13)=0,10^12,OFFSET(CRONOPLE!$F$15,$M55-$A$15,BY$13)))</f>
        <v>7</v>
      </c>
      <c r="BZ55" s="353" t="n">
        <f aca="true">IF(OR($D55&lt;&gt;"Serviço",AND(AUTOEVENTO="Manual",$M55=$A$15)),0,
         IF(OFFSET(CRONOPLE!$F$15,$M55-$A$15,BZ$13)=0,10^12,OFFSET(CRONOPLE!$F$15,$M55-$A$15,BZ$13)))</f>
        <v>8</v>
      </c>
      <c r="CA55" s="353" t="n">
        <f aca="true">IF(OR($D55&lt;&gt;"Serviço",AND(AUTOEVENTO="Manual",$M55=$A$15)),0,
         IF(OFFSET(CRONOPLE!$F$15,$M55-$A$15,CA$13)=0,10^12,OFFSET(CRONOPLE!$F$15,$M55-$A$15,CA$13)))</f>
        <v>9</v>
      </c>
      <c r="CB55" s="353" t="n">
        <f aca="true">IF(OR($D55&lt;&gt;"Serviço",AND(AUTOEVENTO="Manual",$M55=$A$15)),0,
         IF(OFFSET(CRONOPLE!$F$15,$M55-$A$15,CB$13)=0,10^12,OFFSET(CRONOPLE!$F$15,$M55-$A$15,CB$13)))</f>
        <v>10</v>
      </c>
      <c r="CC55" s="353" t="n">
        <f aca="true">IF(OR($D55&lt;&gt;"Serviço",AND(AUTOEVENTO="Manual",$M55=$A$15)),0,
         IF(OFFSET(CRONOPLE!$F$15,$M55-$A$15,CC$13)=0,10^12,OFFSET(CRONOPLE!$F$15,$M55-$A$15,CC$13)))</f>
        <v>11</v>
      </c>
      <c r="CD55" s="353" t="n">
        <f aca="true">IF(OR($D55&lt;&gt;"Serviço",AND(AUTOEVENTO="Manual",$M55=$A$15)),0,
         IF(OFFSET(CRONOPLE!$F$15,$M55-$A$15,CD$13)=0,10^12,OFFSET(CRONOPLE!$F$15,$M55-$A$15,CD$13)))</f>
        <v>12</v>
      </c>
      <c r="CE55" s="353" t="n">
        <f aca="true">IF(OR($D55&lt;&gt;"Serviço",AND(AUTOEVENTO="Manual",$M55=$A$15)),0,
         IF(OFFSET(CRONOPLE!$F$15,$M55-$A$15,CE$13)=0,10^12,OFFSET(CRONOPLE!$F$15,$M55-$A$15,CE$13)))</f>
        <v>13</v>
      </c>
      <c r="CF55" s="353" t="n">
        <f aca="true">IF(OR($D55&lt;&gt;"Serviço",AND(AUTOEVENTO="Manual",$M55=$A$15)),0,
         IF(OFFSET(CRONOPLE!$F$15,$M55-$A$15,CF$13)=0,10^12,OFFSET(CRONOPLE!$F$15,$M55-$A$15,CF$13)))</f>
        <v>14</v>
      </c>
      <c r="CG55" s="353" t="n">
        <f aca="true">IF(OR($D55&lt;&gt;"Serviço",AND(AUTOEVENTO="Manual",$M55=$A$15)),0,
         IF(OFFSET(CRONOPLE!$F$15,$M55-$A$15,CG$13)=0,10^12,OFFSET(CRONOPLE!$F$15,$M55-$A$15,CG$13)))</f>
        <v>15</v>
      </c>
      <c r="CH55" s="353" t="n">
        <f aca="true">IF(OR($D55&lt;&gt;"Serviço",AND(AUTOEVENTO="Manual",$M55=$A$15)),0,
         IF(OFFSET(CRONOPLE!$F$15,$M55-$A$15,CH$13)=0,10^12,OFFSET(CRONOPLE!$F$15,$M55-$A$15,CH$13)))</f>
        <v>16</v>
      </c>
      <c r="CI55" s="353" t="n">
        <f aca="true">IF(OR($D55&lt;&gt;"Serviço",AND(AUTOEVENTO="Manual",$M55=$A$15)),0,
         IF(OFFSET(CRONOPLE!$F$15,$M55-$A$15,CI$13)=0,10^12,OFFSET(CRONOPLE!$F$15,$M55-$A$15,CI$13)))</f>
        <v>17</v>
      </c>
      <c r="CJ55" s="353" t="n">
        <f aca="true">IF(OR($D55&lt;&gt;"Serviço",AND(AUTOEVENTO="Manual",$M55=$A$15)),0,
         IF(OFFSET(CRONOPLE!$F$15,$M55-$A$15,CJ$13)=0,10^12,OFFSET(CRONOPLE!$F$15,$M55-$A$15,CJ$13)))</f>
        <v>18</v>
      </c>
      <c r="CK55" s="353" t="n">
        <f aca="true">IF(OR($D55&lt;&gt;"Serviço",AND(AUTOEVENTO="Manual",$M55=$A$15)),0,
         IF(OFFSET(CRONOPLE!$F$15,$M55-$A$15,CK$13)=0,10^12,OFFSET(CRONOPLE!$F$15,$M55-$A$15,CK$13)))</f>
        <v>19</v>
      </c>
      <c r="CL55" s="353" t="n">
        <f aca="true">IF(OR($D55&lt;&gt;"Serviço",AND(AUTOEVENTO="Manual",$M55=$A$15)),0,
         IF(OFFSET(CRONOPLE!$F$15,$M55-$A$15,CL$13)=0,10^12,OFFSET(CRONOPLE!$F$15,$M55-$A$15,CL$13)))</f>
        <v>20</v>
      </c>
      <c r="CM55" s="353" t="n">
        <f aca="true">IF(OR($D55&lt;&gt;"Serviço",AND(AUTOEVENTO="Manual",$M55=$A$15)),0,
         IF(OFFSET(CRONOPLE!$F$15,$M55-$A$15,CM$13)=0,10^12,OFFSET(CRONOPLE!$F$15,$M55-$A$15,CM$13)))</f>
        <v>21</v>
      </c>
      <c r="CN55" s="353" t="n">
        <f aca="true">IF(OR($D55&lt;&gt;"Serviço",AND(AUTOEVENTO="Manual",$M55=$A$15)),0,
         IF(OFFSET(CRONOPLE!$F$15,$M55-$A$15,CN$13)=0,10^12,OFFSET(CRONOPLE!$F$15,$M55-$A$15,CN$13)))</f>
        <v>22</v>
      </c>
      <c r="CO55" s="353" t="n">
        <f aca="true">IF(OR($D55&lt;&gt;"Serviço",AND(AUTOEVENTO="Manual",$M55=$A$15)),0,
         IF(OFFSET(CRONOPLE!$F$15,$M55-$A$15,CO$13)=0,10^12,OFFSET(CRONOPLE!$F$15,$M55-$A$15,CO$13)))</f>
        <v>23</v>
      </c>
      <c r="CP55" s="353" t="n">
        <f aca="true">IF(OR($D55&lt;&gt;"Serviço",AND(AUTOEVENTO="Manual",$M55=$A$15)),0,
         IF(OFFSET(CRONOPLE!$F$15,$M55-$A$15,CP$13)=0,10^12,OFFSET(CRONOPLE!$F$15,$M55-$A$15,CP$13)))</f>
        <v>24</v>
      </c>
      <c r="CQ55" s="353" t="n">
        <f aca="true">IF(OR($D55&lt;&gt;"Serviço",AND(AUTOEVENTO="Manual",$M55=$A$15)),0,
         IF(OFFSET(CRONOPLE!$F$15,$M55-$A$15,CQ$13)=0,10^12,OFFSET(CRONOPLE!$F$15,$M55-$A$15,CQ$13)))</f>
        <v>25</v>
      </c>
      <c r="CR55" s="353" t="n">
        <f aca="true">IF(OR($D55&lt;&gt;"Serviço",AND(AUTOEVENTO="Manual",$M55=$A$15)),0,
         IF(OFFSET(CRONOPLE!$F$15,$M55-$A$15,CR$13)=0,10^12,OFFSET(CRONOPLE!$F$15,$M55-$A$15,CR$13)))</f>
        <v>1000000000000</v>
      </c>
      <c r="CT55" s="354" t="n">
        <f aca="true">IF(OR($D55&lt;&gt;"Serviço",AND(AUTOEVENTO="Manual",$M55=$A$15),$M55&gt;(ROW(PLE.lastrow)-ROW(PLE.firstrow))),0,
           IF(OFFSET(PLE!$G$15,$M55-$A$15,CT$13)="",10^12,OFFSET(PLE!$G$15,$M55-$A$15,CT$13)))</f>
        <v>1000000000000</v>
      </c>
      <c r="CU55" s="354" t="n">
        <f aca="true">IF(OR($D55&lt;&gt;"Serviço",AND(AUTOEVENTO="Manual",$M55=$A$15),$M55&gt;(ROW(PLE.lastrow)-ROW(PLE.firstrow))),0,
           IF(OFFSET(PLE!$G$15,$M55-$A$15,CU$13)="",10^12,OFFSET(PLE!$G$15,$M55-$A$15,CU$13)))</f>
        <v>1000000000000</v>
      </c>
      <c r="CV55" s="354" t="n">
        <f aca="true">IF(OR($D55&lt;&gt;"Serviço",AND(AUTOEVENTO="Manual",$M55=$A$15),$M55&gt;(ROW(PLE.lastrow)-ROW(PLE.firstrow))),0,
           IF(OFFSET(PLE!$G$15,$M55-$A$15,CV$13)="",10^12,OFFSET(PLE!$G$15,$M55-$A$15,CV$13)))</f>
        <v>1000000000000</v>
      </c>
      <c r="CW55" s="354" t="n">
        <f aca="true">IF(OR($D55&lt;&gt;"Serviço",AND(AUTOEVENTO="Manual",$M55=$A$15),$M55&gt;(ROW(PLE.lastrow)-ROW(PLE.firstrow))),0,
           IF(OFFSET(PLE!$G$15,$M55-$A$15,CW$13)="",10^12,OFFSET(PLE!$G$15,$M55-$A$15,CW$13)))</f>
        <v>1000000000000</v>
      </c>
      <c r="CX55" s="354" t="n">
        <f aca="true">IF(OR($D55&lt;&gt;"Serviço",AND(AUTOEVENTO="Manual",$M55=$A$15),$M55&gt;(ROW(PLE.lastrow)-ROW(PLE.firstrow))),0,
           IF(OFFSET(PLE!$G$15,$M55-$A$15,CX$13)="",10^12,OFFSET(PLE!$G$15,$M55-$A$15,CX$13)))</f>
        <v>1000000000000</v>
      </c>
      <c r="CY55" s="354" t="n">
        <f aca="true">IF(OR($D55&lt;&gt;"Serviço",AND(AUTOEVENTO="Manual",$M55=$A$15),$M55&gt;(ROW(PLE.lastrow)-ROW(PLE.firstrow))),0,
           IF(OFFSET(PLE!$G$15,$M55-$A$15,CY$13)="",10^12,OFFSET(PLE!$G$15,$M55-$A$15,CY$13)))</f>
        <v>1000000000000</v>
      </c>
      <c r="CZ55" s="354" t="n">
        <f aca="true">IF(OR($D55&lt;&gt;"Serviço",AND(AUTOEVENTO="Manual",$M55=$A$15),$M55&gt;(ROW(PLE.lastrow)-ROW(PLE.firstrow))),0,
           IF(OFFSET(PLE!$G$15,$M55-$A$15,CZ$13)="",10^12,OFFSET(PLE!$G$15,$M55-$A$15,CZ$13)))</f>
        <v>1000000000000</v>
      </c>
      <c r="DA55" s="354" t="n">
        <f aca="true">IF(OR($D55&lt;&gt;"Serviço",AND(AUTOEVENTO="Manual",$M55=$A$15),$M55&gt;(ROW(PLE.lastrow)-ROW(PLE.firstrow))),0,
           IF(OFFSET(PLE!$G$15,$M55-$A$15,DA$13)="",10^12,OFFSET(PLE!$G$15,$M55-$A$15,DA$13)))</f>
        <v>1000000000000</v>
      </c>
      <c r="DB55" s="354" t="n">
        <f aca="true">IF(OR($D55&lt;&gt;"Serviço",AND(AUTOEVENTO="Manual",$M55=$A$15),$M55&gt;(ROW(PLE.lastrow)-ROW(PLE.firstrow))),0,
           IF(OFFSET(PLE!$G$15,$M55-$A$15,DB$13)="",10^12,OFFSET(PLE!$G$15,$M55-$A$15,DB$13)))</f>
        <v>1000000000000</v>
      </c>
      <c r="DC55" s="354" t="n">
        <f aca="true">IF(OR($D55&lt;&gt;"Serviço",AND(AUTOEVENTO="Manual",$M55=$A$15),$M55&gt;(ROW(PLE.lastrow)-ROW(PLE.firstrow))),0,
           IF(OFFSET(PLE!$G$15,$M55-$A$15,DC$13)="",10^12,OFFSET(PLE!$G$15,$M55-$A$15,DC$13)))</f>
        <v>1000000000000</v>
      </c>
      <c r="DD55" s="354" t="n">
        <f aca="true">IF(OR($D55&lt;&gt;"Serviço",AND(AUTOEVENTO="Manual",$M55=$A$15),$M55&gt;(ROW(PLE.lastrow)-ROW(PLE.firstrow))),0,
           IF(OFFSET(PLE!$G$15,$M55-$A$15,DD$13)="",10^12,OFFSET(PLE!$G$15,$M55-$A$15,DD$13)))</f>
        <v>1000000000000</v>
      </c>
      <c r="DE55" s="354" t="n">
        <f aca="true">IF(OR($D55&lt;&gt;"Serviço",AND(AUTOEVENTO="Manual",$M55=$A$15),$M55&gt;(ROW(PLE.lastrow)-ROW(PLE.firstrow))),0,
           IF(OFFSET(PLE!$G$15,$M55-$A$15,DE$13)="",10^12,OFFSET(PLE!$G$15,$M55-$A$15,DE$13)))</f>
        <v>1000000000000</v>
      </c>
      <c r="DF55" s="354" t="n">
        <f aca="true">IF(OR($D55&lt;&gt;"Serviço",AND(AUTOEVENTO="Manual",$M55=$A$15),$M55&gt;(ROW(PLE.lastrow)-ROW(PLE.firstrow))),0,
           IF(OFFSET(PLE!$G$15,$M55-$A$15,DF$13)="",10^12,OFFSET(PLE!$G$15,$M55-$A$15,DF$13)))</f>
        <v>1000000000000</v>
      </c>
      <c r="DG55" s="354" t="n">
        <f aca="true">IF(OR($D55&lt;&gt;"Serviço",AND(AUTOEVENTO="Manual",$M55=$A$15),$M55&gt;(ROW(PLE.lastrow)-ROW(PLE.firstrow))),0,
           IF(OFFSET(PLE!$G$15,$M55-$A$15,DG$13)="",10^12,OFFSET(PLE!$G$15,$M55-$A$15,DG$13)))</f>
        <v>1000000000000</v>
      </c>
      <c r="DH55" s="354" t="n">
        <f aca="true">IF(OR($D55&lt;&gt;"Serviço",AND(AUTOEVENTO="Manual",$M55=$A$15),$M55&gt;(ROW(PLE.lastrow)-ROW(PLE.firstrow))),0,
           IF(OFFSET(PLE!$G$15,$M55-$A$15,DH$13)="",10^12,OFFSET(PLE!$G$15,$M55-$A$15,DH$13)))</f>
        <v>1000000000000</v>
      </c>
      <c r="DI55" s="354" t="n">
        <f aca="true">IF(OR($D55&lt;&gt;"Serviço",AND(AUTOEVENTO="Manual",$M55=$A$15),$M55&gt;(ROW(PLE.lastrow)-ROW(PLE.firstrow))),0,
           IF(OFFSET(PLE!$G$15,$M55-$A$15,DI$13)="",10^12,OFFSET(PLE!$G$15,$M55-$A$15,DI$13)))</f>
        <v>1000000000000</v>
      </c>
      <c r="DJ55" s="354" t="n">
        <f aca="true">IF(OR($D55&lt;&gt;"Serviço",AND(AUTOEVENTO="Manual",$M55=$A$15),$M55&gt;(ROW(PLE.lastrow)-ROW(PLE.firstrow))),0,
           IF(OFFSET(PLE!$G$15,$M55-$A$15,DJ$13)="",10^12,OFFSET(PLE!$G$15,$M55-$A$15,DJ$13)))</f>
        <v>1000000000000</v>
      </c>
      <c r="DK55" s="354" t="n">
        <f aca="true">IF(OR($D55&lt;&gt;"Serviço",AND(AUTOEVENTO="Manual",$M55=$A$15),$M55&gt;(ROW(PLE.lastrow)-ROW(PLE.firstrow))),0,
           IF(OFFSET(PLE!$G$15,$M55-$A$15,DK$13)="",10^12,OFFSET(PLE!$G$15,$M55-$A$15,DK$13)))</f>
        <v>1000000000000</v>
      </c>
      <c r="DL55" s="354" t="n">
        <f aca="true">IF(OR($D55&lt;&gt;"Serviço",AND(AUTOEVENTO="Manual",$M55=$A$15),$M55&gt;(ROW(PLE.lastrow)-ROW(PLE.firstrow))),0,
           IF(OFFSET(PLE!$G$15,$M55-$A$15,DL$13)="",10^12,OFFSET(PLE!$G$15,$M55-$A$15,DL$13)))</f>
        <v>1000000000000</v>
      </c>
      <c r="DM55" s="354" t="n">
        <f aca="true">IF(OR($D55&lt;&gt;"Serviço",AND(AUTOEVENTO="Manual",$M55=$A$15),$M55&gt;(ROW(PLE.lastrow)-ROW(PLE.firstrow))),0,
           IF(OFFSET(PLE!$G$15,$M55-$A$15,DM$13)="",10^12,OFFSET(PLE!$G$15,$M55-$A$15,DM$13)))</f>
        <v>1000000000000</v>
      </c>
      <c r="DN55" s="354" t="n">
        <f aca="true">IF(OR($D55&lt;&gt;"Serviço",AND(AUTOEVENTO="Manual",$M55=$A$15),$M55&gt;(ROW(PLE.lastrow)-ROW(PLE.firstrow))),0,
           IF(OFFSET(PLE!$G$15,$M55-$A$15,DN$13)="",10^12,OFFSET(PLE!$G$15,$M55-$A$15,DN$13)))</f>
        <v>1000000000000</v>
      </c>
      <c r="DO55" s="354" t="n">
        <f aca="true">IF(OR($D55&lt;&gt;"Serviço",AND(AUTOEVENTO="Manual",$M55=$A$15),$M55&gt;(ROW(PLE.lastrow)-ROW(PLE.firstrow))),0,
           IF(OFFSET(PLE!$G$15,$M55-$A$15,DO$13)="",10^12,OFFSET(PLE!$G$15,$M55-$A$15,DO$13)))</f>
        <v>1000000000000</v>
      </c>
      <c r="DP55" s="354" t="n">
        <f aca="true">IF(OR($D55&lt;&gt;"Serviço",AND(AUTOEVENTO="Manual",$M55=$A$15),$M55&gt;(ROW(PLE.lastrow)-ROW(PLE.firstrow))),0,
           IF(OFFSET(PLE!$G$15,$M55-$A$15,DP$13)="",10^12,OFFSET(PLE!$G$15,$M55-$A$15,DP$13)))</f>
        <v>1000000000000</v>
      </c>
      <c r="DQ55" s="354" t="n">
        <f aca="true">IF(OR($D55&lt;&gt;"Serviço",AND(AUTOEVENTO="Manual",$M55=$A$15),$M55&gt;(ROW(PLE.lastrow)-ROW(PLE.firstrow))),0,
           IF(OFFSET(PLE!$G$15,$M55-$A$15,DQ$13)="",10^12,OFFSET(PLE!$G$15,$M55-$A$15,DQ$13)))</f>
        <v>1000000000000</v>
      </c>
      <c r="DR55" s="354" t="n">
        <f aca="true">IF(OR($D55&lt;&gt;"Serviço",AND(AUTOEVENTO="Manual",$M55=$A$15),$M55&gt;(ROW(PLE.lastrow)-ROW(PLE.firstrow))),0,
           IF(OFFSET(PLE!$G$15,$M55-$A$15,DR$13)="",10^12,OFFSET(PLE!$G$15,$M55-$A$15,DR$13)))</f>
        <v>1000000000000</v>
      </c>
      <c r="DS55" s="354" t="n">
        <f aca="true">IF(OR($D55&lt;&gt;"Serviço",AND(AUTOEVENTO="Manual",$M55=$A$15),$M55&gt;(ROW(PLE.lastrow)-ROW(PLE.firstrow))),0,
           IF(OFFSET(PLE!$G$15,$M55-$A$15,DS$13)="",10^12,OFFSET(PLE!$G$15,$M55-$A$15,DS$13)))</f>
        <v>1000000000000</v>
      </c>
    </row>
    <row r="56" customFormat="false" ht="12.75" hidden="false" customHeight="false" outlineLevel="0" collapsed="false">
      <c r="A56" s="50" t="str">
        <f aca="true">IFERROR(IF(AUTOEVENTO="Manual",IF(K56&lt;&gt;"",MIN(VALUE(LEFT(K56,FIND(".",K56)-1)),COUNTA(EVENTOS.Lista)),0),IF(OR($B56&gt;AUTOEVENTO,$B56="S",$B56=0),SUBSTITUTE(OFFSET($A56,-1,0),IF($D56="Serviço",".",""),""),ROW(A56)-ROW($A$15)&amp;".")),0)</f>
        <v>41.</v>
      </c>
      <c r="B56" s="50" t="n">
        <f aca="true">OFFSET(ORÇAMENTO!C$15,ROW(B56)-ROW(B$15),0)</f>
        <v>2</v>
      </c>
      <c r="C56" s="50" t="str">
        <f aca="true">OFFSET(ORÇAMENTO!L$15,ROW(C56)-ROW(C$15),0)</f>
        <v>F</v>
      </c>
      <c r="D56" s="201" t="str">
        <f aca="true">OFFSET(ORÇAMENTO!N$15,ROW(D56)-ROW(D$15),0)</f>
        <v>Nível 2</v>
      </c>
      <c r="E56" s="202" t="str">
        <f aca="true">OFFSET(ORÇAMENTO!O$15,ROW(E56)-ROW(E$15),0)</f>
        <v>1.10.</v>
      </c>
      <c r="F56" s="341" t="str">
        <f aca="true">OFFSET(ORÇAMENTO!R$15,ROW(F56)-ROW(F$15),0)</f>
        <v>PAREDES E PAINÉIS</v>
      </c>
      <c r="G56" s="342" t="str">
        <f aca="true">IF($D56&lt;&gt;"Serviço","",OFFSET(ORÇAMENTO!S$15,ROW(G56)-ROW(G$15),0))</f>
        <v/>
      </c>
      <c r="H56" s="207" t="n">
        <f aca="true">IF($D56&lt;&gt;"Serviço",0,IF(ACOMPANHAMENTO="BM",ROUND(OFFSET(ORÇAMENTO!AJ$15,ROW(H56)-ROW(H$15),0),15-13*ORÇAMENTO!$AF$7),SUMPRODUCT(($Q$1:$AQ$1=1)*ROUND($Q56:$AQ56,15-13*ORÇAMENTO!$AF$7))))</f>
        <v>0</v>
      </c>
      <c r="I56" s="343"/>
      <c r="J56" s="344" t="str">
        <f aca="false">IF(OR(B56&lt;&gt;"S",CÁLCULO.FrentesPreenchidas=0),"",IF(AND(ACOMPANHAMENTO="PLE",AUTOEVENTO="Manual",OR(H56&gt;0,ORÇAMENTO!AC56="QUANT."),OR(K56="",M56=0,N56="")),"►",IF(AND(ACOMPANHAMENTO="PLE",ORÇAMENTO!AC56="QUANT."),"►►",IF(AND(COUNTIF($P$11:$AQ$11,"▼")=0,H56&gt;0,I56=""),"◄",""))))</f>
        <v/>
      </c>
      <c r="K56" s="345"/>
      <c r="L56" s="346" t="s">
        <v>876</v>
      </c>
      <c r="M56" s="347" t="str">
        <f aca="true">IF($D56&lt;&gt;"Serviço","",
          IF(AUTOEVENTO="manual",$A56,
                IF(ISERROR(MATCH($A56,$A$15:OFFSET($A56,-1,0),0)),MAX($M$15:OFFSET(M56,-1,0))+1,
                      INDEX($M$15:OFFSET(M56,-1,0),MATCH($A56,$A$15:OFFSET($A56,-1,0),0)))))</f>
        <v/>
      </c>
      <c r="N56" s="348" t="str">
        <f aca="true">IF($D56&lt;&gt;"Serviço","",
         IF(AUTOEVENTO="Manual",
                IF($A56=0,"&lt;-- defina o número do agrupador",
                       OFFSET(EVENTOS!$D$15,$A56-$A$15,0)),
                OFFSET($F$15,$A56,0)))</f>
        <v/>
      </c>
      <c r="O56" s="349"/>
      <c r="Q56" s="349"/>
      <c r="R56" s="350"/>
      <c r="S56" s="350"/>
      <c r="T56" s="350"/>
      <c r="U56" s="350"/>
      <c r="V56" s="350"/>
      <c r="W56" s="350"/>
      <c r="X56" s="350"/>
      <c r="Y56" s="350"/>
      <c r="Z56" s="351"/>
      <c r="AA56" s="350"/>
      <c r="AB56" s="350"/>
      <c r="AC56" s="350"/>
      <c r="AD56" s="350"/>
      <c r="AE56" s="350"/>
      <c r="AF56" s="350"/>
      <c r="AG56" s="350"/>
      <c r="AH56" s="351"/>
      <c r="AI56" s="350"/>
      <c r="AJ56" s="350"/>
      <c r="AK56" s="350"/>
      <c r="AL56" s="350"/>
      <c r="AM56" s="350"/>
      <c r="AN56" s="350"/>
      <c r="AO56" s="350"/>
      <c r="AP56" s="351"/>
      <c r="AR56" s="352" t="n">
        <f aca="true">IF(AND($D56="Serviço",AR$12&lt;&gt;0,$H56&gt;0,OR(AUTOEVENTO&lt;&gt;"manual",$M56&lt;&gt;$A$15)),
        IF(Import.TipoArredondamento&lt;&gt;"TransfereGOV",
              ROUND(OFFSET($P56,0,AR$13),15-13*ORÇAMENTO!$AF$7)/$H56*OFFSET(ORÇAMENTO!$X$15,ROW(AR56)-ROW(AR$15),0),
              ROUND(ROUND(OFFSET($P56,0,AR$13),15-13*ORÇAMENTO!$AF$7)*OFFSET(ORÇAMENTO!$W$15,ROW(AR56)-ROW(AR$15),0),15-13*ORÇAMENTO!$AF$11)),
         0)</f>
        <v>0</v>
      </c>
      <c r="AS56" s="352" t="n">
        <f aca="true">IF(AND($D56="Serviço",AS$12&lt;&gt;0,$H56&gt;0,OR(AUTOEVENTO&lt;&gt;"manual",$M56&lt;&gt;$A$15)),
        IF(Import.TipoArredondamento&lt;&gt;"TransfereGOV",
              ROUND(OFFSET($P56,0,AS$13),15-13*ORÇAMENTO!$AF$7)/$H56*OFFSET(ORÇAMENTO!$X$15,ROW(AS56)-ROW(AS$15),0),
              ROUND(ROUND(OFFSET($P56,0,AS$13),15-13*ORÇAMENTO!$AF$7)*OFFSET(ORÇAMENTO!$W$15,ROW(AS56)-ROW(AS$15),0),15-13*ORÇAMENTO!$AF$11)),
         0)</f>
        <v>0</v>
      </c>
      <c r="AT56" s="352" t="n">
        <f aca="true">IF(AND($D56="Serviço",AT$12&lt;&gt;0,$H56&gt;0,OR(AUTOEVENTO&lt;&gt;"manual",$M56&lt;&gt;$A$15)),
        IF(Import.TipoArredondamento&lt;&gt;"TransfereGOV",
              ROUND(OFFSET($P56,0,AT$13),15-13*ORÇAMENTO!$AF$7)/$H56*OFFSET(ORÇAMENTO!$X$15,ROW(AT56)-ROW(AT$15),0),
              ROUND(ROUND(OFFSET($P56,0,AT$13),15-13*ORÇAMENTO!$AF$7)*OFFSET(ORÇAMENTO!$W$15,ROW(AT56)-ROW(AT$15),0),15-13*ORÇAMENTO!$AF$11)),
         0)</f>
        <v>0</v>
      </c>
      <c r="AU56" s="352" t="n">
        <f aca="true">IF(AND($D56="Serviço",AU$12&lt;&gt;0,$H56&gt;0,OR(AUTOEVENTO&lt;&gt;"manual",$M56&lt;&gt;$A$15)),
        IF(Import.TipoArredondamento&lt;&gt;"TransfereGOV",
              ROUND(OFFSET($P56,0,AU$13),15-13*ORÇAMENTO!$AF$7)/$H56*OFFSET(ORÇAMENTO!$X$15,ROW(AU56)-ROW(AU$15),0),
              ROUND(ROUND(OFFSET($P56,0,AU$13),15-13*ORÇAMENTO!$AF$7)*OFFSET(ORÇAMENTO!$W$15,ROW(AU56)-ROW(AU$15),0),15-13*ORÇAMENTO!$AF$11)),
         0)</f>
        <v>0</v>
      </c>
      <c r="AV56" s="352" t="n">
        <f aca="true">IF(AND($D56="Serviço",AV$12&lt;&gt;0,$H56&gt;0,OR(AUTOEVENTO&lt;&gt;"manual",$M56&lt;&gt;$A$15)),
        IF(Import.TipoArredondamento&lt;&gt;"TransfereGOV",
              ROUND(OFFSET($P56,0,AV$13),15-13*ORÇAMENTO!$AF$7)/$H56*OFFSET(ORÇAMENTO!$X$15,ROW(AV56)-ROW(AV$15),0),
              ROUND(ROUND(OFFSET($P56,0,AV$13),15-13*ORÇAMENTO!$AF$7)*OFFSET(ORÇAMENTO!$W$15,ROW(AV56)-ROW(AV$15),0),15-13*ORÇAMENTO!$AF$11)),
         0)</f>
        <v>0</v>
      </c>
      <c r="AW56" s="352" t="n">
        <f aca="true">IF(AND($D56="Serviço",AW$12&lt;&gt;0,$H56&gt;0,OR(AUTOEVENTO&lt;&gt;"manual",$M56&lt;&gt;$A$15)),
        IF(Import.TipoArredondamento&lt;&gt;"TransfereGOV",
              ROUND(OFFSET($P56,0,AW$13),15-13*ORÇAMENTO!$AF$7)/$H56*OFFSET(ORÇAMENTO!$X$15,ROW(AW56)-ROW(AW$15),0),
              ROUND(ROUND(OFFSET($P56,0,AW$13),15-13*ORÇAMENTO!$AF$7)*OFFSET(ORÇAMENTO!$W$15,ROW(AW56)-ROW(AW$15),0),15-13*ORÇAMENTO!$AF$11)),
         0)</f>
        <v>0</v>
      </c>
      <c r="AX56" s="352" t="n">
        <f aca="true">IF(AND($D56="Serviço",AX$12&lt;&gt;0,$H56&gt;0,OR(AUTOEVENTO&lt;&gt;"manual",$M56&lt;&gt;$A$15)),
        IF(Import.TipoArredondamento&lt;&gt;"TransfereGOV",
              ROUND(OFFSET($P56,0,AX$13),15-13*ORÇAMENTO!$AF$7)/$H56*OFFSET(ORÇAMENTO!$X$15,ROW(AX56)-ROW(AX$15),0),
              ROUND(ROUND(OFFSET($P56,0,AX$13),15-13*ORÇAMENTO!$AF$7)*OFFSET(ORÇAMENTO!$W$15,ROW(AX56)-ROW(AX$15),0),15-13*ORÇAMENTO!$AF$11)),
         0)</f>
        <v>0</v>
      </c>
      <c r="AY56" s="352" t="n">
        <f aca="true">IF(AND($D56="Serviço",AY$12&lt;&gt;0,$H56&gt;0,OR(AUTOEVENTO&lt;&gt;"manual",$M56&lt;&gt;$A$15)),
        IF(Import.TipoArredondamento&lt;&gt;"TransfereGOV",
              ROUND(OFFSET($P56,0,AY$13),15-13*ORÇAMENTO!$AF$7)/$H56*OFFSET(ORÇAMENTO!$X$15,ROW(AY56)-ROW(AY$15),0),
              ROUND(ROUND(OFFSET($P56,0,AY$13),15-13*ORÇAMENTO!$AF$7)*OFFSET(ORÇAMENTO!$W$15,ROW(AY56)-ROW(AY$15),0),15-13*ORÇAMENTO!$AF$11)),
         0)</f>
        <v>0</v>
      </c>
      <c r="AZ56" s="352" t="n">
        <f aca="true">IF(AND($D56="Serviço",AZ$12&lt;&gt;0,$H56&gt;0,OR(AUTOEVENTO&lt;&gt;"manual",$M56&lt;&gt;$A$15)),
        IF(Import.TipoArredondamento&lt;&gt;"TransfereGOV",
              ROUND(OFFSET($P56,0,AZ$13),15-13*ORÇAMENTO!$AF$7)/$H56*OFFSET(ORÇAMENTO!$X$15,ROW(AZ56)-ROW(AZ$15),0),
              ROUND(ROUND(OFFSET($P56,0,AZ$13),15-13*ORÇAMENTO!$AF$7)*OFFSET(ORÇAMENTO!$W$15,ROW(AZ56)-ROW(AZ$15),0),15-13*ORÇAMENTO!$AF$11)),
         0)</f>
        <v>0</v>
      </c>
      <c r="BA56" s="352" t="n">
        <f aca="true">IF(AND($D56="Serviço",BA$12&lt;&gt;0,$H56&gt;0,OR(AUTOEVENTO&lt;&gt;"manual",$M56&lt;&gt;$A$15)),
        IF(Import.TipoArredondamento&lt;&gt;"TransfereGOV",
              ROUND(OFFSET($P56,0,BA$13),15-13*ORÇAMENTO!$AF$7)/$H56*OFFSET(ORÇAMENTO!$X$15,ROW(BA56)-ROW(BA$15),0),
              ROUND(ROUND(OFFSET($P56,0,BA$13),15-13*ORÇAMENTO!$AF$7)*OFFSET(ORÇAMENTO!$W$15,ROW(BA56)-ROW(BA$15),0),15-13*ORÇAMENTO!$AF$11)),
         0)</f>
        <v>0</v>
      </c>
      <c r="BB56" s="352" t="n">
        <f aca="true">IF(AND($D56="Serviço",BB$12&lt;&gt;0,$H56&gt;0,OR(AUTOEVENTO&lt;&gt;"manual",$M56&lt;&gt;$A$15)),
        IF(Import.TipoArredondamento&lt;&gt;"TransfereGOV",
              ROUND(OFFSET($P56,0,BB$13),15-13*ORÇAMENTO!$AF$7)/$H56*OFFSET(ORÇAMENTO!$X$15,ROW(BB56)-ROW(BB$15),0),
              ROUND(ROUND(OFFSET($P56,0,BB$13),15-13*ORÇAMENTO!$AF$7)*OFFSET(ORÇAMENTO!$W$15,ROW(BB56)-ROW(BB$15),0),15-13*ORÇAMENTO!$AF$11)),
         0)</f>
        <v>0</v>
      </c>
      <c r="BC56" s="352" t="n">
        <f aca="true">IF(AND($D56="Serviço",BC$12&lt;&gt;0,$H56&gt;0,OR(AUTOEVENTO&lt;&gt;"manual",$M56&lt;&gt;$A$15)),
        IF(Import.TipoArredondamento&lt;&gt;"TransfereGOV",
              ROUND(OFFSET($P56,0,BC$13),15-13*ORÇAMENTO!$AF$7)/$H56*OFFSET(ORÇAMENTO!$X$15,ROW(BC56)-ROW(BC$15),0),
              ROUND(ROUND(OFFSET($P56,0,BC$13),15-13*ORÇAMENTO!$AF$7)*OFFSET(ORÇAMENTO!$W$15,ROW(BC56)-ROW(BC$15),0),15-13*ORÇAMENTO!$AF$11)),
         0)</f>
        <v>0</v>
      </c>
      <c r="BD56" s="352" t="n">
        <f aca="true">IF(AND($D56="Serviço",BD$12&lt;&gt;0,$H56&gt;0,OR(AUTOEVENTO&lt;&gt;"manual",$M56&lt;&gt;$A$15)),
        IF(Import.TipoArredondamento&lt;&gt;"TransfereGOV",
              ROUND(OFFSET($P56,0,BD$13),15-13*ORÇAMENTO!$AF$7)/$H56*OFFSET(ORÇAMENTO!$X$15,ROW(BD56)-ROW(BD$15),0),
              ROUND(ROUND(OFFSET($P56,0,BD$13),15-13*ORÇAMENTO!$AF$7)*OFFSET(ORÇAMENTO!$W$15,ROW(BD56)-ROW(BD$15),0),15-13*ORÇAMENTO!$AF$11)),
         0)</f>
        <v>0</v>
      </c>
      <c r="BE56" s="352" t="n">
        <f aca="true">IF(AND($D56="Serviço",BE$12&lt;&gt;0,$H56&gt;0,OR(AUTOEVENTO&lt;&gt;"manual",$M56&lt;&gt;$A$15)),
        IF(Import.TipoArredondamento&lt;&gt;"TransfereGOV",
              ROUND(OFFSET($P56,0,BE$13),15-13*ORÇAMENTO!$AF$7)/$H56*OFFSET(ORÇAMENTO!$X$15,ROW(BE56)-ROW(BE$15),0),
              ROUND(ROUND(OFFSET($P56,0,BE$13),15-13*ORÇAMENTO!$AF$7)*OFFSET(ORÇAMENTO!$W$15,ROW(BE56)-ROW(BE$15),0),15-13*ORÇAMENTO!$AF$11)),
         0)</f>
        <v>0</v>
      </c>
      <c r="BF56" s="352" t="n">
        <f aca="true">IF(AND($D56="Serviço",BF$12&lt;&gt;0,$H56&gt;0,OR(AUTOEVENTO&lt;&gt;"manual",$M56&lt;&gt;$A$15)),
        IF(Import.TipoArredondamento&lt;&gt;"TransfereGOV",
              ROUND(OFFSET($P56,0,BF$13),15-13*ORÇAMENTO!$AF$7)/$H56*OFFSET(ORÇAMENTO!$X$15,ROW(BF56)-ROW(BF$15),0),
              ROUND(ROUND(OFFSET($P56,0,BF$13),15-13*ORÇAMENTO!$AF$7)*OFFSET(ORÇAMENTO!$W$15,ROW(BF56)-ROW(BF$15),0),15-13*ORÇAMENTO!$AF$11)),
         0)</f>
        <v>0</v>
      </c>
      <c r="BG56" s="352" t="n">
        <f aca="true">IF(AND($D56="Serviço",BG$12&lt;&gt;0,$H56&gt;0,OR(AUTOEVENTO&lt;&gt;"manual",$M56&lt;&gt;$A$15)),
        IF(Import.TipoArredondamento&lt;&gt;"TransfereGOV",
              ROUND(OFFSET($P56,0,BG$13),15-13*ORÇAMENTO!$AF$7)/$H56*OFFSET(ORÇAMENTO!$X$15,ROW(BG56)-ROW(BG$15),0),
              ROUND(ROUND(OFFSET($P56,0,BG$13),15-13*ORÇAMENTO!$AF$7)*OFFSET(ORÇAMENTO!$W$15,ROW(BG56)-ROW(BG$15),0),15-13*ORÇAMENTO!$AF$11)),
         0)</f>
        <v>0</v>
      </c>
      <c r="BH56" s="352" t="n">
        <f aca="true">IF(AND($D56="Serviço",BH$12&lt;&gt;0,$H56&gt;0,OR(AUTOEVENTO&lt;&gt;"manual",$M56&lt;&gt;$A$15)),
        IF(Import.TipoArredondamento&lt;&gt;"TransfereGOV",
              ROUND(OFFSET($P56,0,BH$13),15-13*ORÇAMENTO!$AF$7)/$H56*OFFSET(ORÇAMENTO!$X$15,ROW(BH56)-ROW(BH$15),0),
              ROUND(ROUND(OFFSET($P56,0,BH$13),15-13*ORÇAMENTO!$AF$7)*OFFSET(ORÇAMENTO!$W$15,ROW(BH56)-ROW(BH$15),0),15-13*ORÇAMENTO!$AF$11)),
         0)</f>
        <v>0</v>
      </c>
      <c r="BI56" s="352" t="n">
        <f aca="true">IF(AND($D56="Serviço",BI$12&lt;&gt;0,$H56&gt;0,OR(AUTOEVENTO&lt;&gt;"manual",$M56&lt;&gt;$A$15)),
        IF(Import.TipoArredondamento&lt;&gt;"TransfereGOV",
              ROUND(OFFSET($P56,0,BI$13),15-13*ORÇAMENTO!$AF$7)/$H56*OFFSET(ORÇAMENTO!$X$15,ROW(BI56)-ROW(BI$15),0),
              ROUND(ROUND(OFFSET($P56,0,BI$13),15-13*ORÇAMENTO!$AF$7)*OFFSET(ORÇAMENTO!$W$15,ROW(BI56)-ROW(BI$15),0),15-13*ORÇAMENTO!$AF$11)),
         0)</f>
        <v>0</v>
      </c>
      <c r="BJ56" s="352" t="n">
        <f aca="true">IF(AND($D56="Serviço",BJ$12&lt;&gt;0,$H56&gt;0,OR(AUTOEVENTO&lt;&gt;"manual",$M56&lt;&gt;$A$15)),
        IF(Import.TipoArredondamento&lt;&gt;"TransfereGOV",
              ROUND(OFFSET($P56,0,BJ$13),15-13*ORÇAMENTO!$AF$7)/$H56*OFFSET(ORÇAMENTO!$X$15,ROW(BJ56)-ROW(BJ$15),0),
              ROUND(ROUND(OFFSET($P56,0,BJ$13),15-13*ORÇAMENTO!$AF$7)*OFFSET(ORÇAMENTO!$W$15,ROW(BJ56)-ROW(BJ$15),0),15-13*ORÇAMENTO!$AF$11)),
         0)</f>
        <v>0</v>
      </c>
      <c r="BK56" s="352" t="n">
        <f aca="true">IF(AND($D56="Serviço",BK$12&lt;&gt;0,$H56&gt;0,OR(AUTOEVENTO&lt;&gt;"manual",$M56&lt;&gt;$A$15)),
        IF(Import.TipoArredondamento&lt;&gt;"TransfereGOV",
              ROUND(OFFSET($P56,0,BK$13),15-13*ORÇAMENTO!$AF$7)/$H56*OFFSET(ORÇAMENTO!$X$15,ROW(BK56)-ROW(BK$15),0),
              ROUND(ROUND(OFFSET($P56,0,BK$13),15-13*ORÇAMENTO!$AF$7)*OFFSET(ORÇAMENTO!$W$15,ROW(BK56)-ROW(BK$15),0),15-13*ORÇAMENTO!$AF$11)),
         0)</f>
        <v>0</v>
      </c>
      <c r="BL56" s="352" t="n">
        <f aca="true">IF(AND($D56="Serviço",BL$12&lt;&gt;0,$H56&gt;0,OR(AUTOEVENTO&lt;&gt;"manual",$M56&lt;&gt;$A$15)),
        IF(Import.TipoArredondamento&lt;&gt;"TransfereGOV",
              ROUND(OFFSET($P56,0,BL$13),15-13*ORÇAMENTO!$AF$7)/$H56*OFFSET(ORÇAMENTO!$X$15,ROW(BL56)-ROW(BL$15),0),
              ROUND(ROUND(OFFSET($P56,0,BL$13),15-13*ORÇAMENTO!$AF$7)*OFFSET(ORÇAMENTO!$W$15,ROW(BL56)-ROW(BL$15),0),15-13*ORÇAMENTO!$AF$11)),
         0)</f>
        <v>0</v>
      </c>
      <c r="BM56" s="352" t="n">
        <f aca="true">IF(AND($D56="Serviço",BM$12&lt;&gt;0,$H56&gt;0,OR(AUTOEVENTO&lt;&gt;"manual",$M56&lt;&gt;$A$15)),
        IF(Import.TipoArredondamento&lt;&gt;"TransfereGOV",
              ROUND(OFFSET($P56,0,BM$13),15-13*ORÇAMENTO!$AF$7)/$H56*OFFSET(ORÇAMENTO!$X$15,ROW(BM56)-ROW(BM$15),0),
              ROUND(ROUND(OFFSET($P56,0,BM$13),15-13*ORÇAMENTO!$AF$7)*OFFSET(ORÇAMENTO!$W$15,ROW(BM56)-ROW(BM$15),0),15-13*ORÇAMENTO!$AF$11)),
         0)</f>
        <v>0</v>
      </c>
      <c r="BN56" s="352" t="n">
        <f aca="true">IF(AND($D56="Serviço",BN$12&lt;&gt;0,$H56&gt;0,OR(AUTOEVENTO&lt;&gt;"manual",$M56&lt;&gt;$A$15)),
        IF(Import.TipoArredondamento&lt;&gt;"TransfereGOV",
              ROUND(OFFSET($P56,0,BN$13),15-13*ORÇAMENTO!$AF$7)/$H56*OFFSET(ORÇAMENTO!$X$15,ROW(BN56)-ROW(BN$15),0),
              ROUND(ROUND(OFFSET($P56,0,BN$13),15-13*ORÇAMENTO!$AF$7)*OFFSET(ORÇAMENTO!$W$15,ROW(BN56)-ROW(BN$15),0),15-13*ORÇAMENTO!$AF$11)),
         0)</f>
        <v>0</v>
      </c>
      <c r="BO56" s="352" t="n">
        <f aca="true">IF(AND($D56="Serviço",BO$12&lt;&gt;0,$H56&gt;0,OR(AUTOEVENTO&lt;&gt;"manual",$M56&lt;&gt;$A$15)),
        IF(Import.TipoArredondamento&lt;&gt;"TransfereGOV",
              ROUND(OFFSET($P56,0,BO$13),15-13*ORÇAMENTO!$AF$7)/$H56*OFFSET(ORÇAMENTO!$X$15,ROW(BO56)-ROW(BO$15),0),
              ROUND(ROUND(OFFSET($P56,0,BO$13),15-13*ORÇAMENTO!$AF$7)*OFFSET(ORÇAMENTO!$W$15,ROW(BO56)-ROW(BO$15),0),15-13*ORÇAMENTO!$AF$11)),
         0)</f>
        <v>0</v>
      </c>
      <c r="BP56" s="352" t="n">
        <f aca="true">IF(AND($D56="Serviço",BP$12&lt;&gt;0,$H56&gt;0,OR(AUTOEVENTO&lt;&gt;"manual",$M56&lt;&gt;$A$15)),
        IF(Import.TipoArredondamento&lt;&gt;"TransfereGOV",
              ROUND(OFFSET($P56,0,BP$13),15-13*ORÇAMENTO!$AF$7)/$H56*OFFSET(ORÇAMENTO!$X$15,ROW(BP56)-ROW(BP$15),0),
              ROUND(ROUND(OFFSET($P56,0,BP$13),15-13*ORÇAMENTO!$AF$7)*OFFSET(ORÇAMENTO!$W$15,ROW(BP56)-ROW(BP$15),0),15-13*ORÇAMENTO!$AF$11)),
         0)</f>
        <v>0</v>
      </c>
      <c r="BQ56" s="352" t="n">
        <f aca="true">IF(AND($D56="Serviço",BQ$12&lt;&gt;0,$H56&gt;0,OR(AUTOEVENTO&lt;&gt;"manual",$M56&lt;&gt;$A$15)),
        IF(Import.TipoArredondamento&lt;&gt;"TransfereGOV",
              ROUND(OFFSET($P56,0,BQ$13),15-13*ORÇAMENTO!$AF$7)/$H56*OFFSET(ORÇAMENTO!$X$15,ROW(BQ56)-ROW(BQ$15),0),
              ROUND(ROUND(OFFSET($P56,0,BQ$13),15-13*ORÇAMENTO!$AF$7)*OFFSET(ORÇAMENTO!$W$15,ROW(BQ56)-ROW(BQ$15),0),15-13*ORÇAMENTO!$AF$11)),
         0)</f>
        <v>0</v>
      </c>
      <c r="BS56" s="353" t="n">
        <f aca="true">IF(OR($D56&lt;&gt;"Serviço",AND(AUTOEVENTO="Manual",$M56=$A$15)),0,
         IF(OFFSET(CRONOPLE!$F$15,$M56-$A$15,BS$13)=0,10^12,OFFSET(CRONOPLE!$F$15,$M56-$A$15,BS$13)))</f>
        <v>0</v>
      </c>
      <c r="BT56" s="353" t="n">
        <f aca="true">IF(OR($D56&lt;&gt;"Serviço",AND(AUTOEVENTO="Manual",$M56=$A$15)),0,
         IF(OFFSET(CRONOPLE!$F$15,$M56-$A$15,BT$13)=0,10^12,OFFSET(CRONOPLE!$F$15,$M56-$A$15,BT$13)))</f>
        <v>0</v>
      </c>
      <c r="BU56" s="353" t="n">
        <f aca="true">IF(OR($D56&lt;&gt;"Serviço",AND(AUTOEVENTO="Manual",$M56=$A$15)),0,
         IF(OFFSET(CRONOPLE!$F$15,$M56-$A$15,BU$13)=0,10^12,OFFSET(CRONOPLE!$F$15,$M56-$A$15,BU$13)))</f>
        <v>0</v>
      </c>
      <c r="BV56" s="353" t="n">
        <f aca="true">IF(OR($D56&lt;&gt;"Serviço",AND(AUTOEVENTO="Manual",$M56=$A$15)),0,
         IF(OFFSET(CRONOPLE!$F$15,$M56-$A$15,BV$13)=0,10^12,OFFSET(CRONOPLE!$F$15,$M56-$A$15,BV$13)))</f>
        <v>0</v>
      </c>
      <c r="BW56" s="353" t="n">
        <f aca="true">IF(OR($D56&lt;&gt;"Serviço",AND(AUTOEVENTO="Manual",$M56=$A$15)),0,
         IF(OFFSET(CRONOPLE!$F$15,$M56-$A$15,BW$13)=0,10^12,OFFSET(CRONOPLE!$F$15,$M56-$A$15,BW$13)))</f>
        <v>0</v>
      </c>
      <c r="BX56" s="353" t="n">
        <f aca="true">IF(OR($D56&lt;&gt;"Serviço",AND(AUTOEVENTO="Manual",$M56=$A$15)),0,
         IF(OFFSET(CRONOPLE!$F$15,$M56-$A$15,BX$13)=0,10^12,OFFSET(CRONOPLE!$F$15,$M56-$A$15,BX$13)))</f>
        <v>0</v>
      </c>
      <c r="BY56" s="353" t="n">
        <f aca="true">IF(OR($D56&lt;&gt;"Serviço",AND(AUTOEVENTO="Manual",$M56=$A$15)),0,
         IF(OFFSET(CRONOPLE!$F$15,$M56-$A$15,BY$13)=0,10^12,OFFSET(CRONOPLE!$F$15,$M56-$A$15,BY$13)))</f>
        <v>0</v>
      </c>
      <c r="BZ56" s="353" t="n">
        <f aca="true">IF(OR($D56&lt;&gt;"Serviço",AND(AUTOEVENTO="Manual",$M56=$A$15)),0,
         IF(OFFSET(CRONOPLE!$F$15,$M56-$A$15,BZ$13)=0,10^12,OFFSET(CRONOPLE!$F$15,$M56-$A$15,BZ$13)))</f>
        <v>0</v>
      </c>
      <c r="CA56" s="353" t="n">
        <f aca="true">IF(OR($D56&lt;&gt;"Serviço",AND(AUTOEVENTO="Manual",$M56=$A$15)),0,
         IF(OFFSET(CRONOPLE!$F$15,$M56-$A$15,CA$13)=0,10^12,OFFSET(CRONOPLE!$F$15,$M56-$A$15,CA$13)))</f>
        <v>0</v>
      </c>
      <c r="CB56" s="353" t="n">
        <f aca="true">IF(OR($D56&lt;&gt;"Serviço",AND(AUTOEVENTO="Manual",$M56=$A$15)),0,
         IF(OFFSET(CRONOPLE!$F$15,$M56-$A$15,CB$13)=0,10^12,OFFSET(CRONOPLE!$F$15,$M56-$A$15,CB$13)))</f>
        <v>0</v>
      </c>
      <c r="CC56" s="353" t="n">
        <f aca="true">IF(OR($D56&lt;&gt;"Serviço",AND(AUTOEVENTO="Manual",$M56=$A$15)),0,
         IF(OFFSET(CRONOPLE!$F$15,$M56-$A$15,CC$13)=0,10^12,OFFSET(CRONOPLE!$F$15,$M56-$A$15,CC$13)))</f>
        <v>0</v>
      </c>
      <c r="CD56" s="353" t="n">
        <f aca="true">IF(OR($D56&lt;&gt;"Serviço",AND(AUTOEVENTO="Manual",$M56=$A$15)),0,
         IF(OFFSET(CRONOPLE!$F$15,$M56-$A$15,CD$13)=0,10^12,OFFSET(CRONOPLE!$F$15,$M56-$A$15,CD$13)))</f>
        <v>0</v>
      </c>
      <c r="CE56" s="353" t="n">
        <f aca="true">IF(OR($D56&lt;&gt;"Serviço",AND(AUTOEVENTO="Manual",$M56=$A$15)),0,
         IF(OFFSET(CRONOPLE!$F$15,$M56-$A$15,CE$13)=0,10^12,OFFSET(CRONOPLE!$F$15,$M56-$A$15,CE$13)))</f>
        <v>0</v>
      </c>
      <c r="CF56" s="353" t="n">
        <f aca="true">IF(OR($D56&lt;&gt;"Serviço",AND(AUTOEVENTO="Manual",$M56=$A$15)),0,
         IF(OFFSET(CRONOPLE!$F$15,$M56-$A$15,CF$13)=0,10^12,OFFSET(CRONOPLE!$F$15,$M56-$A$15,CF$13)))</f>
        <v>0</v>
      </c>
      <c r="CG56" s="353" t="n">
        <f aca="true">IF(OR($D56&lt;&gt;"Serviço",AND(AUTOEVENTO="Manual",$M56=$A$15)),0,
         IF(OFFSET(CRONOPLE!$F$15,$M56-$A$15,CG$13)=0,10^12,OFFSET(CRONOPLE!$F$15,$M56-$A$15,CG$13)))</f>
        <v>0</v>
      </c>
      <c r="CH56" s="353" t="n">
        <f aca="true">IF(OR($D56&lt;&gt;"Serviço",AND(AUTOEVENTO="Manual",$M56=$A$15)),0,
         IF(OFFSET(CRONOPLE!$F$15,$M56-$A$15,CH$13)=0,10^12,OFFSET(CRONOPLE!$F$15,$M56-$A$15,CH$13)))</f>
        <v>0</v>
      </c>
      <c r="CI56" s="353" t="n">
        <f aca="true">IF(OR($D56&lt;&gt;"Serviço",AND(AUTOEVENTO="Manual",$M56=$A$15)),0,
         IF(OFFSET(CRONOPLE!$F$15,$M56-$A$15,CI$13)=0,10^12,OFFSET(CRONOPLE!$F$15,$M56-$A$15,CI$13)))</f>
        <v>0</v>
      </c>
      <c r="CJ56" s="353" t="n">
        <f aca="true">IF(OR($D56&lt;&gt;"Serviço",AND(AUTOEVENTO="Manual",$M56=$A$15)),0,
         IF(OFFSET(CRONOPLE!$F$15,$M56-$A$15,CJ$13)=0,10^12,OFFSET(CRONOPLE!$F$15,$M56-$A$15,CJ$13)))</f>
        <v>0</v>
      </c>
      <c r="CK56" s="353" t="n">
        <f aca="true">IF(OR($D56&lt;&gt;"Serviço",AND(AUTOEVENTO="Manual",$M56=$A$15)),0,
         IF(OFFSET(CRONOPLE!$F$15,$M56-$A$15,CK$13)=0,10^12,OFFSET(CRONOPLE!$F$15,$M56-$A$15,CK$13)))</f>
        <v>0</v>
      </c>
      <c r="CL56" s="353" t="n">
        <f aca="true">IF(OR($D56&lt;&gt;"Serviço",AND(AUTOEVENTO="Manual",$M56=$A$15)),0,
         IF(OFFSET(CRONOPLE!$F$15,$M56-$A$15,CL$13)=0,10^12,OFFSET(CRONOPLE!$F$15,$M56-$A$15,CL$13)))</f>
        <v>0</v>
      </c>
      <c r="CM56" s="353" t="n">
        <f aca="true">IF(OR($D56&lt;&gt;"Serviço",AND(AUTOEVENTO="Manual",$M56=$A$15)),0,
         IF(OFFSET(CRONOPLE!$F$15,$M56-$A$15,CM$13)=0,10^12,OFFSET(CRONOPLE!$F$15,$M56-$A$15,CM$13)))</f>
        <v>0</v>
      </c>
      <c r="CN56" s="353" t="n">
        <f aca="true">IF(OR($D56&lt;&gt;"Serviço",AND(AUTOEVENTO="Manual",$M56=$A$15)),0,
         IF(OFFSET(CRONOPLE!$F$15,$M56-$A$15,CN$13)=0,10^12,OFFSET(CRONOPLE!$F$15,$M56-$A$15,CN$13)))</f>
        <v>0</v>
      </c>
      <c r="CO56" s="353" t="n">
        <f aca="true">IF(OR($D56&lt;&gt;"Serviço",AND(AUTOEVENTO="Manual",$M56=$A$15)),0,
         IF(OFFSET(CRONOPLE!$F$15,$M56-$A$15,CO$13)=0,10^12,OFFSET(CRONOPLE!$F$15,$M56-$A$15,CO$13)))</f>
        <v>0</v>
      </c>
      <c r="CP56" s="353" t="n">
        <f aca="true">IF(OR($D56&lt;&gt;"Serviço",AND(AUTOEVENTO="Manual",$M56=$A$15)),0,
         IF(OFFSET(CRONOPLE!$F$15,$M56-$A$15,CP$13)=0,10^12,OFFSET(CRONOPLE!$F$15,$M56-$A$15,CP$13)))</f>
        <v>0</v>
      </c>
      <c r="CQ56" s="353" t="n">
        <f aca="true">IF(OR($D56&lt;&gt;"Serviço",AND(AUTOEVENTO="Manual",$M56=$A$15)),0,
         IF(OFFSET(CRONOPLE!$F$15,$M56-$A$15,CQ$13)=0,10^12,OFFSET(CRONOPLE!$F$15,$M56-$A$15,CQ$13)))</f>
        <v>0</v>
      </c>
      <c r="CR56" s="353" t="n">
        <f aca="true">IF(OR($D56&lt;&gt;"Serviço",AND(AUTOEVENTO="Manual",$M56=$A$15)),0,
         IF(OFFSET(CRONOPLE!$F$15,$M56-$A$15,CR$13)=0,10^12,OFFSET(CRONOPLE!$F$15,$M56-$A$15,CR$13)))</f>
        <v>0</v>
      </c>
      <c r="CT56" s="354" t="n">
        <f aca="true">IF(OR($D56&lt;&gt;"Serviço",AND(AUTOEVENTO="Manual",$M56=$A$15),$M56&gt;(ROW(PLE.lastrow)-ROW(PLE.firstrow))),0,
           IF(OFFSET(PLE!$G$15,$M56-$A$15,CT$13)="",10^12,OFFSET(PLE!$G$15,$M56-$A$15,CT$13)))</f>
        <v>0</v>
      </c>
      <c r="CU56" s="354" t="n">
        <f aca="true">IF(OR($D56&lt;&gt;"Serviço",AND(AUTOEVENTO="Manual",$M56=$A$15),$M56&gt;(ROW(PLE.lastrow)-ROW(PLE.firstrow))),0,
           IF(OFFSET(PLE!$G$15,$M56-$A$15,CU$13)="",10^12,OFFSET(PLE!$G$15,$M56-$A$15,CU$13)))</f>
        <v>0</v>
      </c>
      <c r="CV56" s="354" t="n">
        <f aca="true">IF(OR($D56&lt;&gt;"Serviço",AND(AUTOEVENTO="Manual",$M56=$A$15),$M56&gt;(ROW(PLE.lastrow)-ROW(PLE.firstrow))),0,
           IF(OFFSET(PLE!$G$15,$M56-$A$15,CV$13)="",10^12,OFFSET(PLE!$G$15,$M56-$A$15,CV$13)))</f>
        <v>0</v>
      </c>
      <c r="CW56" s="354" t="n">
        <f aca="true">IF(OR($D56&lt;&gt;"Serviço",AND(AUTOEVENTO="Manual",$M56=$A$15),$M56&gt;(ROW(PLE.lastrow)-ROW(PLE.firstrow))),0,
           IF(OFFSET(PLE!$G$15,$M56-$A$15,CW$13)="",10^12,OFFSET(PLE!$G$15,$M56-$A$15,CW$13)))</f>
        <v>0</v>
      </c>
      <c r="CX56" s="354" t="n">
        <f aca="true">IF(OR($D56&lt;&gt;"Serviço",AND(AUTOEVENTO="Manual",$M56=$A$15),$M56&gt;(ROW(PLE.lastrow)-ROW(PLE.firstrow))),0,
           IF(OFFSET(PLE!$G$15,$M56-$A$15,CX$13)="",10^12,OFFSET(PLE!$G$15,$M56-$A$15,CX$13)))</f>
        <v>0</v>
      </c>
      <c r="CY56" s="354" t="n">
        <f aca="true">IF(OR($D56&lt;&gt;"Serviço",AND(AUTOEVENTO="Manual",$M56=$A$15),$M56&gt;(ROW(PLE.lastrow)-ROW(PLE.firstrow))),0,
           IF(OFFSET(PLE!$G$15,$M56-$A$15,CY$13)="",10^12,OFFSET(PLE!$G$15,$M56-$A$15,CY$13)))</f>
        <v>0</v>
      </c>
      <c r="CZ56" s="354" t="n">
        <f aca="true">IF(OR($D56&lt;&gt;"Serviço",AND(AUTOEVENTO="Manual",$M56=$A$15),$M56&gt;(ROW(PLE.lastrow)-ROW(PLE.firstrow))),0,
           IF(OFFSET(PLE!$G$15,$M56-$A$15,CZ$13)="",10^12,OFFSET(PLE!$G$15,$M56-$A$15,CZ$13)))</f>
        <v>0</v>
      </c>
      <c r="DA56" s="354" t="n">
        <f aca="true">IF(OR($D56&lt;&gt;"Serviço",AND(AUTOEVENTO="Manual",$M56=$A$15),$M56&gt;(ROW(PLE.lastrow)-ROW(PLE.firstrow))),0,
           IF(OFFSET(PLE!$G$15,$M56-$A$15,DA$13)="",10^12,OFFSET(PLE!$G$15,$M56-$A$15,DA$13)))</f>
        <v>0</v>
      </c>
      <c r="DB56" s="354" t="n">
        <f aca="true">IF(OR($D56&lt;&gt;"Serviço",AND(AUTOEVENTO="Manual",$M56=$A$15),$M56&gt;(ROW(PLE.lastrow)-ROW(PLE.firstrow))),0,
           IF(OFFSET(PLE!$G$15,$M56-$A$15,DB$13)="",10^12,OFFSET(PLE!$G$15,$M56-$A$15,DB$13)))</f>
        <v>0</v>
      </c>
      <c r="DC56" s="354" t="n">
        <f aca="true">IF(OR($D56&lt;&gt;"Serviço",AND(AUTOEVENTO="Manual",$M56=$A$15),$M56&gt;(ROW(PLE.lastrow)-ROW(PLE.firstrow))),0,
           IF(OFFSET(PLE!$G$15,$M56-$A$15,DC$13)="",10^12,OFFSET(PLE!$G$15,$M56-$A$15,DC$13)))</f>
        <v>0</v>
      </c>
      <c r="DD56" s="354" t="n">
        <f aca="true">IF(OR($D56&lt;&gt;"Serviço",AND(AUTOEVENTO="Manual",$M56=$A$15),$M56&gt;(ROW(PLE.lastrow)-ROW(PLE.firstrow))),0,
           IF(OFFSET(PLE!$G$15,$M56-$A$15,DD$13)="",10^12,OFFSET(PLE!$G$15,$M56-$A$15,DD$13)))</f>
        <v>0</v>
      </c>
      <c r="DE56" s="354" t="n">
        <f aca="true">IF(OR($D56&lt;&gt;"Serviço",AND(AUTOEVENTO="Manual",$M56=$A$15),$M56&gt;(ROW(PLE.lastrow)-ROW(PLE.firstrow))),0,
           IF(OFFSET(PLE!$G$15,$M56-$A$15,DE$13)="",10^12,OFFSET(PLE!$G$15,$M56-$A$15,DE$13)))</f>
        <v>0</v>
      </c>
      <c r="DF56" s="354" t="n">
        <f aca="true">IF(OR($D56&lt;&gt;"Serviço",AND(AUTOEVENTO="Manual",$M56=$A$15),$M56&gt;(ROW(PLE.lastrow)-ROW(PLE.firstrow))),0,
           IF(OFFSET(PLE!$G$15,$M56-$A$15,DF$13)="",10^12,OFFSET(PLE!$G$15,$M56-$A$15,DF$13)))</f>
        <v>0</v>
      </c>
      <c r="DG56" s="354" t="n">
        <f aca="true">IF(OR($D56&lt;&gt;"Serviço",AND(AUTOEVENTO="Manual",$M56=$A$15),$M56&gt;(ROW(PLE.lastrow)-ROW(PLE.firstrow))),0,
           IF(OFFSET(PLE!$G$15,$M56-$A$15,DG$13)="",10^12,OFFSET(PLE!$G$15,$M56-$A$15,DG$13)))</f>
        <v>0</v>
      </c>
      <c r="DH56" s="354" t="n">
        <f aca="true">IF(OR($D56&lt;&gt;"Serviço",AND(AUTOEVENTO="Manual",$M56=$A$15),$M56&gt;(ROW(PLE.lastrow)-ROW(PLE.firstrow))),0,
           IF(OFFSET(PLE!$G$15,$M56-$A$15,DH$13)="",10^12,OFFSET(PLE!$G$15,$M56-$A$15,DH$13)))</f>
        <v>0</v>
      </c>
      <c r="DI56" s="354" t="n">
        <f aca="true">IF(OR($D56&lt;&gt;"Serviço",AND(AUTOEVENTO="Manual",$M56=$A$15),$M56&gt;(ROW(PLE.lastrow)-ROW(PLE.firstrow))),0,
           IF(OFFSET(PLE!$G$15,$M56-$A$15,DI$13)="",10^12,OFFSET(PLE!$G$15,$M56-$A$15,DI$13)))</f>
        <v>0</v>
      </c>
      <c r="DJ56" s="354" t="n">
        <f aca="true">IF(OR($D56&lt;&gt;"Serviço",AND(AUTOEVENTO="Manual",$M56=$A$15),$M56&gt;(ROW(PLE.lastrow)-ROW(PLE.firstrow))),0,
           IF(OFFSET(PLE!$G$15,$M56-$A$15,DJ$13)="",10^12,OFFSET(PLE!$G$15,$M56-$A$15,DJ$13)))</f>
        <v>0</v>
      </c>
      <c r="DK56" s="354" t="n">
        <f aca="true">IF(OR($D56&lt;&gt;"Serviço",AND(AUTOEVENTO="Manual",$M56=$A$15),$M56&gt;(ROW(PLE.lastrow)-ROW(PLE.firstrow))),0,
           IF(OFFSET(PLE!$G$15,$M56-$A$15,DK$13)="",10^12,OFFSET(PLE!$G$15,$M56-$A$15,DK$13)))</f>
        <v>0</v>
      </c>
      <c r="DL56" s="354" t="n">
        <f aca="true">IF(OR($D56&lt;&gt;"Serviço",AND(AUTOEVENTO="Manual",$M56=$A$15),$M56&gt;(ROW(PLE.lastrow)-ROW(PLE.firstrow))),0,
           IF(OFFSET(PLE!$G$15,$M56-$A$15,DL$13)="",10^12,OFFSET(PLE!$G$15,$M56-$A$15,DL$13)))</f>
        <v>0</v>
      </c>
      <c r="DM56" s="354" t="n">
        <f aca="true">IF(OR($D56&lt;&gt;"Serviço",AND(AUTOEVENTO="Manual",$M56=$A$15),$M56&gt;(ROW(PLE.lastrow)-ROW(PLE.firstrow))),0,
           IF(OFFSET(PLE!$G$15,$M56-$A$15,DM$13)="",10^12,OFFSET(PLE!$G$15,$M56-$A$15,DM$13)))</f>
        <v>0</v>
      </c>
      <c r="DN56" s="354" t="n">
        <f aca="true">IF(OR($D56&lt;&gt;"Serviço",AND(AUTOEVENTO="Manual",$M56=$A$15),$M56&gt;(ROW(PLE.lastrow)-ROW(PLE.firstrow))),0,
           IF(OFFSET(PLE!$G$15,$M56-$A$15,DN$13)="",10^12,OFFSET(PLE!$G$15,$M56-$A$15,DN$13)))</f>
        <v>0</v>
      </c>
      <c r="DO56" s="354" t="n">
        <f aca="true">IF(OR($D56&lt;&gt;"Serviço",AND(AUTOEVENTO="Manual",$M56=$A$15),$M56&gt;(ROW(PLE.lastrow)-ROW(PLE.firstrow))),0,
           IF(OFFSET(PLE!$G$15,$M56-$A$15,DO$13)="",10^12,OFFSET(PLE!$G$15,$M56-$A$15,DO$13)))</f>
        <v>0</v>
      </c>
      <c r="DP56" s="354" t="n">
        <f aca="true">IF(OR($D56&lt;&gt;"Serviço",AND(AUTOEVENTO="Manual",$M56=$A$15),$M56&gt;(ROW(PLE.lastrow)-ROW(PLE.firstrow))),0,
           IF(OFFSET(PLE!$G$15,$M56-$A$15,DP$13)="",10^12,OFFSET(PLE!$G$15,$M56-$A$15,DP$13)))</f>
        <v>0</v>
      </c>
      <c r="DQ56" s="354" t="n">
        <f aca="true">IF(OR($D56&lt;&gt;"Serviço",AND(AUTOEVENTO="Manual",$M56=$A$15),$M56&gt;(ROW(PLE.lastrow)-ROW(PLE.firstrow))),0,
           IF(OFFSET(PLE!$G$15,$M56-$A$15,DQ$13)="",10^12,OFFSET(PLE!$G$15,$M56-$A$15,DQ$13)))</f>
        <v>0</v>
      </c>
      <c r="DR56" s="354" t="n">
        <f aca="true">IF(OR($D56&lt;&gt;"Serviço",AND(AUTOEVENTO="Manual",$M56=$A$15),$M56&gt;(ROW(PLE.lastrow)-ROW(PLE.firstrow))),0,
           IF(OFFSET(PLE!$G$15,$M56-$A$15,DR$13)="",10^12,OFFSET(PLE!$G$15,$M56-$A$15,DR$13)))</f>
        <v>0</v>
      </c>
      <c r="DS56" s="354" t="n">
        <f aca="true">IF(OR($D56&lt;&gt;"Serviço",AND(AUTOEVENTO="Manual",$M56=$A$15),$M56&gt;(ROW(PLE.lastrow)-ROW(PLE.firstrow))),0,
           IF(OFFSET(PLE!$G$15,$M56-$A$15,DS$13)="",10^12,OFFSET(PLE!$G$15,$M56-$A$15,DS$13)))</f>
        <v>0</v>
      </c>
    </row>
    <row r="57" customFormat="false" ht="12.75" hidden="false" customHeight="false" outlineLevel="0" collapsed="false">
      <c r="A57" s="50" t="str">
        <f aca="true">IFERROR(IF(AUTOEVENTO="Manual",IF(K57&lt;&gt;"",MIN(VALUE(LEFT(K57,FIND(".",K57)-1)),COUNTA(EVENTOS.Lista)),0),IF(OR($B57&gt;AUTOEVENTO,$B57="S",$B57=0),SUBSTITUTE(OFFSET($A57,-1,0),IF($D57="Serviço",".",""),""),ROW(A57)-ROW($A$15)&amp;".")),0)</f>
        <v>42.</v>
      </c>
      <c r="B57" s="50" t="n">
        <f aca="true">OFFSET(ORÇAMENTO!C$15,ROW(B57)-ROW(B$15),0)</f>
        <v>2</v>
      </c>
      <c r="C57" s="50" t="str">
        <f aca="true">OFFSET(ORÇAMENTO!L$15,ROW(C57)-ROW(C$15),0)</f>
        <v>F</v>
      </c>
      <c r="D57" s="201" t="str">
        <f aca="true">OFFSET(ORÇAMENTO!N$15,ROW(D57)-ROW(D$15),0)</f>
        <v>Nível 2</v>
      </c>
      <c r="E57" s="202" t="str">
        <f aca="true">OFFSET(ORÇAMENTO!O$15,ROW(E57)-ROW(E$15),0)</f>
        <v>1.11.</v>
      </c>
      <c r="F57" s="341" t="str">
        <f aca="true">OFFSET(ORÇAMENTO!R$15,ROW(F57)-ROW(F$15),0)</f>
        <v>ALVENARIA/FECHAMENTOS</v>
      </c>
      <c r="G57" s="342" t="str">
        <f aca="true">IF($D57&lt;&gt;"Serviço","",OFFSET(ORÇAMENTO!S$15,ROW(G57)-ROW(G$15),0))</f>
        <v/>
      </c>
      <c r="H57" s="207" t="n">
        <f aca="true">IF($D57&lt;&gt;"Serviço",0,IF(ACOMPANHAMENTO="BM",ROUND(OFFSET(ORÇAMENTO!AJ$15,ROW(H57)-ROW(H$15),0),15-13*ORÇAMENTO!$AF$7),SUMPRODUCT(($Q$1:$AQ$1=1)*ROUND($Q57:$AQ57,15-13*ORÇAMENTO!$AF$7))))</f>
        <v>0</v>
      </c>
      <c r="I57" s="343"/>
      <c r="J57" s="344" t="str">
        <f aca="false">IF(OR(B57&lt;&gt;"S",CÁLCULO.FrentesPreenchidas=0),"",IF(AND(ACOMPANHAMENTO="PLE",AUTOEVENTO="Manual",OR(H57&gt;0,ORÇAMENTO!AC57="QUANT."),OR(K57="",M57=0,N57="")),"►",IF(AND(ACOMPANHAMENTO="PLE",ORÇAMENTO!AC57="QUANT."),"►►",IF(AND(COUNTIF($P$11:$AQ$11,"▼")=0,H57&gt;0,I57=""),"◄",""))))</f>
        <v/>
      </c>
      <c r="K57" s="345"/>
      <c r="L57" s="346" t="s">
        <v>876</v>
      </c>
      <c r="M57" s="347" t="str">
        <f aca="true">IF($D57&lt;&gt;"Serviço","",
          IF(AUTOEVENTO="manual",$A57,
                IF(ISERROR(MATCH($A57,$A$15:OFFSET($A57,-1,0),0)),MAX($M$15:OFFSET(M57,-1,0))+1,
                      INDEX($M$15:OFFSET(M57,-1,0),MATCH($A57,$A$15:OFFSET($A57,-1,0),0)))))</f>
        <v/>
      </c>
      <c r="N57" s="348" t="str">
        <f aca="true">IF($D57&lt;&gt;"Serviço","",
         IF(AUTOEVENTO="Manual",
                IF($A57=0,"&lt;-- defina o número do agrupador",
                       OFFSET(EVENTOS!$D$15,$A57-$A$15,0)),
                OFFSET($F$15,$A57,0)))</f>
        <v/>
      </c>
      <c r="O57" s="349"/>
      <c r="Q57" s="349"/>
      <c r="R57" s="350"/>
      <c r="S57" s="350"/>
      <c r="T57" s="350"/>
      <c r="U57" s="350"/>
      <c r="V57" s="350"/>
      <c r="W57" s="350"/>
      <c r="X57" s="350"/>
      <c r="Y57" s="350"/>
      <c r="Z57" s="351"/>
      <c r="AA57" s="350"/>
      <c r="AB57" s="350"/>
      <c r="AC57" s="350"/>
      <c r="AD57" s="350"/>
      <c r="AE57" s="350"/>
      <c r="AF57" s="350"/>
      <c r="AG57" s="350"/>
      <c r="AH57" s="351"/>
      <c r="AI57" s="350"/>
      <c r="AJ57" s="350"/>
      <c r="AK57" s="350"/>
      <c r="AL57" s="350"/>
      <c r="AM57" s="350"/>
      <c r="AN57" s="350"/>
      <c r="AO57" s="350"/>
      <c r="AP57" s="351"/>
      <c r="AR57" s="352" t="n">
        <f aca="true">IF(AND($D57="Serviço",AR$12&lt;&gt;0,$H57&gt;0,OR(AUTOEVENTO&lt;&gt;"manual",$M57&lt;&gt;$A$15)),
        IF(Import.TipoArredondamento&lt;&gt;"TransfereGOV",
              ROUND(OFFSET($P57,0,AR$13),15-13*ORÇAMENTO!$AF$7)/$H57*OFFSET(ORÇAMENTO!$X$15,ROW(AR57)-ROW(AR$15),0),
              ROUND(ROUND(OFFSET($P57,0,AR$13),15-13*ORÇAMENTO!$AF$7)*OFFSET(ORÇAMENTO!$W$15,ROW(AR57)-ROW(AR$15),0),15-13*ORÇAMENTO!$AF$11)),
         0)</f>
        <v>0</v>
      </c>
      <c r="AS57" s="352" t="n">
        <f aca="true">IF(AND($D57="Serviço",AS$12&lt;&gt;0,$H57&gt;0,OR(AUTOEVENTO&lt;&gt;"manual",$M57&lt;&gt;$A$15)),
        IF(Import.TipoArredondamento&lt;&gt;"TransfereGOV",
              ROUND(OFFSET($P57,0,AS$13),15-13*ORÇAMENTO!$AF$7)/$H57*OFFSET(ORÇAMENTO!$X$15,ROW(AS57)-ROW(AS$15),0),
              ROUND(ROUND(OFFSET($P57,0,AS$13),15-13*ORÇAMENTO!$AF$7)*OFFSET(ORÇAMENTO!$W$15,ROW(AS57)-ROW(AS$15),0),15-13*ORÇAMENTO!$AF$11)),
         0)</f>
        <v>0</v>
      </c>
      <c r="AT57" s="352" t="n">
        <f aca="true">IF(AND($D57="Serviço",AT$12&lt;&gt;0,$H57&gt;0,OR(AUTOEVENTO&lt;&gt;"manual",$M57&lt;&gt;$A$15)),
        IF(Import.TipoArredondamento&lt;&gt;"TransfereGOV",
              ROUND(OFFSET($P57,0,AT$13),15-13*ORÇAMENTO!$AF$7)/$H57*OFFSET(ORÇAMENTO!$X$15,ROW(AT57)-ROW(AT$15),0),
              ROUND(ROUND(OFFSET($P57,0,AT$13),15-13*ORÇAMENTO!$AF$7)*OFFSET(ORÇAMENTO!$W$15,ROW(AT57)-ROW(AT$15),0),15-13*ORÇAMENTO!$AF$11)),
         0)</f>
        <v>0</v>
      </c>
      <c r="AU57" s="352" t="n">
        <f aca="true">IF(AND($D57="Serviço",AU$12&lt;&gt;0,$H57&gt;0,OR(AUTOEVENTO&lt;&gt;"manual",$M57&lt;&gt;$A$15)),
        IF(Import.TipoArredondamento&lt;&gt;"TransfereGOV",
              ROUND(OFFSET($P57,0,AU$13),15-13*ORÇAMENTO!$AF$7)/$H57*OFFSET(ORÇAMENTO!$X$15,ROW(AU57)-ROW(AU$15),0),
              ROUND(ROUND(OFFSET($P57,0,AU$13),15-13*ORÇAMENTO!$AF$7)*OFFSET(ORÇAMENTO!$W$15,ROW(AU57)-ROW(AU$15),0),15-13*ORÇAMENTO!$AF$11)),
         0)</f>
        <v>0</v>
      </c>
      <c r="AV57" s="352" t="n">
        <f aca="true">IF(AND($D57="Serviço",AV$12&lt;&gt;0,$H57&gt;0,OR(AUTOEVENTO&lt;&gt;"manual",$M57&lt;&gt;$A$15)),
        IF(Import.TipoArredondamento&lt;&gt;"TransfereGOV",
              ROUND(OFFSET($P57,0,AV$13),15-13*ORÇAMENTO!$AF$7)/$H57*OFFSET(ORÇAMENTO!$X$15,ROW(AV57)-ROW(AV$15),0),
              ROUND(ROUND(OFFSET($P57,0,AV$13),15-13*ORÇAMENTO!$AF$7)*OFFSET(ORÇAMENTO!$W$15,ROW(AV57)-ROW(AV$15),0),15-13*ORÇAMENTO!$AF$11)),
         0)</f>
        <v>0</v>
      </c>
      <c r="AW57" s="352" t="n">
        <f aca="true">IF(AND($D57="Serviço",AW$12&lt;&gt;0,$H57&gt;0,OR(AUTOEVENTO&lt;&gt;"manual",$M57&lt;&gt;$A$15)),
        IF(Import.TipoArredondamento&lt;&gt;"TransfereGOV",
              ROUND(OFFSET($P57,0,AW$13),15-13*ORÇAMENTO!$AF$7)/$H57*OFFSET(ORÇAMENTO!$X$15,ROW(AW57)-ROW(AW$15),0),
              ROUND(ROUND(OFFSET($P57,0,AW$13),15-13*ORÇAMENTO!$AF$7)*OFFSET(ORÇAMENTO!$W$15,ROW(AW57)-ROW(AW$15),0),15-13*ORÇAMENTO!$AF$11)),
         0)</f>
        <v>0</v>
      </c>
      <c r="AX57" s="352" t="n">
        <f aca="true">IF(AND($D57="Serviço",AX$12&lt;&gt;0,$H57&gt;0,OR(AUTOEVENTO&lt;&gt;"manual",$M57&lt;&gt;$A$15)),
        IF(Import.TipoArredondamento&lt;&gt;"TransfereGOV",
              ROUND(OFFSET($P57,0,AX$13),15-13*ORÇAMENTO!$AF$7)/$H57*OFFSET(ORÇAMENTO!$X$15,ROW(AX57)-ROW(AX$15),0),
              ROUND(ROUND(OFFSET($P57,0,AX$13),15-13*ORÇAMENTO!$AF$7)*OFFSET(ORÇAMENTO!$W$15,ROW(AX57)-ROW(AX$15),0),15-13*ORÇAMENTO!$AF$11)),
         0)</f>
        <v>0</v>
      </c>
      <c r="AY57" s="352" t="n">
        <f aca="true">IF(AND($D57="Serviço",AY$12&lt;&gt;0,$H57&gt;0,OR(AUTOEVENTO&lt;&gt;"manual",$M57&lt;&gt;$A$15)),
        IF(Import.TipoArredondamento&lt;&gt;"TransfereGOV",
              ROUND(OFFSET($P57,0,AY$13),15-13*ORÇAMENTO!$AF$7)/$H57*OFFSET(ORÇAMENTO!$X$15,ROW(AY57)-ROW(AY$15),0),
              ROUND(ROUND(OFFSET($P57,0,AY$13),15-13*ORÇAMENTO!$AF$7)*OFFSET(ORÇAMENTO!$W$15,ROW(AY57)-ROW(AY$15),0),15-13*ORÇAMENTO!$AF$11)),
         0)</f>
        <v>0</v>
      </c>
      <c r="AZ57" s="352" t="n">
        <f aca="true">IF(AND($D57="Serviço",AZ$12&lt;&gt;0,$H57&gt;0,OR(AUTOEVENTO&lt;&gt;"manual",$M57&lt;&gt;$A$15)),
        IF(Import.TipoArredondamento&lt;&gt;"TransfereGOV",
              ROUND(OFFSET($P57,0,AZ$13),15-13*ORÇAMENTO!$AF$7)/$H57*OFFSET(ORÇAMENTO!$X$15,ROW(AZ57)-ROW(AZ$15),0),
              ROUND(ROUND(OFFSET($P57,0,AZ$13),15-13*ORÇAMENTO!$AF$7)*OFFSET(ORÇAMENTO!$W$15,ROW(AZ57)-ROW(AZ$15),0),15-13*ORÇAMENTO!$AF$11)),
         0)</f>
        <v>0</v>
      </c>
      <c r="BA57" s="352" t="n">
        <f aca="true">IF(AND($D57="Serviço",BA$12&lt;&gt;0,$H57&gt;0,OR(AUTOEVENTO&lt;&gt;"manual",$M57&lt;&gt;$A$15)),
        IF(Import.TipoArredondamento&lt;&gt;"TransfereGOV",
              ROUND(OFFSET($P57,0,BA$13),15-13*ORÇAMENTO!$AF$7)/$H57*OFFSET(ORÇAMENTO!$X$15,ROW(BA57)-ROW(BA$15),0),
              ROUND(ROUND(OFFSET($P57,0,BA$13),15-13*ORÇAMENTO!$AF$7)*OFFSET(ORÇAMENTO!$W$15,ROW(BA57)-ROW(BA$15),0),15-13*ORÇAMENTO!$AF$11)),
         0)</f>
        <v>0</v>
      </c>
      <c r="BB57" s="352" t="n">
        <f aca="true">IF(AND($D57="Serviço",BB$12&lt;&gt;0,$H57&gt;0,OR(AUTOEVENTO&lt;&gt;"manual",$M57&lt;&gt;$A$15)),
        IF(Import.TipoArredondamento&lt;&gt;"TransfereGOV",
              ROUND(OFFSET($P57,0,BB$13),15-13*ORÇAMENTO!$AF$7)/$H57*OFFSET(ORÇAMENTO!$X$15,ROW(BB57)-ROW(BB$15),0),
              ROUND(ROUND(OFFSET($P57,0,BB$13),15-13*ORÇAMENTO!$AF$7)*OFFSET(ORÇAMENTO!$W$15,ROW(BB57)-ROW(BB$15),0),15-13*ORÇAMENTO!$AF$11)),
         0)</f>
        <v>0</v>
      </c>
      <c r="BC57" s="352" t="n">
        <f aca="true">IF(AND($D57="Serviço",BC$12&lt;&gt;0,$H57&gt;0,OR(AUTOEVENTO&lt;&gt;"manual",$M57&lt;&gt;$A$15)),
        IF(Import.TipoArredondamento&lt;&gt;"TransfereGOV",
              ROUND(OFFSET($P57,0,BC$13),15-13*ORÇAMENTO!$AF$7)/$H57*OFFSET(ORÇAMENTO!$X$15,ROW(BC57)-ROW(BC$15),0),
              ROUND(ROUND(OFFSET($P57,0,BC$13),15-13*ORÇAMENTO!$AF$7)*OFFSET(ORÇAMENTO!$W$15,ROW(BC57)-ROW(BC$15),0),15-13*ORÇAMENTO!$AF$11)),
         0)</f>
        <v>0</v>
      </c>
      <c r="BD57" s="352" t="n">
        <f aca="true">IF(AND($D57="Serviço",BD$12&lt;&gt;0,$H57&gt;0,OR(AUTOEVENTO&lt;&gt;"manual",$M57&lt;&gt;$A$15)),
        IF(Import.TipoArredondamento&lt;&gt;"TransfereGOV",
              ROUND(OFFSET($P57,0,BD$13),15-13*ORÇAMENTO!$AF$7)/$H57*OFFSET(ORÇAMENTO!$X$15,ROW(BD57)-ROW(BD$15),0),
              ROUND(ROUND(OFFSET($P57,0,BD$13),15-13*ORÇAMENTO!$AF$7)*OFFSET(ORÇAMENTO!$W$15,ROW(BD57)-ROW(BD$15),0),15-13*ORÇAMENTO!$AF$11)),
         0)</f>
        <v>0</v>
      </c>
      <c r="BE57" s="352" t="n">
        <f aca="true">IF(AND($D57="Serviço",BE$12&lt;&gt;0,$H57&gt;0,OR(AUTOEVENTO&lt;&gt;"manual",$M57&lt;&gt;$A$15)),
        IF(Import.TipoArredondamento&lt;&gt;"TransfereGOV",
              ROUND(OFFSET($P57,0,BE$13),15-13*ORÇAMENTO!$AF$7)/$H57*OFFSET(ORÇAMENTO!$X$15,ROW(BE57)-ROW(BE$15),0),
              ROUND(ROUND(OFFSET($P57,0,BE$13),15-13*ORÇAMENTO!$AF$7)*OFFSET(ORÇAMENTO!$W$15,ROW(BE57)-ROW(BE$15),0),15-13*ORÇAMENTO!$AF$11)),
         0)</f>
        <v>0</v>
      </c>
      <c r="BF57" s="352" t="n">
        <f aca="true">IF(AND($D57="Serviço",BF$12&lt;&gt;0,$H57&gt;0,OR(AUTOEVENTO&lt;&gt;"manual",$M57&lt;&gt;$A$15)),
        IF(Import.TipoArredondamento&lt;&gt;"TransfereGOV",
              ROUND(OFFSET($P57,0,BF$13),15-13*ORÇAMENTO!$AF$7)/$H57*OFFSET(ORÇAMENTO!$X$15,ROW(BF57)-ROW(BF$15),0),
              ROUND(ROUND(OFFSET($P57,0,BF$13),15-13*ORÇAMENTO!$AF$7)*OFFSET(ORÇAMENTO!$W$15,ROW(BF57)-ROW(BF$15),0),15-13*ORÇAMENTO!$AF$11)),
         0)</f>
        <v>0</v>
      </c>
      <c r="BG57" s="352" t="n">
        <f aca="true">IF(AND($D57="Serviço",BG$12&lt;&gt;0,$H57&gt;0,OR(AUTOEVENTO&lt;&gt;"manual",$M57&lt;&gt;$A$15)),
        IF(Import.TipoArredondamento&lt;&gt;"TransfereGOV",
              ROUND(OFFSET($P57,0,BG$13),15-13*ORÇAMENTO!$AF$7)/$H57*OFFSET(ORÇAMENTO!$X$15,ROW(BG57)-ROW(BG$15),0),
              ROUND(ROUND(OFFSET($P57,0,BG$13),15-13*ORÇAMENTO!$AF$7)*OFFSET(ORÇAMENTO!$W$15,ROW(BG57)-ROW(BG$15),0),15-13*ORÇAMENTO!$AF$11)),
         0)</f>
        <v>0</v>
      </c>
      <c r="BH57" s="352" t="n">
        <f aca="true">IF(AND($D57="Serviço",BH$12&lt;&gt;0,$H57&gt;0,OR(AUTOEVENTO&lt;&gt;"manual",$M57&lt;&gt;$A$15)),
        IF(Import.TipoArredondamento&lt;&gt;"TransfereGOV",
              ROUND(OFFSET($P57,0,BH$13),15-13*ORÇAMENTO!$AF$7)/$H57*OFFSET(ORÇAMENTO!$X$15,ROW(BH57)-ROW(BH$15),0),
              ROUND(ROUND(OFFSET($P57,0,BH$13),15-13*ORÇAMENTO!$AF$7)*OFFSET(ORÇAMENTO!$W$15,ROW(BH57)-ROW(BH$15),0),15-13*ORÇAMENTO!$AF$11)),
         0)</f>
        <v>0</v>
      </c>
      <c r="BI57" s="352" t="n">
        <f aca="true">IF(AND($D57="Serviço",BI$12&lt;&gt;0,$H57&gt;0,OR(AUTOEVENTO&lt;&gt;"manual",$M57&lt;&gt;$A$15)),
        IF(Import.TipoArredondamento&lt;&gt;"TransfereGOV",
              ROUND(OFFSET($P57,0,BI$13),15-13*ORÇAMENTO!$AF$7)/$H57*OFFSET(ORÇAMENTO!$X$15,ROW(BI57)-ROW(BI$15),0),
              ROUND(ROUND(OFFSET($P57,0,BI$13),15-13*ORÇAMENTO!$AF$7)*OFFSET(ORÇAMENTO!$W$15,ROW(BI57)-ROW(BI$15),0),15-13*ORÇAMENTO!$AF$11)),
         0)</f>
        <v>0</v>
      </c>
      <c r="BJ57" s="352" t="n">
        <f aca="true">IF(AND($D57="Serviço",BJ$12&lt;&gt;0,$H57&gt;0,OR(AUTOEVENTO&lt;&gt;"manual",$M57&lt;&gt;$A$15)),
        IF(Import.TipoArredondamento&lt;&gt;"TransfereGOV",
              ROUND(OFFSET($P57,0,BJ$13),15-13*ORÇAMENTO!$AF$7)/$H57*OFFSET(ORÇAMENTO!$X$15,ROW(BJ57)-ROW(BJ$15),0),
              ROUND(ROUND(OFFSET($P57,0,BJ$13),15-13*ORÇAMENTO!$AF$7)*OFFSET(ORÇAMENTO!$W$15,ROW(BJ57)-ROW(BJ$15),0),15-13*ORÇAMENTO!$AF$11)),
         0)</f>
        <v>0</v>
      </c>
      <c r="BK57" s="352" t="n">
        <f aca="true">IF(AND($D57="Serviço",BK$12&lt;&gt;0,$H57&gt;0,OR(AUTOEVENTO&lt;&gt;"manual",$M57&lt;&gt;$A$15)),
        IF(Import.TipoArredondamento&lt;&gt;"TransfereGOV",
              ROUND(OFFSET($P57,0,BK$13),15-13*ORÇAMENTO!$AF$7)/$H57*OFFSET(ORÇAMENTO!$X$15,ROW(BK57)-ROW(BK$15),0),
              ROUND(ROUND(OFFSET($P57,0,BK$13),15-13*ORÇAMENTO!$AF$7)*OFFSET(ORÇAMENTO!$W$15,ROW(BK57)-ROW(BK$15),0),15-13*ORÇAMENTO!$AF$11)),
         0)</f>
        <v>0</v>
      </c>
      <c r="BL57" s="352" t="n">
        <f aca="true">IF(AND($D57="Serviço",BL$12&lt;&gt;0,$H57&gt;0,OR(AUTOEVENTO&lt;&gt;"manual",$M57&lt;&gt;$A$15)),
        IF(Import.TipoArredondamento&lt;&gt;"TransfereGOV",
              ROUND(OFFSET($P57,0,BL$13),15-13*ORÇAMENTO!$AF$7)/$H57*OFFSET(ORÇAMENTO!$X$15,ROW(BL57)-ROW(BL$15),0),
              ROUND(ROUND(OFFSET($P57,0,BL$13),15-13*ORÇAMENTO!$AF$7)*OFFSET(ORÇAMENTO!$W$15,ROW(BL57)-ROW(BL$15),0),15-13*ORÇAMENTO!$AF$11)),
         0)</f>
        <v>0</v>
      </c>
      <c r="BM57" s="352" t="n">
        <f aca="true">IF(AND($D57="Serviço",BM$12&lt;&gt;0,$H57&gt;0,OR(AUTOEVENTO&lt;&gt;"manual",$M57&lt;&gt;$A$15)),
        IF(Import.TipoArredondamento&lt;&gt;"TransfereGOV",
              ROUND(OFFSET($P57,0,BM$13),15-13*ORÇAMENTO!$AF$7)/$H57*OFFSET(ORÇAMENTO!$X$15,ROW(BM57)-ROW(BM$15),0),
              ROUND(ROUND(OFFSET($P57,0,BM$13),15-13*ORÇAMENTO!$AF$7)*OFFSET(ORÇAMENTO!$W$15,ROW(BM57)-ROW(BM$15),0),15-13*ORÇAMENTO!$AF$11)),
         0)</f>
        <v>0</v>
      </c>
      <c r="BN57" s="352" t="n">
        <f aca="true">IF(AND($D57="Serviço",BN$12&lt;&gt;0,$H57&gt;0,OR(AUTOEVENTO&lt;&gt;"manual",$M57&lt;&gt;$A$15)),
        IF(Import.TipoArredondamento&lt;&gt;"TransfereGOV",
              ROUND(OFFSET($P57,0,BN$13),15-13*ORÇAMENTO!$AF$7)/$H57*OFFSET(ORÇAMENTO!$X$15,ROW(BN57)-ROW(BN$15),0),
              ROUND(ROUND(OFFSET($P57,0,BN$13),15-13*ORÇAMENTO!$AF$7)*OFFSET(ORÇAMENTO!$W$15,ROW(BN57)-ROW(BN$15),0),15-13*ORÇAMENTO!$AF$11)),
         0)</f>
        <v>0</v>
      </c>
      <c r="BO57" s="352" t="n">
        <f aca="true">IF(AND($D57="Serviço",BO$12&lt;&gt;0,$H57&gt;0,OR(AUTOEVENTO&lt;&gt;"manual",$M57&lt;&gt;$A$15)),
        IF(Import.TipoArredondamento&lt;&gt;"TransfereGOV",
              ROUND(OFFSET($P57,0,BO$13),15-13*ORÇAMENTO!$AF$7)/$H57*OFFSET(ORÇAMENTO!$X$15,ROW(BO57)-ROW(BO$15),0),
              ROUND(ROUND(OFFSET($P57,0,BO$13),15-13*ORÇAMENTO!$AF$7)*OFFSET(ORÇAMENTO!$W$15,ROW(BO57)-ROW(BO$15),0),15-13*ORÇAMENTO!$AF$11)),
         0)</f>
        <v>0</v>
      </c>
      <c r="BP57" s="352" t="n">
        <f aca="true">IF(AND($D57="Serviço",BP$12&lt;&gt;0,$H57&gt;0,OR(AUTOEVENTO&lt;&gt;"manual",$M57&lt;&gt;$A$15)),
        IF(Import.TipoArredondamento&lt;&gt;"TransfereGOV",
              ROUND(OFFSET($P57,0,BP$13),15-13*ORÇAMENTO!$AF$7)/$H57*OFFSET(ORÇAMENTO!$X$15,ROW(BP57)-ROW(BP$15),0),
              ROUND(ROUND(OFFSET($P57,0,BP$13),15-13*ORÇAMENTO!$AF$7)*OFFSET(ORÇAMENTO!$W$15,ROW(BP57)-ROW(BP$15),0),15-13*ORÇAMENTO!$AF$11)),
         0)</f>
        <v>0</v>
      </c>
      <c r="BQ57" s="352" t="n">
        <f aca="true">IF(AND($D57="Serviço",BQ$12&lt;&gt;0,$H57&gt;0,OR(AUTOEVENTO&lt;&gt;"manual",$M57&lt;&gt;$A$15)),
        IF(Import.TipoArredondamento&lt;&gt;"TransfereGOV",
              ROUND(OFFSET($P57,0,BQ$13),15-13*ORÇAMENTO!$AF$7)/$H57*OFFSET(ORÇAMENTO!$X$15,ROW(BQ57)-ROW(BQ$15),0),
              ROUND(ROUND(OFFSET($P57,0,BQ$13),15-13*ORÇAMENTO!$AF$7)*OFFSET(ORÇAMENTO!$W$15,ROW(BQ57)-ROW(BQ$15),0),15-13*ORÇAMENTO!$AF$11)),
         0)</f>
        <v>0</v>
      </c>
      <c r="BS57" s="353" t="n">
        <f aca="true">IF(OR($D57&lt;&gt;"Serviço",AND(AUTOEVENTO="Manual",$M57=$A$15)),0,
         IF(OFFSET(CRONOPLE!$F$15,$M57-$A$15,BS$13)=0,10^12,OFFSET(CRONOPLE!$F$15,$M57-$A$15,BS$13)))</f>
        <v>0</v>
      </c>
      <c r="BT57" s="353" t="n">
        <f aca="true">IF(OR($D57&lt;&gt;"Serviço",AND(AUTOEVENTO="Manual",$M57=$A$15)),0,
         IF(OFFSET(CRONOPLE!$F$15,$M57-$A$15,BT$13)=0,10^12,OFFSET(CRONOPLE!$F$15,$M57-$A$15,BT$13)))</f>
        <v>0</v>
      </c>
      <c r="BU57" s="353" t="n">
        <f aca="true">IF(OR($D57&lt;&gt;"Serviço",AND(AUTOEVENTO="Manual",$M57=$A$15)),0,
         IF(OFFSET(CRONOPLE!$F$15,$M57-$A$15,BU$13)=0,10^12,OFFSET(CRONOPLE!$F$15,$M57-$A$15,BU$13)))</f>
        <v>0</v>
      </c>
      <c r="BV57" s="353" t="n">
        <f aca="true">IF(OR($D57&lt;&gt;"Serviço",AND(AUTOEVENTO="Manual",$M57=$A$15)),0,
         IF(OFFSET(CRONOPLE!$F$15,$M57-$A$15,BV$13)=0,10^12,OFFSET(CRONOPLE!$F$15,$M57-$A$15,BV$13)))</f>
        <v>0</v>
      </c>
      <c r="BW57" s="353" t="n">
        <f aca="true">IF(OR($D57&lt;&gt;"Serviço",AND(AUTOEVENTO="Manual",$M57=$A$15)),0,
         IF(OFFSET(CRONOPLE!$F$15,$M57-$A$15,BW$13)=0,10^12,OFFSET(CRONOPLE!$F$15,$M57-$A$15,BW$13)))</f>
        <v>0</v>
      </c>
      <c r="BX57" s="353" t="n">
        <f aca="true">IF(OR($D57&lt;&gt;"Serviço",AND(AUTOEVENTO="Manual",$M57=$A$15)),0,
         IF(OFFSET(CRONOPLE!$F$15,$M57-$A$15,BX$13)=0,10^12,OFFSET(CRONOPLE!$F$15,$M57-$A$15,BX$13)))</f>
        <v>0</v>
      </c>
      <c r="BY57" s="353" t="n">
        <f aca="true">IF(OR($D57&lt;&gt;"Serviço",AND(AUTOEVENTO="Manual",$M57=$A$15)),0,
         IF(OFFSET(CRONOPLE!$F$15,$M57-$A$15,BY$13)=0,10^12,OFFSET(CRONOPLE!$F$15,$M57-$A$15,BY$13)))</f>
        <v>0</v>
      </c>
      <c r="BZ57" s="353" t="n">
        <f aca="true">IF(OR($D57&lt;&gt;"Serviço",AND(AUTOEVENTO="Manual",$M57=$A$15)),0,
         IF(OFFSET(CRONOPLE!$F$15,$M57-$A$15,BZ$13)=0,10^12,OFFSET(CRONOPLE!$F$15,$M57-$A$15,BZ$13)))</f>
        <v>0</v>
      </c>
      <c r="CA57" s="353" t="n">
        <f aca="true">IF(OR($D57&lt;&gt;"Serviço",AND(AUTOEVENTO="Manual",$M57=$A$15)),0,
         IF(OFFSET(CRONOPLE!$F$15,$M57-$A$15,CA$13)=0,10^12,OFFSET(CRONOPLE!$F$15,$M57-$A$15,CA$13)))</f>
        <v>0</v>
      </c>
      <c r="CB57" s="353" t="n">
        <f aca="true">IF(OR($D57&lt;&gt;"Serviço",AND(AUTOEVENTO="Manual",$M57=$A$15)),0,
         IF(OFFSET(CRONOPLE!$F$15,$M57-$A$15,CB$13)=0,10^12,OFFSET(CRONOPLE!$F$15,$M57-$A$15,CB$13)))</f>
        <v>0</v>
      </c>
      <c r="CC57" s="353" t="n">
        <f aca="true">IF(OR($D57&lt;&gt;"Serviço",AND(AUTOEVENTO="Manual",$M57=$A$15)),0,
         IF(OFFSET(CRONOPLE!$F$15,$M57-$A$15,CC$13)=0,10^12,OFFSET(CRONOPLE!$F$15,$M57-$A$15,CC$13)))</f>
        <v>0</v>
      </c>
      <c r="CD57" s="353" t="n">
        <f aca="true">IF(OR($D57&lt;&gt;"Serviço",AND(AUTOEVENTO="Manual",$M57=$A$15)),0,
         IF(OFFSET(CRONOPLE!$F$15,$M57-$A$15,CD$13)=0,10^12,OFFSET(CRONOPLE!$F$15,$M57-$A$15,CD$13)))</f>
        <v>0</v>
      </c>
      <c r="CE57" s="353" t="n">
        <f aca="true">IF(OR($D57&lt;&gt;"Serviço",AND(AUTOEVENTO="Manual",$M57=$A$15)),0,
         IF(OFFSET(CRONOPLE!$F$15,$M57-$A$15,CE$13)=0,10^12,OFFSET(CRONOPLE!$F$15,$M57-$A$15,CE$13)))</f>
        <v>0</v>
      </c>
      <c r="CF57" s="353" t="n">
        <f aca="true">IF(OR($D57&lt;&gt;"Serviço",AND(AUTOEVENTO="Manual",$M57=$A$15)),0,
         IF(OFFSET(CRONOPLE!$F$15,$M57-$A$15,CF$13)=0,10^12,OFFSET(CRONOPLE!$F$15,$M57-$A$15,CF$13)))</f>
        <v>0</v>
      </c>
      <c r="CG57" s="353" t="n">
        <f aca="true">IF(OR($D57&lt;&gt;"Serviço",AND(AUTOEVENTO="Manual",$M57=$A$15)),0,
         IF(OFFSET(CRONOPLE!$F$15,$M57-$A$15,CG$13)=0,10^12,OFFSET(CRONOPLE!$F$15,$M57-$A$15,CG$13)))</f>
        <v>0</v>
      </c>
      <c r="CH57" s="353" t="n">
        <f aca="true">IF(OR($D57&lt;&gt;"Serviço",AND(AUTOEVENTO="Manual",$M57=$A$15)),0,
         IF(OFFSET(CRONOPLE!$F$15,$M57-$A$15,CH$13)=0,10^12,OFFSET(CRONOPLE!$F$15,$M57-$A$15,CH$13)))</f>
        <v>0</v>
      </c>
      <c r="CI57" s="353" t="n">
        <f aca="true">IF(OR($D57&lt;&gt;"Serviço",AND(AUTOEVENTO="Manual",$M57=$A$15)),0,
         IF(OFFSET(CRONOPLE!$F$15,$M57-$A$15,CI$13)=0,10^12,OFFSET(CRONOPLE!$F$15,$M57-$A$15,CI$13)))</f>
        <v>0</v>
      </c>
      <c r="CJ57" s="353" t="n">
        <f aca="true">IF(OR($D57&lt;&gt;"Serviço",AND(AUTOEVENTO="Manual",$M57=$A$15)),0,
         IF(OFFSET(CRONOPLE!$F$15,$M57-$A$15,CJ$13)=0,10^12,OFFSET(CRONOPLE!$F$15,$M57-$A$15,CJ$13)))</f>
        <v>0</v>
      </c>
      <c r="CK57" s="353" t="n">
        <f aca="true">IF(OR($D57&lt;&gt;"Serviço",AND(AUTOEVENTO="Manual",$M57=$A$15)),0,
         IF(OFFSET(CRONOPLE!$F$15,$M57-$A$15,CK$13)=0,10^12,OFFSET(CRONOPLE!$F$15,$M57-$A$15,CK$13)))</f>
        <v>0</v>
      </c>
      <c r="CL57" s="353" t="n">
        <f aca="true">IF(OR($D57&lt;&gt;"Serviço",AND(AUTOEVENTO="Manual",$M57=$A$15)),0,
         IF(OFFSET(CRONOPLE!$F$15,$M57-$A$15,CL$13)=0,10^12,OFFSET(CRONOPLE!$F$15,$M57-$A$15,CL$13)))</f>
        <v>0</v>
      </c>
      <c r="CM57" s="353" t="n">
        <f aca="true">IF(OR($D57&lt;&gt;"Serviço",AND(AUTOEVENTO="Manual",$M57=$A$15)),0,
         IF(OFFSET(CRONOPLE!$F$15,$M57-$A$15,CM$13)=0,10^12,OFFSET(CRONOPLE!$F$15,$M57-$A$15,CM$13)))</f>
        <v>0</v>
      </c>
      <c r="CN57" s="353" t="n">
        <f aca="true">IF(OR($D57&lt;&gt;"Serviço",AND(AUTOEVENTO="Manual",$M57=$A$15)),0,
         IF(OFFSET(CRONOPLE!$F$15,$M57-$A$15,CN$13)=0,10^12,OFFSET(CRONOPLE!$F$15,$M57-$A$15,CN$13)))</f>
        <v>0</v>
      </c>
      <c r="CO57" s="353" t="n">
        <f aca="true">IF(OR($D57&lt;&gt;"Serviço",AND(AUTOEVENTO="Manual",$M57=$A$15)),0,
         IF(OFFSET(CRONOPLE!$F$15,$M57-$A$15,CO$13)=0,10^12,OFFSET(CRONOPLE!$F$15,$M57-$A$15,CO$13)))</f>
        <v>0</v>
      </c>
      <c r="CP57" s="353" t="n">
        <f aca="true">IF(OR($D57&lt;&gt;"Serviço",AND(AUTOEVENTO="Manual",$M57=$A$15)),0,
         IF(OFFSET(CRONOPLE!$F$15,$M57-$A$15,CP$13)=0,10^12,OFFSET(CRONOPLE!$F$15,$M57-$A$15,CP$13)))</f>
        <v>0</v>
      </c>
      <c r="CQ57" s="353" t="n">
        <f aca="true">IF(OR($D57&lt;&gt;"Serviço",AND(AUTOEVENTO="Manual",$M57=$A$15)),0,
         IF(OFFSET(CRONOPLE!$F$15,$M57-$A$15,CQ$13)=0,10^12,OFFSET(CRONOPLE!$F$15,$M57-$A$15,CQ$13)))</f>
        <v>0</v>
      </c>
      <c r="CR57" s="353" t="n">
        <f aca="true">IF(OR($D57&lt;&gt;"Serviço",AND(AUTOEVENTO="Manual",$M57=$A$15)),0,
         IF(OFFSET(CRONOPLE!$F$15,$M57-$A$15,CR$13)=0,10^12,OFFSET(CRONOPLE!$F$15,$M57-$A$15,CR$13)))</f>
        <v>0</v>
      </c>
      <c r="CT57" s="354" t="n">
        <f aca="true">IF(OR($D57&lt;&gt;"Serviço",AND(AUTOEVENTO="Manual",$M57=$A$15),$M57&gt;(ROW(PLE.lastrow)-ROW(PLE.firstrow))),0,
           IF(OFFSET(PLE!$G$15,$M57-$A$15,CT$13)="",10^12,OFFSET(PLE!$G$15,$M57-$A$15,CT$13)))</f>
        <v>0</v>
      </c>
      <c r="CU57" s="354" t="n">
        <f aca="true">IF(OR($D57&lt;&gt;"Serviço",AND(AUTOEVENTO="Manual",$M57=$A$15),$M57&gt;(ROW(PLE.lastrow)-ROW(PLE.firstrow))),0,
           IF(OFFSET(PLE!$G$15,$M57-$A$15,CU$13)="",10^12,OFFSET(PLE!$G$15,$M57-$A$15,CU$13)))</f>
        <v>0</v>
      </c>
      <c r="CV57" s="354" t="n">
        <f aca="true">IF(OR($D57&lt;&gt;"Serviço",AND(AUTOEVENTO="Manual",$M57=$A$15),$M57&gt;(ROW(PLE.lastrow)-ROW(PLE.firstrow))),0,
           IF(OFFSET(PLE!$G$15,$M57-$A$15,CV$13)="",10^12,OFFSET(PLE!$G$15,$M57-$A$15,CV$13)))</f>
        <v>0</v>
      </c>
      <c r="CW57" s="354" t="n">
        <f aca="true">IF(OR($D57&lt;&gt;"Serviço",AND(AUTOEVENTO="Manual",$M57=$A$15),$M57&gt;(ROW(PLE.lastrow)-ROW(PLE.firstrow))),0,
           IF(OFFSET(PLE!$G$15,$M57-$A$15,CW$13)="",10^12,OFFSET(PLE!$G$15,$M57-$A$15,CW$13)))</f>
        <v>0</v>
      </c>
      <c r="CX57" s="354" t="n">
        <f aca="true">IF(OR($D57&lt;&gt;"Serviço",AND(AUTOEVENTO="Manual",$M57=$A$15),$M57&gt;(ROW(PLE.lastrow)-ROW(PLE.firstrow))),0,
           IF(OFFSET(PLE!$G$15,$M57-$A$15,CX$13)="",10^12,OFFSET(PLE!$G$15,$M57-$A$15,CX$13)))</f>
        <v>0</v>
      </c>
      <c r="CY57" s="354" t="n">
        <f aca="true">IF(OR($D57&lt;&gt;"Serviço",AND(AUTOEVENTO="Manual",$M57=$A$15),$M57&gt;(ROW(PLE.lastrow)-ROW(PLE.firstrow))),0,
           IF(OFFSET(PLE!$G$15,$M57-$A$15,CY$13)="",10^12,OFFSET(PLE!$G$15,$M57-$A$15,CY$13)))</f>
        <v>0</v>
      </c>
      <c r="CZ57" s="354" t="n">
        <f aca="true">IF(OR($D57&lt;&gt;"Serviço",AND(AUTOEVENTO="Manual",$M57=$A$15),$M57&gt;(ROW(PLE.lastrow)-ROW(PLE.firstrow))),0,
           IF(OFFSET(PLE!$G$15,$M57-$A$15,CZ$13)="",10^12,OFFSET(PLE!$G$15,$M57-$A$15,CZ$13)))</f>
        <v>0</v>
      </c>
      <c r="DA57" s="354" t="n">
        <f aca="true">IF(OR($D57&lt;&gt;"Serviço",AND(AUTOEVENTO="Manual",$M57=$A$15),$M57&gt;(ROW(PLE.lastrow)-ROW(PLE.firstrow))),0,
           IF(OFFSET(PLE!$G$15,$M57-$A$15,DA$13)="",10^12,OFFSET(PLE!$G$15,$M57-$A$15,DA$13)))</f>
        <v>0</v>
      </c>
      <c r="DB57" s="354" t="n">
        <f aca="true">IF(OR($D57&lt;&gt;"Serviço",AND(AUTOEVENTO="Manual",$M57=$A$15),$M57&gt;(ROW(PLE.lastrow)-ROW(PLE.firstrow))),0,
           IF(OFFSET(PLE!$G$15,$M57-$A$15,DB$13)="",10^12,OFFSET(PLE!$G$15,$M57-$A$15,DB$13)))</f>
        <v>0</v>
      </c>
      <c r="DC57" s="354" t="n">
        <f aca="true">IF(OR($D57&lt;&gt;"Serviço",AND(AUTOEVENTO="Manual",$M57=$A$15),$M57&gt;(ROW(PLE.lastrow)-ROW(PLE.firstrow))),0,
           IF(OFFSET(PLE!$G$15,$M57-$A$15,DC$13)="",10^12,OFFSET(PLE!$G$15,$M57-$A$15,DC$13)))</f>
        <v>0</v>
      </c>
      <c r="DD57" s="354" t="n">
        <f aca="true">IF(OR($D57&lt;&gt;"Serviço",AND(AUTOEVENTO="Manual",$M57=$A$15),$M57&gt;(ROW(PLE.lastrow)-ROW(PLE.firstrow))),0,
           IF(OFFSET(PLE!$G$15,$M57-$A$15,DD$13)="",10^12,OFFSET(PLE!$G$15,$M57-$A$15,DD$13)))</f>
        <v>0</v>
      </c>
      <c r="DE57" s="354" t="n">
        <f aca="true">IF(OR($D57&lt;&gt;"Serviço",AND(AUTOEVENTO="Manual",$M57=$A$15),$M57&gt;(ROW(PLE.lastrow)-ROW(PLE.firstrow))),0,
           IF(OFFSET(PLE!$G$15,$M57-$A$15,DE$13)="",10^12,OFFSET(PLE!$G$15,$M57-$A$15,DE$13)))</f>
        <v>0</v>
      </c>
      <c r="DF57" s="354" t="n">
        <f aca="true">IF(OR($D57&lt;&gt;"Serviço",AND(AUTOEVENTO="Manual",$M57=$A$15),$M57&gt;(ROW(PLE.lastrow)-ROW(PLE.firstrow))),0,
           IF(OFFSET(PLE!$G$15,$M57-$A$15,DF$13)="",10^12,OFFSET(PLE!$G$15,$M57-$A$15,DF$13)))</f>
        <v>0</v>
      </c>
      <c r="DG57" s="354" t="n">
        <f aca="true">IF(OR($D57&lt;&gt;"Serviço",AND(AUTOEVENTO="Manual",$M57=$A$15),$M57&gt;(ROW(PLE.lastrow)-ROW(PLE.firstrow))),0,
           IF(OFFSET(PLE!$G$15,$M57-$A$15,DG$13)="",10^12,OFFSET(PLE!$G$15,$M57-$A$15,DG$13)))</f>
        <v>0</v>
      </c>
      <c r="DH57" s="354" t="n">
        <f aca="true">IF(OR($D57&lt;&gt;"Serviço",AND(AUTOEVENTO="Manual",$M57=$A$15),$M57&gt;(ROW(PLE.lastrow)-ROW(PLE.firstrow))),0,
           IF(OFFSET(PLE!$G$15,$M57-$A$15,DH$13)="",10^12,OFFSET(PLE!$G$15,$M57-$A$15,DH$13)))</f>
        <v>0</v>
      </c>
      <c r="DI57" s="354" t="n">
        <f aca="true">IF(OR($D57&lt;&gt;"Serviço",AND(AUTOEVENTO="Manual",$M57=$A$15),$M57&gt;(ROW(PLE.lastrow)-ROW(PLE.firstrow))),0,
           IF(OFFSET(PLE!$G$15,$M57-$A$15,DI$13)="",10^12,OFFSET(PLE!$G$15,$M57-$A$15,DI$13)))</f>
        <v>0</v>
      </c>
      <c r="DJ57" s="354" t="n">
        <f aca="true">IF(OR($D57&lt;&gt;"Serviço",AND(AUTOEVENTO="Manual",$M57=$A$15),$M57&gt;(ROW(PLE.lastrow)-ROW(PLE.firstrow))),0,
           IF(OFFSET(PLE!$G$15,$M57-$A$15,DJ$13)="",10^12,OFFSET(PLE!$G$15,$M57-$A$15,DJ$13)))</f>
        <v>0</v>
      </c>
      <c r="DK57" s="354" t="n">
        <f aca="true">IF(OR($D57&lt;&gt;"Serviço",AND(AUTOEVENTO="Manual",$M57=$A$15),$M57&gt;(ROW(PLE.lastrow)-ROW(PLE.firstrow))),0,
           IF(OFFSET(PLE!$G$15,$M57-$A$15,DK$13)="",10^12,OFFSET(PLE!$G$15,$M57-$A$15,DK$13)))</f>
        <v>0</v>
      </c>
      <c r="DL57" s="354" t="n">
        <f aca="true">IF(OR($D57&lt;&gt;"Serviço",AND(AUTOEVENTO="Manual",$M57=$A$15),$M57&gt;(ROW(PLE.lastrow)-ROW(PLE.firstrow))),0,
           IF(OFFSET(PLE!$G$15,$M57-$A$15,DL$13)="",10^12,OFFSET(PLE!$G$15,$M57-$A$15,DL$13)))</f>
        <v>0</v>
      </c>
      <c r="DM57" s="354" t="n">
        <f aca="true">IF(OR($D57&lt;&gt;"Serviço",AND(AUTOEVENTO="Manual",$M57=$A$15),$M57&gt;(ROW(PLE.lastrow)-ROW(PLE.firstrow))),0,
           IF(OFFSET(PLE!$G$15,$M57-$A$15,DM$13)="",10^12,OFFSET(PLE!$G$15,$M57-$A$15,DM$13)))</f>
        <v>0</v>
      </c>
      <c r="DN57" s="354" t="n">
        <f aca="true">IF(OR($D57&lt;&gt;"Serviço",AND(AUTOEVENTO="Manual",$M57=$A$15),$M57&gt;(ROW(PLE.lastrow)-ROW(PLE.firstrow))),0,
           IF(OFFSET(PLE!$G$15,$M57-$A$15,DN$13)="",10^12,OFFSET(PLE!$G$15,$M57-$A$15,DN$13)))</f>
        <v>0</v>
      </c>
      <c r="DO57" s="354" t="n">
        <f aca="true">IF(OR($D57&lt;&gt;"Serviço",AND(AUTOEVENTO="Manual",$M57=$A$15),$M57&gt;(ROW(PLE.lastrow)-ROW(PLE.firstrow))),0,
           IF(OFFSET(PLE!$G$15,$M57-$A$15,DO$13)="",10^12,OFFSET(PLE!$G$15,$M57-$A$15,DO$13)))</f>
        <v>0</v>
      </c>
      <c r="DP57" s="354" t="n">
        <f aca="true">IF(OR($D57&lt;&gt;"Serviço",AND(AUTOEVENTO="Manual",$M57=$A$15),$M57&gt;(ROW(PLE.lastrow)-ROW(PLE.firstrow))),0,
           IF(OFFSET(PLE!$G$15,$M57-$A$15,DP$13)="",10^12,OFFSET(PLE!$G$15,$M57-$A$15,DP$13)))</f>
        <v>0</v>
      </c>
      <c r="DQ57" s="354" t="n">
        <f aca="true">IF(OR($D57&lt;&gt;"Serviço",AND(AUTOEVENTO="Manual",$M57=$A$15),$M57&gt;(ROW(PLE.lastrow)-ROW(PLE.firstrow))),0,
           IF(OFFSET(PLE!$G$15,$M57-$A$15,DQ$13)="",10^12,OFFSET(PLE!$G$15,$M57-$A$15,DQ$13)))</f>
        <v>0</v>
      </c>
      <c r="DR57" s="354" t="n">
        <f aca="true">IF(OR($D57&lt;&gt;"Serviço",AND(AUTOEVENTO="Manual",$M57=$A$15),$M57&gt;(ROW(PLE.lastrow)-ROW(PLE.firstrow))),0,
           IF(OFFSET(PLE!$G$15,$M57-$A$15,DR$13)="",10^12,OFFSET(PLE!$G$15,$M57-$A$15,DR$13)))</f>
        <v>0</v>
      </c>
      <c r="DS57" s="354" t="n">
        <f aca="true">IF(OR($D57&lt;&gt;"Serviço",AND(AUTOEVENTO="Manual",$M57=$A$15),$M57&gt;(ROW(PLE.lastrow)-ROW(PLE.firstrow))),0,
           IF(OFFSET(PLE!$G$15,$M57-$A$15,DS$13)="",10^12,OFFSET(PLE!$G$15,$M57-$A$15,DS$13)))</f>
        <v>0</v>
      </c>
    </row>
    <row r="58" customFormat="false" ht="158.2" hidden="false" customHeight="false" outlineLevel="0" collapsed="false">
      <c r="A58" s="50" t="str">
        <f aca="true">IFERROR(IF(AUTOEVENTO="Manual",IF(K58&lt;&gt;"",MIN(VALUE(LEFT(K58,FIND(".",K58)-1)),COUNTA(EVENTOS.Lista)),0),IF(OR($B58&gt;AUTOEVENTO,$B58="S",$B58=0),SUBSTITUTE(OFFSET($A58,-1,0),IF($D58="Serviço",".",""),""),ROW(A58)-ROW($A$15)&amp;".")),0)</f>
        <v>42</v>
      </c>
      <c r="B58" s="50" t="str">
        <f aca="true">OFFSET(ORÇAMENTO!C$15,ROW(B58)-ROW(B$15),0)</f>
        <v>S</v>
      </c>
      <c r="C58" s="50" t="str">
        <f aca="true">OFFSET(ORÇAMENTO!L$15,ROW(C58)-ROW(C$15),0)</f>
        <v>F</v>
      </c>
      <c r="D58" s="201" t="str">
        <f aca="true">OFFSET(ORÇAMENTO!N$15,ROW(D58)-ROW(D$15),0)</f>
        <v>Serviço</v>
      </c>
      <c r="E58" s="202" t="str">
        <f aca="true">OFFSET(ORÇAMENTO!O$15,ROW(E58)-ROW(E$15),0)</f>
        <v>1.11.1.</v>
      </c>
      <c r="F58" s="341" t="str">
        <f aca="true">OFFSET(ORÇAMENTO!R$15,ROW(F58)-ROW(F$15),0)</f>
        <v>ALVENARIA DE VEDAÇÃO DE BLOCOS CERÂMICOS FURADOS NA HORIZONTAL DE 9X19X19 CM (ESPESSURA 9 CM)
E ARGAMASSA DE ASSENTAMENTO COM PREPARO EM BETONEIRA. AF_12/2021</v>
      </c>
      <c r="G58" s="342" t="str">
        <f aca="true">IF($D58&lt;&gt;"Serviço","",OFFSET(ORÇAMENTO!S$15,ROW(G58)-ROW(G$15),0))</f>
        <v>M2</v>
      </c>
      <c r="H58" s="207" t="n">
        <f aca="true">IF($D58&lt;&gt;"Serviço",0,IF(ACOMPANHAMENTO="BM",ROUND(OFFSET(ORÇAMENTO!AJ$15,ROW(H58)-ROW(H$15),0),15-13*ORÇAMENTO!$AF$7),SUMPRODUCT(($Q$1:$AQ$1=1)*ROUND($Q58:$AQ58,15-13*ORÇAMENTO!$AF$7))))</f>
        <v>3307.25</v>
      </c>
      <c r="I58" s="343" t="s">
        <v>940</v>
      </c>
      <c r="J58" s="344" t="e">
        <f aca="false">IF(OR(B58&lt;&gt;"S",CÁLCULO.FrentesPreenchidas=0),"",IF(AND(ACOMPANHAMENTO="PLE",AUTOEVENTO="Manual",OR(H58&gt;0,ORÇAMENTO!AC58="QUANT."),OR(K58="",M58=0,N58="")),"►",IF(AND(ACOMPANHAMENTO="PLE",ORÇAMENTO!AC58="QUANT."),"►►",IF(AND(COUNTIF($P$11:$AQ$11,"▼")=0,H58&gt;0,I58=""),"◄",""))))</f>
        <v>#NAME?</v>
      </c>
      <c r="K58" s="345"/>
      <c r="L58" s="346" t="s">
        <v>876</v>
      </c>
      <c r="M58" s="347" t="n">
        <f aca="true">IF($D58&lt;&gt;"Serviço","",
          IF(AUTOEVENTO="manual",$A58,
                IF(ISERROR(MATCH($A58,$A$15:OFFSET($A58,-1,0),0)),MAX($M$15:OFFSET(M58,-1,0))+1,
                      INDEX($M$15:OFFSET(M58,-1,0),MATCH($A58,$A$15:OFFSET($A58,-1,0),0)))))</f>
        <v>7</v>
      </c>
      <c r="N58" s="348" t="str">
        <f aca="true">IF($D58&lt;&gt;"Serviço","",
         IF(AUTOEVENTO="Manual",
                IF($A58=0,"&lt;-- defina o número do agrupador",
                       OFFSET(EVENTOS!$D$15,$A58-$A$15,0)),
                OFFSET($F$15,$A58,0)))</f>
        <v>ALVENARIA/FECHAMENTOS</v>
      </c>
      <c r="O58" s="349"/>
      <c r="Q58" s="349" t="n">
        <v>132.29</v>
      </c>
      <c r="R58" s="350" t="n">
        <f aca="false">Q58</f>
        <v>132.29</v>
      </c>
      <c r="S58" s="350" t="n">
        <f aca="false">R58</f>
        <v>132.29</v>
      </c>
      <c r="T58" s="350" t="n">
        <f aca="false">S58</f>
        <v>132.29</v>
      </c>
      <c r="U58" s="350" t="n">
        <f aca="false">T58</f>
        <v>132.29</v>
      </c>
      <c r="V58" s="350" t="n">
        <f aca="false">U58</f>
        <v>132.29</v>
      </c>
      <c r="W58" s="350" t="n">
        <f aca="false">V58</f>
        <v>132.29</v>
      </c>
      <c r="X58" s="350" t="n">
        <f aca="false">W58</f>
        <v>132.29</v>
      </c>
      <c r="Y58" s="350" t="n">
        <f aca="false">X58</f>
        <v>132.29</v>
      </c>
      <c r="Z58" s="351" t="n">
        <f aca="false">Y58</f>
        <v>132.29</v>
      </c>
      <c r="AA58" s="350" t="n">
        <f aca="false">Z58</f>
        <v>132.29</v>
      </c>
      <c r="AB58" s="350" t="n">
        <f aca="false">AA58</f>
        <v>132.29</v>
      </c>
      <c r="AC58" s="350" t="n">
        <f aca="false">AB58</f>
        <v>132.29</v>
      </c>
      <c r="AD58" s="350" t="n">
        <f aca="false">AC58</f>
        <v>132.29</v>
      </c>
      <c r="AE58" s="350" t="n">
        <f aca="false">AD58</f>
        <v>132.29</v>
      </c>
      <c r="AF58" s="350" t="n">
        <f aca="false">AE58</f>
        <v>132.29</v>
      </c>
      <c r="AG58" s="350" t="n">
        <f aca="false">AF58</f>
        <v>132.29</v>
      </c>
      <c r="AH58" s="351" t="n">
        <f aca="false">AG58</f>
        <v>132.29</v>
      </c>
      <c r="AI58" s="350" t="n">
        <f aca="false">AH58</f>
        <v>132.29</v>
      </c>
      <c r="AJ58" s="350" t="n">
        <f aca="false">AI58</f>
        <v>132.29</v>
      </c>
      <c r="AK58" s="350" t="n">
        <f aca="false">AJ58</f>
        <v>132.29</v>
      </c>
      <c r="AL58" s="350" t="n">
        <f aca="false">AK58</f>
        <v>132.29</v>
      </c>
      <c r="AM58" s="350" t="n">
        <f aca="false">AL58</f>
        <v>132.29</v>
      </c>
      <c r="AN58" s="350" t="n">
        <f aca="false">AM58</f>
        <v>132.29</v>
      </c>
      <c r="AO58" s="350" t="n">
        <f aca="false">AN58</f>
        <v>132.29</v>
      </c>
      <c r="AP58" s="351"/>
      <c r="AR58" s="352" t="n">
        <f aca="true">IF(AND($D58="Serviço",AR$12&lt;&gt;0,$H58&gt;0,OR(AUTOEVENTO&lt;&gt;"manual",$M58&lt;&gt;$A$15)),
        IF(Import.TipoArredondamento&lt;&gt;"TransfereGOV",
              ROUND(OFFSET($P58,0,AR$13),15-13*ORÇAMENTO!$AF$7)/$H58*OFFSET(ORÇAMENTO!$X$15,ROW(AR58)-ROW(AR$15),0),
              ROUND(ROUND(OFFSET($P58,0,AR$13),15-13*ORÇAMENTO!$AF$7)*OFFSET(ORÇAMENTO!$W$15,ROW(AR58)-ROW(AR$15),0),15-13*ORÇAMENTO!$AF$11)),
         0)</f>
        <v>15771.61</v>
      </c>
      <c r="AS58" s="352" t="n">
        <f aca="true">IF(AND($D58="Serviço",AS$12&lt;&gt;0,$H58&gt;0,OR(AUTOEVENTO&lt;&gt;"manual",$M58&lt;&gt;$A$15)),
        IF(Import.TipoArredondamento&lt;&gt;"TransfereGOV",
              ROUND(OFFSET($P58,0,AS$13),15-13*ORÇAMENTO!$AF$7)/$H58*OFFSET(ORÇAMENTO!$X$15,ROW(AS58)-ROW(AS$15),0),
              ROUND(ROUND(OFFSET($P58,0,AS$13),15-13*ORÇAMENTO!$AF$7)*OFFSET(ORÇAMENTO!$W$15,ROW(AS58)-ROW(AS$15),0),15-13*ORÇAMENTO!$AF$11)),
         0)</f>
        <v>15771.61</v>
      </c>
      <c r="AT58" s="352" t="n">
        <f aca="true">IF(AND($D58="Serviço",AT$12&lt;&gt;0,$H58&gt;0,OR(AUTOEVENTO&lt;&gt;"manual",$M58&lt;&gt;$A$15)),
        IF(Import.TipoArredondamento&lt;&gt;"TransfereGOV",
              ROUND(OFFSET($P58,0,AT$13),15-13*ORÇAMENTO!$AF$7)/$H58*OFFSET(ORÇAMENTO!$X$15,ROW(AT58)-ROW(AT$15),0),
              ROUND(ROUND(OFFSET($P58,0,AT$13),15-13*ORÇAMENTO!$AF$7)*OFFSET(ORÇAMENTO!$W$15,ROW(AT58)-ROW(AT$15),0),15-13*ORÇAMENTO!$AF$11)),
         0)</f>
        <v>15771.61</v>
      </c>
      <c r="AU58" s="352" t="n">
        <f aca="true">IF(AND($D58="Serviço",AU$12&lt;&gt;0,$H58&gt;0,OR(AUTOEVENTO&lt;&gt;"manual",$M58&lt;&gt;$A$15)),
        IF(Import.TipoArredondamento&lt;&gt;"TransfereGOV",
              ROUND(OFFSET($P58,0,AU$13),15-13*ORÇAMENTO!$AF$7)/$H58*OFFSET(ORÇAMENTO!$X$15,ROW(AU58)-ROW(AU$15),0),
              ROUND(ROUND(OFFSET($P58,0,AU$13),15-13*ORÇAMENTO!$AF$7)*OFFSET(ORÇAMENTO!$W$15,ROW(AU58)-ROW(AU$15),0),15-13*ORÇAMENTO!$AF$11)),
         0)</f>
        <v>15771.61</v>
      </c>
      <c r="AV58" s="352" t="n">
        <f aca="true">IF(AND($D58="Serviço",AV$12&lt;&gt;0,$H58&gt;0,OR(AUTOEVENTO&lt;&gt;"manual",$M58&lt;&gt;$A$15)),
        IF(Import.TipoArredondamento&lt;&gt;"TransfereGOV",
              ROUND(OFFSET($P58,0,AV$13),15-13*ORÇAMENTO!$AF$7)/$H58*OFFSET(ORÇAMENTO!$X$15,ROW(AV58)-ROW(AV$15),0),
              ROUND(ROUND(OFFSET($P58,0,AV$13),15-13*ORÇAMENTO!$AF$7)*OFFSET(ORÇAMENTO!$W$15,ROW(AV58)-ROW(AV$15),0),15-13*ORÇAMENTO!$AF$11)),
         0)</f>
        <v>15771.61</v>
      </c>
      <c r="AW58" s="352" t="n">
        <f aca="true">IF(AND($D58="Serviço",AW$12&lt;&gt;0,$H58&gt;0,OR(AUTOEVENTO&lt;&gt;"manual",$M58&lt;&gt;$A$15)),
        IF(Import.TipoArredondamento&lt;&gt;"TransfereGOV",
              ROUND(OFFSET($P58,0,AW$13),15-13*ORÇAMENTO!$AF$7)/$H58*OFFSET(ORÇAMENTO!$X$15,ROW(AW58)-ROW(AW$15),0),
              ROUND(ROUND(OFFSET($P58,0,AW$13),15-13*ORÇAMENTO!$AF$7)*OFFSET(ORÇAMENTO!$W$15,ROW(AW58)-ROW(AW$15),0),15-13*ORÇAMENTO!$AF$11)),
         0)</f>
        <v>15771.61</v>
      </c>
      <c r="AX58" s="352" t="n">
        <f aca="true">IF(AND($D58="Serviço",AX$12&lt;&gt;0,$H58&gt;0,OR(AUTOEVENTO&lt;&gt;"manual",$M58&lt;&gt;$A$15)),
        IF(Import.TipoArredondamento&lt;&gt;"TransfereGOV",
              ROUND(OFFSET($P58,0,AX$13),15-13*ORÇAMENTO!$AF$7)/$H58*OFFSET(ORÇAMENTO!$X$15,ROW(AX58)-ROW(AX$15),0),
              ROUND(ROUND(OFFSET($P58,0,AX$13),15-13*ORÇAMENTO!$AF$7)*OFFSET(ORÇAMENTO!$W$15,ROW(AX58)-ROW(AX$15),0),15-13*ORÇAMENTO!$AF$11)),
         0)</f>
        <v>15771.61</v>
      </c>
      <c r="AY58" s="352" t="n">
        <f aca="true">IF(AND($D58="Serviço",AY$12&lt;&gt;0,$H58&gt;0,OR(AUTOEVENTO&lt;&gt;"manual",$M58&lt;&gt;$A$15)),
        IF(Import.TipoArredondamento&lt;&gt;"TransfereGOV",
              ROUND(OFFSET($P58,0,AY$13),15-13*ORÇAMENTO!$AF$7)/$H58*OFFSET(ORÇAMENTO!$X$15,ROW(AY58)-ROW(AY$15),0),
              ROUND(ROUND(OFFSET($P58,0,AY$13),15-13*ORÇAMENTO!$AF$7)*OFFSET(ORÇAMENTO!$W$15,ROW(AY58)-ROW(AY$15),0),15-13*ORÇAMENTO!$AF$11)),
         0)</f>
        <v>15771.61</v>
      </c>
      <c r="AZ58" s="352" t="n">
        <f aca="true">IF(AND($D58="Serviço",AZ$12&lt;&gt;0,$H58&gt;0,OR(AUTOEVENTO&lt;&gt;"manual",$M58&lt;&gt;$A$15)),
        IF(Import.TipoArredondamento&lt;&gt;"TransfereGOV",
              ROUND(OFFSET($P58,0,AZ$13),15-13*ORÇAMENTO!$AF$7)/$H58*OFFSET(ORÇAMENTO!$X$15,ROW(AZ58)-ROW(AZ$15),0),
              ROUND(ROUND(OFFSET($P58,0,AZ$13),15-13*ORÇAMENTO!$AF$7)*OFFSET(ORÇAMENTO!$W$15,ROW(AZ58)-ROW(AZ$15),0),15-13*ORÇAMENTO!$AF$11)),
         0)</f>
        <v>15771.61</v>
      </c>
      <c r="BA58" s="352" t="n">
        <f aca="true">IF(AND($D58="Serviço",BA$12&lt;&gt;0,$H58&gt;0,OR(AUTOEVENTO&lt;&gt;"manual",$M58&lt;&gt;$A$15)),
        IF(Import.TipoArredondamento&lt;&gt;"TransfereGOV",
              ROUND(OFFSET($P58,0,BA$13),15-13*ORÇAMENTO!$AF$7)/$H58*OFFSET(ORÇAMENTO!$X$15,ROW(BA58)-ROW(BA$15),0),
              ROUND(ROUND(OFFSET($P58,0,BA$13),15-13*ORÇAMENTO!$AF$7)*OFFSET(ORÇAMENTO!$W$15,ROW(BA58)-ROW(BA$15),0),15-13*ORÇAMENTO!$AF$11)),
         0)</f>
        <v>15771.61</v>
      </c>
      <c r="BB58" s="352" t="n">
        <f aca="true">IF(AND($D58="Serviço",BB$12&lt;&gt;0,$H58&gt;0,OR(AUTOEVENTO&lt;&gt;"manual",$M58&lt;&gt;$A$15)),
        IF(Import.TipoArredondamento&lt;&gt;"TransfereGOV",
              ROUND(OFFSET($P58,0,BB$13),15-13*ORÇAMENTO!$AF$7)/$H58*OFFSET(ORÇAMENTO!$X$15,ROW(BB58)-ROW(BB$15),0),
              ROUND(ROUND(OFFSET($P58,0,BB$13),15-13*ORÇAMENTO!$AF$7)*OFFSET(ORÇAMENTO!$W$15,ROW(BB58)-ROW(BB$15),0),15-13*ORÇAMENTO!$AF$11)),
         0)</f>
        <v>15771.61</v>
      </c>
      <c r="BC58" s="352" t="n">
        <f aca="true">IF(AND($D58="Serviço",BC$12&lt;&gt;0,$H58&gt;0,OR(AUTOEVENTO&lt;&gt;"manual",$M58&lt;&gt;$A$15)),
        IF(Import.TipoArredondamento&lt;&gt;"TransfereGOV",
              ROUND(OFFSET($P58,0,BC$13),15-13*ORÇAMENTO!$AF$7)/$H58*OFFSET(ORÇAMENTO!$X$15,ROW(BC58)-ROW(BC$15),0),
              ROUND(ROUND(OFFSET($P58,0,BC$13),15-13*ORÇAMENTO!$AF$7)*OFFSET(ORÇAMENTO!$W$15,ROW(BC58)-ROW(BC$15),0),15-13*ORÇAMENTO!$AF$11)),
         0)</f>
        <v>15771.61</v>
      </c>
      <c r="BD58" s="352" t="n">
        <f aca="true">IF(AND($D58="Serviço",BD$12&lt;&gt;0,$H58&gt;0,OR(AUTOEVENTO&lt;&gt;"manual",$M58&lt;&gt;$A$15)),
        IF(Import.TipoArredondamento&lt;&gt;"TransfereGOV",
              ROUND(OFFSET($P58,0,BD$13),15-13*ORÇAMENTO!$AF$7)/$H58*OFFSET(ORÇAMENTO!$X$15,ROW(BD58)-ROW(BD$15),0),
              ROUND(ROUND(OFFSET($P58,0,BD$13),15-13*ORÇAMENTO!$AF$7)*OFFSET(ORÇAMENTO!$W$15,ROW(BD58)-ROW(BD$15),0),15-13*ORÇAMENTO!$AF$11)),
         0)</f>
        <v>15771.61</v>
      </c>
      <c r="BE58" s="352" t="n">
        <f aca="true">IF(AND($D58="Serviço",BE$12&lt;&gt;0,$H58&gt;0,OR(AUTOEVENTO&lt;&gt;"manual",$M58&lt;&gt;$A$15)),
        IF(Import.TipoArredondamento&lt;&gt;"TransfereGOV",
              ROUND(OFFSET($P58,0,BE$13),15-13*ORÇAMENTO!$AF$7)/$H58*OFFSET(ORÇAMENTO!$X$15,ROW(BE58)-ROW(BE$15),0),
              ROUND(ROUND(OFFSET($P58,0,BE$13),15-13*ORÇAMENTO!$AF$7)*OFFSET(ORÇAMENTO!$W$15,ROW(BE58)-ROW(BE$15),0),15-13*ORÇAMENTO!$AF$11)),
         0)</f>
        <v>15771.61</v>
      </c>
      <c r="BF58" s="352" t="n">
        <f aca="true">IF(AND($D58="Serviço",BF$12&lt;&gt;0,$H58&gt;0,OR(AUTOEVENTO&lt;&gt;"manual",$M58&lt;&gt;$A$15)),
        IF(Import.TipoArredondamento&lt;&gt;"TransfereGOV",
              ROUND(OFFSET($P58,0,BF$13),15-13*ORÇAMENTO!$AF$7)/$H58*OFFSET(ORÇAMENTO!$X$15,ROW(BF58)-ROW(BF$15),0),
              ROUND(ROUND(OFFSET($P58,0,BF$13),15-13*ORÇAMENTO!$AF$7)*OFFSET(ORÇAMENTO!$W$15,ROW(BF58)-ROW(BF$15),0),15-13*ORÇAMENTO!$AF$11)),
         0)</f>
        <v>15771.61</v>
      </c>
      <c r="BG58" s="352" t="n">
        <f aca="true">IF(AND($D58="Serviço",BG$12&lt;&gt;0,$H58&gt;0,OR(AUTOEVENTO&lt;&gt;"manual",$M58&lt;&gt;$A$15)),
        IF(Import.TipoArredondamento&lt;&gt;"TransfereGOV",
              ROUND(OFFSET($P58,0,BG$13),15-13*ORÇAMENTO!$AF$7)/$H58*OFFSET(ORÇAMENTO!$X$15,ROW(BG58)-ROW(BG$15),0),
              ROUND(ROUND(OFFSET($P58,0,BG$13),15-13*ORÇAMENTO!$AF$7)*OFFSET(ORÇAMENTO!$W$15,ROW(BG58)-ROW(BG$15),0),15-13*ORÇAMENTO!$AF$11)),
         0)</f>
        <v>15771.61</v>
      </c>
      <c r="BH58" s="352" t="n">
        <f aca="true">IF(AND($D58="Serviço",BH$12&lt;&gt;0,$H58&gt;0,OR(AUTOEVENTO&lt;&gt;"manual",$M58&lt;&gt;$A$15)),
        IF(Import.TipoArredondamento&lt;&gt;"TransfereGOV",
              ROUND(OFFSET($P58,0,BH$13),15-13*ORÇAMENTO!$AF$7)/$H58*OFFSET(ORÇAMENTO!$X$15,ROW(BH58)-ROW(BH$15),0),
              ROUND(ROUND(OFFSET($P58,0,BH$13),15-13*ORÇAMENTO!$AF$7)*OFFSET(ORÇAMENTO!$W$15,ROW(BH58)-ROW(BH$15),0),15-13*ORÇAMENTO!$AF$11)),
         0)</f>
        <v>15771.61</v>
      </c>
      <c r="BI58" s="352" t="n">
        <f aca="true">IF(AND($D58="Serviço",BI$12&lt;&gt;0,$H58&gt;0,OR(AUTOEVENTO&lt;&gt;"manual",$M58&lt;&gt;$A$15)),
        IF(Import.TipoArredondamento&lt;&gt;"TransfereGOV",
              ROUND(OFFSET($P58,0,BI$13),15-13*ORÇAMENTO!$AF$7)/$H58*OFFSET(ORÇAMENTO!$X$15,ROW(BI58)-ROW(BI$15),0),
              ROUND(ROUND(OFFSET($P58,0,BI$13),15-13*ORÇAMENTO!$AF$7)*OFFSET(ORÇAMENTO!$W$15,ROW(BI58)-ROW(BI$15),0),15-13*ORÇAMENTO!$AF$11)),
         0)</f>
        <v>15771.61</v>
      </c>
      <c r="BJ58" s="352" t="n">
        <f aca="true">IF(AND($D58="Serviço",BJ$12&lt;&gt;0,$H58&gt;0,OR(AUTOEVENTO&lt;&gt;"manual",$M58&lt;&gt;$A$15)),
        IF(Import.TipoArredondamento&lt;&gt;"TransfereGOV",
              ROUND(OFFSET($P58,0,BJ$13),15-13*ORÇAMENTO!$AF$7)/$H58*OFFSET(ORÇAMENTO!$X$15,ROW(BJ58)-ROW(BJ$15),0),
              ROUND(ROUND(OFFSET($P58,0,BJ$13),15-13*ORÇAMENTO!$AF$7)*OFFSET(ORÇAMENTO!$W$15,ROW(BJ58)-ROW(BJ$15),0),15-13*ORÇAMENTO!$AF$11)),
         0)</f>
        <v>15771.61</v>
      </c>
      <c r="BK58" s="352" t="n">
        <f aca="true">IF(AND($D58="Serviço",BK$12&lt;&gt;0,$H58&gt;0,OR(AUTOEVENTO&lt;&gt;"manual",$M58&lt;&gt;$A$15)),
        IF(Import.TipoArredondamento&lt;&gt;"TransfereGOV",
              ROUND(OFFSET($P58,0,BK$13),15-13*ORÇAMENTO!$AF$7)/$H58*OFFSET(ORÇAMENTO!$X$15,ROW(BK58)-ROW(BK$15),0),
              ROUND(ROUND(OFFSET($P58,0,BK$13),15-13*ORÇAMENTO!$AF$7)*OFFSET(ORÇAMENTO!$W$15,ROW(BK58)-ROW(BK$15),0),15-13*ORÇAMENTO!$AF$11)),
         0)</f>
        <v>15771.61</v>
      </c>
      <c r="BL58" s="352" t="n">
        <f aca="true">IF(AND($D58="Serviço",BL$12&lt;&gt;0,$H58&gt;0,OR(AUTOEVENTO&lt;&gt;"manual",$M58&lt;&gt;$A$15)),
        IF(Import.TipoArredondamento&lt;&gt;"TransfereGOV",
              ROUND(OFFSET($P58,0,BL$13),15-13*ORÇAMENTO!$AF$7)/$H58*OFFSET(ORÇAMENTO!$X$15,ROW(BL58)-ROW(BL$15),0),
              ROUND(ROUND(OFFSET($P58,0,BL$13),15-13*ORÇAMENTO!$AF$7)*OFFSET(ORÇAMENTO!$W$15,ROW(BL58)-ROW(BL$15),0),15-13*ORÇAMENTO!$AF$11)),
         0)</f>
        <v>15771.61</v>
      </c>
      <c r="BM58" s="352" t="n">
        <f aca="true">IF(AND($D58="Serviço",BM$12&lt;&gt;0,$H58&gt;0,OR(AUTOEVENTO&lt;&gt;"manual",$M58&lt;&gt;$A$15)),
        IF(Import.TipoArredondamento&lt;&gt;"TransfereGOV",
              ROUND(OFFSET($P58,0,BM$13),15-13*ORÇAMENTO!$AF$7)/$H58*OFFSET(ORÇAMENTO!$X$15,ROW(BM58)-ROW(BM$15),0),
              ROUND(ROUND(OFFSET($P58,0,BM$13),15-13*ORÇAMENTO!$AF$7)*OFFSET(ORÇAMENTO!$W$15,ROW(BM58)-ROW(BM$15),0),15-13*ORÇAMENTO!$AF$11)),
         0)</f>
        <v>15771.61</v>
      </c>
      <c r="BN58" s="352" t="n">
        <f aca="true">IF(AND($D58="Serviço",BN$12&lt;&gt;0,$H58&gt;0,OR(AUTOEVENTO&lt;&gt;"manual",$M58&lt;&gt;$A$15)),
        IF(Import.TipoArredondamento&lt;&gt;"TransfereGOV",
              ROUND(OFFSET($P58,0,BN$13),15-13*ORÇAMENTO!$AF$7)/$H58*OFFSET(ORÇAMENTO!$X$15,ROW(BN58)-ROW(BN$15),0),
              ROUND(ROUND(OFFSET($P58,0,BN$13),15-13*ORÇAMENTO!$AF$7)*OFFSET(ORÇAMENTO!$W$15,ROW(BN58)-ROW(BN$15),0),15-13*ORÇAMENTO!$AF$11)),
         0)</f>
        <v>15771.61</v>
      </c>
      <c r="BO58" s="352" t="n">
        <f aca="true">IF(AND($D58="Serviço",BO$12&lt;&gt;0,$H58&gt;0,OR(AUTOEVENTO&lt;&gt;"manual",$M58&lt;&gt;$A$15)),
        IF(Import.TipoArredondamento&lt;&gt;"TransfereGOV",
              ROUND(OFFSET($P58,0,BO$13),15-13*ORÇAMENTO!$AF$7)/$H58*OFFSET(ORÇAMENTO!$X$15,ROW(BO58)-ROW(BO$15),0),
              ROUND(ROUND(OFFSET($P58,0,BO$13),15-13*ORÇAMENTO!$AF$7)*OFFSET(ORÇAMENTO!$W$15,ROW(BO58)-ROW(BO$15),0),15-13*ORÇAMENTO!$AF$11)),
         0)</f>
        <v>15771.61</v>
      </c>
      <c r="BP58" s="352" t="n">
        <f aca="true">IF(AND($D58="Serviço",BP$12&lt;&gt;0,$H58&gt;0,OR(AUTOEVENTO&lt;&gt;"manual",$M58&lt;&gt;$A$15)),
        IF(Import.TipoArredondamento&lt;&gt;"TransfereGOV",
              ROUND(OFFSET($P58,0,BP$13),15-13*ORÇAMENTO!$AF$7)/$H58*OFFSET(ORÇAMENTO!$X$15,ROW(BP58)-ROW(BP$15),0),
              ROUND(ROUND(OFFSET($P58,0,BP$13),15-13*ORÇAMENTO!$AF$7)*OFFSET(ORÇAMENTO!$W$15,ROW(BP58)-ROW(BP$15),0),15-13*ORÇAMENTO!$AF$11)),
         0)</f>
        <v>15771.61</v>
      </c>
      <c r="BQ58" s="352" t="n">
        <f aca="true">IF(AND($D58="Serviço",BQ$12&lt;&gt;0,$H58&gt;0,OR(AUTOEVENTO&lt;&gt;"manual",$M58&lt;&gt;$A$15)),
        IF(Import.TipoArredondamento&lt;&gt;"TransfereGOV",
              ROUND(OFFSET($P58,0,BQ$13),15-13*ORÇAMENTO!$AF$7)/$H58*OFFSET(ORÇAMENTO!$X$15,ROW(BQ58)-ROW(BQ$15),0),
              ROUND(ROUND(OFFSET($P58,0,BQ$13),15-13*ORÇAMENTO!$AF$7)*OFFSET(ORÇAMENTO!$W$15,ROW(BQ58)-ROW(BQ$15),0),15-13*ORÇAMENTO!$AF$11)),
         0)</f>
        <v>0</v>
      </c>
      <c r="BS58" s="353" t="n">
        <f aca="true">IF(OR($D58&lt;&gt;"Serviço",AND(AUTOEVENTO="Manual",$M58=$A$15)),0,
         IF(OFFSET(CRONOPLE!$F$15,$M58-$A$15,BS$13)=0,10^12,OFFSET(CRONOPLE!$F$15,$M58-$A$15,BS$13)))</f>
        <v>1</v>
      </c>
      <c r="BT58" s="353" t="n">
        <f aca="true">IF(OR($D58&lt;&gt;"Serviço",AND(AUTOEVENTO="Manual",$M58=$A$15)),0,
         IF(OFFSET(CRONOPLE!$F$15,$M58-$A$15,BT$13)=0,10^12,OFFSET(CRONOPLE!$F$15,$M58-$A$15,BT$13)))</f>
        <v>2</v>
      </c>
      <c r="BU58" s="353" t="n">
        <f aca="true">IF(OR($D58&lt;&gt;"Serviço",AND(AUTOEVENTO="Manual",$M58=$A$15)),0,
         IF(OFFSET(CRONOPLE!$F$15,$M58-$A$15,BU$13)=0,10^12,OFFSET(CRONOPLE!$F$15,$M58-$A$15,BU$13)))</f>
        <v>3</v>
      </c>
      <c r="BV58" s="353" t="n">
        <f aca="true">IF(OR($D58&lt;&gt;"Serviço",AND(AUTOEVENTO="Manual",$M58=$A$15)),0,
         IF(OFFSET(CRONOPLE!$F$15,$M58-$A$15,BV$13)=0,10^12,OFFSET(CRONOPLE!$F$15,$M58-$A$15,BV$13)))</f>
        <v>4</v>
      </c>
      <c r="BW58" s="353" t="n">
        <f aca="true">IF(OR($D58&lt;&gt;"Serviço",AND(AUTOEVENTO="Manual",$M58=$A$15)),0,
         IF(OFFSET(CRONOPLE!$F$15,$M58-$A$15,BW$13)=0,10^12,OFFSET(CRONOPLE!$F$15,$M58-$A$15,BW$13)))</f>
        <v>5</v>
      </c>
      <c r="BX58" s="353" t="n">
        <f aca="true">IF(OR($D58&lt;&gt;"Serviço",AND(AUTOEVENTO="Manual",$M58=$A$15)),0,
         IF(OFFSET(CRONOPLE!$F$15,$M58-$A$15,BX$13)=0,10^12,OFFSET(CRONOPLE!$F$15,$M58-$A$15,BX$13)))</f>
        <v>6</v>
      </c>
      <c r="BY58" s="353" t="n">
        <f aca="true">IF(OR($D58&lt;&gt;"Serviço",AND(AUTOEVENTO="Manual",$M58=$A$15)),0,
         IF(OFFSET(CRONOPLE!$F$15,$M58-$A$15,BY$13)=0,10^12,OFFSET(CRONOPLE!$F$15,$M58-$A$15,BY$13)))</f>
        <v>7</v>
      </c>
      <c r="BZ58" s="353" t="n">
        <f aca="true">IF(OR($D58&lt;&gt;"Serviço",AND(AUTOEVENTO="Manual",$M58=$A$15)),0,
         IF(OFFSET(CRONOPLE!$F$15,$M58-$A$15,BZ$13)=0,10^12,OFFSET(CRONOPLE!$F$15,$M58-$A$15,BZ$13)))</f>
        <v>8</v>
      </c>
      <c r="CA58" s="353" t="n">
        <f aca="true">IF(OR($D58&lt;&gt;"Serviço",AND(AUTOEVENTO="Manual",$M58=$A$15)),0,
         IF(OFFSET(CRONOPLE!$F$15,$M58-$A$15,CA$13)=0,10^12,OFFSET(CRONOPLE!$F$15,$M58-$A$15,CA$13)))</f>
        <v>9</v>
      </c>
      <c r="CB58" s="353" t="n">
        <f aca="true">IF(OR($D58&lt;&gt;"Serviço",AND(AUTOEVENTO="Manual",$M58=$A$15)),0,
         IF(OFFSET(CRONOPLE!$F$15,$M58-$A$15,CB$13)=0,10^12,OFFSET(CRONOPLE!$F$15,$M58-$A$15,CB$13)))</f>
        <v>10</v>
      </c>
      <c r="CC58" s="353" t="n">
        <f aca="true">IF(OR($D58&lt;&gt;"Serviço",AND(AUTOEVENTO="Manual",$M58=$A$15)),0,
         IF(OFFSET(CRONOPLE!$F$15,$M58-$A$15,CC$13)=0,10^12,OFFSET(CRONOPLE!$F$15,$M58-$A$15,CC$13)))</f>
        <v>11</v>
      </c>
      <c r="CD58" s="353" t="n">
        <f aca="true">IF(OR($D58&lt;&gt;"Serviço",AND(AUTOEVENTO="Manual",$M58=$A$15)),0,
         IF(OFFSET(CRONOPLE!$F$15,$M58-$A$15,CD$13)=0,10^12,OFFSET(CRONOPLE!$F$15,$M58-$A$15,CD$13)))</f>
        <v>12</v>
      </c>
      <c r="CE58" s="353" t="n">
        <f aca="true">IF(OR($D58&lt;&gt;"Serviço",AND(AUTOEVENTO="Manual",$M58=$A$15)),0,
         IF(OFFSET(CRONOPLE!$F$15,$M58-$A$15,CE$13)=0,10^12,OFFSET(CRONOPLE!$F$15,$M58-$A$15,CE$13)))</f>
        <v>13</v>
      </c>
      <c r="CF58" s="353" t="n">
        <f aca="true">IF(OR($D58&lt;&gt;"Serviço",AND(AUTOEVENTO="Manual",$M58=$A$15)),0,
         IF(OFFSET(CRONOPLE!$F$15,$M58-$A$15,CF$13)=0,10^12,OFFSET(CRONOPLE!$F$15,$M58-$A$15,CF$13)))</f>
        <v>14</v>
      </c>
      <c r="CG58" s="353" t="n">
        <f aca="true">IF(OR($D58&lt;&gt;"Serviço",AND(AUTOEVENTO="Manual",$M58=$A$15)),0,
         IF(OFFSET(CRONOPLE!$F$15,$M58-$A$15,CG$13)=0,10^12,OFFSET(CRONOPLE!$F$15,$M58-$A$15,CG$13)))</f>
        <v>15</v>
      </c>
      <c r="CH58" s="353" t="n">
        <f aca="true">IF(OR($D58&lt;&gt;"Serviço",AND(AUTOEVENTO="Manual",$M58=$A$15)),0,
         IF(OFFSET(CRONOPLE!$F$15,$M58-$A$15,CH$13)=0,10^12,OFFSET(CRONOPLE!$F$15,$M58-$A$15,CH$13)))</f>
        <v>16</v>
      </c>
      <c r="CI58" s="353" t="n">
        <f aca="true">IF(OR($D58&lt;&gt;"Serviço",AND(AUTOEVENTO="Manual",$M58=$A$15)),0,
         IF(OFFSET(CRONOPLE!$F$15,$M58-$A$15,CI$13)=0,10^12,OFFSET(CRONOPLE!$F$15,$M58-$A$15,CI$13)))</f>
        <v>17</v>
      </c>
      <c r="CJ58" s="353" t="n">
        <f aca="true">IF(OR($D58&lt;&gt;"Serviço",AND(AUTOEVENTO="Manual",$M58=$A$15)),0,
         IF(OFFSET(CRONOPLE!$F$15,$M58-$A$15,CJ$13)=0,10^12,OFFSET(CRONOPLE!$F$15,$M58-$A$15,CJ$13)))</f>
        <v>18</v>
      </c>
      <c r="CK58" s="353" t="n">
        <f aca="true">IF(OR($D58&lt;&gt;"Serviço",AND(AUTOEVENTO="Manual",$M58=$A$15)),0,
         IF(OFFSET(CRONOPLE!$F$15,$M58-$A$15,CK$13)=0,10^12,OFFSET(CRONOPLE!$F$15,$M58-$A$15,CK$13)))</f>
        <v>19</v>
      </c>
      <c r="CL58" s="353" t="n">
        <f aca="true">IF(OR($D58&lt;&gt;"Serviço",AND(AUTOEVENTO="Manual",$M58=$A$15)),0,
         IF(OFFSET(CRONOPLE!$F$15,$M58-$A$15,CL$13)=0,10^12,OFFSET(CRONOPLE!$F$15,$M58-$A$15,CL$13)))</f>
        <v>20</v>
      </c>
      <c r="CM58" s="353" t="n">
        <f aca="true">IF(OR($D58&lt;&gt;"Serviço",AND(AUTOEVENTO="Manual",$M58=$A$15)),0,
         IF(OFFSET(CRONOPLE!$F$15,$M58-$A$15,CM$13)=0,10^12,OFFSET(CRONOPLE!$F$15,$M58-$A$15,CM$13)))</f>
        <v>21</v>
      </c>
      <c r="CN58" s="353" t="n">
        <f aca="true">IF(OR($D58&lt;&gt;"Serviço",AND(AUTOEVENTO="Manual",$M58=$A$15)),0,
         IF(OFFSET(CRONOPLE!$F$15,$M58-$A$15,CN$13)=0,10^12,OFFSET(CRONOPLE!$F$15,$M58-$A$15,CN$13)))</f>
        <v>22</v>
      </c>
      <c r="CO58" s="353" t="n">
        <f aca="true">IF(OR($D58&lt;&gt;"Serviço",AND(AUTOEVENTO="Manual",$M58=$A$15)),0,
         IF(OFFSET(CRONOPLE!$F$15,$M58-$A$15,CO$13)=0,10^12,OFFSET(CRONOPLE!$F$15,$M58-$A$15,CO$13)))</f>
        <v>23</v>
      </c>
      <c r="CP58" s="353" t="n">
        <f aca="true">IF(OR($D58&lt;&gt;"Serviço",AND(AUTOEVENTO="Manual",$M58=$A$15)),0,
         IF(OFFSET(CRONOPLE!$F$15,$M58-$A$15,CP$13)=0,10^12,OFFSET(CRONOPLE!$F$15,$M58-$A$15,CP$13)))</f>
        <v>24</v>
      </c>
      <c r="CQ58" s="353" t="n">
        <f aca="true">IF(OR($D58&lt;&gt;"Serviço",AND(AUTOEVENTO="Manual",$M58=$A$15)),0,
         IF(OFFSET(CRONOPLE!$F$15,$M58-$A$15,CQ$13)=0,10^12,OFFSET(CRONOPLE!$F$15,$M58-$A$15,CQ$13)))</f>
        <v>25</v>
      </c>
      <c r="CR58" s="353" t="n">
        <f aca="true">IF(OR($D58&lt;&gt;"Serviço",AND(AUTOEVENTO="Manual",$M58=$A$15)),0,
         IF(OFFSET(CRONOPLE!$F$15,$M58-$A$15,CR$13)=0,10^12,OFFSET(CRONOPLE!$F$15,$M58-$A$15,CR$13)))</f>
        <v>1000000000000</v>
      </c>
      <c r="CT58" s="354" t="n">
        <f aca="true">IF(OR($D58&lt;&gt;"Serviço",AND(AUTOEVENTO="Manual",$M58=$A$15),$M58&gt;(ROW(PLE.lastrow)-ROW(PLE.firstrow))),0,
           IF(OFFSET(PLE!$G$15,$M58-$A$15,CT$13)="",10^12,OFFSET(PLE!$G$15,$M58-$A$15,CT$13)))</f>
        <v>1000000000000</v>
      </c>
      <c r="CU58" s="354" t="n">
        <f aca="true">IF(OR($D58&lt;&gt;"Serviço",AND(AUTOEVENTO="Manual",$M58=$A$15),$M58&gt;(ROW(PLE.lastrow)-ROW(PLE.firstrow))),0,
           IF(OFFSET(PLE!$G$15,$M58-$A$15,CU$13)="",10^12,OFFSET(PLE!$G$15,$M58-$A$15,CU$13)))</f>
        <v>1000000000000</v>
      </c>
      <c r="CV58" s="354" t="n">
        <f aca="true">IF(OR($D58&lt;&gt;"Serviço",AND(AUTOEVENTO="Manual",$M58=$A$15),$M58&gt;(ROW(PLE.lastrow)-ROW(PLE.firstrow))),0,
           IF(OFFSET(PLE!$G$15,$M58-$A$15,CV$13)="",10^12,OFFSET(PLE!$G$15,$M58-$A$15,CV$13)))</f>
        <v>1000000000000</v>
      </c>
      <c r="CW58" s="354" t="n">
        <f aca="true">IF(OR($D58&lt;&gt;"Serviço",AND(AUTOEVENTO="Manual",$M58=$A$15),$M58&gt;(ROW(PLE.lastrow)-ROW(PLE.firstrow))),0,
           IF(OFFSET(PLE!$G$15,$M58-$A$15,CW$13)="",10^12,OFFSET(PLE!$G$15,$M58-$A$15,CW$13)))</f>
        <v>1000000000000</v>
      </c>
      <c r="CX58" s="354" t="n">
        <f aca="true">IF(OR($D58&lt;&gt;"Serviço",AND(AUTOEVENTO="Manual",$M58=$A$15),$M58&gt;(ROW(PLE.lastrow)-ROW(PLE.firstrow))),0,
           IF(OFFSET(PLE!$G$15,$M58-$A$15,CX$13)="",10^12,OFFSET(PLE!$G$15,$M58-$A$15,CX$13)))</f>
        <v>1000000000000</v>
      </c>
      <c r="CY58" s="354" t="n">
        <f aca="true">IF(OR($D58&lt;&gt;"Serviço",AND(AUTOEVENTO="Manual",$M58=$A$15),$M58&gt;(ROW(PLE.lastrow)-ROW(PLE.firstrow))),0,
           IF(OFFSET(PLE!$G$15,$M58-$A$15,CY$13)="",10^12,OFFSET(PLE!$G$15,$M58-$A$15,CY$13)))</f>
        <v>1000000000000</v>
      </c>
      <c r="CZ58" s="354" t="n">
        <f aca="true">IF(OR($D58&lt;&gt;"Serviço",AND(AUTOEVENTO="Manual",$M58=$A$15),$M58&gt;(ROW(PLE.lastrow)-ROW(PLE.firstrow))),0,
           IF(OFFSET(PLE!$G$15,$M58-$A$15,CZ$13)="",10^12,OFFSET(PLE!$G$15,$M58-$A$15,CZ$13)))</f>
        <v>1000000000000</v>
      </c>
      <c r="DA58" s="354" t="n">
        <f aca="true">IF(OR($D58&lt;&gt;"Serviço",AND(AUTOEVENTO="Manual",$M58=$A$15),$M58&gt;(ROW(PLE.lastrow)-ROW(PLE.firstrow))),0,
           IF(OFFSET(PLE!$G$15,$M58-$A$15,DA$13)="",10^12,OFFSET(PLE!$G$15,$M58-$A$15,DA$13)))</f>
        <v>1000000000000</v>
      </c>
      <c r="DB58" s="354" t="n">
        <f aca="true">IF(OR($D58&lt;&gt;"Serviço",AND(AUTOEVENTO="Manual",$M58=$A$15),$M58&gt;(ROW(PLE.lastrow)-ROW(PLE.firstrow))),0,
           IF(OFFSET(PLE!$G$15,$M58-$A$15,DB$13)="",10^12,OFFSET(PLE!$G$15,$M58-$A$15,DB$13)))</f>
        <v>1000000000000</v>
      </c>
      <c r="DC58" s="354" t="n">
        <f aca="true">IF(OR($D58&lt;&gt;"Serviço",AND(AUTOEVENTO="Manual",$M58=$A$15),$M58&gt;(ROW(PLE.lastrow)-ROW(PLE.firstrow))),0,
           IF(OFFSET(PLE!$G$15,$M58-$A$15,DC$13)="",10^12,OFFSET(PLE!$G$15,$M58-$A$15,DC$13)))</f>
        <v>1000000000000</v>
      </c>
      <c r="DD58" s="354" t="n">
        <f aca="true">IF(OR($D58&lt;&gt;"Serviço",AND(AUTOEVENTO="Manual",$M58=$A$15),$M58&gt;(ROW(PLE.lastrow)-ROW(PLE.firstrow))),0,
           IF(OFFSET(PLE!$G$15,$M58-$A$15,DD$13)="",10^12,OFFSET(PLE!$G$15,$M58-$A$15,DD$13)))</f>
        <v>1000000000000</v>
      </c>
      <c r="DE58" s="354" t="n">
        <f aca="true">IF(OR($D58&lt;&gt;"Serviço",AND(AUTOEVENTO="Manual",$M58=$A$15),$M58&gt;(ROW(PLE.lastrow)-ROW(PLE.firstrow))),0,
           IF(OFFSET(PLE!$G$15,$M58-$A$15,DE$13)="",10^12,OFFSET(PLE!$G$15,$M58-$A$15,DE$13)))</f>
        <v>1000000000000</v>
      </c>
      <c r="DF58" s="354" t="n">
        <f aca="true">IF(OR($D58&lt;&gt;"Serviço",AND(AUTOEVENTO="Manual",$M58=$A$15),$M58&gt;(ROW(PLE.lastrow)-ROW(PLE.firstrow))),0,
           IF(OFFSET(PLE!$G$15,$M58-$A$15,DF$13)="",10^12,OFFSET(PLE!$G$15,$M58-$A$15,DF$13)))</f>
        <v>1000000000000</v>
      </c>
      <c r="DG58" s="354" t="n">
        <f aca="true">IF(OR($D58&lt;&gt;"Serviço",AND(AUTOEVENTO="Manual",$M58=$A$15),$M58&gt;(ROW(PLE.lastrow)-ROW(PLE.firstrow))),0,
           IF(OFFSET(PLE!$G$15,$M58-$A$15,DG$13)="",10^12,OFFSET(PLE!$G$15,$M58-$A$15,DG$13)))</f>
        <v>1000000000000</v>
      </c>
      <c r="DH58" s="354" t="n">
        <f aca="true">IF(OR($D58&lt;&gt;"Serviço",AND(AUTOEVENTO="Manual",$M58=$A$15),$M58&gt;(ROW(PLE.lastrow)-ROW(PLE.firstrow))),0,
           IF(OFFSET(PLE!$G$15,$M58-$A$15,DH$13)="",10^12,OFFSET(PLE!$G$15,$M58-$A$15,DH$13)))</f>
        <v>1000000000000</v>
      </c>
      <c r="DI58" s="354" t="n">
        <f aca="true">IF(OR($D58&lt;&gt;"Serviço",AND(AUTOEVENTO="Manual",$M58=$A$15),$M58&gt;(ROW(PLE.lastrow)-ROW(PLE.firstrow))),0,
           IF(OFFSET(PLE!$G$15,$M58-$A$15,DI$13)="",10^12,OFFSET(PLE!$G$15,$M58-$A$15,DI$13)))</f>
        <v>1000000000000</v>
      </c>
      <c r="DJ58" s="354" t="n">
        <f aca="true">IF(OR($D58&lt;&gt;"Serviço",AND(AUTOEVENTO="Manual",$M58=$A$15),$M58&gt;(ROW(PLE.lastrow)-ROW(PLE.firstrow))),0,
           IF(OFFSET(PLE!$G$15,$M58-$A$15,DJ$13)="",10^12,OFFSET(PLE!$G$15,$M58-$A$15,DJ$13)))</f>
        <v>1000000000000</v>
      </c>
      <c r="DK58" s="354" t="n">
        <f aca="true">IF(OR($D58&lt;&gt;"Serviço",AND(AUTOEVENTO="Manual",$M58=$A$15),$M58&gt;(ROW(PLE.lastrow)-ROW(PLE.firstrow))),0,
           IF(OFFSET(PLE!$G$15,$M58-$A$15,DK$13)="",10^12,OFFSET(PLE!$G$15,$M58-$A$15,DK$13)))</f>
        <v>1000000000000</v>
      </c>
      <c r="DL58" s="354" t="n">
        <f aca="true">IF(OR($D58&lt;&gt;"Serviço",AND(AUTOEVENTO="Manual",$M58=$A$15),$M58&gt;(ROW(PLE.lastrow)-ROW(PLE.firstrow))),0,
           IF(OFFSET(PLE!$G$15,$M58-$A$15,DL$13)="",10^12,OFFSET(PLE!$G$15,$M58-$A$15,DL$13)))</f>
        <v>1000000000000</v>
      </c>
      <c r="DM58" s="354" t="n">
        <f aca="true">IF(OR($D58&lt;&gt;"Serviço",AND(AUTOEVENTO="Manual",$M58=$A$15),$M58&gt;(ROW(PLE.lastrow)-ROW(PLE.firstrow))),0,
           IF(OFFSET(PLE!$G$15,$M58-$A$15,DM$13)="",10^12,OFFSET(PLE!$G$15,$M58-$A$15,DM$13)))</f>
        <v>1000000000000</v>
      </c>
      <c r="DN58" s="354" t="n">
        <f aca="true">IF(OR($D58&lt;&gt;"Serviço",AND(AUTOEVENTO="Manual",$M58=$A$15),$M58&gt;(ROW(PLE.lastrow)-ROW(PLE.firstrow))),0,
           IF(OFFSET(PLE!$G$15,$M58-$A$15,DN$13)="",10^12,OFFSET(PLE!$G$15,$M58-$A$15,DN$13)))</f>
        <v>1000000000000</v>
      </c>
      <c r="DO58" s="354" t="n">
        <f aca="true">IF(OR($D58&lt;&gt;"Serviço",AND(AUTOEVENTO="Manual",$M58=$A$15),$M58&gt;(ROW(PLE.lastrow)-ROW(PLE.firstrow))),0,
           IF(OFFSET(PLE!$G$15,$M58-$A$15,DO$13)="",10^12,OFFSET(PLE!$G$15,$M58-$A$15,DO$13)))</f>
        <v>1000000000000</v>
      </c>
      <c r="DP58" s="354" t="n">
        <f aca="true">IF(OR($D58&lt;&gt;"Serviço",AND(AUTOEVENTO="Manual",$M58=$A$15),$M58&gt;(ROW(PLE.lastrow)-ROW(PLE.firstrow))),0,
           IF(OFFSET(PLE!$G$15,$M58-$A$15,DP$13)="",10^12,OFFSET(PLE!$G$15,$M58-$A$15,DP$13)))</f>
        <v>1000000000000</v>
      </c>
      <c r="DQ58" s="354" t="n">
        <f aca="true">IF(OR($D58&lt;&gt;"Serviço",AND(AUTOEVENTO="Manual",$M58=$A$15),$M58&gt;(ROW(PLE.lastrow)-ROW(PLE.firstrow))),0,
           IF(OFFSET(PLE!$G$15,$M58-$A$15,DQ$13)="",10^12,OFFSET(PLE!$G$15,$M58-$A$15,DQ$13)))</f>
        <v>1000000000000</v>
      </c>
      <c r="DR58" s="354" t="n">
        <f aca="true">IF(OR($D58&lt;&gt;"Serviço",AND(AUTOEVENTO="Manual",$M58=$A$15),$M58&gt;(ROW(PLE.lastrow)-ROW(PLE.firstrow))),0,
           IF(OFFSET(PLE!$G$15,$M58-$A$15,DR$13)="",10^12,OFFSET(PLE!$G$15,$M58-$A$15,DR$13)))</f>
        <v>1000000000000</v>
      </c>
      <c r="DS58" s="354" t="n">
        <f aca="true">IF(OR($D58&lt;&gt;"Serviço",AND(AUTOEVENTO="Manual",$M58=$A$15),$M58&gt;(ROW(PLE.lastrow)-ROW(PLE.firstrow))),0,
           IF(OFFSET(PLE!$G$15,$M58-$A$15,DS$13)="",10^12,OFFSET(PLE!$G$15,$M58-$A$15,DS$13)))</f>
        <v>1000000000000</v>
      </c>
    </row>
    <row r="59" customFormat="false" ht="46.25" hidden="false" customHeight="false" outlineLevel="0" collapsed="false">
      <c r="A59" s="50" t="str">
        <f aca="true">IFERROR(IF(AUTOEVENTO="Manual",IF(K59&lt;&gt;"",MIN(VALUE(LEFT(K59,FIND(".",K59)-1)),COUNTA(EVENTOS.Lista)),0),IF(OR($B59&gt;AUTOEVENTO,$B59="S",$B59=0),SUBSTITUTE(OFFSET($A59,-1,0),IF($D59="Serviço",".",""),""),ROW(A59)-ROW($A$15)&amp;".")),0)</f>
        <v>42</v>
      </c>
      <c r="B59" s="50" t="str">
        <f aca="true">OFFSET(ORÇAMENTO!C$15,ROW(B59)-ROW(B$15),0)</f>
        <v>S</v>
      </c>
      <c r="C59" s="50" t="str">
        <f aca="true">OFFSET(ORÇAMENTO!L$15,ROW(C59)-ROW(C$15),0)</f>
        <v>F</v>
      </c>
      <c r="D59" s="201" t="str">
        <f aca="true">OFFSET(ORÇAMENTO!N$15,ROW(D59)-ROW(D$15),0)</f>
        <v>Serviço</v>
      </c>
      <c r="E59" s="202" t="str">
        <f aca="true">OFFSET(ORÇAMENTO!O$15,ROW(E59)-ROW(E$15),0)</f>
        <v>1.11.2.</v>
      </c>
      <c r="F59" s="341" t="str">
        <f aca="true">OFFSET(ORÇAMENTO!R$15,ROW(F59)-ROW(F$15),0)</f>
        <v>VERGA OU CONTRAVERGA EM CONCRETO ESTRUTURAL PARA
VÃOS DE ATÉ 150CM, PREPARADO EM OBRA COM BETONEIRA,
CONTROLE "A", COM FCK 20 MPA, MOLDADA IN LOCO, INCLUSIVE
ARMAÇÃO </v>
      </c>
      <c r="G59" s="342" t="str">
        <f aca="true">IF($D59&lt;&gt;"Serviço","",OFFSET(ORÇAMENTO!S$15,ROW(G59)-ROW(G$15),0))</f>
        <v>M3</v>
      </c>
      <c r="H59" s="207" t="n">
        <f aca="true">IF($D59&lt;&gt;"Serviço",0,IF(ACOMPANHAMENTO="BM",ROUND(OFFSET(ORÇAMENTO!AJ$15,ROW(H59)-ROW(H$15),0),15-13*ORÇAMENTO!$AF$7),SUMPRODUCT(($Q$1:$AQ$1=1)*ROUND($Q59:$AQ59,15-13*ORÇAMENTO!$AF$7))))</f>
        <v>8</v>
      </c>
      <c r="I59" s="343" t="s">
        <v>941</v>
      </c>
      <c r="J59" s="344" t="e">
        <f aca="false">IF(OR(B59&lt;&gt;"S",CÁLCULO.FrentesPreenchidas=0),"",IF(AND(ACOMPANHAMENTO="PLE",AUTOEVENTO="Manual",OR(H59&gt;0,ORÇAMENTO!AC59="QUANT."),OR(K59="",M59=0,N59="")),"►",IF(AND(ACOMPANHAMENTO="PLE",ORÇAMENTO!AC59="QUANT."),"►►",IF(AND(COUNTIF($P$11:$AQ$11,"▼")=0,H59&gt;0,I59=""),"◄",""))))</f>
        <v>#NAME?</v>
      </c>
      <c r="K59" s="345"/>
      <c r="L59" s="346" t="s">
        <v>876</v>
      </c>
      <c r="M59" s="347" t="n">
        <f aca="true">IF($D59&lt;&gt;"Serviço","",
          IF(AUTOEVENTO="manual",$A59,
                IF(ISERROR(MATCH($A59,$A$15:OFFSET($A59,-1,0),0)),MAX($M$15:OFFSET(M59,-1,0))+1,
                      INDEX($M$15:OFFSET(M59,-1,0),MATCH($A59,$A$15:OFFSET($A59,-1,0),0)))))</f>
        <v>7</v>
      </c>
      <c r="N59" s="348" t="str">
        <f aca="true">IF($D59&lt;&gt;"Serviço","",
         IF(AUTOEVENTO="Manual",
                IF($A59=0,"&lt;-- defina o número do agrupador",
                       OFFSET(EVENTOS!$D$15,$A59-$A$15,0)),
                OFFSET($F$15,$A59,0)))</f>
        <v>ALVENARIA/FECHAMENTOS</v>
      </c>
      <c r="O59" s="349"/>
      <c r="Q59" s="349" t="n">
        <v>0.32</v>
      </c>
      <c r="R59" s="350" t="n">
        <f aca="false">Q59</f>
        <v>0.32</v>
      </c>
      <c r="S59" s="350" t="n">
        <f aca="false">R59</f>
        <v>0.32</v>
      </c>
      <c r="T59" s="350" t="n">
        <f aca="false">S59</f>
        <v>0.32</v>
      </c>
      <c r="U59" s="350" t="n">
        <f aca="false">T59</f>
        <v>0.32</v>
      </c>
      <c r="V59" s="350" t="n">
        <f aca="false">U59</f>
        <v>0.32</v>
      </c>
      <c r="W59" s="350" t="n">
        <f aca="false">V59</f>
        <v>0.32</v>
      </c>
      <c r="X59" s="350" t="n">
        <f aca="false">W59</f>
        <v>0.32</v>
      </c>
      <c r="Y59" s="350" t="n">
        <f aca="false">X59</f>
        <v>0.32</v>
      </c>
      <c r="Z59" s="351" t="n">
        <f aca="false">Y59</f>
        <v>0.32</v>
      </c>
      <c r="AA59" s="350" t="n">
        <f aca="false">Z59</f>
        <v>0.32</v>
      </c>
      <c r="AB59" s="350" t="n">
        <f aca="false">AA59</f>
        <v>0.32</v>
      </c>
      <c r="AC59" s="350" t="n">
        <f aca="false">AB59</f>
        <v>0.32</v>
      </c>
      <c r="AD59" s="350" t="n">
        <f aca="false">AC59</f>
        <v>0.32</v>
      </c>
      <c r="AE59" s="350" t="n">
        <f aca="false">AD59</f>
        <v>0.32</v>
      </c>
      <c r="AF59" s="350" t="n">
        <f aca="false">AE59</f>
        <v>0.32</v>
      </c>
      <c r="AG59" s="350" t="n">
        <f aca="false">AF59</f>
        <v>0.32</v>
      </c>
      <c r="AH59" s="351" t="n">
        <f aca="false">AG59</f>
        <v>0.32</v>
      </c>
      <c r="AI59" s="350" t="n">
        <f aca="false">AH59</f>
        <v>0.32</v>
      </c>
      <c r="AJ59" s="350" t="n">
        <f aca="false">AI59</f>
        <v>0.32</v>
      </c>
      <c r="AK59" s="350" t="n">
        <f aca="false">AJ59</f>
        <v>0.32</v>
      </c>
      <c r="AL59" s="350" t="n">
        <f aca="false">AK59</f>
        <v>0.32</v>
      </c>
      <c r="AM59" s="350" t="n">
        <f aca="false">AL59</f>
        <v>0.32</v>
      </c>
      <c r="AN59" s="350" t="n">
        <f aca="false">AM59</f>
        <v>0.32</v>
      </c>
      <c r="AO59" s="350" t="n">
        <f aca="false">AN59</f>
        <v>0.32</v>
      </c>
      <c r="AP59" s="351"/>
      <c r="AR59" s="352" t="n">
        <f aca="true">IF(AND($D59="Serviço",AR$12&lt;&gt;0,$H59&gt;0,OR(AUTOEVENTO&lt;&gt;"manual",$M59&lt;&gt;$A$15)),
        IF(Import.TipoArredondamento&lt;&gt;"TransfereGOV",
              ROUND(OFFSET($P59,0,AR$13),15-13*ORÇAMENTO!$AF$7)/$H59*OFFSET(ORÇAMENTO!$X$15,ROW(AR59)-ROW(AR$15),0),
              ROUND(ROUND(OFFSET($P59,0,AR$13),15-13*ORÇAMENTO!$AF$7)*OFFSET(ORÇAMENTO!$W$15,ROW(AR59)-ROW(AR$15),0),15-13*ORÇAMENTO!$AF$11)),
         0)</f>
        <v>1297.21</v>
      </c>
      <c r="AS59" s="352" t="n">
        <f aca="true">IF(AND($D59="Serviço",AS$12&lt;&gt;0,$H59&gt;0,OR(AUTOEVENTO&lt;&gt;"manual",$M59&lt;&gt;$A$15)),
        IF(Import.TipoArredondamento&lt;&gt;"TransfereGOV",
              ROUND(OFFSET($P59,0,AS$13),15-13*ORÇAMENTO!$AF$7)/$H59*OFFSET(ORÇAMENTO!$X$15,ROW(AS59)-ROW(AS$15),0),
              ROUND(ROUND(OFFSET($P59,0,AS$13),15-13*ORÇAMENTO!$AF$7)*OFFSET(ORÇAMENTO!$W$15,ROW(AS59)-ROW(AS$15),0),15-13*ORÇAMENTO!$AF$11)),
         0)</f>
        <v>1297.21</v>
      </c>
      <c r="AT59" s="352" t="n">
        <f aca="true">IF(AND($D59="Serviço",AT$12&lt;&gt;0,$H59&gt;0,OR(AUTOEVENTO&lt;&gt;"manual",$M59&lt;&gt;$A$15)),
        IF(Import.TipoArredondamento&lt;&gt;"TransfereGOV",
              ROUND(OFFSET($P59,0,AT$13),15-13*ORÇAMENTO!$AF$7)/$H59*OFFSET(ORÇAMENTO!$X$15,ROW(AT59)-ROW(AT$15),0),
              ROUND(ROUND(OFFSET($P59,0,AT$13),15-13*ORÇAMENTO!$AF$7)*OFFSET(ORÇAMENTO!$W$15,ROW(AT59)-ROW(AT$15),0),15-13*ORÇAMENTO!$AF$11)),
         0)</f>
        <v>1297.21</v>
      </c>
      <c r="AU59" s="352" t="n">
        <f aca="true">IF(AND($D59="Serviço",AU$12&lt;&gt;0,$H59&gt;0,OR(AUTOEVENTO&lt;&gt;"manual",$M59&lt;&gt;$A$15)),
        IF(Import.TipoArredondamento&lt;&gt;"TransfereGOV",
              ROUND(OFFSET($P59,0,AU$13),15-13*ORÇAMENTO!$AF$7)/$H59*OFFSET(ORÇAMENTO!$X$15,ROW(AU59)-ROW(AU$15),0),
              ROUND(ROUND(OFFSET($P59,0,AU$13),15-13*ORÇAMENTO!$AF$7)*OFFSET(ORÇAMENTO!$W$15,ROW(AU59)-ROW(AU$15),0),15-13*ORÇAMENTO!$AF$11)),
         0)</f>
        <v>1297.21</v>
      </c>
      <c r="AV59" s="352" t="n">
        <f aca="true">IF(AND($D59="Serviço",AV$12&lt;&gt;0,$H59&gt;0,OR(AUTOEVENTO&lt;&gt;"manual",$M59&lt;&gt;$A$15)),
        IF(Import.TipoArredondamento&lt;&gt;"TransfereGOV",
              ROUND(OFFSET($P59,0,AV$13),15-13*ORÇAMENTO!$AF$7)/$H59*OFFSET(ORÇAMENTO!$X$15,ROW(AV59)-ROW(AV$15),0),
              ROUND(ROUND(OFFSET($P59,0,AV$13),15-13*ORÇAMENTO!$AF$7)*OFFSET(ORÇAMENTO!$W$15,ROW(AV59)-ROW(AV$15),0),15-13*ORÇAMENTO!$AF$11)),
         0)</f>
        <v>1297.21</v>
      </c>
      <c r="AW59" s="352" t="n">
        <f aca="true">IF(AND($D59="Serviço",AW$12&lt;&gt;0,$H59&gt;0,OR(AUTOEVENTO&lt;&gt;"manual",$M59&lt;&gt;$A$15)),
        IF(Import.TipoArredondamento&lt;&gt;"TransfereGOV",
              ROUND(OFFSET($P59,0,AW$13),15-13*ORÇAMENTO!$AF$7)/$H59*OFFSET(ORÇAMENTO!$X$15,ROW(AW59)-ROW(AW$15),0),
              ROUND(ROUND(OFFSET($P59,0,AW$13),15-13*ORÇAMENTO!$AF$7)*OFFSET(ORÇAMENTO!$W$15,ROW(AW59)-ROW(AW$15),0),15-13*ORÇAMENTO!$AF$11)),
         0)</f>
        <v>1297.21</v>
      </c>
      <c r="AX59" s="352" t="n">
        <f aca="true">IF(AND($D59="Serviço",AX$12&lt;&gt;0,$H59&gt;0,OR(AUTOEVENTO&lt;&gt;"manual",$M59&lt;&gt;$A$15)),
        IF(Import.TipoArredondamento&lt;&gt;"TransfereGOV",
              ROUND(OFFSET($P59,0,AX$13),15-13*ORÇAMENTO!$AF$7)/$H59*OFFSET(ORÇAMENTO!$X$15,ROW(AX59)-ROW(AX$15),0),
              ROUND(ROUND(OFFSET($P59,0,AX$13),15-13*ORÇAMENTO!$AF$7)*OFFSET(ORÇAMENTO!$W$15,ROW(AX59)-ROW(AX$15),0),15-13*ORÇAMENTO!$AF$11)),
         0)</f>
        <v>1297.21</v>
      </c>
      <c r="AY59" s="352" t="n">
        <f aca="true">IF(AND($D59="Serviço",AY$12&lt;&gt;0,$H59&gt;0,OR(AUTOEVENTO&lt;&gt;"manual",$M59&lt;&gt;$A$15)),
        IF(Import.TipoArredondamento&lt;&gt;"TransfereGOV",
              ROUND(OFFSET($P59,0,AY$13),15-13*ORÇAMENTO!$AF$7)/$H59*OFFSET(ORÇAMENTO!$X$15,ROW(AY59)-ROW(AY$15),0),
              ROUND(ROUND(OFFSET($P59,0,AY$13),15-13*ORÇAMENTO!$AF$7)*OFFSET(ORÇAMENTO!$W$15,ROW(AY59)-ROW(AY$15),0),15-13*ORÇAMENTO!$AF$11)),
         0)</f>
        <v>1297.21</v>
      </c>
      <c r="AZ59" s="352" t="n">
        <f aca="true">IF(AND($D59="Serviço",AZ$12&lt;&gt;0,$H59&gt;0,OR(AUTOEVENTO&lt;&gt;"manual",$M59&lt;&gt;$A$15)),
        IF(Import.TipoArredondamento&lt;&gt;"TransfereGOV",
              ROUND(OFFSET($P59,0,AZ$13),15-13*ORÇAMENTO!$AF$7)/$H59*OFFSET(ORÇAMENTO!$X$15,ROW(AZ59)-ROW(AZ$15),0),
              ROUND(ROUND(OFFSET($P59,0,AZ$13),15-13*ORÇAMENTO!$AF$7)*OFFSET(ORÇAMENTO!$W$15,ROW(AZ59)-ROW(AZ$15),0),15-13*ORÇAMENTO!$AF$11)),
         0)</f>
        <v>1297.21</v>
      </c>
      <c r="BA59" s="352" t="n">
        <f aca="true">IF(AND($D59="Serviço",BA$12&lt;&gt;0,$H59&gt;0,OR(AUTOEVENTO&lt;&gt;"manual",$M59&lt;&gt;$A$15)),
        IF(Import.TipoArredondamento&lt;&gt;"TransfereGOV",
              ROUND(OFFSET($P59,0,BA$13),15-13*ORÇAMENTO!$AF$7)/$H59*OFFSET(ORÇAMENTO!$X$15,ROW(BA59)-ROW(BA$15),0),
              ROUND(ROUND(OFFSET($P59,0,BA$13),15-13*ORÇAMENTO!$AF$7)*OFFSET(ORÇAMENTO!$W$15,ROW(BA59)-ROW(BA$15),0),15-13*ORÇAMENTO!$AF$11)),
         0)</f>
        <v>1297.21</v>
      </c>
      <c r="BB59" s="352" t="n">
        <f aca="true">IF(AND($D59="Serviço",BB$12&lt;&gt;0,$H59&gt;0,OR(AUTOEVENTO&lt;&gt;"manual",$M59&lt;&gt;$A$15)),
        IF(Import.TipoArredondamento&lt;&gt;"TransfereGOV",
              ROUND(OFFSET($P59,0,BB$13),15-13*ORÇAMENTO!$AF$7)/$H59*OFFSET(ORÇAMENTO!$X$15,ROW(BB59)-ROW(BB$15),0),
              ROUND(ROUND(OFFSET($P59,0,BB$13),15-13*ORÇAMENTO!$AF$7)*OFFSET(ORÇAMENTO!$W$15,ROW(BB59)-ROW(BB$15),0),15-13*ORÇAMENTO!$AF$11)),
         0)</f>
        <v>1297.21</v>
      </c>
      <c r="BC59" s="352" t="n">
        <f aca="true">IF(AND($D59="Serviço",BC$12&lt;&gt;0,$H59&gt;0,OR(AUTOEVENTO&lt;&gt;"manual",$M59&lt;&gt;$A$15)),
        IF(Import.TipoArredondamento&lt;&gt;"TransfereGOV",
              ROUND(OFFSET($P59,0,BC$13),15-13*ORÇAMENTO!$AF$7)/$H59*OFFSET(ORÇAMENTO!$X$15,ROW(BC59)-ROW(BC$15),0),
              ROUND(ROUND(OFFSET($P59,0,BC$13),15-13*ORÇAMENTO!$AF$7)*OFFSET(ORÇAMENTO!$W$15,ROW(BC59)-ROW(BC$15),0),15-13*ORÇAMENTO!$AF$11)),
         0)</f>
        <v>1297.21</v>
      </c>
      <c r="BD59" s="352" t="n">
        <f aca="true">IF(AND($D59="Serviço",BD$12&lt;&gt;0,$H59&gt;0,OR(AUTOEVENTO&lt;&gt;"manual",$M59&lt;&gt;$A$15)),
        IF(Import.TipoArredondamento&lt;&gt;"TransfereGOV",
              ROUND(OFFSET($P59,0,BD$13),15-13*ORÇAMENTO!$AF$7)/$H59*OFFSET(ORÇAMENTO!$X$15,ROW(BD59)-ROW(BD$15),0),
              ROUND(ROUND(OFFSET($P59,0,BD$13),15-13*ORÇAMENTO!$AF$7)*OFFSET(ORÇAMENTO!$W$15,ROW(BD59)-ROW(BD$15),0),15-13*ORÇAMENTO!$AF$11)),
         0)</f>
        <v>1297.21</v>
      </c>
      <c r="BE59" s="352" t="n">
        <f aca="true">IF(AND($D59="Serviço",BE$12&lt;&gt;0,$H59&gt;0,OR(AUTOEVENTO&lt;&gt;"manual",$M59&lt;&gt;$A$15)),
        IF(Import.TipoArredondamento&lt;&gt;"TransfereGOV",
              ROUND(OFFSET($P59,0,BE$13),15-13*ORÇAMENTO!$AF$7)/$H59*OFFSET(ORÇAMENTO!$X$15,ROW(BE59)-ROW(BE$15),0),
              ROUND(ROUND(OFFSET($P59,0,BE$13),15-13*ORÇAMENTO!$AF$7)*OFFSET(ORÇAMENTO!$W$15,ROW(BE59)-ROW(BE$15),0),15-13*ORÇAMENTO!$AF$11)),
         0)</f>
        <v>1297.21</v>
      </c>
      <c r="BF59" s="352" t="n">
        <f aca="true">IF(AND($D59="Serviço",BF$12&lt;&gt;0,$H59&gt;0,OR(AUTOEVENTO&lt;&gt;"manual",$M59&lt;&gt;$A$15)),
        IF(Import.TipoArredondamento&lt;&gt;"TransfereGOV",
              ROUND(OFFSET($P59,0,BF$13),15-13*ORÇAMENTO!$AF$7)/$H59*OFFSET(ORÇAMENTO!$X$15,ROW(BF59)-ROW(BF$15),0),
              ROUND(ROUND(OFFSET($P59,0,BF$13),15-13*ORÇAMENTO!$AF$7)*OFFSET(ORÇAMENTO!$W$15,ROW(BF59)-ROW(BF$15),0),15-13*ORÇAMENTO!$AF$11)),
         0)</f>
        <v>1297.21</v>
      </c>
      <c r="BG59" s="352" t="n">
        <f aca="true">IF(AND($D59="Serviço",BG$12&lt;&gt;0,$H59&gt;0,OR(AUTOEVENTO&lt;&gt;"manual",$M59&lt;&gt;$A$15)),
        IF(Import.TipoArredondamento&lt;&gt;"TransfereGOV",
              ROUND(OFFSET($P59,0,BG$13),15-13*ORÇAMENTO!$AF$7)/$H59*OFFSET(ORÇAMENTO!$X$15,ROW(BG59)-ROW(BG$15),0),
              ROUND(ROUND(OFFSET($P59,0,BG$13),15-13*ORÇAMENTO!$AF$7)*OFFSET(ORÇAMENTO!$W$15,ROW(BG59)-ROW(BG$15),0),15-13*ORÇAMENTO!$AF$11)),
         0)</f>
        <v>1297.21</v>
      </c>
      <c r="BH59" s="352" t="n">
        <f aca="true">IF(AND($D59="Serviço",BH$12&lt;&gt;0,$H59&gt;0,OR(AUTOEVENTO&lt;&gt;"manual",$M59&lt;&gt;$A$15)),
        IF(Import.TipoArredondamento&lt;&gt;"TransfereGOV",
              ROUND(OFFSET($P59,0,BH$13),15-13*ORÇAMENTO!$AF$7)/$H59*OFFSET(ORÇAMENTO!$X$15,ROW(BH59)-ROW(BH$15),0),
              ROUND(ROUND(OFFSET($P59,0,BH$13),15-13*ORÇAMENTO!$AF$7)*OFFSET(ORÇAMENTO!$W$15,ROW(BH59)-ROW(BH$15),0),15-13*ORÇAMENTO!$AF$11)),
         0)</f>
        <v>1297.21</v>
      </c>
      <c r="BI59" s="352" t="n">
        <f aca="true">IF(AND($D59="Serviço",BI$12&lt;&gt;0,$H59&gt;0,OR(AUTOEVENTO&lt;&gt;"manual",$M59&lt;&gt;$A$15)),
        IF(Import.TipoArredondamento&lt;&gt;"TransfereGOV",
              ROUND(OFFSET($P59,0,BI$13),15-13*ORÇAMENTO!$AF$7)/$H59*OFFSET(ORÇAMENTO!$X$15,ROW(BI59)-ROW(BI$15),0),
              ROUND(ROUND(OFFSET($P59,0,BI$13),15-13*ORÇAMENTO!$AF$7)*OFFSET(ORÇAMENTO!$W$15,ROW(BI59)-ROW(BI$15),0),15-13*ORÇAMENTO!$AF$11)),
         0)</f>
        <v>1297.21</v>
      </c>
      <c r="BJ59" s="352" t="n">
        <f aca="true">IF(AND($D59="Serviço",BJ$12&lt;&gt;0,$H59&gt;0,OR(AUTOEVENTO&lt;&gt;"manual",$M59&lt;&gt;$A$15)),
        IF(Import.TipoArredondamento&lt;&gt;"TransfereGOV",
              ROUND(OFFSET($P59,0,BJ$13),15-13*ORÇAMENTO!$AF$7)/$H59*OFFSET(ORÇAMENTO!$X$15,ROW(BJ59)-ROW(BJ$15),0),
              ROUND(ROUND(OFFSET($P59,0,BJ$13),15-13*ORÇAMENTO!$AF$7)*OFFSET(ORÇAMENTO!$W$15,ROW(BJ59)-ROW(BJ$15),0),15-13*ORÇAMENTO!$AF$11)),
         0)</f>
        <v>1297.21</v>
      </c>
      <c r="BK59" s="352" t="n">
        <f aca="true">IF(AND($D59="Serviço",BK$12&lt;&gt;0,$H59&gt;0,OR(AUTOEVENTO&lt;&gt;"manual",$M59&lt;&gt;$A$15)),
        IF(Import.TipoArredondamento&lt;&gt;"TransfereGOV",
              ROUND(OFFSET($P59,0,BK$13),15-13*ORÇAMENTO!$AF$7)/$H59*OFFSET(ORÇAMENTO!$X$15,ROW(BK59)-ROW(BK$15),0),
              ROUND(ROUND(OFFSET($P59,0,BK$13),15-13*ORÇAMENTO!$AF$7)*OFFSET(ORÇAMENTO!$W$15,ROW(BK59)-ROW(BK$15),0),15-13*ORÇAMENTO!$AF$11)),
         0)</f>
        <v>1297.21</v>
      </c>
      <c r="BL59" s="352" t="n">
        <f aca="true">IF(AND($D59="Serviço",BL$12&lt;&gt;0,$H59&gt;0,OR(AUTOEVENTO&lt;&gt;"manual",$M59&lt;&gt;$A$15)),
        IF(Import.TipoArredondamento&lt;&gt;"TransfereGOV",
              ROUND(OFFSET($P59,0,BL$13),15-13*ORÇAMENTO!$AF$7)/$H59*OFFSET(ORÇAMENTO!$X$15,ROW(BL59)-ROW(BL$15),0),
              ROUND(ROUND(OFFSET($P59,0,BL$13),15-13*ORÇAMENTO!$AF$7)*OFFSET(ORÇAMENTO!$W$15,ROW(BL59)-ROW(BL$15),0),15-13*ORÇAMENTO!$AF$11)),
         0)</f>
        <v>1297.21</v>
      </c>
      <c r="BM59" s="352" t="n">
        <f aca="true">IF(AND($D59="Serviço",BM$12&lt;&gt;0,$H59&gt;0,OR(AUTOEVENTO&lt;&gt;"manual",$M59&lt;&gt;$A$15)),
        IF(Import.TipoArredondamento&lt;&gt;"TransfereGOV",
              ROUND(OFFSET($P59,0,BM$13),15-13*ORÇAMENTO!$AF$7)/$H59*OFFSET(ORÇAMENTO!$X$15,ROW(BM59)-ROW(BM$15),0),
              ROUND(ROUND(OFFSET($P59,0,BM$13),15-13*ORÇAMENTO!$AF$7)*OFFSET(ORÇAMENTO!$W$15,ROW(BM59)-ROW(BM$15),0),15-13*ORÇAMENTO!$AF$11)),
         0)</f>
        <v>1297.21</v>
      </c>
      <c r="BN59" s="352" t="n">
        <f aca="true">IF(AND($D59="Serviço",BN$12&lt;&gt;0,$H59&gt;0,OR(AUTOEVENTO&lt;&gt;"manual",$M59&lt;&gt;$A$15)),
        IF(Import.TipoArredondamento&lt;&gt;"TransfereGOV",
              ROUND(OFFSET($P59,0,BN$13),15-13*ORÇAMENTO!$AF$7)/$H59*OFFSET(ORÇAMENTO!$X$15,ROW(BN59)-ROW(BN$15),0),
              ROUND(ROUND(OFFSET($P59,0,BN$13),15-13*ORÇAMENTO!$AF$7)*OFFSET(ORÇAMENTO!$W$15,ROW(BN59)-ROW(BN$15),0),15-13*ORÇAMENTO!$AF$11)),
         0)</f>
        <v>1297.21</v>
      </c>
      <c r="BO59" s="352" t="n">
        <f aca="true">IF(AND($D59="Serviço",BO$12&lt;&gt;0,$H59&gt;0,OR(AUTOEVENTO&lt;&gt;"manual",$M59&lt;&gt;$A$15)),
        IF(Import.TipoArredondamento&lt;&gt;"TransfereGOV",
              ROUND(OFFSET($P59,0,BO$13),15-13*ORÇAMENTO!$AF$7)/$H59*OFFSET(ORÇAMENTO!$X$15,ROW(BO59)-ROW(BO$15),0),
              ROUND(ROUND(OFFSET($P59,0,BO$13),15-13*ORÇAMENTO!$AF$7)*OFFSET(ORÇAMENTO!$W$15,ROW(BO59)-ROW(BO$15),0),15-13*ORÇAMENTO!$AF$11)),
         0)</f>
        <v>1297.21</v>
      </c>
      <c r="BP59" s="352" t="n">
        <f aca="true">IF(AND($D59="Serviço",BP$12&lt;&gt;0,$H59&gt;0,OR(AUTOEVENTO&lt;&gt;"manual",$M59&lt;&gt;$A$15)),
        IF(Import.TipoArredondamento&lt;&gt;"TransfereGOV",
              ROUND(OFFSET($P59,0,BP$13),15-13*ORÇAMENTO!$AF$7)/$H59*OFFSET(ORÇAMENTO!$X$15,ROW(BP59)-ROW(BP$15),0),
              ROUND(ROUND(OFFSET($P59,0,BP$13),15-13*ORÇAMENTO!$AF$7)*OFFSET(ORÇAMENTO!$W$15,ROW(BP59)-ROW(BP$15),0),15-13*ORÇAMENTO!$AF$11)),
         0)</f>
        <v>1297.21</v>
      </c>
      <c r="BQ59" s="352" t="n">
        <f aca="true">IF(AND($D59="Serviço",BQ$12&lt;&gt;0,$H59&gt;0,OR(AUTOEVENTO&lt;&gt;"manual",$M59&lt;&gt;$A$15)),
        IF(Import.TipoArredondamento&lt;&gt;"TransfereGOV",
              ROUND(OFFSET($P59,0,BQ$13),15-13*ORÇAMENTO!$AF$7)/$H59*OFFSET(ORÇAMENTO!$X$15,ROW(BQ59)-ROW(BQ$15),0),
              ROUND(ROUND(OFFSET($P59,0,BQ$13),15-13*ORÇAMENTO!$AF$7)*OFFSET(ORÇAMENTO!$W$15,ROW(BQ59)-ROW(BQ$15),0),15-13*ORÇAMENTO!$AF$11)),
         0)</f>
        <v>0</v>
      </c>
      <c r="BS59" s="353" t="n">
        <f aca="true">IF(OR($D59&lt;&gt;"Serviço",AND(AUTOEVENTO="Manual",$M59=$A$15)),0,
         IF(OFFSET(CRONOPLE!$F$15,$M59-$A$15,BS$13)=0,10^12,OFFSET(CRONOPLE!$F$15,$M59-$A$15,BS$13)))</f>
        <v>1</v>
      </c>
      <c r="BT59" s="353" t="n">
        <f aca="true">IF(OR($D59&lt;&gt;"Serviço",AND(AUTOEVENTO="Manual",$M59=$A$15)),0,
         IF(OFFSET(CRONOPLE!$F$15,$M59-$A$15,BT$13)=0,10^12,OFFSET(CRONOPLE!$F$15,$M59-$A$15,BT$13)))</f>
        <v>2</v>
      </c>
      <c r="BU59" s="353" t="n">
        <f aca="true">IF(OR($D59&lt;&gt;"Serviço",AND(AUTOEVENTO="Manual",$M59=$A$15)),0,
         IF(OFFSET(CRONOPLE!$F$15,$M59-$A$15,BU$13)=0,10^12,OFFSET(CRONOPLE!$F$15,$M59-$A$15,BU$13)))</f>
        <v>3</v>
      </c>
      <c r="BV59" s="353" t="n">
        <f aca="true">IF(OR($D59&lt;&gt;"Serviço",AND(AUTOEVENTO="Manual",$M59=$A$15)),0,
         IF(OFFSET(CRONOPLE!$F$15,$M59-$A$15,BV$13)=0,10^12,OFFSET(CRONOPLE!$F$15,$M59-$A$15,BV$13)))</f>
        <v>4</v>
      </c>
      <c r="BW59" s="353" t="n">
        <f aca="true">IF(OR($D59&lt;&gt;"Serviço",AND(AUTOEVENTO="Manual",$M59=$A$15)),0,
         IF(OFFSET(CRONOPLE!$F$15,$M59-$A$15,BW$13)=0,10^12,OFFSET(CRONOPLE!$F$15,$M59-$A$15,BW$13)))</f>
        <v>5</v>
      </c>
      <c r="BX59" s="353" t="n">
        <f aca="true">IF(OR($D59&lt;&gt;"Serviço",AND(AUTOEVENTO="Manual",$M59=$A$15)),0,
         IF(OFFSET(CRONOPLE!$F$15,$M59-$A$15,BX$13)=0,10^12,OFFSET(CRONOPLE!$F$15,$M59-$A$15,BX$13)))</f>
        <v>6</v>
      </c>
      <c r="BY59" s="353" t="n">
        <f aca="true">IF(OR($D59&lt;&gt;"Serviço",AND(AUTOEVENTO="Manual",$M59=$A$15)),0,
         IF(OFFSET(CRONOPLE!$F$15,$M59-$A$15,BY$13)=0,10^12,OFFSET(CRONOPLE!$F$15,$M59-$A$15,BY$13)))</f>
        <v>7</v>
      </c>
      <c r="BZ59" s="353" t="n">
        <f aca="true">IF(OR($D59&lt;&gt;"Serviço",AND(AUTOEVENTO="Manual",$M59=$A$15)),0,
         IF(OFFSET(CRONOPLE!$F$15,$M59-$A$15,BZ$13)=0,10^12,OFFSET(CRONOPLE!$F$15,$M59-$A$15,BZ$13)))</f>
        <v>8</v>
      </c>
      <c r="CA59" s="353" t="n">
        <f aca="true">IF(OR($D59&lt;&gt;"Serviço",AND(AUTOEVENTO="Manual",$M59=$A$15)),0,
         IF(OFFSET(CRONOPLE!$F$15,$M59-$A$15,CA$13)=0,10^12,OFFSET(CRONOPLE!$F$15,$M59-$A$15,CA$13)))</f>
        <v>9</v>
      </c>
      <c r="CB59" s="353" t="n">
        <f aca="true">IF(OR($D59&lt;&gt;"Serviço",AND(AUTOEVENTO="Manual",$M59=$A$15)),0,
         IF(OFFSET(CRONOPLE!$F$15,$M59-$A$15,CB$13)=0,10^12,OFFSET(CRONOPLE!$F$15,$M59-$A$15,CB$13)))</f>
        <v>10</v>
      </c>
      <c r="CC59" s="353" t="n">
        <f aca="true">IF(OR($D59&lt;&gt;"Serviço",AND(AUTOEVENTO="Manual",$M59=$A$15)),0,
         IF(OFFSET(CRONOPLE!$F$15,$M59-$A$15,CC$13)=0,10^12,OFFSET(CRONOPLE!$F$15,$M59-$A$15,CC$13)))</f>
        <v>11</v>
      </c>
      <c r="CD59" s="353" t="n">
        <f aca="true">IF(OR($D59&lt;&gt;"Serviço",AND(AUTOEVENTO="Manual",$M59=$A$15)),0,
         IF(OFFSET(CRONOPLE!$F$15,$M59-$A$15,CD$13)=0,10^12,OFFSET(CRONOPLE!$F$15,$M59-$A$15,CD$13)))</f>
        <v>12</v>
      </c>
      <c r="CE59" s="353" t="n">
        <f aca="true">IF(OR($D59&lt;&gt;"Serviço",AND(AUTOEVENTO="Manual",$M59=$A$15)),0,
         IF(OFFSET(CRONOPLE!$F$15,$M59-$A$15,CE$13)=0,10^12,OFFSET(CRONOPLE!$F$15,$M59-$A$15,CE$13)))</f>
        <v>13</v>
      </c>
      <c r="CF59" s="353" t="n">
        <f aca="true">IF(OR($D59&lt;&gt;"Serviço",AND(AUTOEVENTO="Manual",$M59=$A$15)),0,
         IF(OFFSET(CRONOPLE!$F$15,$M59-$A$15,CF$13)=0,10^12,OFFSET(CRONOPLE!$F$15,$M59-$A$15,CF$13)))</f>
        <v>14</v>
      </c>
      <c r="CG59" s="353" t="n">
        <f aca="true">IF(OR($D59&lt;&gt;"Serviço",AND(AUTOEVENTO="Manual",$M59=$A$15)),0,
         IF(OFFSET(CRONOPLE!$F$15,$M59-$A$15,CG$13)=0,10^12,OFFSET(CRONOPLE!$F$15,$M59-$A$15,CG$13)))</f>
        <v>15</v>
      </c>
      <c r="CH59" s="353" t="n">
        <f aca="true">IF(OR($D59&lt;&gt;"Serviço",AND(AUTOEVENTO="Manual",$M59=$A$15)),0,
         IF(OFFSET(CRONOPLE!$F$15,$M59-$A$15,CH$13)=0,10^12,OFFSET(CRONOPLE!$F$15,$M59-$A$15,CH$13)))</f>
        <v>16</v>
      </c>
      <c r="CI59" s="353" t="n">
        <f aca="true">IF(OR($D59&lt;&gt;"Serviço",AND(AUTOEVENTO="Manual",$M59=$A$15)),0,
         IF(OFFSET(CRONOPLE!$F$15,$M59-$A$15,CI$13)=0,10^12,OFFSET(CRONOPLE!$F$15,$M59-$A$15,CI$13)))</f>
        <v>17</v>
      </c>
      <c r="CJ59" s="353" t="n">
        <f aca="true">IF(OR($D59&lt;&gt;"Serviço",AND(AUTOEVENTO="Manual",$M59=$A$15)),0,
         IF(OFFSET(CRONOPLE!$F$15,$M59-$A$15,CJ$13)=0,10^12,OFFSET(CRONOPLE!$F$15,$M59-$A$15,CJ$13)))</f>
        <v>18</v>
      </c>
      <c r="CK59" s="353" t="n">
        <f aca="true">IF(OR($D59&lt;&gt;"Serviço",AND(AUTOEVENTO="Manual",$M59=$A$15)),0,
         IF(OFFSET(CRONOPLE!$F$15,$M59-$A$15,CK$13)=0,10^12,OFFSET(CRONOPLE!$F$15,$M59-$A$15,CK$13)))</f>
        <v>19</v>
      </c>
      <c r="CL59" s="353" t="n">
        <f aca="true">IF(OR($D59&lt;&gt;"Serviço",AND(AUTOEVENTO="Manual",$M59=$A$15)),0,
         IF(OFFSET(CRONOPLE!$F$15,$M59-$A$15,CL$13)=0,10^12,OFFSET(CRONOPLE!$F$15,$M59-$A$15,CL$13)))</f>
        <v>20</v>
      </c>
      <c r="CM59" s="353" t="n">
        <f aca="true">IF(OR($D59&lt;&gt;"Serviço",AND(AUTOEVENTO="Manual",$M59=$A$15)),0,
         IF(OFFSET(CRONOPLE!$F$15,$M59-$A$15,CM$13)=0,10^12,OFFSET(CRONOPLE!$F$15,$M59-$A$15,CM$13)))</f>
        <v>21</v>
      </c>
      <c r="CN59" s="353" t="n">
        <f aca="true">IF(OR($D59&lt;&gt;"Serviço",AND(AUTOEVENTO="Manual",$M59=$A$15)),0,
         IF(OFFSET(CRONOPLE!$F$15,$M59-$A$15,CN$13)=0,10^12,OFFSET(CRONOPLE!$F$15,$M59-$A$15,CN$13)))</f>
        <v>22</v>
      </c>
      <c r="CO59" s="353" t="n">
        <f aca="true">IF(OR($D59&lt;&gt;"Serviço",AND(AUTOEVENTO="Manual",$M59=$A$15)),0,
         IF(OFFSET(CRONOPLE!$F$15,$M59-$A$15,CO$13)=0,10^12,OFFSET(CRONOPLE!$F$15,$M59-$A$15,CO$13)))</f>
        <v>23</v>
      </c>
      <c r="CP59" s="353" t="n">
        <f aca="true">IF(OR($D59&lt;&gt;"Serviço",AND(AUTOEVENTO="Manual",$M59=$A$15)),0,
         IF(OFFSET(CRONOPLE!$F$15,$M59-$A$15,CP$13)=0,10^12,OFFSET(CRONOPLE!$F$15,$M59-$A$15,CP$13)))</f>
        <v>24</v>
      </c>
      <c r="CQ59" s="353" t="n">
        <f aca="true">IF(OR($D59&lt;&gt;"Serviço",AND(AUTOEVENTO="Manual",$M59=$A$15)),0,
         IF(OFFSET(CRONOPLE!$F$15,$M59-$A$15,CQ$13)=0,10^12,OFFSET(CRONOPLE!$F$15,$M59-$A$15,CQ$13)))</f>
        <v>25</v>
      </c>
      <c r="CR59" s="353" t="n">
        <f aca="true">IF(OR($D59&lt;&gt;"Serviço",AND(AUTOEVENTO="Manual",$M59=$A$15)),0,
         IF(OFFSET(CRONOPLE!$F$15,$M59-$A$15,CR$13)=0,10^12,OFFSET(CRONOPLE!$F$15,$M59-$A$15,CR$13)))</f>
        <v>1000000000000</v>
      </c>
      <c r="CT59" s="354" t="n">
        <f aca="true">IF(OR($D59&lt;&gt;"Serviço",AND(AUTOEVENTO="Manual",$M59=$A$15),$M59&gt;(ROW(PLE.lastrow)-ROW(PLE.firstrow))),0,
           IF(OFFSET(PLE!$G$15,$M59-$A$15,CT$13)="",10^12,OFFSET(PLE!$G$15,$M59-$A$15,CT$13)))</f>
        <v>1000000000000</v>
      </c>
      <c r="CU59" s="354" t="n">
        <f aca="true">IF(OR($D59&lt;&gt;"Serviço",AND(AUTOEVENTO="Manual",$M59=$A$15),$M59&gt;(ROW(PLE.lastrow)-ROW(PLE.firstrow))),0,
           IF(OFFSET(PLE!$G$15,$M59-$A$15,CU$13)="",10^12,OFFSET(PLE!$G$15,$M59-$A$15,CU$13)))</f>
        <v>1000000000000</v>
      </c>
      <c r="CV59" s="354" t="n">
        <f aca="true">IF(OR($D59&lt;&gt;"Serviço",AND(AUTOEVENTO="Manual",$M59=$A$15),$M59&gt;(ROW(PLE.lastrow)-ROW(PLE.firstrow))),0,
           IF(OFFSET(PLE!$G$15,$M59-$A$15,CV$13)="",10^12,OFFSET(PLE!$G$15,$M59-$A$15,CV$13)))</f>
        <v>1000000000000</v>
      </c>
      <c r="CW59" s="354" t="n">
        <f aca="true">IF(OR($D59&lt;&gt;"Serviço",AND(AUTOEVENTO="Manual",$M59=$A$15),$M59&gt;(ROW(PLE.lastrow)-ROW(PLE.firstrow))),0,
           IF(OFFSET(PLE!$G$15,$M59-$A$15,CW$13)="",10^12,OFFSET(PLE!$G$15,$M59-$A$15,CW$13)))</f>
        <v>1000000000000</v>
      </c>
      <c r="CX59" s="354" t="n">
        <f aca="true">IF(OR($D59&lt;&gt;"Serviço",AND(AUTOEVENTO="Manual",$M59=$A$15),$M59&gt;(ROW(PLE.lastrow)-ROW(PLE.firstrow))),0,
           IF(OFFSET(PLE!$G$15,$M59-$A$15,CX$13)="",10^12,OFFSET(PLE!$G$15,$M59-$A$15,CX$13)))</f>
        <v>1000000000000</v>
      </c>
      <c r="CY59" s="354" t="n">
        <f aca="true">IF(OR($D59&lt;&gt;"Serviço",AND(AUTOEVENTO="Manual",$M59=$A$15),$M59&gt;(ROW(PLE.lastrow)-ROW(PLE.firstrow))),0,
           IF(OFFSET(PLE!$G$15,$M59-$A$15,CY$13)="",10^12,OFFSET(PLE!$G$15,$M59-$A$15,CY$13)))</f>
        <v>1000000000000</v>
      </c>
      <c r="CZ59" s="354" t="n">
        <f aca="true">IF(OR($D59&lt;&gt;"Serviço",AND(AUTOEVENTO="Manual",$M59=$A$15),$M59&gt;(ROW(PLE.lastrow)-ROW(PLE.firstrow))),0,
           IF(OFFSET(PLE!$G$15,$M59-$A$15,CZ$13)="",10^12,OFFSET(PLE!$G$15,$M59-$A$15,CZ$13)))</f>
        <v>1000000000000</v>
      </c>
      <c r="DA59" s="354" t="n">
        <f aca="true">IF(OR($D59&lt;&gt;"Serviço",AND(AUTOEVENTO="Manual",$M59=$A$15),$M59&gt;(ROW(PLE.lastrow)-ROW(PLE.firstrow))),0,
           IF(OFFSET(PLE!$G$15,$M59-$A$15,DA$13)="",10^12,OFFSET(PLE!$G$15,$M59-$A$15,DA$13)))</f>
        <v>1000000000000</v>
      </c>
      <c r="DB59" s="354" t="n">
        <f aca="true">IF(OR($D59&lt;&gt;"Serviço",AND(AUTOEVENTO="Manual",$M59=$A$15),$M59&gt;(ROW(PLE.lastrow)-ROW(PLE.firstrow))),0,
           IF(OFFSET(PLE!$G$15,$M59-$A$15,DB$13)="",10^12,OFFSET(PLE!$G$15,$M59-$A$15,DB$13)))</f>
        <v>1000000000000</v>
      </c>
      <c r="DC59" s="354" t="n">
        <f aca="true">IF(OR($D59&lt;&gt;"Serviço",AND(AUTOEVENTO="Manual",$M59=$A$15),$M59&gt;(ROW(PLE.lastrow)-ROW(PLE.firstrow))),0,
           IF(OFFSET(PLE!$G$15,$M59-$A$15,DC$13)="",10^12,OFFSET(PLE!$G$15,$M59-$A$15,DC$13)))</f>
        <v>1000000000000</v>
      </c>
      <c r="DD59" s="354" t="n">
        <f aca="true">IF(OR($D59&lt;&gt;"Serviço",AND(AUTOEVENTO="Manual",$M59=$A$15),$M59&gt;(ROW(PLE.lastrow)-ROW(PLE.firstrow))),0,
           IF(OFFSET(PLE!$G$15,$M59-$A$15,DD$13)="",10^12,OFFSET(PLE!$G$15,$M59-$A$15,DD$13)))</f>
        <v>1000000000000</v>
      </c>
      <c r="DE59" s="354" t="n">
        <f aca="true">IF(OR($D59&lt;&gt;"Serviço",AND(AUTOEVENTO="Manual",$M59=$A$15),$M59&gt;(ROW(PLE.lastrow)-ROW(PLE.firstrow))),0,
           IF(OFFSET(PLE!$G$15,$M59-$A$15,DE$13)="",10^12,OFFSET(PLE!$G$15,$M59-$A$15,DE$13)))</f>
        <v>1000000000000</v>
      </c>
      <c r="DF59" s="354" t="n">
        <f aca="true">IF(OR($D59&lt;&gt;"Serviço",AND(AUTOEVENTO="Manual",$M59=$A$15),$M59&gt;(ROW(PLE.lastrow)-ROW(PLE.firstrow))),0,
           IF(OFFSET(PLE!$G$15,$M59-$A$15,DF$13)="",10^12,OFFSET(PLE!$G$15,$M59-$A$15,DF$13)))</f>
        <v>1000000000000</v>
      </c>
      <c r="DG59" s="354" t="n">
        <f aca="true">IF(OR($D59&lt;&gt;"Serviço",AND(AUTOEVENTO="Manual",$M59=$A$15),$M59&gt;(ROW(PLE.lastrow)-ROW(PLE.firstrow))),0,
           IF(OFFSET(PLE!$G$15,$M59-$A$15,DG$13)="",10^12,OFFSET(PLE!$G$15,$M59-$A$15,DG$13)))</f>
        <v>1000000000000</v>
      </c>
      <c r="DH59" s="354" t="n">
        <f aca="true">IF(OR($D59&lt;&gt;"Serviço",AND(AUTOEVENTO="Manual",$M59=$A$15),$M59&gt;(ROW(PLE.lastrow)-ROW(PLE.firstrow))),0,
           IF(OFFSET(PLE!$G$15,$M59-$A$15,DH$13)="",10^12,OFFSET(PLE!$G$15,$M59-$A$15,DH$13)))</f>
        <v>1000000000000</v>
      </c>
      <c r="DI59" s="354" t="n">
        <f aca="true">IF(OR($D59&lt;&gt;"Serviço",AND(AUTOEVENTO="Manual",$M59=$A$15),$M59&gt;(ROW(PLE.lastrow)-ROW(PLE.firstrow))),0,
           IF(OFFSET(PLE!$G$15,$M59-$A$15,DI$13)="",10^12,OFFSET(PLE!$G$15,$M59-$A$15,DI$13)))</f>
        <v>1000000000000</v>
      </c>
      <c r="DJ59" s="354" t="n">
        <f aca="true">IF(OR($D59&lt;&gt;"Serviço",AND(AUTOEVENTO="Manual",$M59=$A$15),$M59&gt;(ROW(PLE.lastrow)-ROW(PLE.firstrow))),0,
           IF(OFFSET(PLE!$G$15,$M59-$A$15,DJ$13)="",10^12,OFFSET(PLE!$G$15,$M59-$A$15,DJ$13)))</f>
        <v>1000000000000</v>
      </c>
      <c r="DK59" s="354" t="n">
        <f aca="true">IF(OR($D59&lt;&gt;"Serviço",AND(AUTOEVENTO="Manual",$M59=$A$15),$M59&gt;(ROW(PLE.lastrow)-ROW(PLE.firstrow))),0,
           IF(OFFSET(PLE!$G$15,$M59-$A$15,DK$13)="",10^12,OFFSET(PLE!$G$15,$M59-$A$15,DK$13)))</f>
        <v>1000000000000</v>
      </c>
      <c r="DL59" s="354" t="n">
        <f aca="true">IF(OR($D59&lt;&gt;"Serviço",AND(AUTOEVENTO="Manual",$M59=$A$15),$M59&gt;(ROW(PLE.lastrow)-ROW(PLE.firstrow))),0,
           IF(OFFSET(PLE!$G$15,$M59-$A$15,DL$13)="",10^12,OFFSET(PLE!$G$15,$M59-$A$15,DL$13)))</f>
        <v>1000000000000</v>
      </c>
      <c r="DM59" s="354" t="n">
        <f aca="true">IF(OR($D59&lt;&gt;"Serviço",AND(AUTOEVENTO="Manual",$M59=$A$15),$M59&gt;(ROW(PLE.lastrow)-ROW(PLE.firstrow))),0,
           IF(OFFSET(PLE!$G$15,$M59-$A$15,DM$13)="",10^12,OFFSET(PLE!$G$15,$M59-$A$15,DM$13)))</f>
        <v>1000000000000</v>
      </c>
      <c r="DN59" s="354" t="n">
        <f aca="true">IF(OR($D59&lt;&gt;"Serviço",AND(AUTOEVENTO="Manual",$M59=$A$15),$M59&gt;(ROW(PLE.lastrow)-ROW(PLE.firstrow))),0,
           IF(OFFSET(PLE!$G$15,$M59-$A$15,DN$13)="",10^12,OFFSET(PLE!$G$15,$M59-$A$15,DN$13)))</f>
        <v>1000000000000</v>
      </c>
      <c r="DO59" s="354" t="n">
        <f aca="true">IF(OR($D59&lt;&gt;"Serviço",AND(AUTOEVENTO="Manual",$M59=$A$15),$M59&gt;(ROW(PLE.lastrow)-ROW(PLE.firstrow))),0,
           IF(OFFSET(PLE!$G$15,$M59-$A$15,DO$13)="",10^12,OFFSET(PLE!$G$15,$M59-$A$15,DO$13)))</f>
        <v>1000000000000</v>
      </c>
      <c r="DP59" s="354" t="n">
        <f aca="true">IF(OR($D59&lt;&gt;"Serviço",AND(AUTOEVENTO="Manual",$M59=$A$15),$M59&gt;(ROW(PLE.lastrow)-ROW(PLE.firstrow))),0,
           IF(OFFSET(PLE!$G$15,$M59-$A$15,DP$13)="",10^12,OFFSET(PLE!$G$15,$M59-$A$15,DP$13)))</f>
        <v>1000000000000</v>
      </c>
      <c r="DQ59" s="354" t="n">
        <f aca="true">IF(OR($D59&lt;&gt;"Serviço",AND(AUTOEVENTO="Manual",$M59=$A$15),$M59&gt;(ROW(PLE.lastrow)-ROW(PLE.firstrow))),0,
           IF(OFFSET(PLE!$G$15,$M59-$A$15,DQ$13)="",10^12,OFFSET(PLE!$G$15,$M59-$A$15,DQ$13)))</f>
        <v>1000000000000</v>
      </c>
      <c r="DR59" s="354" t="n">
        <f aca="true">IF(OR($D59&lt;&gt;"Serviço",AND(AUTOEVENTO="Manual",$M59=$A$15),$M59&gt;(ROW(PLE.lastrow)-ROW(PLE.firstrow))),0,
           IF(OFFSET(PLE!$G$15,$M59-$A$15,DR$13)="",10^12,OFFSET(PLE!$G$15,$M59-$A$15,DR$13)))</f>
        <v>1000000000000</v>
      </c>
      <c r="DS59" s="354" t="n">
        <f aca="true">IF(OR($D59&lt;&gt;"Serviço",AND(AUTOEVENTO="Manual",$M59=$A$15),$M59&gt;(ROW(PLE.lastrow)-ROW(PLE.firstrow))),0,
           IF(OFFSET(PLE!$G$15,$M59-$A$15,DS$13)="",10^12,OFFSET(PLE!$G$15,$M59-$A$15,DS$13)))</f>
        <v>1000000000000</v>
      </c>
    </row>
    <row r="60" customFormat="false" ht="12.75" hidden="false" customHeight="false" outlineLevel="0" collapsed="false">
      <c r="A60" s="50" t="str">
        <f aca="true">IFERROR(IF(AUTOEVENTO="Manual",IF(K60&lt;&gt;"",MIN(VALUE(LEFT(K60,FIND(".",K60)-1)),COUNTA(EVENTOS.Lista)),0),IF(OR($B60&gt;AUTOEVENTO,$B60="S",$B60=0),SUBSTITUTE(OFFSET($A60,-1,0),IF($D60="Serviço",".",""),""),ROW(A60)-ROW($A$15)&amp;".")),0)</f>
        <v>45.</v>
      </c>
      <c r="B60" s="50" t="n">
        <f aca="true">OFFSET(ORÇAMENTO!C$15,ROW(B60)-ROW(B$15),0)</f>
        <v>2</v>
      </c>
      <c r="C60" s="50" t="str">
        <f aca="true">OFFSET(ORÇAMENTO!L$15,ROW(C60)-ROW(C$15),0)</f>
        <v>F</v>
      </c>
      <c r="D60" s="201" t="str">
        <f aca="true">OFFSET(ORÇAMENTO!N$15,ROW(D60)-ROW(D$15),0)</f>
        <v>Nível 2</v>
      </c>
      <c r="E60" s="202" t="str">
        <f aca="true">OFFSET(ORÇAMENTO!O$15,ROW(E60)-ROW(E$15),0)</f>
        <v>1.12.</v>
      </c>
      <c r="F60" s="341" t="str">
        <f aca="true">OFFSET(ORÇAMENTO!R$15,ROW(F60)-ROW(F$15),0)</f>
        <v>ESQUADRIAS METÁLICAS</v>
      </c>
      <c r="G60" s="342" t="str">
        <f aca="true">IF($D60&lt;&gt;"Serviço","",OFFSET(ORÇAMENTO!S$15,ROW(G60)-ROW(G$15),0))</f>
        <v/>
      </c>
      <c r="H60" s="207" t="n">
        <f aca="true">IF($D60&lt;&gt;"Serviço",0,IF(ACOMPANHAMENTO="BM",ROUND(OFFSET(ORÇAMENTO!AJ$15,ROW(H60)-ROW(H$15),0),15-13*ORÇAMENTO!$AF$7),SUMPRODUCT(($Q$1:$AQ$1=1)*ROUND($Q60:$AQ60,15-13*ORÇAMENTO!$AF$7))))</f>
        <v>0</v>
      </c>
      <c r="I60" s="343"/>
      <c r="J60" s="344" t="str">
        <f aca="false">IF(OR(B60&lt;&gt;"S",CÁLCULO.FrentesPreenchidas=0),"",IF(AND(ACOMPANHAMENTO="PLE",AUTOEVENTO="Manual",OR(H60&gt;0,ORÇAMENTO!AC60="QUANT."),OR(K60="",M60=0,N60="")),"►",IF(AND(ACOMPANHAMENTO="PLE",ORÇAMENTO!AC60="QUANT."),"►►",IF(AND(COUNTIF($P$11:$AQ$11,"▼")=0,H60&gt;0,I60=""),"◄",""))))</f>
        <v/>
      </c>
      <c r="K60" s="345"/>
      <c r="L60" s="346" t="s">
        <v>876</v>
      </c>
      <c r="M60" s="347" t="str">
        <f aca="true">IF($D60&lt;&gt;"Serviço","",
          IF(AUTOEVENTO="manual",$A60,
                IF(ISERROR(MATCH($A60,$A$15:OFFSET($A60,-1,0),0)),MAX($M$15:OFFSET(M60,-1,0))+1,
                      INDEX($M$15:OFFSET(M60,-1,0),MATCH($A60,$A$15:OFFSET($A60,-1,0),0)))))</f>
        <v/>
      </c>
      <c r="N60" s="348" t="str">
        <f aca="true">IF($D60&lt;&gt;"Serviço","",
         IF(AUTOEVENTO="Manual",
                IF($A60=0,"&lt;-- defina o número do agrupador",
                       OFFSET(EVENTOS!$D$15,$A60-$A$15,0)),
                OFFSET($F$15,$A60,0)))</f>
        <v/>
      </c>
      <c r="O60" s="349"/>
      <c r="Q60" s="349"/>
      <c r="R60" s="350"/>
      <c r="S60" s="350"/>
      <c r="T60" s="350"/>
      <c r="U60" s="350"/>
      <c r="V60" s="350"/>
      <c r="W60" s="350"/>
      <c r="X60" s="350"/>
      <c r="Y60" s="350"/>
      <c r="Z60" s="351"/>
      <c r="AA60" s="350"/>
      <c r="AB60" s="350"/>
      <c r="AC60" s="350"/>
      <c r="AD60" s="350"/>
      <c r="AE60" s="350"/>
      <c r="AF60" s="350"/>
      <c r="AG60" s="350"/>
      <c r="AH60" s="351"/>
      <c r="AI60" s="350"/>
      <c r="AJ60" s="350"/>
      <c r="AK60" s="350"/>
      <c r="AL60" s="350"/>
      <c r="AM60" s="350"/>
      <c r="AN60" s="350"/>
      <c r="AO60" s="350"/>
      <c r="AP60" s="351"/>
      <c r="AR60" s="352" t="n">
        <f aca="true">IF(AND($D60="Serviço",AR$12&lt;&gt;0,$H60&gt;0,OR(AUTOEVENTO&lt;&gt;"manual",$M60&lt;&gt;$A$15)),
        IF(Import.TipoArredondamento&lt;&gt;"TransfereGOV",
              ROUND(OFFSET($P60,0,AR$13),15-13*ORÇAMENTO!$AF$7)/$H60*OFFSET(ORÇAMENTO!$X$15,ROW(AR60)-ROW(AR$15),0),
              ROUND(ROUND(OFFSET($P60,0,AR$13),15-13*ORÇAMENTO!$AF$7)*OFFSET(ORÇAMENTO!$W$15,ROW(AR60)-ROW(AR$15),0),15-13*ORÇAMENTO!$AF$11)),
         0)</f>
        <v>0</v>
      </c>
      <c r="AS60" s="352" t="n">
        <f aca="true">IF(AND($D60="Serviço",AS$12&lt;&gt;0,$H60&gt;0,OR(AUTOEVENTO&lt;&gt;"manual",$M60&lt;&gt;$A$15)),
        IF(Import.TipoArredondamento&lt;&gt;"TransfereGOV",
              ROUND(OFFSET($P60,0,AS$13),15-13*ORÇAMENTO!$AF$7)/$H60*OFFSET(ORÇAMENTO!$X$15,ROW(AS60)-ROW(AS$15),0),
              ROUND(ROUND(OFFSET($P60,0,AS$13),15-13*ORÇAMENTO!$AF$7)*OFFSET(ORÇAMENTO!$W$15,ROW(AS60)-ROW(AS$15),0),15-13*ORÇAMENTO!$AF$11)),
         0)</f>
        <v>0</v>
      </c>
      <c r="AT60" s="352" t="n">
        <f aca="true">IF(AND($D60="Serviço",AT$12&lt;&gt;0,$H60&gt;0,OR(AUTOEVENTO&lt;&gt;"manual",$M60&lt;&gt;$A$15)),
        IF(Import.TipoArredondamento&lt;&gt;"TransfereGOV",
              ROUND(OFFSET($P60,0,AT$13),15-13*ORÇAMENTO!$AF$7)/$H60*OFFSET(ORÇAMENTO!$X$15,ROW(AT60)-ROW(AT$15),0),
              ROUND(ROUND(OFFSET($P60,0,AT$13),15-13*ORÇAMENTO!$AF$7)*OFFSET(ORÇAMENTO!$W$15,ROW(AT60)-ROW(AT$15),0),15-13*ORÇAMENTO!$AF$11)),
         0)</f>
        <v>0</v>
      </c>
      <c r="AU60" s="352" t="n">
        <f aca="true">IF(AND($D60="Serviço",AU$12&lt;&gt;0,$H60&gt;0,OR(AUTOEVENTO&lt;&gt;"manual",$M60&lt;&gt;$A$15)),
        IF(Import.TipoArredondamento&lt;&gt;"TransfereGOV",
              ROUND(OFFSET($P60,0,AU$13),15-13*ORÇAMENTO!$AF$7)/$H60*OFFSET(ORÇAMENTO!$X$15,ROW(AU60)-ROW(AU$15),0),
              ROUND(ROUND(OFFSET($P60,0,AU$13),15-13*ORÇAMENTO!$AF$7)*OFFSET(ORÇAMENTO!$W$15,ROW(AU60)-ROW(AU$15),0),15-13*ORÇAMENTO!$AF$11)),
         0)</f>
        <v>0</v>
      </c>
      <c r="AV60" s="352" t="n">
        <f aca="true">IF(AND($D60="Serviço",AV$12&lt;&gt;0,$H60&gt;0,OR(AUTOEVENTO&lt;&gt;"manual",$M60&lt;&gt;$A$15)),
        IF(Import.TipoArredondamento&lt;&gt;"TransfereGOV",
              ROUND(OFFSET($P60,0,AV$13),15-13*ORÇAMENTO!$AF$7)/$H60*OFFSET(ORÇAMENTO!$X$15,ROW(AV60)-ROW(AV$15),0),
              ROUND(ROUND(OFFSET($P60,0,AV$13),15-13*ORÇAMENTO!$AF$7)*OFFSET(ORÇAMENTO!$W$15,ROW(AV60)-ROW(AV$15),0),15-13*ORÇAMENTO!$AF$11)),
         0)</f>
        <v>0</v>
      </c>
      <c r="AW60" s="352" t="n">
        <f aca="true">IF(AND($D60="Serviço",AW$12&lt;&gt;0,$H60&gt;0,OR(AUTOEVENTO&lt;&gt;"manual",$M60&lt;&gt;$A$15)),
        IF(Import.TipoArredondamento&lt;&gt;"TransfereGOV",
              ROUND(OFFSET($P60,0,AW$13),15-13*ORÇAMENTO!$AF$7)/$H60*OFFSET(ORÇAMENTO!$X$15,ROW(AW60)-ROW(AW$15),0),
              ROUND(ROUND(OFFSET($P60,0,AW$13),15-13*ORÇAMENTO!$AF$7)*OFFSET(ORÇAMENTO!$W$15,ROW(AW60)-ROW(AW$15),0),15-13*ORÇAMENTO!$AF$11)),
         0)</f>
        <v>0</v>
      </c>
      <c r="AX60" s="352" t="n">
        <f aca="true">IF(AND($D60="Serviço",AX$12&lt;&gt;0,$H60&gt;0,OR(AUTOEVENTO&lt;&gt;"manual",$M60&lt;&gt;$A$15)),
        IF(Import.TipoArredondamento&lt;&gt;"TransfereGOV",
              ROUND(OFFSET($P60,0,AX$13),15-13*ORÇAMENTO!$AF$7)/$H60*OFFSET(ORÇAMENTO!$X$15,ROW(AX60)-ROW(AX$15),0),
              ROUND(ROUND(OFFSET($P60,0,AX$13),15-13*ORÇAMENTO!$AF$7)*OFFSET(ORÇAMENTO!$W$15,ROW(AX60)-ROW(AX$15),0),15-13*ORÇAMENTO!$AF$11)),
         0)</f>
        <v>0</v>
      </c>
      <c r="AY60" s="352" t="n">
        <f aca="true">IF(AND($D60="Serviço",AY$12&lt;&gt;0,$H60&gt;0,OR(AUTOEVENTO&lt;&gt;"manual",$M60&lt;&gt;$A$15)),
        IF(Import.TipoArredondamento&lt;&gt;"TransfereGOV",
              ROUND(OFFSET($P60,0,AY$13),15-13*ORÇAMENTO!$AF$7)/$H60*OFFSET(ORÇAMENTO!$X$15,ROW(AY60)-ROW(AY$15),0),
              ROUND(ROUND(OFFSET($P60,0,AY$13),15-13*ORÇAMENTO!$AF$7)*OFFSET(ORÇAMENTO!$W$15,ROW(AY60)-ROW(AY$15),0),15-13*ORÇAMENTO!$AF$11)),
         0)</f>
        <v>0</v>
      </c>
      <c r="AZ60" s="352" t="n">
        <f aca="true">IF(AND($D60="Serviço",AZ$12&lt;&gt;0,$H60&gt;0,OR(AUTOEVENTO&lt;&gt;"manual",$M60&lt;&gt;$A$15)),
        IF(Import.TipoArredondamento&lt;&gt;"TransfereGOV",
              ROUND(OFFSET($P60,0,AZ$13),15-13*ORÇAMENTO!$AF$7)/$H60*OFFSET(ORÇAMENTO!$X$15,ROW(AZ60)-ROW(AZ$15),0),
              ROUND(ROUND(OFFSET($P60,0,AZ$13),15-13*ORÇAMENTO!$AF$7)*OFFSET(ORÇAMENTO!$W$15,ROW(AZ60)-ROW(AZ$15),0),15-13*ORÇAMENTO!$AF$11)),
         0)</f>
        <v>0</v>
      </c>
      <c r="BA60" s="352" t="n">
        <f aca="true">IF(AND($D60="Serviço",BA$12&lt;&gt;0,$H60&gt;0,OR(AUTOEVENTO&lt;&gt;"manual",$M60&lt;&gt;$A$15)),
        IF(Import.TipoArredondamento&lt;&gt;"TransfereGOV",
              ROUND(OFFSET($P60,0,BA$13),15-13*ORÇAMENTO!$AF$7)/$H60*OFFSET(ORÇAMENTO!$X$15,ROW(BA60)-ROW(BA$15),0),
              ROUND(ROUND(OFFSET($P60,0,BA$13),15-13*ORÇAMENTO!$AF$7)*OFFSET(ORÇAMENTO!$W$15,ROW(BA60)-ROW(BA$15),0),15-13*ORÇAMENTO!$AF$11)),
         0)</f>
        <v>0</v>
      </c>
      <c r="BB60" s="352" t="n">
        <f aca="true">IF(AND($D60="Serviço",BB$12&lt;&gt;0,$H60&gt;0,OR(AUTOEVENTO&lt;&gt;"manual",$M60&lt;&gt;$A$15)),
        IF(Import.TipoArredondamento&lt;&gt;"TransfereGOV",
              ROUND(OFFSET($P60,0,BB$13),15-13*ORÇAMENTO!$AF$7)/$H60*OFFSET(ORÇAMENTO!$X$15,ROW(BB60)-ROW(BB$15),0),
              ROUND(ROUND(OFFSET($P60,0,BB$13),15-13*ORÇAMENTO!$AF$7)*OFFSET(ORÇAMENTO!$W$15,ROW(BB60)-ROW(BB$15),0),15-13*ORÇAMENTO!$AF$11)),
         0)</f>
        <v>0</v>
      </c>
      <c r="BC60" s="352" t="n">
        <f aca="true">IF(AND($D60="Serviço",BC$12&lt;&gt;0,$H60&gt;0,OR(AUTOEVENTO&lt;&gt;"manual",$M60&lt;&gt;$A$15)),
        IF(Import.TipoArredondamento&lt;&gt;"TransfereGOV",
              ROUND(OFFSET($P60,0,BC$13),15-13*ORÇAMENTO!$AF$7)/$H60*OFFSET(ORÇAMENTO!$X$15,ROW(BC60)-ROW(BC$15),0),
              ROUND(ROUND(OFFSET($P60,0,BC$13),15-13*ORÇAMENTO!$AF$7)*OFFSET(ORÇAMENTO!$W$15,ROW(BC60)-ROW(BC$15),0),15-13*ORÇAMENTO!$AF$11)),
         0)</f>
        <v>0</v>
      </c>
      <c r="BD60" s="352" t="n">
        <f aca="true">IF(AND($D60="Serviço",BD$12&lt;&gt;0,$H60&gt;0,OR(AUTOEVENTO&lt;&gt;"manual",$M60&lt;&gt;$A$15)),
        IF(Import.TipoArredondamento&lt;&gt;"TransfereGOV",
              ROUND(OFFSET($P60,0,BD$13),15-13*ORÇAMENTO!$AF$7)/$H60*OFFSET(ORÇAMENTO!$X$15,ROW(BD60)-ROW(BD$15),0),
              ROUND(ROUND(OFFSET($P60,0,BD$13),15-13*ORÇAMENTO!$AF$7)*OFFSET(ORÇAMENTO!$W$15,ROW(BD60)-ROW(BD$15),0),15-13*ORÇAMENTO!$AF$11)),
         0)</f>
        <v>0</v>
      </c>
      <c r="BE60" s="352" t="n">
        <f aca="true">IF(AND($D60="Serviço",BE$12&lt;&gt;0,$H60&gt;0,OR(AUTOEVENTO&lt;&gt;"manual",$M60&lt;&gt;$A$15)),
        IF(Import.TipoArredondamento&lt;&gt;"TransfereGOV",
              ROUND(OFFSET($P60,0,BE$13),15-13*ORÇAMENTO!$AF$7)/$H60*OFFSET(ORÇAMENTO!$X$15,ROW(BE60)-ROW(BE$15),0),
              ROUND(ROUND(OFFSET($P60,0,BE$13),15-13*ORÇAMENTO!$AF$7)*OFFSET(ORÇAMENTO!$W$15,ROW(BE60)-ROW(BE$15),0),15-13*ORÇAMENTO!$AF$11)),
         0)</f>
        <v>0</v>
      </c>
      <c r="BF60" s="352" t="n">
        <f aca="true">IF(AND($D60="Serviço",BF$12&lt;&gt;0,$H60&gt;0,OR(AUTOEVENTO&lt;&gt;"manual",$M60&lt;&gt;$A$15)),
        IF(Import.TipoArredondamento&lt;&gt;"TransfereGOV",
              ROUND(OFFSET($P60,0,BF$13),15-13*ORÇAMENTO!$AF$7)/$H60*OFFSET(ORÇAMENTO!$X$15,ROW(BF60)-ROW(BF$15),0),
              ROUND(ROUND(OFFSET($P60,0,BF$13),15-13*ORÇAMENTO!$AF$7)*OFFSET(ORÇAMENTO!$W$15,ROW(BF60)-ROW(BF$15),0),15-13*ORÇAMENTO!$AF$11)),
         0)</f>
        <v>0</v>
      </c>
      <c r="BG60" s="352" t="n">
        <f aca="true">IF(AND($D60="Serviço",BG$12&lt;&gt;0,$H60&gt;0,OR(AUTOEVENTO&lt;&gt;"manual",$M60&lt;&gt;$A$15)),
        IF(Import.TipoArredondamento&lt;&gt;"TransfereGOV",
              ROUND(OFFSET($P60,0,BG$13),15-13*ORÇAMENTO!$AF$7)/$H60*OFFSET(ORÇAMENTO!$X$15,ROW(BG60)-ROW(BG$15),0),
              ROUND(ROUND(OFFSET($P60,0,BG$13),15-13*ORÇAMENTO!$AF$7)*OFFSET(ORÇAMENTO!$W$15,ROW(BG60)-ROW(BG$15),0),15-13*ORÇAMENTO!$AF$11)),
         0)</f>
        <v>0</v>
      </c>
      <c r="BH60" s="352" t="n">
        <f aca="true">IF(AND($D60="Serviço",BH$12&lt;&gt;0,$H60&gt;0,OR(AUTOEVENTO&lt;&gt;"manual",$M60&lt;&gt;$A$15)),
        IF(Import.TipoArredondamento&lt;&gt;"TransfereGOV",
              ROUND(OFFSET($P60,0,BH$13),15-13*ORÇAMENTO!$AF$7)/$H60*OFFSET(ORÇAMENTO!$X$15,ROW(BH60)-ROW(BH$15),0),
              ROUND(ROUND(OFFSET($P60,0,BH$13),15-13*ORÇAMENTO!$AF$7)*OFFSET(ORÇAMENTO!$W$15,ROW(BH60)-ROW(BH$15),0),15-13*ORÇAMENTO!$AF$11)),
         0)</f>
        <v>0</v>
      </c>
      <c r="BI60" s="352" t="n">
        <f aca="true">IF(AND($D60="Serviço",BI$12&lt;&gt;0,$H60&gt;0,OR(AUTOEVENTO&lt;&gt;"manual",$M60&lt;&gt;$A$15)),
        IF(Import.TipoArredondamento&lt;&gt;"TransfereGOV",
              ROUND(OFFSET($P60,0,BI$13),15-13*ORÇAMENTO!$AF$7)/$H60*OFFSET(ORÇAMENTO!$X$15,ROW(BI60)-ROW(BI$15),0),
              ROUND(ROUND(OFFSET($P60,0,BI$13),15-13*ORÇAMENTO!$AF$7)*OFFSET(ORÇAMENTO!$W$15,ROW(BI60)-ROW(BI$15),0),15-13*ORÇAMENTO!$AF$11)),
         0)</f>
        <v>0</v>
      </c>
      <c r="BJ60" s="352" t="n">
        <f aca="true">IF(AND($D60="Serviço",BJ$12&lt;&gt;0,$H60&gt;0,OR(AUTOEVENTO&lt;&gt;"manual",$M60&lt;&gt;$A$15)),
        IF(Import.TipoArredondamento&lt;&gt;"TransfereGOV",
              ROUND(OFFSET($P60,0,BJ$13),15-13*ORÇAMENTO!$AF$7)/$H60*OFFSET(ORÇAMENTO!$X$15,ROW(BJ60)-ROW(BJ$15),0),
              ROUND(ROUND(OFFSET($P60,0,BJ$13),15-13*ORÇAMENTO!$AF$7)*OFFSET(ORÇAMENTO!$W$15,ROW(BJ60)-ROW(BJ$15),0),15-13*ORÇAMENTO!$AF$11)),
         0)</f>
        <v>0</v>
      </c>
      <c r="BK60" s="352" t="n">
        <f aca="true">IF(AND($D60="Serviço",BK$12&lt;&gt;0,$H60&gt;0,OR(AUTOEVENTO&lt;&gt;"manual",$M60&lt;&gt;$A$15)),
        IF(Import.TipoArredondamento&lt;&gt;"TransfereGOV",
              ROUND(OFFSET($P60,0,BK$13),15-13*ORÇAMENTO!$AF$7)/$H60*OFFSET(ORÇAMENTO!$X$15,ROW(BK60)-ROW(BK$15),0),
              ROUND(ROUND(OFFSET($P60,0,BK$13),15-13*ORÇAMENTO!$AF$7)*OFFSET(ORÇAMENTO!$W$15,ROW(BK60)-ROW(BK$15),0),15-13*ORÇAMENTO!$AF$11)),
         0)</f>
        <v>0</v>
      </c>
      <c r="BL60" s="352" t="n">
        <f aca="true">IF(AND($D60="Serviço",BL$12&lt;&gt;0,$H60&gt;0,OR(AUTOEVENTO&lt;&gt;"manual",$M60&lt;&gt;$A$15)),
        IF(Import.TipoArredondamento&lt;&gt;"TransfereGOV",
              ROUND(OFFSET($P60,0,BL$13),15-13*ORÇAMENTO!$AF$7)/$H60*OFFSET(ORÇAMENTO!$X$15,ROW(BL60)-ROW(BL$15),0),
              ROUND(ROUND(OFFSET($P60,0,BL$13),15-13*ORÇAMENTO!$AF$7)*OFFSET(ORÇAMENTO!$W$15,ROW(BL60)-ROW(BL$15),0),15-13*ORÇAMENTO!$AF$11)),
         0)</f>
        <v>0</v>
      </c>
      <c r="BM60" s="352" t="n">
        <f aca="true">IF(AND($D60="Serviço",BM$12&lt;&gt;0,$H60&gt;0,OR(AUTOEVENTO&lt;&gt;"manual",$M60&lt;&gt;$A$15)),
        IF(Import.TipoArredondamento&lt;&gt;"TransfereGOV",
              ROUND(OFFSET($P60,0,BM$13),15-13*ORÇAMENTO!$AF$7)/$H60*OFFSET(ORÇAMENTO!$X$15,ROW(BM60)-ROW(BM$15),0),
              ROUND(ROUND(OFFSET($P60,0,BM$13),15-13*ORÇAMENTO!$AF$7)*OFFSET(ORÇAMENTO!$W$15,ROW(BM60)-ROW(BM$15),0),15-13*ORÇAMENTO!$AF$11)),
         0)</f>
        <v>0</v>
      </c>
      <c r="BN60" s="352" t="n">
        <f aca="true">IF(AND($D60="Serviço",BN$12&lt;&gt;0,$H60&gt;0,OR(AUTOEVENTO&lt;&gt;"manual",$M60&lt;&gt;$A$15)),
        IF(Import.TipoArredondamento&lt;&gt;"TransfereGOV",
              ROUND(OFFSET($P60,0,BN$13),15-13*ORÇAMENTO!$AF$7)/$H60*OFFSET(ORÇAMENTO!$X$15,ROW(BN60)-ROW(BN$15),0),
              ROUND(ROUND(OFFSET($P60,0,BN$13),15-13*ORÇAMENTO!$AF$7)*OFFSET(ORÇAMENTO!$W$15,ROW(BN60)-ROW(BN$15),0),15-13*ORÇAMENTO!$AF$11)),
         0)</f>
        <v>0</v>
      </c>
      <c r="BO60" s="352" t="n">
        <f aca="true">IF(AND($D60="Serviço",BO$12&lt;&gt;0,$H60&gt;0,OR(AUTOEVENTO&lt;&gt;"manual",$M60&lt;&gt;$A$15)),
        IF(Import.TipoArredondamento&lt;&gt;"TransfereGOV",
              ROUND(OFFSET($P60,0,BO$13),15-13*ORÇAMENTO!$AF$7)/$H60*OFFSET(ORÇAMENTO!$X$15,ROW(BO60)-ROW(BO$15),0),
              ROUND(ROUND(OFFSET($P60,0,BO$13),15-13*ORÇAMENTO!$AF$7)*OFFSET(ORÇAMENTO!$W$15,ROW(BO60)-ROW(BO$15),0),15-13*ORÇAMENTO!$AF$11)),
         0)</f>
        <v>0</v>
      </c>
      <c r="BP60" s="352" t="n">
        <f aca="true">IF(AND($D60="Serviço",BP$12&lt;&gt;0,$H60&gt;0,OR(AUTOEVENTO&lt;&gt;"manual",$M60&lt;&gt;$A$15)),
        IF(Import.TipoArredondamento&lt;&gt;"TransfereGOV",
              ROUND(OFFSET($P60,0,BP$13),15-13*ORÇAMENTO!$AF$7)/$H60*OFFSET(ORÇAMENTO!$X$15,ROW(BP60)-ROW(BP$15),0),
              ROUND(ROUND(OFFSET($P60,0,BP$13),15-13*ORÇAMENTO!$AF$7)*OFFSET(ORÇAMENTO!$W$15,ROW(BP60)-ROW(BP$15),0),15-13*ORÇAMENTO!$AF$11)),
         0)</f>
        <v>0</v>
      </c>
      <c r="BQ60" s="352" t="n">
        <f aca="true">IF(AND($D60="Serviço",BQ$12&lt;&gt;0,$H60&gt;0,OR(AUTOEVENTO&lt;&gt;"manual",$M60&lt;&gt;$A$15)),
        IF(Import.TipoArredondamento&lt;&gt;"TransfereGOV",
              ROUND(OFFSET($P60,0,BQ$13),15-13*ORÇAMENTO!$AF$7)/$H60*OFFSET(ORÇAMENTO!$X$15,ROW(BQ60)-ROW(BQ$15),0),
              ROUND(ROUND(OFFSET($P60,0,BQ$13),15-13*ORÇAMENTO!$AF$7)*OFFSET(ORÇAMENTO!$W$15,ROW(BQ60)-ROW(BQ$15),0),15-13*ORÇAMENTO!$AF$11)),
         0)</f>
        <v>0</v>
      </c>
      <c r="BS60" s="353" t="n">
        <f aca="true">IF(OR($D60&lt;&gt;"Serviço",AND(AUTOEVENTO="Manual",$M60=$A$15)),0,
         IF(OFFSET(CRONOPLE!$F$15,$M60-$A$15,BS$13)=0,10^12,OFFSET(CRONOPLE!$F$15,$M60-$A$15,BS$13)))</f>
        <v>0</v>
      </c>
      <c r="BT60" s="353" t="n">
        <f aca="true">IF(OR($D60&lt;&gt;"Serviço",AND(AUTOEVENTO="Manual",$M60=$A$15)),0,
         IF(OFFSET(CRONOPLE!$F$15,$M60-$A$15,BT$13)=0,10^12,OFFSET(CRONOPLE!$F$15,$M60-$A$15,BT$13)))</f>
        <v>0</v>
      </c>
      <c r="BU60" s="353" t="n">
        <f aca="true">IF(OR($D60&lt;&gt;"Serviço",AND(AUTOEVENTO="Manual",$M60=$A$15)),0,
         IF(OFFSET(CRONOPLE!$F$15,$M60-$A$15,BU$13)=0,10^12,OFFSET(CRONOPLE!$F$15,$M60-$A$15,BU$13)))</f>
        <v>0</v>
      </c>
      <c r="BV60" s="353" t="n">
        <f aca="true">IF(OR($D60&lt;&gt;"Serviço",AND(AUTOEVENTO="Manual",$M60=$A$15)),0,
         IF(OFFSET(CRONOPLE!$F$15,$M60-$A$15,BV$13)=0,10^12,OFFSET(CRONOPLE!$F$15,$M60-$A$15,BV$13)))</f>
        <v>0</v>
      </c>
      <c r="BW60" s="353" t="n">
        <f aca="true">IF(OR($D60&lt;&gt;"Serviço",AND(AUTOEVENTO="Manual",$M60=$A$15)),0,
         IF(OFFSET(CRONOPLE!$F$15,$M60-$A$15,BW$13)=0,10^12,OFFSET(CRONOPLE!$F$15,$M60-$A$15,BW$13)))</f>
        <v>0</v>
      </c>
      <c r="BX60" s="353" t="n">
        <f aca="true">IF(OR($D60&lt;&gt;"Serviço",AND(AUTOEVENTO="Manual",$M60=$A$15)),0,
         IF(OFFSET(CRONOPLE!$F$15,$M60-$A$15,BX$13)=0,10^12,OFFSET(CRONOPLE!$F$15,$M60-$A$15,BX$13)))</f>
        <v>0</v>
      </c>
      <c r="BY60" s="353" t="n">
        <f aca="true">IF(OR($D60&lt;&gt;"Serviço",AND(AUTOEVENTO="Manual",$M60=$A$15)),0,
         IF(OFFSET(CRONOPLE!$F$15,$M60-$A$15,BY$13)=0,10^12,OFFSET(CRONOPLE!$F$15,$M60-$A$15,BY$13)))</f>
        <v>0</v>
      </c>
      <c r="BZ60" s="353" t="n">
        <f aca="true">IF(OR($D60&lt;&gt;"Serviço",AND(AUTOEVENTO="Manual",$M60=$A$15)),0,
         IF(OFFSET(CRONOPLE!$F$15,$M60-$A$15,BZ$13)=0,10^12,OFFSET(CRONOPLE!$F$15,$M60-$A$15,BZ$13)))</f>
        <v>0</v>
      </c>
      <c r="CA60" s="353" t="n">
        <f aca="true">IF(OR($D60&lt;&gt;"Serviço",AND(AUTOEVENTO="Manual",$M60=$A$15)),0,
         IF(OFFSET(CRONOPLE!$F$15,$M60-$A$15,CA$13)=0,10^12,OFFSET(CRONOPLE!$F$15,$M60-$A$15,CA$13)))</f>
        <v>0</v>
      </c>
      <c r="CB60" s="353" t="n">
        <f aca="true">IF(OR($D60&lt;&gt;"Serviço",AND(AUTOEVENTO="Manual",$M60=$A$15)),0,
         IF(OFFSET(CRONOPLE!$F$15,$M60-$A$15,CB$13)=0,10^12,OFFSET(CRONOPLE!$F$15,$M60-$A$15,CB$13)))</f>
        <v>0</v>
      </c>
      <c r="CC60" s="353" t="n">
        <f aca="true">IF(OR($D60&lt;&gt;"Serviço",AND(AUTOEVENTO="Manual",$M60=$A$15)),0,
         IF(OFFSET(CRONOPLE!$F$15,$M60-$A$15,CC$13)=0,10^12,OFFSET(CRONOPLE!$F$15,$M60-$A$15,CC$13)))</f>
        <v>0</v>
      </c>
      <c r="CD60" s="353" t="n">
        <f aca="true">IF(OR($D60&lt;&gt;"Serviço",AND(AUTOEVENTO="Manual",$M60=$A$15)),0,
         IF(OFFSET(CRONOPLE!$F$15,$M60-$A$15,CD$13)=0,10^12,OFFSET(CRONOPLE!$F$15,$M60-$A$15,CD$13)))</f>
        <v>0</v>
      </c>
      <c r="CE60" s="353" t="n">
        <f aca="true">IF(OR($D60&lt;&gt;"Serviço",AND(AUTOEVENTO="Manual",$M60=$A$15)),0,
         IF(OFFSET(CRONOPLE!$F$15,$M60-$A$15,CE$13)=0,10^12,OFFSET(CRONOPLE!$F$15,$M60-$A$15,CE$13)))</f>
        <v>0</v>
      </c>
      <c r="CF60" s="353" t="n">
        <f aca="true">IF(OR($D60&lt;&gt;"Serviço",AND(AUTOEVENTO="Manual",$M60=$A$15)),0,
         IF(OFFSET(CRONOPLE!$F$15,$M60-$A$15,CF$13)=0,10^12,OFFSET(CRONOPLE!$F$15,$M60-$A$15,CF$13)))</f>
        <v>0</v>
      </c>
      <c r="CG60" s="353" t="n">
        <f aca="true">IF(OR($D60&lt;&gt;"Serviço",AND(AUTOEVENTO="Manual",$M60=$A$15)),0,
         IF(OFFSET(CRONOPLE!$F$15,$M60-$A$15,CG$13)=0,10^12,OFFSET(CRONOPLE!$F$15,$M60-$A$15,CG$13)))</f>
        <v>0</v>
      </c>
      <c r="CH60" s="353" t="n">
        <f aca="true">IF(OR($D60&lt;&gt;"Serviço",AND(AUTOEVENTO="Manual",$M60=$A$15)),0,
         IF(OFFSET(CRONOPLE!$F$15,$M60-$A$15,CH$13)=0,10^12,OFFSET(CRONOPLE!$F$15,$M60-$A$15,CH$13)))</f>
        <v>0</v>
      </c>
      <c r="CI60" s="353" t="n">
        <f aca="true">IF(OR($D60&lt;&gt;"Serviço",AND(AUTOEVENTO="Manual",$M60=$A$15)),0,
         IF(OFFSET(CRONOPLE!$F$15,$M60-$A$15,CI$13)=0,10^12,OFFSET(CRONOPLE!$F$15,$M60-$A$15,CI$13)))</f>
        <v>0</v>
      </c>
      <c r="CJ60" s="353" t="n">
        <f aca="true">IF(OR($D60&lt;&gt;"Serviço",AND(AUTOEVENTO="Manual",$M60=$A$15)),0,
         IF(OFFSET(CRONOPLE!$F$15,$M60-$A$15,CJ$13)=0,10^12,OFFSET(CRONOPLE!$F$15,$M60-$A$15,CJ$13)))</f>
        <v>0</v>
      </c>
      <c r="CK60" s="353" t="n">
        <f aca="true">IF(OR($D60&lt;&gt;"Serviço",AND(AUTOEVENTO="Manual",$M60=$A$15)),0,
         IF(OFFSET(CRONOPLE!$F$15,$M60-$A$15,CK$13)=0,10^12,OFFSET(CRONOPLE!$F$15,$M60-$A$15,CK$13)))</f>
        <v>0</v>
      </c>
      <c r="CL60" s="353" t="n">
        <f aca="true">IF(OR($D60&lt;&gt;"Serviço",AND(AUTOEVENTO="Manual",$M60=$A$15)),0,
         IF(OFFSET(CRONOPLE!$F$15,$M60-$A$15,CL$13)=0,10^12,OFFSET(CRONOPLE!$F$15,$M60-$A$15,CL$13)))</f>
        <v>0</v>
      </c>
      <c r="CM60" s="353" t="n">
        <f aca="true">IF(OR($D60&lt;&gt;"Serviço",AND(AUTOEVENTO="Manual",$M60=$A$15)),0,
         IF(OFFSET(CRONOPLE!$F$15,$M60-$A$15,CM$13)=0,10^12,OFFSET(CRONOPLE!$F$15,$M60-$A$15,CM$13)))</f>
        <v>0</v>
      </c>
      <c r="CN60" s="353" t="n">
        <f aca="true">IF(OR($D60&lt;&gt;"Serviço",AND(AUTOEVENTO="Manual",$M60=$A$15)),0,
         IF(OFFSET(CRONOPLE!$F$15,$M60-$A$15,CN$13)=0,10^12,OFFSET(CRONOPLE!$F$15,$M60-$A$15,CN$13)))</f>
        <v>0</v>
      </c>
      <c r="CO60" s="353" t="n">
        <f aca="true">IF(OR($D60&lt;&gt;"Serviço",AND(AUTOEVENTO="Manual",$M60=$A$15)),0,
         IF(OFFSET(CRONOPLE!$F$15,$M60-$A$15,CO$13)=0,10^12,OFFSET(CRONOPLE!$F$15,$M60-$A$15,CO$13)))</f>
        <v>0</v>
      </c>
      <c r="CP60" s="353" t="n">
        <f aca="true">IF(OR($D60&lt;&gt;"Serviço",AND(AUTOEVENTO="Manual",$M60=$A$15)),0,
         IF(OFFSET(CRONOPLE!$F$15,$M60-$A$15,CP$13)=0,10^12,OFFSET(CRONOPLE!$F$15,$M60-$A$15,CP$13)))</f>
        <v>0</v>
      </c>
      <c r="CQ60" s="353" t="n">
        <f aca="true">IF(OR($D60&lt;&gt;"Serviço",AND(AUTOEVENTO="Manual",$M60=$A$15)),0,
         IF(OFFSET(CRONOPLE!$F$15,$M60-$A$15,CQ$13)=0,10^12,OFFSET(CRONOPLE!$F$15,$M60-$A$15,CQ$13)))</f>
        <v>0</v>
      </c>
      <c r="CR60" s="353" t="n">
        <f aca="true">IF(OR($D60&lt;&gt;"Serviço",AND(AUTOEVENTO="Manual",$M60=$A$15)),0,
         IF(OFFSET(CRONOPLE!$F$15,$M60-$A$15,CR$13)=0,10^12,OFFSET(CRONOPLE!$F$15,$M60-$A$15,CR$13)))</f>
        <v>0</v>
      </c>
      <c r="CT60" s="354" t="n">
        <f aca="true">IF(OR($D60&lt;&gt;"Serviço",AND(AUTOEVENTO="Manual",$M60=$A$15),$M60&gt;(ROW(PLE.lastrow)-ROW(PLE.firstrow))),0,
           IF(OFFSET(PLE!$G$15,$M60-$A$15,CT$13)="",10^12,OFFSET(PLE!$G$15,$M60-$A$15,CT$13)))</f>
        <v>0</v>
      </c>
      <c r="CU60" s="354" t="n">
        <f aca="true">IF(OR($D60&lt;&gt;"Serviço",AND(AUTOEVENTO="Manual",$M60=$A$15),$M60&gt;(ROW(PLE.lastrow)-ROW(PLE.firstrow))),0,
           IF(OFFSET(PLE!$G$15,$M60-$A$15,CU$13)="",10^12,OFFSET(PLE!$G$15,$M60-$A$15,CU$13)))</f>
        <v>0</v>
      </c>
      <c r="CV60" s="354" t="n">
        <f aca="true">IF(OR($D60&lt;&gt;"Serviço",AND(AUTOEVENTO="Manual",$M60=$A$15),$M60&gt;(ROW(PLE.lastrow)-ROW(PLE.firstrow))),0,
           IF(OFFSET(PLE!$G$15,$M60-$A$15,CV$13)="",10^12,OFFSET(PLE!$G$15,$M60-$A$15,CV$13)))</f>
        <v>0</v>
      </c>
      <c r="CW60" s="354" t="n">
        <f aca="true">IF(OR($D60&lt;&gt;"Serviço",AND(AUTOEVENTO="Manual",$M60=$A$15),$M60&gt;(ROW(PLE.lastrow)-ROW(PLE.firstrow))),0,
           IF(OFFSET(PLE!$G$15,$M60-$A$15,CW$13)="",10^12,OFFSET(PLE!$G$15,$M60-$A$15,CW$13)))</f>
        <v>0</v>
      </c>
      <c r="CX60" s="354" t="n">
        <f aca="true">IF(OR($D60&lt;&gt;"Serviço",AND(AUTOEVENTO="Manual",$M60=$A$15),$M60&gt;(ROW(PLE.lastrow)-ROW(PLE.firstrow))),0,
           IF(OFFSET(PLE!$G$15,$M60-$A$15,CX$13)="",10^12,OFFSET(PLE!$G$15,$M60-$A$15,CX$13)))</f>
        <v>0</v>
      </c>
      <c r="CY60" s="354" t="n">
        <f aca="true">IF(OR($D60&lt;&gt;"Serviço",AND(AUTOEVENTO="Manual",$M60=$A$15),$M60&gt;(ROW(PLE.lastrow)-ROW(PLE.firstrow))),0,
           IF(OFFSET(PLE!$G$15,$M60-$A$15,CY$13)="",10^12,OFFSET(PLE!$G$15,$M60-$A$15,CY$13)))</f>
        <v>0</v>
      </c>
      <c r="CZ60" s="354" t="n">
        <f aca="true">IF(OR($D60&lt;&gt;"Serviço",AND(AUTOEVENTO="Manual",$M60=$A$15),$M60&gt;(ROW(PLE.lastrow)-ROW(PLE.firstrow))),0,
           IF(OFFSET(PLE!$G$15,$M60-$A$15,CZ$13)="",10^12,OFFSET(PLE!$G$15,$M60-$A$15,CZ$13)))</f>
        <v>0</v>
      </c>
      <c r="DA60" s="354" t="n">
        <f aca="true">IF(OR($D60&lt;&gt;"Serviço",AND(AUTOEVENTO="Manual",$M60=$A$15),$M60&gt;(ROW(PLE.lastrow)-ROW(PLE.firstrow))),0,
           IF(OFFSET(PLE!$G$15,$M60-$A$15,DA$13)="",10^12,OFFSET(PLE!$G$15,$M60-$A$15,DA$13)))</f>
        <v>0</v>
      </c>
      <c r="DB60" s="354" t="n">
        <f aca="true">IF(OR($D60&lt;&gt;"Serviço",AND(AUTOEVENTO="Manual",$M60=$A$15),$M60&gt;(ROW(PLE.lastrow)-ROW(PLE.firstrow))),0,
           IF(OFFSET(PLE!$G$15,$M60-$A$15,DB$13)="",10^12,OFFSET(PLE!$G$15,$M60-$A$15,DB$13)))</f>
        <v>0</v>
      </c>
      <c r="DC60" s="354" t="n">
        <f aca="true">IF(OR($D60&lt;&gt;"Serviço",AND(AUTOEVENTO="Manual",$M60=$A$15),$M60&gt;(ROW(PLE.lastrow)-ROW(PLE.firstrow))),0,
           IF(OFFSET(PLE!$G$15,$M60-$A$15,DC$13)="",10^12,OFFSET(PLE!$G$15,$M60-$A$15,DC$13)))</f>
        <v>0</v>
      </c>
      <c r="DD60" s="354" t="n">
        <f aca="true">IF(OR($D60&lt;&gt;"Serviço",AND(AUTOEVENTO="Manual",$M60=$A$15),$M60&gt;(ROW(PLE.lastrow)-ROW(PLE.firstrow))),0,
           IF(OFFSET(PLE!$G$15,$M60-$A$15,DD$13)="",10^12,OFFSET(PLE!$G$15,$M60-$A$15,DD$13)))</f>
        <v>0</v>
      </c>
      <c r="DE60" s="354" t="n">
        <f aca="true">IF(OR($D60&lt;&gt;"Serviço",AND(AUTOEVENTO="Manual",$M60=$A$15),$M60&gt;(ROW(PLE.lastrow)-ROW(PLE.firstrow))),0,
           IF(OFFSET(PLE!$G$15,$M60-$A$15,DE$13)="",10^12,OFFSET(PLE!$G$15,$M60-$A$15,DE$13)))</f>
        <v>0</v>
      </c>
      <c r="DF60" s="354" t="n">
        <f aca="true">IF(OR($D60&lt;&gt;"Serviço",AND(AUTOEVENTO="Manual",$M60=$A$15),$M60&gt;(ROW(PLE.lastrow)-ROW(PLE.firstrow))),0,
           IF(OFFSET(PLE!$G$15,$M60-$A$15,DF$13)="",10^12,OFFSET(PLE!$G$15,$M60-$A$15,DF$13)))</f>
        <v>0</v>
      </c>
      <c r="DG60" s="354" t="n">
        <f aca="true">IF(OR($D60&lt;&gt;"Serviço",AND(AUTOEVENTO="Manual",$M60=$A$15),$M60&gt;(ROW(PLE.lastrow)-ROW(PLE.firstrow))),0,
           IF(OFFSET(PLE!$G$15,$M60-$A$15,DG$13)="",10^12,OFFSET(PLE!$G$15,$M60-$A$15,DG$13)))</f>
        <v>0</v>
      </c>
      <c r="DH60" s="354" t="n">
        <f aca="true">IF(OR($D60&lt;&gt;"Serviço",AND(AUTOEVENTO="Manual",$M60=$A$15),$M60&gt;(ROW(PLE.lastrow)-ROW(PLE.firstrow))),0,
           IF(OFFSET(PLE!$G$15,$M60-$A$15,DH$13)="",10^12,OFFSET(PLE!$G$15,$M60-$A$15,DH$13)))</f>
        <v>0</v>
      </c>
      <c r="DI60" s="354" t="n">
        <f aca="true">IF(OR($D60&lt;&gt;"Serviço",AND(AUTOEVENTO="Manual",$M60=$A$15),$M60&gt;(ROW(PLE.lastrow)-ROW(PLE.firstrow))),0,
           IF(OFFSET(PLE!$G$15,$M60-$A$15,DI$13)="",10^12,OFFSET(PLE!$G$15,$M60-$A$15,DI$13)))</f>
        <v>0</v>
      </c>
      <c r="DJ60" s="354" t="n">
        <f aca="true">IF(OR($D60&lt;&gt;"Serviço",AND(AUTOEVENTO="Manual",$M60=$A$15),$M60&gt;(ROW(PLE.lastrow)-ROW(PLE.firstrow))),0,
           IF(OFFSET(PLE!$G$15,$M60-$A$15,DJ$13)="",10^12,OFFSET(PLE!$G$15,$M60-$A$15,DJ$13)))</f>
        <v>0</v>
      </c>
      <c r="DK60" s="354" t="n">
        <f aca="true">IF(OR($D60&lt;&gt;"Serviço",AND(AUTOEVENTO="Manual",$M60=$A$15),$M60&gt;(ROW(PLE.lastrow)-ROW(PLE.firstrow))),0,
           IF(OFFSET(PLE!$G$15,$M60-$A$15,DK$13)="",10^12,OFFSET(PLE!$G$15,$M60-$A$15,DK$13)))</f>
        <v>0</v>
      </c>
      <c r="DL60" s="354" t="n">
        <f aca="true">IF(OR($D60&lt;&gt;"Serviço",AND(AUTOEVENTO="Manual",$M60=$A$15),$M60&gt;(ROW(PLE.lastrow)-ROW(PLE.firstrow))),0,
           IF(OFFSET(PLE!$G$15,$M60-$A$15,DL$13)="",10^12,OFFSET(PLE!$G$15,$M60-$A$15,DL$13)))</f>
        <v>0</v>
      </c>
      <c r="DM60" s="354" t="n">
        <f aca="true">IF(OR($D60&lt;&gt;"Serviço",AND(AUTOEVENTO="Manual",$M60=$A$15),$M60&gt;(ROW(PLE.lastrow)-ROW(PLE.firstrow))),0,
           IF(OFFSET(PLE!$G$15,$M60-$A$15,DM$13)="",10^12,OFFSET(PLE!$G$15,$M60-$A$15,DM$13)))</f>
        <v>0</v>
      </c>
      <c r="DN60" s="354" t="n">
        <f aca="true">IF(OR($D60&lt;&gt;"Serviço",AND(AUTOEVENTO="Manual",$M60=$A$15),$M60&gt;(ROW(PLE.lastrow)-ROW(PLE.firstrow))),0,
           IF(OFFSET(PLE!$G$15,$M60-$A$15,DN$13)="",10^12,OFFSET(PLE!$G$15,$M60-$A$15,DN$13)))</f>
        <v>0</v>
      </c>
      <c r="DO60" s="354" t="n">
        <f aca="true">IF(OR($D60&lt;&gt;"Serviço",AND(AUTOEVENTO="Manual",$M60=$A$15),$M60&gt;(ROW(PLE.lastrow)-ROW(PLE.firstrow))),0,
           IF(OFFSET(PLE!$G$15,$M60-$A$15,DO$13)="",10^12,OFFSET(PLE!$G$15,$M60-$A$15,DO$13)))</f>
        <v>0</v>
      </c>
      <c r="DP60" s="354" t="n">
        <f aca="true">IF(OR($D60&lt;&gt;"Serviço",AND(AUTOEVENTO="Manual",$M60=$A$15),$M60&gt;(ROW(PLE.lastrow)-ROW(PLE.firstrow))),0,
           IF(OFFSET(PLE!$G$15,$M60-$A$15,DP$13)="",10^12,OFFSET(PLE!$G$15,$M60-$A$15,DP$13)))</f>
        <v>0</v>
      </c>
      <c r="DQ60" s="354" t="n">
        <f aca="true">IF(OR($D60&lt;&gt;"Serviço",AND(AUTOEVENTO="Manual",$M60=$A$15),$M60&gt;(ROW(PLE.lastrow)-ROW(PLE.firstrow))),0,
           IF(OFFSET(PLE!$G$15,$M60-$A$15,DQ$13)="",10^12,OFFSET(PLE!$G$15,$M60-$A$15,DQ$13)))</f>
        <v>0</v>
      </c>
      <c r="DR60" s="354" t="n">
        <f aca="true">IF(OR($D60&lt;&gt;"Serviço",AND(AUTOEVENTO="Manual",$M60=$A$15),$M60&gt;(ROW(PLE.lastrow)-ROW(PLE.firstrow))),0,
           IF(OFFSET(PLE!$G$15,$M60-$A$15,DR$13)="",10^12,OFFSET(PLE!$G$15,$M60-$A$15,DR$13)))</f>
        <v>0</v>
      </c>
      <c r="DS60" s="354" t="n">
        <f aca="true">IF(OR($D60&lt;&gt;"Serviço",AND(AUTOEVENTO="Manual",$M60=$A$15),$M60&gt;(ROW(PLE.lastrow)-ROW(PLE.firstrow))),0,
           IF(OFFSET(PLE!$G$15,$M60-$A$15,DS$13)="",10^12,OFFSET(PLE!$G$15,$M60-$A$15,DS$13)))</f>
        <v>0</v>
      </c>
    </row>
    <row r="61" customFormat="false" ht="79.85" hidden="false" customHeight="false" outlineLevel="0" collapsed="false">
      <c r="A61" s="50" t="str">
        <f aca="true">IFERROR(IF(AUTOEVENTO="Manual",IF(K61&lt;&gt;"",MIN(VALUE(LEFT(K61,FIND(".",K61)-1)),COUNTA(EVENTOS.Lista)),0),IF(OR($B61&gt;AUTOEVENTO,$B61="S",$B61=0),SUBSTITUTE(OFFSET($A61,-1,0),IF($D61="Serviço",".",""),""),ROW(A61)-ROW($A$15)&amp;".")),0)</f>
        <v>45</v>
      </c>
      <c r="B61" s="50" t="str">
        <f aca="true">OFFSET(ORÇAMENTO!C$15,ROW(B61)-ROW(B$15),0)</f>
        <v>S</v>
      </c>
      <c r="C61" s="50" t="str">
        <f aca="true">OFFSET(ORÇAMENTO!L$15,ROW(C61)-ROW(C$15),0)</f>
        <v>F</v>
      </c>
      <c r="D61" s="201" t="str">
        <f aca="true">OFFSET(ORÇAMENTO!N$15,ROW(D61)-ROW(D$15),0)</f>
        <v>Serviço</v>
      </c>
      <c r="E61" s="202" t="str">
        <f aca="true">OFFSET(ORÇAMENTO!O$15,ROW(E61)-ROW(E$15),0)</f>
        <v>1.12.1.</v>
      </c>
      <c r="F61" s="341" t="str">
        <f aca="true">OFFSET(ORÇAMENTO!R$15,ROW(F61)-ROW(F$15),0)</f>
        <v>JANELA DE ALUMÍNIO DE CORRER COM 2 FOLHAS PARA VIDROS (VIDROS INCLUSOS), BATENTE/ REQUADRO 6 A 14
CM, ACABAMENTO COM ACETATO OU BRILHANTE, FIXAÇÃO COM PARAFUSO, SEM GUARNIÇÃO/ ALIZAR,
DIMENSÕES 100X120 CM, VEDAÇÃO COM SILICONE, EXCLUSIVE CONTRAMARCO - FORNECIMENTO E
INSTALAÇÃO. AF_11/2024</v>
      </c>
      <c r="G61" s="342" t="str">
        <f aca="true">IF($D61&lt;&gt;"Serviço","",OFFSET(ORÇAMENTO!S$15,ROW(G61)-ROW(G$15),0))</f>
        <v>M2</v>
      </c>
      <c r="H61" s="207" t="n">
        <f aca="true">IF($D61&lt;&gt;"Serviço",0,IF(ACOMPANHAMENTO="BM",ROUND(OFFSET(ORÇAMENTO!AJ$15,ROW(H61)-ROW(H$15),0),15-13*ORÇAMENTO!$AF$7),SUMPRODUCT(($Q$1:$AQ$1=1)*ROUND($Q61:$AQ61,15-13*ORÇAMENTO!$AF$7))))</f>
        <v>165</v>
      </c>
      <c r="I61" s="343" t="s">
        <v>942</v>
      </c>
      <c r="J61" s="344" t="e">
        <f aca="false">IF(OR(B61&lt;&gt;"S",CÁLCULO.FrentesPreenchidas=0),"",IF(AND(ACOMPANHAMENTO="PLE",AUTOEVENTO="Manual",OR(H61&gt;0,ORÇAMENTO!AC61="QUANT."),OR(K61="",M61=0,N61="")),"►",IF(AND(ACOMPANHAMENTO="PLE",ORÇAMENTO!AC61="QUANT."),"►►",IF(AND(COUNTIF($P$11:$AQ$11,"▼")=0,H61&gt;0,I61=""),"◄",""))))</f>
        <v>#NAME?</v>
      </c>
      <c r="K61" s="345"/>
      <c r="L61" s="346" t="s">
        <v>876</v>
      </c>
      <c r="M61" s="347" t="n">
        <f aca="true">IF($D61&lt;&gt;"Serviço","",
          IF(AUTOEVENTO="manual",$A61,
                IF(ISERROR(MATCH($A61,$A$15:OFFSET($A61,-1,0),0)),MAX($M$15:OFFSET(M61,-1,0))+1,
                      INDEX($M$15:OFFSET(M61,-1,0),MATCH($A61,$A$15:OFFSET($A61,-1,0),0)))))</f>
        <v>8</v>
      </c>
      <c r="N61" s="348" t="str">
        <f aca="true">IF($D61&lt;&gt;"Serviço","",
         IF(AUTOEVENTO="Manual",
                IF($A61=0,"&lt;-- defina o número do agrupador",
                       OFFSET(EVENTOS!$D$15,$A61-$A$15,0)),
                OFFSET($F$15,$A61,0)))</f>
        <v>ESQUADRIAS METÁLICAS</v>
      </c>
      <c r="O61" s="349"/>
      <c r="Q61" s="349" t="n">
        <v>6.6</v>
      </c>
      <c r="R61" s="350" t="n">
        <f aca="false">Q61</f>
        <v>6.6</v>
      </c>
      <c r="S61" s="350" t="n">
        <f aca="false">R61</f>
        <v>6.6</v>
      </c>
      <c r="T61" s="350" t="n">
        <f aca="false">S61</f>
        <v>6.6</v>
      </c>
      <c r="U61" s="350" t="n">
        <f aca="false">T61</f>
        <v>6.6</v>
      </c>
      <c r="V61" s="350" t="n">
        <f aca="false">U61</f>
        <v>6.6</v>
      </c>
      <c r="W61" s="350" t="n">
        <f aca="false">V61</f>
        <v>6.6</v>
      </c>
      <c r="X61" s="350" t="n">
        <f aca="false">W61</f>
        <v>6.6</v>
      </c>
      <c r="Y61" s="350" t="n">
        <f aca="false">X61</f>
        <v>6.6</v>
      </c>
      <c r="Z61" s="351" t="n">
        <f aca="false">Y61</f>
        <v>6.6</v>
      </c>
      <c r="AA61" s="350" t="n">
        <f aca="false">Z61</f>
        <v>6.6</v>
      </c>
      <c r="AB61" s="350" t="n">
        <f aca="false">AA61</f>
        <v>6.6</v>
      </c>
      <c r="AC61" s="350" t="n">
        <f aca="false">AB61</f>
        <v>6.6</v>
      </c>
      <c r="AD61" s="350" t="n">
        <f aca="false">AC61</f>
        <v>6.6</v>
      </c>
      <c r="AE61" s="350" t="n">
        <f aca="false">AD61</f>
        <v>6.6</v>
      </c>
      <c r="AF61" s="350" t="n">
        <f aca="false">AE61</f>
        <v>6.6</v>
      </c>
      <c r="AG61" s="350" t="n">
        <f aca="false">AF61</f>
        <v>6.6</v>
      </c>
      <c r="AH61" s="351" t="n">
        <f aca="false">AG61</f>
        <v>6.6</v>
      </c>
      <c r="AI61" s="350" t="n">
        <f aca="false">AH61</f>
        <v>6.6</v>
      </c>
      <c r="AJ61" s="350" t="n">
        <f aca="false">AI61</f>
        <v>6.6</v>
      </c>
      <c r="AK61" s="350" t="n">
        <f aca="false">AJ61</f>
        <v>6.6</v>
      </c>
      <c r="AL61" s="350" t="n">
        <f aca="false">AK61</f>
        <v>6.6</v>
      </c>
      <c r="AM61" s="350" t="n">
        <f aca="false">AL61</f>
        <v>6.6</v>
      </c>
      <c r="AN61" s="350" t="n">
        <f aca="false">AM61</f>
        <v>6.6</v>
      </c>
      <c r="AO61" s="350" t="n">
        <f aca="false">AN61</f>
        <v>6.6</v>
      </c>
      <c r="AP61" s="351"/>
      <c r="AR61" s="352" t="n">
        <f aca="true">IF(AND($D61="Serviço",AR$12&lt;&gt;0,$H61&gt;0,OR(AUTOEVENTO&lt;&gt;"manual",$M61&lt;&gt;$A$15)),
        IF(Import.TipoArredondamento&lt;&gt;"TransfereGOV",
              ROUND(OFFSET($P61,0,AR$13),15-13*ORÇAMENTO!$AF$7)/$H61*OFFSET(ORÇAMENTO!$X$15,ROW(AR61)-ROW(AR$15),0),
              ROUND(ROUND(OFFSET($P61,0,AR$13),15-13*ORÇAMENTO!$AF$7)*OFFSET(ORÇAMENTO!$W$15,ROW(AR61)-ROW(AR$15),0),15-13*ORÇAMENTO!$AF$11)),
         0)</f>
        <v>2352.64</v>
      </c>
      <c r="AS61" s="352" t="n">
        <f aca="true">IF(AND($D61="Serviço",AS$12&lt;&gt;0,$H61&gt;0,OR(AUTOEVENTO&lt;&gt;"manual",$M61&lt;&gt;$A$15)),
        IF(Import.TipoArredondamento&lt;&gt;"TransfereGOV",
              ROUND(OFFSET($P61,0,AS$13),15-13*ORÇAMENTO!$AF$7)/$H61*OFFSET(ORÇAMENTO!$X$15,ROW(AS61)-ROW(AS$15),0),
              ROUND(ROUND(OFFSET($P61,0,AS$13),15-13*ORÇAMENTO!$AF$7)*OFFSET(ORÇAMENTO!$W$15,ROW(AS61)-ROW(AS$15),0),15-13*ORÇAMENTO!$AF$11)),
         0)</f>
        <v>2352.64</v>
      </c>
      <c r="AT61" s="352" t="n">
        <f aca="true">IF(AND($D61="Serviço",AT$12&lt;&gt;0,$H61&gt;0,OR(AUTOEVENTO&lt;&gt;"manual",$M61&lt;&gt;$A$15)),
        IF(Import.TipoArredondamento&lt;&gt;"TransfereGOV",
              ROUND(OFFSET($P61,0,AT$13),15-13*ORÇAMENTO!$AF$7)/$H61*OFFSET(ORÇAMENTO!$X$15,ROW(AT61)-ROW(AT$15),0),
              ROUND(ROUND(OFFSET($P61,0,AT$13),15-13*ORÇAMENTO!$AF$7)*OFFSET(ORÇAMENTO!$W$15,ROW(AT61)-ROW(AT$15),0),15-13*ORÇAMENTO!$AF$11)),
         0)</f>
        <v>2352.64</v>
      </c>
      <c r="AU61" s="352" t="n">
        <f aca="true">IF(AND($D61="Serviço",AU$12&lt;&gt;0,$H61&gt;0,OR(AUTOEVENTO&lt;&gt;"manual",$M61&lt;&gt;$A$15)),
        IF(Import.TipoArredondamento&lt;&gt;"TransfereGOV",
              ROUND(OFFSET($P61,0,AU$13),15-13*ORÇAMENTO!$AF$7)/$H61*OFFSET(ORÇAMENTO!$X$15,ROW(AU61)-ROW(AU$15),0),
              ROUND(ROUND(OFFSET($P61,0,AU$13),15-13*ORÇAMENTO!$AF$7)*OFFSET(ORÇAMENTO!$W$15,ROW(AU61)-ROW(AU$15),0),15-13*ORÇAMENTO!$AF$11)),
         0)</f>
        <v>2352.64</v>
      </c>
      <c r="AV61" s="352" t="n">
        <f aca="true">IF(AND($D61="Serviço",AV$12&lt;&gt;0,$H61&gt;0,OR(AUTOEVENTO&lt;&gt;"manual",$M61&lt;&gt;$A$15)),
        IF(Import.TipoArredondamento&lt;&gt;"TransfereGOV",
              ROUND(OFFSET($P61,0,AV$13),15-13*ORÇAMENTO!$AF$7)/$H61*OFFSET(ORÇAMENTO!$X$15,ROW(AV61)-ROW(AV$15),0),
              ROUND(ROUND(OFFSET($P61,0,AV$13),15-13*ORÇAMENTO!$AF$7)*OFFSET(ORÇAMENTO!$W$15,ROW(AV61)-ROW(AV$15),0),15-13*ORÇAMENTO!$AF$11)),
         0)</f>
        <v>2352.64</v>
      </c>
      <c r="AW61" s="352" t="n">
        <f aca="true">IF(AND($D61="Serviço",AW$12&lt;&gt;0,$H61&gt;0,OR(AUTOEVENTO&lt;&gt;"manual",$M61&lt;&gt;$A$15)),
        IF(Import.TipoArredondamento&lt;&gt;"TransfereGOV",
              ROUND(OFFSET($P61,0,AW$13),15-13*ORÇAMENTO!$AF$7)/$H61*OFFSET(ORÇAMENTO!$X$15,ROW(AW61)-ROW(AW$15),0),
              ROUND(ROUND(OFFSET($P61,0,AW$13),15-13*ORÇAMENTO!$AF$7)*OFFSET(ORÇAMENTO!$W$15,ROW(AW61)-ROW(AW$15),0),15-13*ORÇAMENTO!$AF$11)),
         0)</f>
        <v>2352.64</v>
      </c>
      <c r="AX61" s="352" t="n">
        <f aca="true">IF(AND($D61="Serviço",AX$12&lt;&gt;0,$H61&gt;0,OR(AUTOEVENTO&lt;&gt;"manual",$M61&lt;&gt;$A$15)),
        IF(Import.TipoArredondamento&lt;&gt;"TransfereGOV",
              ROUND(OFFSET($P61,0,AX$13),15-13*ORÇAMENTO!$AF$7)/$H61*OFFSET(ORÇAMENTO!$X$15,ROW(AX61)-ROW(AX$15),0),
              ROUND(ROUND(OFFSET($P61,0,AX$13),15-13*ORÇAMENTO!$AF$7)*OFFSET(ORÇAMENTO!$W$15,ROW(AX61)-ROW(AX$15),0),15-13*ORÇAMENTO!$AF$11)),
         0)</f>
        <v>2352.64</v>
      </c>
      <c r="AY61" s="352" t="n">
        <f aca="true">IF(AND($D61="Serviço",AY$12&lt;&gt;0,$H61&gt;0,OR(AUTOEVENTO&lt;&gt;"manual",$M61&lt;&gt;$A$15)),
        IF(Import.TipoArredondamento&lt;&gt;"TransfereGOV",
              ROUND(OFFSET($P61,0,AY$13),15-13*ORÇAMENTO!$AF$7)/$H61*OFFSET(ORÇAMENTO!$X$15,ROW(AY61)-ROW(AY$15),0),
              ROUND(ROUND(OFFSET($P61,0,AY$13),15-13*ORÇAMENTO!$AF$7)*OFFSET(ORÇAMENTO!$W$15,ROW(AY61)-ROW(AY$15),0),15-13*ORÇAMENTO!$AF$11)),
         0)</f>
        <v>2352.64</v>
      </c>
      <c r="AZ61" s="352" t="n">
        <f aca="true">IF(AND($D61="Serviço",AZ$12&lt;&gt;0,$H61&gt;0,OR(AUTOEVENTO&lt;&gt;"manual",$M61&lt;&gt;$A$15)),
        IF(Import.TipoArredondamento&lt;&gt;"TransfereGOV",
              ROUND(OFFSET($P61,0,AZ$13),15-13*ORÇAMENTO!$AF$7)/$H61*OFFSET(ORÇAMENTO!$X$15,ROW(AZ61)-ROW(AZ$15),0),
              ROUND(ROUND(OFFSET($P61,0,AZ$13),15-13*ORÇAMENTO!$AF$7)*OFFSET(ORÇAMENTO!$W$15,ROW(AZ61)-ROW(AZ$15),0),15-13*ORÇAMENTO!$AF$11)),
         0)</f>
        <v>2352.64</v>
      </c>
      <c r="BA61" s="352" t="n">
        <f aca="true">IF(AND($D61="Serviço",BA$12&lt;&gt;0,$H61&gt;0,OR(AUTOEVENTO&lt;&gt;"manual",$M61&lt;&gt;$A$15)),
        IF(Import.TipoArredondamento&lt;&gt;"TransfereGOV",
              ROUND(OFFSET($P61,0,BA$13),15-13*ORÇAMENTO!$AF$7)/$H61*OFFSET(ORÇAMENTO!$X$15,ROW(BA61)-ROW(BA$15),0),
              ROUND(ROUND(OFFSET($P61,0,BA$13),15-13*ORÇAMENTO!$AF$7)*OFFSET(ORÇAMENTO!$W$15,ROW(BA61)-ROW(BA$15),0),15-13*ORÇAMENTO!$AF$11)),
         0)</f>
        <v>2352.64</v>
      </c>
      <c r="BB61" s="352" t="n">
        <f aca="true">IF(AND($D61="Serviço",BB$12&lt;&gt;0,$H61&gt;0,OR(AUTOEVENTO&lt;&gt;"manual",$M61&lt;&gt;$A$15)),
        IF(Import.TipoArredondamento&lt;&gt;"TransfereGOV",
              ROUND(OFFSET($P61,0,BB$13),15-13*ORÇAMENTO!$AF$7)/$H61*OFFSET(ORÇAMENTO!$X$15,ROW(BB61)-ROW(BB$15),0),
              ROUND(ROUND(OFFSET($P61,0,BB$13),15-13*ORÇAMENTO!$AF$7)*OFFSET(ORÇAMENTO!$W$15,ROW(BB61)-ROW(BB$15),0),15-13*ORÇAMENTO!$AF$11)),
         0)</f>
        <v>2352.64</v>
      </c>
      <c r="BC61" s="352" t="n">
        <f aca="true">IF(AND($D61="Serviço",BC$12&lt;&gt;0,$H61&gt;0,OR(AUTOEVENTO&lt;&gt;"manual",$M61&lt;&gt;$A$15)),
        IF(Import.TipoArredondamento&lt;&gt;"TransfereGOV",
              ROUND(OFFSET($P61,0,BC$13),15-13*ORÇAMENTO!$AF$7)/$H61*OFFSET(ORÇAMENTO!$X$15,ROW(BC61)-ROW(BC$15),0),
              ROUND(ROUND(OFFSET($P61,0,BC$13),15-13*ORÇAMENTO!$AF$7)*OFFSET(ORÇAMENTO!$W$15,ROW(BC61)-ROW(BC$15),0),15-13*ORÇAMENTO!$AF$11)),
         0)</f>
        <v>2352.64</v>
      </c>
      <c r="BD61" s="352" t="n">
        <f aca="true">IF(AND($D61="Serviço",BD$12&lt;&gt;0,$H61&gt;0,OR(AUTOEVENTO&lt;&gt;"manual",$M61&lt;&gt;$A$15)),
        IF(Import.TipoArredondamento&lt;&gt;"TransfereGOV",
              ROUND(OFFSET($P61,0,BD$13),15-13*ORÇAMENTO!$AF$7)/$H61*OFFSET(ORÇAMENTO!$X$15,ROW(BD61)-ROW(BD$15),0),
              ROUND(ROUND(OFFSET($P61,0,BD$13),15-13*ORÇAMENTO!$AF$7)*OFFSET(ORÇAMENTO!$W$15,ROW(BD61)-ROW(BD$15),0),15-13*ORÇAMENTO!$AF$11)),
         0)</f>
        <v>2352.64</v>
      </c>
      <c r="BE61" s="352" t="n">
        <f aca="true">IF(AND($D61="Serviço",BE$12&lt;&gt;0,$H61&gt;0,OR(AUTOEVENTO&lt;&gt;"manual",$M61&lt;&gt;$A$15)),
        IF(Import.TipoArredondamento&lt;&gt;"TransfereGOV",
              ROUND(OFFSET($P61,0,BE$13),15-13*ORÇAMENTO!$AF$7)/$H61*OFFSET(ORÇAMENTO!$X$15,ROW(BE61)-ROW(BE$15),0),
              ROUND(ROUND(OFFSET($P61,0,BE$13),15-13*ORÇAMENTO!$AF$7)*OFFSET(ORÇAMENTO!$W$15,ROW(BE61)-ROW(BE$15),0),15-13*ORÇAMENTO!$AF$11)),
         0)</f>
        <v>2352.64</v>
      </c>
      <c r="BF61" s="352" t="n">
        <f aca="true">IF(AND($D61="Serviço",BF$12&lt;&gt;0,$H61&gt;0,OR(AUTOEVENTO&lt;&gt;"manual",$M61&lt;&gt;$A$15)),
        IF(Import.TipoArredondamento&lt;&gt;"TransfereGOV",
              ROUND(OFFSET($P61,0,BF$13),15-13*ORÇAMENTO!$AF$7)/$H61*OFFSET(ORÇAMENTO!$X$15,ROW(BF61)-ROW(BF$15),0),
              ROUND(ROUND(OFFSET($P61,0,BF$13),15-13*ORÇAMENTO!$AF$7)*OFFSET(ORÇAMENTO!$W$15,ROW(BF61)-ROW(BF$15),0),15-13*ORÇAMENTO!$AF$11)),
         0)</f>
        <v>2352.64</v>
      </c>
      <c r="BG61" s="352" t="n">
        <f aca="true">IF(AND($D61="Serviço",BG$12&lt;&gt;0,$H61&gt;0,OR(AUTOEVENTO&lt;&gt;"manual",$M61&lt;&gt;$A$15)),
        IF(Import.TipoArredondamento&lt;&gt;"TransfereGOV",
              ROUND(OFFSET($P61,0,BG$13),15-13*ORÇAMENTO!$AF$7)/$H61*OFFSET(ORÇAMENTO!$X$15,ROW(BG61)-ROW(BG$15),0),
              ROUND(ROUND(OFFSET($P61,0,BG$13),15-13*ORÇAMENTO!$AF$7)*OFFSET(ORÇAMENTO!$W$15,ROW(BG61)-ROW(BG$15),0),15-13*ORÇAMENTO!$AF$11)),
         0)</f>
        <v>2352.64</v>
      </c>
      <c r="BH61" s="352" t="n">
        <f aca="true">IF(AND($D61="Serviço",BH$12&lt;&gt;0,$H61&gt;0,OR(AUTOEVENTO&lt;&gt;"manual",$M61&lt;&gt;$A$15)),
        IF(Import.TipoArredondamento&lt;&gt;"TransfereGOV",
              ROUND(OFFSET($P61,0,BH$13),15-13*ORÇAMENTO!$AF$7)/$H61*OFFSET(ORÇAMENTO!$X$15,ROW(BH61)-ROW(BH$15),0),
              ROUND(ROUND(OFFSET($P61,0,BH$13),15-13*ORÇAMENTO!$AF$7)*OFFSET(ORÇAMENTO!$W$15,ROW(BH61)-ROW(BH$15),0),15-13*ORÇAMENTO!$AF$11)),
         0)</f>
        <v>2352.64</v>
      </c>
      <c r="BI61" s="352" t="n">
        <f aca="true">IF(AND($D61="Serviço",BI$12&lt;&gt;0,$H61&gt;0,OR(AUTOEVENTO&lt;&gt;"manual",$M61&lt;&gt;$A$15)),
        IF(Import.TipoArredondamento&lt;&gt;"TransfereGOV",
              ROUND(OFFSET($P61,0,BI$13),15-13*ORÇAMENTO!$AF$7)/$H61*OFFSET(ORÇAMENTO!$X$15,ROW(BI61)-ROW(BI$15),0),
              ROUND(ROUND(OFFSET($P61,0,BI$13),15-13*ORÇAMENTO!$AF$7)*OFFSET(ORÇAMENTO!$W$15,ROW(BI61)-ROW(BI$15),0),15-13*ORÇAMENTO!$AF$11)),
         0)</f>
        <v>2352.64</v>
      </c>
      <c r="BJ61" s="352" t="n">
        <f aca="true">IF(AND($D61="Serviço",BJ$12&lt;&gt;0,$H61&gt;0,OR(AUTOEVENTO&lt;&gt;"manual",$M61&lt;&gt;$A$15)),
        IF(Import.TipoArredondamento&lt;&gt;"TransfereGOV",
              ROUND(OFFSET($P61,0,BJ$13),15-13*ORÇAMENTO!$AF$7)/$H61*OFFSET(ORÇAMENTO!$X$15,ROW(BJ61)-ROW(BJ$15),0),
              ROUND(ROUND(OFFSET($P61,0,BJ$13),15-13*ORÇAMENTO!$AF$7)*OFFSET(ORÇAMENTO!$W$15,ROW(BJ61)-ROW(BJ$15),0),15-13*ORÇAMENTO!$AF$11)),
         0)</f>
        <v>2352.64</v>
      </c>
      <c r="BK61" s="352" t="n">
        <f aca="true">IF(AND($D61="Serviço",BK$12&lt;&gt;0,$H61&gt;0,OR(AUTOEVENTO&lt;&gt;"manual",$M61&lt;&gt;$A$15)),
        IF(Import.TipoArredondamento&lt;&gt;"TransfereGOV",
              ROUND(OFFSET($P61,0,BK$13),15-13*ORÇAMENTO!$AF$7)/$H61*OFFSET(ORÇAMENTO!$X$15,ROW(BK61)-ROW(BK$15),0),
              ROUND(ROUND(OFFSET($P61,0,BK$13),15-13*ORÇAMENTO!$AF$7)*OFFSET(ORÇAMENTO!$W$15,ROW(BK61)-ROW(BK$15),0),15-13*ORÇAMENTO!$AF$11)),
         0)</f>
        <v>2352.64</v>
      </c>
      <c r="BL61" s="352" t="n">
        <f aca="true">IF(AND($D61="Serviço",BL$12&lt;&gt;0,$H61&gt;0,OR(AUTOEVENTO&lt;&gt;"manual",$M61&lt;&gt;$A$15)),
        IF(Import.TipoArredondamento&lt;&gt;"TransfereGOV",
              ROUND(OFFSET($P61,0,BL$13),15-13*ORÇAMENTO!$AF$7)/$H61*OFFSET(ORÇAMENTO!$X$15,ROW(BL61)-ROW(BL$15),0),
              ROUND(ROUND(OFFSET($P61,0,BL$13),15-13*ORÇAMENTO!$AF$7)*OFFSET(ORÇAMENTO!$W$15,ROW(BL61)-ROW(BL$15),0),15-13*ORÇAMENTO!$AF$11)),
         0)</f>
        <v>2352.64</v>
      </c>
      <c r="BM61" s="352" t="n">
        <f aca="true">IF(AND($D61="Serviço",BM$12&lt;&gt;0,$H61&gt;0,OR(AUTOEVENTO&lt;&gt;"manual",$M61&lt;&gt;$A$15)),
        IF(Import.TipoArredondamento&lt;&gt;"TransfereGOV",
              ROUND(OFFSET($P61,0,BM$13),15-13*ORÇAMENTO!$AF$7)/$H61*OFFSET(ORÇAMENTO!$X$15,ROW(BM61)-ROW(BM$15),0),
              ROUND(ROUND(OFFSET($P61,0,BM$13),15-13*ORÇAMENTO!$AF$7)*OFFSET(ORÇAMENTO!$W$15,ROW(BM61)-ROW(BM$15),0),15-13*ORÇAMENTO!$AF$11)),
         0)</f>
        <v>2352.64</v>
      </c>
      <c r="BN61" s="352" t="n">
        <f aca="true">IF(AND($D61="Serviço",BN$12&lt;&gt;0,$H61&gt;0,OR(AUTOEVENTO&lt;&gt;"manual",$M61&lt;&gt;$A$15)),
        IF(Import.TipoArredondamento&lt;&gt;"TransfereGOV",
              ROUND(OFFSET($P61,0,BN$13),15-13*ORÇAMENTO!$AF$7)/$H61*OFFSET(ORÇAMENTO!$X$15,ROW(BN61)-ROW(BN$15),0),
              ROUND(ROUND(OFFSET($P61,0,BN$13),15-13*ORÇAMENTO!$AF$7)*OFFSET(ORÇAMENTO!$W$15,ROW(BN61)-ROW(BN$15),0),15-13*ORÇAMENTO!$AF$11)),
         0)</f>
        <v>2352.64</v>
      </c>
      <c r="BO61" s="352" t="n">
        <f aca="true">IF(AND($D61="Serviço",BO$12&lt;&gt;0,$H61&gt;0,OR(AUTOEVENTO&lt;&gt;"manual",$M61&lt;&gt;$A$15)),
        IF(Import.TipoArredondamento&lt;&gt;"TransfereGOV",
              ROUND(OFFSET($P61,0,BO$13),15-13*ORÇAMENTO!$AF$7)/$H61*OFFSET(ORÇAMENTO!$X$15,ROW(BO61)-ROW(BO$15),0),
              ROUND(ROUND(OFFSET($P61,0,BO$13),15-13*ORÇAMENTO!$AF$7)*OFFSET(ORÇAMENTO!$W$15,ROW(BO61)-ROW(BO$15),0),15-13*ORÇAMENTO!$AF$11)),
         0)</f>
        <v>2352.64</v>
      </c>
      <c r="BP61" s="352" t="n">
        <f aca="true">IF(AND($D61="Serviço",BP$12&lt;&gt;0,$H61&gt;0,OR(AUTOEVENTO&lt;&gt;"manual",$M61&lt;&gt;$A$15)),
        IF(Import.TipoArredondamento&lt;&gt;"TransfereGOV",
              ROUND(OFFSET($P61,0,BP$13),15-13*ORÇAMENTO!$AF$7)/$H61*OFFSET(ORÇAMENTO!$X$15,ROW(BP61)-ROW(BP$15),0),
              ROUND(ROUND(OFFSET($P61,0,BP$13),15-13*ORÇAMENTO!$AF$7)*OFFSET(ORÇAMENTO!$W$15,ROW(BP61)-ROW(BP$15),0),15-13*ORÇAMENTO!$AF$11)),
         0)</f>
        <v>2352.64</v>
      </c>
      <c r="BQ61" s="352" t="n">
        <f aca="true">IF(AND($D61="Serviço",BQ$12&lt;&gt;0,$H61&gt;0,OR(AUTOEVENTO&lt;&gt;"manual",$M61&lt;&gt;$A$15)),
        IF(Import.TipoArredondamento&lt;&gt;"TransfereGOV",
              ROUND(OFFSET($P61,0,BQ$13),15-13*ORÇAMENTO!$AF$7)/$H61*OFFSET(ORÇAMENTO!$X$15,ROW(BQ61)-ROW(BQ$15),0),
              ROUND(ROUND(OFFSET($P61,0,BQ$13),15-13*ORÇAMENTO!$AF$7)*OFFSET(ORÇAMENTO!$W$15,ROW(BQ61)-ROW(BQ$15),0),15-13*ORÇAMENTO!$AF$11)),
         0)</f>
        <v>0</v>
      </c>
      <c r="BS61" s="353" t="n">
        <f aca="true">IF(OR($D61&lt;&gt;"Serviço",AND(AUTOEVENTO="Manual",$M61=$A$15)),0,
         IF(OFFSET(CRONOPLE!$F$15,$M61-$A$15,BS$13)=0,10^12,OFFSET(CRONOPLE!$F$15,$M61-$A$15,BS$13)))</f>
        <v>1</v>
      </c>
      <c r="BT61" s="353" t="n">
        <f aca="true">IF(OR($D61&lt;&gt;"Serviço",AND(AUTOEVENTO="Manual",$M61=$A$15)),0,
         IF(OFFSET(CRONOPLE!$F$15,$M61-$A$15,BT$13)=0,10^12,OFFSET(CRONOPLE!$F$15,$M61-$A$15,BT$13)))</f>
        <v>2</v>
      </c>
      <c r="BU61" s="353" t="n">
        <f aca="true">IF(OR($D61&lt;&gt;"Serviço",AND(AUTOEVENTO="Manual",$M61=$A$15)),0,
         IF(OFFSET(CRONOPLE!$F$15,$M61-$A$15,BU$13)=0,10^12,OFFSET(CRONOPLE!$F$15,$M61-$A$15,BU$13)))</f>
        <v>3</v>
      </c>
      <c r="BV61" s="353" t="n">
        <f aca="true">IF(OR($D61&lt;&gt;"Serviço",AND(AUTOEVENTO="Manual",$M61=$A$15)),0,
         IF(OFFSET(CRONOPLE!$F$15,$M61-$A$15,BV$13)=0,10^12,OFFSET(CRONOPLE!$F$15,$M61-$A$15,BV$13)))</f>
        <v>4</v>
      </c>
      <c r="BW61" s="353" t="n">
        <f aca="true">IF(OR($D61&lt;&gt;"Serviço",AND(AUTOEVENTO="Manual",$M61=$A$15)),0,
         IF(OFFSET(CRONOPLE!$F$15,$M61-$A$15,BW$13)=0,10^12,OFFSET(CRONOPLE!$F$15,$M61-$A$15,BW$13)))</f>
        <v>5</v>
      </c>
      <c r="BX61" s="353" t="n">
        <f aca="true">IF(OR($D61&lt;&gt;"Serviço",AND(AUTOEVENTO="Manual",$M61=$A$15)),0,
         IF(OFFSET(CRONOPLE!$F$15,$M61-$A$15,BX$13)=0,10^12,OFFSET(CRONOPLE!$F$15,$M61-$A$15,BX$13)))</f>
        <v>6</v>
      </c>
      <c r="BY61" s="353" t="n">
        <f aca="true">IF(OR($D61&lt;&gt;"Serviço",AND(AUTOEVENTO="Manual",$M61=$A$15)),0,
         IF(OFFSET(CRONOPLE!$F$15,$M61-$A$15,BY$13)=0,10^12,OFFSET(CRONOPLE!$F$15,$M61-$A$15,BY$13)))</f>
        <v>7</v>
      </c>
      <c r="BZ61" s="353" t="n">
        <f aca="true">IF(OR($D61&lt;&gt;"Serviço",AND(AUTOEVENTO="Manual",$M61=$A$15)),0,
         IF(OFFSET(CRONOPLE!$F$15,$M61-$A$15,BZ$13)=0,10^12,OFFSET(CRONOPLE!$F$15,$M61-$A$15,BZ$13)))</f>
        <v>8</v>
      </c>
      <c r="CA61" s="353" t="n">
        <f aca="true">IF(OR($D61&lt;&gt;"Serviço",AND(AUTOEVENTO="Manual",$M61=$A$15)),0,
         IF(OFFSET(CRONOPLE!$F$15,$M61-$A$15,CA$13)=0,10^12,OFFSET(CRONOPLE!$F$15,$M61-$A$15,CA$13)))</f>
        <v>9</v>
      </c>
      <c r="CB61" s="353" t="n">
        <f aca="true">IF(OR($D61&lt;&gt;"Serviço",AND(AUTOEVENTO="Manual",$M61=$A$15)),0,
         IF(OFFSET(CRONOPLE!$F$15,$M61-$A$15,CB$13)=0,10^12,OFFSET(CRONOPLE!$F$15,$M61-$A$15,CB$13)))</f>
        <v>10</v>
      </c>
      <c r="CC61" s="353" t="n">
        <f aca="true">IF(OR($D61&lt;&gt;"Serviço",AND(AUTOEVENTO="Manual",$M61=$A$15)),0,
         IF(OFFSET(CRONOPLE!$F$15,$M61-$A$15,CC$13)=0,10^12,OFFSET(CRONOPLE!$F$15,$M61-$A$15,CC$13)))</f>
        <v>11</v>
      </c>
      <c r="CD61" s="353" t="n">
        <f aca="true">IF(OR($D61&lt;&gt;"Serviço",AND(AUTOEVENTO="Manual",$M61=$A$15)),0,
         IF(OFFSET(CRONOPLE!$F$15,$M61-$A$15,CD$13)=0,10^12,OFFSET(CRONOPLE!$F$15,$M61-$A$15,CD$13)))</f>
        <v>12</v>
      </c>
      <c r="CE61" s="353" t="n">
        <f aca="true">IF(OR($D61&lt;&gt;"Serviço",AND(AUTOEVENTO="Manual",$M61=$A$15)),0,
         IF(OFFSET(CRONOPLE!$F$15,$M61-$A$15,CE$13)=0,10^12,OFFSET(CRONOPLE!$F$15,$M61-$A$15,CE$13)))</f>
        <v>13</v>
      </c>
      <c r="CF61" s="353" t="n">
        <f aca="true">IF(OR($D61&lt;&gt;"Serviço",AND(AUTOEVENTO="Manual",$M61=$A$15)),0,
         IF(OFFSET(CRONOPLE!$F$15,$M61-$A$15,CF$13)=0,10^12,OFFSET(CRONOPLE!$F$15,$M61-$A$15,CF$13)))</f>
        <v>14</v>
      </c>
      <c r="CG61" s="353" t="n">
        <f aca="true">IF(OR($D61&lt;&gt;"Serviço",AND(AUTOEVENTO="Manual",$M61=$A$15)),0,
         IF(OFFSET(CRONOPLE!$F$15,$M61-$A$15,CG$13)=0,10^12,OFFSET(CRONOPLE!$F$15,$M61-$A$15,CG$13)))</f>
        <v>15</v>
      </c>
      <c r="CH61" s="353" t="n">
        <f aca="true">IF(OR($D61&lt;&gt;"Serviço",AND(AUTOEVENTO="Manual",$M61=$A$15)),0,
         IF(OFFSET(CRONOPLE!$F$15,$M61-$A$15,CH$13)=0,10^12,OFFSET(CRONOPLE!$F$15,$M61-$A$15,CH$13)))</f>
        <v>16</v>
      </c>
      <c r="CI61" s="353" t="n">
        <f aca="true">IF(OR($D61&lt;&gt;"Serviço",AND(AUTOEVENTO="Manual",$M61=$A$15)),0,
         IF(OFFSET(CRONOPLE!$F$15,$M61-$A$15,CI$13)=0,10^12,OFFSET(CRONOPLE!$F$15,$M61-$A$15,CI$13)))</f>
        <v>17</v>
      </c>
      <c r="CJ61" s="353" t="n">
        <f aca="true">IF(OR($D61&lt;&gt;"Serviço",AND(AUTOEVENTO="Manual",$M61=$A$15)),0,
         IF(OFFSET(CRONOPLE!$F$15,$M61-$A$15,CJ$13)=0,10^12,OFFSET(CRONOPLE!$F$15,$M61-$A$15,CJ$13)))</f>
        <v>18</v>
      </c>
      <c r="CK61" s="353" t="n">
        <f aca="true">IF(OR($D61&lt;&gt;"Serviço",AND(AUTOEVENTO="Manual",$M61=$A$15)),0,
         IF(OFFSET(CRONOPLE!$F$15,$M61-$A$15,CK$13)=0,10^12,OFFSET(CRONOPLE!$F$15,$M61-$A$15,CK$13)))</f>
        <v>19</v>
      </c>
      <c r="CL61" s="353" t="n">
        <f aca="true">IF(OR($D61&lt;&gt;"Serviço",AND(AUTOEVENTO="Manual",$M61=$A$15)),0,
         IF(OFFSET(CRONOPLE!$F$15,$M61-$A$15,CL$13)=0,10^12,OFFSET(CRONOPLE!$F$15,$M61-$A$15,CL$13)))</f>
        <v>20</v>
      </c>
      <c r="CM61" s="353" t="n">
        <f aca="true">IF(OR($D61&lt;&gt;"Serviço",AND(AUTOEVENTO="Manual",$M61=$A$15)),0,
         IF(OFFSET(CRONOPLE!$F$15,$M61-$A$15,CM$13)=0,10^12,OFFSET(CRONOPLE!$F$15,$M61-$A$15,CM$13)))</f>
        <v>21</v>
      </c>
      <c r="CN61" s="353" t="n">
        <f aca="true">IF(OR($D61&lt;&gt;"Serviço",AND(AUTOEVENTO="Manual",$M61=$A$15)),0,
         IF(OFFSET(CRONOPLE!$F$15,$M61-$A$15,CN$13)=0,10^12,OFFSET(CRONOPLE!$F$15,$M61-$A$15,CN$13)))</f>
        <v>22</v>
      </c>
      <c r="CO61" s="353" t="n">
        <f aca="true">IF(OR($D61&lt;&gt;"Serviço",AND(AUTOEVENTO="Manual",$M61=$A$15)),0,
         IF(OFFSET(CRONOPLE!$F$15,$M61-$A$15,CO$13)=0,10^12,OFFSET(CRONOPLE!$F$15,$M61-$A$15,CO$13)))</f>
        <v>23</v>
      </c>
      <c r="CP61" s="353" t="n">
        <f aca="true">IF(OR($D61&lt;&gt;"Serviço",AND(AUTOEVENTO="Manual",$M61=$A$15)),0,
         IF(OFFSET(CRONOPLE!$F$15,$M61-$A$15,CP$13)=0,10^12,OFFSET(CRONOPLE!$F$15,$M61-$A$15,CP$13)))</f>
        <v>24</v>
      </c>
      <c r="CQ61" s="353" t="n">
        <f aca="true">IF(OR($D61&lt;&gt;"Serviço",AND(AUTOEVENTO="Manual",$M61=$A$15)),0,
         IF(OFFSET(CRONOPLE!$F$15,$M61-$A$15,CQ$13)=0,10^12,OFFSET(CRONOPLE!$F$15,$M61-$A$15,CQ$13)))</f>
        <v>25</v>
      </c>
      <c r="CR61" s="353" t="n">
        <f aca="true">IF(OR($D61&lt;&gt;"Serviço",AND(AUTOEVENTO="Manual",$M61=$A$15)),0,
         IF(OFFSET(CRONOPLE!$F$15,$M61-$A$15,CR$13)=0,10^12,OFFSET(CRONOPLE!$F$15,$M61-$A$15,CR$13)))</f>
        <v>1000000000000</v>
      </c>
      <c r="CT61" s="354" t="n">
        <f aca="true">IF(OR($D61&lt;&gt;"Serviço",AND(AUTOEVENTO="Manual",$M61=$A$15),$M61&gt;(ROW(PLE.lastrow)-ROW(PLE.firstrow))),0,
           IF(OFFSET(PLE!$G$15,$M61-$A$15,CT$13)="",10^12,OFFSET(PLE!$G$15,$M61-$A$15,CT$13)))</f>
        <v>1000000000000</v>
      </c>
      <c r="CU61" s="354" t="n">
        <f aca="true">IF(OR($D61&lt;&gt;"Serviço",AND(AUTOEVENTO="Manual",$M61=$A$15),$M61&gt;(ROW(PLE.lastrow)-ROW(PLE.firstrow))),0,
           IF(OFFSET(PLE!$G$15,$M61-$A$15,CU$13)="",10^12,OFFSET(PLE!$G$15,$M61-$A$15,CU$13)))</f>
        <v>1000000000000</v>
      </c>
      <c r="CV61" s="354" t="n">
        <f aca="true">IF(OR($D61&lt;&gt;"Serviço",AND(AUTOEVENTO="Manual",$M61=$A$15),$M61&gt;(ROW(PLE.lastrow)-ROW(PLE.firstrow))),0,
           IF(OFFSET(PLE!$G$15,$M61-$A$15,CV$13)="",10^12,OFFSET(PLE!$G$15,$M61-$A$15,CV$13)))</f>
        <v>1000000000000</v>
      </c>
      <c r="CW61" s="354" t="n">
        <f aca="true">IF(OR($D61&lt;&gt;"Serviço",AND(AUTOEVENTO="Manual",$M61=$A$15),$M61&gt;(ROW(PLE.lastrow)-ROW(PLE.firstrow))),0,
           IF(OFFSET(PLE!$G$15,$M61-$A$15,CW$13)="",10^12,OFFSET(PLE!$G$15,$M61-$A$15,CW$13)))</f>
        <v>1000000000000</v>
      </c>
      <c r="CX61" s="354" t="n">
        <f aca="true">IF(OR($D61&lt;&gt;"Serviço",AND(AUTOEVENTO="Manual",$M61=$A$15),$M61&gt;(ROW(PLE.lastrow)-ROW(PLE.firstrow))),0,
           IF(OFFSET(PLE!$G$15,$M61-$A$15,CX$13)="",10^12,OFFSET(PLE!$G$15,$M61-$A$15,CX$13)))</f>
        <v>1000000000000</v>
      </c>
      <c r="CY61" s="354" t="n">
        <f aca="true">IF(OR($D61&lt;&gt;"Serviço",AND(AUTOEVENTO="Manual",$M61=$A$15),$M61&gt;(ROW(PLE.lastrow)-ROW(PLE.firstrow))),0,
           IF(OFFSET(PLE!$G$15,$M61-$A$15,CY$13)="",10^12,OFFSET(PLE!$G$15,$M61-$A$15,CY$13)))</f>
        <v>1000000000000</v>
      </c>
      <c r="CZ61" s="354" t="n">
        <f aca="true">IF(OR($D61&lt;&gt;"Serviço",AND(AUTOEVENTO="Manual",$M61=$A$15),$M61&gt;(ROW(PLE.lastrow)-ROW(PLE.firstrow))),0,
           IF(OFFSET(PLE!$G$15,$M61-$A$15,CZ$13)="",10^12,OFFSET(PLE!$G$15,$M61-$A$15,CZ$13)))</f>
        <v>1000000000000</v>
      </c>
      <c r="DA61" s="354" t="n">
        <f aca="true">IF(OR($D61&lt;&gt;"Serviço",AND(AUTOEVENTO="Manual",$M61=$A$15),$M61&gt;(ROW(PLE.lastrow)-ROW(PLE.firstrow))),0,
           IF(OFFSET(PLE!$G$15,$M61-$A$15,DA$13)="",10^12,OFFSET(PLE!$G$15,$M61-$A$15,DA$13)))</f>
        <v>1000000000000</v>
      </c>
      <c r="DB61" s="354" t="n">
        <f aca="true">IF(OR($D61&lt;&gt;"Serviço",AND(AUTOEVENTO="Manual",$M61=$A$15),$M61&gt;(ROW(PLE.lastrow)-ROW(PLE.firstrow))),0,
           IF(OFFSET(PLE!$G$15,$M61-$A$15,DB$13)="",10^12,OFFSET(PLE!$G$15,$M61-$A$15,DB$13)))</f>
        <v>1000000000000</v>
      </c>
      <c r="DC61" s="354" t="n">
        <f aca="true">IF(OR($D61&lt;&gt;"Serviço",AND(AUTOEVENTO="Manual",$M61=$A$15),$M61&gt;(ROW(PLE.lastrow)-ROW(PLE.firstrow))),0,
           IF(OFFSET(PLE!$G$15,$M61-$A$15,DC$13)="",10^12,OFFSET(PLE!$G$15,$M61-$A$15,DC$13)))</f>
        <v>1000000000000</v>
      </c>
      <c r="DD61" s="354" t="n">
        <f aca="true">IF(OR($D61&lt;&gt;"Serviço",AND(AUTOEVENTO="Manual",$M61=$A$15),$M61&gt;(ROW(PLE.lastrow)-ROW(PLE.firstrow))),0,
           IF(OFFSET(PLE!$G$15,$M61-$A$15,DD$13)="",10^12,OFFSET(PLE!$G$15,$M61-$A$15,DD$13)))</f>
        <v>1000000000000</v>
      </c>
      <c r="DE61" s="354" t="n">
        <f aca="true">IF(OR($D61&lt;&gt;"Serviço",AND(AUTOEVENTO="Manual",$M61=$A$15),$M61&gt;(ROW(PLE.lastrow)-ROW(PLE.firstrow))),0,
           IF(OFFSET(PLE!$G$15,$M61-$A$15,DE$13)="",10^12,OFFSET(PLE!$G$15,$M61-$A$15,DE$13)))</f>
        <v>1000000000000</v>
      </c>
      <c r="DF61" s="354" t="n">
        <f aca="true">IF(OR($D61&lt;&gt;"Serviço",AND(AUTOEVENTO="Manual",$M61=$A$15),$M61&gt;(ROW(PLE.lastrow)-ROW(PLE.firstrow))),0,
           IF(OFFSET(PLE!$G$15,$M61-$A$15,DF$13)="",10^12,OFFSET(PLE!$G$15,$M61-$A$15,DF$13)))</f>
        <v>1000000000000</v>
      </c>
      <c r="DG61" s="354" t="n">
        <f aca="true">IF(OR($D61&lt;&gt;"Serviço",AND(AUTOEVENTO="Manual",$M61=$A$15),$M61&gt;(ROW(PLE.lastrow)-ROW(PLE.firstrow))),0,
           IF(OFFSET(PLE!$G$15,$M61-$A$15,DG$13)="",10^12,OFFSET(PLE!$G$15,$M61-$A$15,DG$13)))</f>
        <v>1000000000000</v>
      </c>
      <c r="DH61" s="354" t="n">
        <f aca="true">IF(OR($D61&lt;&gt;"Serviço",AND(AUTOEVENTO="Manual",$M61=$A$15),$M61&gt;(ROW(PLE.lastrow)-ROW(PLE.firstrow))),0,
           IF(OFFSET(PLE!$G$15,$M61-$A$15,DH$13)="",10^12,OFFSET(PLE!$G$15,$M61-$A$15,DH$13)))</f>
        <v>1000000000000</v>
      </c>
      <c r="DI61" s="354" t="n">
        <f aca="true">IF(OR($D61&lt;&gt;"Serviço",AND(AUTOEVENTO="Manual",$M61=$A$15),$M61&gt;(ROW(PLE.lastrow)-ROW(PLE.firstrow))),0,
           IF(OFFSET(PLE!$G$15,$M61-$A$15,DI$13)="",10^12,OFFSET(PLE!$G$15,$M61-$A$15,DI$13)))</f>
        <v>1000000000000</v>
      </c>
      <c r="DJ61" s="354" t="n">
        <f aca="true">IF(OR($D61&lt;&gt;"Serviço",AND(AUTOEVENTO="Manual",$M61=$A$15),$M61&gt;(ROW(PLE.lastrow)-ROW(PLE.firstrow))),0,
           IF(OFFSET(PLE!$G$15,$M61-$A$15,DJ$13)="",10^12,OFFSET(PLE!$G$15,$M61-$A$15,DJ$13)))</f>
        <v>1000000000000</v>
      </c>
      <c r="DK61" s="354" t="n">
        <f aca="true">IF(OR($D61&lt;&gt;"Serviço",AND(AUTOEVENTO="Manual",$M61=$A$15),$M61&gt;(ROW(PLE.lastrow)-ROW(PLE.firstrow))),0,
           IF(OFFSET(PLE!$G$15,$M61-$A$15,DK$13)="",10^12,OFFSET(PLE!$G$15,$M61-$A$15,DK$13)))</f>
        <v>1000000000000</v>
      </c>
      <c r="DL61" s="354" t="n">
        <f aca="true">IF(OR($D61&lt;&gt;"Serviço",AND(AUTOEVENTO="Manual",$M61=$A$15),$M61&gt;(ROW(PLE.lastrow)-ROW(PLE.firstrow))),0,
           IF(OFFSET(PLE!$G$15,$M61-$A$15,DL$13)="",10^12,OFFSET(PLE!$G$15,$M61-$A$15,DL$13)))</f>
        <v>1000000000000</v>
      </c>
      <c r="DM61" s="354" t="n">
        <f aca="true">IF(OR($D61&lt;&gt;"Serviço",AND(AUTOEVENTO="Manual",$M61=$A$15),$M61&gt;(ROW(PLE.lastrow)-ROW(PLE.firstrow))),0,
           IF(OFFSET(PLE!$G$15,$M61-$A$15,DM$13)="",10^12,OFFSET(PLE!$G$15,$M61-$A$15,DM$13)))</f>
        <v>1000000000000</v>
      </c>
      <c r="DN61" s="354" t="n">
        <f aca="true">IF(OR($D61&lt;&gt;"Serviço",AND(AUTOEVENTO="Manual",$M61=$A$15),$M61&gt;(ROW(PLE.lastrow)-ROW(PLE.firstrow))),0,
           IF(OFFSET(PLE!$G$15,$M61-$A$15,DN$13)="",10^12,OFFSET(PLE!$G$15,$M61-$A$15,DN$13)))</f>
        <v>1000000000000</v>
      </c>
      <c r="DO61" s="354" t="n">
        <f aca="true">IF(OR($D61&lt;&gt;"Serviço",AND(AUTOEVENTO="Manual",$M61=$A$15),$M61&gt;(ROW(PLE.lastrow)-ROW(PLE.firstrow))),0,
           IF(OFFSET(PLE!$G$15,$M61-$A$15,DO$13)="",10^12,OFFSET(PLE!$G$15,$M61-$A$15,DO$13)))</f>
        <v>1000000000000</v>
      </c>
      <c r="DP61" s="354" t="n">
        <f aca="true">IF(OR($D61&lt;&gt;"Serviço",AND(AUTOEVENTO="Manual",$M61=$A$15),$M61&gt;(ROW(PLE.lastrow)-ROW(PLE.firstrow))),0,
           IF(OFFSET(PLE!$G$15,$M61-$A$15,DP$13)="",10^12,OFFSET(PLE!$G$15,$M61-$A$15,DP$13)))</f>
        <v>1000000000000</v>
      </c>
      <c r="DQ61" s="354" t="n">
        <f aca="true">IF(OR($D61&lt;&gt;"Serviço",AND(AUTOEVENTO="Manual",$M61=$A$15),$M61&gt;(ROW(PLE.lastrow)-ROW(PLE.firstrow))),0,
           IF(OFFSET(PLE!$G$15,$M61-$A$15,DQ$13)="",10^12,OFFSET(PLE!$G$15,$M61-$A$15,DQ$13)))</f>
        <v>1000000000000</v>
      </c>
      <c r="DR61" s="354" t="n">
        <f aca="true">IF(OR($D61&lt;&gt;"Serviço",AND(AUTOEVENTO="Manual",$M61=$A$15),$M61&gt;(ROW(PLE.lastrow)-ROW(PLE.firstrow))),0,
           IF(OFFSET(PLE!$G$15,$M61-$A$15,DR$13)="",10^12,OFFSET(PLE!$G$15,$M61-$A$15,DR$13)))</f>
        <v>1000000000000</v>
      </c>
      <c r="DS61" s="354" t="n">
        <f aca="true">IF(OR($D61&lt;&gt;"Serviço",AND(AUTOEVENTO="Manual",$M61=$A$15),$M61&gt;(ROW(PLE.lastrow)-ROW(PLE.firstrow))),0,
           IF(OFFSET(PLE!$G$15,$M61-$A$15,DS$13)="",10^12,OFFSET(PLE!$G$15,$M61-$A$15,DS$13)))</f>
        <v>1000000000000</v>
      </c>
    </row>
    <row r="62" customFormat="false" ht="46.25" hidden="false" customHeight="false" outlineLevel="0" collapsed="false">
      <c r="A62" s="50" t="str">
        <f aca="true">IFERROR(IF(AUTOEVENTO="Manual",IF(K62&lt;&gt;"",MIN(VALUE(LEFT(K62,FIND(".",K62)-1)),COUNTA(EVENTOS.Lista)),0),IF(OR($B62&gt;AUTOEVENTO,$B62="S",$B62=0),SUBSTITUTE(OFFSET($A62,-1,0),IF($D62="Serviço",".",""),""),ROW(A62)-ROW($A$15)&amp;".")),0)</f>
        <v>45</v>
      </c>
      <c r="B62" s="50" t="str">
        <f aca="true">OFFSET(ORÇAMENTO!C$15,ROW(B62)-ROW(B$15),0)</f>
        <v>S</v>
      </c>
      <c r="C62" s="50" t="str">
        <f aca="true">OFFSET(ORÇAMENTO!L$15,ROW(C62)-ROW(C$15),0)</f>
        <v>F</v>
      </c>
      <c r="D62" s="201" t="str">
        <f aca="true">OFFSET(ORÇAMENTO!N$15,ROW(D62)-ROW(D$15),0)</f>
        <v>Serviço</v>
      </c>
      <c r="E62" s="202" t="str">
        <f aca="true">OFFSET(ORÇAMENTO!O$15,ROW(E62)-ROW(E$15),0)</f>
        <v>1.12.2.</v>
      </c>
      <c r="F62" s="341" t="str">
        <f aca="true">OFFSET(ORÇAMENTO!R$15,ROW(F62)-ROW(F$15),0)</f>
        <v>JANELA EM ALUMÍNIO MÁXIM-AR COM ALTURA DE 60CM, LINHA 25/
SUPREMA, ACABAMENTO ANODIZADO NATURAL, INCLUSIVE
PERFIS, VIDRO LISO 4MM E INSTALAÇÃO, EXCLUSIVE FERRAGENS
PARA MÓDULO DE JANELA DE ALUMÍNIO MÁXIM-AR</v>
      </c>
      <c r="G62" s="342" t="str">
        <f aca="true">IF($D62&lt;&gt;"Serviço","",OFFSET(ORÇAMENTO!S$15,ROW(G62)-ROW(G$15),0))</f>
        <v>M2</v>
      </c>
      <c r="H62" s="207" t="n">
        <f aca="true">IF($D62&lt;&gt;"Serviço",0,IF(ACOMPANHAMENTO="BM",ROUND(OFFSET(ORÇAMENTO!AJ$15,ROW(H62)-ROW(H$15),0),15-13*ORÇAMENTO!$AF$7),SUMPRODUCT(($Q$1:$AQ$1=1)*ROUND($Q62:$AQ62,15-13*ORÇAMENTO!$AF$7))))</f>
        <v>5</v>
      </c>
      <c r="I62" s="343" t="s">
        <v>943</v>
      </c>
      <c r="J62" s="344" t="e">
        <f aca="false">IF(OR(B62&lt;&gt;"S",CÁLCULO.FrentesPreenchidas=0),"",IF(AND(ACOMPANHAMENTO="PLE",AUTOEVENTO="Manual",OR(H62&gt;0,ORÇAMENTO!AC62="QUANT."),OR(K62="",M62=0,N62="")),"►",IF(AND(ACOMPANHAMENTO="PLE",ORÇAMENTO!AC62="QUANT."),"►►",IF(AND(COUNTIF($P$11:$AQ$11,"▼")=0,H62&gt;0,I62=""),"◄",""))))</f>
        <v>#NAME?</v>
      </c>
      <c r="K62" s="345"/>
      <c r="L62" s="346" t="s">
        <v>876</v>
      </c>
      <c r="M62" s="347" t="n">
        <f aca="true">IF($D62&lt;&gt;"Serviço","",
          IF(AUTOEVENTO="manual",$A62,
                IF(ISERROR(MATCH($A62,$A$15:OFFSET($A62,-1,0),0)),MAX($M$15:OFFSET(M62,-1,0))+1,
                      INDEX($M$15:OFFSET(M62,-1,0),MATCH($A62,$A$15:OFFSET($A62,-1,0),0)))))</f>
        <v>8</v>
      </c>
      <c r="N62" s="348" t="str">
        <f aca="true">IF($D62&lt;&gt;"Serviço","",
         IF(AUTOEVENTO="Manual",
                IF($A62=0,"&lt;-- defina o número do agrupador",
                       OFFSET(EVENTOS!$D$15,$A62-$A$15,0)),
                OFFSET($F$15,$A62,0)))</f>
        <v>ESQUADRIAS METÁLICAS</v>
      </c>
      <c r="O62" s="349"/>
      <c r="Q62" s="349" t="n">
        <v>0.2</v>
      </c>
      <c r="R62" s="350" t="n">
        <f aca="false">Q62</f>
        <v>0.2</v>
      </c>
      <c r="S62" s="350" t="n">
        <f aca="false">R62</f>
        <v>0.2</v>
      </c>
      <c r="T62" s="350" t="n">
        <f aca="false">S62</f>
        <v>0.2</v>
      </c>
      <c r="U62" s="350" t="n">
        <f aca="false">T62</f>
        <v>0.2</v>
      </c>
      <c r="V62" s="350" t="n">
        <f aca="false">U62</f>
        <v>0.2</v>
      </c>
      <c r="W62" s="350" t="n">
        <f aca="false">V62</f>
        <v>0.2</v>
      </c>
      <c r="X62" s="350" t="n">
        <f aca="false">W62</f>
        <v>0.2</v>
      </c>
      <c r="Y62" s="350" t="n">
        <f aca="false">X62</f>
        <v>0.2</v>
      </c>
      <c r="Z62" s="351" t="n">
        <f aca="false">Y62</f>
        <v>0.2</v>
      </c>
      <c r="AA62" s="350" t="n">
        <f aca="false">Z62</f>
        <v>0.2</v>
      </c>
      <c r="AB62" s="350" t="n">
        <f aca="false">AA62</f>
        <v>0.2</v>
      </c>
      <c r="AC62" s="350" t="n">
        <f aca="false">AB62</f>
        <v>0.2</v>
      </c>
      <c r="AD62" s="350" t="n">
        <f aca="false">AC62</f>
        <v>0.2</v>
      </c>
      <c r="AE62" s="350" t="n">
        <f aca="false">AD62</f>
        <v>0.2</v>
      </c>
      <c r="AF62" s="350" t="n">
        <f aca="false">AE62</f>
        <v>0.2</v>
      </c>
      <c r="AG62" s="350" t="n">
        <f aca="false">AF62</f>
        <v>0.2</v>
      </c>
      <c r="AH62" s="351" t="n">
        <f aca="false">AG62</f>
        <v>0.2</v>
      </c>
      <c r="AI62" s="350" t="n">
        <f aca="false">AH62</f>
        <v>0.2</v>
      </c>
      <c r="AJ62" s="350" t="n">
        <f aca="false">AI62</f>
        <v>0.2</v>
      </c>
      <c r="AK62" s="350" t="n">
        <f aca="false">AJ62</f>
        <v>0.2</v>
      </c>
      <c r="AL62" s="350" t="n">
        <f aca="false">AK62</f>
        <v>0.2</v>
      </c>
      <c r="AM62" s="350" t="n">
        <f aca="false">AL62</f>
        <v>0.2</v>
      </c>
      <c r="AN62" s="350" t="n">
        <f aca="false">AM62</f>
        <v>0.2</v>
      </c>
      <c r="AO62" s="350" t="n">
        <f aca="false">AN62</f>
        <v>0.2</v>
      </c>
      <c r="AP62" s="351"/>
      <c r="AR62" s="352" t="n">
        <f aca="true">IF(AND($D62="Serviço",AR$12&lt;&gt;0,$H62&gt;0,OR(AUTOEVENTO&lt;&gt;"manual",$M62&lt;&gt;$A$15)),
        IF(Import.TipoArredondamento&lt;&gt;"TransfereGOV",
              ROUND(OFFSET($P62,0,AR$13),15-13*ORÇAMENTO!$AF$7)/$H62*OFFSET(ORÇAMENTO!$X$15,ROW(AR62)-ROW(AR$15),0),
              ROUND(ROUND(OFFSET($P62,0,AR$13),15-13*ORÇAMENTO!$AF$7)*OFFSET(ORÇAMENTO!$W$15,ROW(AR62)-ROW(AR$15),0),15-13*ORÇAMENTO!$AF$11)),
         0)</f>
        <v>264.18</v>
      </c>
      <c r="AS62" s="352" t="n">
        <f aca="true">IF(AND($D62="Serviço",AS$12&lt;&gt;0,$H62&gt;0,OR(AUTOEVENTO&lt;&gt;"manual",$M62&lt;&gt;$A$15)),
        IF(Import.TipoArredondamento&lt;&gt;"TransfereGOV",
              ROUND(OFFSET($P62,0,AS$13),15-13*ORÇAMENTO!$AF$7)/$H62*OFFSET(ORÇAMENTO!$X$15,ROW(AS62)-ROW(AS$15),0),
              ROUND(ROUND(OFFSET($P62,0,AS$13),15-13*ORÇAMENTO!$AF$7)*OFFSET(ORÇAMENTO!$W$15,ROW(AS62)-ROW(AS$15),0),15-13*ORÇAMENTO!$AF$11)),
         0)</f>
        <v>264.18</v>
      </c>
      <c r="AT62" s="352" t="n">
        <f aca="true">IF(AND($D62="Serviço",AT$12&lt;&gt;0,$H62&gt;0,OR(AUTOEVENTO&lt;&gt;"manual",$M62&lt;&gt;$A$15)),
        IF(Import.TipoArredondamento&lt;&gt;"TransfereGOV",
              ROUND(OFFSET($P62,0,AT$13),15-13*ORÇAMENTO!$AF$7)/$H62*OFFSET(ORÇAMENTO!$X$15,ROW(AT62)-ROW(AT$15),0),
              ROUND(ROUND(OFFSET($P62,0,AT$13),15-13*ORÇAMENTO!$AF$7)*OFFSET(ORÇAMENTO!$W$15,ROW(AT62)-ROW(AT$15),0),15-13*ORÇAMENTO!$AF$11)),
         0)</f>
        <v>264.18</v>
      </c>
      <c r="AU62" s="352" t="n">
        <f aca="true">IF(AND($D62="Serviço",AU$12&lt;&gt;0,$H62&gt;0,OR(AUTOEVENTO&lt;&gt;"manual",$M62&lt;&gt;$A$15)),
        IF(Import.TipoArredondamento&lt;&gt;"TransfereGOV",
              ROUND(OFFSET($P62,0,AU$13),15-13*ORÇAMENTO!$AF$7)/$H62*OFFSET(ORÇAMENTO!$X$15,ROW(AU62)-ROW(AU$15),0),
              ROUND(ROUND(OFFSET($P62,0,AU$13),15-13*ORÇAMENTO!$AF$7)*OFFSET(ORÇAMENTO!$W$15,ROW(AU62)-ROW(AU$15),0),15-13*ORÇAMENTO!$AF$11)),
         0)</f>
        <v>264.18</v>
      </c>
      <c r="AV62" s="352" t="n">
        <f aca="true">IF(AND($D62="Serviço",AV$12&lt;&gt;0,$H62&gt;0,OR(AUTOEVENTO&lt;&gt;"manual",$M62&lt;&gt;$A$15)),
        IF(Import.TipoArredondamento&lt;&gt;"TransfereGOV",
              ROUND(OFFSET($P62,0,AV$13),15-13*ORÇAMENTO!$AF$7)/$H62*OFFSET(ORÇAMENTO!$X$15,ROW(AV62)-ROW(AV$15),0),
              ROUND(ROUND(OFFSET($P62,0,AV$13),15-13*ORÇAMENTO!$AF$7)*OFFSET(ORÇAMENTO!$W$15,ROW(AV62)-ROW(AV$15),0),15-13*ORÇAMENTO!$AF$11)),
         0)</f>
        <v>264.18</v>
      </c>
      <c r="AW62" s="352" t="n">
        <f aca="true">IF(AND($D62="Serviço",AW$12&lt;&gt;0,$H62&gt;0,OR(AUTOEVENTO&lt;&gt;"manual",$M62&lt;&gt;$A$15)),
        IF(Import.TipoArredondamento&lt;&gt;"TransfereGOV",
              ROUND(OFFSET($P62,0,AW$13),15-13*ORÇAMENTO!$AF$7)/$H62*OFFSET(ORÇAMENTO!$X$15,ROW(AW62)-ROW(AW$15),0),
              ROUND(ROUND(OFFSET($P62,0,AW$13),15-13*ORÇAMENTO!$AF$7)*OFFSET(ORÇAMENTO!$W$15,ROW(AW62)-ROW(AW$15),0),15-13*ORÇAMENTO!$AF$11)),
         0)</f>
        <v>264.18</v>
      </c>
      <c r="AX62" s="352" t="n">
        <f aca="true">IF(AND($D62="Serviço",AX$12&lt;&gt;0,$H62&gt;0,OR(AUTOEVENTO&lt;&gt;"manual",$M62&lt;&gt;$A$15)),
        IF(Import.TipoArredondamento&lt;&gt;"TransfereGOV",
              ROUND(OFFSET($P62,0,AX$13),15-13*ORÇAMENTO!$AF$7)/$H62*OFFSET(ORÇAMENTO!$X$15,ROW(AX62)-ROW(AX$15),0),
              ROUND(ROUND(OFFSET($P62,0,AX$13),15-13*ORÇAMENTO!$AF$7)*OFFSET(ORÇAMENTO!$W$15,ROW(AX62)-ROW(AX$15),0),15-13*ORÇAMENTO!$AF$11)),
         0)</f>
        <v>264.18</v>
      </c>
      <c r="AY62" s="352" t="n">
        <f aca="true">IF(AND($D62="Serviço",AY$12&lt;&gt;0,$H62&gt;0,OR(AUTOEVENTO&lt;&gt;"manual",$M62&lt;&gt;$A$15)),
        IF(Import.TipoArredondamento&lt;&gt;"TransfereGOV",
              ROUND(OFFSET($P62,0,AY$13),15-13*ORÇAMENTO!$AF$7)/$H62*OFFSET(ORÇAMENTO!$X$15,ROW(AY62)-ROW(AY$15),0),
              ROUND(ROUND(OFFSET($P62,0,AY$13),15-13*ORÇAMENTO!$AF$7)*OFFSET(ORÇAMENTO!$W$15,ROW(AY62)-ROW(AY$15),0),15-13*ORÇAMENTO!$AF$11)),
         0)</f>
        <v>264.18</v>
      </c>
      <c r="AZ62" s="352" t="n">
        <f aca="true">IF(AND($D62="Serviço",AZ$12&lt;&gt;0,$H62&gt;0,OR(AUTOEVENTO&lt;&gt;"manual",$M62&lt;&gt;$A$15)),
        IF(Import.TipoArredondamento&lt;&gt;"TransfereGOV",
              ROUND(OFFSET($P62,0,AZ$13),15-13*ORÇAMENTO!$AF$7)/$H62*OFFSET(ORÇAMENTO!$X$15,ROW(AZ62)-ROW(AZ$15),0),
              ROUND(ROUND(OFFSET($P62,0,AZ$13),15-13*ORÇAMENTO!$AF$7)*OFFSET(ORÇAMENTO!$W$15,ROW(AZ62)-ROW(AZ$15),0),15-13*ORÇAMENTO!$AF$11)),
         0)</f>
        <v>264.18</v>
      </c>
      <c r="BA62" s="352" t="n">
        <f aca="true">IF(AND($D62="Serviço",BA$12&lt;&gt;0,$H62&gt;0,OR(AUTOEVENTO&lt;&gt;"manual",$M62&lt;&gt;$A$15)),
        IF(Import.TipoArredondamento&lt;&gt;"TransfereGOV",
              ROUND(OFFSET($P62,0,BA$13),15-13*ORÇAMENTO!$AF$7)/$H62*OFFSET(ORÇAMENTO!$X$15,ROW(BA62)-ROW(BA$15),0),
              ROUND(ROUND(OFFSET($P62,0,BA$13),15-13*ORÇAMENTO!$AF$7)*OFFSET(ORÇAMENTO!$W$15,ROW(BA62)-ROW(BA$15),0),15-13*ORÇAMENTO!$AF$11)),
         0)</f>
        <v>264.18</v>
      </c>
      <c r="BB62" s="352" t="n">
        <f aca="true">IF(AND($D62="Serviço",BB$12&lt;&gt;0,$H62&gt;0,OR(AUTOEVENTO&lt;&gt;"manual",$M62&lt;&gt;$A$15)),
        IF(Import.TipoArredondamento&lt;&gt;"TransfereGOV",
              ROUND(OFFSET($P62,0,BB$13),15-13*ORÇAMENTO!$AF$7)/$H62*OFFSET(ORÇAMENTO!$X$15,ROW(BB62)-ROW(BB$15),0),
              ROUND(ROUND(OFFSET($P62,0,BB$13),15-13*ORÇAMENTO!$AF$7)*OFFSET(ORÇAMENTO!$W$15,ROW(BB62)-ROW(BB$15),0),15-13*ORÇAMENTO!$AF$11)),
         0)</f>
        <v>264.18</v>
      </c>
      <c r="BC62" s="352" t="n">
        <f aca="true">IF(AND($D62="Serviço",BC$12&lt;&gt;0,$H62&gt;0,OR(AUTOEVENTO&lt;&gt;"manual",$M62&lt;&gt;$A$15)),
        IF(Import.TipoArredondamento&lt;&gt;"TransfereGOV",
              ROUND(OFFSET($P62,0,BC$13),15-13*ORÇAMENTO!$AF$7)/$H62*OFFSET(ORÇAMENTO!$X$15,ROW(BC62)-ROW(BC$15),0),
              ROUND(ROUND(OFFSET($P62,0,BC$13),15-13*ORÇAMENTO!$AF$7)*OFFSET(ORÇAMENTO!$W$15,ROW(BC62)-ROW(BC$15),0),15-13*ORÇAMENTO!$AF$11)),
         0)</f>
        <v>264.18</v>
      </c>
      <c r="BD62" s="352" t="n">
        <f aca="true">IF(AND($D62="Serviço",BD$12&lt;&gt;0,$H62&gt;0,OR(AUTOEVENTO&lt;&gt;"manual",$M62&lt;&gt;$A$15)),
        IF(Import.TipoArredondamento&lt;&gt;"TransfereGOV",
              ROUND(OFFSET($P62,0,BD$13),15-13*ORÇAMENTO!$AF$7)/$H62*OFFSET(ORÇAMENTO!$X$15,ROW(BD62)-ROW(BD$15),0),
              ROUND(ROUND(OFFSET($P62,0,BD$13),15-13*ORÇAMENTO!$AF$7)*OFFSET(ORÇAMENTO!$W$15,ROW(BD62)-ROW(BD$15),0),15-13*ORÇAMENTO!$AF$11)),
         0)</f>
        <v>264.18</v>
      </c>
      <c r="BE62" s="352" t="n">
        <f aca="true">IF(AND($D62="Serviço",BE$12&lt;&gt;0,$H62&gt;0,OR(AUTOEVENTO&lt;&gt;"manual",$M62&lt;&gt;$A$15)),
        IF(Import.TipoArredondamento&lt;&gt;"TransfereGOV",
              ROUND(OFFSET($P62,0,BE$13),15-13*ORÇAMENTO!$AF$7)/$H62*OFFSET(ORÇAMENTO!$X$15,ROW(BE62)-ROW(BE$15),0),
              ROUND(ROUND(OFFSET($P62,0,BE$13),15-13*ORÇAMENTO!$AF$7)*OFFSET(ORÇAMENTO!$W$15,ROW(BE62)-ROW(BE$15),0),15-13*ORÇAMENTO!$AF$11)),
         0)</f>
        <v>264.18</v>
      </c>
      <c r="BF62" s="352" t="n">
        <f aca="true">IF(AND($D62="Serviço",BF$12&lt;&gt;0,$H62&gt;0,OR(AUTOEVENTO&lt;&gt;"manual",$M62&lt;&gt;$A$15)),
        IF(Import.TipoArredondamento&lt;&gt;"TransfereGOV",
              ROUND(OFFSET($P62,0,BF$13),15-13*ORÇAMENTO!$AF$7)/$H62*OFFSET(ORÇAMENTO!$X$15,ROW(BF62)-ROW(BF$15),0),
              ROUND(ROUND(OFFSET($P62,0,BF$13),15-13*ORÇAMENTO!$AF$7)*OFFSET(ORÇAMENTO!$W$15,ROW(BF62)-ROW(BF$15),0),15-13*ORÇAMENTO!$AF$11)),
         0)</f>
        <v>264.18</v>
      </c>
      <c r="BG62" s="352" t="n">
        <f aca="true">IF(AND($D62="Serviço",BG$12&lt;&gt;0,$H62&gt;0,OR(AUTOEVENTO&lt;&gt;"manual",$M62&lt;&gt;$A$15)),
        IF(Import.TipoArredondamento&lt;&gt;"TransfereGOV",
              ROUND(OFFSET($P62,0,BG$13),15-13*ORÇAMENTO!$AF$7)/$H62*OFFSET(ORÇAMENTO!$X$15,ROW(BG62)-ROW(BG$15),0),
              ROUND(ROUND(OFFSET($P62,0,BG$13),15-13*ORÇAMENTO!$AF$7)*OFFSET(ORÇAMENTO!$W$15,ROW(BG62)-ROW(BG$15),0),15-13*ORÇAMENTO!$AF$11)),
         0)</f>
        <v>264.18</v>
      </c>
      <c r="BH62" s="352" t="n">
        <f aca="true">IF(AND($D62="Serviço",BH$12&lt;&gt;0,$H62&gt;0,OR(AUTOEVENTO&lt;&gt;"manual",$M62&lt;&gt;$A$15)),
        IF(Import.TipoArredondamento&lt;&gt;"TransfereGOV",
              ROUND(OFFSET($P62,0,BH$13),15-13*ORÇAMENTO!$AF$7)/$H62*OFFSET(ORÇAMENTO!$X$15,ROW(BH62)-ROW(BH$15),0),
              ROUND(ROUND(OFFSET($P62,0,BH$13),15-13*ORÇAMENTO!$AF$7)*OFFSET(ORÇAMENTO!$W$15,ROW(BH62)-ROW(BH$15),0),15-13*ORÇAMENTO!$AF$11)),
         0)</f>
        <v>264.18</v>
      </c>
      <c r="BI62" s="352" t="n">
        <f aca="true">IF(AND($D62="Serviço",BI$12&lt;&gt;0,$H62&gt;0,OR(AUTOEVENTO&lt;&gt;"manual",$M62&lt;&gt;$A$15)),
        IF(Import.TipoArredondamento&lt;&gt;"TransfereGOV",
              ROUND(OFFSET($P62,0,BI$13),15-13*ORÇAMENTO!$AF$7)/$H62*OFFSET(ORÇAMENTO!$X$15,ROW(BI62)-ROW(BI$15),0),
              ROUND(ROUND(OFFSET($P62,0,BI$13),15-13*ORÇAMENTO!$AF$7)*OFFSET(ORÇAMENTO!$W$15,ROW(BI62)-ROW(BI$15),0),15-13*ORÇAMENTO!$AF$11)),
         0)</f>
        <v>264.18</v>
      </c>
      <c r="BJ62" s="352" t="n">
        <f aca="true">IF(AND($D62="Serviço",BJ$12&lt;&gt;0,$H62&gt;0,OR(AUTOEVENTO&lt;&gt;"manual",$M62&lt;&gt;$A$15)),
        IF(Import.TipoArredondamento&lt;&gt;"TransfereGOV",
              ROUND(OFFSET($P62,0,BJ$13),15-13*ORÇAMENTO!$AF$7)/$H62*OFFSET(ORÇAMENTO!$X$15,ROW(BJ62)-ROW(BJ$15),0),
              ROUND(ROUND(OFFSET($P62,0,BJ$13),15-13*ORÇAMENTO!$AF$7)*OFFSET(ORÇAMENTO!$W$15,ROW(BJ62)-ROW(BJ$15),0),15-13*ORÇAMENTO!$AF$11)),
         0)</f>
        <v>264.18</v>
      </c>
      <c r="BK62" s="352" t="n">
        <f aca="true">IF(AND($D62="Serviço",BK$12&lt;&gt;0,$H62&gt;0,OR(AUTOEVENTO&lt;&gt;"manual",$M62&lt;&gt;$A$15)),
        IF(Import.TipoArredondamento&lt;&gt;"TransfereGOV",
              ROUND(OFFSET($P62,0,BK$13),15-13*ORÇAMENTO!$AF$7)/$H62*OFFSET(ORÇAMENTO!$X$15,ROW(BK62)-ROW(BK$15),0),
              ROUND(ROUND(OFFSET($P62,0,BK$13),15-13*ORÇAMENTO!$AF$7)*OFFSET(ORÇAMENTO!$W$15,ROW(BK62)-ROW(BK$15),0),15-13*ORÇAMENTO!$AF$11)),
         0)</f>
        <v>264.18</v>
      </c>
      <c r="BL62" s="352" t="n">
        <f aca="true">IF(AND($D62="Serviço",BL$12&lt;&gt;0,$H62&gt;0,OR(AUTOEVENTO&lt;&gt;"manual",$M62&lt;&gt;$A$15)),
        IF(Import.TipoArredondamento&lt;&gt;"TransfereGOV",
              ROUND(OFFSET($P62,0,BL$13),15-13*ORÇAMENTO!$AF$7)/$H62*OFFSET(ORÇAMENTO!$X$15,ROW(BL62)-ROW(BL$15),0),
              ROUND(ROUND(OFFSET($P62,0,BL$13),15-13*ORÇAMENTO!$AF$7)*OFFSET(ORÇAMENTO!$W$15,ROW(BL62)-ROW(BL$15),0),15-13*ORÇAMENTO!$AF$11)),
         0)</f>
        <v>264.18</v>
      </c>
      <c r="BM62" s="352" t="n">
        <f aca="true">IF(AND($D62="Serviço",BM$12&lt;&gt;0,$H62&gt;0,OR(AUTOEVENTO&lt;&gt;"manual",$M62&lt;&gt;$A$15)),
        IF(Import.TipoArredondamento&lt;&gt;"TransfereGOV",
              ROUND(OFFSET($P62,0,BM$13),15-13*ORÇAMENTO!$AF$7)/$H62*OFFSET(ORÇAMENTO!$X$15,ROW(BM62)-ROW(BM$15),0),
              ROUND(ROUND(OFFSET($P62,0,BM$13),15-13*ORÇAMENTO!$AF$7)*OFFSET(ORÇAMENTO!$W$15,ROW(BM62)-ROW(BM$15),0),15-13*ORÇAMENTO!$AF$11)),
         0)</f>
        <v>264.18</v>
      </c>
      <c r="BN62" s="352" t="n">
        <f aca="true">IF(AND($D62="Serviço",BN$12&lt;&gt;0,$H62&gt;0,OR(AUTOEVENTO&lt;&gt;"manual",$M62&lt;&gt;$A$15)),
        IF(Import.TipoArredondamento&lt;&gt;"TransfereGOV",
              ROUND(OFFSET($P62,0,BN$13),15-13*ORÇAMENTO!$AF$7)/$H62*OFFSET(ORÇAMENTO!$X$15,ROW(BN62)-ROW(BN$15),0),
              ROUND(ROUND(OFFSET($P62,0,BN$13),15-13*ORÇAMENTO!$AF$7)*OFFSET(ORÇAMENTO!$W$15,ROW(BN62)-ROW(BN$15),0),15-13*ORÇAMENTO!$AF$11)),
         0)</f>
        <v>264.18</v>
      </c>
      <c r="BO62" s="352" t="n">
        <f aca="true">IF(AND($D62="Serviço",BO$12&lt;&gt;0,$H62&gt;0,OR(AUTOEVENTO&lt;&gt;"manual",$M62&lt;&gt;$A$15)),
        IF(Import.TipoArredondamento&lt;&gt;"TransfereGOV",
              ROUND(OFFSET($P62,0,BO$13),15-13*ORÇAMENTO!$AF$7)/$H62*OFFSET(ORÇAMENTO!$X$15,ROW(BO62)-ROW(BO$15),0),
              ROUND(ROUND(OFFSET($P62,0,BO$13),15-13*ORÇAMENTO!$AF$7)*OFFSET(ORÇAMENTO!$W$15,ROW(BO62)-ROW(BO$15),0),15-13*ORÇAMENTO!$AF$11)),
         0)</f>
        <v>264.18</v>
      </c>
      <c r="BP62" s="352" t="n">
        <f aca="true">IF(AND($D62="Serviço",BP$12&lt;&gt;0,$H62&gt;0,OR(AUTOEVENTO&lt;&gt;"manual",$M62&lt;&gt;$A$15)),
        IF(Import.TipoArredondamento&lt;&gt;"TransfereGOV",
              ROUND(OFFSET($P62,0,BP$13),15-13*ORÇAMENTO!$AF$7)/$H62*OFFSET(ORÇAMENTO!$X$15,ROW(BP62)-ROW(BP$15),0),
              ROUND(ROUND(OFFSET($P62,0,BP$13),15-13*ORÇAMENTO!$AF$7)*OFFSET(ORÇAMENTO!$W$15,ROW(BP62)-ROW(BP$15),0),15-13*ORÇAMENTO!$AF$11)),
         0)</f>
        <v>264.18</v>
      </c>
      <c r="BQ62" s="352" t="n">
        <f aca="true">IF(AND($D62="Serviço",BQ$12&lt;&gt;0,$H62&gt;0,OR(AUTOEVENTO&lt;&gt;"manual",$M62&lt;&gt;$A$15)),
        IF(Import.TipoArredondamento&lt;&gt;"TransfereGOV",
              ROUND(OFFSET($P62,0,BQ$13),15-13*ORÇAMENTO!$AF$7)/$H62*OFFSET(ORÇAMENTO!$X$15,ROW(BQ62)-ROW(BQ$15),0),
              ROUND(ROUND(OFFSET($P62,0,BQ$13),15-13*ORÇAMENTO!$AF$7)*OFFSET(ORÇAMENTO!$W$15,ROW(BQ62)-ROW(BQ$15),0),15-13*ORÇAMENTO!$AF$11)),
         0)</f>
        <v>0</v>
      </c>
      <c r="BS62" s="353" t="n">
        <f aca="true">IF(OR($D62&lt;&gt;"Serviço",AND(AUTOEVENTO="Manual",$M62=$A$15)),0,
         IF(OFFSET(CRONOPLE!$F$15,$M62-$A$15,BS$13)=0,10^12,OFFSET(CRONOPLE!$F$15,$M62-$A$15,BS$13)))</f>
        <v>1</v>
      </c>
      <c r="BT62" s="353" t="n">
        <f aca="true">IF(OR($D62&lt;&gt;"Serviço",AND(AUTOEVENTO="Manual",$M62=$A$15)),0,
         IF(OFFSET(CRONOPLE!$F$15,$M62-$A$15,BT$13)=0,10^12,OFFSET(CRONOPLE!$F$15,$M62-$A$15,BT$13)))</f>
        <v>2</v>
      </c>
      <c r="BU62" s="353" t="n">
        <f aca="true">IF(OR($D62&lt;&gt;"Serviço",AND(AUTOEVENTO="Manual",$M62=$A$15)),0,
         IF(OFFSET(CRONOPLE!$F$15,$M62-$A$15,BU$13)=0,10^12,OFFSET(CRONOPLE!$F$15,$M62-$A$15,BU$13)))</f>
        <v>3</v>
      </c>
      <c r="BV62" s="353" t="n">
        <f aca="true">IF(OR($D62&lt;&gt;"Serviço",AND(AUTOEVENTO="Manual",$M62=$A$15)),0,
         IF(OFFSET(CRONOPLE!$F$15,$M62-$A$15,BV$13)=0,10^12,OFFSET(CRONOPLE!$F$15,$M62-$A$15,BV$13)))</f>
        <v>4</v>
      </c>
      <c r="BW62" s="353" t="n">
        <f aca="true">IF(OR($D62&lt;&gt;"Serviço",AND(AUTOEVENTO="Manual",$M62=$A$15)),0,
         IF(OFFSET(CRONOPLE!$F$15,$M62-$A$15,BW$13)=0,10^12,OFFSET(CRONOPLE!$F$15,$M62-$A$15,BW$13)))</f>
        <v>5</v>
      </c>
      <c r="BX62" s="353" t="n">
        <f aca="true">IF(OR($D62&lt;&gt;"Serviço",AND(AUTOEVENTO="Manual",$M62=$A$15)),0,
         IF(OFFSET(CRONOPLE!$F$15,$M62-$A$15,BX$13)=0,10^12,OFFSET(CRONOPLE!$F$15,$M62-$A$15,BX$13)))</f>
        <v>6</v>
      </c>
      <c r="BY62" s="353" t="n">
        <f aca="true">IF(OR($D62&lt;&gt;"Serviço",AND(AUTOEVENTO="Manual",$M62=$A$15)),0,
         IF(OFFSET(CRONOPLE!$F$15,$M62-$A$15,BY$13)=0,10^12,OFFSET(CRONOPLE!$F$15,$M62-$A$15,BY$13)))</f>
        <v>7</v>
      </c>
      <c r="BZ62" s="353" t="n">
        <f aca="true">IF(OR($D62&lt;&gt;"Serviço",AND(AUTOEVENTO="Manual",$M62=$A$15)),0,
         IF(OFFSET(CRONOPLE!$F$15,$M62-$A$15,BZ$13)=0,10^12,OFFSET(CRONOPLE!$F$15,$M62-$A$15,BZ$13)))</f>
        <v>8</v>
      </c>
      <c r="CA62" s="353" t="n">
        <f aca="true">IF(OR($D62&lt;&gt;"Serviço",AND(AUTOEVENTO="Manual",$M62=$A$15)),0,
         IF(OFFSET(CRONOPLE!$F$15,$M62-$A$15,CA$13)=0,10^12,OFFSET(CRONOPLE!$F$15,$M62-$A$15,CA$13)))</f>
        <v>9</v>
      </c>
      <c r="CB62" s="353" t="n">
        <f aca="true">IF(OR($D62&lt;&gt;"Serviço",AND(AUTOEVENTO="Manual",$M62=$A$15)),0,
         IF(OFFSET(CRONOPLE!$F$15,$M62-$A$15,CB$13)=0,10^12,OFFSET(CRONOPLE!$F$15,$M62-$A$15,CB$13)))</f>
        <v>10</v>
      </c>
      <c r="CC62" s="353" t="n">
        <f aca="true">IF(OR($D62&lt;&gt;"Serviço",AND(AUTOEVENTO="Manual",$M62=$A$15)),0,
         IF(OFFSET(CRONOPLE!$F$15,$M62-$A$15,CC$13)=0,10^12,OFFSET(CRONOPLE!$F$15,$M62-$A$15,CC$13)))</f>
        <v>11</v>
      </c>
      <c r="CD62" s="353" t="n">
        <f aca="true">IF(OR($D62&lt;&gt;"Serviço",AND(AUTOEVENTO="Manual",$M62=$A$15)),0,
         IF(OFFSET(CRONOPLE!$F$15,$M62-$A$15,CD$13)=0,10^12,OFFSET(CRONOPLE!$F$15,$M62-$A$15,CD$13)))</f>
        <v>12</v>
      </c>
      <c r="CE62" s="353" t="n">
        <f aca="true">IF(OR($D62&lt;&gt;"Serviço",AND(AUTOEVENTO="Manual",$M62=$A$15)),0,
         IF(OFFSET(CRONOPLE!$F$15,$M62-$A$15,CE$13)=0,10^12,OFFSET(CRONOPLE!$F$15,$M62-$A$15,CE$13)))</f>
        <v>13</v>
      </c>
      <c r="CF62" s="353" t="n">
        <f aca="true">IF(OR($D62&lt;&gt;"Serviço",AND(AUTOEVENTO="Manual",$M62=$A$15)),0,
         IF(OFFSET(CRONOPLE!$F$15,$M62-$A$15,CF$13)=0,10^12,OFFSET(CRONOPLE!$F$15,$M62-$A$15,CF$13)))</f>
        <v>14</v>
      </c>
      <c r="CG62" s="353" t="n">
        <f aca="true">IF(OR($D62&lt;&gt;"Serviço",AND(AUTOEVENTO="Manual",$M62=$A$15)),0,
         IF(OFFSET(CRONOPLE!$F$15,$M62-$A$15,CG$13)=0,10^12,OFFSET(CRONOPLE!$F$15,$M62-$A$15,CG$13)))</f>
        <v>15</v>
      </c>
      <c r="CH62" s="353" t="n">
        <f aca="true">IF(OR($D62&lt;&gt;"Serviço",AND(AUTOEVENTO="Manual",$M62=$A$15)),0,
         IF(OFFSET(CRONOPLE!$F$15,$M62-$A$15,CH$13)=0,10^12,OFFSET(CRONOPLE!$F$15,$M62-$A$15,CH$13)))</f>
        <v>16</v>
      </c>
      <c r="CI62" s="353" t="n">
        <f aca="true">IF(OR($D62&lt;&gt;"Serviço",AND(AUTOEVENTO="Manual",$M62=$A$15)),0,
         IF(OFFSET(CRONOPLE!$F$15,$M62-$A$15,CI$13)=0,10^12,OFFSET(CRONOPLE!$F$15,$M62-$A$15,CI$13)))</f>
        <v>17</v>
      </c>
      <c r="CJ62" s="353" t="n">
        <f aca="true">IF(OR($D62&lt;&gt;"Serviço",AND(AUTOEVENTO="Manual",$M62=$A$15)),0,
         IF(OFFSET(CRONOPLE!$F$15,$M62-$A$15,CJ$13)=0,10^12,OFFSET(CRONOPLE!$F$15,$M62-$A$15,CJ$13)))</f>
        <v>18</v>
      </c>
      <c r="CK62" s="353" t="n">
        <f aca="true">IF(OR($D62&lt;&gt;"Serviço",AND(AUTOEVENTO="Manual",$M62=$A$15)),0,
         IF(OFFSET(CRONOPLE!$F$15,$M62-$A$15,CK$13)=0,10^12,OFFSET(CRONOPLE!$F$15,$M62-$A$15,CK$13)))</f>
        <v>19</v>
      </c>
      <c r="CL62" s="353" t="n">
        <f aca="true">IF(OR($D62&lt;&gt;"Serviço",AND(AUTOEVENTO="Manual",$M62=$A$15)),0,
         IF(OFFSET(CRONOPLE!$F$15,$M62-$A$15,CL$13)=0,10^12,OFFSET(CRONOPLE!$F$15,$M62-$A$15,CL$13)))</f>
        <v>20</v>
      </c>
      <c r="CM62" s="353" t="n">
        <f aca="true">IF(OR($D62&lt;&gt;"Serviço",AND(AUTOEVENTO="Manual",$M62=$A$15)),0,
         IF(OFFSET(CRONOPLE!$F$15,$M62-$A$15,CM$13)=0,10^12,OFFSET(CRONOPLE!$F$15,$M62-$A$15,CM$13)))</f>
        <v>21</v>
      </c>
      <c r="CN62" s="353" t="n">
        <f aca="true">IF(OR($D62&lt;&gt;"Serviço",AND(AUTOEVENTO="Manual",$M62=$A$15)),0,
         IF(OFFSET(CRONOPLE!$F$15,$M62-$A$15,CN$13)=0,10^12,OFFSET(CRONOPLE!$F$15,$M62-$A$15,CN$13)))</f>
        <v>22</v>
      </c>
      <c r="CO62" s="353" t="n">
        <f aca="true">IF(OR($D62&lt;&gt;"Serviço",AND(AUTOEVENTO="Manual",$M62=$A$15)),0,
         IF(OFFSET(CRONOPLE!$F$15,$M62-$A$15,CO$13)=0,10^12,OFFSET(CRONOPLE!$F$15,$M62-$A$15,CO$13)))</f>
        <v>23</v>
      </c>
      <c r="CP62" s="353" t="n">
        <f aca="true">IF(OR($D62&lt;&gt;"Serviço",AND(AUTOEVENTO="Manual",$M62=$A$15)),0,
         IF(OFFSET(CRONOPLE!$F$15,$M62-$A$15,CP$13)=0,10^12,OFFSET(CRONOPLE!$F$15,$M62-$A$15,CP$13)))</f>
        <v>24</v>
      </c>
      <c r="CQ62" s="353" t="n">
        <f aca="true">IF(OR($D62&lt;&gt;"Serviço",AND(AUTOEVENTO="Manual",$M62=$A$15)),0,
         IF(OFFSET(CRONOPLE!$F$15,$M62-$A$15,CQ$13)=0,10^12,OFFSET(CRONOPLE!$F$15,$M62-$A$15,CQ$13)))</f>
        <v>25</v>
      </c>
      <c r="CR62" s="353" t="n">
        <f aca="true">IF(OR($D62&lt;&gt;"Serviço",AND(AUTOEVENTO="Manual",$M62=$A$15)),0,
         IF(OFFSET(CRONOPLE!$F$15,$M62-$A$15,CR$13)=0,10^12,OFFSET(CRONOPLE!$F$15,$M62-$A$15,CR$13)))</f>
        <v>1000000000000</v>
      </c>
      <c r="CT62" s="354" t="n">
        <f aca="true">IF(OR($D62&lt;&gt;"Serviço",AND(AUTOEVENTO="Manual",$M62=$A$15),$M62&gt;(ROW(PLE.lastrow)-ROW(PLE.firstrow))),0,
           IF(OFFSET(PLE!$G$15,$M62-$A$15,CT$13)="",10^12,OFFSET(PLE!$G$15,$M62-$A$15,CT$13)))</f>
        <v>1000000000000</v>
      </c>
      <c r="CU62" s="354" t="n">
        <f aca="true">IF(OR($D62&lt;&gt;"Serviço",AND(AUTOEVENTO="Manual",$M62=$A$15),$M62&gt;(ROW(PLE.lastrow)-ROW(PLE.firstrow))),0,
           IF(OFFSET(PLE!$G$15,$M62-$A$15,CU$13)="",10^12,OFFSET(PLE!$G$15,$M62-$A$15,CU$13)))</f>
        <v>1000000000000</v>
      </c>
      <c r="CV62" s="354" t="n">
        <f aca="true">IF(OR($D62&lt;&gt;"Serviço",AND(AUTOEVENTO="Manual",$M62=$A$15),$M62&gt;(ROW(PLE.lastrow)-ROW(PLE.firstrow))),0,
           IF(OFFSET(PLE!$G$15,$M62-$A$15,CV$13)="",10^12,OFFSET(PLE!$G$15,$M62-$A$15,CV$13)))</f>
        <v>1000000000000</v>
      </c>
      <c r="CW62" s="354" t="n">
        <f aca="true">IF(OR($D62&lt;&gt;"Serviço",AND(AUTOEVENTO="Manual",$M62=$A$15),$M62&gt;(ROW(PLE.lastrow)-ROW(PLE.firstrow))),0,
           IF(OFFSET(PLE!$G$15,$M62-$A$15,CW$13)="",10^12,OFFSET(PLE!$G$15,$M62-$A$15,CW$13)))</f>
        <v>1000000000000</v>
      </c>
      <c r="CX62" s="354" t="n">
        <f aca="true">IF(OR($D62&lt;&gt;"Serviço",AND(AUTOEVENTO="Manual",$M62=$A$15),$M62&gt;(ROW(PLE.lastrow)-ROW(PLE.firstrow))),0,
           IF(OFFSET(PLE!$G$15,$M62-$A$15,CX$13)="",10^12,OFFSET(PLE!$G$15,$M62-$A$15,CX$13)))</f>
        <v>1000000000000</v>
      </c>
      <c r="CY62" s="354" t="n">
        <f aca="true">IF(OR($D62&lt;&gt;"Serviço",AND(AUTOEVENTO="Manual",$M62=$A$15),$M62&gt;(ROW(PLE.lastrow)-ROW(PLE.firstrow))),0,
           IF(OFFSET(PLE!$G$15,$M62-$A$15,CY$13)="",10^12,OFFSET(PLE!$G$15,$M62-$A$15,CY$13)))</f>
        <v>1000000000000</v>
      </c>
      <c r="CZ62" s="354" t="n">
        <f aca="true">IF(OR($D62&lt;&gt;"Serviço",AND(AUTOEVENTO="Manual",$M62=$A$15),$M62&gt;(ROW(PLE.lastrow)-ROW(PLE.firstrow))),0,
           IF(OFFSET(PLE!$G$15,$M62-$A$15,CZ$13)="",10^12,OFFSET(PLE!$G$15,$M62-$A$15,CZ$13)))</f>
        <v>1000000000000</v>
      </c>
      <c r="DA62" s="354" t="n">
        <f aca="true">IF(OR($D62&lt;&gt;"Serviço",AND(AUTOEVENTO="Manual",$M62=$A$15),$M62&gt;(ROW(PLE.lastrow)-ROW(PLE.firstrow))),0,
           IF(OFFSET(PLE!$G$15,$M62-$A$15,DA$13)="",10^12,OFFSET(PLE!$G$15,$M62-$A$15,DA$13)))</f>
        <v>1000000000000</v>
      </c>
      <c r="DB62" s="354" t="n">
        <f aca="true">IF(OR($D62&lt;&gt;"Serviço",AND(AUTOEVENTO="Manual",$M62=$A$15),$M62&gt;(ROW(PLE.lastrow)-ROW(PLE.firstrow))),0,
           IF(OFFSET(PLE!$G$15,$M62-$A$15,DB$13)="",10^12,OFFSET(PLE!$G$15,$M62-$A$15,DB$13)))</f>
        <v>1000000000000</v>
      </c>
      <c r="DC62" s="354" t="n">
        <f aca="true">IF(OR($D62&lt;&gt;"Serviço",AND(AUTOEVENTO="Manual",$M62=$A$15),$M62&gt;(ROW(PLE.lastrow)-ROW(PLE.firstrow))),0,
           IF(OFFSET(PLE!$G$15,$M62-$A$15,DC$13)="",10^12,OFFSET(PLE!$G$15,$M62-$A$15,DC$13)))</f>
        <v>1000000000000</v>
      </c>
      <c r="DD62" s="354" t="n">
        <f aca="true">IF(OR($D62&lt;&gt;"Serviço",AND(AUTOEVENTO="Manual",$M62=$A$15),$M62&gt;(ROW(PLE.lastrow)-ROW(PLE.firstrow))),0,
           IF(OFFSET(PLE!$G$15,$M62-$A$15,DD$13)="",10^12,OFFSET(PLE!$G$15,$M62-$A$15,DD$13)))</f>
        <v>1000000000000</v>
      </c>
      <c r="DE62" s="354" t="n">
        <f aca="true">IF(OR($D62&lt;&gt;"Serviço",AND(AUTOEVENTO="Manual",$M62=$A$15),$M62&gt;(ROW(PLE.lastrow)-ROW(PLE.firstrow))),0,
           IF(OFFSET(PLE!$G$15,$M62-$A$15,DE$13)="",10^12,OFFSET(PLE!$G$15,$M62-$A$15,DE$13)))</f>
        <v>1000000000000</v>
      </c>
      <c r="DF62" s="354" t="n">
        <f aca="true">IF(OR($D62&lt;&gt;"Serviço",AND(AUTOEVENTO="Manual",$M62=$A$15),$M62&gt;(ROW(PLE.lastrow)-ROW(PLE.firstrow))),0,
           IF(OFFSET(PLE!$G$15,$M62-$A$15,DF$13)="",10^12,OFFSET(PLE!$G$15,$M62-$A$15,DF$13)))</f>
        <v>1000000000000</v>
      </c>
      <c r="DG62" s="354" t="n">
        <f aca="true">IF(OR($D62&lt;&gt;"Serviço",AND(AUTOEVENTO="Manual",$M62=$A$15),$M62&gt;(ROW(PLE.lastrow)-ROW(PLE.firstrow))),0,
           IF(OFFSET(PLE!$G$15,$M62-$A$15,DG$13)="",10^12,OFFSET(PLE!$G$15,$M62-$A$15,DG$13)))</f>
        <v>1000000000000</v>
      </c>
      <c r="DH62" s="354" t="n">
        <f aca="true">IF(OR($D62&lt;&gt;"Serviço",AND(AUTOEVENTO="Manual",$M62=$A$15),$M62&gt;(ROW(PLE.lastrow)-ROW(PLE.firstrow))),0,
           IF(OFFSET(PLE!$G$15,$M62-$A$15,DH$13)="",10^12,OFFSET(PLE!$G$15,$M62-$A$15,DH$13)))</f>
        <v>1000000000000</v>
      </c>
      <c r="DI62" s="354" t="n">
        <f aca="true">IF(OR($D62&lt;&gt;"Serviço",AND(AUTOEVENTO="Manual",$M62=$A$15),$M62&gt;(ROW(PLE.lastrow)-ROW(PLE.firstrow))),0,
           IF(OFFSET(PLE!$G$15,$M62-$A$15,DI$13)="",10^12,OFFSET(PLE!$G$15,$M62-$A$15,DI$13)))</f>
        <v>1000000000000</v>
      </c>
      <c r="DJ62" s="354" t="n">
        <f aca="true">IF(OR($D62&lt;&gt;"Serviço",AND(AUTOEVENTO="Manual",$M62=$A$15),$M62&gt;(ROW(PLE.lastrow)-ROW(PLE.firstrow))),0,
           IF(OFFSET(PLE!$G$15,$M62-$A$15,DJ$13)="",10^12,OFFSET(PLE!$G$15,$M62-$A$15,DJ$13)))</f>
        <v>1000000000000</v>
      </c>
      <c r="DK62" s="354" t="n">
        <f aca="true">IF(OR($D62&lt;&gt;"Serviço",AND(AUTOEVENTO="Manual",$M62=$A$15),$M62&gt;(ROW(PLE.lastrow)-ROW(PLE.firstrow))),0,
           IF(OFFSET(PLE!$G$15,$M62-$A$15,DK$13)="",10^12,OFFSET(PLE!$G$15,$M62-$A$15,DK$13)))</f>
        <v>1000000000000</v>
      </c>
      <c r="DL62" s="354" t="n">
        <f aca="true">IF(OR($D62&lt;&gt;"Serviço",AND(AUTOEVENTO="Manual",$M62=$A$15),$M62&gt;(ROW(PLE.lastrow)-ROW(PLE.firstrow))),0,
           IF(OFFSET(PLE!$G$15,$M62-$A$15,DL$13)="",10^12,OFFSET(PLE!$G$15,$M62-$A$15,DL$13)))</f>
        <v>1000000000000</v>
      </c>
      <c r="DM62" s="354" t="n">
        <f aca="true">IF(OR($D62&lt;&gt;"Serviço",AND(AUTOEVENTO="Manual",$M62=$A$15),$M62&gt;(ROW(PLE.lastrow)-ROW(PLE.firstrow))),0,
           IF(OFFSET(PLE!$G$15,$M62-$A$15,DM$13)="",10^12,OFFSET(PLE!$G$15,$M62-$A$15,DM$13)))</f>
        <v>1000000000000</v>
      </c>
      <c r="DN62" s="354" t="n">
        <f aca="true">IF(OR($D62&lt;&gt;"Serviço",AND(AUTOEVENTO="Manual",$M62=$A$15),$M62&gt;(ROW(PLE.lastrow)-ROW(PLE.firstrow))),0,
           IF(OFFSET(PLE!$G$15,$M62-$A$15,DN$13)="",10^12,OFFSET(PLE!$G$15,$M62-$A$15,DN$13)))</f>
        <v>1000000000000</v>
      </c>
      <c r="DO62" s="354" t="n">
        <f aca="true">IF(OR($D62&lt;&gt;"Serviço",AND(AUTOEVENTO="Manual",$M62=$A$15),$M62&gt;(ROW(PLE.lastrow)-ROW(PLE.firstrow))),0,
           IF(OFFSET(PLE!$G$15,$M62-$A$15,DO$13)="",10^12,OFFSET(PLE!$G$15,$M62-$A$15,DO$13)))</f>
        <v>1000000000000</v>
      </c>
      <c r="DP62" s="354" t="n">
        <f aca="true">IF(OR($D62&lt;&gt;"Serviço",AND(AUTOEVENTO="Manual",$M62=$A$15),$M62&gt;(ROW(PLE.lastrow)-ROW(PLE.firstrow))),0,
           IF(OFFSET(PLE!$G$15,$M62-$A$15,DP$13)="",10^12,OFFSET(PLE!$G$15,$M62-$A$15,DP$13)))</f>
        <v>1000000000000</v>
      </c>
      <c r="DQ62" s="354" t="n">
        <f aca="true">IF(OR($D62&lt;&gt;"Serviço",AND(AUTOEVENTO="Manual",$M62=$A$15),$M62&gt;(ROW(PLE.lastrow)-ROW(PLE.firstrow))),0,
           IF(OFFSET(PLE!$G$15,$M62-$A$15,DQ$13)="",10^12,OFFSET(PLE!$G$15,$M62-$A$15,DQ$13)))</f>
        <v>1000000000000</v>
      </c>
      <c r="DR62" s="354" t="n">
        <f aca="true">IF(OR($D62&lt;&gt;"Serviço",AND(AUTOEVENTO="Manual",$M62=$A$15),$M62&gt;(ROW(PLE.lastrow)-ROW(PLE.firstrow))),0,
           IF(OFFSET(PLE!$G$15,$M62-$A$15,DR$13)="",10^12,OFFSET(PLE!$G$15,$M62-$A$15,DR$13)))</f>
        <v>1000000000000</v>
      </c>
      <c r="DS62" s="354" t="n">
        <f aca="true">IF(OR($D62&lt;&gt;"Serviço",AND(AUTOEVENTO="Manual",$M62=$A$15),$M62&gt;(ROW(PLE.lastrow)-ROW(PLE.firstrow))),0,
           IF(OFFSET(PLE!$G$15,$M62-$A$15,DS$13)="",10^12,OFFSET(PLE!$G$15,$M62-$A$15,DS$13)))</f>
        <v>1000000000000</v>
      </c>
    </row>
    <row r="63" customFormat="false" ht="12.75" hidden="false" customHeight="false" outlineLevel="0" collapsed="false">
      <c r="A63" s="50" t="str">
        <f aca="true">IFERROR(IF(AUTOEVENTO="Manual",IF(K63&lt;&gt;"",MIN(VALUE(LEFT(K63,FIND(".",K63)-1)),COUNTA(EVENTOS.Lista)),0),IF(OR($B63&gt;AUTOEVENTO,$B63="S",$B63=0),SUBSTITUTE(OFFSET($A63,-1,0),IF($D63="Serviço",".",""),""),ROW(A63)-ROW($A$15)&amp;".")),0)</f>
        <v>48.</v>
      </c>
      <c r="B63" s="50" t="n">
        <f aca="true">OFFSET(ORÇAMENTO!C$15,ROW(B63)-ROW(B$15),0)</f>
        <v>2</v>
      </c>
      <c r="C63" s="50" t="str">
        <f aca="true">OFFSET(ORÇAMENTO!L$15,ROW(C63)-ROW(C$15),0)</f>
        <v>F</v>
      </c>
      <c r="D63" s="201" t="str">
        <f aca="true">OFFSET(ORÇAMENTO!N$15,ROW(D63)-ROW(D$15),0)</f>
        <v>Nível 2</v>
      </c>
      <c r="E63" s="202" t="str">
        <f aca="true">OFFSET(ORÇAMENTO!O$15,ROW(E63)-ROW(E$15),0)</f>
        <v>1.13.</v>
      </c>
      <c r="F63" s="341" t="str">
        <f aca="true">OFFSET(ORÇAMENTO!R$15,ROW(F63)-ROW(F$15),0)</f>
        <v>ESQUADRIAS DE MADEIRAS</v>
      </c>
      <c r="G63" s="342" t="str">
        <f aca="true">IF($D63&lt;&gt;"Serviço","",OFFSET(ORÇAMENTO!S$15,ROW(G63)-ROW(G$15),0))</f>
        <v/>
      </c>
      <c r="H63" s="207" t="n">
        <f aca="true">IF($D63&lt;&gt;"Serviço",0,IF(ACOMPANHAMENTO="BM",ROUND(OFFSET(ORÇAMENTO!AJ$15,ROW(H63)-ROW(H$15),0),15-13*ORÇAMENTO!$AF$7),SUMPRODUCT(($Q$1:$AQ$1=1)*ROUND($Q63:$AQ63,15-13*ORÇAMENTO!$AF$7))))</f>
        <v>0</v>
      </c>
      <c r="I63" s="343"/>
      <c r="J63" s="344" t="str">
        <f aca="false">IF(OR(B63&lt;&gt;"S",CÁLCULO.FrentesPreenchidas=0),"",IF(AND(ACOMPANHAMENTO="PLE",AUTOEVENTO="Manual",OR(H63&gt;0,ORÇAMENTO!AC63="QUANT."),OR(K63="",M63=0,N63="")),"►",IF(AND(ACOMPANHAMENTO="PLE",ORÇAMENTO!AC63="QUANT."),"►►",IF(AND(COUNTIF($P$11:$AQ$11,"▼")=0,H63&gt;0,I63=""),"◄",""))))</f>
        <v/>
      </c>
      <c r="K63" s="345"/>
      <c r="L63" s="346" t="s">
        <v>876</v>
      </c>
      <c r="M63" s="347" t="str">
        <f aca="true">IF($D63&lt;&gt;"Serviço","",
          IF(AUTOEVENTO="manual",$A63,
                IF(ISERROR(MATCH($A63,$A$15:OFFSET($A63,-1,0),0)),MAX($M$15:OFFSET(M63,-1,0))+1,
                      INDEX($M$15:OFFSET(M63,-1,0),MATCH($A63,$A$15:OFFSET($A63,-1,0),0)))))</f>
        <v/>
      </c>
      <c r="N63" s="348" t="str">
        <f aca="true">IF($D63&lt;&gt;"Serviço","",
         IF(AUTOEVENTO="Manual",
                IF($A63=0,"&lt;-- defina o número do agrupador",
                       OFFSET(EVENTOS!$D$15,$A63-$A$15,0)),
                OFFSET($F$15,$A63,0)))</f>
        <v/>
      </c>
      <c r="O63" s="349"/>
      <c r="Q63" s="349"/>
      <c r="R63" s="350"/>
      <c r="S63" s="350"/>
      <c r="T63" s="350"/>
      <c r="U63" s="350"/>
      <c r="V63" s="350"/>
      <c r="W63" s="350"/>
      <c r="X63" s="350"/>
      <c r="Y63" s="350"/>
      <c r="Z63" s="351"/>
      <c r="AA63" s="350"/>
      <c r="AB63" s="350"/>
      <c r="AC63" s="350"/>
      <c r="AD63" s="350"/>
      <c r="AE63" s="350"/>
      <c r="AF63" s="350"/>
      <c r="AG63" s="350"/>
      <c r="AH63" s="351"/>
      <c r="AI63" s="350"/>
      <c r="AJ63" s="350"/>
      <c r="AK63" s="350"/>
      <c r="AL63" s="350"/>
      <c r="AM63" s="350"/>
      <c r="AN63" s="350"/>
      <c r="AO63" s="350"/>
      <c r="AP63" s="351"/>
      <c r="AR63" s="352" t="n">
        <f aca="true">IF(AND($D63="Serviço",AR$12&lt;&gt;0,$H63&gt;0,OR(AUTOEVENTO&lt;&gt;"manual",$M63&lt;&gt;$A$15)),
        IF(Import.TipoArredondamento&lt;&gt;"TransfereGOV",
              ROUND(OFFSET($P63,0,AR$13),15-13*ORÇAMENTO!$AF$7)/$H63*OFFSET(ORÇAMENTO!$X$15,ROW(AR63)-ROW(AR$15),0),
              ROUND(ROUND(OFFSET($P63,0,AR$13),15-13*ORÇAMENTO!$AF$7)*OFFSET(ORÇAMENTO!$W$15,ROW(AR63)-ROW(AR$15),0),15-13*ORÇAMENTO!$AF$11)),
         0)</f>
        <v>0</v>
      </c>
      <c r="AS63" s="352" t="n">
        <f aca="true">IF(AND($D63="Serviço",AS$12&lt;&gt;0,$H63&gt;0,OR(AUTOEVENTO&lt;&gt;"manual",$M63&lt;&gt;$A$15)),
        IF(Import.TipoArredondamento&lt;&gt;"TransfereGOV",
              ROUND(OFFSET($P63,0,AS$13),15-13*ORÇAMENTO!$AF$7)/$H63*OFFSET(ORÇAMENTO!$X$15,ROW(AS63)-ROW(AS$15),0),
              ROUND(ROUND(OFFSET($P63,0,AS$13),15-13*ORÇAMENTO!$AF$7)*OFFSET(ORÇAMENTO!$W$15,ROW(AS63)-ROW(AS$15),0),15-13*ORÇAMENTO!$AF$11)),
         0)</f>
        <v>0</v>
      </c>
      <c r="AT63" s="352" t="n">
        <f aca="true">IF(AND($D63="Serviço",AT$12&lt;&gt;0,$H63&gt;0,OR(AUTOEVENTO&lt;&gt;"manual",$M63&lt;&gt;$A$15)),
        IF(Import.TipoArredondamento&lt;&gt;"TransfereGOV",
              ROUND(OFFSET($P63,0,AT$13),15-13*ORÇAMENTO!$AF$7)/$H63*OFFSET(ORÇAMENTO!$X$15,ROW(AT63)-ROW(AT$15),0),
              ROUND(ROUND(OFFSET($P63,0,AT$13),15-13*ORÇAMENTO!$AF$7)*OFFSET(ORÇAMENTO!$W$15,ROW(AT63)-ROW(AT$15),0),15-13*ORÇAMENTO!$AF$11)),
         0)</f>
        <v>0</v>
      </c>
      <c r="AU63" s="352" t="n">
        <f aca="true">IF(AND($D63="Serviço",AU$12&lt;&gt;0,$H63&gt;0,OR(AUTOEVENTO&lt;&gt;"manual",$M63&lt;&gt;$A$15)),
        IF(Import.TipoArredondamento&lt;&gt;"TransfereGOV",
              ROUND(OFFSET($P63,0,AU$13),15-13*ORÇAMENTO!$AF$7)/$H63*OFFSET(ORÇAMENTO!$X$15,ROW(AU63)-ROW(AU$15),0),
              ROUND(ROUND(OFFSET($P63,0,AU$13),15-13*ORÇAMENTO!$AF$7)*OFFSET(ORÇAMENTO!$W$15,ROW(AU63)-ROW(AU$15),0),15-13*ORÇAMENTO!$AF$11)),
         0)</f>
        <v>0</v>
      </c>
      <c r="AV63" s="352" t="n">
        <f aca="true">IF(AND($D63="Serviço",AV$12&lt;&gt;0,$H63&gt;0,OR(AUTOEVENTO&lt;&gt;"manual",$M63&lt;&gt;$A$15)),
        IF(Import.TipoArredondamento&lt;&gt;"TransfereGOV",
              ROUND(OFFSET($P63,0,AV$13),15-13*ORÇAMENTO!$AF$7)/$H63*OFFSET(ORÇAMENTO!$X$15,ROW(AV63)-ROW(AV$15),0),
              ROUND(ROUND(OFFSET($P63,0,AV$13),15-13*ORÇAMENTO!$AF$7)*OFFSET(ORÇAMENTO!$W$15,ROW(AV63)-ROW(AV$15),0),15-13*ORÇAMENTO!$AF$11)),
         0)</f>
        <v>0</v>
      </c>
      <c r="AW63" s="352" t="n">
        <f aca="true">IF(AND($D63="Serviço",AW$12&lt;&gt;0,$H63&gt;0,OR(AUTOEVENTO&lt;&gt;"manual",$M63&lt;&gt;$A$15)),
        IF(Import.TipoArredondamento&lt;&gt;"TransfereGOV",
              ROUND(OFFSET($P63,0,AW$13),15-13*ORÇAMENTO!$AF$7)/$H63*OFFSET(ORÇAMENTO!$X$15,ROW(AW63)-ROW(AW$15),0),
              ROUND(ROUND(OFFSET($P63,0,AW$13),15-13*ORÇAMENTO!$AF$7)*OFFSET(ORÇAMENTO!$W$15,ROW(AW63)-ROW(AW$15),0),15-13*ORÇAMENTO!$AF$11)),
         0)</f>
        <v>0</v>
      </c>
      <c r="AX63" s="352" t="n">
        <f aca="true">IF(AND($D63="Serviço",AX$12&lt;&gt;0,$H63&gt;0,OR(AUTOEVENTO&lt;&gt;"manual",$M63&lt;&gt;$A$15)),
        IF(Import.TipoArredondamento&lt;&gt;"TransfereGOV",
              ROUND(OFFSET($P63,0,AX$13),15-13*ORÇAMENTO!$AF$7)/$H63*OFFSET(ORÇAMENTO!$X$15,ROW(AX63)-ROW(AX$15),0),
              ROUND(ROUND(OFFSET($P63,0,AX$13),15-13*ORÇAMENTO!$AF$7)*OFFSET(ORÇAMENTO!$W$15,ROW(AX63)-ROW(AX$15),0),15-13*ORÇAMENTO!$AF$11)),
         0)</f>
        <v>0</v>
      </c>
      <c r="AY63" s="352" t="n">
        <f aca="true">IF(AND($D63="Serviço",AY$12&lt;&gt;0,$H63&gt;0,OR(AUTOEVENTO&lt;&gt;"manual",$M63&lt;&gt;$A$15)),
        IF(Import.TipoArredondamento&lt;&gt;"TransfereGOV",
              ROUND(OFFSET($P63,0,AY$13),15-13*ORÇAMENTO!$AF$7)/$H63*OFFSET(ORÇAMENTO!$X$15,ROW(AY63)-ROW(AY$15),0),
              ROUND(ROUND(OFFSET($P63,0,AY$13),15-13*ORÇAMENTO!$AF$7)*OFFSET(ORÇAMENTO!$W$15,ROW(AY63)-ROW(AY$15),0),15-13*ORÇAMENTO!$AF$11)),
         0)</f>
        <v>0</v>
      </c>
      <c r="AZ63" s="352" t="n">
        <f aca="true">IF(AND($D63="Serviço",AZ$12&lt;&gt;0,$H63&gt;0,OR(AUTOEVENTO&lt;&gt;"manual",$M63&lt;&gt;$A$15)),
        IF(Import.TipoArredondamento&lt;&gt;"TransfereGOV",
              ROUND(OFFSET($P63,0,AZ$13),15-13*ORÇAMENTO!$AF$7)/$H63*OFFSET(ORÇAMENTO!$X$15,ROW(AZ63)-ROW(AZ$15),0),
              ROUND(ROUND(OFFSET($P63,0,AZ$13),15-13*ORÇAMENTO!$AF$7)*OFFSET(ORÇAMENTO!$W$15,ROW(AZ63)-ROW(AZ$15),0),15-13*ORÇAMENTO!$AF$11)),
         0)</f>
        <v>0</v>
      </c>
      <c r="BA63" s="352" t="n">
        <f aca="true">IF(AND($D63="Serviço",BA$12&lt;&gt;0,$H63&gt;0,OR(AUTOEVENTO&lt;&gt;"manual",$M63&lt;&gt;$A$15)),
        IF(Import.TipoArredondamento&lt;&gt;"TransfereGOV",
              ROUND(OFFSET($P63,0,BA$13),15-13*ORÇAMENTO!$AF$7)/$H63*OFFSET(ORÇAMENTO!$X$15,ROW(BA63)-ROW(BA$15),0),
              ROUND(ROUND(OFFSET($P63,0,BA$13),15-13*ORÇAMENTO!$AF$7)*OFFSET(ORÇAMENTO!$W$15,ROW(BA63)-ROW(BA$15),0),15-13*ORÇAMENTO!$AF$11)),
         0)</f>
        <v>0</v>
      </c>
      <c r="BB63" s="352" t="n">
        <f aca="true">IF(AND($D63="Serviço",BB$12&lt;&gt;0,$H63&gt;0,OR(AUTOEVENTO&lt;&gt;"manual",$M63&lt;&gt;$A$15)),
        IF(Import.TipoArredondamento&lt;&gt;"TransfereGOV",
              ROUND(OFFSET($P63,0,BB$13),15-13*ORÇAMENTO!$AF$7)/$H63*OFFSET(ORÇAMENTO!$X$15,ROW(BB63)-ROW(BB$15),0),
              ROUND(ROUND(OFFSET($P63,0,BB$13),15-13*ORÇAMENTO!$AF$7)*OFFSET(ORÇAMENTO!$W$15,ROW(BB63)-ROW(BB$15),0),15-13*ORÇAMENTO!$AF$11)),
         0)</f>
        <v>0</v>
      </c>
      <c r="BC63" s="352" t="n">
        <f aca="true">IF(AND($D63="Serviço",BC$12&lt;&gt;0,$H63&gt;0,OR(AUTOEVENTO&lt;&gt;"manual",$M63&lt;&gt;$A$15)),
        IF(Import.TipoArredondamento&lt;&gt;"TransfereGOV",
              ROUND(OFFSET($P63,0,BC$13),15-13*ORÇAMENTO!$AF$7)/$H63*OFFSET(ORÇAMENTO!$X$15,ROW(BC63)-ROW(BC$15),0),
              ROUND(ROUND(OFFSET($P63,0,BC$13),15-13*ORÇAMENTO!$AF$7)*OFFSET(ORÇAMENTO!$W$15,ROW(BC63)-ROW(BC$15),0),15-13*ORÇAMENTO!$AF$11)),
         0)</f>
        <v>0</v>
      </c>
      <c r="BD63" s="352" t="n">
        <f aca="true">IF(AND($D63="Serviço",BD$12&lt;&gt;0,$H63&gt;0,OR(AUTOEVENTO&lt;&gt;"manual",$M63&lt;&gt;$A$15)),
        IF(Import.TipoArredondamento&lt;&gt;"TransfereGOV",
              ROUND(OFFSET($P63,0,BD$13),15-13*ORÇAMENTO!$AF$7)/$H63*OFFSET(ORÇAMENTO!$X$15,ROW(BD63)-ROW(BD$15),0),
              ROUND(ROUND(OFFSET($P63,0,BD$13),15-13*ORÇAMENTO!$AF$7)*OFFSET(ORÇAMENTO!$W$15,ROW(BD63)-ROW(BD$15),0),15-13*ORÇAMENTO!$AF$11)),
         0)</f>
        <v>0</v>
      </c>
      <c r="BE63" s="352" t="n">
        <f aca="true">IF(AND($D63="Serviço",BE$12&lt;&gt;0,$H63&gt;0,OR(AUTOEVENTO&lt;&gt;"manual",$M63&lt;&gt;$A$15)),
        IF(Import.TipoArredondamento&lt;&gt;"TransfereGOV",
              ROUND(OFFSET($P63,0,BE$13),15-13*ORÇAMENTO!$AF$7)/$H63*OFFSET(ORÇAMENTO!$X$15,ROW(BE63)-ROW(BE$15),0),
              ROUND(ROUND(OFFSET($P63,0,BE$13),15-13*ORÇAMENTO!$AF$7)*OFFSET(ORÇAMENTO!$W$15,ROW(BE63)-ROW(BE$15),0),15-13*ORÇAMENTO!$AF$11)),
         0)</f>
        <v>0</v>
      </c>
      <c r="BF63" s="352" t="n">
        <f aca="true">IF(AND($D63="Serviço",BF$12&lt;&gt;0,$H63&gt;0,OR(AUTOEVENTO&lt;&gt;"manual",$M63&lt;&gt;$A$15)),
        IF(Import.TipoArredondamento&lt;&gt;"TransfereGOV",
              ROUND(OFFSET($P63,0,BF$13),15-13*ORÇAMENTO!$AF$7)/$H63*OFFSET(ORÇAMENTO!$X$15,ROW(BF63)-ROW(BF$15),0),
              ROUND(ROUND(OFFSET($P63,0,BF$13),15-13*ORÇAMENTO!$AF$7)*OFFSET(ORÇAMENTO!$W$15,ROW(BF63)-ROW(BF$15),0),15-13*ORÇAMENTO!$AF$11)),
         0)</f>
        <v>0</v>
      </c>
      <c r="BG63" s="352" t="n">
        <f aca="true">IF(AND($D63="Serviço",BG$12&lt;&gt;0,$H63&gt;0,OR(AUTOEVENTO&lt;&gt;"manual",$M63&lt;&gt;$A$15)),
        IF(Import.TipoArredondamento&lt;&gt;"TransfereGOV",
              ROUND(OFFSET($P63,0,BG$13),15-13*ORÇAMENTO!$AF$7)/$H63*OFFSET(ORÇAMENTO!$X$15,ROW(BG63)-ROW(BG$15),0),
              ROUND(ROUND(OFFSET($P63,0,BG$13),15-13*ORÇAMENTO!$AF$7)*OFFSET(ORÇAMENTO!$W$15,ROW(BG63)-ROW(BG$15),0),15-13*ORÇAMENTO!$AF$11)),
         0)</f>
        <v>0</v>
      </c>
      <c r="BH63" s="352" t="n">
        <f aca="true">IF(AND($D63="Serviço",BH$12&lt;&gt;0,$H63&gt;0,OR(AUTOEVENTO&lt;&gt;"manual",$M63&lt;&gt;$A$15)),
        IF(Import.TipoArredondamento&lt;&gt;"TransfereGOV",
              ROUND(OFFSET($P63,0,BH$13),15-13*ORÇAMENTO!$AF$7)/$H63*OFFSET(ORÇAMENTO!$X$15,ROW(BH63)-ROW(BH$15),0),
              ROUND(ROUND(OFFSET($P63,0,BH$13),15-13*ORÇAMENTO!$AF$7)*OFFSET(ORÇAMENTO!$W$15,ROW(BH63)-ROW(BH$15),0),15-13*ORÇAMENTO!$AF$11)),
         0)</f>
        <v>0</v>
      </c>
      <c r="BI63" s="352" t="n">
        <f aca="true">IF(AND($D63="Serviço",BI$12&lt;&gt;0,$H63&gt;0,OR(AUTOEVENTO&lt;&gt;"manual",$M63&lt;&gt;$A$15)),
        IF(Import.TipoArredondamento&lt;&gt;"TransfereGOV",
              ROUND(OFFSET($P63,0,BI$13),15-13*ORÇAMENTO!$AF$7)/$H63*OFFSET(ORÇAMENTO!$X$15,ROW(BI63)-ROW(BI$15),0),
              ROUND(ROUND(OFFSET($P63,0,BI$13),15-13*ORÇAMENTO!$AF$7)*OFFSET(ORÇAMENTO!$W$15,ROW(BI63)-ROW(BI$15),0),15-13*ORÇAMENTO!$AF$11)),
         0)</f>
        <v>0</v>
      </c>
      <c r="BJ63" s="352" t="n">
        <f aca="true">IF(AND($D63="Serviço",BJ$12&lt;&gt;0,$H63&gt;0,OR(AUTOEVENTO&lt;&gt;"manual",$M63&lt;&gt;$A$15)),
        IF(Import.TipoArredondamento&lt;&gt;"TransfereGOV",
              ROUND(OFFSET($P63,0,BJ$13),15-13*ORÇAMENTO!$AF$7)/$H63*OFFSET(ORÇAMENTO!$X$15,ROW(BJ63)-ROW(BJ$15),0),
              ROUND(ROUND(OFFSET($P63,0,BJ$13),15-13*ORÇAMENTO!$AF$7)*OFFSET(ORÇAMENTO!$W$15,ROW(BJ63)-ROW(BJ$15),0),15-13*ORÇAMENTO!$AF$11)),
         0)</f>
        <v>0</v>
      </c>
      <c r="BK63" s="352" t="n">
        <f aca="true">IF(AND($D63="Serviço",BK$12&lt;&gt;0,$H63&gt;0,OR(AUTOEVENTO&lt;&gt;"manual",$M63&lt;&gt;$A$15)),
        IF(Import.TipoArredondamento&lt;&gt;"TransfereGOV",
              ROUND(OFFSET($P63,0,BK$13),15-13*ORÇAMENTO!$AF$7)/$H63*OFFSET(ORÇAMENTO!$X$15,ROW(BK63)-ROW(BK$15),0),
              ROUND(ROUND(OFFSET($P63,0,BK$13),15-13*ORÇAMENTO!$AF$7)*OFFSET(ORÇAMENTO!$W$15,ROW(BK63)-ROW(BK$15),0),15-13*ORÇAMENTO!$AF$11)),
         0)</f>
        <v>0</v>
      </c>
      <c r="BL63" s="352" t="n">
        <f aca="true">IF(AND($D63="Serviço",BL$12&lt;&gt;0,$H63&gt;0,OR(AUTOEVENTO&lt;&gt;"manual",$M63&lt;&gt;$A$15)),
        IF(Import.TipoArredondamento&lt;&gt;"TransfereGOV",
              ROUND(OFFSET($P63,0,BL$13),15-13*ORÇAMENTO!$AF$7)/$H63*OFFSET(ORÇAMENTO!$X$15,ROW(BL63)-ROW(BL$15),0),
              ROUND(ROUND(OFFSET($P63,0,BL$13),15-13*ORÇAMENTO!$AF$7)*OFFSET(ORÇAMENTO!$W$15,ROW(BL63)-ROW(BL$15),0),15-13*ORÇAMENTO!$AF$11)),
         0)</f>
        <v>0</v>
      </c>
      <c r="BM63" s="352" t="n">
        <f aca="true">IF(AND($D63="Serviço",BM$12&lt;&gt;0,$H63&gt;0,OR(AUTOEVENTO&lt;&gt;"manual",$M63&lt;&gt;$A$15)),
        IF(Import.TipoArredondamento&lt;&gt;"TransfereGOV",
              ROUND(OFFSET($P63,0,BM$13),15-13*ORÇAMENTO!$AF$7)/$H63*OFFSET(ORÇAMENTO!$X$15,ROW(BM63)-ROW(BM$15),0),
              ROUND(ROUND(OFFSET($P63,0,BM$13),15-13*ORÇAMENTO!$AF$7)*OFFSET(ORÇAMENTO!$W$15,ROW(BM63)-ROW(BM$15),0),15-13*ORÇAMENTO!$AF$11)),
         0)</f>
        <v>0</v>
      </c>
      <c r="BN63" s="352" t="n">
        <f aca="true">IF(AND($D63="Serviço",BN$12&lt;&gt;0,$H63&gt;0,OR(AUTOEVENTO&lt;&gt;"manual",$M63&lt;&gt;$A$15)),
        IF(Import.TipoArredondamento&lt;&gt;"TransfereGOV",
              ROUND(OFFSET($P63,0,BN$13),15-13*ORÇAMENTO!$AF$7)/$H63*OFFSET(ORÇAMENTO!$X$15,ROW(BN63)-ROW(BN$15),0),
              ROUND(ROUND(OFFSET($P63,0,BN$13),15-13*ORÇAMENTO!$AF$7)*OFFSET(ORÇAMENTO!$W$15,ROW(BN63)-ROW(BN$15),0),15-13*ORÇAMENTO!$AF$11)),
         0)</f>
        <v>0</v>
      </c>
      <c r="BO63" s="352" t="n">
        <f aca="true">IF(AND($D63="Serviço",BO$12&lt;&gt;0,$H63&gt;0,OR(AUTOEVENTO&lt;&gt;"manual",$M63&lt;&gt;$A$15)),
        IF(Import.TipoArredondamento&lt;&gt;"TransfereGOV",
              ROUND(OFFSET($P63,0,BO$13),15-13*ORÇAMENTO!$AF$7)/$H63*OFFSET(ORÇAMENTO!$X$15,ROW(BO63)-ROW(BO$15),0),
              ROUND(ROUND(OFFSET($P63,0,BO$13),15-13*ORÇAMENTO!$AF$7)*OFFSET(ORÇAMENTO!$W$15,ROW(BO63)-ROW(BO$15),0),15-13*ORÇAMENTO!$AF$11)),
         0)</f>
        <v>0</v>
      </c>
      <c r="BP63" s="352" t="n">
        <f aca="true">IF(AND($D63="Serviço",BP$12&lt;&gt;0,$H63&gt;0,OR(AUTOEVENTO&lt;&gt;"manual",$M63&lt;&gt;$A$15)),
        IF(Import.TipoArredondamento&lt;&gt;"TransfereGOV",
              ROUND(OFFSET($P63,0,BP$13),15-13*ORÇAMENTO!$AF$7)/$H63*OFFSET(ORÇAMENTO!$X$15,ROW(BP63)-ROW(BP$15),0),
              ROUND(ROUND(OFFSET($P63,0,BP$13),15-13*ORÇAMENTO!$AF$7)*OFFSET(ORÇAMENTO!$W$15,ROW(BP63)-ROW(BP$15),0),15-13*ORÇAMENTO!$AF$11)),
         0)</f>
        <v>0</v>
      </c>
      <c r="BQ63" s="352" t="n">
        <f aca="true">IF(AND($D63="Serviço",BQ$12&lt;&gt;0,$H63&gt;0,OR(AUTOEVENTO&lt;&gt;"manual",$M63&lt;&gt;$A$15)),
        IF(Import.TipoArredondamento&lt;&gt;"TransfereGOV",
              ROUND(OFFSET($P63,0,BQ$13),15-13*ORÇAMENTO!$AF$7)/$H63*OFFSET(ORÇAMENTO!$X$15,ROW(BQ63)-ROW(BQ$15),0),
              ROUND(ROUND(OFFSET($P63,0,BQ$13),15-13*ORÇAMENTO!$AF$7)*OFFSET(ORÇAMENTO!$W$15,ROW(BQ63)-ROW(BQ$15),0),15-13*ORÇAMENTO!$AF$11)),
         0)</f>
        <v>0</v>
      </c>
      <c r="BS63" s="353" t="n">
        <f aca="true">IF(OR($D63&lt;&gt;"Serviço",AND(AUTOEVENTO="Manual",$M63=$A$15)),0,
         IF(OFFSET(CRONOPLE!$F$15,$M63-$A$15,BS$13)=0,10^12,OFFSET(CRONOPLE!$F$15,$M63-$A$15,BS$13)))</f>
        <v>0</v>
      </c>
      <c r="BT63" s="353" t="n">
        <f aca="true">IF(OR($D63&lt;&gt;"Serviço",AND(AUTOEVENTO="Manual",$M63=$A$15)),0,
         IF(OFFSET(CRONOPLE!$F$15,$M63-$A$15,BT$13)=0,10^12,OFFSET(CRONOPLE!$F$15,$M63-$A$15,BT$13)))</f>
        <v>0</v>
      </c>
      <c r="BU63" s="353" t="n">
        <f aca="true">IF(OR($D63&lt;&gt;"Serviço",AND(AUTOEVENTO="Manual",$M63=$A$15)),0,
         IF(OFFSET(CRONOPLE!$F$15,$M63-$A$15,BU$13)=0,10^12,OFFSET(CRONOPLE!$F$15,$M63-$A$15,BU$13)))</f>
        <v>0</v>
      </c>
      <c r="BV63" s="353" t="n">
        <f aca="true">IF(OR($D63&lt;&gt;"Serviço",AND(AUTOEVENTO="Manual",$M63=$A$15)),0,
         IF(OFFSET(CRONOPLE!$F$15,$M63-$A$15,BV$13)=0,10^12,OFFSET(CRONOPLE!$F$15,$M63-$A$15,BV$13)))</f>
        <v>0</v>
      </c>
      <c r="BW63" s="353" t="n">
        <f aca="true">IF(OR($D63&lt;&gt;"Serviço",AND(AUTOEVENTO="Manual",$M63=$A$15)),0,
         IF(OFFSET(CRONOPLE!$F$15,$M63-$A$15,BW$13)=0,10^12,OFFSET(CRONOPLE!$F$15,$M63-$A$15,BW$13)))</f>
        <v>0</v>
      </c>
      <c r="BX63" s="353" t="n">
        <f aca="true">IF(OR($D63&lt;&gt;"Serviço",AND(AUTOEVENTO="Manual",$M63=$A$15)),0,
         IF(OFFSET(CRONOPLE!$F$15,$M63-$A$15,BX$13)=0,10^12,OFFSET(CRONOPLE!$F$15,$M63-$A$15,BX$13)))</f>
        <v>0</v>
      </c>
      <c r="BY63" s="353" t="n">
        <f aca="true">IF(OR($D63&lt;&gt;"Serviço",AND(AUTOEVENTO="Manual",$M63=$A$15)),0,
         IF(OFFSET(CRONOPLE!$F$15,$M63-$A$15,BY$13)=0,10^12,OFFSET(CRONOPLE!$F$15,$M63-$A$15,BY$13)))</f>
        <v>0</v>
      </c>
      <c r="BZ63" s="353" t="n">
        <f aca="true">IF(OR($D63&lt;&gt;"Serviço",AND(AUTOEVENTO="Manual",$M63=$A$15)),0,
         IF(OFFSET(CRONOPLE!$F$15,$M63-$A$15,BZ$13)=0,10^12,OFFSET(CRONOPLE!$F$15,$M63-$A$15,BZ$13)))</f>
        <v>0</v>
      </c>
      <c r="CA63" s="353" t="n">
        <f aca="true">IF(OR($D63&lt;&gt;"Serviço",AND(AUTOEVENTO="Manual",$M63=$A$15)),0,
         IF(OFFSET(CRONOPLE!$F$15,$M63-$A$15,CA$13)=0,10^12,OFFSET(CRONOPLE!$F$15,$M63-$A$15,CA$13)))</f>
        <v>0</v>
      </c>
      <c r="CB63" s="353" t="n">
        <f aca="true">IF(OR($D63&lt;&gt;"Serviço",AND(AUTOEVENTO="Manual",$M63=$A$15)),0,
         IF(OFFSET(CRONOPLE!$F$15,$M63-$A$15,CB$13)=0,10^12,OFFSET(CRONOPLE!$F$15,$M63-$A$15,CB$13)))</f>
        <v>0</v>
      </c>
      <c r="CC63" s="353" t="n">
        <f aca="true">IF(OR($D63&lt;&gt;"Serviço",AND(AUTOEVENTO="Manual",$M63=$A$15)),0,
         IF(OFFSET(CRONOPLE!$F$15,$M63-$A$15,CC$13)=0,10^12,OFFSET(CRONOPLE!$F$15,$M63-$A$15,CC$13)))</f>
        <v>0</v>
      </c>
      <c r="CD63" s="353" t="n">
        <f aca="true">IF(OR($D63&lt;&gt;"Serviço",AND(AUTOEVENTO="Manual",$M63=$A$15)),0,
         IF(OFFSET(CRONOPLE!$F$15,$M63-$A$15,CD$13)=0,10^12,OFFSET(CRONOPLE!$F$15,$M63-$A$15,CD$13)))</f>
        <v>0</v>
      </c>
      <c r="CE63" s="353" t="n">
        <f aca="true">IF(OR($D63&lt;&gt;"Serviço",AND(AUTOEVENTO="Manual",$M63=$A$15)),0,
         IF(OFFSET(CRONOPLE!$F$15,$M63-$A$15,CE$13)=0,10^12,OFFSET(CRONOPLE!$F$15,$M63-$A$15,CE$13)))</f>
        <v>0</v>
      </c>
      <c r="CF63" s="353" t="n">
        <f aca="true">IF(OR($D63&lt;&gt;"Serviço",AND(AUTOEVENTO="Manual",$M63=$A$15)),0,
         IF(OFFSET(CRONOPLE!$F$15,$M63-$A$15,CF$13)=0,10^12,OFFSET(CRONOPLE!$F$15,$M63-$A$15,CF$13)))</f>
        <v>0</v>
      </c>
      <c r="CG63" s="353" t="n">
        <f aca="true">IF(OR($D63&lt;&gt;"Serviço",AND(AUTOEVENTO="Manual",$M63=$A$15)),0,
         IF(OFFSET(CRONOPLE!$F$15,$M63-$A$15,CG$13)=0,10^12,OFFSET(CRONOPLE!$F$15,$M63-$A$15,CG$13)))</f>
        <v>0</v>
      </c>
      <c r="CH63" s="353" t="n">
        <f aca="true">IF(OR($D63&lt;&gt;"Serviço",AND(AUTOEVENTO="Manual",$M63=$A$15)),0,
         IF(OFFSET(CRONOPLE!$F$15,$M63-$A$15,CH$13)=0,10^12,OFFSET(CRONOPLE!$F$15,$M63-$A$15,CH$13)))</f>
        <v>0</v>
      </c>
      <c r="CI63" s="353" t="n">
        <f aca="true">IF(OR($D63&lt;&gt;"Serviço",AND(AUTOEVENTO="Manual",$M63=$A$15)),0,
         IF(OFFSET(CRONOPLE!$F$15,$M63-$A$15,CI$13)=0,10^12,OFFSET(CRONOPLE!$F$15,$M63-$A$15,CI$13)))</f>
        <v>0</v>
      </c>
      <c r="CJ63" s="353" t="n">
        <f aca="true">IF(OR($D63&lt;&gt;"Serviço",AND(AUTOEVENTO="Manual",$M63=$A$15)),0,
         IF(OFFSET(CRONOPLE!$F$15,$M63-$A$15,CJ$13)=0,10^12,OFFSET(CRONOPLE!$F$15,$M63-$A$15,CJ$13)))</f>
        <v>0</v>
      </c>
      <c r="CK63" s="353" t="n">
        <f aca="true">IF(OR($D63&lt;&gt;"Serviço",AND(AUTOEVENTO="Manual",$M63=$A$15)),0,
         IF(OFFSET(CRONOPLE!$F$15,$M63-$A$15,CK$13)=0,10^12,OFFSET(CRONOPLE!$F$15,$M63-$A$15,CK$13)))</f>
        <v>0</v>
      </c>
      <c r="CL63" s="353" t="n">
        <f aca="true">IF(OR($D63&lt;&gt;"Serviço",AND(AUTOEVENTO="Manual",$M63=$A$15)),0,
         IF(OFFSET(CRONOPLE!$F$15,$M63-$A$15,CL$13)=0,10^12,OFFSET(CRONOPLE!$F$15,$M63-$A$15,CL$13)))</f>
        <v>0</v>
      </c>
      <c r="CM63" s="353" t="n">
        <f aca="true">IF(OR($D63&lt;&gt;"Serviço",AND(AUTOEVENTO="Manual",$M63=$A$15)),0,
         IF(OFFSET(CRONOPLE!$F$15,$M63-$A$15,CM$13)=0,10^12,OFFSET(CRONOPLE!$F$15,$M63-$A$15,CM$13)))</f>
        <v>0</v>
      </c>
      <c r="CN63" s="353" t="n">
        <f aca="true">IF(OR($D63&lt;&gt;"Serviço",AND(AUTOEVENTO="Manual",$M63=$A$15)),0,
         IF(OFFSET(CRONOPLE!$F$15,$M63-$A$15,CN$13)=0,10^12,OFFSET(CRONOPLE!$F$15,$M63-$A$15,CN$13)))</f>
        <v>0</v>
      </c>
      <c r="CO63" s="353" t="n">
        <f aca="true">IF(OR($D63&lt;&gt;"Serviço",AND(AUTOEVENTO="Manual",$M63=$A$15)),0,
         IF(OFFSET(CRONOPLE!$F$15,$M63-$A$15,CO$13)=0,10^12,OFFSET(CRONOPLE!$F$15,$M63-$A$15,CO$13)))</f>
        <v>0</v>
      </c>
      <c r="CP63" s="353" t="n">
        <f aca="true">IF(OR($D63&lt;&gt;"Serviço",AND(AUTOEVENTO="Manual",$M63=$A$15)),0,
         IF(OFFSET(CRONOPLE!$F$15,$M63-$A$15,CP$13)=0,10^12,OFFSET(CRONOPLE!$F$15,$M63-$A$15,CP$13)))</f>
        <v>0</v>
      </c>
      <c r="CQ63" s="353" t="n">
        <f aca="true">IF(OR($D63&lt;&gt;"Serviço",AND(AUTOEVENTO="Manual",$M63=$A$15)),0,
         IF(OFFSET(CRONOPLE!$F$15,$M63-$A$15,CQ$13)=0,10^12,OFFSET(CRONOPLE!$F$15,$M63-$A$15,CQ$13)))</f>
        <v>0</v>
      </c>
      <c r="CR63" s="353" t="n">
        <f aca="true">IF(OR($D63&lt;&gt;"Serviço",AND(AUTOEVENTO="Manual",$M63=$A$15)),0,
         IF(OFFSET(CRONOPLE!$F$15,$M63-$A$15,CR$13)=0,10^12,OFFSET(CRONOPLE!$F$15,$M63-$A$15,CR$13)))</f>
        <v>0</v>
      </c>
      <c r="CT63" s="354" t="n">
        <f aca="true">IF(OR($D63&lt;&gt;"Serviço",AND(AUTOEVENTO="Manual",$M63=$A$15),$M63&gt;(ROW(PLE.lastrow)-ROW(PLE.firstrow))),0,
           IF(OFFSET(PLE!$G$15,$M63-$A$15,CT$13)="",10^12,OFFSET(PLE!$G$15,$M63-$A$15,CT$13)))</f>
        <v>0</v>
      </c>
      <c r="CU63" s="354" t="n">
        <f aca="true">IF(OR($D63&lt;&gt;"Serviço",AND(AUTOEVENTO="Manual",$M63=$A$15),$M63&gt;(ROW(PLE.lastrow)-ROW(PLE.firstrow))),0,
           IF(OFFSET(PLE!$G$15,$M63-$A$15,CU$13)="",10^12,OFFSET(PLE!$G$15,$M63-$A$15,CU$13)))</f>
        <v>0</v>
      </c>
      <c r="CV63" s="354" t="n">
        <f aca="true">IF(OR($D63&lt;&gt;"Serviço",AND(AUTOEVENTO="Manual",$M63=$A$15),$M63&gt;(ROW(PLE.lastrow)-ROW(PLE.firstrow))),0,
           IF(OFFSET(PLE!$G$15,$M63-$A$15,CV$13)="",10^12,OFFSET(PLE!$G$15,$M63-$A$15,CV$13)))</f>
        <v>0</v>
      </c>
      <c r="CW63" s="354" t="n">
        <f aca="true">IF(OR($D63&lt;&gt;"Serviço",AND(AUTOEVENTO="Manual",$M63=$A$15),$M63&gt;(ROW(PLE.lastrow)-ROW(PLE.firstrow))),0,
           IF(OFFSET(PLE!$G$15,$M63-$A$15,CW$13)="",10^12,OFFSET(PLE!$G$15,$M63-$A$15,CW$13)))</f>
        <v>0</v>
      </c>
      <c r="CX63" s="354" t="n">
        <f aca="true">IF(OR($D63&lt;&gt;"Serviço",AND(AUTOEVENTO="Manual",$M63=$A$15),$M63&gt;(ROW(PLE.lastrow)-ROW(PLE.firstrow))),0,
           IF(OFFSET(PLE!$G$15,$M63-$A$15,CX$13)="",10^12,OFFSET(PLE!$G$15,$M63-$A$15,CX$13)))</f>
        <v>0</v>
      </c>
      <c r="CY63" s="354" t="n">
        <f aca="true">IF(OR($D63&lt;&gt;"Serviço",AND(AUTOEVENTO="Manual",$M63=$A$15),$M63&gt;(ROW(PLE.lastrow)-ROW(PLE.firstrow))),0,
           IF(OFFSET(PLE!$G$15,$M63-$A$15,CY$13)="",10^12,OFFSET(PLE!$G$15,$M63-$A$15,CY$13)))</f>
        <v>0</v>
      </c>
      <c r="CZ63" s="354" t="n">
        <f aca="true">IF(OR($D63&lt;&gt;"Serviço",AND(AUTOEVENTO="Manual",$M63=$A$15),$M63&gt;(ROW(PLE.lastrow)-ROW(PLE.firstrow))),0,
           IF(OFFSET(PLE!$G$15,$M63-$A$15,CZ$13)="",10^12,OFFSET(PLE!$G$15,$M63-$A$15,CZ$13)))</f>
        <v>0</v>
      </c>
      <c r="DA63" s="354" t="n">
        <f aca="true">IF(OR($D63&lt;&gt;"Serviço",AND(AUTOEVENTO="Manual",$M63=$A$15),$M63&gt;(ROW(PLE.lastrow)-ROW(PLE.firstrow))),0,
           IF(OFFSET(PLE!$G$15,$M63-$A$15,DA$13)="",10^12,OFFSET(PLE!$G$15,$M63-$A$15,DA$13)))</f>
        <v>0</v>
      </c>
      <c r="DB63" s="354" t="n">
        <f aca="true">IF(OR($D63&lt;&gt;"Serviço",AND(AUTOEVENTO="Manual",$M63=$A$15),$M63&gt;(ROW(PLE.lastrow)-ROW(PLE.firstrow))),0,
           IF(OFFSET(PLE!$G$15,$M63-$A$15,DB$13)="",10^12,OFFSET(PLE!$G$15,$M63-$A$15,DB$13)))</f>
        <v>0</v>
      </c>
      <c r="DC63" s="354" t="n">
        <f aca="true">IF(OR($D63&lt;&gt;"Serviço",AND(AUTOEVENTO="Manual",$M63=$A$15),$M63&gt;(ROW(PLE.lastrow)-ROW(PLE.firstrow))),0,
           IF(OFFSET(PLE!$G$15,$M63-$A$15,DC$13)="",10^12,OFFSET(PLE!$G$15,$M63-$A$15,DC$13)))</f>
        <v>0</v>
      </c>
      <c r="DD63" s="354" t="n">
        <f aca="true">IF(OR($D63&lt;&gt;"Serviço",AND(AUTOEVENTO="Manual",$M63=$A$15),$M63&gt;(ROW(PLE.lastrow)-ROW(PLE.firstrow))),0,
           IF(OFFSET(PLE!$G$15,$M63-$A$15,DD$13)="",10^12,OFFSET(PLE!$G$15,$M63-$A$15,DD$13)))</f>
        <v>0</v>
      </c>
      <c r="DE63" s="354" t="n">
        <f aca="true">IF(OR($D63&lt;&gt;"Serviço",AND(AUTOEVENTO="Manual",$M63=$A$15),$M63&gt;(ROW(PLE.lastrow)-ROW(PLE.firstrow))),0,
           IF(OFFSET(PLE!$G$15,$M63-$A$15,DE$13)="",10^12,OFFSET(PLE!$G$15,$M63-$A$15,DE$13)))</f>
        <v>0</v>
      </c>
      <c r="DF63" s="354" t="n">
        <f aca="true">IF(OR($D63&lt;&gt;"Serviço",AND(AUTOEVENTO="Manual",$M63=$A$15),$M63&gt;(ROW(PLE.lastrow)-ROW(PLE.firstrow))),0,
           IF(OFFSET(PLE!$G$15,$M63-$A$15,DF$13)="",10^12,OFFSET(PLE!$G$15,$M63-$A$15,DF$13)))</f>
        <v>0</v>
      </c>
      <c r="DG63" s="354" t="n">
        <f aca="true">IF(OR($D63&lt;&gt;"Serviço",AND(AUTOEVENTO="Manual",$M63=$A$15),$M63&gt;(ROW(PLE.lastrow)-ROW(PLE.firstrow))),0,
           IF(OFFSET(PLE!$G$15,$M63-$A$15,DG$13)="",10^12,OFFSET(PLE!$G$15,$M63-$A$15,DG$13)))</f>
        <v>0</v>
      </c>
      <c r="DH63" s="354" t="n">
        <f aca="true">IF(OR($D63&lt;&gt;"Serviço",AND(AUTOEVENTO="Manual",$M63=$A$15),$M63&gt;(ROW(PLE.lastrow)-ROW(PLE.firstrow))),0,
           IF(OFFSET(PLE!$G$15,$M63-$A$15,DH$13)="",10^12,OFFSET(PLE!$G$15,$M63-$A$15,DH$13)))</f>
        <v>0</v>
      </c>
      <c r="DI63" s="354" t="n">
        <f aca="true">IF(OR($D63&lt;&gt;"Serviço",AND(AUTOEVENTO="Manual",$M63=$A$15),$M63&gt;(ROW(PLE.lastrow)-ROW(PLE.firstrow))),0,
           IF(OFFSET(PLE!$G$15,$M63-$A$15,DI$13)="",10^12,OFFSET(PLE!$G$15,$M63-$A$15,DI$13)))</f>
        <v>0</v>
      </c>
      <c r="DJ63" s="354" t="n">
        <f aca="true">IF(OR($D63&lt;&gt;"Serviço",AND(AUTOEVENTO="Manual",$M63=$A$15),$M63&gt;(ROW(PLE.lastrow)-ROW(PLE.firstrow))),0,
           IF(OFFSET(PLE!$G$15,$M63-$A$15,DJ$13)="",10^12,OFFSET(PLE!$G$15,$M63-$A$15,DJ$13)))</f>
        <v>0</v>
      </c>
      <c r="DK63" s="354" t="n">
        <f aca="true">IF(OR($D63&lt;&gt;"Serviço",AND(AUTOEVENTO="Manual",$M63=$A$15),$M63&gt;(ROW(PLE.lastrow)-ROW(PLE.firstrow))),0,
           IF(OFFSET(PLE!$G$15,$M63-$A$15,DK$13)="",10^12,OFFSET(PLE!$G$15,$M63-$A$15,DK$13)))</f>
        <v>0</v>
      </c>
      <c r="DL63" s="354" t="n">
        <f aca="true">IF(OR($D63&lt;&gt;"Serviço",AND(AUTOEVENTO="Manual",$M63=$A$15),$M63&gt;(ROW(PLE.lastrow)-ROW(PLE.firstrow))),0,
           IF(OFFSET(PLE!$G$15,$M63-$A$15,DL$13)="",10^12,OFFSET(PLE!$G$15,$M63-$A$15,DL$13)))</f>
        <v>0</v>
      </c>
      <c r="DM63" s="354" t="n">
        <f aca="true">IF(OR($D63&lt;&gt;"Serviço",AND(AUTOEVENTO="Manual",$M63=$A$15),$M63&gt;(ROW(PLE.lastrow)-ROW(PLE.firstrow))),0,
           IF(OFFSET(PLE!$G$15,$M63-$A$15,DM$13)="",10^12,OFFSET(PLE!$G$15,$M63-$A$15,DM$13)))</f>
        <v>0</v>
      </c>
      <c r="DN63" s="354" t="n">
        <f aca="true">IF(OR($D63&lt;&gt;"Serviço",AND(AUTOEVENTO="Manual",$M63=$A$15),$M63&gt;(ROW(PLE.lastrow)-ROW(PLE.firstrow))),0,
           IF(OFFSET(PLE!$G$15,$M63-$A$15,DN$13)="",10^12,OFFSET(PLE!$G$15,$M63-$A$15,DN$13)))</f>
        <v>0</v>
      </c>
      <c r="DO63" s="354" t="n">
        <f aca="true">IF(OR($D63&lt;&gt;"Serviço",AND(AUTOEVENTO="Manual",$M63=$A$15),$M63&gt;(ROW(PLE.lastrow)-ROW(PLE.firstrow))),0,
           IF(OFFSET(PLE!$G$15,$M63-$A$15,DO$13)="",10^12,OFFSET(PLE!$G$15,$M63-$A$15,DO$13)))</f>
        <v>0</v>
      </c>
      <c r="DP63" s="354" t="n">
        <f aca="true">IF(OR($D63&lt;&gt;"Serviço",AND(AUTOEVENTO="Manual",$M63=$A$15),$M63&gt;(ROW(PLE.lastrow)-ROW(PLE.firstrow))),0,
           IF(OFFSET(PLE!$G$15,$M63-$A$15,DP$13)="",10^12,OFFSET(PLE!$G$15,$M63-$A$15,DP$13)))</f>
        <v>0</v>
      </c>
      <c r="DQ63" s="354" t="n">
        <f aca="true">IF(OR($D63&lt;&gt;"Serviço",AND(AUTOEVENTO="Manual",$M63=$A$15),$M63&gt;(ROW(PLE.lastrow)-ROW(PLE.firstrow))),0,
           IF(OFFSET(PLE!$G$15,$M63-$A$15,DQ$13)="",10^12,OFFSET(PLE!$G$15,$M63-$A$15,DQ$13)))</f>
        <v>0</v>
      </c>
      <c r="DR63" s="354" t="n">
        <f aca="true">IF(OR($D63&lt;&gt;"Serviço",AND(AUTOEVENTO="Manual",$M63=$A$15),$M63&gt;(ROW(PLE.lastrow)-ROW(PLE.firstrow))),0,
           IF(OFFSET(PLE!$G$15,$M63-$A$15,DR$13)="",10^12,OFFSET(PLE!$G$15,$M63-$A$15,DR$13)))</f>
        <v>0</v>
      </c>
      <c r="DS63" s="354" t="n">
        <f aca="true">IF(OR($D63&lt;&gt;"Serviço",AND(AUTOEVENTO="Manual",$M63=$A$15),$M63&gt;(ROW(PLE.lastrow)-ROW(PLE.firstrow))),0,
           IF(OFFSET(PLE!$G$15,$M63-$A$15,DS$13)="",10^12,OFFSET(PLE!$G$15,$M63-$A$15,DS$13)))</f>
        <v>0</v>
      </c>
    </row>
    <row r="64" customFormat="false" ht="57.45" hidden="false" customHeight="false" outlineLevel="0" collapsed="false">
      <c r="A64" s="50" t="str">
        <f aca="true">IFERROR(IF(AUTOEVENTO="Manual",IF(K64&lt;&gt;"",MIN(VALUE(LEFT(K64,FIND(".",K64)-1)),COUNTA(EVENTOS.Lista)),0),IF(OR($B64&gt;AUTOEVENTO,$B64="S",$B64=0),SUBSTITUTE(OFFSET($A64,-1,0),IF($D64="Serviço",".",""),""),ROW(A64)-ROW($A$15)&amp;".")),0)</f>
        <v>48</v>
      </c>
      <c r="B64" s="50" t="str">
        <f aca="true">OFFSET(ORÇAMENTO!C$15,ROW(B64)-ROW(B$15),0)</f>
        <v>S</v>
      </c>
      <c r="C64" s="50" t="str">
        <f aca="true">OFFSET(ORÇAMENTO!L$15,ROW(C64)-ROW(C$15),0)</f>
        <v>F</v>
      </c>
      <c r="D64" s="201" t="str">
        <f aca="true">OFFSET(ORÇAMENTO!N$15,ROW(D64)-ROW(D$15),0)</f>
        <v>Serviço</v>
      </c>
      <c r="E64" s="202" t="str">
        <f aca="true">OFFSET(ORÇAMENTO!O$15,ROW(E64)-ROW(E$15),0)</f>
        <v>1.13.1.</v>
      </c>
      <c r="F64" s="341" t="str">
        <f aca="true">OFFSET(ORÇAMENTO!R$15,ROW(F64)-ROW(F$15),0)</f>
        <v>KIT DE PORTA DE MADEIRA PARA PINTURA, SEMI-OCA (LEVE OU MÉDIA), PADRÃO POPULAR, 80X210CM, ESPESSURA
DE 3,5CM, ITENS INCLUSOS: DOBRADIÇAS, MONTAGEM E INSTALAÇÃO DO BATENTE, FECHADURA COM EXECUÇÃO
DO FURO - FORNECIMENTO E INSTALAÇÃO. AF_12/2019</v>
      </c>
      <c r="G64" s="342" t="str">
        <f aca="true">IF($D64&lt;&gt;"Serviço","",OFFSET(ORÇAMENTO!S$15,ROW(G64)-ROW(G$15),0))</f>
        <v>UM</v>
      </c>
      <c r="H64" s="207" t="n">
        <f aca="true">IF($D64&lt;&gt;"Serviço",0,IF(ACOMPANHAMENTO="BM",ROUND(OFFSET(ORÇAMENTO!AJ$15,ROW(H64)-ROW(H$15),0),15-13*ORÇAMENTO!$AF$7),SUMPRODUCT(($Q$1:$AQ$1=1)*ROUND($Q64:$AQ64,15-13*ORÇAMENTO!$AF$7))))</f>
        <v>75</v>
      </c>
      <c r="I64" s="343" t="s">
        <v>944</v>
      </c>
      <c r="J64" s="344" t="e">
        <f aca="false">IF(OR(B64&lt;&gt;"S",CÁLCULO.FrentesPreenchidas=0),"",IF(AND(ACOMPANHAMENTO="PLE",AUTOEVENTO="Manual",OR(H64&gt;0,ORÇAMENTO!AC64="QUANT."),OR(K64="",M64=0,N64="")),"►",IF(AND(ACOMPANHAMENTO="PLE",ORÇAMENTO!AC64="QUANT."),"►►",IF(AND(COUNTIF($P$11:$AQ$11,"▼")=0,H64&gt;0,I64=""),"◄",""))))</f>
        <v>#NAME?</v>
      </c>
      <c r="K64" s="345"/>
      <c r="L64" s="346" t="s">
        <v>876</v>
      </c>
      <c r="M64" s="347" t="n">
        <f aca="true">IF($D64&lt;&gt;"Serviço","",
          IF(AUTOEVENTO="manual",$A64,
                IF(ISERROR(MATCH($A64,$A$15:OFFSET($A64,-1,0),0)),MAX($M$15:OFFSET(M64,-1,0))+1,
                      INDEX($M$15:OFFSET(M64,-1,0),MATCH($A64,$A$15:OFFSET($A64,-1,0),0)))))</f>
        <v>9</v>
      </c>
      <c r="N64" s="348" t="str">
        <f aca="true">IF($D64&lt;&gt;"Serviço","",
         IF(AUTOEVENTO="Manual",
                IF($A64=0,"&lt;-- defina o número do agrupador",
                       OFFSET(EVENTOS!$D$15,$A64-$A$15,0)),
                OFFSET($F$15,$A64,0)))</f>
        <v>ESQUADRIAS DE MADEIRAS</v>
      </c>
      <c r="O64" s="349"/>
      <c r="Q64" s="349" t="n">
        <v>3</v>
      </c>
      <c r="R64" s="350" t="n">
        <v>3</v>
      </c>
      <c r="S64" s="350" t="n">
        <v>3</v>
      </c>
      <c r="T64" s="350" t="n">
        <v>3</v>
      </c>
      <c r="U64" s="350" t="n">
        <v>3</v>
      </c>
      <c r="V64" s="350" t="n">
        <v>3</v>
      </c>
      <c r="W64" s="350" t="n">
        <v>3</v>
      </c>
      <c r="X64" s="350" t="n">
        <v>3</v>
      </c>
      <c r="Y64" s="350" t="n">
        <v>3</v>
      </c>
      <c r="Z64" s="351" t="n">
        <v>3</v>
      </c>
      <c r="AA64" s="350" t="n">
        <v>3</v>
      </c>
      <c r="AB64" s="350" t="n">
        <v>3</v>
      </c>
      <c r="AC64" s="350" t="n">
        <v>3</v>
      </c>
      <c r="AD64" s="350" t="n">
        <v>3</v>
      </c>
      <c r="AE64" s="350" t="n">
        <v>3</v>
      </c>
      <c r="AF64" s="350" t="n">
        <v>3</v>
      </c>
      <c r="AG64" s="350" t="n">
        <v>3</v>
      </c>
      <c r="AH64" s="351" t="n">
        <v>3</v>
      </c>
      <c r="AI64" s="350" t="n">
        <v>3</v>
      </c>
      <c r="AJ64" s="350" t="n">
        <v>3</v>
      </c>
      <c r="AK64" s="350" t="n">
        <v>3</v>
      </c>
      <c r="AL64" s="350" t="n">
        <v>3</v>
      </c>
      <c r="AM64" s="350" t="n">
        <v>3</v>
      </c>
      <c r="AN64" s="350" t="n">
        <v>3</v>
      </c>
      <c r="AO64" s="350" t="n">
        <v>3</v>
      </c>
      <c r="AP64" s="351"/>
      <c r="AR64" s="352" t="n">
        <f aca="true">IF(AND($D64="Serviço",AR$12&lt;&gt;0,$H64&gt;0,OR(AUTOEVENTO&lt;&gt;"manual",$M64&lt;&gt;$A$15)),
        IF(Import.TipoArredondamento&lt;&gt;"TransfereGOV",
              ROUND(OFFSET($P64,0,AR$13),15-13*ORÇAMENTO!$AF$7)/$H64*OFFSET(ORÇAMENTO!$X$15,ROW(AR64)-ROW(AR$15),0),
              ROUND(ROUND(OFFSET($P64,0,AR$13),15-13*ORÇAMENTO!$AF$7)*OFFSET(ORÇAMENTO!$W$15,ROW(AR64)-ROW(AR$15),0),15-13*ORÇAMENTO!$AF$11)),
         0)</f>
        <v>3428.46</v>
      </c>
      <c r="AS64" s="352" t="n">
        <f aca="true">IF(AND($D64="Serviço",AS$12&lt;&gt;0,$H64&gt;0,OR(AUTOEVENTO&lt;&gt;"manual",$M64&lt;&gt;$A$15)),
        IF(Import.TipoArredondamento&lt;&gt;"TransfereGOV",
              ROUND(OFFSET($P64,0,AS$13),15-13*ORÇAMENTO!$AF$7)/$H64*OFFSET(ORÇAMENTO!$X$15,ROW(AS64)-ROW(AS$15),0),
              ROUND(ROUND(OFFSET($P64,0,AS$13),15-13*ORÇAMENTO!$AF$7)*OFFSET(ORÇAMENTO!$W$15,ROW(AS64)-ROW(AS$15),0),15-13*ORÇAMENTO!$AF$11)),
         0)</f>
        <v>3428.46</v>
      </c>
      <c r="AT64" s="352" t="n">
        <f aca="true">IF(AND($D64="Serviço",AT$12&lt;&gt;0,$H64&gt;0,OR(AUTOEVENTO&lt;&gt;"manual",$M64&lt;&gt;$A$15)),
        IF(Import.TipoArredondamento&lt;&gt;"TransfereGOV",
              ROUND(OFFSET($P64,0,AT$13),15-13*ORÇAMENTO!$AF$7)/$H64*OFFSET(ORÇAMENTO!$X$15,ROW(AT64)-ROW(AT$15),0),
              ROUND(ROUND(OFFSET($P64,0,AT$13),15-13*ORÇAMENTO!$AF$7)*OFFSET(ORÇAMENTO!$W$15,ROW(AT64)-ROW(AT$15),0),15-13*ORÇAMENTO!$AF$11)),
         0)</f>
        <v>3428.46</v>
      </c>
      <c r="AU64" s="352" t="n">
        <f aca="true">IF(AND($D64="Serviço",AU$12&lt;&gt;0,$H64&gt;0,OR(AUTOEVENTO&lt;&gt;"manual",$M64&lt;&gt;$A$15)),
        IF(Import.TipoArredondamento&lt;&gt;"TransfereGOV",
              ROUND(OFFSET($P64,0,AU$13),15-13*ORÇAMENTO!$AF$7)/$H64*OFFSET(ORÇAMENTO!$X$15,ROW(AU64)-ROW(AU$15),0),
              ROUND(ROUND(OFFSET($P64,0,AU$13),15-13*ORÇAMENTO!$AF$7)*OFFSET(ORÇAMENTO!$W$15,ROW(AU64)-ROW(AU$15),0),15-13*ORÇAMENTO!$AF$11)),
         0)</f>
        <v>3428.46</v>
      </c>
      <c r="AV64" s="352" t="n">
        <f aca="true">IF(AND($D64="Serviço",AV$12&lt;&gt;0,$H64&gt;0,OR(AUTOEVENTO&lt;&gt;"manual",$M64&lt;&gt;$A$15)),
        IF(Import.TipoArredondamento&lt;&gt;"TransfereGOV",
              ROUND(OFFSET($P64,0,AV$13),15-13*ORÇAMENTO!$AF$7)/$H64*OFFSET(ORÇAMENTO!$X$15,ROW(AV64)-ROW(AV$15),0),
              ROUND(ROUND(OFFSET($P64,0,AV$13),15-13*ORÇAMENTO!$AF$7)*OFFSET(ORÇAMENTO!$W$15,ROW(AV64)-ROW(AV$15),0),15-13*ORÇAMENTO!$AF$11)),
         0)</f>
        <v>3428.46</v>
      </c>
      <c r="AW64" s="352" t="n">
        <f aca="true">IF(AND($D64="Serviço",AW$12&lt;&gt;0,$H64&gt;0,OR(AUTOEVENTO&lt;&gt;"manual",$M64&lt;&gt;$A$15)),
        IF(Import.TipoArredondamento&lt;&gt;"TransfereGOV",
              ROUND(OFFSET($P64,0,AW$13),15-13*ORÇAMENTO!$AF$7)/$H64*OFFSET(ORÇAMENTO!$X$15,ROW(AW64)-ROW(AW$15),0),
              ROUND(ROUND(OFFSET($P64,0,AW$13),15-13*ORÇAMENTO!$AF$7)*OFFSET(ORÇAMENTO!$W$15,ROW(AW64)-ROW(AW$15),0),15-13*ORÇAMENTO!$AF$11)),
         0)</f>
        <v>3428.46</v>
      </c>
      <c r="AX64" s="352" t="n">
        <f aca="true">IF(AND($D64="Serviço",AX$12&lt;&gt;0,$H64&gt;0,OR(AUTOEVENTO&lt;&gt;"manual",$M64&lt;&gt;$A$15)),
        IF(Import.TipoArredondamento&lt;&gt;"TransfereGOV",
              ROUND(OFFSET($P64,0,AX$13),15-13*ORÇAMENTO!$AF$7)/$H64*OFFSET(ORÇAMENTO!$X$15,ROW(AX64)-ROW(AX$15),0),
              ROUND(ROUND(OFFSET($P64,0,AX$13),15-13*ORÇAMENTO!$AF$7)*OFFSET(ORÇAMENTO!$W$15,ROW(AX64)-ROW(AX$15),0),15-13*ORÇAMENTO!$AF$11)),
         0)</f>
        <v>3428.46</v>
      </c>
      <c r="AY64" s="352" t="n">
        <f aca="true">IF(AND($D64="Serviço",AY$12&lt;&gt;0,$H64&gt;0,OR(AUTOEVENTO&lt;&gt;"manual",$M64&lt;&gt;$A$15)),
        IF(Import.TipoArredondamento&lt;&gt;"TransfereGOV",
              ROUND(OFFSET($P64,0,AY$13),15-13*ORÇAMENTO!$AF$7)/$H64*OFFSET(ORÇAMENTO!$X$15,ROW(AY64)-ROW(AY$15),0),
              ROUND(ROUND(OFFSET($P64,0,AY$13),15-13*ORÇAMENTO!$AF$7)*OFFSET(ORÇAMENTO!$W$15,ROW(AY64)-ROW(AY$15),0),15-13*ORÇAMENTO!$AF$11)),
         0)</f>
        <v>3428.46</v>
      </c>
      <c r="AZ64" s="352" t="n">
        <f aca="true">IF(AND($D64="Serviço",AZ$12&lt;&gt;0,$H64&gt;0,OR(AUTOEVENTO&lt;&gt;"manual",$M64&lt;&gt;$A$15)),
        IF(Import.TipoArredondamento&lt;&gt;"TransfereGOV",
              ROUND(OFFSET($P64,0,AZ$13),15-13*ORÇAMENTO!$AF$7)/$H64*OFFSET(ORÇAMENTO!$X$15,ROW(AZ64)-ROW(AZ$15),0),
              ROUND(ROUND(OFFSET($P64,0,AZ$13),15-13*ORÇAMENTO!$AF$7)*OFFSET(ORÇAMENTO!$W$15,ROW(AZ64)-ROW(AZ$15),0),15-13*ORÇAMENTO!$AF$11)),
         0)</f>
        <v>3428.46</v>
      </c>
      <c r="BA64" s="352" t="n">
        <f aca="true">IF(AND($D64="Serviço",BA$12&lt;&gt;0,$H64&gt;0,OR(AUTOEVENTO&lt;&gt;"manual",$M64&lt;&gt;$A$15)),
        IF(Import.TipoArredondamento&lt;&gt;"TransfereGOV",
              ROUND(OFFSET($P64,0,BA$13),15-13*ORÇAMENTO!$AF$7)/$H64*OFFSET(ORÇAMENTO!$X$15,ROW(BA64)-ROW(BA$15),0),
              ROUND(ROUND(OFFSET($P64,0,BA$13),15-13*ORÇAMENTO!$AF$7)*OFFSET(ORÇAMENTO!$W$15,ROW(BA64)-ROW(BA$15),0),15-13*ORÇAMENTO!$AF$11)),
         0)</f>
        <v>3428.46</v>
      </c>
      <c r="BB64" s="352" t="n">
        <f aca="true">IF(AND($D64="Serviço",BB$12&lt;&gt;0,$H64&gt;0,OR(AUTOEVENTO&lt;&gt;"manual",$M64&lt;&gt;$A$15)),
        IF(Import.TipoArredondamento&lt;&gt;"TransfereGOV",
              ROUND(OFFSET($P64,0,BB$13),15-13*ORÇAMENTO!$AF$7)/$H64*OFFSET(ORÇAMENTO!$X$15,ROW(BB64)-ROW(BB$15),0),
              ROUND(ROUND(OFFSET($P64,0,BB$13),15-13*ORÇAMENTO!$AF$7)*OFFSET(ORÇAMENTO!$W$15,ROW(BB64)-ROW(BB$15),0),15-13*ORÇAMENTO!$AF$11)),
         0)</f>
        <v>3428.46</v>
      </c>
      <c r="BC64" s="352" t="n">
        <f aca="true">IF(AND($D64="Serviço",BC$12&lt;&gt;0,$H64&gt;0,OR(AUTOEVENTO&lt;&gt;"manual",$M64&lt;&gt;$A$15)),
        IF(Import.TipoArredondamento&lt;&gt;"TransfereGOV",
              ROUND(OFFSET($P64,0,BC$13),15-13*ORÇAMENTO!$AF$7)/$H64*OFFSET(ORÇAMENTO!$X$15,ROW(BC64)-ROW(BC$15),0),
              ROUND(ROUND(OFFSET($P64,0,BC$13),15-13*ORÇAMENTO!$AF$7)*OFFSET(ORÇAMENTO!$W$15,ROW(BC64)-ROW(BC$15),0),15-13*ORÇAMENTO!$AF$11)),
         0)</f>
        <v>3428.46</v>
      </c>
      <c r="BD64" s="352" t="n">
        <f aca="true">IF(AND($D64="Serviço",BD$12&lt;&gt;0,$H64&gt;0,OR(AUTOEVENTO&lt;&gt;"manual",$M64&lt;&gt;$A$15)),
        IF(Import.TipoArredondamento&lt;&gt;"TransfereGOV",
              ROUND(OFFSET($P64,0,BD$13),15-13*ORÇAMENTO!$AF$7)/$H64*OFFSET(ORÇAMENTO!$X$15,ROW(BD64)-ROW(BD$15),0),
              ROUND(ROUND(OFFSET($P64,0,BD$13),15-13*ORÇAMENTO!$AF$7)*OFFSET(ORÇAMENTO!$W$15,ROW(BD64)-ROW(BD$15),0),15-13*ORÇAMENTO!$AF$11)),
         0)</f>
        <v>3428.46</v>
      </c>
      <c r="BE64" s="352" t="n">
        <f aca="true">IF(AND($D64="Serviço",BE$12&lt;&gt;0,$H64&gt;0,OR(AUTOEVENTO&lt;&gt;"manual",$M64&lt;&gt;$A$15)),
        IF(Import.TipoArredondamento&lt;&gt;"TransfereGOV",
              ROUND(OFFSET($P64,0,BE$13),15-13*ORÇAMENTO!$AF$7)/$H64*OFFSET(ORÇAMENTO!$X$15,ROW(BE64)-ROW(BE$15),0),
              ROUND(ROUND(OFFSET($P64,0,BE$13),15-13*ORÇAMENTO!$AF$7)*OFFSET(ORÇAMENTO!$W$15,ROW(BE64)-ROW(BE$15),0),15-13*ORÇAMENTO!$AF$11)),
         0)</f>
        <v>3428.46</v>
      </c>
      <c r="BF64" s="352" t="n">
        <f aca="true">IF(AND($D64="Serviço",BF$12&lt;&gt;0,$H64&gt;0,OR(AUTOEVENTO&lt;&gt;"manual",$M64&lt;&gt;$A$15)),
        IF(Import.TipoArredondamento&lt;&gt;"TransfereGOV",
              ROUND(OFFSET($P64,0,BF$13),15-13*ORÇAMENTO!$AF$7)/$H64*OFFSET(ORÇAMENTO!$X$15,ROW(BF64)-ROW(BF$15),0),
              ROUND(ROUND(OFFSET($P64,0,BF$13),15-13*ORÇAMENTO!$AF$7)*OFFSET(ORÇAMENTO!$W$15,ROW(BF64)-ROW(BF$15),0),15-13*ORÇAMENTO!$AF$11)),
         0)</f>
        <v>3428.46</v>
      </c>
      <c r="BG64" s="352" t="n">
        <f aca="true">IF(AND($D64="Serviço",BG$12&lt;&gt;0,$H64&gt;0,OR(AUTOEVENTO&lt;&gt;"manual",$M64&lt;&gt;$A$15)),
        IF(Import.TipoArredondamento&lt;&gt;"TransfereGOV",
              ROUND(OFFSET($P64,0,BG$13),15-13*ORÇAMENTO!$AF$7)/$H64*OFFSET(ORÇAMENTO!$X$15,ROW(BG64)-ROW(BG$15),0),
              ROUND(ROUND(OFFSET($P64,0,BG$13),15-13*ORÇAMENTO!$AF$7)*OFFSET(ORÇAMENTO!$W$15,ROW(BG64)-ROW(BG$15),0),15-13*ORÇAMENTO!$AF$11)),
         0)</f>
        <v>3428.46</v>
      </c>
      <c r="BH64" s="352" t="n">
        <f aca="true">IF(AND($D64="Serviço",BH$12&lt;&gt;0,$H64&gt;0,OR(AUTOEVENTO&lt;&gt;"manual",$M64&lt;&gt;$A$15)),
        IF(Import.TipoArredondamento&lt;&gt;"TransfereGOV",
              ROUND(OFFSET($P64,0,BH$13),15-13*ORÇAMENTO!$AF$7)/$H64*OFFSET(ORÇAMENTO!$X$15,ROW(BH64)-ROW(BH$15),0),
              ROUND(ROUND(OFFSET($P64,0,BH$13),15-13*ORÇAMENTO!$AF$7)*OFFSET(ORÇAMENTO!$W$15,ROW(BH64)-ROW(BH$15),0),15-13*ORÇAMENTO!$AF$11)),
         0)</f>
        <v>3428.46</v>
      </c>
      <c r="BI64" s="352" t="n">
        <f aca="true">IF(AND($D64="Serviço",BI$12&lt;&gt;0,$H64&gt;0,OR(AUTOEVENTO&lt;&gt;"manual",$M64&lt;&gt;$A$15)),
        IF(Import.TipoArredondamento&lt;&gt;"TransfereGOV",
              ROUND(OFFSET($P64,0,BI$13),15-13*ORÇAMENTO!$AF$7)/$H64*OFFSET(ORÇAMENTO!$X$15,ROW(BI64)-ROW(BI$15),0),
              ROUND(ROUND(OFFSET($P64,0,BI$13),15-13*ORÇAMENTO!$AF$7)*OFFSET(ORÇAMENTO!$W$15,ROW(BI64)-ROW(BI$15),0),15-13*ORÇAMENTO!$AF$11)),
         0)</f>
        <v>3428.46</v>
      </c>
      <c r="BJ64" s="352" t="n">
        <f aca="true">IF(AND($D64="Serviço",BJ$12&lt;&gt;0,$H64&gt;0,OR(AUTOEVENTO&lt;&gt;"manual",$M64&lt;&gt;$A$15)),
        IF(Import.TipoArredondamento&lt;&gt;"TransfereGOV",
              ROUND(OFFSET($P64,0,BJ$13),15-13*ORÇAMENTO!$AF$7)/$H64*OFFSET(ORÇAMENTO!$X$15,ROW(BJ64)-ROW(BJ$15),0),
              ROUND(ROUND(OFFSET($P64,0,BJ$13),15-13*ORÇAMENTO!$AF$7)*OFFSET(ORÇAMENTO!$W$15,ROW(BJ64)-ROW(BJ$15),0),15-13*ORÇAMENTO!$AF$11)),
         0)</f>
        <v>3428.46</v>
      </c>
      <c r="BK64" s="352" t="n">
        <f aca="true">IF(AND($D64="Serviço",BK$12&lt;&gt;0,$H64&gt;0,OR(AUTOEVENTO&lt;&gt;"manual",$M64&lt;&gt;$A$15)),
        IF(Import.TipoArredondamento&lt;&gt;"TransfereGOV",
              ROUND(OFFSET($P64,0,BK$13),15-13*ORÇAMENTO!$AF$7)/$H64*OFFSET(ORÇAMENTO!$X$15,ROW(BK64)-ROW(BK$15),0),
              ROUND(ROUND(OFFSET($P64,0,BK$13),15-13*ORÇAMENTO!$AF$7)*OFFSET(ORÇAMENTO!$W$15,ROW(BK64)-ROW(BK$15),0),15-13*ORÇAMENTO!$AF$11)),
         0)</f>
        <v>3428.46</v>
      </c>
      <c r="BL64" s="352" t="n">
        <f aca="true">IF(AND($D64="Serviço",BL$12&lt;&gt;0,$H64&gt;0,OR(AUTOEVENTO&lt;&gt;"manual",$M64&lt;&gt;$A$15)),
        IF(Import.TipoArredondamento&lt;&gt;"TransfereGOV",
              ROUND(OFFSET($P64,0,BL$13),15-13*ORÇAMENTO!$AF$7)/$H64*OFFSET(ORÇAMENTO!$X$15,ROW(BL64)-ROW(BL$15),0),
              ROUND(ROUND(OFFSET($P64,0,BL$13),15-13*ORÇAMENTO!$AF$7)*OFFSET(ORÇAMENTO!$W$15,ROW(BL64)-ROW(BL$15),0),15-13*ORÇAMENTO!$AF$11)),
         0)</f>
        <v>3428.46</v>
      </c>
      <c r="BM64" s="352" t="n">
        <f aca="true">IF(AND($D64="Serviço",BM$12&lt;&gt;0,$H64&gt;0,OR(AUTOEVENTO&lt;&gt;"manual",$M64&lt;&gt;$A$15)),
        IF(Import.TipoArredondamento&lt;&gt;"TransfereGOV",
              ROUND(OFFSET($P64,0,BM$13),15-13*ORÇAMENTO!$AF$7)/$H64*OFFSET(ORÇAMENTO!$X$15,ROW(BM64)-ROW(BM$15),0),
              ROUND(ROUND(OFFSET($P64,0,BM$13),15-13*ORÇAMENTO!$AF$7)*OFFSET(ORÇAMENTO!$W$15,ROW(BM64)-ROW(BM$15),0),15-13*ORÇAMENTO!$AF$11)),
         0)</f>
        <v>3428.46</v>
      </c>
      <c r="BN64" s="352" t="n">
        <f aca="true">IF(AND($D64="Serviço",BN$12&lt;&gt;0,$H64&gt;0,OR(AUTOEVENTO&lt;&gt;"manual",$M64&lt;&gt;$A$15)),
        IF(Import.TipoArredondamento&lt;&gt;"TransfereGOV",
              ROUND(OFFSET($P64,0,BN$13),15-13*ORÇAMENTO!$AF$7)/$H64*OFFSET(ORÇAMENTO!$X$15,ROW(BN64)-ROW(BN$15),0),
              ROUND(ROUND(OFFSET($P64,0,BN$13),15-13*ORÇAMENTO!$AF$7)*OFFSET(ORÇAMENTO!$W$15,ROW(BN64)-ROW(BN$15),0),15-13*ORÇAMENTO!$AF$11)),
         0)</f>
        <v>3428.46</v>
      </c>
      <c r="BO64" s="352" t="n">
        <f aca="true">IF(AND($D64="Serviço",BO$12&lt;&gt;0,$H64&gt;0,OR(AUTOEVENTO&lt;&gt;"manual",$M64&lt;&gt;$A$15)),
        IF(Import.TipoArredondamento&lt;&gt;"TransfereGOV",
              ROUND(OFFSET($P64,0,BO$13),15-13*ORÇAMENTO!$AF$7)/$H64*OFFSET(ORÇAMENTO!$X$15,ROW(BO64)-ROW(BO$15),0),
              ROUND(ROUND(OFFSET($P64,0,BO$13),15-13*ORÇAMENTO!$AF$7)*OFFSET(ORÇAMENTO!$W$15,ROW(BO64)-ROW(BO$15),0),15-13*ORÇAMENTO!$AF$11)),
         0)</f>
        <v>3428.46</v>
      </c>
      <c r="BP64" s="352" t="n">
        <f aca="true">IF(AND($D64="Serviço",BP$12&lt;&gt;0,$H64&gt;0,OR(AUTOEVENTO&lt;&gt;"manual",$M64&lt;&gt;$A$15)),
        IF(Import.TipoArredondamento&lt;&gt;"TransfereGOV",
              ROUND(OFFSET($P64,0,BP$13),15-13*ORÇAMENTO!$AF$7)/$H64*OFFSET(ORÇAMENTO!$X$15,ROW(BP64)-ROW(BP$15),0),
              ROUND(ROUND(OFFSET($P64,0,BP$13),15-13*ORÇAMENTO!$AF$7)*OFFSET(ORÇAMENTO!$W$15,ROW(BP64)-ROW(BP$15),0),15-13*ORÇAMENTO!$AF$11)),
         0)</f>
        <v>3428.46</v>
      </c>
      <c r="BQ64" s="352" t="n">
        <f aca="true">IF(AND($D64="Serviço",BQ$12&lt;&gt;0,$H64&gt;0,OR(AUTOEVENTO&lt;&gt;"manual",$M64&lt;&gt;$A$15)),
        IF(Import.TipoArredondamento&lt;&gt;"TransfereGOV",
              ROUND(OFFSET($P64,0,BQ$13),15-13*ORÇAMENTO!$AF$7)/$H64*OFFSET(ORÇAMENTO!$X$15,ROW(BQ64)-ROW(BQ$15),0),
              ROUND(ROUND(OFFSET($P64,0,BQ$13),15-13*ORÇAMENTO!$AF$7)*OFFSET(ORÇAMENTO!$W$15,ROW(BQ64)-ROW(BQ$15),0),15-13*ORÇAMENTO!$AF$11)),
         0)</f>
        <v>0</v>
      </c>
      <c r="BS64" s="353" t="n">
        <f aca="true">IF(OR($D64&lt;&gt;"Serviço",AND(AUTOEVENTO="Manual",$M64=$A$15)),0,
         IF(OFFSET(CRONOPLE!$F$15,$M64-$A$15,BS$13)=0,10^12,OFFSET(CRONOPLE!$F$15,$M64-$A$15,BS$13)))</f>
        <v>1</v>
      </c>
      <c r="BT64" s="353" t="n">
        <f aca="true">IF(OR($D64&lt;&gt;"Serviço",AND(AUTOEVENTO="Manual",$M64=$A$15)),0,
         IF(OFFSET(CRONOPLE!$F$15,$M64-$A$15,BT$13)=0,10^12,OFFSET(CRONOPLE!$F$15,$M64-$A$15,BT$13)))</f>
        <v>2</v>
      </c>
      <c r="BU64" s="353" t="n">
        <f aca="true">IF(OR($D64&lt;&gt;"Serviço",AND(AUTOEVENTO="Manual",$M64=$A$15)),0,
         IF(OFFSET(CRONOPLE!$F$15,$M64-$A$15,BU$13)=0,10^12,OFFSET(CRONOPLE!$F$15,$M64-$A$15,BU$13)))</f>
        <v>3</v>
      </c>
      <c r="BV64" s="353" t="n">
        <f aca="true">IF(OR($D64&lt;&gt;"Serviço",AND(AUTOEVENTO="Manual",$M64=$A$15)),0,
         IF(OFFSET(CRONOPLE!$F$15,$M64-$A$15,BV$13)=0,10^12,OFFSET(CRONOPLE!$F$15,$M64-$A$15,BV$13)))</f>
        <v>4</v>
      </c>
      <c r="BW64" s="353" t="n">
        <f aca="true">IF(OR($D64&lt;&gt;"Serviço",AND(AUTOEVENTO="Manual",$M64=$A$15)),0,
         IF(OFFSET(CRONOPLE!$F$15,$M64-$A$15,BW$13)=0,10^12,OFFSET(CRONOPLE!$F$15,$M64-$A$15,BW$13)))</f>
        <v>5</v>
      </c>
      <c r="BX64" s="353" t="n">
        <f aca="true">IF(OR($D64&lt;&gt;"Serviço",AND(AUTOEVENTO="Manual",$M64=$A$15)),0,
         IF(OFFSET(CRONOPLE!$F$15,$M64-$A$15,BX$13)=0,10^12,OFFSET(CRONOPLE!$F$15,$M64-$A$15,BX$13)))</f>
        <v>6</v>
      </c>
      <c r="BY64" s="353" t="n">
        <f aca="true">IF(OR($D64&lt;&gt;"Serviço",AND(AUTOEVENTO="Manual",$M64=$A$15)),0,
         IF(OFFSET(CRONOPLE!$F$15,$M64-$A$15,BY$13)=0,10^12,OFFSET(CRONOPLE!$F$15,$M64-$A$15,BY$13)))</f>
        <v>7</v>
      </c>
      <c r="BZ64" s="353" t="n">
        <f aca="true">IF(OR($D64&lt;&gt;"Serviço",AND(AUTOEVENTO="Manual",$M64=$A$15)),0,
         IF(OFFSET(CRONOPLE!$F$15,$M64-$A$15,BZ$13)=0,10^12,OFFSET(CRONOPLE!$F$15,$M64-$A$15,BZ$13)))</f>
        <v>8</v>
      </c>
      <c r="CA64" s="353" t="n">
        <f aca="true">IF(OR($D64&lt;&gt;"Serviço",AND(AUTOEVENTO="Manual",$M64=$A$15)),0,
         IF(OFFSET(CRONOPLE!$F$15,$M64-$A$15,CA$13)=0,10^12,OFFSET(CRONOPLE!$F$15,$M64-$A$15,CA$13)))</f>
        <v>9</v>
      </c>
      <c r="CB64" s="353" t="n">
        <f aca="true">IF(OR($D64&lt;&gt;"Serviço",AND(AUTOEVENTO="Manual",$M64=$A$15)),0,
         IF(OFFSET(CRONOPLE!$F$15,$M64-$A$15,CB$13)=0,10^12,OFFSET(CRONOPLE!$F$15,$M64-$A$15,CB$13)))</f>
        <v>10</v>
      </c>
      <c r="CC64" s="353" t="n">
        <f aca="true">IF(OR($D64&lt;&gt;"Serviço",AND(AUTOEVENTO="Manual",$M64=$A$15)),0,
         IF(OFFSET(CRONOPLE!$F$15,$M64-$A$15,CC$13)=0,10^12,OFFSET(CRONOPLE!$F$15,$M64-$A$15,CC$13)))</f>
        <v>11</v>
      </c>
      <c r="CD64" s="353" t="n">
        <f aca="true">IF(OR($D64&lt;&gt;"Serviço",AND(AUTOEVENTO="Manual",$M64=$A$15)),0,
         IF(OFFSET(CRONOPLE!$F$15,$M64-$A$15,CD$13)=0,10^12,OFFSET(CRONOPLE!$F$15,$M64-$A$15,CD$13)))</f>
        <v>12</v>
      </c>
      <c r="CE64" s="353" t="n">
        <f aca="true">IF(OR($D64&lt;&gt;"Serviço",AND(AUTOEVENTO="Manual",$M64=$A$15)),0,
         IF(OFFSET(CRONOPLE!$F$15,$M64-$A$15,CE$13)=0,10^12,OFFSET(CRONOPLE!$F$15,$M64-$A$15,CE$13)))</f>
        <v>13</v>
      </c>
      <c r="CF64" s="353" t="n">
        <f aca="true">IF(OR($D64&lt;&gt;"Serviço",AND(AUTOEVENTO="Manual",$M64=$A$15)),0,
         IF(OFFSET(CRONOPLE!$F$15,$M64-$A$15,CF$13)=0,10^12,OFFSET(CRONOPLE!$F$15,$M64-$A$15,CF$13)))</f>
        <v>14</v>
      </c>
      <c r="CG64" s="353" t="n">
        <f aca="true">IF(OR($D64&lt;&gt;"Serviço",AND(AUTOEVENTO="Manual",$M64=$A$15)),0,
         IF(OFFSET(CRONOPLE!$F$15,$M64-$A$15,CG$13)=0,10^12,OFFSET(CRONOPLE!$F$15,$M64-$A$15,CG$13)))</f>
        <v>15</v>
      </c>
      <c r="CH64" s="353" t="n">
        <f aca="true">IF(OR($D64&lt;&gt;"Serviço",AND(AUTOEVENTO="Manual",$M64=$A$15)),0,
         IF(OFFSET(CRONOPLE!$F$15,$M64-$A$15,CH$13)=0,10^12,OFFSET(CRONOPLE!$F$15,$M64-$A$15,CH$13)))</f>
        <v>16</v>
      </c>
      <c r="CI64" s="353" t="n">
        <f aca="true">IF(OR($D64&lt;&gt;"Serviço",AND(AUTOEVENTO="Manual",$M64=$A$15)),0,
         IF(OFFSET(CRONOPLE!$F$15,$M64-$A$15,CI$13)=0,10^12,OFFSET(CRONOPLE!$F$15,$M64-$A$15,CI$13)))</f>
        <v>17</v>
      </c>
      <c r="CJ64" s="353" t="n">
        <f aca="true">IF(OR($D64&lt;&gt;"Serviço",AND(AUTOEVENTO="Manual",$M64=$A$15)),0,
         IF(OFFSET(CRONOPLE!$F$15,$M64-$A$15,CJ$13)=0,10^12,OFFSET(CRONOPLE!$F$15,$M64-$A$15,CJ$13)))</f>
        <v>18</v>
      </c>
      <c r="CK64" s="353" t="n">
        <f aca="true">IF(OR($D64&lt;&gt;"Serviço",AND(AUTOEVENTO="Manual",$M64=$A$15)),0,
         IF(OFFSET(CRONOPLE!$F$15,$M64-$A$15,CK$13)=0,10^12,OFFSET(CRONOPLE!$F$15,$M64-$A$15,CK$13)))</f>
        <v>19</v>
      </c>
      <c r="CL64" s="353" t="n">
        <f aca="true">IF(OR($D64&lt;&gt;"Serviço",AND(AUTOEVENTO="Manual",$M64=$A$15)),0,
         IF(OFFSET(CRONOPLE!$F$15,$M64-$A$15,CL$13)=0,10^12,OFFSET(CRONOPLE!$F$15,$M64-$A$15,CL$13)))</f>
        <v>20</v>
      </c>
      <c r="CM64" s="353" t="n">
        <f aca="true">IF(OR($D64&lt;&gt;"Serviço",AND(AUTOEVENTO="Manual",$M64=$A$15)),0,
         IF(OFFSET(CRONOPLE!$F$15,$M64-$A$15,CM$13)=0,10^12,OFFSET(CRONOPLE!$F$15,$M64-$A$15,CM$13)))</f>
        <v>21</v>
      </c>
      <c r="CN64" s="353" t="n">
        <f aca="true">IF(OR($D64&lt;&gt;"Serviço",AND(AUTOEVENTO="Manual",$M64=$A$15)),0,
         IF(OFFSET(CRONOPLE!$F$15,$M64-$A$15,CN$13)=0,10^12,OFFSET(CRONOPLE!$F$15,$M64-$A$15,CN$13)))</f>
        <v>22</v>
      </c>
      <c r="CO64" s="353" t="n">
        <f aca="true">IF(OR($D64&lt;&gt;"Serviço",AND(AUTOEVENTO="Manual",$M64=$A$15)),0,
         IF(OFFSET(CRONOPLE!$F$15,$M64-$A$15,CO$13)=0,10^12,OFFSET(CRONOPLE!$F$15,$M64-$A$15,CO$13)))</f>
        <v>23</v>
      </c>
      <c r="CP64" s="353" t="n">
        <f aca="true">IF(OR($D64&lt;&gt;"Serviço",AND(AUTOEVENTO="Manual",$M64=$A$15)),0,
         IF(OFFSET(CRONOPLE!$F$15,$M64-$A$15,CP$13)=0,10^12,OFFSET(CRONOPLE!$F$15,$M64-$A$15,CP$13)))</f>
        <v>24</v>
      </c>
      <c r="CQ64" s="353" t="n">
        <f aca="true">IF(OR($D64&lt;&gt;"Serviço",AND(AUTOEVENTO="Manual",$M64=$A$15)),0,
         IF(OFFSET(CRONOPLE!$F$15,$M64-$A$15,CQ$13)=0,10^12,OFFSET(CRONOPLE!$F$15,$M64-$A$15,CQ$13)))</f>
        <v>25</v>
      </c>
      <c r="CR64" s="353" t="n">
        <f aca="true">IF(OR($D64&lt;&gt;"Serviço",AND(AUTOEVENTO="Manual",$M64=$A$15)),0,
         IF(OFFSET(CRONOPLE!$F$15,$M64-$A$15,CR$13)=0,10^12,OFFSET(CRONOPLE!$F$15,$M64-$A$15,CR$13)))</f>
        <v>1000000000000</v>
      </c>
      <c r="CT64" s="354" t="n">
        <f aca="true">IF(OR($D64&lt;&gt;"Serviço",AND(AUTOEVENTO="Manual",$M64=$A$15),$M64&gt;(ROW(PLE.lastrow)-ROW(PLE.firstrow))),0,
           IF(OFFSET(PLE!$G$15,$M64-$A$15,CT$13)="",10^12,OFFSET(PLE!$G$15,$M64-$A$15,CT$13)))</f>
        <v>1000000000000</v>
      </c>
      <c r="CU64" s="354" t="n">
        <f aca="true">IF(OR($D64&lt;&gt;"Serviço",AND(AUTOEVENTO="Manual",$M64=$A$15),$M64&gt;(ROW(PLE.lastrow)-ROW(PLE.firstrow))),0,
           IF(OFFSET(PLE!$G$15,$M64-$A$15,CU$13)="",10^12,OFFSET(PLE!$G$15,$M64-$A$15,CU$13)))</f>
        <v>1000000000000</v>
      </c>
      <c r="CV64" s="354" t="n">
        <f aca="true">IF(OR($D64&lt;&gt;"Serviço",AND(AUTOEVENTO="Manual",$M64=$A$15),$M64&gt;(ROW(PLE.lastrow)-ROW(PLE.firstrow))),0,
           IF(OFFSET(PLE!$G$15,$M64-$A$15,CV$13)="",10^12,OFFSET(PLE!$G$15,$M64-$A$15,CV$13)))</f>
        <v>1000000000000</v>
      </c>
      <c r="CW64" s="354" t="n">
        <f aca="true">IF(OR($D64&lt;&gt;"Serviço",AND(AUTOEVENTO="Manual",$M64=$A$15),$M64&gt;(ROW(PLE.lastrow)-ROW(PLE.firstrow))),0,
           IF(OFFSET(PLE!$G$15,$M64-$A$15,CW$13)="",10^12,OFFSET(PLE!$G$15,$M64-$A$15,CW$13)))</f>
        <v>1000000000000</v>
      </c>
      <c r="CX64" s="354" t="n">
        <f aca="true">IF(OR($D64&lt;&gt;"Serviço",AND(AUTOEVENTO="Manual",$M64=$A$15),$M64&gt;(ROW(PLE.lastrow)-ROW(PLE.firstrow))),0,
           IF(OFFSET(PLE!$G$15,$M64-$A$15,CX$13)="",10^12,OFFSET(PLE!$G$15,$M64-$A$15,CX$13)))</f>
        <v>1000000000000</v>
      </c>
      <c r="CY64" s="354" t="n">
        <f aca="true">IF(OR($D64&lt;&gt;"Serviço",AND(AUTOEVENTO="Manual",$M64=$A$15),$M64&gt;(ROW(PLE.lastrow)-ROW(PLE.firstrow))),0,
           IF(OFFSET(PLE!$G$15,$M64-$A$15,CY$13)="",10^12,OFFSET(PLE!$G$15,$M64-$A$15,CY$13)))</f>
        <v>1000000000000</v>
      </c>
      <c r="CZ64" s="354" t="n">
        <f aca="true">IF(OR($D64&lt;&gt;"Serviço",AND(AUTOEVENTO="Manual",$M64=$A$15),$M64&gt;(ROW(PLE.lastrow)-ROW(PLE.firstrow))),0,
           IF(OFFSET(PLE!$G$15,$M64-$A$15,CZ$13)="",10^12,OFFSET(PLE!$G$15,$M64-$A$15,CZ$13)))</f>
        <v>1000000000000</v>
      </c>
      <c r="DA64" s="354" t="n">
        <f aca="true">IF(OR($D64&lt;&gt;"Serviço",AND(AUTOEVENTO="Manual",$M64=$A$15),$M64&gt;(ROW(PLE.lastrow)-ROW(PLE.firstrow))),0,
           IF(OFFSET(PLE!$G$15,$M64-$A$15,DA$13)="",10^12,OFFSET(PLE!$G$15,$M64-$A$15,DA$13)))</f>
        <v>1000000000000</v>
      </c>
      <c r="DB64" s="354" t="n">
        <f aca="true">IF(OR($D64&lt;&gt;"Serviço",AND(AUTOEVENTO="Manual",$M64=$A$15),$M64&gt;(ROW(PLE.lastrow)-ROW(PLE.firstrow))),0,
           IF(OFFSET(PLE!$G$15,$M64-$A$15,DB$13)="",10^12,OFFSET(PLE!$G$15,$M64-$A$15,DB$13)))</f>
        <v>1000000000000</v>
      </c>
      <c r="DC64" s="354" t="n">
        <f aca="true">IF(OR($D64&lt;&gt;"Serviço",AND(AUTOEVENTO="Manual",$M64=$A$15),$M64&gt;(ROW(PLE.lastrow)-ROW(PLE.firstrow))),0,
           IF(OFFSET(PLE!$G$15,$M64-$A$15,DC$13)="",10^12,OFFSET(PLE!$G$15,$M64-$A$15,DC$13)))</f>
        <v>1000000000000</v>
      </c>
      <c r="DD64" s="354" t="n">
        <f aca="true">IF(OR($D64&lt;&gt;"Serviço",AND(AUTOEVENTO="Manual",$M64=$A$15),$M64&gt;(ROW(PLE.lastrow)-ROW(PLE.firstrow))),0,
           IF(OFFSET(PLE!$G$15,$M64-$A$15,DD$13)="",10^12,OFFSET(PLE!$G$15,$M64-$A$15,DD$13)))</f>
        <v>1000000000000</v>
      </c>
      <c r="DE64" s="354" t="n">
        <f aca="true">IF(OR($D64&lt;&gt;"Serviço",AND(AUTOEVENTO="Manual",$M64=$A$15),$M64&gt;(ROW(PLE.lastrow)-ROW(PLE.firstrow))),0,
           IF(OFFSET(PLE!$G$15,$M64-$A$15,DE$13)="",10^12,OFFSET(PLE!$G$15,$M64-$A$15,DE$13)))</f>
        <v>1000000000000</v>
      </c>
      <c r="DF64" s="354" t="n">
        <f aca="true">IF(OR($D64&lt;&gt;"Serviço",AND(AUTOEVENTO="Manual",$M64=$A$15),$M64&gt;(ROW(PLE.lastrow)-ROW(PLE.firstrow))),0,
           IF(OFFSET(PLE!$G$15,$M64-$A$15,DF$13)="",10^12,OFFSET(PLE!$G$15,$M64-$A$15,DF$13)))</f>
        <v>1000000000000</v>
      </c>
      <c r="DG64" s="354" t="n">
        <f aca="true">IF(OR($D64&lt;&gt;"Serviço",AND(AUTOEVENTO="Manual",$M64=$A$15),$M64&gt;(ROW(PLE.lastrow)-ROW(PLE.firstrow))),0,
           IF(OFFSET(PLE!$G$15,$M64-$A$15,DG$13)="",10^12,OFFSET(PLE!$G$15,$M64-$A$15,DG$13)))</f>
        <v>1000000000000</v>
      </c>
      <c r="DH64" s="354" t="n">
        <f aca="true">IF(OR($D64&lt;&gt;"Serviço",AND(AUTOEVENTO="Manual",$M64=$A$15),$M64&gt;(ROW(PLE.lastrow)-ROW(PLE.firstrow))),0,
           IF(OFFSET(PLE!$G$15,$M64-$A$15,DH$13)="",10^12,OFFSET(PLE!$G$15,$M64-$A$15,DH$13)))</f>
        <v>1000000000000</v>
      </c>
      <c r="DI64" s="354" t="n">
        <f aca="true">IF(OR($D64&lt;&gt;"Serviço",AND(AUTOEVENTO="Manual",$M64=$A$15),$M64&gt;(ROW(PLE.lastrow)-ROW(PLE.firstrow))),0,
           IF(OFFSET(PLE!$G$15,$M64-$A$15,DI$13)="",10^12,OFFSET(PLE!$G$15,$M64-$A$15,DI$13)))</f>
        <v>1000000000000</v>
      </c>
      <c r="DJ64" s="354" t="n">
        <f aca="true">IF(OR($D64&lt;&gt;"Serviço",AND(AUTOEVENTO="Manual",$M64=$A$15),$M64&gt;(ROW(PLE.lastrow)-ROW(PLE.firstrow))),0,
           IF(OFFSET(PLE!$G$15,$M64-$A$15,DJ$13)="",10^12,OFFSET(PLE!$G$15,$M64-$A$15,DJ$13)))</f>
        <v>1000000000000</v>
      </c>
      <c r="DK64" s="354" t="n">
        <f aca="true">IF(OR($D64&lt;&gt;"Serviço",AND(AUTOEVENTO="Manual",$M64=$A$15),$M64&gt;(ROW(PLE.lastrow)-ROW(PLE.firstrow))),0,
           IF(OFFSET(PLE!$G$15,$M64-$A$15,DK$13)="",10^12,OFFSET(PLE!$G$15,$M64-$A$15,DK$13)))</f>
        <v>1000000000000</v>
      </c>
      <c r="DL64" s="354" t="n">
        <f aca="true">IF(OR($D64&lt;&gt;"Serviço",AND(AUTOEVENTO="Manual",$M64=$A$15),$M64&gt;(ROW(PLE.lastrow)-ROW(PLE.firstrow))),0,
           IF(OFFSET(PLE!$G$15,$M64-$A$15,DL$13)="",10^12,OFFSET(PLE!$G$15,$M64-$A$15,DL$13)))</f>
        <v>1000000000000</v>
      </c>
      <c r="DM64" s="354" t="n">
        <f aca="true">IF(OR($D64&lt;&gt;"Serviço",AND(AUTOEVENTO="Manual",$M64=$A$15),$M64&gt;(ROW(PLE.lastrow)-ROW(PLE.firstrow))),0,
           IF(OFFSET(PLE!$G$15,$M64-$A$15,DM$13)="",10^12,OFFSET(PLE!$G$15,$M64-$A$15,DM$13)))</f>
        <v>1000000000000</v>
      </c>
      <c r="DN64" s="354" t="n">
        <f aca="true">IF(OR($D64&lt;&gt;"Serviço",AND(AUTOEVENTO="Manual",$M64=$A$15),$M64&gt;(ROW(PLE.lastrow)-ROW(PLE.firstrow))),0,
           IF(OFFSET(PLE!$G$15,$M64-$A$15,DN$13)="",10^12,OFFSET(PLE!$G$15,$M64-$A$15,DN$13)))</f>
        <v>1000000000000</v>
      </c>
      <c r="DO64" s="354" t="n">
        <f aca="true">IF(OR($D64&lt;&gt;"Serviço",AND(AUTOEVENTO="Manual",$M64=$A$15),$M64&gt;(ROW(PLE.lastrow)-ROW(PLE.firstrow))),0,
           IF(OFFSET(PLE!$G$15,$M64-$A$15,DO$13)="",10^12,OFFSET(PLE!$G$15,$M64-$A$15,DO$13)))</f>
        <v>1000000000000</v>
      </c>
      <c r="DP64" s="354" t="n">
        <f aca="true">IF(OR($D64&lt;&gt;"Serviço",AND(AUTOEVENTO="Manual",$M64=$A$15),$M64&gt;(ROW(PLE.lastrow)-ROW(PLE.firstrow))),0,
           IF(OFFSET(PLE!$G$15,$M64-$A$15,DP$13)="",10^12,OFFSET(PLE!$G$15,$M64-$A$15,DP$13)))</f>
        <v>1000000000000</v>
      </c>
      <c r="DQ64" s="354" t="n">
        <f aca="true">IF(OR($D64&lt;&gt;"Serviço",AND(AUTOEVENTO="Manual",$M64=$A$15),$M64&gt;(ROW(PLE.lastrow)-ROW(PLE.firstrow))),0,
           IF(OFFSET(PLE!$G$15,$M64-$A$15,DQ$13)="",10^12,OFFSET(PLE!$G$15,$M64-$A$15,DQ$13)))</f>
        <v>1000000000000</v>
      </c>
      <c r="DR64" s="354" t="n">
        <f aca="true">IF(OR($D64&lt;&gt;"Serviço",AND(AUTOEVENTO="Manual",$M64=$A$15),$M64&gt;(ROW(PLE.lastrow)-ROW(PLE.firstrow))),0,
           IF(OFFSET(PLE!$G$15,$M64-$A$15,DR$13)="",10^12,OFFSET(PLE!$G$15,$M64-$A$15,DR$13)))</f>
        <v>1000000000000</v>
      </c>
      <c r="DS64" s="354" t="n">
        <f aca="true">IF(OR($D64&lt;&gt;"Serviço",AND(AUTOEVENTO="Manual",$M64=$A$15),$M64&gt;(ROW(PLE.lastrow)-ROW(PLE.firstrow))),0,
           IF(OFFSET(PLE!$G$15,$M64-$A$15,DS$13)="",10^12,OFFSET(PLE!$G$15,$M64-$A$15,DS$13)))</f>
        <v>1000000000000</v>
      </c>
    </row>
    <row r="65" customFormat="false" ht="12.75" hidden="false" customHeight="false" outlineLevel="0" collapsed="false">
      <c r="A65" s="50" t="str">
        <f aca="true">IFERROR(IF(AUTOEVENTO="Manual",IF(K65&lt;&gt;"",MIN(VALUE(LEFT(K65,FIND(".",K65)-1)),COUNTA(EVENTOS.Lista)),0),IF(OR($B65&gt;AUTOEVENTO,$B65="S",$B65=0),SUBSTITUTE(OFFSET($A65,-1,0),IF($D65="Serviço",".",""),""),ROW(A65)-ROW($A$15)&amp;".")),0)</f>
        <v>50.</v>
      </c>
      <c r="B65" s="50" t="n">
        <f aca="true">OFFSET(ORÇAMENTO!C$15,ROW(B65)-ROW(B$15),0)</f>
        <v>2</v>
      </c>
      <c r="C65" s="50" t="str">
        <f aca="true">OFFSET(ORÇAMENTO!L$15,ROW(C65)-ROW(C$15),0)</f>
        <v>F</v>
      </c>
      <c r="D65" s="201" t="str">
        <f aca="true">OFFSET(ORÇAMENTO!N$15,ROW(D65)-ROW(D$15),0)</f>
        <v>Nível 2</v>
      </c>
      <c r="E65" s="202" t="str">
        <f aca="true">OFFSET(ORÇAMENTO!O$15,ROW(E65)-ROW(E$15),0)</f>
        <v>1.14.</v>
      </c>
      <c r="F65" s="341" t="str">
        <f aca="true">OFFSET(ORÇAMENTO!R$15,ROW(F65)-ROW(F$15),0)</f>
        <v>VIDROS E ESQUADRIAS ESPECIAIS</v>
      </c>
      <c r="G65" s="342" t="str">
        <f aca="true">IF($D65&lt;&gt;"Serviço","",OFFSET(ORÇAMENTO!S$15,ROW(G65)-ROW(G$15),0))</f>
        <v/>
      </c>
      <c r="H65" s="207" t="n">
        <f aca="true">IF($D65&lt;&gt;"Serviço",0,IF(ACOMPANHAMENTO="BM",ROUND(OFFSET(ORÇAMENTO!AJ$15,ROW(H65)-ROW(H$15),0),15-13*ORÇAMENTO!$AF$7),SUMPRODUCT(($Q$1:$AQ$1=1)*ROUND($Q65:$AQ65,15-13*ORÇAMENTO!$AF$7))))</f>
        <v>0</v>
      </c>
      <c r="I65" s="343" t="s">
        <v>945</v>
      </c>
      <c r="J65" s="344" t="str">
        <f aca="false">IF(OR(B65&lt;&gt;"S",CÁLCULO.FrentesPreenchidas=0),"",IF(AND(ACOMPANHAMENTO="PLE",AUTOEVENTO="Manual",OR(H65&gt;0,ORÇAMENTO!AC65="QUANT."),OR(K65="",M65=0,N65="")),"►",IF(AND(ACOMPANHAMENTO="PLE",ORÇAMENTO!AC65="QUANT."),"►►",IF(AND(COUNTIF($P$11:$AQ$11,"▼")=0,H65&gt;0,I65=""),"◄",""))))</f>
        <v/>
      </c>
      <c r="K65" s="345"/>
      <c r="L65" s="346" t="s">
        <v>876</v>
      </c>
      <c r="M65" s="347" t="str">
        <f aca="true">IF($D65&lt;&gt;"Serviço","",
          IF(AUTOEVENTO="manual",$A65,
                IF(ISERROR(MATCH($A65,$A$15:OFFSET($A65,-1,0),0)),MAX($M$15:OFFSET(M65,-1,0))+1,
                      INDEX($M$15:OFFSET(M65,-1,0),MATCH($A65,$A$15:OFFSET($A65,-1,0),0)))))</f>
        <v/>
      </c>
      <c r="N65" s="348" t="str">
        <f aca="true">IF($D65&lt;&gt;"Serviço","",
         IF(AUTOEVENTO="Manual",
                IF($A65=0,"&lt;-- defina o número do agrupador",
                       OFFSET(EVENTOS!$D$15,$A65-$A$15,0)),
                OFFSET($F$15,$A65,0)))</f>
        <v/>
      </c>
      <c r="O65" s="349"/>
      <c r="Q65" s="349" t="n">
        <v>43.5</v>
      </c>
      <c r="R65" s="350" t="n">
        <v>43.5</v>
      </c>
      <c r="S65" s="350" t="n">
        <v>43.5</v>
      </c>
      <c r="T65" s="350" t="n">
        <v>43.5</v>
      </c>
      <c r="U65" s="350" t="n">
        <v>43.5</v>
      </c>
      <c r="V65" s="350" t="n">
        <v>43.5</v>
      </c>
      <c r="W65" s="350" t="n">
        <v>43.5</v>
      </c>
      <c r="X65" s="350" t="n">
        <v>43.5</v>
      </c>
      <c r="Y65" s="350" t="n">
        <v>43.5</v>
      </c>
      <c r="Z65" s="351" t="n">
        <v>43.5</v>
      </c>
      <c r="AA65" s="350" t="n">
        <v>43.5</v>
      </c>
      <c r="AB65" s="350" t="n">
        <v>43.5</v>
      </c>
      <c r="AC65" s="350" t="n">
        <v>43.5</v>
      </c>
      <c r="AD65" s="350" t="n">
        <v>43.5</v>
      </c>
      <c r="AE65" s="350" t="n">
        <v>43.5</v>
      </c>
      <c r="AF65" s="350" t="n">
        <v>43.5</v>
      </c>
      <c r="AG65" s="350" t="n">
        <v>43.5</v>
      </c>
      <c r="AH65" s="351" t="n">
        <v>43.5</v>
      </c>
      <c r="AI65" s="350" t="n">
        <v>43.5</v>
      </c>
      <c r="AJ65" s="350" t="n">
        <v>43.5</v>
      </c>
      <c r="AK65" s="350" t="n">
        <v>43.5</v>
      </c>
      <c r="AL65" s="350" t="n">
        <v>43.5</v>
      </c>
      <c r="AM65" s="350" t="n">
        <v>43.5</v>
      </c>
      <c r="AN65" s="350" t="n">
        <v>43.5</v>
      </c>
      <c r="AO65" s="350" t="n">
        <v>43.5</v>
      </c>
      <c r="AP65" s="351"/>
      <c r="AR65" s="352" t="n">
        <f aca="true">IF(AND($D65="Serviço",AR$12&lt;&gt;0,$H65&gt;0,OR(AUTOEVENTO&lt;&gt;"manual",$M65&lt;&gt;$A$15)),
        IF(Import.TipoArredondamento&lt;&gt;"TransfereGOV",
              ROUND(OFFSET($P65,0,AR$13),15-13*ORÇAMENTO!$AF$7)/$H65*OFFSET(ORÇAMENTO!$X$15,ROW(AR65)-ROW(AR$15),0),
              ROUND(ROUND(OFFSET($P65,0,AR$13),15-13*ORÇAMENTO!$AF$7)*OFFSET(ORÇAMENTO!$W$15,ROW(AR65)-ROW(AR$15),0),15-13*ORÇAMENTO!$AF$11)),
         0)</f>
        <v>0</v>
      </c>
      <c r="AS65" s="352" t="n">
        <f aca="true">IF(AND($D65="Serviço",AS$12&lt;&gt;0,$H65&gt;0,OR(AUTOEVENTO&lt;&gt;"manual",$M65&lt;&gt;$A$15)),
        IF(Import.TipoArredondamento&lt;&gt;"TransfereGOV",
              ROUND(OFFSET($P65,0,AS$13),15-13*ORÇAMENTO!$AF$7)/$H65*OFFSET(ORÇAMENTO!$X$15,ROW(AS65)-ROW(AS$15),0),
              ROUND(ROUND(OFFSET($P65,0,AS$13),15-13*ORÇAMENTO!$AF$7)*OFFSET(ORÇAMENTO!$W$15,ROW(AS65)-ROW(AS$15),0),15-13*ORÇAMENTO!$AF$11)),
         0)</f>
        <v>0</v>
      </c>
      <c r="AT65" s="352" t="n">
        <f aca="true">IF(AND($D65="Serviço",AT$12&lt;&gt;0,$H65&gt;0,OR(AUTOEVENTO&lt;&gt;"manual",$M65&lt;&gt;$A$15)),
        IF(Import.TipoArredondamento&lt;&gt;"TransfereGOV",
              ROUND(OFFSET($P65,0,AT$13),15-13*ORÇAMENTO!$AF$7)/$H65*OFFSET(ORÇAMENTO!$X$15,ROW(AT65)-ROW(AT$15),0),
              ROUND(ROUND(OFFSET($P65,0,AT$13),15-13*ORÇAMENTO!$AF$7)*OFFSET(ORÇAMENTO!$W$15,ROW(AT65)-ROW(AT$15),0),15-13*ORÇAMENTO!$AF$11)),
         0)</f>
        <v>0</v>
      </c>
      <c r="AU65" s="352" t="n">
        <f aca="true">IF(AND($D65="Serviço",AU$12&lt;&gt;0,$H65&gt;0,OR(AUTOEVENTO&lt;&gt;"manual",$M65&lt;&gt;$A$15)),
        IF(Import.TipoArredondamento&lt;&gt;"TransfereGOV",
              ROUND(OFFSET($P65,0,AU$13),15-13*ORÇAMENTO!$AF$7)/$H65*OFFSET(ORÇAMENTO!$X$15,ROW(AU65)-ROW(AU$15),0),
              ROUND(ROUND(OFFSET($P65,0,AU$13),15-13*ORÇAMENTO!$AF$7)*OFFSET(ORÇAMENTO!$W$15,ROW(AU65)-ROW(AU$15),0),15-13*ORÇAMENTO!$AF$11)),
         0)</f>
        <v>0</v>
      </c>
      <c r="AV65" s="352" t="n">
        <f aca="true">IF(AND($D65="Serviço",AV$12&lt;&gt;0,$H65&gt;0,OR(AUTOEVENTO&lt;&gt;"manual",$M65&lt;&gt;$A$15)),
        IF(Import.TipoArredondamento&lt;&gt;"TransfereGOV",
              ROUND(OFFSET($P65,0,AV$13),15-13*ORÇAMENTO!$AF$7)/$H65*OFFSET(ORÇAMENTO!$X$15,ROW(AV65)-ROW(AV$15),0),
              ROUND(ROUND(OFFSET($P65,0,AV$13),15-13*ORÇAMENTO!$AF$7)*OFFSET(ORÇAMENTO!$W$15,ROW(AV65)-ROW(AV$15),0),15-13*ORÇAMENTO!$AF$11)),
         0)</f>
        <v>0</v>
      </c>
      <c r="AW65" s="352" t="n">
        <f aca="true">IF(AND($D65="Serviço",AW$12&lt;&gt;0,$H65&gt;0,OR(AUTOEVENTO&lt;&gt;"manual",$M65&lt;&gt;$A$15)),
        IF(Import.TipoArredondamento&lt;&gt;"TransfereGOV",
              ROUND(OFFSET($P65,0,AW$13),15-13*ORÇAMENTO!$AF$7)/$H65*OFFSET(ORÇAMENTO!$X$15,ROW(AW65)-ROW(AW$15),0),
              ROUND(ROUND(OFFSET($P65,0,AW$13),15-13*ORÇAMENTO!$AF$7)*OFFSET(ORÇAMENTO!$W$15,ROW(AW65)-ROW(AW$15),0),15-13*ORÇAMENTO!$AF$11)),
         0)</f>
        <v>0</v>
      </c>
      <c r="AX65" s="352" t="n">
        <f aca="true">IF(AND($D65="Serviço",AX$12&lt;&gt;0,$H65&gt;0,OR(AUTOEVENTO&lt;&gt;"manual",$M65&lt;&gt;$A$15)),
        IF(Import.TipoArredondamento&lt;&gt;"TransfereGOV",
              ROUND(OFFSET($P65,0,AX$13),15-13*ORÇAMENTO!$AF$7)/$H65*OFFSET(ORÇAMENTO!$X$15,ROW(AX65)-ROW(AX$15),0),
              ROUND(ROUND(OFFSET($P65,0,AX$13),15-13*ORÇAMENTO!$AF$7)*OFFSET(ORÇAMENTO!$W$15,ROW(AX65)-ROW(AX$15),0),15-13*ORÇAMENTO!$AF$11)),
         0)</f>
        <v>0</v>
      </c>
      <c r="AY65" s="352" t="n">
        <f aca="true">IF(AND($D65="Serviço",AY$12&lt;&gt;0,$H65&gt;0,OR(AUTOEVENTO&lt;&gt;"manual",$M65&lt;&gt;$A$15)),
        IF(Import.TipoArredondamento&lt;&gt;"TransfereGOV",
              ROUND(OFFSET($P65,0,AY$13),15-13*ORÇAMENTO!$AF$7)/$H65*OFFSET(ORÇAMENTO!$X$15,ROW(AY65)-ROW(AY$15),0),
              ROUND(ROUND(OFFSET($P65,0,AY$13),15-13*ORÇAMENTO!$AF$7)*OFFSET(ORÇAMENTO!$W$15,ROW(AY65)-ROW(AY$15),0),15-13*ORÇAMENTO!$AF$11)),
         0)</f>
        <v>0</v>
      </c>
      <c r="AZ65" s="352" t="n">
        <f aca="true">IF(AND($D65="Serviço",AZ$12&lt;&gt;0,$H65&gt;0,OR(AUTOEVENTO&lt;&gt;"manual",$M65&lt;&gt;$A$15)),
        IF(Import.TipoArredondamento&lt;&gt;"TransfereGOV",
              ROUND(OFFSET($P65,0,AZ$13),15-13*ORÇAMENTO!$AF$7)/$H65*OFFSET(ORÇAMENTO!$X$15,ROW(AZ65)-ROW(AZ$15),0),
              ROUND(ROUND(OFFSET($P65,0,AZ$13),15-13*ORÇAMENTO!$AF$7)*OFFSET(ORÇAMENTO!$W$15,ROW(AZ65)-ROW(AZ$15),0),15-13*ORÇAMENTO!$AF$11)),
         0)</f>
        <v>0</v>
      </c>
      <c r="BA65" s="352" t="n">
        <f aca="true">IF(AND($D65="Serviço",BA$12&lt;&gt;0,$H65&gt;0,OR(AUTOEVENTO&lt;&gt;"manual",$M65&lt;&gt;$A$15)),
        IF(Import.TipoArredondamento&lt;&gt;"TransfereGOV",
              ROUND(OFFSET($P65,0,BA$13),15-13*ORÇAMENTO!$AF$7)/$H65*OFFSET(ORÇAMENTO!$X$15,ROW(BA65)-ROW(BA$15),0),
              ROUND(ROUND(OFFSET($P65,0,BA$13),15-13*ORÇAMENTO!$AF$7)*OFFSET(ORÇAMENTO!$W$15,ROW(BA65)-ROW(BA$15),0),15-13*ORÇAMENTO!$AF$11)),
         0)</f>
        <v>0</v>
      </c>
      <c r="BB65" s="352" t="n">
        <f aca="true">IF(AND($D65="Serviço",BB$12&lt;&gt;0,$H65&gt;0,OR(AUTOEVENTO&lt;&gt;"manual",$M65&lt;&gt;$A$15)),
        IF(Import.TipoArredondamento&lt;&gt;"TransfereGOV",
              ROUND(OFFSET($P65,0,BB$13),15-13*ORÇAMENTO!$AF$7)/$H65*OFFSET(ORÇAMENTO!$X$15,ROW(BB65)-ROW(BB$15),0),
              ROUND(ROUND(OFFSET($P65,0,BB$13),15-13*ORÇAMENTO!$AF$7)*OFFSET(ORÇAMENTO!$W$15,ROW(BB65)-ROW(BB$15),0),15-13*ORÇAMENTO!$AF$11)),
         0)</f>
        <v>0</v>
      </c>
      <c r="BC65" s="352" t="n">
        <f aca="true">IF(AND($D65="Serviço",BC$12&lt;&gt;0,$H65&gt;0,OR(AUTOEVENTO&lt;&gt;"manual",$M65&lt;&gt;$A$15)),
        IF(Import.TipoArredondamento&lt;&gt;"TransfereGOV",
              ROUND(OFFSET($P65,0,BC$13),15-13*ORÇAMENTO!$AF$7)/$H65*OFFSET(ORÇAMENTO!$X$15,ROW(BC65)-ROW(BC$15),0),
              ROUND(ROUND(OFFSET($P65,0,BC$13),15-13*ORÇAMENTO!$AF$7)*OFFSET(ORÇAMENTO!$W$15,ROW(BC65)-ROW(BC$15),0),15-13*ORÇAMENTO!$AF$11)),
         0)</f>
        <v>0</v>
      </c>
      <c r="BD65" s="352" t="n">
        <f aca="true">IF(AND($D65="Serviço",BD$12&lt;&gt;0,$H65&gt;0,OR(AUTOEVENTO&lt;&gt;"manual",$M65&lt;&gt;$A$15)),
        IF(Import.TipoArredondamento&lt;&gt;"TransfereGOV",
              ROUND(OFFSET($P65,0,BD$13),15-13*ORÇAMENTO!$AF$7)/$H65*OFFSET(ORÇAMENTO!$X$15,ROW(BD65)-ROW(BD$15),0),
              ROUND(ROUND(OFFSET($P65,0,BD$13),15-13*ORÇAMENTO!$AF$7)*OFFSET(ORÇAMENTO!$W$15,ROW(BD65)-ROW(BD$15),0),15-13*ORÇAMENTO!$AF$11)),
         0)</f>
        <v>0</v>
      </c>
      <c r="BE65" s="352" t="n">
        <f aca="true">IF(AND($D65="Serviço",BE$12&lt;&gt;0,$H65&gt;0,OR(AUTOEVENTO&lt;&gt;"manual",$M65&lt;&gt;$A$15)),
        IF(Import.TipoArredondamento&lt;&gt;"TransfereGOV",
              ROUND(OFFSET($P65,0,BE$13),15-13*ORÇAMENTO!$AF$7)/$H65*OFFSET(ORÇAMENTO!$X$15,ROW(BE65)-ROW(BE$15),0),
              ROUND(ROUND(OFFSET($P65,0,BE$13),15-13*ORÇAMENTO!$AF$7)*OFFSET(ORÇAMENTO!$W$15,ROW(BE65)-ROW(BE$15),0),15-13*ORÇAMENTO!$AF$11)),
         0)</f>
        <v>0</v>
      </c>
      <c r="BF65" s="352" t="n">
        <f aca="true">IF(AND($D65="Serviço",BF$12&lt;&gt;0,$H65&gt;0,OR(AUTOEVENTO&lt;&gt;"manual",$M65&lt;&gt;$A$15)),
        IF(Import.TipoArredondamento&lt;&gt;"TransfereGOV",
              ROUND(OFFSET($P65,0,BF$13),15-13*ORÇAMENTO!$AF$7)/$H65*OFFSET(ORÇAMENTO!$X$15,ROW(BF65)-ROW(BF$15),0),
              ROUND(ROUND(OFFSET($P65,0,BF$13),15-13*ORÇAMENTO!$AF$7)*OFFSET(ORÇAMENTO!$W$15,ROW(BF65)-ROW(BF$15),0),15-13*ORÇAMENTO!$AF$11)),
         0)</f>
        <v>0</v>
      </c>
      <c r="BG65" s="352" t="n">
        <f aca="true">IF(AND($D65="Serviço",BG$12&lt;&gt;0,$H65&gt;0,OR(AUTOEVENTO&lt;&gt;"manual",$M65&lt;&gt;$A$15)),
        IF(Import.TipoArredondamento&lt;&gt;"TransfereGOV",
              ROUND(OFFSET($P65,0,BG$13),15-13*ORÇAMENTO!$AF$7)/$H65*OFFSET(ORÇAMENTO!$X$15,ROW(BG65)-ROW(BG$15),0),
              ROUND(ROUND(OFFSET($P65,0,BG$13),15-13*ORÇAMENTO!$AF$7)*OFFSET(ORÇAMENTO!$W$15,ROW(BG65)-ROW(BG$15),0),15-13*ORÇAMENTO!$AF$11)),
         0)</f>
        <v>0</v>
      </c>
      <c r="BH65" s="352" t="n">
        <f aca="true">IF(AND($D65="Serviço",BH$12&lt;&gt;0,$H65&gt;0,OR(AUTOEVENTO&lt;&gt;"manual",$M65&lt;&gt;$A$15)),
        IF(Import.TipoArredondamento&lt;&gt;"TransfereGOV",
              ROUND(OFFSET($P65,0,BH$13),15-13*ORÇAMENTO!$AF$7)/$H65*OFFSET(ORÇAMENTO!$X$15,ROW(BH65)-ROW(BH$15),0),
              ROUND(ROUND(OFFSET($P65,0,BH$13),15-13*ORÇAMENTO!$AF$7)*OFFSET(ORÇAMENTO!$W$15,ROW(BH65)-ROW(BH$15),0),15-13*ORÇAMENTO!$AF$11)),
         0)</f>
        <v>0</v>
      </c>
      <c r="BI65" s="352" t="n">
        <f aca="true">IF(AND($D65="Serviço",BI$12&lt;&gt;0,$H65&gt;0,OR(AUTOEVENTO&lt;&gt;"manual",$M65&lt;&gt;$A$15)),
        IF(Import.TipoArredondamento&lt;&gt;"TransfereGOV",
              ROUND(OFFSET($P65,0,BI$13),15-13*ORÇAMENTO!$AF$7)/$H65*OFFSET(ORÇAMENTO!$X$15,ROW(BI65)-ROW(BI$15),0),
              ROUND(ROUND(OFFSET($P65,0,BI$13),15-13*ORÇAMENTO!$AF$7)*OFFSET(ORÇAMENTO!$W$15,ROW(BI65)-ROW(BI$15),0),15-13*ORÇAMENTO!$AF$11)),
         0)</f>
        <v>0</v>
      </c>
      <c r="BJ65" s="352" t="n">
        <f aca="true">IF(AND($D65="Serviço",BJ$12&lt;&gt;0,$H65&gt;0,OR(AUTOEVENTO&lt;&gt;"manual",$M65&lt;&gt;$A$15)),
        IF(Import.TipoArredondamento&lt;&gt;"TransfereGOV",
              ROUND(OFFSET($P65,0,BJ$13),15-13*ORÇAMENTO!$AF$7)/$H65*OFFSET(ORÇAMENTO!$X$15,ROW(BJ65)-ROW(BJ$15),0),
              ROUND(ROUND(OFFSET($P65,0,BJ$13),15-13*ORÇAMENTO!$AF$7)*OFFSET(ORÇAMENTO!$W$15,ROW(BJ65)-ROW(BJ$15),0),15-13*ORÇAMENTO!$AF$11)),
         0)</f>
        <v>0</v>
      </c>
      <c r="BK65" s="352" t="n">
        <f aca="true">IF(AND($D65="Serviço",BK$12&lt;&gt;0,$H65&gt;0,OR(AUTOEVENTO&lt;&gt;"manual",$M65&lt;&gt;$A$15)),
        IF(Import.TipoArredondamento&lt;&gt;"TransfereGOV",
              ROUND(OFFSET($P65,0,BK$13),15-13*ORÇAMENTO!$AF$7)/$H65*OFFSET(ORÇAMENTO!$X$15,ROW(BK65)-ROW(BK$15),0),
              ROUND(ROUND(OFFSET($P65,0,BK$13),15-13*ORÇAMENTO!$AF$7)*OFFSET(ORÇAMENTO!$W$15,ROW(BK65)-ROW(BK$15),0),15-13*ORÇAMENTO!$AF$11)),
         0)</f>
        <v>0</v>
      </c>
      <c r="BL65" s="352" t="n">
        <f aca="true">IF(AND($D65="Serviço",BL$12&lt;&gt;0,$H65&gt;0,OR(AUTOEVENTO&lt;&gt;"manual",$M65&lt;&gt;$A$15)),
        IF(Import.TipoArredondamento&lt;&gt;"TransfereGOV",
              ROUND(OFFSET($P65,0,BL$13),15-13*ORÇAMENTO!$AF$7)/$H65*OFFSET(ORÇAMENTO!$X$15,ROW(BL65)-ROW(BL$15),0),
              ROUND(ROUND(OFFSET($P65,0,BL$13),15-13*ORÇAMENTO!$AF$7)*OFFSET(ORÇAMENTO!$W$15,ROW(BL65)-ROW(BL$15),0),15-13*ORÇAMENTO!$AF$11)),
         0)</f>
        <v>0</v>
      </c>
      <c r="BM65" s="352" t="n">
        <f aca="true">IF(AND($D65="Serviço",BM$12&lt;&gt;0,$H65&gt;0,OR(AUTOEVENTO&lt;&gt;"manual",$M65&lt;&gt;$A$15)),
        IF(Import.TipoArredondamento&lt;&gt;"TransfereGOV",
              ROUND(OFFSET($P65,0,BM$13),15-13*ORÇAMENTO!$AF$7)/$H65*OFFSET(ORÇAMENTO!$X$15,ROW(BM65)-ROW(BM$15),0),
              ROUND(ROUND(OFFSET($P65,0,BM$13),15-13*ORÇAMENTO!$AF$7)*OFFSET(ORÇAMENTO!$W$15,ROW(BM65)-ROW(BM$15),0),15-13*ORÇAMENTO!$AF$11)),
         0)</f>
        <v>0</v>
      </c>
      <c r="BN65" s="352" t="n">
        <f aca="true">IF(AND($D65="Serviço",BN$12&lt;&gt;0,$H65&gt;0,OR(AUTOEVENTO&lt;&gt;"manual",$M65&lt;&gt;$A$15)),
        IF(Import.TipoArredondamento&lt;&gt;"TransfereGOV",
              ROUND(OFFSET($P65,0,BN$13),15-13*ORÇAMENTO!$AF$7)/$H65*OFFSET(ORÇAMENTO!$X$15,ROW(BN65)-ROW(BN$15),0),
              ROUND(ROUND(OFFSET($P65,0,BN$13),15-13*ORÇAMENTO!$AF$7)*OFFSET(ORÇAMENTO!$W$15,ROW(BN65)-ROW(BN$15),0),15-13*ORÇAMENTO!$AF$11)),
         0)</f>
        <v>0</v>
      </c>
      <c r="BO65" s="352" t="n">
        <f aca="true">IF(AND($D65="Serviço",BO$12&lt;&gt;0,$H65&gt;0,OR(AUTOEVENTO&lt;&gt;"manual",$M65&lt;&gt;$A$15)),
        IF(Import.TipoArredondamento&lt;&gt;"TransfereGOV",
              ROUND(OFFSET($P65,0,BO$13),15-13*ORÇAMENTO!$AF$7)/$H65*OFFSET(ORÇAMENTO!$X$15,ROW(BO65)-ROW(BO$15),0),
              ROUND(ROUND(OFFSET($P65,0,BO$13),15-13*ORÇAMENTO!$AF$7)*OFFSET(ORÇAMENTO!$W$15,ROW(BO65)-ROW(BO$15),0),15-13*ORÇAMENTO!$AF$11)),
         0)</f>
        <v>0</v>
      </c>
      <c r="BP65" s="352" t="n">
        <f aca="true">IF(AND($D65="Serviço",BP$12&lt;&gt;0,$H65&gt;0,OR(AUTOEVENTO&lt;&gt;"manual",$M65&lt;&gt;$A$15)),
        IF(Import.TipoArredondamento&lt;&gt;"TransfereGOV",
              ROUND(OFFSET($P65,0,BP$13),15-13*ORÇAMENTO!$AF$7)/$H65*OFFSET(ORÇAMENTO!$X$15,ROW(BP65)-ROW(BP$15),0),
              ROUND(ROUND(OFFSET($P65,0,BP$13),15-13*ORÇAMENTO!$AF$7)*OFFSET(ORÇAMENTO!$W$15,ROW(BP65)-ROW(BP$15),0),15-13*ORÇAMENTO!$AF$11)),
         0)</f>
        <v>0</v>
      </c>
      <c r="BQ65" s="352" t="n">
        <f aca="true">IF(AND($D65="Serviço",BQ$12&lt;&gt;0,$H65&gt;0,OR(AUTOEVENTO&lt;&gt;"manual",$M65&lt;&gt;$A$15)),
        IF(Import.TipoArredondamento&lt;&gt;"TransfereGOV",
              ROUND(OFFSET($P65,0,BQ$13),15-13*ORÇAMENTO!$AF$7)/$H65*OFFSET(ORÇAMENTO!$X$15,ROW(BQ65)-ROW(BQ$15),0),
              ROUND(ROUND(OFFSET($P65,0,BQ$13),15-13*ORÇAMENTO!$AF$7)*OFFSET(ORÇAMENTO!$W$15,ROW(BQ65)-ROW(BQ$15),0),15-13*ORÇAMENTO!$AF$11)),
         0)</f>
        <v>0</v>
      </c>
      <c r="BS65" s="353" t="n">
        <f aca="true">IF(OR($D65&lt;&gt;"Serviço",AND(AUTOEVENTO="Manual",$M65=$A$15)),0,
         IF(OFFSET(CRONOPLE!$F$15,$M65-$A$15,BS$13)=0,10^12,OFFSET(CRONOPLE!$F$15,$M65-$A$15,BS$13)))</f>
        <v>0</v>
      </c>
      <c r="BT65" s="353" t="n">
        <f aca="true">IF(OR($D65&lt;&gt;"Serviço",AND(AUTOEVENTO="Manual",$M65=$A$15)),0,
         IF(OFFSET(CRONOPLE!$F$15,$M65-$A$15,BT$13)=0,10^12,OFFSET(CRONOPLE!$F$15,$M65-$A$15,BT$13)))</f>
        <v>0</v>
      </c>
      <c r="BU65" s="353" t="n">
        <f aca="true">IF(OR($D65&lt;&gt;"Serviço",AND(AUTOEVENTO="Manual",$M65=$A$15)),0,
         IF(OFFSET(CRONOPLE!$F$15,$M65-$A$15,BU$13)=0,10^12,OFFSET(CRONOPLE!$F$15,$M65-$A$15,BU$13)))</f>
        <v>0</v>
      </c>
      <c r="BV65" s="353" t="n">
        <f aca="true">IF(OR($D65&lt;&gt;"Serviço",AND(AUTOEVENTO="Manual",$M65=$A$15)),0,
         IF(OFFSET(CRONOPLE!$F$15,$M65-$A$15,BV$13)=0,10^12,OFFSET(CRONOPLE!$F$15,$M65-$A$15,BV$13)))</f>
        <v>0</v>
      </c>
      <c r="BW65" s="353" t="n">
        <f aca="true">IF(OR($D65&lt;&gt;"Serviço",AND(AUTOEVENTO="Manual",$M65=$A$15)),0,
         IF(OFFSET(CRONOPLE!$F$15,$M65-$A$15,BW$13)=0,10^12,OFFSET(CRONOPLE!$F$15,$M65-$A$15,BW$13)))</f>
        <v>0</v>
      </c>
      <c r="BX65" s="353" t="n">
        <f aca="true">IF(OR($D65&lt;&gt;"Serviço",AND(AUTOEVENTO="Manual",$M65=$A$15)),0,
         IF(OFFSET(CRONOPLE!$F$15,$M65-$A$15,BX$13)=0,10^12,OFFSET(CRONOPLE!$F$15,$M65-$A$15,BX$13)))</f>
        <v>0</v>
      </c>
      <c r="BY65" s="353" t="n">
        <f aca="true">IF(OR($D65&lt;&gt;"Serviço",AND(AUTOEVENTO="Manual",$M65=$A$15)),0,
         IF(OFFSET(CRONOPLE!$F$15,$M65-$A$15,BY$13)=0,10^12,OFFSET(CRONOPLE!$F$15,$M65-$A$15,BY$13)))</f>
        <v>0</v>
      </c>
      <c r="BZ65" s="353" t="n">
        <f aca="true">IF(OR($D65&lt;&gt;"Serviço",AND(AUTOEVENTO="Manual",$M65=$A$15)),0,
         IF(OFFSET(CRONOPLE!$F$15,$M65-$A$15,BZ$13)=0,10^12,OFFSET(CRONOPLE!$F$15,$M65-$A$15,BZ$13)))</f>
        <v>0</v>
      </c>
      <c r="CA65" s="353" t="n">
        <f aca="true">IF(OR($D65&lt;&gt;"Serviço",AND(AUTOEVENTO="Manual",$M65=$A$15)),0,
         IF(OFFSET(CRONOPLE!$F$15,$M65-$A$15,CA$13)=0,10^12,OFFSET(CRONOPLE!$F$15,$M65-$A$15,CA$13)))</f>
        <v>0</v>
      </c>
      <c r="CB65" s="353" t="n">
        <f aca="true">IF(OR($D65&lt;&gt;"Serviço",AND(AUTOEVENTO="Manual",$M65=$A$15)),0,
         IF(OFFSET(CRONOPLE!$F$15,$M65-$A$15,CB$13)=0,10^12,OFFSET(CRONOPLE!$F$15,$M65-$A$15,CB$13)))</f>
        <v>0</v>
      </c>
      <c r="CC65" s="353" t="n">
        <f aca="true">IF(OR($D65&lt;&gt;"Serviço",AND(AUTOEVENTO="Manual",$M65=$A$15)),0,
         IF(OFFSET(CRONOPLE!$F$15,$M65-$A$15,CC$13)=0,10^12,OFFSET(CRONOPLE!$F$15,$M65-$A$15,CC$13)))</f>
        <v>0</v>
      </c>
      <c r="CD65" s="353" t="n">
        <f aca="true">IF(OR($D65&lt;&gt;"Serviço",AND(AUTOEVENTO="Manual",$M65=$A$15)),0,
         IF(OFFSET(CRONOPLE!$F$15,$M65-$A$15,CD$13)=0,10^12,OFFSET(CRONOPLE!$F$15,$M65-$A$15,CD$13)))</f>
        <v>0</v>
      </c>
      <c r="CE65" s="353" t="n">
        <f aca="true">IF(OR($D65&lt;&gt;"Serviço",AND(AUTOEVENTO="Manual",$M65=$A$15)),0,
         IF(OFFSET(CRONOPLE!$F$15,$M65-$A$15,CE$13)=0,10^12,OFFSET(CRONOPLE!$F$15,$M65-$A$15,CE$13)))</f>
        <v>0</v>
      </c>
      <c r="CF65" s="353" t="n">
        <f aca="true">IF(OR($D65&lt;&gt;"Serviço",AND(AUTOEVENTO="Manual",$M65=$A$15)),0,
         IF(OFFSET(CRONOPLE!$F$15,$M65-$A$15,CF$13)=0,10^12,OFFSET(CRONOPLE!$F$15,$M65-$A$15,CF$13)))</f>
        <v>0</v>
      </c>
      <c r="CG65" s="353" t="n">
        <f aca="true">IF(OR($D65&lt;&gt;"Serviço",AND(AUTOEVENTO="Manual",$M65=$A$15)),0,
         IF(OFFSET(CRONOPLE!$F$15,$M65-$A$15,CG$13)=0,10^12,OFFSET(CRONOPLE!$F$15,$M65-$A$15,CG$13)))</f>
        <v>0</v>
      </c>
      <c r="CH65" s="353" t="n">
        <f aca="true">IF(OR($D65&lt;&gt;"Serviço",AND(AUTOEVENTO="Manual",$M65=$A$15)),0,
         IF(OFFSET(CRONOPLE!$F$15,$M65-$A$15,CH$13)=0,10^12,OFFSET(CRONOPLE!$F$15,$M65-$A$15,CH$13)))</f>
        <v>0</v>
      </c>
      <c r="CI65" s="353" t="n">
        <f aca="true">IF(OR($D65&lt;&gt;"Serviço",AND(AUTOEVENTO="Manual",$M65=$A$15)),0,
         IF(OFFSET(CRONOPLE!$F$15,$M65-$A$15,CI$13)=0,10^12,OFFSET(CRONOPLE!$F$15,$M65-$A$15,CI$13)))</f>
        <v>0</v>
      </c>
      <c r="CJ65" s="353" t="n">
        <f aca="true">IF(OR($D65&lt;&gt;"Serviço",AND(AUTOEVENTO="Manual",$M65=$A$15)),0,
         IF(OFFSET(CRONOPLE!$F$15,$M65-$A$15,CJ$13)=0,10^12,OFFSET(CRONOPLE!$F$15,$M65-$A$15,CJ$13)))</f>
        <v>0</v>
      </c>
      <c r="CK65" s="353" t="n">
        <f aca="true">IF(OR($D65&lt;&gt;"Serviço",AND(AUTOEVENTO="Manual",$M65=$A$15)),0,
         IF(OFFSET(CRONOPLE!$F$15,$M65-$A$15,CK$13)=0,10^12,OFFSET(CRONOPLE!$F$15,$M65-$A$15,CK$13)))</f>
        <v>0</v>
      </c>
      <c r="CL65" s="353" t="n">
        <f aca="true">IF(OR($D65&lt;&gt;"Serviço",AND(AUTOEVENTO="Manual",$M65=$A$15)),0,
         IF(OFFSET(CRONOPLE!$F$15,$M65-$A$15,CL$13)=0,10^12,OFFSET(CRONOPLE!$F$15,$M65-$A$15,CL$13)))</f>
        <v>0</v>
      </c>
      <c r="CM65" s="353" t="n">
        <f aca="true">IF(OR($D65&lt;&gt;"Serviço",AND(AUTOEVENTO="Manual",$M65=$A$15)),0,
         IF(OFFSET(CRONOPLE!$F$15,$M65-$A$15,CM$13)=0,10^12,OFFSET(CRONOPLE!$F$15,$M65-$A$15,CM$13)))</f>
        <v>0</v>
      </c>
      <c r="CN65" s="353" t="n">
        <f aca="true">IF(OR($D65&lt;&gt;"Serviço",AND(AUTOEVENTO="Manual",$M65=$A$15)),0,
         IF(OFFSET(CRONOPLE!$F$15,$M65-$A$15,CN$13)=0,10^12,OFFSET(CRONOPLE!$F$15,$M65-$A$15,CN$13)))</f>
        <v>0</v>
      </c>
      <c r="CO65" s="353" t="n">
        <f aca="true">IF(OR($D65&lt;&gt;"Serviço",AND(AUTOEVENTO="Manual",$M65=$A$15)),0,
         IF(OFFSET(CRONOPLE!$F$15,$M65-$A$15,CO$13)=0,10^12,OFFSET(CRONOPLE!$F$15,$M65-$A$15,CO$13)))</f>
        <v>0</v>
      </c>
      <c r="CP65" s="353" t="n">
        <f aca="true">IF(OR($D65&lt;&gt;"Serviço",AND(AUTOEVENTO="Manual",$M65=$A$15)),0,
         IF(OFFSET(CRONOPLE!$F$15,$M65-$A$15,CP$13)=0,10^12,OFFSET(CRONOPLE!$F$15,$M65-$A$15,CP$13)))</f>
        <v>0</v>
      </c>
      <c r="CQ65" s="353" t="n">
        <f aca="true">IF(OR($D65&lt;&gt;"Serviço",AND(AUTOEVENTO="Manual",$M65=$A$15)),0,
         IF(OFFSET(CRONOPLE!$F$15,$M65-$A$15,CQ$13)=0,10^12,OFFSET(CRONOPLE!$F$15,$M65-$A$15,CQ$13)))</f>
        <v>0</v>
      </c>
      <c r="CR65" s="353" t="n">
        <f aca="true">IF(OR($D65&lt;&gt;"Serviço",AND(AUTOEVENTO="Manual",$M65=$A$15)),0,
         IF(OFFSET(CRONOPLE!$F$15,$M65-$A$15,CR$13)=0,10^12,OFFSET(CRONOPLE!$F$15,$M65-$A$15,CR$13)))</f>
        <v>0</v>
      </c>
      <c r="CT65" s="354" t="n">
        <f aca="true">IF(OR($D65&lt;&gt;"Serviço",AND(AUTOEVENTO="Manual",$M65=$A$15),$M65&gt;(ROW(PLE.lastrow)-ROW(PLE.firstrow))),0,
           IF(OFFSET(PLE!$G$15,$M65-$A$15,CT$13)="",10^12,OFFSET(PLE!$G$15,$M65-$A$15,CT$13)))</f>
        <v>0</v>
      </c>
      <c r="CU65" s="354" t="n">
        <f aca="true">IF(OR($D65&lt;&gt;"Serviço",AND(AUTOEVENTO="Manual",$M65=$A$15),$M65&gt;(ROW(PLE.lastrow)-ROW(PLE.firstrow))),0,
           IF(OFFSET(PLE!$G$15,$M65-$A$15,CU$13)="",10^12,OFFSET(PLE!$G$15,$M65-$A$15,CU$13)))</f>
        <v>0</v>
      </c>
      <c r="CV65" s="354" t="n">
        <f aca="true">IF(OR($D65&lt;&gt;"Serviço",AND(AUTOEVENTO="Manual",$M65=$A$15),$M65&gt;(ROW(PLE.lastrow)-ROW(PLE.firstrow))),0,
           IF(OFFSET(PLE!$G$15,$M65-$A$15,CV$13)="",10^12,OFFSET(PLE!$G$15,$M65-$A$15,CV$13)))</f>
        <v>0</v>
      </c>
      <c r="CW65" s="354" t="n">
        <f aca="true">IF(OR($D65&lt;&gt;"Serviço",AND(AUTOEVENTO="Manual",$M65=$A$15),$M65&gt;(ROW(PLE.lastrow)-ROW(PLE.firstrow))),0,
           IF(OFFSET(PLE!$G$15,$M65-$A$15,CW$13)="",10^12,OFFSET(PLE!$G$15,$M65-$A$15,CW$13)))</f>
        <v>0</v>
      </c>
      <c r="CX65" s="354" t="n">
        <f aca="true">IF(OR($D65&lt;&gt;"Serviço",AND(AUTOEVENTO="Manual",$M65=$A$15),$M65&gt;(ROW(PLE.lastrow)-ROW(PLE.firstrow))),0,
           IF(OFFSET(PLE!$G$15,$M65-$A$15,CX$13)="",10^12,OFFSET(PLE!$G$15,$M65-$A$15,CX$13)))</f>
        <v>0</v>
      </c>
      <c r="CY65" s="354" t="n">
        <f aca="true">IF(OR($D65&lt;&gt;"Serviço",AND(AUTOEVENTO="Manual",$M65=$A$15),$M65&gt;(ROW(PLE.lastrow)-ROW(PLE.firstrow))),0,
           IF(OFFSET(PLE!$G$15,$M65-$A$15,CY$13)="",10^12,OFFSET(PLE!$G$15,$M65-$A$15,CY$13)))</f>
        <v>0</v>
      </c>
      <c r="CZ65" s="354" t="n">
        <f aca="true">IF(OR($D65&lt;&gt;"Serviço",AND(AUTOEVENTO="Manual",$M65=$A$15),$M65&gt;(ROW(PLE.lastrow)-ROW(PLE.firstrow))),0,
           IF(OFFSET(PLE!$G$15,$M65-$A$15,CZ$13)="",10^12,OFFSET(PLE!$G$15,$M65-$A$15,CZ$13)))</f>
        <v>0</v>
      </c>
      <c r="DA65" s="354" t="n">
        <f aca="true">IF(OR($D65&lt;&gt;"Serviço",AND(AUTOEVENTO="Manual",$M65=$A$15),$M65&gt;(ROW(PLE.lastrow)-ROW(PLE.firstrow))),0,
           IF(OFFSET(PLE!$G$15,$M65-$A$15,DA$13)="",10^12,OFFSET(PLE!$G$15,$M65-$A$15,DA$13)))</f>
        <v>0</v>
      </c>
      <c r="DB65" s="354" t="n">
        <f aca="true">IF(OR($D65&lt;&gt;"Serviço",AND(AUTOEVENTO="Manual",$M65=$A$15),$M65&gt;(ROW(PLE.lastrow)-ROW(PLE.firstrow))),0,
           IF(OFFSET(PLE!$G$15,$M65-$A$15,DB$13)="",10^12,OFFSET(PLE!$G$15,$M65-$A$15,DB$13)))</f>
        <v>0</v>
      </c>
      <c r="DC65" s="354" t="n">
        <f aca="true">IF(OR($D65&lt;&gt;"Serviço",AND(AUTOEVENTO="Manual",$M65=$A$15),$M65&gt;(ROW(PLE.lastrow)-ROW(PLE.firstrow))),0,
           IF(OFFSET(PLE!$G$15,$M65-$A$15,DC$13)="",10^12,OFFSET(PLE!$G$15,$M65-$A$15,DC$13)))</f>
        <v>0</v>
      </c>
      <c r="DD65" s="354" t="n">
        <f aca="true">IF(OR($D65&lt;&gt;"Serviço",AND(AUTOEVENTO="Manual",$M65=$A$15),$M65&gt;(ROW(PLE.lastrow)-ROW(PLE.firstrow))),0,
           IF(OFFSET(PLE!$G$15,$M65-$A$15,DD$13)="",10^12,OFFSET(PLE!$G$15,$M65-$A$15,DD$13)))</f>
        <v>0</v>
      </c>
      <c r="DE65" s="354" t="n">
        <f aca="true">IF(OR($D65&lt;&gt;"Serviço",AND(AUTOEVENTO="Manual",$M65=$A$15),$M65&gt;(ROW(PLE.lastrow)-ROW(PLE.firstrow))),0,
           IF(OFFSET(PLE!$G$15,$M65-$A$15,DE$13)="",10^12,OFFSET(PLE!$G$15,$M65-$A$15,DE$13)))</f>
        <v>0</v>
      </c>
      <c r="DF65" s="354" t="n">
        <f aca="true">IF(OR($D65&lt;&gt;"Serviço",AND(AUTOEVENTO="Manual",$M65=$A$15),$M65&gt;(ROW(PLE.lastrow)-ROW(PLE.firstrow))),0,
           IF(OFFSET(PLE!$G$15,$M65-$A$15,DF$13)="",10^12,OFFSET(PLE!$G$15,$M65-$A$15,DF$13)))</f>
        <v>0</v>
      </c>
      <c r="DG65" s="354" t="n">
        <f aca="true">IF(OR($D65&lt;&gt;"Serviço",AND(AUTOEVENTO="Manual",$M65=$A$15),$M65&gt;(ROW(PLE.lastrow)-ROW(PLE.firstrow))),0,
           IF(OFFSET(PLE!$G$15,$M65-$A$15,DG$13)="",10^12,OFFSET(PLE!$G$15,$M65-$A$15,DG$13)))</f>
        <v>0</v>
      </c>
      <c r="DH65" s="354" t="n">
        <f aca="true">IF(OR($D65&lt;&gt;"Serviço",AND(AUTOEVENTO="Manual",$M65=$A$15),$M65&gt;(ROW(PLE.lastrow)-ROW(PLE.firstrow))),0,
           IF(OFFSET(PLE!$G$15,$M65-$A$15,DH$13)="",10^12,OFFSET(PLE!$G$15,$M65-$A$15,DH$13)))</f>
        <v>0</v>
      </c>
      <c r="DI65" s="354" t="n">
        <f aca="true">IF(OR($D65&lt;&gt;"Serviço",AND(AUTOEVENTO="Manual",$M65=$A$15),$M65&gt;(ROW(PLE.lastrow)-ROW(PLE.firstrow))),0,
           IF(OFFSET(PLE!$G$15,$M65-$A$15,DI$13)="",10^12,OFFSET(PLE!$G$15,$M65-$A$15,DI$13)))</f>
        <v>0</v>
      </c>
      <c r="DJ65" s="354" t="n">
        <f aca="true">IF(OR($D65&lt;&gt;"Serviço",AND(AUTOEVENTO="Manual",$M65=$A$15),$M65&gt;(ROW(PLE.lastrow)-ROW(PLE.firstrow))),0,
           IF(OFFSET(PLE!$G$15,$M65-$A$15,DJ$13)="",10^12,OFFSET(PLE!$G$15,$M65-$A$15,DJ$13)))</f>
        <v>0</v>
      </c>
      <c r="DK65" s="354" t="n">
        <f aca="true">IF(OR($D65&lt;&gt;"Serviço",AND(AUTOEVENTO="Manual",$M65=$A$15),$M65&gt;(ROW(PLE.lastrow)-ROW(PLE.firstrow))),0,
           IF(OFFSET(PLE!$G$15,$M65-$A$15,DK$13)="",10^12,OFFSET(PLE!$G$15,$M65-$A$15,DK$13)))</f>
        <v>0</v>
      </c>
      <c r="DL65" s="354" t="n">
        <f aca="true">IF(OR($D65&lt;&gt;"Serviço",AND(AUTOEVENTO="Manual",$M65=$A$15),$M65&gt;(ROW(PLE.lastrow)-ROW(PLE.firstrow))),0,
           IF(OFFSET(PLE!$G$15,$M65-$A$15,DL$13)="",10^12,OFFSET(PLE!$G$15,$M65-$A$15,DL$13)))</f>
        <v>0</v>
      </c>
      <c r="DM65" s="354" t="n">
        <f aca="true">IF(OR($D65&lt;&gt;"Serviço",AND(AUTOEVENTO="Manual",$M65=$A$15),$M65&gt;(ROW(PLE.lastrow)-ROW(PLE.firstrow))),0,
           IF(OFFSET(PLE!$G$15,$M65-$A$15,DM$13)="",10^12,OFFSET(PLE!$G$15,$M65-$A$15,DM$13)))</f>
        <v>0</v>
      </c>
      <c r="DN65" s="354" t="n">
        <f aca="true">IF(OR($D65&lt;&gt;"Serviço",AND(AUTOEVENTO="Manual",$M65=$A$15),$M65&gt;(ROW(PLE.lastrow)-ROW(PLE.firstrow))),0,
           IF(OFFSET(PLE!$G$15,$M65-$A$15,DN$13)="",10^12,OFFSET(PLE!$G$15,$M65-$A$15,DN$13)))</f>
        <v>0</v>
      </c>
      <c r="DO65" s="354" t="n">
        <f aca="true">IF(OR($D65&lt;&gt;"Serviço",AND(AUTOEVENTO="Manual",$M65=$A$15),$M65&gt;(ROW(PLE.lastrow)-ROW(PLE.firstrow))),0,
           IF(OFFSET(PLE!$G$15,$M65-$A$15,DO$13)="",10^12,OFFSET(PLE!$G$15,$M65-$A$15,DO$13)))</f>
        <v>0</v>
      </c>
      <c r="DP65" s="354" t="n">
        <f aca="true">IF(OR($D65&lt;&gt;"Serviço",AND(AUTOEVENTO="Manual",$M65=$A$15),$M65&gt;(ROW(PLE.lastrow)-ROW(PLE.firstrow))),0,
           IF(OFFSET(PLE!$G$15,$M65-$A$15,DP$13)="",10^12,OFFSET(PLE!$G$15,$M65-$A$15,DP$13)))</f>
        <v>0</v>
      </c>
      <c r="DQ65" s="354" t="n">
        <f aca="true">IF(OR($D65&lt;&gt;"Serviço",AND(AUTOEVENTO="Manual",$M65=$A$15),$M65&gt;(ROW(PLE.lastrow)-ROW(PLE.firstrow))),0,
           IF(OFFSET(PLE!$G$15,$M65-$A$15,DQ$13)="",10^12,OFFSET(PLE!$G$15,$M65-$A$15,DQ$13)))</f>
        <v>0</v>
      </c>
      <c r="DR65" s="354" t="n">
        <f aca="true">IF(OR($D65&lt;&gt;"Serviço",AND(AUTOEVENTO="Manual",$M65=$A$15),$M65&gt;(ROW(PLE.lastrow)-ROW(PLE.firstrow))),0,
           IF(OFFSET(PLE!$G$15,$M65-$A$15,DR$13)="",10^12,OFFSET(PLE!$G$15,$M65-$A$15,DR$13)))</f>
        <v>0</v>
      </c>
      <c r="DS65" s="354" t="n">
        <f aca="true">IF(OR($D65&lt;&gt;"Serviço",AND(AUTOEVENTO="Manual",$M65=$A$15),$M65&gt;(ROW(PLE.lastrow)-ROW(PLE.firstrow))),0,
           IF(OFFSET(PLE!$G$15,$M65-$A$15,DS$13)="",10^12,OFFSET(PLE!$G$15,$M65-$A$15,DS$13)))</f>
        <v>0</v>
      </c>
    </row>
    <row r="66" customFormat="false" ht="23.85" hidden="false" customHeight="false" outlineLevel="0" collapsed="false">
      <c r="A66" s="50" t="str">
        <f aca="true">IFERROR(IF(AUTOEVENTO="Manual",IF(K66&lt;&gt;"",MIN(VALUE(LEFT(K66,FIND(".",K66)-1)),COUNTA(EVENTOS.Lista)),0),IF(OR($B66&gt;AUTOEVENTO,$B66="S",$B66=0),SUBSTITUTE(OFFSET($A66,-1,0),IF($D66="Serviço",".",""),""),ROW(A66)-ROW($A$15)&amp;".")),0)</f>
        <v>50</v>
      </c>
      <c r="B66" s="50" t="str">
        <f aca="true">OFFSET(ORÇAMENTO!C$15,ROW(B66)-ROW(B$15),0)</f>
        <v>S</v>
      </c>
      <c r="C66" s="50" t="str">
        <f aca="true">OFFSET(ORÇAMENTO!L$15,ROW(C66)-ROW(C$15),0)</f>
        <v>F</v>
      </c>
      <c r="D66" s="201" t="str">
        <f aca="true">OFFSET(ORÇAMENTO!N$15,ROW(D66)-ROW(D$15),0)</f>
        <v>Serviço</v>
      </c>
      <c r="E66" s="202" t="str">
        <f aca="true">OFFSET(ORÇAMENTO!O$15,ROW(E66)-ROW(E$15),0)</f>
        <v>1.14.1.</v>
      </c>
      <c r="F66" s="341" t="str">
        <f aca="true">OFFSET(ORÇAMENTO!R$15,ROW(F66)-ROW(F$15),0)</f>
        <v>PORTA DE ABRIR COM MOLA HIDRÁULICA, EM VIDRO TEMPERADO, 90X210 CM, ESPESSURA 10 MM, INCLUSIVE ACESSÓRIOS. AF_01/2021</v>
      </c>
      <c r="G66" s="342" t="str">
        <f aca="true">IF($D66&lt;&gt;"Serviço","",OFFSET(ORÇAMENTO!S$15,ROW(G66)-ROW(G$15),0))</f>
        <v>UM</v>
      </c>
      <c r="H66" s="207" t="n">
        <f aca="true">IF($D66&lt;&gt;"Serviço",0,IF(ACOMPANHAMENTO="BM",ROUND(OFFSET(ORÇAMENTO!AJ$15,ROW(H66)-ROW(H$15),0),15-13*ORÇAMENTO!$AF$7),SUMPRODUCT(($Q$1:$AQ$1=1)*ROUND($Q66:$AQ66,15-13*ORÇAMENTO!$AF$7))))</f>
        <v>50</v>
      </c>
      <c r="I66" s="343" t="s">
        <v>946</v>
      </c>
      <c r="J66" s="344" t="e">
        <f aca="false">IF(OR(B66&lt;&gt;"S",CÁLCULO.FrentesPreenchidas=0),"",IF(AND(ACOMPANHAMENTO="PLE",AUTOEVENTO="Manual",OR(H66&gt;0,ORÇAMENTO!AC66="QUANT."),OR(K66="",M66=0,N66="")),"►",IF(AND(ACOMPANHAMENTO="PLE",ORÇAMENTO!AC66="QUANT."),"►►",IF(AND(COUNTIF($P$11:$AQ$11,"▼")=0,H66&gt;0,I66=""),"◄",""))))</f>
        <v>#NAME?</v>
      </c>
      <c r="K66" s="345"/>
      <c r="L66" s="346" t="s">
        <v>876</v>
      </c>
      <c r="M66" s="347" t="n">
        <f aca="true">IF($D66&lt;&gt;"Serviço","",
          IF(AUTOEVENTO="manual",$A66,
                IF(ISERROR(MATCH($A66,$A$15:OFFSET($A66,-1,0),0)),MAX($M$15:OFFSET(M66,-1,0))+1,
                      INDEX($M$15:OFFSET(M66,-1,0),MATCH($A66,$A$15:OFFSET($A66,-1,0),0)))))</f>
        <v>10</v>
      </c>
      <c r="N66" s="348" t="str">
        <f aca="true">IF($D66&lt;&gt;"Serviço","",
         IF(AUTOEVENTO="Manual",
                IF($A66=0,"&lt;-- defina o número do agrupador",
                       OFFSET(EVENTOS!$D$15,$A66-$A$15,0)),
                OFFSET($F$15,$A66,0)))</f>
        <v>VIDROS E ESQUADRIAS ESPECIAIS</v>
      </c>
      <c r="O66" s="349"/>
      <c r="Q66" s="349" t="n">
        <v>2</v>
      </c>
      <c r="R66" s="350" t="n">
        <f aca="false">Q66</f>
        <v>2</v>
      </c>
      <c r="S66" s="350" t="n">
        <f aca="false">R66</f>
        <v>2</v>
      </c>
      <c r="T66" s="350" t="n">
        <f aca="false">S66</f>
        <v>2</v>
      </c>
      <c r="U66" s="350" t="n">
        <f aca="false">T66</f>
        <v>2</v>
      </c>
      <c r="V66" s="350" t="n">
        <f aca="false">U66</f>
        <v>2</v>
      </c>
      <c r="W66" s="350" t="n">
        <f aca="false">V66</f>
        <v>2</v>
      </c>
      <c r="X66" s="350" t="n">
        <f aca="false">W66</f>
        <v>2</v>
      </c>
      <c r="Y66" s="350" t="n">
        <f aca="false">X66</f>
        <v>2</v>
      </c>
      <c r="Z66" s="351" t="n">
        <f aca="false">Y66</f>
        <v>2</v>
      </c>
      <c r="AA66" s="350" t="n">
        <f aca="false">Z66</f>
        <v>2</v>
      </c>
      <c r="AB66" s="350" t="n">
        <f aca="false">AA66</f>
        <v>2</v>
      </c>
      <c r="AC66" s="350" t="n">
        <f aca="false">AB66</f>
        <v>2</v>
      </c>
      <c r="AD66" s="350" t="n">
        <f aca="false">AC66</f>
        <v>2</v>
      </c>
      <c r="AE66" s="350" t="n">
        <f aca="false">AD66</f>
        <v>2</v>
      </c>
      <c r="AF66" s="350" t="n">
        <f aca="false">AE66</f>
        <v>2</v>
      </c>
      <c r="AG66" s="350" t="n">
        <f aca="false">AF66</f>
        <v>2</v>
      </c>
      <c r="AH66" s="351" t="n">
        <f aca="false">AG66</f>
        <v>2</v>
      </c>
      <c r="AI66" s="350" t="n">
        <f aca="false">AH66</f>
        <v>2</v>
      </c>
      <c r="AJ66" s="350" t="n">
        <f aca="false">AI66</f>
        <v>2</v>
      </c>
      <c r="AK66" s="350" t="n">
        <f aca="false">AJ66</f>
        <v>2</v>
      </c>
      <c r="AL66" s="350" t="n">
        <f aca="false">AK66</f>
        <v>2</v>
      </c>
      <c r="AM66" s="350" t="n">
        <f aca="false">AL66</f>
        <v>2</v>
      </c>
      <c r="AN66" s="350" t="n">
        <f aca="false">AM66</f>
        <v>2</v>
      </c>
      <c r="AO66" s="350" t="n">
        <f aca="false">AN66</f>
        <v>2</v>
      </c>
      <c r="AP66" s="351"/>
      <c r="AR66" s="352" t="n">
        <f aca="true">IF(AND($D66="Serviço",AR$12&lt;&gt;0,$H66&gt;0,OR(AUTOEVENTO&lt;&gt;"manual",$M66&lt;&gt;$A$15)),
        IF(Import.TipoArredondamento&lt;&gt;"TransfereGOV",
              ROUND(OFFSET($P66,0,AR$13),15-13*ORÇAMENTO!$AF$7)/$H66*OFFSET(ORÇAMENTO!$X$15,ROW(AR66)-ROW(AR$15),0),
              ROUND(ROUND(OFFSET($P66,0,AR$13),15-13*ORÇAMENTO!$AF$7)*OFFSET(ORÇAMENTO!$W$15,ROW(AR66)-ROW(AR$15),0),15-13*ORÇAMENTO!$AF$11)),
         0)</f>
        <v>4173.12</v>
      </c>
      <c r="AS66" s="352" t="n">
        <f aca="true">IF(AND($D66="Serviço",AS$12&lt;&gt;0,$H66&gt;0,OR(AUTOEVENTO&lt;&gt;"manual",$M66&lt;&gt;$A$15)),
        IF(Import.TipoArredondamento&lt;&gt;"TransfereGOV",
              ROUND(OFFSET($P66,0,AS$13),15-13*ORÇAMENTO!$AF$7)/$H66*OFFSET(ORÇAMENTO!$X$15,ROW(AS66)-ROW(AS$15),0),
              ROUND(ROUND(OFFSET($P66,0,AS$13),15-13*ORÇAMENTO!$AF$7)*OFFSET(ORÇAMENTO!$W$15,ROW(AS66)-ROW(AS$15),0),15-13*ORÇAMENTO!$AF$11)),
         0)</f>
        <v>4173.12</v>
      </c>
      <c r="AT66" s="352" t="n">
        <f aca="true">IF(AND($D66="Serviço",AT$12&lt;&gt;0,$H66&gt;0,OR(AUTOEVENTO&lt;&gt;"manual",$M66&lt;&gt;$A$15)),
        IF(Import.TipoArredondamento&lt;&gt;"TransfereGOV",
              ROUND(OFFSET($P66,0,AT$13),15-13*ORÇAMENTO!$AF$7)/$H66*OFFSET(ORÇAMENTO!$X$15,ROW(AT66)-ROW(AT$15),0),
              ROUND(ROUND(OFFSET($P66,0,AT$13),15-13*ORÇAMENTO!$AF$7)*OFFSET(ORÇAMENTO!$W$15,ROW(AT66)-ROW(AT$15),0),15-13*ORÇAMENTO!$AF$11)),
         0)</f>
        <v>4173.12</v>
      </c>
      <c r="AU66" s="352" t="n">
        <f aca="true">IF(AND($D66="Serviço",AU$12&lt;&gt;0,$H66&gt;0,OR(AUTOEVENTO&lt;&gt;"manual",$M66&lt;&gt;$A$15)),
        IF(Import.TipoArredondamento&lt;&gt;"TransfereGOV",
              ROUND(OFFSET($P66,0,AU$13),15-13*ORÇAMENTO!$AF$7)/$H66*OFFSET(ORÇAMENTO!$X$15,ROW(AU66)-ROW(AU$15),0),
              ROUND(ROUND(OFFSET($P66,0,AU$13),15-13*ORÇAMENTO!$AF$7)*OFFSET(ORÇAMENTO!$W$15,ROW(AU66)-ROW(AU$15),0),15-13*ORÇAMENTO!$AF$11)),
         0)</f>
        <v>4173.12</v>
      </c>
      <c r="AV66" s="352" t="n">
        <f aca="true">IF(AND($D66="Serviço",AV$12&lt;&gt;0,$H66&gt;0,OR(AUTOEVENTO&lt;&gt;"manual",$M66&lt;&gt;$A$15)),
        IF(Import.TipoArredondamento&lt;&gt;"TransfereGOV",
              ROUND(OFFSET($P66,0,AV$13),15-13*ORÇAMENTO!$AF$7)/$H66*OFFSET(ORÇAMENTO!$X$15,ROW(AV66)-ROW(AV$15),0),
              ROUND(ROUND(OFFSET($P66,0,AV$13),15-13*ORÇAMENTO!$AF$7)*OFFSET(ORÇAMENTO!$W$15,ROW(AV66)-ROW(AV$15),0),15-13*ORÇAMENTO!$AF$11)),
         0)</f>
        <v>4173.12</v>
      </c>
      <c r="AW66" s="352" t="n">
        <f aca="true">IF(AND($D66="Serviço",AW$12&lt;&gt;0,$H66&gt;0,OR(AUTOEVENTO&lt;&gt;"manual",$M66&lt;&gt;$A$15)),
        IF(Import.TipoArredondamento&lt;&gt;"TransfereGOV",
              ROUND(OFFSET($P66,0,AW$13),15-13*ORÇAMENTO!$AF$7)/$H66*OFFSET(ORÇAMENTO!$X$15,ROW(AW66)-ROW(AW$15),0),
              ROUND(ROUND(OFFSET($P66,0,AW$13),15-13*ORÇAMENTO!$AF$7)*OFFSET(ORÇAMENTO!$W$15,ROW(AW66)-ROW(AW$15),0),15-13*ORÇAMENTO!$AF$11)),
         0)</f>
        <v>4173.12</v>
      </c>
      <c r="AX66" s="352" t="n">
        <f aca="true">IF(AND($D66="Serviço",AX$12&lt;&gt;0,$H66&gt;0,OR(AUTOEVENTO&lt;&gt;"manual",$M66&lt;&gt;$A$15)),
        IF(Import.TipoArredondamento&lt;&gt;"TransfereGOV",
              ROUND(OFFSET($P66,0,AX$13),15-13*ORÇAMENTO!$AF$7)/$H66*OFFSET(ORÇAMENTO!$X$15,ROW(AX66)-ROW(AX$15),0),
              ROUND(ROUND(OFFSET($P66,0,AX$13),15-13*ORÇAMENTO!$AF$7)*OFFSET(ORÇAMENTO!$W$15,ROW(AX66)-ROW(AX$15),0),15-13*ORÇAMENTO!$AF$11)),
         0)</f>
        <v>4173.12</v>
      </c>
      <c r="AY66" s="352" t="n">
        <f aca="true">IF(AND($D66="Serviço",AY$12&lt;&gt;0,$H66&gt;0,OR(AUTOEVENTO&lt;&gt;"manual",$M66&lt;&gt;$A$15)),
        IF(Import.TipoArredondamento&lt;&gt;"TransfereGOV",
              ROUND(OFFSET($P66,0,AY$13),15-13*ORÇAMENTO!$AF$7)/$H66*OFFSET(ORÇAMENTO!$X$15,ROW(AY66)-ROW(AY$15),0),
              ROUND(ROUND(OFFSET($P66,0,AY$13),15-13*ORÇAMENTO!$AF$7)*OFFSET(ORÇAMENTO!$W$15,ROW(AY66)-ROW(AY$15),0),15-13*ORÇAMENTO!$AF$11)),
         0)</f>
        <v>4173.12</v>
      </c>
      <c r="AZ66" s="352" t="n">
        <f aca="true">IF(AND($D66="Serviço",AZ$12&lt;&gt;0,$H66&gt;0,OR(AUTOEVENTO&lt;&gt;"manual",$M66&lt;&gt;$A$15)),
        IF(Import.TipoArredondamento&lt;&gt;"TransfereGOV",
              ROUND(OFFSET($P66,0,AZ$13),15-13*ORÇAMENTO!$AF$7)/$H66*OFFSET(ORÇAMENTO!$X$15,ROW(AZ66)-ROW(AZ$15),0),
              ROUND(ROUND(OFFSET($P66,0,AZ$13),15-13*ORÇAMENTO!$AF$7)*OFFSET(ORÇAMENTO!$W$15,ROW(AZ66)-ROW(AZ$15),0),15-13*ORÇAMENTO!$AF$11)),
         0)</f>
        <v>4173.12</v>
      </c>
      <c r="BA66" s="352" t="n">
        <f aca="true">IF(AND($D66="Serviço",BA$12&lt;&gt;0,$H66&gt;0,OR(AUTOEVENTO&lt;&gt;"manual",$M66&lt;&gt;$A$15)),
        IF(Import.TipoArredondamento&lt;&gt;"TransfereGOV",
              ROUND(OFFSET($P66,0,BA$13),15-13*ORÇAMENTO!$AF$7)/$H66*OFFSET(ORÇAMENTO!$X$15,ROW(BA66)-ROW(BA$15),0),
              ROUND(ROUND(OFFSET($P66,0,BA$13),15-13*ORÇAMENTO!$AF$7)*OFFSET(ORÇAMENTO!$W$15,ROW(BA66)-ROW(BA$15),0),15-13*ORÇAMENTO!$AF$11)),
         0)</f>
        <v>4173.12</v>
      </c>
      <c r="BB66" s="352" t="n">
        <f aca="true">IF(AND($D66="Serviço",BB$12&lt;&gt;0,$H66&gt;0,OR(AUTOEVENTO&lt;&gt;"manual",$M66&lt;&gt;$A$15)),
        IF(Import.TipoArredondamento&lt;&gt;"TransfereGOV",
              ROUND(OFFSET($P66,0,BB$13),15-13*ORÇAMENTO!$AF$7)/$H66*OFFSET(ORÇAMENTO!$X$15,ROW(BB66)-ROW(BB$15),0),
              ROUND(ROUND(OFFSET($P66,0,BB$13),15-13*ORÇAMENTO!$AF$7)*OFFSET(ORÇAMENTO!$W$15,ROW(BB66)-ROW(BB$15),0),15-13*ORÇAMENTO!$AF$11)),
         0)</f>
        <v>4173.12</v>
      </c>
      <c r="BC66" s="352" t="n">
        <f aca="true">IF(AND($D66="Serviço",BC$12&lt;&gt;0,$H66&gt;0,OR(AUTOEVENTO&lt;&gt;"manual",$M66&lt;&gt;$A$15)),
        IF(Import.TipoArredondamento&lt;&gt;"TransfereGOV",
              ROUND(OFFSET($P66,0,BC$13),15-13*ORÇAMENTO!$AF$7)/$H66*OFFSET(ORÇAMENTO!$X$15,ROW(BC66)-ROW(BC$15),0),
              ROUND(ROUND(OFFSET($P66,0,BC$13),15-13*ORÇAMENTO!$AF$7)*OFFSET(ORÇAMENTO!$W$15,ROW(BC66)-ROW(BC$15),0),15-13*ORÇAMENTO!$AF$11)),
         0)</f>
        <v>4173.12</v>
      </c>
      <c r="BD66" s="352" t="n">
        <f aca="true">IF(AND($D66="Serviço",BD$12&lt;&gt;0,$H66&gt;0,OR(AUTOEVENTO&lt;&gt;"manual",$M66&lt;&gt;$A$15)),
        IF(Import.TipoArredondamento&lt;&gt;"TransfereGOV",
              ROUND(OFFSET($P66,0,BD$13),15-13*ORÇAMENTO!$AF$7)/$H66*OFFSET(ORÇAMENTO!$X$15,ROW(BD66)-ROW(BD$15),0),
              ROUND(ROUND(OFFSET($P66,0,BD$13),15-13*ORÇAMENTO!$AF$7)*OFFSET(ORÇAMENTO!$W$15,ROW(BD66)-ROW(BD$15),0),15-13*ORÇAMENTO!$AF$11)),
         0)</f>
        <v>4173.12</v>
      </c>
      <c r="BE66" s="352" t="n">
        <f aca="true">IF(AND($D66="Serviço",BE$12&lt;&gt;0,$H66&gt;0,OR(AUTOEVENTO&lt;&gt;"manual",$M66&lt;&gt;$A$15)),
        IF(Import.TipoArredondamento&lt;&gt;"TransfereGOV",
              ROUND(OFFSET($P66,0,BE$13),15-13*ORÇAMENTO!$AF$7)/$H66*OFFSET(ORÇAMENTO!$X$15,ROW(BE66)-ROW(BE$15),0),
              ROUND(ROUND(OFFSET($P66,0,BE$13),15-13*ORÇAMENTO!$AF$7)*OFFSET(ORÇAMENTO!$W$15,ROW(BE66)-ROW(BE$15),0),15-13*ORÇAMENTO!$AF$11)),
         0)</f>
        <v>4173.12</v>
      </c>
      <c r="BF66" s="352" t="n">
        <f aca="true">IF(AND($D66="Serviço",BF$12&lt;&gt;0,$H66&gt;0,OR(AUTOEVENTO&lt;&gt;"manual",$M66&lt;&gt;$A$15)),
        IF(Import.TipoArredondamento&lt;&gt;"TransfereGOV",
              ROUND(OFFSET($P66,0,BF$13),15-13*ORÇAMENTO!$AF$7)/$H66*OFFSET(ORÇAMENTO!$X$15,ROW(BF66)-ROW(BF$15),0),
              ROUND(ROUND(OFFSET($P66,0,BF$13),15-13*ORÇAMENTO!$AF$7)*OFFSET(ORÇAMENTO!$W$15,ROW(BF66)-ROW(BF$15),0),15-13*ORÇAMENTO!$AF$11)),
         0)</f>
        <v>4173.12</v>
      </c>
      <c r="BG66" s="352" t="n">
        <f aca="true">IF(AND($D66="Serviço",BG$12&lt;&gt;0,$H66&gt;0,OR(AUTOEVENTO&lt;&gt;"manual",$M66&lt;&gt;$A$15)),
        IF(Import.TipoArredondamento&lt;&gt;"TransfereGOV",
              ROUND(OFFSET($P66,0,BG$13),15-13*ORÇAMENTO!$AF$7)/$H66*OFFSET(ORÇAMENTO!$X$15,ROW(BG66)-ROW(BG$15),0),
              ROUND(ROUND(OFFSET($P66,0,BG$13),15-13*ORÇAMENTO!$AF$7)*OFFSET(ORÇAMENTO!$W$15,ROW(BG66)-ROW(BG$15),0),15-13*ORÇAMENTO!$AF$11)),
         0)</f>
        <v>4173.12</v>
      </c>
      <c r="BH66" s="352" t="n">
        <f aca="true">IF(AND($D66="Serviço",BH$12&lt;&gt;0,$H66&gt;0,OR(AUTOEVENTO&lt;&gt;"manual",$M66&lt;&gt;$A$15)),
        IF(Import.TipoArredondamento&lt;&gt;"TransfereGOV",
              ROUND(OFFSET($P66,0,BH$13),15-13*ORÇAMENTO!$AF$7)/$H66*OFFSET(ORÇAMENTO!$X$15,ROW(BH66)-ROW(BH$15),0),
              ROUND(ROUND(OFFSET($P66,0,BH$13),15-13*ORÇAMENTO!$AF$7)*OFFSET(ORÇAMENTO!$W$15,ROW(BH66)-ROW(BH$15),0),15-13*ORÇAMENTO!$AF$11)),
         0)</f>
        <v>4173.12</v>
      </c>
      <c r="BI66" s="352" t="n">
        <f aca="true">IF(AND($D66="Serviço",BI$12&lt;&gt;0,$H66&gt;0,OR(AUTOEVENTO&lt;&gt;"manual",$M66&lt;&gt;$A$15)),
        IF(Import.TipoArredondamento&lt;&gt;"TransfereGOV",
              ROUND(OFFSET($P66,0,BI$13),15-13*ORÇAMENTO!$AF$7)/$H66*OFFSET(ORÇAMENTO!$X$15,ROW(BI66)-ROW(BI$15),0),
              ROUND(ROUND(OFFSET($P66,0,BI$13),15-13*ORÇAMENTO!$AF$7)*OFFSET(ORÇAMENTO!$W$15,ROW(BI66)-ROW(BI$15),0),15-13*ORÇAMENTO!$AF$11)),
         0)</f>
        <v>4173.12</v>
      </c>
      <c r="BJ66" s="352" t="n">
        <f aca="true">IF(AND($D66="Serviço",BJ$12&lt;&gt;0,$H66&gt;0,OR(AUTOEVENTO&lt;&gt;"manual",$M66&lt;&gt;$A$15)),
        IF(Import.TipoArredondamento&lt;&gt;"TransfereGOV",
              ROUND(OFFSET($P66,0,BJ$13),15-13*ORÇAMENTO!$AF$7)/$H66*OFFSET(ORÇAMENTO!$X$15,ROW(BJ66)-ROW(BJ$15),0),
              ROUND(ROUND(OFFSET($P66,0,BJ$13),15-13*ORÇAMENTO!$AF$7)*OFFSET(ORÇAMENTO!$W$15,ROW(BJ66)-ROW(BJ$15),0),15-13*ORÇAMENTO!$AF$11)),
         0)</f>
        <v>4173.12</v>
      </c>
      <c r="BK66" s="352" t="n">
        <f aca="true">IF(AND($D66="Serviço",BK$12&lt;&gt;0,$H66&gt;0,OR(AUTOEVENTO&lt;&gt;"manual",$M66&lt;&gt;$A$15)),
        IF(Import.TipoArredondamento&lt;&gt;"TransfereGOV",
              ROUND(OFFSET($P66,0,BK$13),15-13*ORÇAMENTO!$AF$7)/$H66*OFFSET(ORÇAMENTO!$X$15,ROW(BK66)-ROW(BK$15),0),
              ROUND(ROUND(OFFSET($P66,0,BK$13),15-13*ORÇAMENTO!$AF$7)*OFFSET(ORÇAMENTO!$W$15,ROW(BK66)-ROW(BK$15),0),15-13*ORÇAMENTO!$AF$11)),
         0)</f>
        <v>4173.12</v>
      </c>
      <c r="BL66" s="352" t="n">
        <f aca="true">IF(AND($D66="Serviço",BL$12&lt;&gt;0,$H66&gt;0,OR(AUTOEVENTO&lt;&gt;"manual",$M66&lt;&gt;$A$15)),
        IF(Import.TipoArredondamento&lt;&gt;"TransfereGOV",
              ROUND(OFFSET($P66,0,BL$13),15-13*ORÇAMENTO!$AF$7)/$H66*OFFSET(ORÇAMENTO!$X$15,ROW(BL66)-ROW(BL$15),0),
              ROUND(ROUND(OFFSET($P66,0,BL$13),15-13*ORÇAMENTO!$AF$7)*OFFSET(ORÇAMENTO!$W$15,ROW(BL66)-ROW(BL$15),0),15-13*ORÇAMENTO!$AF$11)),
         0)</f>
        <v>4173.12</v>
      </c>
      <c r="BM66" s="352" t="n">
        <f aca="true">IF(AND($D66="Serviço",BM$12&lt;&gt;0,$H66&gt;0,OR(AUTOEVENTO&lt;&gt;"manual",$M66&lt;&gt;$A$15)),
        IF(Import.TipoArredondamento&lt;&gt;"TransfereGOV",
              ROUND(OFFSET($P66,0,BM$13),15-13*ORÇAMENTO!$AF$7)/$H66*OFFSET(ORÇAMENTO!$X$15,ROW(BM66)-ROW(BM$15),0),
              ROUND(ROUND(OFFSET($P66,0,BM$13),15-13*ORÇAMENTO!$AF$7)*OFFSET(ORÇAMENTO!$W$15,ROW(BM66)-ROW(BM$15),0),15-13*ORÇAMENTO!$AF$11)),
         0)</f>
        <v>4173.12</v>
      </c>
      <c r="BN66" s="352" t="n">
        <f aca="true">IF(AND($D66="Serviço",BN$12&lt;&gt;0,$H66&gt;0,OR(AUTOEVENTO&lt;&gt;"manual",$M66&lt;&gt;$A$15)),
        IF(Import.TipoArredondamento&lt;&gt;"TransfereGOV",
              ROUND(OFFSET($P66,0,BN$13),15-13*ORÇAMENTO!$AF$7)/$H66*OFFSET(ORÇAMENTO!$X$15,ROW(BN66)-ROW(BN$15),0),
              ROUND(ROUND(OFFSET($P66,0,BN$13),15-13*ORÇAMENTO!$AF$7)*OFFSET(ORÇAMENTO!$W$15,ROW(BN66)-ROW(BN$15),0),15-13*ORÇAMENTO!$AF$11)),
         0)</f>
        <v>4173.12</v>
      </c>
      <c r="BO66" s="352" t="n">
        <f aca="true">IF(AND($D66="Serviço",BO$12&lt;&gt;0,$H66&gt;0,OR(AUTOEVENTO&lt;&gt;"manual",$M66&lt;&gt;$A$15)),
        IF(Import.TipoArredondamento&lt;&gt;"TransfereGOV",
              ROUND(OFFSET($P66,0,BO$13),15-13*ORÇAMENTO!$AF$7)/$H66*OFFSET(ORÇAMENTO!$X$15,ROW(BO66)-ROW(BO$15),0),
              ROUND(ROUND(OFFSET($P66,0,BO$13),15-13*ORÇAMENTO!$AF$7)*OFFSET(ORÇAMENTO!$W$15,ROW(BO66)-ROW(BO$15),0),15-13*ORÇAMENTO!$AF$11)),
         0)</f>
        <v>4173.12</v>
      </c>
      <c r="BP66" s="352" t="n">
        <f aca="true">IF(AND($D66="Serviço",BP$12&lt;&gt;0,$H66&gt;0,OR(AUTOEVENTO&lt;&gt;"manual",$M66&lt;&gt;$A$15)),
        IF(Import.TipoArredondamento&lt;&gt;"TransfereGOV",
              ROUND(OFFSET($P66,0,BP$13),15-13*ORÇAMENTO!$AF$7)/$H66*OFFSET(ORÇAMENTO!$X$15,ROW(BP66)-ROW(BP$15),0),
              ROUND(ROUND(OFFSET($P66,0,BP$13),15-13*ORÇAMENTO!$AF$7)*OFFSET(ORÇAMENTO!$W$15,ROW(BP66)-ROW(BP$15),0),15-13*ORÇAMENTO!$AF$11)),
         0)</f>
        <v>4173.12</v>
      </c>
      <c r="BQ66" s="352" t="n">
        <f aca="true">IF(AND($D66="Serviço",BQ$12&lt;&gt;0,$H66&gt;0,OR(AUTOEVENTO&lt;&gt;"manual",$M66&lt;&gt;$A$15)),
        IF(Import.TipoArredondamento&lt;&gt;"TransfereGOV",
              ROUND(OFFSET($P66,0,BQ$13),15-13*ORÇAMENTO!$AF$7)/$H66*OFFSET(ORÇAMENTO!$X$15,ROW(BQ66)-ROW(BQ$15),0),
              ROUND(ROUND(OFFSET($P66,0,BQ$13),15-13*ORÇAMENTO!$AF$7)*OFFSET(ORÇAMENTO!$W$15,ROW(BQ66)-ROW(BQ$15),0),15-13*ORÇAMENTO!$AF$11)),
         0)</f>
        <v>0</v>
      </c>
      <c r="BS66" s="353" t="n">
        <f aca="true">IF(OR($D66&lt;&gt;"Serviço",AND(AUTOEVENTO="Manual",$M66=$A$15)),0,
         IF(OFFSET(CRONOPLE!$F$15,$M66-$A$15,BS$13)=0,10^12,OFFSET(CRONOPLE!$F$15,$M66-$A$15,BS$13)))</f>
        <v>1</v>
      </c>
      <c r="BT66" s="353" t="n">
        <f aca="true">IF(OR($D66&lt;&gt;"Serviço",AND(AUTOEVENTO="Manual",$M66=$A$15)),0,
         IF(OFFSET(CRONOPLE!$F$15,$M66-$A$15,BT$13)=0,10^12,OFFSET(CRONOPLE!$F$15,$M66-$A$15,BT$13)))</f>
        <v>2</v>
      </c>
      <c r="BU66" s="353" t="n">
        <f aca="true">IF(OR($D66&lt;&gt;"Serviço",AND(AUTOEVENTO="Manual",$M66=$A$15)),0,
         IF(OFFSET(CRONOPLE!$F$15,$M66-$A$15,BU$13)=0,10^12,OFFSET(CRONOPLE!$F$15,$M66-$A$15,BU$13)))</f>
        <v>3</v>
      </c>
      <c r="BV66" s="353" t="n">
        <f aca="true">IF(OR($D66&lt;&gt;"Serviço",AND(AUTOEVENTO="Manual",$M66=$A$15)),0,
         IF(OFFSET(CRONOPLE!$F$15,$M66-$A$15,BV$13)=0,10^12,OFFSET(CRONOPLE!$F$15,$M66-$A$15,BV$13)))</f>
        <v>4</v>
      </c>
      <c r="BW66" s="353" t="n">
        <f aca="true">IF(OR($D66&lt;&gt;"Serviço",AND(AUTOEVENTO="Manual",$M66=$A$15)),0,
         IF(OFFSET(CRONOPLE!$F$15,$M66-$A$15,BW$13)=0,10^12,OFFSET(CRONOPLE!$F$15,$M66-$A$15,BW$13)))</f>
        <v>5</v>
      </c>
      <c r="BX66" s="353" t="n">
        <f aca="true">IF(OR($D66&lt;&gt;"Serviço",AND(AUTOEVENTO="Manual",$M66=$A$15)),0,
         IF(OFFSET(CRONOPLE!$F$15,$M66-$A$15,BX$13)=0,10^12,OFFSET(CRONOPLE!$F$15,$M66-$A$15,BX$13)))</f>
        <v>6</v>
      </c>
      <c r="BY66" s="353" t="n">
        <f aca="true">IF(OR($D66&lt;&gt;"Serviço",AND(AUTOEVENTO="Manual",$M66=$A$15)),0,
         IF(OFFSET(CRONOPLE!$F$15,$M66-$A$15,BY$13)=0,10^12,OFFSET(CRONOPLE!$F$15,$M66-$A$15,BY$13)))</f>
        <v>7</v>
      </c>
      <c r="BZ66" s="353" t="n">
        <f aca="true">IF(OR($D66&lt;&gt;"Serviço",AND(AUTOEVENTO="Manual",$M66=$A$15)),0,
         IF(OFFSET(CRONOPLE!$F$15,$M66-$A$15,BZ$13)=0,10^12,OFFSET(CRONOPLE!$F$15,$M66-$A$15,BZ$13)))</f>
        <v>8</v>
      </c>
      <c r="CA66" s="353" t="n">
        <f aca="true">IF(OR($D66&lt;&gt;"Serviço",AND(AUTOEVENTO="Manual",$M66=$A$15)),0,
         IF(OFFSET(CRONOPLE!$F$15,$M66-$A$15,CA$13)=0,10^12,OFFSET(CRONOPLE!$F$15,$M66-$A$15,CA$13)))</f>
        <v>9</v>
      </c>
      <c r="CB66" s="353" t="n">
        <f aca="true">IF(OR($D66&lt;&gt;"Serviço",AND(AUTOEVENTO="Manual",$M66=$A$15)),0,
         IF(OFFSET(CRONOPLE!$F$15,$M66-$A$15,CB$13)=0,10^12,OFFSET(CRONOPLE!$F$15,$M66-$A$15,CB$13)))</f>
        <v>10</v>
      </c>
      <c r="CC66" s="353" t="n">
        <f aca="true">IF(OR($D66&lt;&gt;"Serviço",AND(AUTOEVENTO="Manual",$M66=$A$15)),0,
         IF(OFFSET(CRONOPLE!$F$15,$M66-$A$15,CC$13)=0,10^12,OFFSET(CRONOPLE!$F$15,$M66-$A$15,CC$13)))</f>
        <v>11</v>
      </c>
      <c r="CD66" s="353" t="n">
        <f aca="true">IF(OR($D66&lt;&gt;"Serviço",AND(AUTOEVENTO="Manual",$M66=$A$15)),0,
         IF(OFFSET(CRONOPLE!$F$15,$M66-$A$15,CD$13)=0,10^12,OFFSET(CRONOPLE!$F$15,$M66-$A$15,CD$13)))</f>
        <v>12</v>
      </c>
      <c r="CE66" s="353" t="n">
        <f aca="true">IF(OR($D66&lt;&gt;"Serviço",AND(AUTOEVENTO="Manual",$M66=$A$15)),0,
         IF(OFFSET(CRONOPLE!$F$15,$M66-$A$15,CE$13)=0,10^12,OFFSET(CRONOPLE!$F$15,$M66-$A$15,CE$13)))</f>
        <v>13</v>
      </c>
      <c r="CF66" s="353" t="n">
        <f aca="true">IF(OR($D66&lt;&gt;"Serviço",AND(AUTOEVENTO="Manual",$M66=$A$15)),0,
         IF(OFFSET(CRONOPLE!$F$15,$M66-$A$15,CF$13)=0,10^12,OFFSET(CRONOPLE!$F$15,$M66-$A$15,CF$13)))</f>
        <v>14</v>
      </c>
      <c r="CG66" s="353" t="n">
        <f aca="true">IF(OR($D66&lt;&gt;"Serviço",AND(AUTOEVENTO="Manual",$M66=$A$15)),0,
         IF(OFFSET(CRONOPLE!$F$15,$M66-$A$15,CG$13)=0,10^12,OFFSET(CRONOPLE!$F$15,$M66-$A$15,CG$13)))</f>
        <v>15</v>
      </c>
      <c r="CH66" s="353" t="n">
        <f aca="true">IF(OR($D66&lt;&gt;"Serviço",AND(AUTOEVENTO="Manual",$M66=$A$15)),0,
         IF(OFFSET(CRONOPLE!$F$15,$M66-$A$15,CH$13)=0,10^12,OFFSET(CRONOPLE!$F$15,$M66-$A$15,CH$13)))</f>
        <v>16</v>
      </c>
      <c r="CI66" s="353" t="n">
        <f aca="true">IF(OR($D66&lt;&gt;"Serviço",AND(AUTOEVENTO="Manual",$M66=$A$15)),0,
         IF(OFFSET(CRONOPLE!$F$15,$M66-$A$15,CI$13)=0,10^12,OFFSET(CRONOPLE!$F$15,$M66-$A$15,CI$13)))</f>
        <v>17</v>
      </c>
      <c r="CJ66" s="353" t="n">
        <f aca="true">IF(OR($D66&lt;&gt;"Serviço",AND(AUTOEVENTO="Manual",$M66=$A$15)),0,
         IF(OFFSET(CRONOPLE!$F$15,$M66-$A$15,CJ$13)=0,10^12,OFFSET(CRONOPLE!$F$15,$M66-$A$15,CJ$13)))</f>
        <v>18</v>
      </c>
      <c r="CK66" s="353" t="n">
        <f aca="true">IF(OR($D66&lt;&gt;"Serviço",AND(AUTOEVENTO="Manual",$M66=$A$15)),0,
         IF(OFFSET(CRONOPLE!$F$15,$M66-$A$15,CK$13)=0,10^12,OFFSET(CRONOPLE!$F$15,$M66-$A$15,CK$13)))</f>
        <v>19</v>
      </c>
      <c r="CL66" s="353" t="n">
        <f aca="true">IF(OR($D66&lt;&gt;"Serviço",AND(AUTOEVENTO="Manual",$M66=$A$15)),0,
         IF(OFFSET(CRONOPLE!$F$15,$M66-$A$15,CL$13)=0,10^12,OFFSET(CRONOPLE!$F$15,$M66-$A$15,CL$13)))</f>
        <v>20</v>
      </c>
      <c r="CM66" s="353" t="n">
        <f aca="true">IF(OR($D66&lt;&gt;"Serviço",AND(AUTOEVENTO="Manual",$M66=$A$15)),0,
         IF(OFFSET(CRONOPLE!$F$15,$M66-$A$15,CM$13)=0,10^12,OFFSET(CRONOPLE!$F$15,$M66-$A$15,CM$13)))</f>
        <v>21</v>
      </c>
      <c r="CN66" s="353" t="n">
        <f aca="true">IF(OR($D66&lt;&gt;"Serviço",AND(AUTOEVENTO="Manual",$M66=$A$15)),0,
         IF(OFFSET(CRONOPLE!$F$15,$M66-$A$15,CN$13)=0,10^12,OFFSET(CRONOPLE!$F$15,$M66-$A$15,CN$13)))</f>
        <v>22</v>
      </c>
      <c r="CO66" s="353" t="n">
        <f aca="true">IF(OR($D66&lt;&gt;"Serviço",AND(AUTOEVENTO="Manual",$M66=$A$15)),0,
         IF(OFFSET(CRONOPLE!$F$15,$M66-$A$15,CO$13)=0,10^12,OFFSET(CRONOPLE!$F$15,$M66-$A$15,CO$13)))</f>
        <v>23</v>
      </c>
      <c r="CP66" s="353" t="n">
        <f aca="true">IF(OR($D66&lt;&gt;"Serviço",AND(AUTOEVENTO="Manual",$M66=$A$15)),0,
         IF(OFFSET(CRONOPLE!$F$15,$M66-$A$15,CP$13)=0,10^12,OFFSET(CRONOPLE!$F$15,$M66-$A$15,CP$13)))</f>
        <v>24</v>
      </c>
      <c r="CQ66" s="353" t="n">
        <f aca="true">IF(OR($D66&lt;&gt;"Serviço",AND(AUTOEVENTO="Manual",$M66=$A$15)),0,
         IF(OFFSET(CRONOPLE!$F$15,$M66-$A$15,CQ$13)=0,10^12,OFFSET(CRONOPLE!$F$15,$M66-$A$15,CQ$13)))</f>
        <v>25</v>
      </c>
      <c r="CR66" s="353" t="n">
        <f aca="true">IF(OR($D66&lt;&gt;"Serviço",AND(AUTOEVENTO="Manual",$M66=$A$15)),0,
         IF(OFFSET(CRONOPLE!$F$15,$M66-$A$15,CR$13)=0,10^12,OFFSET(CRONOPLE!$F$15,$M66-$A$15,CR$13)))</f>
        <v>1000000000000</v>
      </c>
      <c r="CT66" s="354" t="n">
        <f aca="true">IF(OR($D66&lt;&gt;"Serviço",AND(AUTOEVENTO="Manual",$M66=$A$15),$M66&gt;(ROW(PLE.lastrow)-ROW(PLE.firstrow))),0,
           IF(OFFSET(PLE!$G$15,$M66-$A$15,CT$13)="",10^12,OFFSET(PLE!$G$15,$M66-$A$15,CT$13)))</f>
        <v>1000000000000</v>
      </c>
      <c r="CU66" s="354" t="n">
        <f aca="true">IF(OR($D66&lt;&gt;"Serviço",AND(AUTOEVENTO="Manual",$M66=$A$15),$M66&gt;(ROW(PLE.lastrow)-ROW(PLE.firstrow))),0,
           IF(OFFSET(PLE!$G$15,$M66-$A$15,CU$13)="",10^12,OFFSET(PLE!$G$15,$M66-$A$15,CU$13)))</f>
        <v>1000000000000</v>
      </c>
      <c r="CV66" s="354" t="n">
        <f aca="true">IF(OR($D66&lt;&gt;"Serviço",AND(AUTOEVENTO="Manual",$M66=$A$15),$M66&gt;(ROW(PLE.lastrow)-ROW(PLE.firstrow))),0,
           IF(OFFSET(PLE!$G$15,$M66-$A$15,CV$13)="",10^12,OFFSET(PLE!$G$15,$M66-$A$15,CV$13)))</f>
        <v>1000000000000</v>
      </c>
      <c r="CW66" s="354" t="n">
        <f aca="true">IF(OR($D66&lt;&gt;"Serviço",AND(AUTOEVENTO="Manual",$M66=$A$15),$M66&gt;(ROW(PLE.lastrow)-ROW(PLE.firstrow))),0,
           IF(OFFSET(PLE!$G$15,$M66-$A$15,CW$13)="",10^12,OFFSET(PLE!$G$15,$M66-$A$15,CW$13)))</f>
        <v>1000000000000</v>
      </c>
      <c r="CX66" s="354" t="n">
        <f aca="true">IF(OR($D66&lt;&gt;"Serviço",AND(AUTOEVENTO="Manual",$M66=$A$15),$M66&gt;(ROW(PLE.lastrow)-ROW(PLE.firstrow))),0,
           IF(OFFSET(PLE!$G$15,$M66-$A$15,CX$13)="",10^12,OFFSET(PLE!$G$15,$M66-$A$15,CX$13)))</f>
        <v>1000000000000</v>
      </c>
      <c r="CY66" s="354" t="n">
        <f aca="true">IF(OR($D66&lt;&gt;"Serviço",AND(AUTOEVENTO="Manual",$M66=$A$15),$M66&gt;(ROW(PLE.lastrow)-ROW(PLE.firstrow))),0,
           IF(OFFSET(PLE!$G$15,$M66-$A$15,CY$13)="",10^12,OFFSET(PLE!$G$15,$M66-$A$15,CY$13)))</f>
        <v>1000000000000</v>
      </c>
      <c r="CZ66" s="354" t="n">
        <f aca="true">IF(OR($D66&lt;&gt;"Serviço",AND(AUTOEVENTO="Manual",$M66=$A$15),$M66&gt;(ROW(PLE.lastrow)-ROW(PLE.firstrow))),0,
           IF(OFFSET(PLE!$G$15,$M66-$A$15,CZ$13)="",10^12,OFFSET(PLE!$G$15,$M66-$A$15,CZ$13)))</f>
        <v>1000000000000</v>
      </c>
      <c r="DA66" s="354" t="n">
        <f aca="true">IF(OR($D66&lt;&gt;"Serviço",AND(AUTOEVENTO="Manual",$M66=$A$15),$M66&gt;(ROW(PLE.lastrow)-ROW(PLE.firstrow))),0,
           IF(OFFSET(PLE!$G$15,$M66-$A$15,DA$13)="",10^12,OFFSET(PLE!$G$15,$M66-$A$15,DA$13)))</f>
        <v>1000000000000</v>
      </c>
      <c r="DB66" s="354" t="n">
        <f aca="true">IF(OR($D66&lt;&gt;"Serviço",AND(AUTOEVENTO="Manual",$M66=$A$15),$M66&gt;(ROW(PLE.lastrow)-ROW(PLE.firstrow))),0,
           IF(OFFSET(PLE!$G$15,$M66-$A$15,DB$13)="",10^12,OFFSET(PLE!$G$15,$M66-$A$15,DB$13)))</f>
        <v>1000000000000</v>
      </c>
      <c r="DC66" s="354" t="n">
        <f aca="true">IF(OR($D66&lt;&gt;"Serviço",AND(AUTOEVENTO="Manual",$M66=$A$15),$M66&gt;(ROW(PLE.lastrow)-ROW(PLE.firstrow))),0,
           IF(OFFSET(PLE!$G$15,$M66-$A$15,DC$13)="",10^12,OFFSET(PLE!$G$15,$M66-$A$15,DC$13)))</f>
        <v>1000000000000</v>
      </c>
      <c r="DD66" s="354" t="n">
        <f aca="true">IF(OR($D66&lt;&gt;"Serviço",AND(AUTOEVENTO="Manual",$M66=$A$15),$M66&gt;(ROW(PLE.lastrow)-ROW(PLE.firstrow))),0,
           IF(OFFSET(PLE!$G$15,$M66-$A$15,DD$13)="",10^12,OFFSET(PLE!$G$15,$M66-$A$15,DD$13)))</f>
        <v>1000000000000</v>
      </c>
      <c r="DE66" s="354" t="n">
        <f aca="true">IF(OR($D66&lt;&gt;"Serviço",AND(AUTOEVENTO="Manual",$M66=$A$15),$M66&gt;(ROW(PLE.lastrow)-ROW(PLE.firstrow))),0,
           IF(OFFSET(PLE!$G$15,$M66-$A$15,DE$13)="",10^12,OFFSET(PLE!$G$15,$M66-$A$15,DE$13)))</f>
        <v>1000000000000</v>
      </c>
      <c r="DF66" s="354" t="n">
        <f aca="true">IF(OR($D66&lt;&gt;"Serviço",AND(AUTOEVENTO="Manual",$M66=$A$15),$M66&gt;(ROW(PLE.lastrow)-ROW(PLE.firstrow))),0,
           IF(OFFSET(PLE!$G$15,$M66-$A$15,DF$13)="",10^12,OFFSET(PLE!$G$15,$M66-$A$15,DF$13)))</f>
        <v>1000000000000</v>
      </c>
      <c r="DG66" s="354" t="n">
        <f aca="true">IF(OR($D66&lt;&gt;"Serviço",AND(AUTOEVENTO="Manual",$M66=$A$15),$M66&gt;(ROW(PLE.lastrow)-ROW(PLE.firstrow))),0,
           IF(OFFSET(PLE!$G$15,$M66-$A$15,DG$13)="",10^12,OFFSET(PLE!$G$15,$M66-$A$15,DG$13)))</f>
        <v>1000000000000</v>
      </c>
      <c r="DH66" s="354" t="n">
        <f aca="true">IF(OR($D66&lt;&gt;"Serviço",AND(AUTOEVENTO="Manual",$M66=$A$15),$M66&gt;(ROW(PLE.lastrow)-ROW(PLE.firstrow))),0,
           IF(OFFSET(PLE!$G$15,$M66-$A$15,DH$13)="",10^12,OFFSET(PLE!$G$15,$M66-$A$15,DH$13)))</f>
        <v>1000000000000</v>
      </c>
      <c r="DI66" s="354" t="n">
        <f aca="true">IF(OR($D66&lt;&gt;"Serviço",AND(AUTOEVENTO="Manual",$M66=$A$15),$M66&gt;(ROW(PLE.lastrow)-ROW(PLE.firstrow))),0,
           IF(OFFSET(PLE!$G$15,$M66-$A$15,DI$13)="",10^12,OFFSET(PLE!$G$15,$M66-$A$15,DI$13)))</f>
        <v>1000000000000</v>
      </c>
      <c r="DJ66" s="354" t="n">
        <f aca="true">IF(OR($D66&lt;&gt;"Serviço",AND(AUTOEVENTO="Manual",$M66=$A$15),$M66&gt;(ROW(PLE.lastrow)-ROW(PLE.firstrow))),0,
           IF(OFFSET(PLE!$G$15,$M66-$A$15,DJ$13)="",10^12,OFFSET(PLE!$G$15,$M66-$A$15,DJ$13)))</f>
        <v>1000000000000</v>
      </c>
      <c r="DK66" s="354" t="n">
        <f aca="true">IF(OR($D66&lt;&gt;"Serviço",AND(AUTOEVENTO="Manual",$M66=$A$15),$M66&gt;(ROW(PLE.lastrow)-ROW(PLE.firstrow))),0,
           IF(OFFSET(PLE!$G$15,$M66-$A$15,DK$13)="",10^12,OFFSET(PLE!$G$15,$M66-$A$15,DK$13)))</f>
        <v>1000000000000</v>
      </c>
      <c r="DL66" s="354" t="n">
        <f aca="true">IF(OR($D66&lt;&gt;"Serviço",AND(AUTOEVENTO="Manual",$M66=$A$15),$M66&gt;(ROW(PLE.lastrow)-ROW(PLE.firstrow))),0,
           IF(OFFSET(PLE!$G$15,$M66-$A$15,DL$13)="",10^12,OFFSET(PLE!$G$15,$M66-$A$15,DL$13)))</f>
        <v>1000000000000</v>
      </c>
      <c r="DM66" s="354" t="n">
        <f aca="true">IF(OR($D66&lt;&gt;"Serviço",AND(AUTOEVENTO="Manual",$M66=$A$15),$M66&gt;(ROW(PLE.lastrow)-ROW(PLE.firstrow))),0,
           IF(OFFSET(PLE!$G$15,$M66-$A$15,DM$13)="",10^12,OFFSET(PLE!$G$15,$M66-$A$15,DM$13)))</f>
        <v>1000000000000</v>
      </c>
      <c r="DN66" s="354" t="n">
        <f aca="true">IF(OR($D66&lt;&gt;"Serviço",AND(AUTOEVENTO="Manual",$M66=$A$15),$M66&gt;(ROW(PLE.lastrow)-ROW(PLE.firstrow))),0,
           IF(OFFSET(PLE!$G$15,$M66-$A$15,DN$13)="",10^12,OFFSET(PLE!$G$15,$M66-$A$15,DN$13)))</f>
        <v>1000000000000</v>
      </c>
      <c r="DO66" s="354" t="n">
        <f aca="true">IF(OR($D66&lt;&gt;"Serviço",AND(AUTOEVENTO="Manual",$M66=$A$15),$M66&gt;(ROW(PLE.lastrow)-ROW(PLE.firstrow))),0,
           IF(OFFSET(PLE!$G$15,$M66-$A$15,DO$13)="",10^12,OFFSET(PLE!$G$15,$M66-$A$15,DO$13)))</f>
        <v>1000000000000</v>
      </c>
      <c r="DP66" s="354" t="n">
        <f aca="true">IF(OR($D66&lt;&gt;"Serviço",AND(AUTOEVENTO="Manual",$M66=$A$15),$M66&gt;(ROW(PLE.lastrow)-ROW(PLE.firstrow))),0,
           IF(OFFSET(PLE!$G$15,$M66-$A$15,DP$13)="",10^12,OFFSET(PLE!$G$15,$M66-$A$15,DP$13)))</f>
        <v>1000000000000</v>
      </c>
      <c r="DQ66" s="354" t="n">
        <f aca="true">IF(OR($D66&lt;&gt;"Serviço",AND(AUTOEVENTO="Manual",$M66=$A$15),$M66&gt;(ROW(PLE.lastrow)-ROW(PLE.firstrow))),0,
           IF(OFFSET(PLE!$G$15,$M66-$A$15,DQ$13)="",10^12,OFFSET(PLE!$G$15,$M66-$A$15,DQ$13)))</f>
        <v>1000000000000</v>
      </c>
      <c r="DR66" s="354" t="n">
        <f aca="true">IF(OR($D66&lt;&gt;"Serviço",AND(AUTOEVENTO="Manual",$M66=$A$15),$M66&gt;(ROW(PLE.lastrow)-ROW(PLE.firstrow))),0,
           IF(OFFSET(PLE!$G$15,$M66-$A$15,DR$13)="",10^12,OFFSET(PLE!$G$15,$M66-$A$15,DR$13)))</f>
        <v>1000000000000</v>
      </c>
      <c r="DS66" s="354" t="n">
        <f aca="true">IF(OR($D66&lt;&gt;"Serviço",AND(AUTOEVENTO="Manual",$M66=$A$15),$M66&gt;(ROW(PLE.lastrow)-ROW(PLE.firstrow))),0,
           IF(OFFSET(PLE!$G$15,$M66-$A$15,DS$13)="",10^12,OFFSET(PLE!$G$15,$M66-$A$15,DS$13)))</f>
        <v>1000000000000</v>
      </c>
    </row>
    <row r="67" customFormat="false" ht="23.85" hidden="false" customHeight="false" outlineLevel="0" collapsed="false">
      <c r="A67" s="50" t="str">
        <f aca="true">IFERROR(IF(AUTOEVENTO="Manual",IF(K67&lt;&gt;"",MIN(VALUE(LEFT(K67,FIND(".",K67)-1)),COUNTA(EVENTOS.Lista)),0),IF(OR($B67&gt;AUTOEVENTO,$B67="S",$B67=0),SUBSTITUTE(OFFSET($A67,-1,0),IF($D67="Serviço",".",""),""),ROW(A67)-ROW($A$15)&amp;".")),0)</f>
        <v>50</v>
      </c>
      <c r="B67" s="50" t="str">
        <f aca="true">OFFSET(ORÇAMENTO!C$15,ROW(B67)-ROW(B$15),0)</f>
        <v>S</v>
      </c>
      <c r="C67" s="50" t="str">
        <f aca="true">OFFSET(ORÇAMENTO!L$15,ROW(C67)-ROW(C$15),0)</f>
        <v>F</v>
      </c>
      <c r="D67" s="201" t="str">
        <f aca="true">OFFSET(ORÇAMENTO!N$15,ROW(D67)-ROW(D$15),0)</f>
        <v>Serviço</v>
      </c>
      <c r="E67" s="202" t="str">
        <f aca="true">OFFSET(ORÇAMENTO!O$15,ROW(E67)-ROW(E$15),0)</f>
        <v>1.14.2.</v>
      </c>
      <c r="F67" s="341" t="str">
        <f aca="true">OFFSET(ORÇAMENTO!R$15,ROW(F67)-ROW(F$15),0)</f>
        <v>DIVISÓRIA FIXA EM VIDRO TEMPERADO 10 MM, SEM ABERTURA. AF_01/2021_PS</v>
      </c>
      <c r="G67" s="342" t="str">
        <f aca="true">IF($D67&lt;&gt;"Serviço","",OFFSET(ORÇAMENTO!S$15,ROW(G67)-ROW(G$15),0))</f>
        <v>M2</v>
      </c>
      <c r="H67" s="207" t="n">
        <f aca="true">IF($D67&lt;&gt;"Serviço",0,IF(ACOMPANHAMENTO="BM",ROUND(OFFSET(ORÇAMENTO!AJ$15,ROW(H67)-ROW(H$15),0),15-13*ORÇAMENTO!$AF$7),SUMPRODUCT(($Q$1:$AQ$1=1)*ROUND($Q67:$AQ67,15-13*ORÇAMENTO!$AF$7))))</f>
        <v>55</v>
      </c>
      <c r="I67" s="343" t="s">
        <v>947</v>
      </c>
      <c r="J67" s="344" t="e">
        <f aca="false">IF(OR(B67&lt;&gt;"S",CÁLCULO.FrentesPreenchidas=0),"",IF(AND(ACOMPANHAMENTO="PLE",AUTOEVENTO="Manual",OR(H67&gt;0,ORÇAMENTO!AC67="QUANT."),OR(K67="",M67=0,N67="")),"►",IF(AND(ACOMPANHAMENTO="PLE",ORÇAMENTO!AC67="QUANT."),"►►",IF(AND(COUNTIF($P$11:$AQ$11,"▼")=0,H67&gt;0,I67=""),"◄",""))))</f>
        <v>#NAME?</v>
      </c>
      <c r="K67" s="345"/>
      <c r="L67" s="346" t="s">
        <v>876</v>
      </c>
      <c r="M67" s="347" t="n">
        <f aca="true">IF($D67&lt;&gt;"Serviço","",
          IF(AUTOEVENTO="manual",$A67,
                IF(ISERROR(MATCH($A67,$A$15:OFFSET($A67,-1,0),0)),MAX($M$15:OFFSET(M67,-1,0))+1,
                      INDEX($M$15:OFFSET(M67,-1,0),MATCH($A67,$A$15:OFFSET($A67,-1,0),0)))))</f>
        <v>10</v>
      </c>
      <c r="N67" s="348" t="str">
        <f aca="true">IF($D67&lt;&gt;"Serviço","",
         IF(AUTOEVENTO="Manual",
                IF($A67=0,"&lt;-- defina o número do agrupador",
                       OFFSET(EVENTOS!$D$15,$A67-$A$15,0)),
                OFFSET($F$15,$A67,0)))</f>
        <v>VIDROS E ESQUADRIAS ESPECIAIS</v>
      </c>
      <c r="O67" s="349"/>
      <c r="Q67" s="349" t="n">
        <v>2.2</v>
      </c>
      <c r="R67" s="350" t="n">
        <f aca="false">Q67</f>
        <v>2.2</v>
      </c>
      <c r="S67" s="350" t="n">
        <f aca="false">R67</f>
        <v>2.2</v>
      </c>
      <c r="T67" s="350" t="n">
        <f aca="false">S67</f>
        <v>2.2</v>
      </c>
      <c r="U67" s="350" t="n">
        <f aca="false">T67</f>
        <v>2.2</v>
      </c>
      <c r="V67" s="350" t="n">
        <f aca="false">U67</f>
        <v>2.2</v>
      </c>
      <c r="W67" s="350" t="n">
        <f aca="false">V67</f>
        <v>2.2</v>
      </c>
      <c r="X67" s="350" t="n">
        <f aca="false">W67</f>
        <v>2.2</v>
      </c>
      <c r="Y67" s="350" t="n">
        <f aca="false">X67</f>
        <v>2.2</v>
      </c>
      <c r="Z67" s="351" t="n">
        <f aca="false">Y67</f>
        <v>2.2</v>
      </c>
      <c r="AA67" s="350" t="n">
        <f aca="false">Z67</f>
        <v>2.2</v>
      </c>
      <c r="AB67" s="350" t="n">
        <f aca="false">AA67</f>
        <v>2.2</v>
      </c>
      <c r="AC67" s="350" t="n">
        <f aca="false">AB67</f>
        <v>2.2</v>
      </c>
      <c r="AD67" s="350" t="n">
        <f aca="false">AC67</f>
        <v>2.2</v>
      </c>
      <c r="AE67" s="350" t="n">
        <f aca="false">AD67</f>
        <v>2.2</v>
      </c>
      <c r="AF67" s="350" t="n">
        <f aca="false">AE67</f>
        <v>2.2</v>
      </c>
      <c r="AG67" s="350" t="n">
        <f aca="false">AF67</f>
        <v>2.2</v>
      </c>
      <c r="AH67" s="351" t="n">
        <f aca="false">AG67</f>
        <v>2.2</v>
      </c>
      <c r="AI67" s="350" t="n">
        <f aca="false">AH67</f>
        <v>2.2</v>
      </c>
      <c r="AJ67" s="350" t="n">
        <f aca="false">AI67</f>
        <v>2.2</v>
      </c>
      <c r="AK67" s="350" t="n">
        <f aca="false">AJ67</f>
        <v>2.2</v>
      </c>
      <c r="AL67" s="350" t="n">
        <f aca="false">AK67</f>
        <v>2.2</v>
      </c>
      <c r="AM67" s="350" t="n">
        <f aca="false">AL67</f>
        <v>2.2</v>
      </c>
      <c r="AN67" s="350" t="n">
        <f aca="false">AM67</f>
        <v>2.2</v>
      </c>
      <c r="AO67" s="350" t="n">
        <f aca="false">AN67</f>
        <v>2.2</v>
      </c>
      <c r="AP67" s="351"/>
      <c r="AR67" s="352" t="n">
        <f aca="true">IF(AND($D67="Serviço",AR$12&lt;&gt;0,$H67&gt;0,OR(AUTOEVENTO&lt;&gt;"manual",$M67&lt;&gt;$A$15)),
        IF(Import.TipoArredondamento&lt;&gt;"TransfereGOV",
              ROUND(OFFSET($P67,0,AR$13),15-13*ORÇAMENTO!$AF$7)/$H67*OFFSET(ORÇAMENTO!$X$15,ROW(AR67)-ROW(AR$15),0),
              ROUND(ROUND(OFFSET($P67,0,AR$13),15-13*ORÇAMENTO!$AF$7)*OFFSET(ORÇAMENTO!$W$15,ROW(AR67)-ROW(AR$15),0),15-13*ORÇAMENTO!$AF$11)),
         0)</f>
        <v>900.02</v>
      </c>
      <c r="AS67" s="352" t="n">
        <f aca="true">IF(AND($D67="Serviço",AS$12&lt;&gt;0,$H67&gt;0,OR(AUTOEVENTO&lt;&gt;"manual",$M67&lt;&gt;$A$15)),
        IF(Import.TipoArredondamento&lt;&gt;"TransfereGOV",
              ROUND(OFFSET($P67,0,AS$13),15-13*ORÇAMENTO!$AF$7)/$H67*OFFSET(ORÇAMENTO!$X$15,ROW(AS67)-ROW(AS$15),0),
              ROUND(ROUND(OFFSET($P67,0,AS$13),15-13*ORÇAMENTO!$AF$7)*OFFSET(ORÇAMENTO!$W$15,ROW(AS67)-ROW(AS$15),0),15-13*ORÇAMENTO!$AF$11)),
         0)</f>
        <v>900.02</v>
      </c>
      <c r="AT67" s="352" t="n">
        <f aca="true">IF(AND($D67="Serviço",AT$12&lt;&gt;0,$H67&gt;0,OR(AUTOEVENTO&lt;&gt;"manual",$M67&lt;&gt;$A$15)),
        IF(Import.TipoArredondamento&lt;&gt;"TransfereGOV",
              ROUND(OFFSET($P67,0,AT$13),15-13*ORÇAMENTO!$AF$7)/$H67*OFFSET(ORÇAMENTO!$X$15,ROW(AT67)-ROW(AT$15),0),
              ROUND(ROUND(OFFSET($P67,0,AT$13),15-13*ORÇAMENTO!$AF$7)*OFFSET(ORÇAMENTO!$W$15,ROW(AT67)-ROW(AT$15),0),15-13*ORÇAMENTO!$AF$11)),
         0)</f>
        <v>900.02</v>
      </c>
      <c r="AU67" s="352" t="n">
        <f aca="true">IF(AND($D67="Serviço",AU$12&lt;&gt;0,$H67&gt;0,OR(AUTOEVENTO&lt;&gt;"manual",$M67&lt;&gt;$A$15)),
        IF(Import.TipoArredondamento&lt;&gt;"TransfereGOV",
              ROUND(OFFSET($P67,0,AU$13),15-13*ORÇAMENTO!$AF$7)/$H67*OFFSET(ORÇAMENTO!$X$15,ROW(AU67)-ROW(AU$15),0),
              ROUND(ROUND(OFFSET($P67,0,AU$13),15-13*ORÇAMENTO!$AF$7)*OFFSET(ORÇAMENTO!$W$15,ROW(AU67)-ROW(AU$15),0),15-13*ORÇAMENTO!$AF$11)),
         0)</f>
        <v>900.02</v>
      </c>
      <c r="AV67" s="352" t="n">
        <f aca="true">IF(AND($D67="Serviço",AV$12&lt;&gt;0,$H67&gt;0,OR(AUTOEVENTO&lt;&gt;"manual",$M67&lt;&gt;$A$15)),
        IF(Import.TipoArredondamento&lt;&gt;"TransfereGOV",
              ROUND(OFFSET($P67,0,AV$13),15-13*ORÇAMENTO!$AF$7)/$H67*OFFSET(ORÇAMENTO!$X$15,ROW(AV67)-ROW(AV$15),0),
              ROUND(ROUND(OFFSET($P67,0,AV$13),15-13*ORÇAMENTO!$AF$7)*OFFSET(ORÇAMENTO!$W$15,ROW(AV67)-ROW(AV$15),0),15-13*ORÇAMENTO!$AF$11)),
         0)</f>
        <v>900.02</v>
      </c>
      <c r="AW67" s="352" t="n">
        <f aca="true">IF(AND($D67="Serviço",AW$12&lt;&gt;0,$H67&gt;0,OR(AUTOEVENTO&lt;&gt;"manual",$M67&lt;&gt;$A$15)),
        IF(Import.TipoArredondamento&lt;&gt;"TransfereGOV",
              ROUND(OFFSET($P67,0,AW$13),15-13*ORÇAMENTO!$AF$7)/$H67*OFFSET(ORÇAMENTO!$X$15,ROW(AW67)-ROW(AW$15),0),
              ROUND(ROUND(OFFSET($P67,0,AW$13),15-13*ORÇAMENTO!$AF$7)*OFFSET(ORÇAMENTO!$W$15,ROW(AW67)-ROW(AW$15),0),15-13*ORÇAMENTO!$AF$11)),
         0)</f>
        <v>900.02</v>
      </c>
      <c r="AX67" s="352" t="n">
        <f aca="true">IF(AND($D67="Serviço",AX$12&lt;&gt;0,$H67&gt;0,OR(AUTOEVENTO&lt;&gt;"manual",$M67&lt;&gt;$A$15)),
        IF(Import.TipoArredondamento&lt;&gt;"TransfereGOV",
              ROUND(OFFSET($P67,0,AX$13),15-13*ORÇAMENTO!$AF$7)/$H67*OFFSET(ORÇAMENTO!$X$15,ROW(AX67)-ROW(AX$15),0),
              ROUND(ROUND(OFFSET($P67,0,AX$13),15-13*ORÇAMENTO!$AF$7)*OFFSET(ORÇAMENTO!$W$15,ROW(AX67)-ROW(AX$15),0),15-13*ORÇAMENTO!$AF$11)),
         0)</f>
        <v>900.02</v>
      </c>
      <c r="AY67" s="352" t="n">
        <f aca="true">IF(AND($D67="Serviço",AY$12&lt;&gt;0,$H67&gt;0,OR(AUTOEVENTO&lt;&gt;"manual",$M67&lt;&gt;$A$15)),
        IF(Import.TipoArredondamento&lt;&gt;"TransfereGOV",
              ROUND(OFFSET($P67,0,AY$13),15-13*ORÇAMENTO!$AF$7)/$H67*OFFSET(ORÇAMENTO!$X$15,ROW(AY67)-ROW(AY$15),0),
              ROUND(ROUND(OFFSET($P67,0,AY$13),15-13*ORÇAMENTO!$AF$7)*OFFSET(ORÇAMENTO!$W$15,ROW(AY67)-ROW(AY$15),0),15-13*ORÇAMENTO!$AF$11)),
         0)</f>
        <v>900.02</v>
      </c>
      <c r="AZ67" s="352" t="n">
        <f aca="true">IF(AND($D67="Serviço",AZ$12&lt;&gt;0,$H67&gt;0,OR(AUTOEVENTO&lt;&gt;"manual",$M67&lt;&gt;$A$15)),
        IF(Import.TipoArredondamento&lt;&gt;"TransfereGOV",
              ROUND(OFFSET($P67,0,AZ$13),15-13*ORÇAMENTO!$AF$7)/$H67*OFFSET(ORÇAMENTO!$X$15,ROW(AZ67)-ROW(AZ$15),0),
              ROUND(ROUND(OFFSET($P67,0,AZ$13),15-13*ORÇAMENTO!$AF$7)*OFFSET(ORÇAMENTO!$W$15,ROW(AZ67)-ROW(AZ$15),0),15-13*ORÇAMENTO!$AF$11)),
         0)</f>
        <v>900.02</v>
      </c>
      <c r="BA67" s="352" t="n">
        <f aca="true">IF(AND($D67="Serviço",BA$12&lt;&gt;0,$H67&gt;0,OR(AUTOEVENTO&lt;&gt;"manual",$M67&lt;&gt;$A$15)),
        IF(Import.TipoArredondamento&lt;&gt;"TransfereGOV",
              ROUND(OFFSET($P67,0,BA$13),15-13*ORÇAMENTO!$AF$7)/$H67*OFFSET(ORÇAMENTO!$X$15,ROW(BA67)-ROW(BA$15),0),
              ROUND(ROUND(OFFSET($P67,0,BA$13),15-13*ORÇAMENTO!$AF$7)*OFFSET(ORÇAMENTO!$W$15,ROW(BA67)-ROW(BA$15),0),15-13*ORÇAMENTO!$AF$11)),
         0)</f>
        <v>900.02</v>
      </c>
      <c r="BB67" s="352" t="n">
        <f aca="true">IF(AND($D67="Serviço",BB$12&lt;&gt;0,$H67&gt;0,OR(AUTOEVENTO&lt;&gt;"manual",$M67&lt;&gt;$A$15)),
        IF(Import.TipoArredondamento&lt;&gt;"TransfereGOV",
              ROUND(OFFSET($P67,0,BB$13),15-13*ORÇAMENTO!$AF$7)/$H67*OFFSET(ORÇAMENTO!$X$15,ROW(BB67)-ROW(BB$15),0),
              ROUND(ROUND(OFFSET($P67,0,BB$13),15-13*ORÇAMENTO!$AF$7)*OFFSET(ORÇAMENTO!$W$15,ROW(BB67)-ROW(BB$15),0),15-13*ORÇAMENTO!$AF$11)),
         0)</f>
        <v>900.02</v>
      </c>
      <c r="BC67" s="352" t="n">
        <f aca="true">IF(AND($D67="Serviço",BC$12&lt;&gt;0,$H67&gt;0,OR(AUTOEVENTO&lt;&gt;"manual",$M67&lt;&gt;$A$15)),
        IF(Import.TipoArredondamento&lt;&gt;"TransfereGOV",
              ROUND(OFFSET($P67,0,BC$13),15-13*ORÇAMENTO!$AF$7)/$H67*OFFSET(ORÇAMENTO!$X$15,ROW(BC67)-ROW(BC$15),0),
              ROUND(ROUND(OFFSET($P67,0,BC$13),15-13*ORÇAMENTO!$AF$7)*OFFSET(ORÇAMENTO!$W$15,ROW(BC67)-ROW(BC$15),0),15-13*ORÇAMENTO!$AF$11)),
         0)</f>
        <v>900.02</v>
      </c>
      <c r="BD67" s="352" t="n">
        <f aca="true">IF(AND($D67="Serviço",BD$12&lt;&gt;0,$H67&gt;0,OR(AUTOEVENTO&lt;&gt;"manual",$M67&lt;&gt;$A$15)),
        IF(Import.TipoArredondamento&lt;&gt;"TransfereGOV",
              ROUND(OFFSET($P67,0,BD$13),15-13*ORÇAMENTO!$AF$7)/$H67*OFFSET(ORÇAMENTO!$X$15,ROW(BD67)-ROW(BD$15),0),
              ROUND(ROUND(OFFSET($P67,0,BD$13),15-13*ORÇAMENTO!$AF$7)*OFFSET(ORÇAMENTO!$W$15,ROW(BD67)-ROW(BD$15),0),15-13*ORÇAMENTO!$AF$11)),
         0)</f>
        <v>900.02</v>
      </c>
      <c r="BE67" s="352" t="n">
        <f aca="true">IF(AND($D67="Serviço",BE$12&lt;&gt;0,$H67&gt;0,OR(AUTOEVENTO&lt;&gt;"manual",$M67&lt;&gt;$A$15)),
        IF(Import.TipoArredondamento&lt;&gt;"TransfereGOV",
              ROUND(OFFSET($P67,0,BE$13),15-13*ORÇAMENTO!$AF$7)/$H67*OFFSET(ORÇAMENTO!$X$15,ROW(BE67)-ROW(BE$15),0),
              ROUND(ROUND(OFFSET($P67,0,BE$13),15-13*ORÇAMENTO!$AF$7)*OFFSET(ORÇAMENTO!$W$15,ROW(BE67)-ROW(BE$15),0),15-13*ORÇAMENTO!$AF$11)),
         0)</f>
        <v>900.02</v>
      </c>
      <c r="BF67" s="352" t="n">
        <f aca="true">IF(AND($D67="Serviço",BF$12&lt;&gt;0,$H67&gt;0,OR(AUTOEVENTO&lt;&gt;"manual",$M67&lt;&gt;$A$15)),
        IF(Import.TipoArredondamento&lt;&gt;"TransfereGOV",
              ROUND(OFFSET($P67,0,BF$13),15-13*ORÇAMENTO!$AF$7)/$H67*OFFSET(ORÇAMENTO!$X$15,ROW(BF67)-ROW(BF$15),0),
              ROUND(ROUND(OFFSET($P67,0,BF$13),15-13*ORÇAMENTO!$AF$7)*OFFSET(ORÇAMENTO!$W$15,ROW(BF67)-ROW(BF$15),0),15-13*ORÇAMENTO!$AF$11)),
         0)</f>
        <v>900.02</v>
      </c>
      <c r="BG67" s="352" t="n">
        <f aca="true">IF(AND($D67="Serviço",BG$12&lt;&gt;0,$H67&gt;0,OR(AUTOEVENTO&lt;&gt;"manual",$M67&lt;&gt;$A$15)),
        IF(Import.TipoArredondamento&lt;&gt;"TransfereGOV",
              ROUND(OFFSET($P67,0,BG$13),15-13*ORÇAMENTO!$AF$7)/$H67*OFFSET(ORÇAMENTO!$X$15,ROW(BG67)-ROW(BG$15),0),
              ROUND(ROUND(OFFSET($P67,0,BG$13),15-13*ORÇAMENTO!$AF$7)*OFFSET(ORÇAMENTO!$W$15,ROW(BG67)-ROW(BG$15),0),15-13*ORÇAMENTO!$AF$11)),
         0)</f>
        <v>900.02</v>
      </c>
      <c r="BH67" s="352" t="n">
        <f aca="true">IF(AND($D67="Serviço",BH$12&lt;&gt;0,$H67&gt;0,OR(AUTOEVENTO&lt;&gt;"manual",$M67&lt;&gt;$A$15)),
        IF(Import.TipoArredondamento&lt;&gt;"TransfereGOV",
              ROUND(OFFSET($P67,0,BH$13),15-13*ORÇAMENTO!$AF$7)/$H67*OFFSET(ORÇAMENTO!$X$15,ROW(BH67)-ROW(BH$15),0),
              ROUND(ROUND(OFFSET($P67,0,BH$13),15-13*ORÇAMENTO!$AF$7)*OFFSET(ORÇAMENTO!$W$15,ROW(BH67)-ROW(BH$15),0),15-13*ORÇAMENTO!$AF$11)),
         0)</f>
        <v>900.02</v>
      </c>
      <c r="BI67" s="352" t="n">
        <f aca="true">IF(AND($D67="Serviço",BI$12&lt;&gt;0,$H67&gt;0,OR(AUTOEVENTO&lt;&gt;"manual",$M67&lt;&gt;$A$15)),
        IF(Import.TipoArredondamento&lt;&gt;"TransfereGOV",
              ROUND(OFFSET($P67,0,BI$13),15-13*ORÇAMENTO!$AF$7)/$H67*OFFSET(ORÇAMENTO!$X$15,ROW(BI67)-ROW(BI$15),0),
              ROUND(ROUND(OFFSET($P67,0,BI$13),15-13*ORÇAMENTO!$AF$7)*OFFSET(ORÇAMENTO!$W$15,ROW(BI67)-ROW(BI$15),0),15-13*ORÇAMENTO!$AF$11)),
         0)</f>
        <v>900.02</v>
      </c>
      <c r="BJ67" s="352" t="n">
        <f aca="true">IF(AND($D67="Serviço",BJ$12&lt;&gt;0,$H67&gt;0,OR(AUTOEVENTO&lt;&gt;"manual",$M67&lt;&gt;$A$15)),
        IF(Import.TipoArredondamento&lt;&gt;"TransfereGOV",
              ROUND(OFFSET($P67,0,BJ$13),15-13*ORÇAMENTO!$AF$7)/$H67*OFFSET(ORÇAMENTO!$X$15,ROW(BJ67)-ROW(BJ$15),0),
              ROUND(ROUND(OFFSET($P67,0,BJ$13),15-13*ORÇAMENTO!$AF$7)*OFFSET(ORÇAMENTO!$W$15,ROW(BJ67)-ROW(BJ$15),0),15-13*ORÇAMENTO!$AF$11)),
         0)</f>
        <v>900.02</v>
      </c>
      <c r="BK67" s="352" t="n">
        <f aca="true">IF(AND($D67="Serviço",BK$12&lt;&gt;0,$H67&gt;0,OR(AUTOEVENTO&lt;&gt;"manual",$M67&lt;&gt;$A$15)),
        IF(Import.TipoArredondamento&lt;&gt;"TransfereGOV",
              ROUND(OFFSET($P67,0,BK$13),15-13*ORÇAMENTO!$AF$7)/$H67*OFFSET(ORÇAMENTO!$X$15,ROW(BK67)-ROW(BK$15),0),
              ROUND(ROUND(OFFSET($P67,0,BK$13),15-13*ORÇAMENTO!$AF$7)*OFFSET(ORÇAMENTO!$W$15,ROW(BK67)-ROW(BK$15),0),15-13*ORÇAMENTO!$AF$11)),
         0)</f>
        <v>900.02</v>
      </c>
      <c r="BL67" s="352" t="n">
        <f aca="true">IF(AND($D67="Serviço",BL$12&lt;&gt;0,$H67&gt;0,OR(AUTOEVENTO&lt;&gt;"manual",$M67&lt;&gt;$A$15)),
        IF(Import.TipoArredondamento&lt;&gt;"TransfereGOV",
              ROUND(OFFSET($P67,0,BL$13),15-13*ORÇAMENTO!$AF$7)/$H67*OFFSET(ORÇAMENTO!$X$15,ROW(BL67)-ROW(BL$15),0),
              ROUND(ROUND(OFFSET($P67,0,BL$13),15-13*ORÇAMENTO!$AF$7)*OFFSET(ORÇAMENTO!$W$15,ROW(BL67)-ROW(BL$15),0),15-13*ORÇAMENTO!$AF$11)),
         0)</f>
        <v>900.02</v>
      </c>
      <c r="BM67" s="352" t="n">
        <f aca="true">IF(AND($D67="Serviço",BM$12&lt;&gt;0,$H67&gt;0,OR(AUTOEVENTO&lt;&gt;"manual",$M67&lt;&gt;$A$15)),
        IF(Import.TipoArredondamento&lt;&gt;"TransfereGOV",
              ROUND(OFFSET($P67,0,BM$13),15-13*ORÇAMENTO!$AF$7)/$H67*OFFSET(ORÇAMENTO!$X$15,ROW(BM67)-ROW(BM$15),0),
              ROUND(ROUND(OFFSET($P67,0,BM$13),15-13*ORÇAMENTO!$AF$7)*OFFSET(ORÇAMENTO!$W$15,ROW(BM67)-ROW(BM$15),0),15-13*ORÇAMENTO!$AF$11)),
         0)</f>
        <v>900.02</v>
      </c>
      <c r="BN67" s="352" t="n">
        <f aca="true">IF(AND($D67="Serviço",BN$12&lt;&gt;0,$H67&gt;0,OR(AUTOEVENTO&lt;&gt;"manual",$M67&lt;&gt;$A$15)),
        IF(Import.TipoArredondamento&lt;&gt;"TransfereGOV",
              ROUND(OFFSET($P67,0,BN$13),15-13*ORÇAMENTO!$AF$7)/$H67*OFFSET(ORÇAMENTO!$X$15,ROW(BN67)-ROW(BN$15),0),
              ROUND(ROUND(OFFSET($P67,0,BN$13),15-13*ORÇAMENTO!$AF$7)*OFFSET(ORÇAMENTO!$W$15,ROW(BN67)-ROW(BN$15),0),15-13*ORÇAMENTO!$AF$11)),
         0)</f>
        <v>900.02</v>
      </c>
      <c r="BO67" s="352" t="n">
        <f aca="true">IF(AND($D67="Serviço",BO$12&lt;&gt;0,$H67&gt;0,OR(AUTOEVENTO&lt;&gt;"manual",$M67&lt;&gt;$A$15)),
        IF(Import.TipoArredondamento&lt;&gt;"TransfereGOV",
              ROUND(OFFSET($P67,0,BO$13),15-13*ORÇAMENTO!$AF$7)/$H67*OFFSET(ORÇAMENTO!$X$15,ROW(BO67)-ROW(BO$15),0),
              ROUND(ROUND(OFFSET($P67,0,BO$13),15-13*ORÇAMENTO!$AF$7)*OFFSET(ORÇAMENTO!$W$15,ROW(BO67)-ROW(BO$15),0),15-13*ORÇAMENTO!$AF$11)),
         0)</f>
        <v>900.02</v>
      </c>
      <c r="BP67" s="352" t="n">
        <f aca="true">IF(AND($D67="Serviço",BP$12&lt;&gt;0,$H67&gt;0,OR(AUTOEVENTO&lt;&gt;"manual",$M67&lt;&gt;$A$15)),
        IF(Import.TipoArredondamento&lt;&gt;"TransfereGOV",
              ROUND(OFFSET($P67,0,BP$13),15-13*ORÇAMENTO!$AF$7)/$H67*OFFSET(ORÇAMENTO!$X$15,ROW(BP67)-ROW(BP$15),0),
              ROUND(ROUND(OFFSET($P67,0,BP$13),15-13*ORÇAMENTO!$AF$7)*OFFSET(ORÇAMENTO!$W$15,ROW(BP67)-ROW(BP$15),0),15-13*ORÇAMENTO!$AF$11)),
         0)</f>
        <v>900.02</v>
      </c>
      <c r="BQ67" s="352" t="n">
        <f aca="true">IF(AND($D67="Serviço",BQ$12&lt;&gt;0,$H67&gt;0,OR(AUTOEVENTO&lt;&gt;"manual",$M67&lt;&gt;$A$15)),
        IF(Import.TipoArredondamento&lt;&gt;"TransfereGOV",
              ROUND(OFFSET($P67,0,BQ$13),15-13*ORÇAMENTO!$AF$7)/$H67*OFFSET(ORÇAMENTO!$X$15,ROW(BQ67)-ROW(BQ$15),0),
              ROUND(ROUND(OFFSET($P67,0,BQ$13),15-13*ORÇAMENTO!$AF$7)*OFFSET(ORÇAMENTO!$W$15,ROW(BQ67)-ROW(BQ$15),0),15-13*ORÇAMENTO!$AF$11)),
         0)</f>
        <v>0</v>
      </c>
      <c r="BS67" s="353" t="n">
        <f aca="true">IF(OR($D67&lt;&gt;"Serviço",AND(AUTOEVENTO="Manual",$M67=$A$15)),0,
         IF(OFFSET(CRONOPLE!$F$15,$M67-$A$15,BS$13)=0,10^12,OFFSET(CRONOPLE!$F$15,$M67-$A$15,BS$13)))</f>
        <v>1</v>
      </c>
      <c r="BT67" s="353" t="n">
        <f aca="true">IF(OR($D67&lt;&gt;"Serviço",AND(AUTOEVENTO="Manual",$M67=$A$15)),0,
         IF(OFFSET(CRONOPLE!$F$15,$M67-$A$15,BT$13)=0,10^12,OFFSET(CRONOPLE!$F$15,$M67-$A$15,BT$13)))</f>
        <v>2</v>
      </c>
      <c r="BU67" s="353" t="n">
        <f aca="true">IF(OR($D67&lt;&gt;"Serviço",AND(AUTOEVENTO="Manual",$M67=$A$15)),0,
         IF(OFFSET(CRONOPLE!$F$15,$M67-$A$15,BU$13)=0,10^12,OFFSET(CRONOPLE!$F$15,$M67-$A$15,BU$13)))</f>
        <v>3</v>
      </c>
      <c r="BV67" s="353" t="n">
        <f aca="true">IF(OR($D67&lt;&gt;"Serviço",AND(AUTOEVENTO="Manual",$M67=$A$15)),0,
         IF(OFFSET(CRONOPLE!$F$15,$M67-$A$15,BV$13)=0,10^12,OFFSET(CRONOPLE!$F$15,$M67-$A$15,BV$13)))</f>
        <v>4</v>
      </c>
      <c r="BW67" s="353" t="n">
        <f aca="true">IF(OR($D67&lt;&gt;"Serviço",AND(AUTOEVENTO="Manual",$M67=$A$15)),0,
         IF(OFFSET(CRONOPLE!$F$15,$M67-$A$15,BW$13)=0,10^12,OFFSET(CRONOPLE!$F$15,$M67-$A$15,BW$13)))</f>
        <v>5</v>
      </c>
      <c r="BX67" s="353" t="n">
        <f aca="true">IF(OR($D67&lt;&gt;"Serviço",AND(AUTOEVENTO="Manual",$M67=$A$15)),0,
         IF(OFFSET(CRONOPLE!$F$15,$M67-$A$15,BX$13)=0,10^12,OFFSET(CRONOPLE!$F$15,$M67-$A$15,BX$13)))</f>
        <v>6</v>
      </c>
      <c r="BY67" s="353" t="n">
        <f aca="true">IF(OR($D67&lt;&gt;"Serviço",AND(AUTOEVENTO="Manual",$M67=$A$15)),0,
         IF(OFFSET(CRONOPLE!$F$15,$M67-$A$15,BY$13)=0,10^12,OFFSET(CRONOPLE!$F$15,$M67-$A$15,BY$13)))</f>
        <v>7</v>
      </c>
      <c r="BZ67" s="353" t="n">
        <f aca="true">IF(OR($D67&lt;&gt;"Serviço",AND(AUTOEVENTO="Manual",$M67=$A$15)),0,
         IF(OFFSET(CRONOPLE!$F$15,$M67-$A$15,BZ$13)=0,10^12,OFFSET(CRONOPLE!$F$15,$M67-$A$15,BZ$13)))</f>
        <v>8</v>
      </c>
      <c r="CA67" s="353" t="n">
        <f aca="true">IF(OR($D67&lt;&gt;"Serviço",AND(AUTOEVENTO="Manual",$M67=$A$15)),0,
         IF(OFFSET(CRONOPLE!$F$15,$M67-$A$15,CA$13)=0,10^12,OFFSET(CRONOPLE!$F$15,$M67-$A$15,CA$13)))</f>
        <v>9</v>
      </c>
      <c r="CB67" s="353" t="n">
        <f aca="true">IF(OR($D67&lt;&gt;"Serviço",AND(AUTOEVENTO="Manual",$M67=$A$15)),0,
         IF(OFFSET(CRONOPLE!$F$15,$M67-$A$15,CB$13)=0,10^12,OFFSET(CRONOPLE!$F$15,$M67-$A$15,CB$13)))</f>
        <v>10</v>
      </c>
      <c r="CC67" s="353" t="n">
        <f aca="true">IF(OR($D67&lt;&gt;"Serviço",AND(AUTOEVENTO="Manual",$M67=$A$15)),0,
         IF(OFFSET(CRONOPLE!$F$15,$M67-$A$15,CC$13)=0,10^12,OFFSET(CRONOPLE!$F$15,$M67-$A$15,CC$13)))</f>
        <v>11</v>
      </c>
      <c r="CD67" s="353" t="n">
        <f aca="true">IF(OR($D67&lt;&gt;"Serviço",AND(AUTOEVENTO="Manual",$M67=$A$15)),0,
         IF(OFFSET(CRONOPLE!$F$15,$M67-$A$15,CD$13)=0,10^12,OFFSET(CRONOPLE!$F$15,$M67-$A$15,CD$13)))</f>
        <v>12</v>
      </c>
      <c r="CE67" s="353" t="n">
        <f aca="true">IF(OR($D67&lt;&gt;"Serviço",AND(AUTOEVENTO="Manual",$M67=$A$15)),0,
         IF(OFFSET(CRONOPLE!$F$15,$M67-$A$15,CE$13)=0,10^12,OFFSET(CRONOPLE!$F$15,$M67-$A$15,CE$13)))</f>
        <v>13</v>
      </c>
      <c r="CF67" s="353" t="n">
        <f aca="true">IF(OR($D67&lt;&gt;"Serviço",AND(AUTOEVENTO="Manual",$M67=$A$15)),0,
         IF(OFFSET(CRONOPLE!$F$15,$M67-$A$15,CF$13)=0,10^12,OFFSET(CRONOPLE!$F$15,$M67-$A$15,CF$13)))</f>
        <v>14</v>
      </c>
      <c r="CG67" s="353" t="n">
        <f aca="true">IF(OR($D67&lt;&gt;"Serviço",AND(AUTOEVENTO="Manual",$M67=$A$15)),0,
         IF(OFFSET(CRONOPLE!$F$15,$M67-$A$15,CG$13)=0,10^12,OFFSET(CRONOPLE!$F$15,$M67-$A$15,CG$13)))</f>
        <v>15</v>
      </c>
      <c r="CH67" s="353" t="n">
        <f aca="true">IF(OR($D67&lt;&gt;"Serviço",AND(AUTOEVENTO="Manual",$M67=$A$15)),0,
         IF(OFFSET(CRONOPLE!$F$15,$M67-$A$15,CH$13)=0,10^12,OFFSET(CRONOPLE!$F$15,$M67-$A$15,CH$13)))</f>
        <v>16</v>
      </c>
      <c r="CI67" s="353" t="n">
        <f aca="true">IF(OR($D67&lt;&gt;"Serviço",AND(AUTOEVENTO="Manual",$M67=$A$15)),0,
         IF(OFFSET(CRONOPLE!$F$15,$M67-$A$15,CI$13)=0,10^12,OFFSET(CRONOPLE!$F$15,$M67-$A$15,CI$13)))</f>
        <v>17</v>
      </c>
      <c r="CJ67" s="353" t="n">
        <f aca="true">IF(OR($D67&lt;&gt;"Serviço",AND(AUTOEVENTO="Manual",$M67=$A$15)),0,
         IF(OFFSET(CRONOPLE!$F$15,$M67-$A$15,CJ$13)=0,10^12,OFFSET(CRONOPLE!$F$15,$M67-$A$15,CJ$13)))</f>
        <v>18</v>
      </c>
      <c r="CK67" s="353" t="n">
        <f aca="true">IF(OR($D67&lt;&gt;"Serviço",AND(AUTOEVENTO="Manual",$M67=$A$15)),0,
         IF(OFFSET(CRONOPLE!$F$15,$M67-$A$15,CK$13)=0,10^12,OFFSET(CRONOPLE!$F$15,$M67-$A$15,CK$13)))</f>
        <v>19</v>
      </c>
      <c r="CL67" s="353" t="n">
        <f aca="true">IF(OR($D67&lt;&gt;"Serviço",AND(AUTOEVENTO="Manual",$M67=$A$15)),0,
         IF(OFFSET(CRONOPLE!$F$15,$M67-$A$15,CL$13)=0,10^12,OFFSET(CRONOPLE!$F$15,$M67-$A$15,CL$13)))</f>
        <v>20</v>
      </c>
      <c r="CM67" s="353" t="n">
        <f aca="true">IF(OR($D67&lt;&gt;"Serviço",AND(AUTOEVENTO="Manual",$M67=$A$15)),0,
         IF(OFFSET(CRONOPLE!$F$15,$M67-$A$15,CM$13)=0,10^12,OFFSET(CRONOPLE!$F$15,$M67-$A$15,CM$13)))</f>
        <v>21</v>
      </c>
      <c r="CN67" s="353" t="n">
        <f aca="true">IF(OR($D67&lt;&gt;"Serviço",AND(AUTOEVENTO="Manual",$M67=$A$15)),0,
         IF(OFFSET(CRONOPLE!$F$15,$M67-$A$15,CN$13)=0,10^12,OFFSET(CRONOPLE!$F$15,$M67-$A$15,CN$13)))</f>
        <v>22</v>
      </c>
      <c r="CO67" s="353" t="n">
        <f aca="true">IF(OR($D67&lt;&gt;"Serviço",AND(AUTOEVENTO="Manual",$M67=$A$15)),0,
         IF(OFFSET(CRONOPLE!$F$15,$M67-$A$15,CO$13)=0,10^12,OFFSET(CRONOPLE!$F$15,$M67-$A$15,CO$13)))</f>
        <v>23</v>
      </c>
      <c r="CP67" s="353" t="n">
        <f aca="true">IF(OR($D67&lt;&gt;"Serviço",AND(AUTOEVENTO="Manual",$M67=$A$15)),0,
         IF(OFFSET(CRONOPLE!$F$15,$M67-$A$15,CP$13)=0,10^12,OFFSET(CRONOPLE!$F$15,$M67-$A$15,CP$13)))</f>
        <v>24</v>
      </c>
      <c r="CQ67" s="353" t="n">
        <f aca="true">IF(OR($D67&lt;&gt;"Serviço",AND(AUTOEVENTO="Manual",$M67=$A$15)),0,
         IF(OFFSET(CRONOPLE!$F$15,$M67-$A$15,CQ$13)=0,10^12,OFFSET(CRONOPLE!$F$15,$M67-$A$15,CQ$13)))</f>
        <v>25</v>
      </c>
      <c r="CR67" s="353" t="n">
        <f aca="true">IF(OR($D67&lt;&gt;"Serviço",AND(AUTOEVENTO="Manual",$M67=$A$15)),0,
         IF(OFFSET(CRONOPLE!$F$15,$M67-$A$15,CR$13)=0,10^12,OFFSET(CRONOPLE!$F$15,$M67-$A$15,CR$13)))</f>
        <v>1000000000000</v>
      </c>
      <c r="CT67" s="354" t="n">
        <f aca="true">IF(OR($D67&lt;&gt;"Serviço",AND(AUTOEVENTO="Manual",$M67=$A$15),$M67&gt;(ROW(PLE.lastrow)-ROW(PLE.firstrow))),0,
           IF(OFFSET(PLE!$G$15,$M67-$A$15,CT$13)="",10^12,OFFSET(PLE!$G$15,$M67-$A$15,CT$13)))</f>
        <v>1000000000000</v>
      </c>
      <c r="CU67" s="354" t="n">
        <f aca="true">IF(OR($D67&lt;&gt;"Serviço",AND(AUTOEVENTO="Manual",$M67=$A$15),$M67&gt;(ROW(PLE.lastrow)-ROW(PLE.firstrow))),0,
           IF(OFFSET(PLE!$G$15,$M67-$A$15,CU$13)="",10^12,OFFSET(PLE!$G$15,$M67-$A$15,CU$13)))</f>
        <v>1000000000000</v>
      </c>
      <c r="CV67" s="354" t="n">
        <f aca="true">IF(OR($D67&lt;&gt;"Serviço",AND(AUTOEVENTO="Manual",$M67=$A$15),$M67&gt;(ROW(PLE.lastrow)-ROW(PLE.firstrow))),0,
           IF(OFFSET(PLE!$G$15,$M67-$A$15,CV$13)="",10^12,OFFSET(PLE!$G$15,$M67-$A$15,CV$13)))</f>
        <v>1000000000000</v>
      </c>
      <c r="CW67" s="354" t="n">
        <f aca="true">IF(OR($D67&lt;&gt;"Serviço",AND(AUTOEVENTO="Manual",$M67=$A$15),$M67&gt;(ROW(PLE.lastrow)-ROW(PLE.firstrow))),0,
           IF(OFFSET(PLE!$G$15,$M67-$A$15,CW$13)="",10^12,OFFSET(PLE!$G$15,$M67-$A$15,CW$13)))</f>
        <v>1000000000000</v>
      </c>
      <c r="CX67" s="354" t="n">
        <f aca="true">IF(OR($D67&lt;&gt;"Serviço",AND(AUTOEVENTO="Manual",$M67=$A$15),$M67&gt;(ROW(PLE.lastrow)-ROW(PLE.firstrow))),0,
           IF(OFFSET(PLE!$G$15,$M67-$A$15,CX$13)="",10^12,OFFSET(PLE!$G$15,$M67-$A$15,CX$13)))</f>
        <v>1000000000000</v>
      </c>
      <c r="CY67" s="354" t="n">
        <f aca="true">IF(OR($D67&lt;&gt;"Serviço",AND(AUTOEVENTO="Manual",$M67=$A$15),$M67&gt;(ROW(PLE.lastrow)-ROW(PLE.firstrow))),0,
           IF(OFFSET(PLE!$G$15,$M67-$A$15,CY$13)="",10^12,OFFSET(PLE!$G$15,$M67-$A$15,CY$13)))</f>
        <v>1000000000000</v>
      </c>
      <c r="CZ67" s="354" t="n">
        <f aca="true">IF(OR($D67&lt;&gt;"Serviço",AND(AUTOEVENTO="Manual",$M67=$A$15),$M67&gt;(ROW(PLE.lastrow)-ROW(PLE.firstrow))),0,
           IF(OFFSET(PLE!$G$15,$M67-$A$15,CZ$13)="",10^12,OFFSET(PLE!$G$15,$M67-$A$15,CZ$13)))</f>
        <v>1000000000000</v>
      </c>
      <c r="DA67" s="354" t="n">
        <f aca="true">IF(OR($D67&lt;&gt;"Serviço",AND(AUTOEVENTO="Manual",$M67=$A$15),$M67&gt;(ROW(PLE.lastrow)-ROW(PLE.firstrow))),0,
           IF(OFFSET(PLE!$G$15,$M67-$A$15,DA$13)="",10^12,OFFSET(PLE!$G$15,$M67-$A$15,DA$13)))</f>
        <v>1000000000000</v>
      </c>
      <c r="DB67" s="354" t="n">
        <f aca="true">IF(OR($D67&lt;&gt;"Serviço",AND(AUTOEVENTO="Manual",$M67=$A$15),$M67&gt;(ROW(PLE.lastrow)-ROW(PLE.firstrow))),0,
           IF(OFFSET(PLE!$G$15,$M67-$A$15,DB$13)="",10^12,OFFSET(PLE!$G$15,$M67-$A$15,DB$13)))</f>
        <v>1000000000000</v>
      </c>
      <c r="DC67" s="354" t="n">
        <f aca="true">IF(OR($D67&lt;&gt;"Serviço",AND(AUTOEVENTO="Manual",$M67=$A$15),$M67&gt;(ROW(PLE.lastrow)-ROW(PLE.firstrow))),0,
           IF(OFFSET(PLE!$G$15,$M67-$A$15,DC$13)="",10^12,OFFSET(PLE!$G$15,$M67-$A$15,DC$13)))</f>
        <v>1000000000000</v>
      </c>
      <c r="DD67" s="354" t="n">
        <f aca="true">IF(OR($D67&lt;&gt;"Serviço",AND(AUTOEVENTO="Manual",$M67=$A$15),$M67&gt;(ROW(PLE.lastrow)-ROW(PLE.firstrow))),0,
           IF(OFFSET(PLE!$G$15,$M67-$A$15,DD$13)="",10^12,OFFSET(PLE!$G$15,$M67-$A$15,DD$13)))</f>
        <v>1000000000000</v>
      </c>
      <c r="DE67" s="354" t="n">
        <f aca="true">IF(OR($D67&lt;&gt;"Serviço",AND(AUTOEVENTO="Manual",$M67=$A$15),$M67&gt;(ROW(PLE.lastrow)-ROW(PLE.firstrow))),0,
           IF(OFFSET(PLE!$G$15,$M67-$A$15,DE$13)="",10^12,OFFSET(PLE!$G$15,$M67-$A$15,DE$13)))</f>
        <v>1000000000000</v>
      </c>
      <c r="DF67" s="354" t="n">
        <f aca="true">IF(OR($D67&lt;&gt;"Serviço",AND(AUTOEVENTO="Manual",$M67=$A$15),$M67&gt;(ROW(PLE.lastrow)-ROW(PLE.firstrow))),0,
           IF(OFFSET(PLE!$G$15,$M67-$A$15,DF$13)="",10^12,OFFSET(PLE!$G$15,$M67-$A$15,DF$13)))</f>
        <v>1000000000000</v>
      </c>
      <c r="DG67" s="354" t="n">
        <f aca="true">IF(OR($D67&lt;&gt;"Serviço",AND(AUTOEVENTO="Manual",$M67=$A$15),$M67&gt;(ROW(PLE.lastrow)-ROW(PLE.firstrow))),0,
           IF(OFFSET(PLE!$G$15,$M67-$A$15,DG$13)="",10^12,OFFSET(PLE!$G$15,$M67-$A$15,DG$13)))</f>
        <v>1000000000000</v>
      </c>
      <c r="DH67" s="354" t="n">
        <f aca="true">IF(OR($D67&lt;&gt;"Serviço",AND(AUTOEVENTO="Manual",$M67=$A$15),$M67&gt;(ROW(PLE.lastrow)-ROW(PLE.firstrow))),0,
           IF(OFFSET(PLE!$G$15,$M67-$A$15,DH$13)="",10^12,OFFSET(PLE!$G$15,$M67-$A$15,DH$13)))</f>
        <v>1000000000000</v>
      </c>
      <c r="DI67" s="354" t="n">
        <f aca="true">IF(OR($D67&lt;&gt;"Serviço",AND(AUTOEVENTO="Manual",$M67=$A$15),$M67&gt;(ROW(PLE.lastrow)-ROW(PLE.firstrow))),0,
           IF(OFFSET(PLE!$G$15,$M67-$A$15,DI$13)="",10^12,OFFSET(PLE!$G$15,$M67-$A$15,DI$13)))</f>
        <v>1000000000000</v>
      </c>
      <c r="DJ67" s="354" t="n">
        <f aca="true">IF(OR($D67&lt;&gt;"Serviço",AND(AUTOEVENTO="Manual",$M67=$A$15),$M67&gt;(ROW(PLE.lastrow)-ROW(PLE.firstrow))),0,
           IF(OFFSET(PLE!$G$15,$M67-$A$15,DJ$13)="",10^12,OFFSET(PLE!$G$15,$M67-$A$15,DJ$13)))</f>
        <v>1000000000000</v>
      </c>
      <c r="DK67" s="354" t="n">
        <f aca="true">IF(OR($D67&lt;&gt;"Serviço",AND(AUTOEVENTO="Manual",$M67=$A$15),$M67&gt;(ROW(PLE.lastrow)-ROW(PLE.firstrow))),0,
           IF(OFFSET(PLE!$G$15,$M67-$A$15,DK$13)="",10^12,OFFSET(PLE!$G$15,$M67-$A$15,DK$13)))</f>
        <v>1000000000000</v>
      </c>
      <c r="DL67" s="354" t="n">
        <f aca="true">IF(OR($D67&lt;&gt;"Serviço",AND(AUTOEVENTO="Manual",$M67=$A$15),$M67&gt;(ROW(PLE.lastrow)-ROW(PLE.firstrow))),0,
           IF(OFFSET(PLE!$G$15,$M67-$A$15,DL$13)="",10^12,OFFSET(PLE!$G$15,$M67-$A$15,DL$13)))</f>
        <v>1000000000000</v>
      </c>
      <c r="DM67" s="354" t="n">
        <f aca="true">IF(OR($D67&lt;&gt;"Serviço",AND(AUTOEVENTO="Manual",$M67=$A$15),$M67&gt;(ROW(PLE.lastrow)-ROW(PLE.firstrow))),0,
           IF(OFFSET(PLE!$G$15,$M67-$A$15,DM$13)="",10^12,OFFSET(PLE!$G$15,$M67-$A$15,DM$13)))</f>
        <v>1000000000000</v>
      </c>
      <c r="DN67" s="354" t="n">
        <f aca="true">IF(OR($D67&lt;&gt;"Serviço",AND(AUTOEVENTO="Manual",$M67=$A$15),$M67&gt;(ROW(PLE.lastrow)-ROW(PLE.firstrow))),0,
           IF(OFFSET(PLE!$G$15,$M67-$A$15,DN$13)="",10^12,OFFSET(PLE!$G$15,$M67-$A$15,DN$13)))</f>
        <v>1000000000000</v>
      </c>
      <c r="DO67" s="354" t="n">
        <f aca="true">IF(OR($D67&lt;&gt;"Serviço",AND(AUTOEVENTO="Manual",$M67=$A$15),$M67&gt;(ROW(PLE.lastrow)-ROW(PLE.firstrow))),0,
           IF(OFFSET(PLE!$G$15,$M67-$A$15,DO$13)="",10^12,OFFSET(PLE!$G$15,$M67-$A$15,DO$13)))</f>
        <v>1000000000000</v>
      </c>
      <c r="DP67" s="354" t="n">
        <f aca="true">IF(OR($D67&lt;&gt;"Serviço",AND(AUTOEVENTO="Manual",$M67=$A$15),$M67&gt;(ROW(PLE.lastrow)-ROW(PLE.firstrow))),0,
           IF(OFFSET(PLE!$G$15,$M67-$A$15,DP$13)="",10^12,OFFSET(PLE!$G$15,$M67-$A$15,DP$13)))</f>
        <v>1000000000000</v>
      </c>
      <c r="DQ67" s="354" t="n">
        <f aca="true">IF(OR($D67&lt;&gt;"Serviço",AND(AUTOEVENTO="Manual",$M67=$A$15),$M67&gt;(ROW(PLE.lastrow)-ROW(PLE.firstrow))),0,
           IF(OFFSET(PLE!$G$15,$M67-$A$15,DQ$13)="",10^12,OFFSET(PLE!$G$15,$M67-$A$15,DQ$13)))</f>
        <v>1000000000000</v>
      </c>
      <c r="DR67" s="354" t="n">
        <f aca="true">IF(OR($D67&lt;&gt;"Serviço",AND(AUTOEVENTO="Manual",$M67=$A$15),$M67&gt;(ROW(PLE.lastrow)-ROW(PLE.firstrow))),0,
           IF(OFFSET(PLE!$G$15,$M67-$A$15,DR$13)="",10^12,OFFSET(PLE!$G$15,$M67-$A$15,DR$13)))</f>
        <v>1000000000000</v>
      </c>
      <c r="DS67" s="354" t="n">
        <f aca="true">IF(OR($D67&lt;&gt;"Serviço",AND(AUTOEVENTO="Manual",$M67=$A$15),$M67&gt;(ROW(PLE.lastrow)-ROW(PLE.firstrow))),0,
           IF(OFFSET(PLE!$G$15,$M67-$A$15,DS$13)="",10^12,OFFSET(PLE!$G$15,$M67-$A$15,DS$13)))</f>
        <v>1000000000000</v>
      </c>
    </row>
    <row r="68" customFormat="false" ht="12.75" hidden="false" customHeight="false" outlineLevel="0" collapsed="false">
      <c r="A68" s="50" t="str">
        <f aca="true">IFERROR(IF(AUTOEVENTO="Manual",IF(K68&lt;&gt;"",MIN(VALUE(LEFT(K68,FIND(".",K68)-1)),COUNTA(EVENTOS.Lista)),0),IF(OR($B68&gt;AUTOEVENTO,$B68="S",$B68=0),SUBSTITUTE(OFFSET($A68,-1,0),IF($D68="Serviço",".",""),""),ROW(A68)-ROW($A$15)&amp;".")),0)</f>
        <v>53.</v>
      </c>
      <c r="B68" s="50" t="n">
        <f aca="true">OFFSET(ORÇAMENTO!C$15,ROW(B68)-ROW(B$15),0)</f>
        <v>2</v>
      </c>
      <c r="C68" s="50" t="str">
        <f aca="true">OFFSET(ORÇAMENTO!L$15,ROW(C68)-ROW(C$15),0)</f>
        <v>F</v>
      </c>
      <c r="D68" s="201" t="str">
        <f aca="true">OFFSET(ORÇAMENTO!N$15,ROW(D68)-ROW(D$15),0)</f>
        <v>Nível 2</v>
      </c>
      <c r="E68" s="202" t="str">
        <f aca="true">OFFSET(ORÇAMENTO!O$15,ROW(E68)-ROW(E$15),0)</f>
        <v>1.15.</v>
      </c>
      <c r="F68" s="341" t="str">
        <f aca="true">OFFSET(ORÇAMENTO!R$15,ROW(F68)-ROW(F$15),0)</f>
        <v>COBERTURA E PROTEÇÕES</v>
      </c>
      <c r="G68" s="342" t="str">
        <f aca="true">IF($D68&lt;&gt;"Serviço","",OFFSET(ORÇAMENTO!S$15,ROW(G68)-ROW(G$15),0))</f>
        <v/>
      </c>
      <c r="H68" s="207" t="n">
        <f aca="true">IF($D68&lt;&gt;"Serviço",0,IF(ACOMPANHAMENTO="BM",ROUND(OFFSET(ORÇAMENTO!AJ$15,ROW(H68)-ROW(H$15),0),15-13*ORÇAMENTO!$AF$7),SUMPRODUCT(($Q$1:$AQ$1=1)*ROUND($Q68:$AQ68,15-13*ORÇAMENTO!$AF$7))))</f>
        <v>0</v>
      </c>
      <c r="I68" s="343"/>
      <c r="J68" s="344" t="str">
        <f aca="false">IF(OR(B68&lt;&gt;"S",CÁLCULO.FrentesPreenchidas=0),"",IF(AND(ACOMPANHAMENTO="PLE",AUTOEVENTO="Manual",OR(H68&gt;0,ORÇAMENTO!AC68="QUANT."),OR(K68="",M68=0,N68="")),"►",IF(AND(ACOMPANHAMENTO="PLE",ORÇAMENTO!AC68="QUANT."),"►►",IF(AND(COUNTIF($P$11:$AQ$11,"▼")=0,H68&gt;0,I68=""),"◄",""))))</f>
        <v/>
      </c>
      <c r="K68" s="345"/>
      <c r="L68" s="346" t="s">
        <v>876</v>
      </c>
      <c r="M68" s="347" t="str">
        <f aca="true">IF($D68&lt;&gt;"Serviço","",
          IF(AUTOEVENTO="manual",$A68,
                IF(ISERROR(MATCH($A68,$A$15:OFFSET($A68,-1,0),0)),MAX($M$15:OFFSET(M68,-1,0))+1,
                      INDEX($M$15:OFFSET(M68,-1,0),MATCH($A68,$A$15:OFFSET($A68,-1,0),0)))))</f>
        <v/>
      </c>
      <c r="N68" s="348" t="str">
        <f aca="true">IF($D68&lt;&gt;"Serviço","",
         IF(AUTOEVENTO="Manual",
                IF($A68=0,"&lt;-- defina o número do agrupador",
                       OFFSET(EVENTOS!$D$15,$A68-$A$15,0)),
                OFFSET($F$15,$A68,0)))</f>
        <v/>
      </c>
      <c r="O68" s="349"/>
      <c r="Q68" s="349" t="n">
        <v>47.07</v>
      </c>
      <c r="R68" s="350" t="n">
        <v>47.07</v>
      </c>
      <c r="S68" s="350" t="n">
        <v>47.07</v>
      </c>
      <c r="T68" s="350" t="n">
        <v>47.07</v>
      </c>
      <c r="U68" s="350" t="n">
        <v>47.07</v>
      </c>
      <c r="V68" s="350" t="n">
        <v>47.07</v>
      </c>
      <c r="W68" s="350" t="n">
        <v>47.07</v>
      </c>
      <c r="X68" s="350" t="n">
        <v>47.07</v>
      </c>
      <c r="Y68" s="350" t="n">
        <v>47.07</v>
      </c>
      <c r="Z68" s="351" t="n">
        <v>47.07</v>
      </c>
      <c r="AA68" s="350" t="n">
        <v>47.07</v>
      </c>
      <c r="AB68" s="350" t="n">
        <v>47.07</v>
      </c>
      <c r="AC68" s="350" t="n">
        <v>47.07</v>
      </c>
      <c r="AD68" s="350" t="n">
        <v>47.07</v>
      </c>
      <c r="AE68" s="350" t="n">
        <v>47.07</v>
      </c>
      <c r="AF68" s="350" t="n">
        <v>47.07</v>
      </c>
      <c r="AG68" s="350" t="n">
        <v>47.07</v>
      </c>
      <c r="AH68" s="351" t="n">
        <v>47.07</v>
      </c>
      <c r="AI68" s="350" t="n">
        <v>47.07</v>
      </c>
      <c r="AJ68" s="350" t="n">
        <v>47.07</v>
      </c>
      <c r="AK68" s="350" t="n">
        <v>47.07</v>
      </c>
      <c r="AL68" s="350" t="n">
        <v>47.07</v>
      </c>
      <c r="AM68" s="350" t="n">
        <v>47.07</v>
      </c>
      <c r="AN68" s="350" t="n">
        <v>47.07</v>
      </c>
      <c r="AO68" s="350" t="n">
        <v>47.07</v>
      </c>
      <c r="AP68" s="351"/>
      <c r="AR68" s="352" t="n">
        <f aca="true">IF(AND($D68="Serviço",AR$12&lt;&gt;0,$H68&gt;0,OR(AUTOEVENTO&lt;&gt;"manual",$M68&lt;&gt;$A$15)),
        IF(Import.TipoArredondamento&lt;&gt;"TransfereGOV",
              ROUND(OFFSET($P68,0,AR$13),15-13*ORÇAMENTO!$AF$7)/$H68*OFFSET(ORÇAMENTO!$X$15,ROW(AR68)-ROW(AR$15),0),
              ROUND(ROUND(OFFSET($P68,0,AR$13),15-13*ORÇAMENTO!$AF$7)*OFFSET(ORÇAMENTO!$W$15,ROW(AR68)-ROW(AR$15),0),15-13*ORÇAMENTO!$AF$11)),
         0)</f>
        <v>0</v>
      </c>
      <c r="AS68" s="352" t="n">
        <f aca="true">IF(AND($D68="Serviço",AS$12&lt;&gt;0,$H68&gt;0,OR(AUTOEVENTO&lt;&gt;"manual",$M68&lt;&gt;$A$15)),
        IF(Import.TipoArredondamento&lt;&gt;"TransfereGOV",
              ROUND(OFFSET($P68,0,AS$13),15-13*ORÇAMENTO!$AF$7)/$H68*OFFSET(ORÇAMENTO!$X$15,ROW(AS68)-ROW(AS$15),0),
              ROUND(ROUND(OFFSET($P68,0,AS$13),15-13*ORÇAMENTO!$AF$7)*OFFSET(ORÇAMENTO!$W$15,ROW(AS68)-ROW(AS$15),0),15-13*ORÇAMENTO!$AF$11)),
         0)</f>
        <v>0</v>
      </c>
      <c r="AT68" s="352" t="n">
        <f aca="true">IF(AND($D68="Serviço",AT$12&lt;&gt;0,$H68&gt;0,OR(AUTOEVENTO&lt;&gt;"manual",$M68&lt;&gt;$A$15)),
        IF(Import.TipoArredondamento&lt;&gt;"TransfereGOV",
              ROUND(OFFSET($P68,0,AT$13),15-13*ORÇAMENTO!$AF$7)/$H68*OFFSET(ORÇAMENTO!$X$15,ROW(AT68)-ROW(AT$15),0),
              ROUND(ROUND(OFFSET($P68,0,AT$13),15-13*ORÇAMENTO!$AF$7)*OFFSET(ORÇAMENTO!$W$15,ROW(AT68)-ROW(AT$15),0),15-13*ORÇAMENTO!$AF$11)),
         0)</f>
        <v>0</v>
      </c>
      <c r="AU68" s="352" t="n">
        <f aca="true">IF(AND($D68="Serviço",AU$12&lt;&gt;0,$H68&gt;0,OR(AUTOEVENTO&lt;&gt;"manual",$M68&lt;&gt;$A$15)),
        IF(Import.TipoArredondamento&lt;&gt;"TransfereGOV",
              ROUND(OFFSET($P68,0,AU$13),15-13*ORÇAMENTO!$AF$7)/$H68*OFFSET(ORÇAMENTO!$X$15,ROW(AU68)-ROW(AU$15),0),
              ROUND(ROUND(OFFSET($P68,0,AU$13),15-13*ORÇAMENTO!$AF$7)*OFFSET(ORÇAMENTO!$W$15,ROW(AU68)-ROW(AU$15),0),15-13*ORÇAMENTO!$AF$11)),
         0)</f>
        <v>0</v>
      </c>
      <c r="AV68" s="352" t="n">
        <f aca="true">IF(AND($D68="Serviço",AV$12&lt;&gt;0,$H68&gt;0,OR(AUTOEVENTO&lt;&gt;"manual",$M68&lt;&gt;$A$15)),
        IF(Import.TipoArredondamento&lt;&gt;"TransfereGOV",
              ROUND(OFFSET($P68,0,AV$13),15-13*ORÇAMENTO!$AF$7)/$H68*OFFSET(ORÇAMENTO!$X$15,ROW(AV68)-ROW(AV$15),0),
              ROUND(ROUND(OFFSET($P68,0,AV$13),15-13*ORÇAMENTO!$AF$7)*OFFSET(ORÇAMENTO!$W$15,ROW(AV68)-ROW(AV$15),0),15-13*ORÇAMENTO!$AF$11)),
         0)</f>
        <v>0</v>
      </c>
      <c r="AW68" s="352" t="n">
        <f aca="true">IF(AND($D68="Serviço",AW$12&lt;&gt;0,$H68&gt;0,OR(AUTOEVENTO&lt;&gt;"manual",$M68&lt;&gt;$A$15)),
        IF(Import.TipoArredondamento&lt;&gt;"TransfereGOV",
              ROUND(OFFSET($P68,0,AW$13),15-13*ORÇAMENTO!$AF$7)/$H68*OFFSET(ORÇAMENTO!$X$15,ROW(AW68)-ROW(AW$15),0),
              ROUND(ROUND(OFFSET($P68,0,AW$13),15-13*ORÇAMENTO!$AF$7)*OFFSET(ORÇAMENTO!$W$15,ROW(AW68)-ROW(AW$15),0),15-13*ORÇAMENTO!$AF$11)),
         0)</f>
        <v>0</v>
      </c>
      <c r="AX68" s="352" t="n">
        <f aca="true">IF(AND($D68="Serviço",AX$12&lt;&gt;0,$H68&gt;0,OR(AUTOEVENTO&lt;&gt;"manual",$M68&lt;&gt;$A$15)),
        IF(Import.TipoArredondamento&lt;&gt;"TransfereGOV",
              ROUND(OFFSET($P68,0,AX$13),15-13*ORÇAMENTO!$AF$7)/$H68*OFFSET(ORÇAMENTO!$X$15,ROW(AX68)-ROW(AX$15),0),
              ROUND(ROUND(OFFSET($P68,0,AX$13),15-13*ORÇAMENTO!$AF$7)*OFFSET(ORÇAMENTO!$W$15,ROW(AX68)-ROW(AX$15),0),15-13*ORÇAMENTO!$AF$11)),
         0)</f>
        <v>0</v>
      </c>
      <c r="AY68" s="352" t="n">
        <f aca="true">IF(AND($D68="Serviço",AY$12&lt;&gt;0,$H68&gt;0,OR(AUTOEVENTO&lt;&gt;"manual",$M68&lt;&gt;$A$15)),
        IF(Import.TipoArredondamento&lt;&gt;"TransfereGOV",
              ROUND(OFFSET($P68,0,AY$13),15-13*ORÇAMENTO!$AF$7)/$H68*OFFSET(ORÇAMENTO!$X$15,ROW(AY68)-ROW(AY$15),0),
              ROUND(ROUND(OFFSET($P68,0,AY$13),15-13*ORÇAMENTO!$AF$7)*OFFSET(ORÇAMENTO!$W$15,ROW(AY68)-ROW(AY$15),0),15-13*ORÇAMENTO!$AF$11)),
         0)</f>
        <v>0</v>
      </c>
      <c r="AZ68" s="352" t="n">
        <f aca="true">IF(AND($D68="Serviço",AZ$12&lt;&gt;0,$H68&gt;0,OR(AUTOEVENTO&lt;&gt;"manual",$M68&lt;&gt;$A$15)),
        IF(Import.TipoArredondamento&lt;&gt;"TransfereGOV",
              ROUND(OFFSET($P68,0,AZ$13),15-13*ORÇAMENTO!$AF$7)/$H68*OFFSET(ORÇAMENTO!$X$15,ROW(AZ68)-ROW(AZ$15),0),
              ROUND(ROUND(OFFSET($P68,0,AZ$13),15-13*ORÇAMENTO!$AF$7)*OFFSET(ORÇAMENTO!$W$15,ROW(AZ68)-ROW(AZ$15),0),15-13*ORÇAMENTO!$AF$11)),
         0)</f>
        <v>0</v>
      </c>
      <c r="BA68" s="352" t="n">
        <f aca="true">IF(AND($D68="Serviço",BA$12&lt;&gt;0,$H68&gt;0,OR(AUTOEVENTO&lt;&gt;"manual",$M68&lt;&gt;$A$15)),
        IF(Import.TipoArredondamento&lt;&gt;"TransfereGOV",
              ROUND(OFFSET($P68,0,BA$13),15-13*ORÇAMENTO!$AF$7)/$H68*OFFSET(ORÇAMENTO!$X$15,ROW(BA68)-ROW(BA$15),0),
              ROUND(ROUND(OFFSET($P68,0,BA$13),15-13*ORÇAMENTO!$AF$7)*OFFSET(ORÇAMENTO!$W$15,ROW(BA68)-ROW(BA$15),0),15-13*ORÇAMENTO!$AF$11)),
         0)</f>
        <v>0</v>
      </c>
      <c r="BB68" s="352" t="n">
        <f aca="true">IF(AND($D68="Serviço",BB$12&lt;&gt;0,$H68&gt;0,OR(AUTOEVENTO&lt;&gt;"manual",$M68&lt;&gt;$A$15)),
        IF(Import.TipoArredondamento&lt;&gt;"TransfereGOV",
              ROUND(OFFSET($P68,0,BB$13),15-13*ORÇAMENTO!$AF$7)/$H68*OFFSET(ORÇAMENTO!$X$15,ROW(BB68)-ROW(BB$15),0),
              ROUND(ROUND(OFFSET($P68,0,BB$13),15-13*ORÇAMENTO!$AF$7)*OFFSET(ORÇAMENTO!$W$15,ROW(BB68)-ROW(BB$15),0),15-13*ORÇAMENTO!$AF$11)),
         0)</f>
        <v>0</v>
      </c>
      <c r="BC68" s="352" t="n">
        <f aca="true">IF(AND($D68="Serviço",BC$12&lt;&gt;0,$H68&gt;0,OR(AUTOEVENTO&lt;&gt;"manual",$M68&lt;&gt;$A$15)),
        IF(Import.TipoArredondamento&lt;&gt;"TransfereGOV",
              ROUND(OFFSET($P68,0,BC$13),15-13*ORÇAMENTO!$AF$7)/$H68*OFFSET(ORÇAMENTO!$X$15,ROW(BC68)-ROW(BC$15),0),
              ROUND(ROUND(OFFSET($P68,0,BC$13),15-13*ORÇAMENTO!$AF$7)*OFFSET(ORÇAMENTO!$W$15,ROW(BC68)-ROW(BC$15),0),15-13*ORÇAMENTO!$AF$11)),
         0)</f>
        <v>0</v>
      </c>
      <c r="BD68" s="352" t="n">
        <f aca="true">IF(AND($D68="Serviço",BD$12&lt;&gt;0,$H68&gt;0,OR(AUTOEVENTO&lt;&gt;"manual",$M68&lt;&gt;$A$15)),
        IF(Import.TipoArredondamento&lt;&gt;"TransfereGOV",
              ROUND(OFFSET($P68,0,BD$13),15-13*ORÇAMENTO!$AF$7)/$H68*OFFSET(ORÇAMENTO!$X$15,ROW(BD68)-ROW(BD$15),0),
              ROUND(ROUND(OFFSET($P68,0,BD$13),15-13*ORÇAMENTO!$AF$7)*OFFSET(ORÇAMENTO!$W$15,ROW(BD68)-ROW(BD$15),0),15-13*ORÇAMENTO!$AF$11)),
         0)</f>
        <v>0</v>
      </c>
      <c r="BE68" s="352" t="n">
        <f aca="true">IF(AND($D68="Serviço",BE$12&lt;&gt;0,$H68&gt;0,OR(AUTOEVENTO&lt;&gt;"manual",$M68&lt;&gt;$A$15)),
        IF(Import.TipoArredondamento&lt;&gt;"TransfereGOV",
              ROUND(OFFSET($P68,0,BE$13),15-13*ORÇAMENTO!$AF$7)/$H68*OFFSET(ORÇAMENTO!$X$15,ROW(BE68)-ROW(BE$15),0),
              ROUND(ROUND(OFFSET($P68,0,BE$13),15-13*ORÇAMENTO!$AF$7)*OFFSET(ORÇAMENTO!$W$15,ROW(BE68)-ROW(BE$15),0),15-13*ORÇAMENTO!$AF$11)),
         0)</f>
        <v>0</v>
      </c>
      <c r="BF68" s="352" t="n">
        <f aca="true">IF(AND($D68="Serviço",BF$12&lt;&gt;0,$H68&gt;0,OR(AUTOEVENTO&lt;&gt;"manual",$M68&lt;&gt;$A$15)),
        IF(Import.TipoArredondamento&lt;&gt;"TransfereGOV",
              ROUND(OFFSET($P68,0,BF$13),15-13*ORÇAMENTO!$AF$7)/$H68*OFFSET(ORÇAMENTO!$X$15,ROW(BF68)-ROW(BF$15),0),
              ROUND(ROUND(OFFSET($P68,0,BF$13),15-13*ORÇAMENTO!$AF$7)*OFFSET(ORÇAMENTO!$W$15,ROW(BF68)-ROW(BF$15),0),15-13*ORÇAMENTO!$AF$11)),
         0)</f>
        <v>0</v>
      </c>
      <c r="BG68" s="352" t="n">
        <f aca="true">IF(AND($D68="Serviço",BG$12&lt;&gt;0,$H68&gt;0,OR(AUTOEVENTO&lt;&gt;"manual",$M68&lt;&gt;$A$15)),
        IF(Import.TipoArredondamento&lt;&gt;"TransfereGOV",
              ROUND(OFFSET($P68,0,BG$13),15-13*ORÇAMENTO!$AF$7)/$H68*OFFSET(ORÇAMENTO!$X$15,ROW(BG68)-ROW(BG$15),0),
              ROUND(ROUND(OFFSET($P68,0,BG$13),15-13*ORÇAMENTO!$AF$7)*OFFSET(ORÇAMENTO!$W$15,ROW(BG68)-ROW(BG$15),0),15-13*ORÇAMENTO!$AF$11)),
         0)</f>
        <v>0</v>
      </c>
      <c r="BH68" s="352" t="n">
        <f aca="true">IF(AND($D68="Serviço",BH$12&lt;&gt;0,$H68&gt;0,OR(AUTOEVENTO&lt;&gt;"manual",$M68&lt;&gt;$A$15)),
        IF(Import.TipoArredondamento&lt;&gt;"TransfereGOV",
              ROUND(OFFSET($P68,0,BH$13),15-13*ORÇAMENTO!$AF$7)/$H68*OFFSET(ORÇAMENTO!$X$15,ROW(BH68)-ROW(BH$15),0),
              ROUND(ROUND(OFFSET($P68,0,BH$13),15-13*ORÇAMENTO!$AF$7)*OFFSET(ORÇAMENTO!$W$15,ROW(BH68)-ROW(BH$15),0),15-13*ORÇAMENTO!$AF$11)),
         0)</f>
        <v>0</v>
      </c>
      <c r="BI68" s="352" t="n">
        <f aca="true">IF(AND($D68="Serviço",BI$12&lt;&gt;0,$H68&gt;0,OR(AUTOEVENTO&lt;&gt;"manual",$M68&lt;&gt;$A$15)),
        IF(Import.TipoArredondamento&lt;&gt;"TransfereGOV",
              ROUND(OFFSET($P68,0,BI$13),15-13*ORÇAMENTO!$AF$7)/$H68*OFFSET(ORÇAMENTO!$X$15,ROW(BI68)-ROW(BI$15),0),
              ROUND(ROUND(OFFSET($P68,0,BI$13),15-13*ORÇAMENTO!$AF$7)*OFFSET(ORÇAMENTO!$W$15,ROW(BI68)-ROW(BI$15),0),15-13*ORÇAMENTO!$AF$11)),
         0)</f>
        <v>0</v>
      </c>
      <c r="BJ68" s="352" t="n">
        <f aca="true">IF(AND($D68="Serviço",BJ$12&lt;&gt;0,$H68&gt;0,OR(AUTOEVENTO&lt;&gt;"manual",$M68&lt;&gt;$A$15)),
        IF(Import.TipoArredondamento&lt;&gt;"TransfereGOV",
              ROUND(OFFSET($P68,0,BJ$13),15-13*ORÇAMENTO!$AF$7)/$H68*OFFSET(ORÇAMENTO!$X$15,ROW(BJ68)-ROW(BJ$15),0),
              ROUND(ROUND(OFFSET($P68,0,BJ$13),15-13*ORÇAMENTO!$AF$7)*OFFSET(ORÇAMENTO!$W$15,ROW(BJ68)-ROW(BJ$15),0),15-13*ORÇAMENTO!$AF$11)),
         0)</f>
        <v>0</v>
      </c>
      <c r="BK68" s="352" t="n">
        <f aca="true">IF(AND($D68="Serviço",BK$12&lt;&gt;0,$H68&gt;0,OR(AUTOEVENTO&lt;&gt;"manual",$M68&lt;&gt;$A$15)),
        IF(Import.TipoArredondamento&lt;&gt;"TransfereGOV",
              ROUND(OFFSET($P68,0,BK$13),15-13*ORÇAMENTO!$AF$7)/$H68*OFFSET(ORÇAMENTO!$X$15,ROW(BK68)-ROW(BK$15),0),
              ROUND(ROUND(OFFSET($P68,0,BK$13),15-13*ORÇAMENTO!$AF$7)*OFFSET(ORÇAMENTO!$W$15,ROW(BK68)-ROW(BK$15),0),15-13*ORÇAMENTO!$AF$11)),
         0)</f>
        <v>0</v>
      </c>
      <c r="BL68" s="352" t="n">
        <f aca="true">IF(AND($D68="Serviço",BL$12&lt;&gt;0,$H68&gt;0,OR(AUTOEVENTO&lt;&gt;"manual",$M68&lt;&gt;$A$15)),
        IF(Import.TipoArredondamento&lt;&gt;"TransfereGOV",
              ROUND(OFFSET($P68,0,BL$13),15-13*ORÇAMENTO!$AF$7)/$H68*OFFSET(ORÇAMENTO!$X$15,ROW(BL68)-ROW(BL$15),0),
              ROUND(ROUND(OFFSET($P68,0,BL$13),15-13*ORÇAMENTO!$AF$7)*OFFSET(ORÇAMENTO!$W$15,ROW(BL68)-ROW(BL$15),0),15-13*ORÇAMENTO!$AF$11)),
         0)</f>
        <v>0</v>
      </c>
      <c r="BM68" s="352" t="n">
        <f aca="true">IF(AND($D68="Serviço",BM$12&lt;&gt;0,$H68&gt;0,OR(AUTOEVENTO&lt;&gt;"manual",$M68&lt;&gt;$A$15)),
        IF(Import.TipoArredondamento&lt;&gt;"TransfereGOV",
              ROUND(OFFSET($P68,0,BM$13),15-13*ORÇAMENTO!$AF$7)/$H68*OFFSET(ORÇAMENTO!$X$15,ROW(BM68)-ROW(BM$15),0),
              ROUND(ROUND(OFFSET($P68,0,BM$13),15-13*ORÇAMENTO!$AF$7)*OFFSET(ORÇAMENTO!$W$15,ROW(BM68)-ROW(BM$15),0),15-13*ORÇAMENTO!$AF$11)),
         0)</f>
        <v>0</v>
      </c>
      <c r="BN68" s="352" t="n">
        <f aca="true">IF(AND($D68="Serviço",BN$12&lt;&gt;0,$H68&gt;0,OR(AUTOEVENTO&lt;&gt;"manual",$M68&lt;&gt;$A$15)),
        IF(Import.TipoArredondamento&lt;&gt;"TransfereGOV",
              ROUND(OFFSET($P68,0,BN$13),15-13*ORÇAMENTO!$AF$7)/$H68*OFFSET(ORÇAMENTO!$X$15,ROW(BN68)-ROW(BN$15),0),
              ROUND(ROUND(OFFSET($P68,0,BN$13),15-13*ORÇAMENTO!$AF$7)*OFFSET(ORÇAMENTO!$W$15,ROW(BN68)-ROW(BN$15),0),15-13*ORÇAMENTO!$AF$11)),
         0)</f>
        <v>0</v>
      </c>
      <c r="BO68" s="352" t="n">
        <f aca="true">IF(AND($D68="Serviço",BO$12&lt;&gt;0,$H68&gt;0,OR(AUTOEVENTO&lt;&gt;"manual",$M68&lt;&gt;$A$15)),
        IF(Import.TipoArredondamento&lt;&gt;"TransfereGOV",
              ROUND(OFFSET($P68,0,BO$13),15-13*ORÇAMENTO!$AF$7)/$H68*OFFSET(ORÇAMENTO!$X$15,ROW(BO68)-ROW(BO$15),0),
              ROUND(ROUND(OFFSET($P68,0,BO$13),15-13*ORÇAMENTO!$AF$7)*OFFSET(ORÇAMENTO!$W$15,ROW(BO68)-ROW(BO$15),0),15-13*ORÇAMENTO!$AF$11)),
         0)</f>
        <v>0</v>
      </c>
      <c r="BP68" s="352" t="n">
        <f aca="true">IF(AND($D68="Serviço",BP$12&lt;&gt;0,$H68&gt;0,OR(AUTOEVENTO&lt;&gt;"manual",$M68&lt;&gt;$A$15)),
        IF(Import.TipoArredondamento&lt;&gt;"TransfereGOV",
              ROUND(OFFSET($P68,0,BP$13),15-13*ORÇAMENTO!$AF$7)/$H68*OFFSET(ORÇAMENTO!$X$15,ROW(BP68)-ROW(BP$15),0),
              ROUND(ROUND(OFFSET($P68,0,BP$13),15-13*ORÇAMENTO!$AF$7)*OFFSET(ORÇAMENTO!$W$15,ROW(BP68)-ROW(BP$15),0),15-13*ORÇAMENTO!$AF$11)),
         0)</f>
        <v>0</v>
      </c>
      <c r="BQ68" s="352" t="n">
        <f aca="true">IF(AND($D68="Serviço",BQ$12&lt;&gt;0,$H68&gt;0,OR(AUTOEVENTO&lt;&gt;"manual",$M68&lt;&gt;$A$15)),
        IF(Import.TipoArredondamento&lt;&gt;"TransfereGOV",
              ROUND(OFFSET($P68,0,BQ$13),15-13*ORÇAMENTO!$AF$7)/$H68*OFFSET(ORÇAMENTO!$X$15,ROW(BQ68)-ROW(BQ$15),0),
              ROUND(ROUND(OFFSET($P68,0,BQ$13),15-13*ORÇAMENTO!$AF$7)*OFFSET(ORÇAMENTO!$W$15,ROW(BQ68)-ROW(BQ$15),0),15-13*ORÇAMENTO!$AF$11)),
         0)</f>
        <v>0</v>
      </c>
      <c r="BS68" s="353" t="n">
        <f aca="true">IF(OR($D68&lt;&gt;"Serviço",AND(AUTOEVENTO="Manual",$M68=$A$15)),0,
         IF(OFFSET(CRONOPLE!$F$15,$M68-$A$15,BS$13)=0,10^12,OFFSET(CRONOPLE!$F$15,$M68-$A$15,BS$13)))</f>
        <v>0</v>
      </c>
      <c r="BT68" s="353" t="n">
        <f aca="true">IF(OR($D68&lt;&gt;"Serviço",AND(AUTOEVENTO="Manual",$M68=$A$15)),0,
         IF(OFFSET(CRONOPLE!$F$15,$M68-$A$15,BT$13)=0,10^12,OFFSET(CRONOPLE!$F$15,$M68-$A$15,BT$13)))</f>
        <v>0</v>
      </c>
      <c r="BU68" s="353" t="n">
        <f aca="true">IF(OR($D68&lt;&gt;"Serviço",AND(AUTOEVENTO="Manual",$M68=$A$15)),0,
         IF(OFFSET(CRONOPLE!$F$15,$M68-$A$15,BU$13)=0,10^12,OFFSET(CRONOPLE!$F$15,$M68-$A$15,BU$13)))</f>
        <v>0</v>
      </c>
      <c r="BV68" s="353" t="n">
        <f aca="true">IF(OR($D68&lt;&gt;"Serviço",AND(AUTOEVENTO="Manual",$M68=$A$15)),0,
         IF(OFFSET(CRONOPLE!$F$15,$M68-$A$15,BV$13)=0,10^12,OFFSET(CRONOPLE!$F$15,$M68-$A$15,BV$13)))</f>
        <v>0</v>
      </c>
      <c r="BW68" s="353" t="n">
        <f aca="true">IF(OR($D68&lt;&gt;"Serviço",AND(AUTOEVENTO="Manual",$M68=$A$15)),0,
         IF(OFFSET(CRONOPLE!$F$15,$M68-$A$15,BW$13)=0,10^12,OFFSET(CRONOPLE!$F$15,$M68-$A$15,BW$13)))</f>
        <v>0</v>
      </c>
      <c r="BX68" s="353" t="n">
        <f aca="true">IF(OR($D68&lt;&gt;"Serviço",AND(AUTOEVENTO="Manual",$M68=$A$15)),0,
         IF(OFFSET(CRONOPLE!$F$15,$M68-$A$15,BX$13)=0,10^12,OFFSET(CRONOPLE!$F$15,$M68-$A$15,BX$13)))</f>
        <v>0</v>
      </c>
      <c r="BY68" s="353" t="n">
        <f aca="true">IF(OR($D68&lt;&gt;"Serviço",AND(AUTOEVENTO="Manual",$M68=$A$15)),0,
         IF(OFFSET(CRONOPLE!$F$15,$M68-$A$15,BY$13)=0,10^12,OFFSET(CRONOPLE!$F$15,$M68-$A$15,BY$13)))</f>
        <v>0</v>
      </c>
      <c r="BZ68" s="353" t="n">
        <f aca="true">IF(OR($D68&lt;&gt;"Serviço",AND(AUTOEVENTO="Manual",$M68=$A$15)),0,
         IF(OFFSET(CRONOPLE!$F$15,$M68-$A$15,BZ$13)=0,10^12,OFFSET(CRONOPLE!$F$15,$M68-$A$15,BZ$13)))</f>
        <v>0</v>
      </c>
      <c r="CA68" s="353" t="n">
        <f aca="true">IF(OR($D68&lt;&gt;"Serviço",AND(AUTOEVENTO="Manual",$M68=$A$15)),0,
         IF(OFFSET(CRONOPLE!$F$15,$M68-$A$15,CA$13)=0,10^12,OFFSET(CRONOPLE!$F$15,$M68-$A$15,CA$13)))</f>
        <v>0</v>
      </c>
      <c r="CB68" s="353" t="n">
        <f aca="true">IF(OR($D68&lt;&gt;"Serviço",AND(AUTOEVENTO="Manual",$M68=$A$15)),0,
         IF(OFFSET(CRONOPLE!$F$15,$M68-$A$15,CB$13)=0,10^12,OFFSET(CRONOPLE!$F$15,$M68-$A$15,CB$13)))</f>
        <v>0</v>
      </c>
      <c r="CC68" s="353" t="n">
        <f aca="true">IF(OR($D68&lt;&gt;"Serviço",AND(AUTOEVENTO="Manual",$M68=$A$15)),0,
         IF(OFFSET(CRONOPLE!$F$15,$M68-$A$15,CC$13)=0,10^12,OFFSET(CRONOPLE!$F$15,$M68-$A$15,CC$13)))</f>
        <v>0</v>
      </c>
      <c r="CD68" s="353" t="n">
        <f aca="true">IF(OR($D68&lt;&gt;"Serviço",AND(AUTOEVENTO="Manual",$M68=$A$15)),0,
         IF(OFFSET(CRONOPLE!$F$15,$M68-$A$15,CD$13)=0,10^12,OFFSET(CRONOPLE!$F$15,$M68-$A$15,CD$13)))</f>
        <v>0</v>
      </c>
      <c r="CE68" s="353" t="n">
        <f aca="true">IF(OR($D68&lt;&gt;"Serviço",AND(AUTOEVENTO="Manual",$M68=$A$15)),0,
         IF(OFFSET(CRONOPLE!$F$15,$M68-$A$15,CE$13)=0,10^12,OFFSET(CRONOPLE!$F$15,$M68-$A$15,CE$13)))</f>
        <v>0</v>
      </c>
      <c r="CF68" s="353" t="n">
        <f aca="true">IF(OR($D68&lt;&gt;"Serviço",AND(AUTOEVENTO="Manual",$M68=$A$15)),0,
         IF(OFFSET(CRONOPLE!$F$15,$M68-$A$15,CF$13)=0,10^12,OFFSET(CRONOPLE!$F$15,$M68-$A$15,CF$13)))</f>
        <v>0</v>
      </c>
      <c r="CG68" s="353" t="n">
        <f aca="true">IF(OR($D68&lt;&gt;"Serviço",AND(AUTOEVENTO="Manual",$M68=$A$15)),0,
         IF(OFFSET(CRONOPLE!$F$15,$M68-$A$15,CG$13)=0,10^12,OFFSET(CRONOPLE!$F$15,$M68-$A$15,CG$13)))</f>
        <v>0</v>
      </c>
      <c r="CH68" s="353" t="n">
        <f aca="true">IF(OR($D68&lt;&gt;"Serviço",AND(AUTOEVENTO="Manual",$M68=$A$15)),0,
         IF(OFFSET(CRONOPLE!$F$15,$M68-$A$15,CH$13)=0,10^12,OFFSET(CRONOPLE!$F$15,$M68-$A$15,CH$13)))</f>
        <v>0</v>
      </c>
      <c r="CI68" s="353" t="n">
        <f aca="true">IF(OR($D68&lt;&gt;"Serviço",AND(AUTOEVENTO="Manual",$M68=$A$15)),0,
         IF(OFFSET(CRONOPLE!$F$15,$M68-$A$15,CI$13)=0,10^12,OFFSET(CRONOPLE!$F$15,$M68-$A$15,CI$13)))</f>
        <v>0</v>
      </c>
      <c r="CJ68" s="353" t="n">
        <f aca="true">IF(OR($D68&lt;&gt;"Serviço",AND(AUTOEVENTO="Manual",$M68=$A$15)),0,
         IF(OFFSET(CRONOPLE!$F$15,$M68-$A$15,CJ$13)=0,10^12,OFFSET(CRONOPLE!$F$15,$M68-$A$15,CJ$13)))</f>
        <v>0</v>
      </c>
      <c r="CK68" s="353" t="n">
        <f aca="true">IF(OR($D68&lt;&gt;"Serviço",AND(AUTOEVENTO="Manual",$M68=$A$15)),0,
         IF(OFFSET(CRONOPLE!$F$15,$M68-$A$15,CK$13)=0,10^12,OFFSET(CRONOPLE!$F$15,$M68-$A$15,CK$13)))</f>
        <v>0</v>
      </c>
      <c r="CL68" s="353" t="n">
        <f aca="true">IF(OR($D68&lt;&gt;"Serviço",AND(AUTOEVENTO="Manual",$M68=$A$15)),0,
         IF(OFFSET(CRONOPLE!$F$15,$M68-$A$15,CL$13)=0,10^12,OFFSET(CRONOPLE!$F$15,$M68-$A$15,CL$13)))</f>
        <v>0</v>
      </c>
      <c r="CM68" s="353" t="n">
        <f aca="true">IF(OR($D68&lt;&gt;"Serviço",AND(AUTOEVENTO="Manual",$M68=$A$15)),0,
         IF(OFFSET(CRONOPLE!$F$15,$M68-$A$15,CM$13)=0,10^12,OFFSET(CRONOPLE!$F$15,$M68-$A$15,CM$13)))</f>
        <v>0</v>
      </c>
      <c r="CN68" s="353" t="n">
        <f aca="true">IF(OR($D68&lt;&gt;"Serviço",AND(AUTOEVENTO="Manual",$M68=$A$15)),0,
         IF(OFFSET(CRONOPLE!$F$15,$M68-$A$15,CN$13)=0,10^12,OFFSET(CRONOPLE!$F$15,$M68-$A$15,CN$13)))</f>
        <v>0</v>
      </c>
      <c r="CO68" s="353" t="n">
        <f aca="true">IF(OR($D68&lt;&gt;"Serviço",AND(AUTOEVENTO="Manual",$M68=$A$15)),0,
         IF(OFFSET(CRONOPLE!$F$15,$M68-$A$15,CO$13)=0,10^12,OFFSET(CRONOPLE!$F$15,$M68-$A$15,CO$13)))</f>
        <v>0</v>
      </c>
      <c r="CP68" s="353" t="n">
        <f aca="true">IF(OR($D68&lt;&gt;"Serviço",AND(AUTOEVENTO="Manual",$M68=$A$15)),0,
         IF(OFFSET(CRONOPLE!$F$15,$M68-$A$15,CP$13)=0,10^12,OFFSET(CRONOPLE!$F$15,$M68-$A$15,CP$13)))</f>
        <v>0</v>
      </c>
      <c r="CQ68" s="353" t="n">
        <f aca="true">IF(OR($D68&lt;&gt;"Serviço",AND(AUTOEVENTO="Manual",$M68=$A$15)),0,
         IF(OFFSET(CRONOPLE!$F$15,$M68-$A$15,CQ$13)=0,10^12,OFFSET(CRONOPLE!$F$15,$M68-$A$15,CQ$13)))</f>
        <v>0</v>
      </c>
      <c r="CR68" s="353" t="n">
        <f aca="true">IF(OR($D68&lt;&gt;"Serviço",AND(AUTOEVENTO="Manual",$M68=$A$15)),0,
         IF(OFFSET(CRONOPLE!$F$15,$M68-$A$15,CR$13)=0,10^12,OFFSET(CRONOPLE!$F$15,$M68-$A$15,CR$13)))</f>
        <v>0</v>
      </c>
      <c r="CT68" s="354" t="n">
        <f aca="true">IF(OR($D68&lt;&gt;"Serviço",AND(AUTOEVENTO="Manual",$M68=$A$15),$M68&gt;(ROW(PLE.lastrow)-ROW(PLE.firstrow))),0,
           IF(OFFSET(PLE!$G$15,$M68-$A$15,CT$13)="",10^12,OFFSET(PLE!$G$15,$M68-$A$15,CT$13)))</f>
        <v>0</v>
      </c>
      <c r="CU68" s="354" t="n">
        <f aca="true">IF(OR($D68&lt;&gt;"Serviço",AND(AUTOEVENTO="Manual",$M68=$A$15),$M68&gt;(ROW(PLE.lastrow)-ROW(PLE.firstrow))),0,
           IF(OFFSET(PLE!$G$15,$M68-$A$15,CU$13)="",10^12,OFFSET(PLE!$G$15,$M68-$A$15,CU$13)))</f>
        <v>0</v>
      </c>
      <c r="CV68" s="354" t="n">
        <f aca="true">IF(OR($D68&lt;&gt;"Serviço",AND(AUTOEVENTO="Manual",$M68=$A$15),$M68&gt;(ROW(PLE.lastrow)-ROW(PLE.firstrow))),0,
           IF(OFFSET(PLE!$G$15,$M68-$A$15,CV$13)="",10^12,OFFSET(PLE!$G$15,$M68-$A$15,CV$13)))</f>
        <v>0</v>
      </c>
      <c r="CW68" s="354" t="n">
        <f aca="true">IF(OR($D68&lt;&gt;"Serviço",AND(AUTOEVENTO="Manual",$M68=$A$15),$M68&gt;(ROW(PLE.lastrow)-ROW(PLE.firstrow))),0,
           IF(OFFSET(PLE!$G$15,$M68-$A$15,CW$13)="",10^12,OFFSET(PLE!$G$15,$M68-$A$15,CW$13)))</f>
        <v>0</v>
      </c>
      <c r="CX68" s="354" t="n">
        <f aca="true">IF(OR($D68&lt;&gt;"Serviço",AND(AUTOEVENTO="Manual",$M68=$A$15),$M68&gt;(ROW(PLE.lastrow)-ROW(PLE.firstrow))),0,
           IF(OFFSET(PLE!$G$15,$M68-$A$15,CX$13)="",10^12,OFFSET(PLE!$G$15,$M68-$A$15,CX$13)))</f>
        <v>0</v>
      </c>
      <c r="CY68" s="354" t="n">
        <f aca="true">IF(OR($D68&lt;&gt;"Serviço",AND(AUTOEVENTO="Manual",$M68=$A$15),$M68&gt;(ROW(PLE.lastrow)-ROW(PLE.firstrow))),0,
           IF(OFFSET(PLE!$G$15,$M68-$A$15,CY$13)="",10^12,OFFSET(PLE!$G$15,$M68-$A$15,CY$13)))</f>
        <v>0</v>
      </c>
      <c r="CZ68" s="354" t="n">
        <f aca="true">IF(OR($D68&lt;&gt;"Serviço",AND(AUTOEVENTO="Manual",$M68=$A$15),$M68&gt;(ROW(PLE.lastrow)-ROW(PLE.firstrow))),0,
           IF(OFFSET(PLE!$G$15,$M68-$A$15,CZ$13)="",10^12,OFFSET(PLE!$G$15,$M68-$A$15,CZ$13)))</f>
        <v>0</v>
      </c>
      <c r="DA68" s="354" t="n">
        <f aca="true">IF(OR($D68&lt;&gt;"Serviço",AND(AUTOEVENTO="Manual",$M68=$A$15),$M68&gt;(ROW(PLE.lastrow)-ROW(PLE.firstrow))),0,
           IF(OFFSET(PLE!$G$15,$M68-$A$15,DA$13)="",10^12,OFFSET(PLE!$G$15,$M68-$A$15,DA$13)))</f>
        <v>0</v>
      </c>
      <c r="DB68" s="354" t="n">
        <f aca="true">IF(OR($D68&lt;&gt;"Serviço",AND(AUTOEVENTO="Manual",$M68=$A$15),$M68&gt;(ROW(PLE.lastrow)-ROW(PLE.firstrow))),0,
           IF(OFFSET(PLE!$G$15,$M68-$A$15,DB$13)="",10^12,OFFSET(PLE!$G$15,$M68-$A$15,DB$13)))</f>
        <v>0</v>
      </c>
      <c r="DC68" s="354" t="n">
        <f aca="true">IF(OR($D68&lt;&gt;"Serviço",AND(AUTOEVENTO="Manual",$M68=$A$15),$M68&gt;(ROW(PLE.lastrow)-ROW(PLE.firstrow))),0,
           IF(OFFSET(PLE!$G$15,$M68-$A$15,DC$13)="",10^12,OFFSET(PLE!$G$15,$M68-$A$15,DC$13)))</f>
        <v>0</v>
      </c>
      <c r="DD68" s="354" t="n">
        <f aca="true">IF(OR($D68&lt;&gt;"Serviço",AND(AUTOEVENTO="Manual",$M68=$A$15),$M68&gt;(ROW(PLE.lastrow)-ROW(PLE.firstrow))),0,
           IF(OFFSET(PLE!$G$15,$M68-$A$15,DD$13)="",10^12,OFFSET(PLE!$G$15,$M68-$A$15,DD$13)))</f>
        <v>0</v>
      </c>
      <c r="DE68" s="354" t="n">
        <f aca="true">IF(OR($D68&lt;&gt;"Serviço",AND(AUTOEVENTO="Manual",$M68=$A$15),$M68&gt;(ROW(PLE.lastrow)-ROW(PLE.firstrow))),0,
           IF(OFFSET(PLE!$G$15,$M68-$A$15,DE$13)="",10^12,OFFSET(PLE!$G$15,$M68-$A$15,DE$13)))</f>
        <v>0</v>
      </c>
      <c r="DF68" s="354" t="n">
        <f aca="true">IF(OR($D68&lt;&gt;"Serviço",AND(AUTOEVENTO="Manual",$M68=$A$15),$M68&gt;(ROW(PLE.lastrow)-ROW(PLE.firstrow))),0,
           IF(OFFSET(PLE!$G$15,$M68-$A$15,DF$13)="",10^12,OFFSET(PLE!$G$15,$M68-$A$15,DF$13)))</f>
        <v>0</v>
      </c>
      <c r="DG68" s="354" t="n">
        <f aca="true">IF(OR($D68&lt;&gt;"Serviço",AND(AUTOEVENTO="Manual",$M68=$A$15),$M68&gt;(ROW(PLE.lastrow)-ROW(PLE.firstrow))),0,
           IF(OFFSET(PLE!$G$15,$M68-$A$15,DG$13)="",10^12,OFFSET(PLE!$G$15,$M68-$A$15,DG$13)))</f>
        <v>0</v>
      </c>
      <c r="DH68" s="354" t="n">
        <f aca="true">IF(OR($D68&lt;&gt;"Serviço",AND(AUTOEVENTO="Manual",$M68=$A$15),$M68&gt;(ROW(PLE.lastrow)-ROW(PLE.firstrow))),0,
           IF(OFFSET(PLE!$G$15,$M68-$A$15,DH$13)="",10^12,OFFSET(PLE!$G$15,$M68-$A$15,DH$13)))</f>
        <v>0</v>
      </c>
      <c r="DI68" s="354" t="n">
        <f aca="true">IF(OR($D68&lt;&gt;"Serviço",AND(AUTOEVENTO="Manual",$M68=$A$15),$M68&gt;(ROW(PLE.lastrow)-ROW(PLE.firstrow))),0,
           IF(OFFSET(PLE!$G$15,$M68-$A$15,DI$13)="",10^12,OFFSET(PLE!$G$15,$M68-$A$15,DI$13)))</f>
        <v>0</v>
      </c>
      <c r="DJ68" s="354" t="n">
        <f aca="true">IF(OR($D68&lt;&gt;"Serviço",AND(AUTOEVENTO="Manual",$M68=$A$15),$M68&gt;(ROW(PLE.lastrow)-ROW(PLE.firstrow))),0,
           IF(OFFSET(PLE!$G$15,$M68-$A$15,DJ$13)="",10^12,OFFSET(PLE!$G$15,$M68-$A$15,DJ$13)))</f>
        <v>0</v>
      </c>
      <c r="DK68" s="354" t="n">
        <f aca="true">IF(OR($D68&lt;&gt;"Serviço",AND(AUTOEVENTO="Manual",$M68=$A$15),$M68&gt;(ROW(PLE.lastrow)-ROW(PLE.firstrow))),0,
           IF(OFFSET(PLE!$G$15,$M68-$A$15,DK$13)="",10^12,OFFSET(PLE!$G$15,$M68-$A$15,DK$13)))</f>
        <v>0</v>
      </c>
      <c r="DL68" s="354" t="n">
        <f aca="true">IF(OR($D68&lt;&gt;"Serviço",AND(AUTOEVENTO="Manual",$M68=$A$15),$M68&gt;(ROW(PLE.lastrow)-ROW(PLE.firstrow))),0,
           IF(OFFSET(PLE!$G$15,$M68-$A$15,DL$13)="",10^12,OFFSET(PLE!$G$15,$M68-$A$15,DL$13)))</f>
        <v>0</v>
      </c>
      <c r="DM68" s="354" t="n">
        <f aca="true">IF(OR($D68&lt;&gt;"Serviço",AND(AUTOEVENTO="Manual",$M68=$A$15),$M68&gt;(ROW(PLE.lastrow)-ROW(PLE.firstrow))),0,
           IF(OFFSET(PLE!$G$15,$M68-$A$15,DM$13)="",10^12,OFFSET(PLE!$G$15,$M68-$A$15,DM$13)))</f>
        <v>0</v>
      </c>
      <c r="DN68" s="354" t="n">
        <f aca="true">IF(OR($D68&lt;&gt;"Serviço",AND(AUTOEVENTO="Manual",$M68=$A$15),$M68&gt;(ROW(PLE.lastrow)-ROW(PLE.firstrow))),0,
           IF(OFFSET(PLE!$G$15,$M68-$A$15,DN$13)="",10^12,OFFSET(PLE!$G$15,$M68-$A$15,DN$13)))</f>
        <v>0</v>
      </c>
      <c r="DO68" s="354" t="n">
        <f aca="true">IF(OR($D68&lt;&gt;"Serviço",AND(AUTOEVENTO="Manual",$M68=$A$15),$M68&gt;(ROW(PLE.lastrow)-ROW(PLE.firstrow))),0,
           IF(OFFSET(PLE!$G$15,$M68-$A$15,DO$13)="",10^12,OFFSET(PLE!$G$15,$M68-$A$15,DO$13)))</f>
        <v>0</v>
      </c>
      <c r="DP68" s="354" t="n">
        <f aca="true">IF(OR($D68&lt;&gt;"Serviço",AND(AUTOEVENTO="Manual",$M68=$A$15),$M68&gt;(ROW(PLE.lastrow)-ROW(PLE.firstrow))),0,
           IF(OFFSET(PLE!$G$15,$M68-$A$15,DP$13)="",10^12,OFFSET(PLE!$G$15,$M68-$A$15,DP$13)))</f>
        <v>0</v>
      </c>
      <c r="DQ68" s="354" t="n">
        <f aca="true">IF(OR($D68&lt;&gt;"Serviço",AND(AUTOEVENTO="Manual",$M68=$A$15),$M68&gt;(ROW(PLE.lastrow)-ROW(PLE.firstrow))),0,
           IF(OFFSET(PLE!$G$15,$M68-$A$15,DQ$13)="",10^12,OFFSET(PLE!$G$15,$M68-$A$15,DQ$13)))</f>
        <v>0</v>
      </c>
      <c r="DR68" s="354" t="n">
        <f aca="true">IF(OR($D68&lt;&gt;"Serviço",AND(AUTOEVENTO="Manual",$M68=$A$15),$M68&gt;(ROW(PLE.lastrow)-ROW(PLE.firstrow))),0,
           IF(OFFSET(PLE!$G$15,$M68-$A$15,DR$13)="",10^12,OFFSET(PLE!$G$15,$M68-$A$15,DR$13)))</f>
        <v>0</v>
      </c>
      <c r="DS68" s="354" t="n">
        <f aca="true">IF(OR($D68&lt;&gt;"Serviço",AND(AUTOEVENTO="Manual",$M68=$A$15),$M68&gt;(ROW(PLE.lastrow)-ROW(PLE.firstrow))),0,
           IF(OFFSET(PLE!$G$15,$M68-$A$15,DS$13)="",10^12,OFFSET(PLE!$G$15,$M68-$A$15,DS$13)))</f>
        <v>0</v>
      </c>
    </row>
    <row r="69" customFormat="false" ht="35.05" hidden="false" customHeight="false" outlineLevel="0" collapsed="false">
      <c r="A69" s="50" t="str">
        <f aca="true">IFERROR(IF(AUTOEVENTO="Manual",IF(K69&lt;&gt;"",MIN(VALUE(LEFT(K69,FIND(".",K69)-1)),COUNTA(EVENTOS.Lista)),0),IF(OR($B69&gt;AUTOEVENTO,$B69="S",$B69=0),SUBSTITUTE(OFFSET($A69,-1,0),IF($D69="Serviço",".",""),""),ROW(A69)-ROW($A$15)&amp;".")),0)</f>
        <v>53</v>
      </c>
      <c r="B69" s="50" t="str">
        <f aca="true">OFFSET(ORÇAMENTO!C$15,ROW(B69)-ROW(B$15),0)</f>
        <v>S</v>
      </c>
      <c r="C69" s="50" t="str">
        <f aca="true">OFFSET(ORÇAMENTO!L$15,ROW(C69)-ROW(C$15),0)</f>
        <v>F</v>
      </c>
      <c r="D69" s="201" t="str">
        <f aca="true">OFFSET(ORÇAMENTO!N$15,ROW(D69)-ROW(D$15),0)</f>
        <v>Serviço</v>
      </c>
      <c r="E69" s="202" t="str">
        <f aca="true">OFFSET(ORÇAMENTO!O$15,ROW(E69)-ROW(E$15),0)</f>
        <v>1.15.1.</v>
      </c>
      <c r="F69" s="341" t="str">
        <f aca="true">OFFSET(ORÇAMENTO!R$15,ROW(F69)-ROW(F$15),0)</f>
        <v>TRAMA DE MADEIRA COMPOSTA POR TERÇAS PARA TELHADOS DE ATÉ 2 ÁGUAS PARATELHA ONDULADA DE FIBROCIMENTO, METÁLICA, PLÁSTICA OU TERMOACÚSTICA,</v>
      </c>
      <c r="G69" s="342" t="str">
        <f aca="true">IF($D69&lt;&gt;"Serviço","",OFFSET(ORÇAMENTO!S$15,ROW(G69)-ROW(G$15),0))</f>
        <v>M2</v>
      </c>
      <c r="H69" s="207" t="n">
        <f aca="true">IF($D69&lt;&gt;"Serviço",0,IF(ACOMPANHAMENTO="BM",ROUND(OFFSET(ORÇAMENTO!AJ$15,ROW(H69)-ROW(H$15),0),15-13*ORÇAMENTO!$AF$7),SUMPRODUCT(($Q$1:$AQ$1=1)*ROUND($Q69:$AQ69,15-13*ORÇAMENTO!$AF$7))))</f>
        <v>1481.25</v>
      </c>
      <c r="I69" s="343" t="s">
        <v>948</v>
      </c>
      <c r="J69" s="344" t="e">
        <f aca="false">IF(OR(B69&lt;&gt;"S",CÁLCULO.FrentesPreenchidas=0),"",IF(AND(ACOMPANHAMENTO="PLE",AUTOEVENTO="Manual",OR(H69&gt;0,ORÇAMENTO!AC69="QUANT."),OR(K69="",M69=0,N69="")),"►",IF(AND(ACOMPANHAMENTO="PLE",ORÇAMENTO!AC69="QUANT."),"►►",IF(AND(COUNTIF($P$11:$AQ$11,"▼")=0,H69&gt;0,I69=""),"◄",""))))</f>
        <v>#NAME?</v>
      </c>
      <c r="K69" s="345"/>
      <c r="L69" s="346" t="s">
        <v>876</v>
      </c>
      <c r="M69" s="347" t="n">
        <f aca="true">IF($D69&lt;&gt;"Serviço","",
          IF(AUTOEVENTO="manual",$A69,
                IF(ISERROR(MATCH($A69,$A$15:OFFSET($A69,-1,0),0)),MAX($M$15:OFFSET(M69,-1,0))+1,
                      INDEX($M$15:OFFSET(M69,-1,0),MATCH($A69,$A$15:OFFSET($A69,-1,0),0)))))</f>
        <v>11</v>
      </c>
      <c r="N69" s="348" t="str">
        <f aca="true">IF($D69&lt;&gt;"Serviço","",
         IF(AUTOEVENTO="Manual",
                IF($A69=0,"&lt;-- defina o número do agrupador",
                       OFFSET(EVENTOS!$D$15,$A69-$A$15,0)),
                OFFSET($F$15,$A69,0)))</f>
        <v>COBERTURA E PROTEÇÕES</v>
      </c>
      <c r="O69" s="349"/>
      <c r="Q69" s="349" t="n">
        <f aca="false">53.86*1.1</f>
        <v>59.246</v>
      </c>
      <c r="R69" s="350" t="n">
        <f aca="false">Q69</f>
        <v>59.246</v>
      </c>
      <c r="S69" s="350" t="n">
        <f aca="false">R69</f>
        <v>59.246</v>
      </c>
      <c r="T69" s="350" t="n">
        <f aca="false">S69</f>
        <v>59.246</v>
      </c>
      <c r="U69" s="350" t="n">
        <f aca="false">T69</f>
        <v>59.246</v>
      </c>
      <c r="V69" s="350" t="n">
        <f aca="false">U69</f>
        <v>59.246</v>
      </c>
      <c r="W69" s="350" t="n">
        <f aca="false">V69</f>
        <v>59.246</v>
      </c>
      <c r="X69" s="350" t="n">
        <f aca="false">W69</f>
        <v>59.246</v>
      </c>
      <c r="Y69" s="350" t="n">
        <f aca="false">X69</f>
        <v>59.246</v>
      </c>
      <c r="Z69" s="351" t="n">
        <f aca="false">Y69</f>
        <v>59.246</v>
      </c>
      <c r="AA69" s="350" t="n">
        <f aca="false">Z69</f>
        <v>59.246</v>
      </c>
      <c r="AB69" s="350" t="n">
        <f aca="false">AA69</f>
        <v>59.246</v>
      </c>
      <c r="AC69" s="350" t="n">
        <f aca="false">AB69</f>
        <v>59.246</v>
      </c>
      <c r="AD69" s="350" t="n">
        <f aca="false">AC69</f>
        <v>59.246</v>
      </c>
      <c r="AE69" s="350" t="n">
        <f aca="false">AD69</f>
        <v>59.246</v>
      </c>
      <c r="AF69" s="350" t="n">
        <f aca="false">AE69</f>
        <v>59.246</v>
      </c>
      <c r="AG69" s="350" t="n">
        <f aca="false">AF69</f>
        <v>59.246</v>
      </c>
      <c r="AH69" s="351" t="n">
        <f aca="false">AG69</f>
        <v>59.246</v>
      </c>
      <c r="AI69" s="350" t="n">
        <f aca="false">AH69</f>
        <v>59.246</v>
      </c>
      <c r="AJ69" s="350" t="n">
        <f aca="false">AI69</f>
        <v>59.246</v>
      </c>
      <c r="AK69" s="350" t="n">
        <f aca="false">AJ69</f>
        <v>59.246</v>
      </c>
      <c r="AL69" s="350" t="n">
        <f aca="false">AK69</f>
        <v>59.246</v>
      </c>
      <c r="AM69" s="350" t="n">
        <f aca="false">AL69</f>
        <v>59.246</v>
      </c>
      <c r="AN69" s="350" t="n">
        <f aca="false">AM69</f>
        <v>59.246</v>
      </c>
      <c r="AO69" s="350" t="n">
        <f aca="false">AN69</f>
        <v>59.246</v>
      </c>
      <c r="AP69" s="351"/>
      <c r="AR69" s="352" t="n">
        <f aca="true">IF(AND($D69="Serviço",AR$12&lt;&gt;0,$H69&gt;0,OR(AUTOEVENTO&lt;&gt;"manual",$M69&lt;&gt;$A$15)),
        IF(Import.TipoArredondamento&lt;&gt;"TransfereGOV",
              ROUND(OFFSET($P69,0,AR$13),15-13*ORÇAMENTO!$AF$7)/$H69*OFFSET(ORÇAMENTO!$X$15,ROW(AR69)-ROW(AR$15),0),
              ROUND(ROUND(OFFSET($P69,0,AR$13),15-13*ORÇAMENTO!$AF$7)*OFFSET(ORÇAMENTO!$W$15,ROW(AR69)-ROW(AR$15),0),15-13*ORÇAMENTO!$AF$11)),
         0)</f>
        <v>2274.02</v>
      </c>
      <c r="AS69" s="352" t="n">
        <f aca="true">IF(AND($D69="Serviço",AS$12&lt;&gt;0,$H69&gt;0,OR(AUTOEVENTO&lt;&gt;"manual",$M69&lt;&gt;$A$15)),
        IF(Import.TipoArredondamento&lt;&gt;"TransfereGOV",
              ROUND(OFFSET($P69,0,AS$13),15-13*ORÇAMENTO!$AF$7)/$H69*OFFSET(ORÇAMENTO!$X$15,ROW(AS69)-ROW(AS$15),0),
              ROUND(ROUND(OFFSET($P69,0,AS$13),15-13*ORÇAMENTO!$AF$7)*OFFSET(ORÇAMENTO!$W$15,ROW(AS69)-ROW(AS$15),0),15-13*ORÇAMENTO!$AF$11)),
         0)</f>
        <v>2274.02</v>
      </c>
      <c r="AT69" s="352" t="n">
        <f aca="true">IF(AND($D69="Serviço",AT$12&lt;&gt;0,$H69&gt;0,OR(AUTOEVENTO&lt;&gt;"manual",$M69&lt;&gt;$A$15)),
        IF(Import.TipoArredondamento&lt;&gt;"TransfereGOV",
              ROUND(OFFSET($P69,0,AT$13),15-13*ORÇAMENTO!$AF$7)/$H69*OFFSET(ORÇAMENTO!$X$15,ROW(AT69)-ROW(AT$15),0),
              ROUND(ROUND(OFFSET($P69,0,AT$13),15-13*ORÇAMENTO!$AF$7)*OFFSET(ORÇAMENTO!$W$15,ROW(AT69)-ROW(AT$15),0),15-13*ORÇAMENTO!$AF$11)),
         0)</f>
        <v>2274.02</v>
      </c>
      <c r="AU69" s="352" t="n">
        <f aca="true">IF(AND($D69="Serviço",AU$12&lt;&gt;0,$H69&gt;0,OR(AUTOEVENTO&lt;&gt;"manual",$M69&lt;&gt;$A$15)),
        IF(Import.TipoArredondamento&lt;&gt;"TransfereGOV",
              ROUND(OFFSET($P69,0,AU$13),15-13*ORÇAMENTO!$AF$7)/$H69*OFFSET(ORÇAMENTO!$X$15,ROW(AU69)-ROW(AU$15),0),
              ROUND(ROUND(OFFSET($P69,0,AU$13),15-13*ORÇAMENTO!$AF$7)*OFFSET(ORÇAMENTO!$W$15,ROW(AU69)-ROW(AU$15),0),15-13*ORÇAMENTO!$AF$11)),
         0)</f>
        <v>2274.02</v>
      </c>
      <c r="AV69" s="352" t="n">
        <f aca="true">IF(AND($D69="Serviço",AV$12&lt;&gt;0,$H69&gt;0,OR(AUTOEVENTO&lt;&gt;"manual",$M69&lt;&gt;$A$15)),
        IF(Import.TipoArredondamento&lt;&gt;"TransfereGOV",
              ROUND(OFFSET($P69,0,AV$13),15-13*ORÇAMENTO!$AF$7)/$H69*OFFSET(ORÇAMENTO!$X$15,ROW(AV69)-ROW(AV$15),0),
              ROUND(ROUND(OFFSET($P69,0,AV$13),15-13*ORÇAMENTO!$AF$7)*OFFSET(ORÇAMENTO!$W$15,ROW(AV69)-ROW(AV$15),0),15-13*ORÇAMENTO!$AF$11)),
         0)</f>
        <v>2274.02</v>
      </c>
      <c r="AW69" s="352" t="n">
        <f aca="true">IF(AND($D69="Serviço",AW$12&lt;&gt;0,$H69&gt;0,OR(AUTOEVENTO&lt;&gt;"manual",$M69&lt;&gt;$A$15)),
        IF(Import.TipoArredondamento&lt;&gt;"TransfereGOV",
              ROUND(OFFSET($P69,0,AW$13),15-13*ORÇAMENTO!$AF$7)/$H69*OFFSET(ORÇAMENTO!$X$15,ROW(AW69)-ROW(AW$15),0),
              ROUND(ROUND(OFFSET($P69,0,AW$13),15-13*ORÇAMENTO!$AF$7)*OFFSET(ORÇAMENTO!$W$15,ROW(AW69)-ROW(AW$15),0),15-13*ORÇAMENTO!$AF$11)),
         0)</f>
        <v>2274.02</v>
      </c>
      <c r="AX69" s="352" t="n">
        <f aca="true">IF(AND($D69="Serviço",AX$12&lt;&gt;0,$H69&gt;0,OR(AUTOEVENTO&lt;&gt;"manual",$M69&lt;&gt;$A$15)),
        IF(Import.TipoArredondamento&lt;&gt;"TransfereGOV",
              ROUND(OFFSET($P69,0,AX$13),15-13*ORÇAMENTO!$AF$7)/$H69*OFFSET(ORÇAMENTO!$X$15,ROW(AX69)-ROW(AX$15),0),
              ROUND(ROUND(OFFSET($P69,0,AX$13),15-13*ORÇAMENTO!$AF$7)*OFFSET(ORÇAMENTO!$W$15,ROW(AX69)-ROW(AX$15),0),15-13*ORÇAMENTO!$AF$11)),
         0)</f>
        <v>2274.02</v>
      </c>
      <c r="AY69" s="352" t="n">
        <f aca="true">IF(AND($D69="Serviço",AY$12&lt;&gt;0,$H69&gt;0,OR(AUTOEVENTO&lt;&gt;"manual",$M69&lt;&gt;$A$15)),
        IF(Import.TipoArredondamento&lt;&gt;"TransfereGOV",
              ROUND(OFFSET($P69,0,AY$13),15-13*ORÇAMENTO!$AF$7)/$H69*OFFSET(ORÇAMENTO!$X$15,ROW(AY69)-ROW(AY$15),0),
              ROUND(ROUND(OFFSET($P69,0,AY$13),15-13*ORÇAMENTO!$AF$7)*OFFSET(ORÇAMENTO!$W$15,ROW(AY69)-ROW(AY$15),0),15-13*ORÇAMENTO!$AF$11)),
         0)</f>
        <v>2274.02</v>
      </c>
      <c r="AZ69" s="352" t="n">
        <f aca="true">IF(AND($D69="Serviço",AZ$12&lt;&gt;0,$H69&gt;0,OR(AUTOEVENTO&lt;&gt;"manual",$M69&lt;&gt;$A$15)),
        IF(Import.TipoArredondamento&lt;&gt;"TransfereGOV",
              ROUND(OFFSET($P69,0,AZ$13),15-13*ORÇAMENTO!$AF$7)/$H69*OFFSET(ORÇAMENTO!$X$15,ROW(AZ69)-ROW(AZ$15),0),
              ROUND(ROUND(OFFSET($P69,0,AZ$13),15-13*ORÇAMENTO!$AF$7)*OFFSET(ORÇAMENTO!$W$15,ROW(AZ69)-ROW(AZ$15),0),15-13*ORÇAMENTO!$AF$11)),
         0)</f>
        <v>2274.02</v>
      </c>
      <c r="BA69" s="352" t="n">
        <f aca="true">IF(AND($D69="Serviço",BA$12&lt;&gt;0,$H69&gt;0,OR(AUTOEVENTO&lt;&gt;"manual",$M69&lt;&gt;$A$15)),
        IF(Import.TipoArredondamento&lt;&gt;"TransfereGOV",
              ROUND(OFFSET($P69,0,BA$13),15-13*ORÇAMENTO!$AF$7)/$H69*OFFSET(ORÇAMENTO!$X$15,ROW(BA69)-ROW(BA$15),0),
              ROUND(ROUND(OFFSET($P69,0,BA$13),15-13*ORÇAMENTO!$AF$7)*OFFSET(ORÇAMENTO!$W$15,ROW(BA69)-ROW(BA$15),0),15-13*ORÇAMENTO!$AF$11)),
         0)</f>
        <v>2274.02</v>
      </c>
      <c r="BB69" s="352" t="n">
        <f aca="true">IF(AND($D69="Serviço",BB$12&lt;&gt;0,$H69&gt;0,OR(AUTOEVENTO&lt;&gt;"manual",$M69&lt;&gt;$A$15)),
        IF(Import.TipoArredondamento&lt;&gt;"TransfereGOV",
              ROUND(OFFSET($P69,0,BB$13),15-13*ORÇAMENTO!$AF$7)/$H69*OFFSET(ORÇAMENTO!$X$15,ROW(BB69)-ROW(BB$15),0),
              ROUND(ROUND(OFFSET($P69,0,BB$13),15-13*ORÇAMENTO!$AF$7)*OFFSET(ORÇAMENTO!$W$15,ROW(BB69)-ROW(BB$15),0),15-13*ORÇAMENTO!$AF$11)),
         0)</f>
        <v>2274.02</v>
      </c>
      <c r="BC69" s="352" t="n">
        <f aca="true">IF(AND($D69="Serviço",BC$12&lt;&gt;0,$H69&gt;0,OR(AUTOEVENTO&lt;&gt;"manual",$M69&lt;&gt;$A$15)),
        IF(Import.TipoArredondamento&lt;&gt;"TransfereGOV",
              ROUND(OFFSET($P69,0,BC$13),15-13*ORÇAMENTO!$AF$7)/$H69*OFFSET(ORÇAMENTO!$X$15,ROW(BC69)-ROW(BC$15),0),
              ROUND(ROUND(OFFSET($P69,0,BC$13),15-13*ORÇAMENTO!$AF$7)*OFFSET(ORÇAMENTO!$W$15,ROW(BC69)-ROW(BC$15),0),15-13*ORÇAMENTO!$AF$11)),
         0)</f>
        <v>2274.02</v>
      </c>
      <c r="BD69" s="352" t="n">
        <f aca="true">IF(AND($D69="Serviço",BD$12&lt;&gt;0,$H69&gt;0,OR(AUTOEVENTO&lt;&gt;"manual",$M69&lt;&gt;$A$15)),
        IF(Import.TipoArredondamento&lt;&gt;"TransfereGOV",
              ROUND(OFFSET($P69,0,BD$13),15-13*ORÇAMENTO!$AF$7)/$H69*OFFSET(ORÇAMENTO!$X$15,ROW(BD69)-ROW(BD$15),0),
              ROUND(ROUND(OFFSET($P69,0,BD$13),15-13*ORÇAMENTO!$AF$7)*OFFSET(ORÇAMENTO!$W$15,ROW(BD69)-ROW(BD$15),0),15-13*ORÇAMENTO!$AF$11)),
         0)</f>
        <v>2274.02</v>
      </c>
      <c r="BE69" s="352" t="n">
        <f aca="true">IF(AND($D69="Serviço",BE$12&lt;&gt;0,$H69&gt;0,OR(AUTOEVENTO&lt;&gt;"manual",$M69&lt;&gt;$A$15)),
        IF(Import.TipoArredondamento&lt;&gt;"TransfereGOV",
              ROUND(OFFSET($P69,0,BE$13),15-13*ORÇAMENTO!$AF$7)/$H69*OFFSET(ORÇAMENTO!$X$15,ROW(BE69)-ROW(BE$15),0),
              ROUND(ROUND(OFFSET($P69,0,BE$13),15-13*ORÇAMENTO!$AF$7)*OFFSET(ORÇAMENTO!$W$15,ROW(BE69)-ROW(BE$15),0),15-13*ORÇAMENTO!$AF$11)),
         0)</f>
        <v>2274.02</v>
      </c>
      <c r="BF69" s="352" t="n">
        <f aca="true">IF(AND($D69="Serviço",BF$12&lt;&gt;0,$H69&gt;0,OR(AUTOEVENTO&lt;&gt;"manual",$M69&lt;&gt;$A$15)),
        IF(Import.TipoArredondamento&lt;&gt;"TransfereGOV",
              ROUND(OFFSET($P69,0,BF$13),15-13*ORÇAMENTO!$AF$7)/$H69*OFFSET(ORÇAMENTO!$X$15,ROW(BF69)-ROW(BF$15),0),
              ROUND(ROUND(OFFSET($P69,0,BF$13),15-13*ORÇAMENTO!$AF$7)*OFFSET(ORÇAMENTO!$W$15,ROW(BF69)-ROW(BF$15),0),15-13*ORÇAMENTO!$AF$11)),
         0)</f>
        <v>2274.02</v>
      </c>
      <c r="BG69" s="352" t="n">
        <f aca="true">IF(AND($D69="Serviço",BG$12&lt;&gt;0,$H69&gt;0,OR(AUTOEVENTO&lt;&gt;"manual",$M69&lt;&gt;$A$15)),
        IF(Import.TipoArredondamento&lt;&gt;"TransfereGOV",
              ROUND(OFFSET($P69,0,BG$13),15-13*ORÇAMENTO!$AF$7)/$H69*OFFSET(ORÇAMENTO!$X$15,ROW(BG69)-ROW(BG$15),0),
              ROUND(ROUND(OFFSET($P69,0,BG$13),15-13*ORÇAMENTO!$AF$7)*OFFSET(ORÇAMENTO!$W$15,ROW(BG69)-ROW(BG$15),0),15-13*ORÇAMENTO!$AF$11)),
         0)</f>
        <v>2274.02</v>
      </c>
      <c r="BH69" s="352" t="n">
        <f aca="true">IF(AND($D69="Serviço",BH$12&lt;&gt;0,$H69&gt;0,OR(AUTOEVENTO&lt;&gt;"manual",$M69&lt;&gt;$A$15)),
        IF(Import.TipoArredondamento&lt;&gt;"TransfereGOV",
              ROUND(OFFSET($P69,0,BH$13),15-13*ORÇAMENTO!$AF$7)/$H69*OFFSET(ORÇAMENTO!$X$15,ROW(BH69)-ROW(BH$15),0),
              ROUND(ROUND(OFFSET($P69,0,BH$13),15-13*ORÇAMENTO!$AF$7)*OFFSET(ORÇAMENTO!$W$15,ROW(BH69)-ROW(BH$15),0),15-13*ORÇAMENTO!$AF$11)),
         0)</f>
        <v>2274.02</v>
      </c>
      <c r="BI69" s="352" t="n">
        <f aca="true">IF(AND($D69="Serviço",BI$12&lt;&gt;0,$H69&gt;0,OR(AUTOEVENTO&lt;&gt;"manual",$M69&lt;&gt;$A$15)),
        IF(Import.TipoArredondamento&lt;&gt;"TransfereGOV",
              ROUND(OFFSET($P69,0,BI$13),15-13*ORÇAMENTO!$AF$7)/$H69*OFFSET(ORÇAMENTO!$X$15,ROW(BI69)-ROW(BI$15),0),
              ROUND(ROUND(OFFSET($P69,0,BI$13),15-13*ORÇAMENTO!$AF$7)*OFFSET(ORÇAMENTO!$W$15,ROW(BI69)-ROW(BI$15),0),15-13*ORÇAMENTO!$AF$11)),
         0)</f>
        <v>2274.02</v>
      </c>
      <c r="BJ69" s="352" t="n">
        <f aca="true">IF(AND($D69="Serviço",BJ$12&lt;&gt;0,$H69&gt;0,OR(AUTOEVENTO&lt;&gt;"manual",$M69&lt;&gt;$A$15)),
        IF(Import.TipoArredondamento&lt;&gt;"TransfereGOV",
              ROUND(OFFSET($P69,0,BJ$13),15-13*ORÇAMENTO!$AF$7)/$H69*OFFSET(ORÇAMENTO!$X$15,ROW(BJ69)-ROW(BJ$15),0),
              ROUND(ROUND(OFFSET($P69,0,BJ$13),15-13*ORÇAMENTO!$AF$7)*OFFSET(ORÇAMENTO!$W$15,ROW(BJ69)-ROW(BJ$15),0),15-13*ORÇAMENTO!$AF$11)),
         0)</f>
        <v>2274.02</v>
      </c>
      <c r="BK69" s="352" t="n">
        <f aca="true">IF(AND($D69="Serviço",BK$12&lt;&gt;0,$H69&gt;0,OR(AUTOEVENTO&lt;&gt;"manual",$M69&lt;&gt;$A$15)),
        IF(Import.TipoArredondamento&lt;&gt;"TransfereGOV",
              ROUND(OFFSET($P69,0,BK$13),15-13*ORÇAMENTO!$AF$7)/$H69*OFFSET(ORÇAMENTO!$X$15,ROW(BK69)-ROW(BK$15),0),
              ROUND(ROUND(OFFSET($P69,0,BK$13),15-13*ORÇAMENTO!$AF$7)*OFFSET(ORÇAMENTO!$W$15,ROW(BK69)-ROW(BK$15),0),15-13*ORÇAMENTO!$AF$11)),
         0)</f>
        <v>2274.02</v>
      </c>
      <c r="BL69" s="352" t="n">
        <f aca="true">IF(AND($D69="Serviço",BL$12&lt;&gt;0,$H69&gt;0,OR(AUTOEVENTO&lt;&gt;"manual",$M69&lt;&gt;$A$15)),
        IF(Import.TipoArredondamento&lt;&gt;"TransfereGOV",
              ROUND(OFFSET($P69,0,BL$13),15-13*ORÇAMENTO!$AF$7)/$H69*OFFSET(ORÇAMENTO!$X$15,ROW(BL69)-ROW(BL$15),0),
              ROUND(ROUND(OFFSET($P69,0,BL$13),15-13*ORÇAMENTO!$AF$7)*OFFSET(ORÇAMENTO!$W$15,ROW(BL69)-ROW(BL$15),0),15-13*ORÇAMENTO!$AF$11)),
         0)</f>
        <v>2274.02</v>
      </c>
      <c r="BM69" s="352" t="n">
        <f aca="true">IF(AND($D69="Serviço",BM$12&lt;&gt;0,$H69&gt;0,OR(AUTOEVENTO&lt;&gt;"manual",$M69&lt;&gt;$A$15)),
        IF(Import.TipoArredondamento&lt;&gt;"TransfereGOV",
              ROUND(OFFSET($P69,0,BM$13),15-13*ORÇAMENTO!$AF$7)/$H69*OFFSET(ORÇAMENTO!$X$15,ROW(BM69)-ROW(BM$15),0),
              ROUND(ROUND(OFFSET($P69,0,BM$13),15-13*ORÇAMENTO!$AF$7)*OFFSET(ORÇAMENTO!$W$15,ROW(BM69)-ROW(BM$15),0),15-13*ORÇAMENTO!$AF$11)),
         0)</f>
        <v>2274.02</v>
      </c>
      <c r="BN69" s="352" t="n">
        <f aca="true">IF(AND($D69="Serviço",BN$12&lt;&gt;0,$H69&gt;0,OR(AUTOEVENTO&lt;&gt;"manual",$M69&lt;&gt;$A$15)),
        IF(Import.TipoArredondamento&lt;&gt;"TransfereGOV",
              ROUND(OFFSET($P69,0,BN$13),15-13*ORÇAMENTO!$AF$7)/$H69*OFFSET(ORÇAMENTO!$X$15,ROW(BN69)-ROW(BN$15),0),
              ROUND(ROUND(OFFSET($P69,0,BN$13),15-13*ORÇAMENTO!$AF$7)*OFFSET(ORÇAMENTO!$W$15,ROW(BN69)-ROW(BN$15),0),15-13*ORÇAMENTO!$AF$11)),
         0)</f>
        <v>2274.02</v>
      </c>
      <c r="BO69" s="352" t="n">
        <f aca="true">IF(AND($D69="Serviço",BO$12&lt;&gt;0,$H69&gt;0,OR(AUTOEVENTO&lt;&gt;"manual",$M69&lt;&gt;$A$15)),
        IF(Import.TipoArredondamento&lt;&gt;"TransfereGOV",
              ROUND(OFFSET($P69,0,BO$13),15-13*ORÇAMENTO!$AF$7)/$H69*OFFSET(ORÇAMENTO!$X$15,ROW(BO69)-ROW(BO$15),0),
              ROUND(ROUND(OFFSET($P69,0,BO$13),15-13*ORÇAMENTO!$AF$7)*OFFSET(ORÇAMENTO!$W$15,ROW(BO69)-ROW(BO$15),0),15-13*ORÇAMENTO!$AF$11)),
         0)</f>
        <v>2274.02</v>
      </c>
      <c r="BP69" s="352" t="n">
        <f aca="true">IF(AND($D69="Serviço",BP$12&lt;&gt;0,$H69&gt;0,OR(AUTOEVENTO&lt;&gt;"manual",$M69&lt;&gt;$A$15)),
        IF(Import.TipoArredondamento&lt;&gt;"TransfereGOV",
              ROUND(OFFSET($P69,0,BP$13),15-13*ORÇAMENTO!$AF$7)/$H69*OFFSET(ORÇAMENTO!$X$15,ROW(BP69)-ROW(BP$15),0),
              ROUND(ROUND(OFFSET($P69,0,BP$13),15-13*ORÇAMENTO!$AF$7)*OFFSET(ORÇAMENTO!$W$15,ROW(BP69)-ROW(BP$15),0),15-13*ORÇAMENTO!$AF$11)),
         0)</f>
        <v>2274.02</v>
      </c>
      <c r="BQ69" s="352" t="n">
        <f aca="true">IF(AND($D69="Serviço",BQ$12&lt;&gt;0,$H69&gt;0,OR(AUTOEVENTO&lt;&gt;"manual",$M69&lt;&gt;$A$15)),
        IF(Import.TipoArredondamento&lt;&gt;"TransfereGOV",
              ROUND(OFFSET($P69,0,BQ$13),15-13*ORÇAMENTO!$AF$7)/$H69*OFFSET(ORÇAMENTO!$X$15,ROW(BQ69)-ROW(BQ$15),0),
              ROUND(ROUND(OFFSET($P69,0,BQ$13),15-13*ORÇAMENTO!$AF$7)*OFFSET(ORÇAMENTO!$W$15,ROW(BQ69)-ROW(BQ$15),0),15-13*ORÇAMENTO!$AF$11)),
         0)</f>
        <v>0</v>
      </c>
      <c r="BS69" s="353" t="n">
        <f aca="true">IF(OR($D69&lt;&gt;"Serviço",AND(AUTOEVENTO="Manual",$M69=$A$15)),0,
         IF(OFFSET(CRONOPLE!$F$15,$M69-$A$15,BS$13)=0,10^12,OFFSET(CRONOPLE!$F$15,$M69-$A$15,BS$13)))</f>
        <v>1</v>
      </c>
      <c r="BT69" s="353" t="n">
        <f aca="true">IF(OR($D69&lt;&gt;"Serviço",AND(AUTOEVENTO="Manual",$M69=$A$15)),0,
         IF(OFFSET(CRONOPLE!$F$15,$M69-$A$15,BT$13)=0,10^12,OFFSET(CRONOPLE!$F$15,$M69-$A$15,BT$13)))</f>
        <v>2</v>
      </c>
      <c r="BU69" s="353" t="n">
        <f aca="true">IF(OR($D69&lt;&gt;"Serviço",AND(AUTOEVENTO="Manual",$M69=$A$15)),0,
         IF(OFFSET(CRONOPLE!$F$15,$M69-$A$15,BU$13)=0,10^12,OFFSET(CRONOPLE!$F$15,$M69-$A$15,BU$13)))</f>
        <v>3</v>
      </c>
      <c r="BV69" s="353" t="n">
        <f aca="true">IF(OR($D69&lt;&gt;"Serviço",AND(AUTOEVENTO="Manual",$M69=$A$15)),0,
         IF(OFFSET(CRONOPLE!$F$15,$M69-$A$15,BV$13)=0,10^12,OFFSET(CRONOPLE!$F$15,$M69-$A$15,BV$13)))</f>
        <v>4</v>
      </c>
      <c r="BW69" s="353" t="n">
        <f aca="true">IF(OR($D69&lt;&gt;"Serviço",AND(AUTOEVENTO="Manual",$M69=$A$15)),0,
         IF(OFFSET(CRONOPLE!$F$15,$M69-$A$15,BW$13)=0,10^12,OFFSET(CRONOPLE!$F$15,$M69-$A$15,BW$13)))</f>
        <v>5</v>
      </c>
      <c r="BX69" s="353" t="n">
        <f aca="true">IF(OR($D69&lt;&gt;"Serviço",AND(AUTOEVENTO="Manual",$M69=$A$15)),0,
         IF(OFFSET(CRONOPLE!$F$15,$M69-$A$15,BX$13)=0,10^12,OFFSET(CRONOPLE!$F$15,$M69-$A$15,BX$13)))</f>
        <v>6</v>
      </c>
      <c r="BY69" s="353" t="n">
        <f aca="true">IF(OR($D69&lt;&gt;"Serviço",AND(AUTOEVENTO="Manual",$M69=$A$15)),0,
         IF(OFFSET(CRONOPLE!$F$15,$M69-$A$15,BY$13)=0,10^12,OFFSET(CRONOPLE!$F$15,$M69-$A$15,BY$13)))</f>
        <v>7</v>
      </c>
      <c r="BZ69" s="353" t="n">
        <f aca="true">IF(OR($D69&lt;&gt;"Serviço",AND(AUTOEVENTO="Manual",$M69=$A$15)),0,
         IF(OFFSET(CRONOPLE!$F$15,$M69-$A$15,BZ$13)=0,10^12,OFFSET(CRONOPLE!$F$15,$M69-$A$15,BZ$13)))</f>
        <v>8</v>
      </c>
      <c r="CA69" s="353" t="n">
        <f aca="true">IF(OR($D69&lt;&gt;"Serviço",AND(AUTOEVENTO="Manual",$M69=$A$15)),0,
         IF(OFFSET(CRONOPLE!$F$15,$M69-$A$15,CA$13)=0,10^12,OFFSET(CRONOPLE!$F$15,$M69-$A$15,CA$13)))</f>
        <v>9</v>
      </c>
      <c r="CB69" s="353" t="n">
        <f aca="true">IF(OR($D69&lt;&gt;"Serviço",AND(AUTOEVENTO="Manual",$M69=$A$15)),0,
         IF(OFFSET(CRONOPLE!$F$15,$M69-$A$15,CB$13)=0,10^12,OFFSET(CRONOPLE!$F$15,$M69-$A$15,CB$13)))</f>
        <v>10</v>
      </c>
      <c r="CC69" s="353" t="n">
        <f aca="true">IF(OR($D69&lt;&gt;"Serviço",AND(AUTOEVENTO="Manual",$M69=$A$15)),0,
         IF(OFFSET(CRONOPLE!$F$15,$M69-$A$15,CC$13)=0,10^12,OFFSET(CRONOPLE!$F$15,$M69-$A$15,CC$13)))</f>
        <v>11</v>
      </c>
      <c r="CD69" s="353" t="n">
        <f aca="true">IF(OR($D69&lt;&gt;"Serviço",AND(AUTOEVENTO="Manual",$M69=$A$15)),0,
         IF(OFFSET(CRONOPLE!$F$15,$M69-$A$15,CD$13)=0,10^12,OFFSET(CRONOPLE!$F$15,$M69-$A$15,CD$13)))</f>
        <v>12</v>
      </c>
      <c r="CE69" s="353" t="n">
        <f aca="true">IF(OR($D69&lt;&gt;"Serviço",AND(AUTOEVENTO="Manual",$M69=$A$15)),0,
         IF(OFFSET(CRONOPLE!$F$15,$M69-$A$15,CE$13)=0,10^12,OFFSET(CRONOPLE!$F$15,$M69-$A$15,CE$13)))</f>
        <v>13</v>
      </c>
      <c r="CF69" s="353" t="n">
        <f aca="true">IF(OR($D69&lt;&gt;"Serviço",AND(AUTOEVENTO="Manual",$M69=$A$15)),0,
         IF(OFFSET(CRONOPLE!$F$15,$M69-$A$15,CF$13)=0,10^12,OFFSET(CRONOPLE!$F$15,$M69-$A$15,CF$13)))</f>
        <v>14</v>
      </c>
      <c r="CG69" s="353" t="n">
        <f aca="true">IF(OR($D69&lt;&gt;"Serviço",AND(AUTOEVENTO="Manual",$M69=$A$15)),0,
         IF(OFFSET(CRONOPLE!$F$15,$M69-$A$15,CG$13)=0,10^12,OFFSET(CRONOPLE!$F$15,$M69-$A$15,CG$13)))</f>
        <v>15</v>
      </c>
      <c r="CH69" s="353" t="n">
        <f aca="true">IF(OR($D69&lt;&gt;"Serviço",AND(AUTOEVENTO="Manual",$M69=$A$15)),0,
         IF(OFFSET(CRONOPLE!$F$15,$M69-$A$15,CH$13)=0,10^12,OFFSET(CRONOPLE!$F$15,$M69-$A$15,CH$13)))</f>
        <v>16</v>
      </c>
      <c r="CI69" s="353" t="n">
        <f aca="true">IF(OR($D69&lt;&gt;"Serviço",AND(AUTOEVENTO="Manual",$M69=$A$15)),0,
         IF(OFFSET(CRONOPLE!$F$15,$M69-$A$15,CI$13)=0,10^12,OFFSET(CRONOPLE!$F$15,$M69-$A$15,CI$13)))</f>
        <v>17</v>
      </c>
      <c r="CJ69" s="353" t="n">
        <f aca="true">IF(OR($D69&lt;&gt;"Serviço",AND(AUTOEVENTO="Manual",$M69=$A$15)),0,
         IF(OFFSET(CRONOPLE!$F$15,$M69-$A$15,CJ$13)=0,10^12,OFFSET(CRONOPLE!$F$15,$M69-$A$15,CJ$13)))</f>
        <v>18</v>
      </c>
      <c r="CK69" s="353" t="n">
        <f aca="true">IF(OR($D69&lt;&gt;"Serviço",AND(AUTOEVENTO="Manual",$M69=$A$15)),0,
         IF(OFFSET(CRONOPLE!$F$15,$M69-$A$15,CK$13)=0,10^12,OFFSET(CRONOPLE!$F$15,$M69-$A$15,CK$13)))</f>
        <v>19</v>
      </c>
      <c r="CL69" s="353" t="n">
        <f aca="true">IF(OR($D69&lt;&gt;"Serviço",AND(AUTOEVENTO="Manual",$M69=$A$15)),0,
         IF(OFFSET(CRONOPLE!$F$15,$M69-$A$15,CL$13)=0,10^12,OFFSET(CRONOPLE!$F$15,$M69-$A$15,CL$13)))</f>
        <v>20</v>
      </c>
      <c r="CM69" s="353" t="n">
        <f aca="true">IF(OR($D69&lt;&gt;"Serviço",AND(AUTOEVENTO="Manual",$M69=$A$15)),0,
         IF(OFFSET(CRONOPLE!$F$15,$M69-$A$15,CM$13)=0,10^12,OFFSET(CRONOPLE!$F$15,$M69-$A$15,CM$13)))</f>
        <v>21</v>
      </c>
      <c r="CN69" s="353" t="n">
        <f aca="true">IF(OR($D69&lt;&gt;"Serviço",AND(AUTOEVENTO="Manual",$M69=$A$15)),0,
         IF(OFFSET(CRONOPLE!$F$15,$M69-$A$15,CN$13)=0,10^12,OFFSET(CRONOPLE!$F$15,$M69-$A$15,CN$13)))</f>
        <v>22</v>
      </c>
      <c r="CO69" s="353" t="n">
        <f aca="true">IF(OR($D69&lt;&gt;"Serviço",AND(AUTOEVENTO="Manual",$M69=$A$15)),0,
         IF(OFFSET(CRONOPLE!$F$15,$M69-$A$15,CO$13)=0,10^12,OFFSET(CRONOPLE!$F$15,$M69-$A$15,CO$13)))</f>
        <v>23</v>
      </c>
      <c r="CP69" s="353" t="n">
        <f aca="true">IF(OR($D69&lt;&gt;"Serviço",AND(AUTOEVENTO="Manual",$M69=$A$15)),0,
         IF(OFFSET(CRONOPLE!$F$15,$M69-$A$15,CP$13)=0,10^12,OFFSET(CRONOPLE!$F$15,$M69-$A$15,CP$13)))</f>
        <v>24</v>
      </c>
      <c r="CQ69" s="353" t="n">
        <f aca="true">IF(OR($D69&lt;&gt;"Serviço",AND(AUTOEVENTO="Manual",$M69=$A$15)),0,
         IF(OFFSET(CRONOPLE!$F$15,$M69-$A$15,CQ$13)=0,10^12,OFFSET(CRONOPLE!$F$15,$M69-$A$15,CQ$13)))</f>
        <v>25</v>
      </c>
      <c r="CR69" s="353" t="n">
        <f aca="true">IF(OR($D69&lt;&gt;"Serviço",AND(AUTOEVENTO="Manual",$M69=$A$15)),0,
         IF(OFFSET(CRONOPLE!$F$15,$M69-$A$15,CR$13)=0,10^12,OFFSET(CRONOPLE!$F$15,$M69-$A$15,CR$13)))</f>
        <v>1000000000000</v>
      </c>
      <c r="CT69" s="354" t="n">
        <f aca="true">IF(OR($D69&lt;&gt;"Serviço",AND(AUTOEVENTO="Manual",$M69=$A$15),$M69&gt;(ROW(PLE.lastrow)-ROW(PLE.firstrow))),0,
           IF(OFFSET(PLE!$G$15,$M69-$A$15,CT$13)="",10^12,OFFSET(PLE!$G$15,$M69-$A$15,CT$13)))</f>
        <v>1000000000000</v>
      </c>
      <c r="CU69" s="354" t="n">
        <f aca="true">IF(OR($D69&lt;&gt;"Serviço",AND(AUTOEVENTO="Manual",$M69=$A$15),$M69&gt;(ROW(PLE.lastrow)-ROW(PLE.firstrow))),0,
           IF(OFFSET(PLE!$G$15,$M69-$A$15,CU$13)="",10^12,OFFSET(PLE!$G$15,$M69-$A$15,CU$13)))</f>
        <v>1000000000000</v>
      </c>
      <c r="CV69" s="354" t="n">
        <f aca="true">IF(OR($D69&lt;&gt;"Serviço",AND(AUTOEVENTO="Manual",$M69=$A$15),$M69&gt;(ROW(PLE.lastrow)-ROW(PLE.firstrow))),0,
           IF(OFFSET(PLE!$G$15,$M69-$A$15,CV$13)="",10^12,OFFSET(PLE!$G$15,$M69-$A$15,CV$13)))</f>
        <v>1000000000000</v>
      </c>
      <c r="CW69" s="354" t="n">
        <f aca="true">IF(OR($D69&lt;&gt;"Serviço",AND(AUTOEVENTO="Manual",$M69=$A$15),$M69&gt;(ROW(PLE.lastrow)-ROW(PLE.firstrow))),0,
           IF(OFFSET(PLE!$G$15,$M69-$A$15,CW$13)="",10^12,OFFSET(PLE!$G$15,$M69-$A$15,CW$13)))</f>
        <v>1000000000000</v>
      </c>
      <c r="CX69" s="354" t="n">
        <f aca="true">IF(OR($D69&lt;&gt;"Serviço",AND(AUTOEVENTO="Manual",$M69=$A$15),$M69&gt;(ROW(PLE.lastrow)-ROW(PLE.firstrow))),0,
           IF(OFFSET(PLE!$G$15,$M69-$A$15,CX$13)="",10^12,OFFSET(PLE!$G$15,$M69-$A$15,CX$13)))</f>
        <v>1000000000000</v>
      </c>
      <c r="CY69" s="354" t="n">
        <f aca="true">IF(OR($D69&lt;&gt;"Serviço",AND(AUTOEVENTO="Manual",$M69=$A$15),$M69&gt;(ROW(PLE.lastrow)-ROW(PLE.firstrow))),0,
           IF(OFFSET(PLE!$G$15,$M69-$A$15,CY$13)="",10^12,OFFSET(PLE!$G$15,$M69-$A$15,CY$13)))</f>
        <v>1000000000000</v>
      </c>
      <c r="CZ69" s="354" t="n">
        <f aca="true">IF(OR($D69&lt;&gt;"Serviço",AND(AUTOEVENTO="Manual",$M69=$A$15),$M69&gt;(ROW(PLE.lastrow)-ROW(PLE.firstrow))),0,
           IF(OFFSET(PLE!$G$15,$M69-$A$15,CZ$13)="",10^12,OFFSET(PLE!$G$15,$M69-$A$15,CZ$13)))</f>
        <v>1000000000000</v>
      </c>
      <c r="DA69" s="354" t="n">
        <f aca="true">IF(OR($D69&lt;&gt;"Serviço",AND(AUTOEVENTO="Manual",$M69=$A$15),$M69&gt;(ROW(PLE.lastrow)-ROW(PLE.firstrow))),0,
           IF(OFFSET(PLE!$G$15,$M69-$A$15,DA$13)="",10^12,OFFSET(PLE!$G$15,$M69-$A$15,DA$13)))</f>
        <v>1000000000000</v>
      </c>
      <c r="DB69" s="354" t="n">
        <f aca="true">IF(OR($D69&lt;&gt;"Serviço",AND(AUTOEVENTO="Manual",$M69=$A$15),$M69&gt;(ROW(PLE.lastrow)-ROW(PLE.firstrow))),0,
           IF(OFFSET(PLE!$G$15,$M69-$A$15,DB$13)="",10^12,OFFSET(PLE!$G$15,$M69-$A$15,DB$13)))</f>
        <v>1000000000000</v>
      </c>
      <c r="DC69" s="354" t="n">
        <f aca="true">IF(OR($D69&lt;&gt;"Serviço",AND(AUTOEVENTO="Manual",$M69=$A$15),$M69&gt;(ROW(PLE.lastrow)-ROW(PLE.firstrow))),0,
           IF(OFFSET(PLE!$G$15,$M69-$A$15,DC$13)="",10^12,OFFSET(PLE!$G$15,$M69-$A$15,DC$13)))</f>
        <v>1000000000000</v>
      </c>
      <c r="DD69" s="354" t="n">
        <f aca="true">IF(OR($D69&lt;&gt;"Serviço",AND(AUTOEVENTO="Manual",$M69=$A$15),$M69&gt;(ROW(PLE.lastrow)-ROW(PLE.firstrow))),0,
           IF(OFFSET(PLE!$G$15,$M69-$A$15,DD$13)="",10^12,OFFSET(PLE!$G$15,$M69-$A$15,DD$13)))</f>
        <v>1000000000000</v>
      </c>
      <c r="DE69" s="354" t="n">
        <f aca="true">IF(OR($D69&lt;&gt;"Serviço",AND(AUTOEVENTO="Manual",$M69=$A$15),$M69&gt;(ROW(PLE.lastrow)-ROW(PLE.firstrow))),0,
           IF(OFFSET(PLE!$G$15,$M69-$A$15,DE$13)="",10^12,OFFSET(PLE!$G$15,$M69-$A$15,DE$13)))</f>
        <v>1000000000000</v>
      </c>
      <c r="DF69" s="354" t="n">
        <f aca="true">IF(OR($D69&lt;&gt;"Serviço",AND(AUTOEVENTO="Manual",$M69=$A$15),$M69&gt;(ROW(PLE.lastrow)-ROW(PLE.firstrow))),0,
           IF(OFFSET(PLE!$G$15,$M69-$A$15,DF$13)="",10^12,OFFSET(PLE!$G$15,$M69-$A$15,DF$13)))</f>
        <v>1000000000000</v>
      </c>
      <c r="DG69" s="354" t="n">
        <f aca="true">IF(OR($D69&lt;&gt;"Serviço",AND(AUTOEVENTO="Manual",$M69=$A$15),$M69&gt;(ROW(PLE.lastrow)-ROW(PLE.firstrow))),0,
           IF(OFFSET(PLE!$G$15,$M69-$A$15,DG$13)="",10^12,OFFSET(PLE!$G$15,$M69-$A$15,DG$13)))</f>
        <v>1000000000000</v>
      </c>
      <c r="DH69" s="354" t="n">
        <f aca="true">IF(OR($D69&lt;&gt;"Serviço",AND(AUTOEVENTO="Manual",$M69=$A$15),$M69&gt;(ROW(PLE.lastrow)-ROW(PLE.firstrow))),0,
           IF(OFFSET(PLE!$G$15,$M69-$A$15,DH$13)="",10^12,OFFSET(PLE!$G$15,$M69-$A$15,DH$13)))</f>
        <v>1000000000000</v>
      </c>
      <c r="DI69" s="354" t="n">
        <f aca="true">IF(OR($D69&lt;&gt;"Serviço",AND(AUTOEVENTO="Manual",$M69=$A$15),$M69&gt;(ROW(PLE.lastrow)-ROW(PLE.firstrow))),0,
           IF(OFFSET(PLE!$G$15,$M69-$A$15,DI$13)="",10^12,OFFSET(PLE!$G$15,$M69-$A$15,DI$13)))</f>
        <v>1000000000000</v>
      </c>
      <c r="DJ69" s="354" t="n">
        <f aca="true">IF(OR($D69&lt;&gt;"Serviço",AND(AUTOEVENTO="Manual",$M69=$A$15),$M69&gt;(ROW(PLE.lastrow)-ROW(PLE.firstrow))),0,
           IF(OFFSET(PLE!$G$15,$M69-$A$15,DJ$13)="",10^12,OFFSET(PLE!$G$15,$M69-$A$15,DJ$13)))</f>
        <v>1000000000000</v>
      </c>
      <c r="DK69" s="354" t="n">
        <f aca="true">IF(OR($D69&lt;&gt;"Serviço",AND(AUTOEVENTO="Manual",$M69=$A$15),$M69&gt;(ROW(PLE.lastrow)-ROW(PLE.firstrow))),0,
           IF(OFFSET(PLE!$G$15,$M69-$A$15,DK$13)="",10^12,OFFSET(PLE!$G$15,$M69-$A$15,DK$13)))</f>
        <v>1000000000000</v>
      </c>
      <c r="DL69" s="354" t="n">
        <f aca="true">IF(OR($D69&lt;&gt;"Serviço",AND(AUTOEVENTO="Manual",$M69=$A$15),$M69&gt;(ROW(PLE.lastrow)-ROW(PLE.firstrow))),0,
           IF(OFFSET(PLE!$G$15,$M69-$A$15,DL$13)="",10^12,OFFSET(PLE!$G$15,$M69-$A$15,DL$13)))</f>
        <v>1000000000000</v>
      </c>
      <c r="DM69" s="354" t="n">
        <f aca="true">IF(OR($D69&lt;&gt;"Serviço",AND(AUTOEVENTO="Manual",$M69=$A$15),$M69&gt;(ROW(PLE.lastrow)-ROW(PLE.firstrow))),0,
           IF(OFFSET(PLE!$G$15,$M69-$A$15,DM$13)="",10^12,OFFSET(PLE!$G$15,$M69-$A$15,DM$13)))</f>
        <v>1000000000000</v>
      </c>
      <c r="DN69" s="354" t="n">
        <f aca="true">IF(OR($D69&lt;&gt;"Serviço",AND(AUTOEVENTO="Manual",$M69=$A$15),$M69&gt;(ROW(PLE.lastrow)-ROW(PLE.firstrow))),0,
           IF(OFFSET(PLE!$G$15,$M69-$A$15,DN$13)="",10^12,OFFSET(PLE!$G$15,$M69-$A$15,DN$13)))</f>
        <v>1000000000000</v>
      </c>
      <c r="DO69" s="354" t="n">
        <f aca="true">IF(OR($D69&lt;&gt;"Serviço",AND(AUTOEVENTO="Manual",$M69=$A$15),$M69&gt;(ROW(PLE.lastrow)-ROW(PLE.firstrow))),0,
           IF(OFFSET(PLE!$G$15,$M69-$A$15,DO$13)="",10^12,OFFSET(PLE!$G$15,$M69-$A$15,DO$13)))</f>
        <v>1000000000000</v>
      </c>
      <c r="DP69" s="354" t="n">
        <f aca="true">IF(OR($D69&lt;&gt;"Serviço",AND(AUTOEVENTO="Manual",$M69=$A$15),$M69&gt;(ROW(PLE.lastrow)-ROW(PLE.firstrow))),0,
           IF(OFFSET(PLE!$G$15,$M69-$A$15,DP$13)="",10^12,OFFSET(PLE!$G$15,$M69-$A$15,DP$13)))</f>
        <v>1000000000000</v>
      </c>
      <c r="DQ69" s="354" t="n">
        <f aca="true">IF(OR($D69&lt;&gt;"Serviço",AND(AUTOEVENTO="Manual",$M69=$A$15),$M69&gt;(ROW(PLE.lastrow)-ROW(PLE.firstrow))),0,
           IF(OFFSET(PLE!$G$15,$M69-$A$15,DQ$13)="",10^12,OFFSET(PLE!$G$15,$M69-$A$15,DQ$13)))</f>
        <v>1000000000000</v>
      </c>
      <c r="DR69" s="354" t="n">
        <f aca="true">IF(OR($D69&lt;&gt;"Serviço",AND(AUTOEVENTO="Manual",$M69=$A$15),$M69&gt;(ROW(PLE.lastrow)-ROW(PLE.firstrow))),0,
           IF(OFFSET(PLE!$G$15,$M69-$A$15,DR$13)="",10^12,OFFSET(PLE!$G$15,$M69-$A$15,DR$13)))</f>
        <v>1000000000000</v>
      </c>
      <c r="DS69" s="354" t="n">
        <f aca="true">IF(OR($D69&lt;&gt;"Serviço",AND(AUTOEVENTO="Manual",$M69=$A$15),$M69&gt;(ROW(PLE.lastrow)-ROW(PLE.firstrow))),0,
           IF(OFFSET(PLE!$G$15,$M69-$A$15,DS$13)="",10^12,OFFSET(PLE!$G$15,$M69-$A$15,DS$13)))</f>
        <v>1000000000000</v>
      </c>
    </row>
    <row r="70" customFormat="false" ht="23.85" hidden="false" customHeight="false" outlineLevel="0" collapsed="false">
      <c r="A70" s="50" t="str">
        <f aca="true">IFERROR(IF(AUTOEVENTO="Manual",IF(K70&lt;&gt;"",MIN(VALUE(LEFT(K70,FIND(".",K70)-1)),COUNTA(EVENTOS.Lista)),0),IF(OR($B70&gt;AUTOEVENTO,$B70="S",$B70=0),SUBSTITUTE(OFFSET($A70,-1,0),IF($D70="Serviço",".",""),""),ROW(A70)-ROW($A$15)&amp;".")),0)</f>
        <v>53</v>
      </c>
      <c r="B70" s="50" t="str">
        <f aca="true">OFFSET(ORÇAMENTO!C$15,ROW(B70)-ROW(B$15),0)</f>
        <v>S</v>
      </c>
      <c r="C70" s="50" t="str">
        <f aca="true">OFFSET(ORÇAMENTO!L$15,ROW(C70)-ROW(C$15),0)</f>
        <v>F</v>
      </c>
      <c r="D70" s="201" t="str">
        <f aca="true">OFFSET(ORÇAMENTO!N$15,ROW(D70)-ROW(D$15),0)</f>
        <v>Serviço</v>
      </c>
      <c r="E70" s="202" t="str">
        <f aca="true">OFFSET(ORÇAMENTO!O$15,ROW(E70)-ROW(E$15),0)</f>
        <v>1.15.2.</v>
      </c>
      <c r="F70" s="341" t="str">
        <f aca="true">OFFSET(ORÇAMENTO!R$15,ROW(F70)-ROW(F$15),0)</f>
        <v>TELHAMENTO COM TELHA DE AÇO/ALUMÍNIO E = 0,5 MM, COM ATÉ 2 ÁGUAS, INCLUSO IÇAMENTO. AF_07/2019</v>
      </c>
      <c r="G70" s="342" t="str">
        <f aca="true">IF($D70&lt;&gt;"Serviço","",OFFSET(ORÇAMENTO!S$15,ROW(G70)-ROW(G$15),0))</f>
        <v>M2</v>
      </c>
      <c r="H70" s="207" t="n">
        <f aca="true">IF($D70&lt;&gt;"Serviço",0,IF(ACOMPANHAMENTO="BM",ROUND(OFFSET(ORÇAMENTO!AJ$15,ROW(H70)-ROW(H$15),0),15-13*ORÇAMENTO!$AF$7),SUMPRODUCT(($Q$1:$AQ$1=1)*ROUND($Q70:$AQ70,15-13*ORÇAMENTO!$AF$7))))</f>
        <v>1481.25</v>
      </c>
      <c r="I70" s="343" t="s">
        <v>948</v>
      </c>
      <c r="J70" s="344" t="e">
        <f aca="false">IF(OR(B70&lt;&gt;"S",CÁLCULO.FrentesPreenchidas=0),"",IF(AND(ACOMPANHAMENTO="PLE",AUTOEVENTO="Manual",OR(H70&gt;0,ORÇAMENTO!AC70="QUANT."),OR(K70="",M70=0,N70="")),"►",IF(AND(ACOMPANHAMENTO="PLE",ORÇAMENTO!AC70="QUANT."),"►►",IF(AND(COUNTIF($P$11:$AQ$11,"▼")=0,H70&gt;0,I70=""),"◄",""))))</f>
        <v>#NAME?</v>
      </c>
      <c r="K70" s="345"/>
      <c r="L70" s="346" t="s">
        <v>876</v>
      </c>
      <c r="M70" s="347" t="n">
        <f aca="true">IF($D70&lt;&gt;"Serviço","",
          IF(AUTOEVENTO="manual",$A70,
                IF(ISERROR(MATCH($A70,$A$15:OFFSET($A70,-1,0),0)),MAX($M$15:OFFSET(M70,-1,0))+1,
                      INDEX($M$15:OFFSET(M70,-1,0),MATCH($A70,$A$15:OFFSET($A70,-1,0),0)))))</f>
        <v>11</v>
      </c>
      <c r="N70" s="348" t="str">
        <f aca="true">IF($D70&lt;&gt;"Serviço","",
         IF(AUTOEVENTO="Manual",
                IF($A70=0,"&lt;-- defina o número do agrupador",
                       OFFSET(EVENTOS!$D$15,$A70-$A$15,0)),
                OFFSET($F$15,$A70,0)))</f>
        <v>COBERTURA E PROTEÇÕES</v>
      </c>
      <c r="O70" s="349"/>
      <c r="Q70" s="349" t="n">
        <v>59.25</v>
      </c>
      <c r="R70" s="350" t="n">
        <f aca="false">Q70</f>
        <v>59.25</v>
      </c>
      <c r="S70" s="350" t="n">
        <f aca="false">R70</f>
        <v>59.25</v>
      </c>
      <c r="T70" s="350" t="n">
        <f aca="false">S70</f>
        <v>59.25</v>
      </c>
      <c r="U70" s="350" t="n">
        <f aca="false">T70</f>
        <v>59.25</v>
      </c>
      <c r="V70" s="350" t="n">
        <f aca="false">U70</f>
        <v>59.25</v>
      </c>
      <c r="W70" s="350" t="n">
        <f aca="false">V70</f>
        <v>59.25</v>
      </c>
      <c r="X70" s="350" t="n">
        <f aca="false">W70</f>
        <v>59.25</v>
      </c>
      <c r="Y70" s="350" t="n">
        <f aca="false">X70</f>
        <v>59.25</v>
      </c>
      <c r="Z70" s="351" t="n">
        <f aca="false">Y70</f>
        <v>59.25</v>
      </c>
      <c r="AA70" s="350" t="n">
        <f aca="false">Z70</f>
        <v>59.25</v>
      </c>
      <c r="AB70" s="350" t="n">
        <f aca="false">AA70</f>
        <v>59.25</v>
      </c>
      <c r="AC70" s="350" t="n">
        <f aca="false">AB70</f>
        <v>59.25</v>
      </c>
      <c r="AD70" s="350" t="n">
        <f aca="false">AC70</f>
        <v>59.25</v>
      </c>
      <c r="AE70" s="350" t="n">
        <f aca="false">AD70</f>
        <v>59.25</v>
      </c>
      <c r="AF70" s="350" t="n">
        <f aca="false">AE70</f>
        <v>59.25</v>
      </c>
      <c r="AG70" s="350" t="n">
        <f aca="false">AF70</f>
        <v>59.25</v>
      </c>
      <c r="AH70" s="351" t="n">
        <f aca="false">AG70</f>
        <v>59.25</v>
      </c>
      <c r="AI70" s="350" t="n">
        <f aca="false">AH70</f>
        <v>59.25</v>
      </c>
      <c r="AJ70" s="350" t="n">
        <f aca="false">AI70</f>
        <v>59.25</v>
      </c>
      <c r="AK70" s="350" t="n">
        <f aca="false">AJ70</f>
        <v>59.25</v>
      </c>
      <c r="AL70" s="350" t="n">
        <f aca="false">AK70</f>
        <v>59.25</v>
      </c>
      <c r="AM70" s="350" t="n">
        <f aca="false">AL70</f>
        <v>59.25</v>
      </c>
      <c r="AN70" s="350" t="n">
        <f aca="false">AM70</f>
        <v>59.25</v>
      </c>
      <c r="AO70" s="350" t="n">
        <f aca="false">AN70</f>
        <v>59.25</v>
      </c>
      <c r="AP70" s="351"/>
      <c r="AR70" s="352" t="n">
        <f aca="true">IF(AND($D70="Serviço",AR$12&lt;&gt;0,$H70&gt;0,OR(AUTOEVENTO&lt;&gt;"manual",$M70&lt;&gt;$A$15)),
        IF(Import.TipoArredondamento&lt;&gt;"TransfereGOV",
              ROUND(OFFSET($P70,0,AR$13),15-13*ORÇAMENTO!$AF$7)/$H70*OFFSET(ORÇAMENTO!$X$15,ROW(AR70)-ROW(AR$15),0),
              ROUND(ROUND(OFFSET($P70,0,AR$13),15-13*ORÇAMENTO!$AF$7)*OFFSET(ORÇAMENTO!$W$15,ROW(AR70)-ROW(AR$15),0),15-13*ORÇAMENTO!$AF$11)),
         0)</f>
        <v>4765.48</v>
      </c>
      <c r="AS70" s="352" t="n">
        <f aca="true">IF(AND($D70="Serviço",AS$12&lt;&gt;0,$H70&gt;0,OR(AUTOEVENTO&lt;&gt;"manual",$M70&lt;&gt;$A$15)),
        IF(Import.TipoArredondamento&lt;&gt;"TransfereGOV",
              ROUND(OFFSET($P70,0,AS$13),15-13*ORÇAMENTO!$AF$7)/$H70*OFFSET(ORÇAMENTO!$X$15,ROW(AS70)-ROW(AS$15),0),
              ROUND(ROUND(OFFSET($P70,0,AS$13),15-13*ORÇAMENTO!$AF$7)*OFFSET(ORÇAMENTO!$W$15,ROW(AS70)-ROW(AS$15),0),15-13*ORÇAMENTO!$AF$11)),
         0)</f>
        <v>4765.48</v>
      </c>
      <c r="AT70" s="352" t="n">
        <f aca="true">IF(AND($D70="Serviço",AT$12&lt;&gt;0,$H70&gt;0,OR(AUTOEVENTO&lt;&gt;"manual",$M70&lt;&gt;$A$15)),
        IF(Import.TipoArredondamento&lt;&gt;"TransfereGOV",
              ROUND(OFFSET($P70,0,AT$13),15-13*ORÇAMENTO!$AF$7)/$H70*OFFSET(ORÇAMENTO!$X$15,ROW(AT70)-ROW(AT$15),0),
              ROUND(ROUND(OFFSET($P70,0,AT$13),15-13*ORÇAMENTO!$AF$7)*OFFSET(ORÇAMENTO!$W$15,ROW(AT70)-ROW(AT$15),0),15-13*ORÇAMENTO!$AF$11)),
         0)</f>
        <v>4765.48</v>
      </c>
      <c r="AU70" s="352" t="n">
        <f aca="true">IF(AND($D70="Serviço",AU$12&lt;&gt;0,$H70&gt;0,OR(AUTOEVENTO&lt;&gt;"manual",$M70&lt;&gt;$A$15)),
        IF(Import.TipoArredondamento&lt;&gt;"TransfereGOV",
              ROUND(OFFSET($P70,0,AU$13),15-13*ORÇAMENTO!$AF$7)/$H70*OFFSET(ORÇAMENTO!$X$15,ROW(AU70)-ROW(AU$15),0),
              ROUND(ROUND(OFFSET($P70,0,AU$13),15-13*ORÇAMENTO!$AF$7)*OFFSET(ORÇAMENTO!$W$15,ROW(AU70)-ROW(AU$15),0),15-13*ORÇAMENTO!$AF$11)),
         0)</f>
        <v>4765.48</v>
      </c>
      <c r="AV70" s="352" t="n">
        <f aca="true">IF(AND($D70="Serviço",AV$12&lt;&gt;0,$H70&gt;0,OR(AUTOEVENTO&lt;&gt;"manual",$M70&lt;&gt;$A$15)),
        IF(Import.TipoArredondamento&lt;&gt;"TransfereGOV",
              ROUND(OFFSET($P70,0,AV$13),15-13*ORÇAMENTO!$AF$7)/$H70*OFFSET(ORÇAMENTO!$X$15,ROW(AV70)-ROW(AV$15),0),
              ROUND(ROUND(OFFSET($P70,0,AV$13),15-13*ORÇAMENTO!$AF$7)*OFFSET(ORÇAMENTO!$W$15,ROW(AV70)-ROW(AV$15),0),15-13*ORÇAMENTO!$AF$11)),
         0)</f>
        <v>4765.48</v>
      </c>
      <c r="AW70" s="352" t="n">
        <f aca="true">IF(AND($D70="Serviço",AW$12&lt;&gt;0,$H70&gt;0,OR(AUTOEVENTO&lt;&gt;"manual",$M70&lt;&gt;$A$15)),
        IF(Import.TipoArredondamento&lt;&gt;"TransfereGOV",
              ROUND(OFFSET($P70,0,AW$13),15-13*ORÇAMENTO!$AF$7)/$H70*OFFSET(ORÇAMENTO!$X$15,ROW(AW70)-ROW(AW$15),0),
              ROUND(ROUND(OFFSET($P70,0,AW$13),15-13*ORÇAMENTO!$AF$7)*OFFSET(ORÇAMENTO!$W$15,ROW(AW70)-ROW(AW$15),0),15-13*ORÇAMENTO!$AF$11)),
         0)</f>
        <v>4765.48</v>
      </c>
      <c r="AX70" s="352" t="n">
        <f aca="true">IF(AND($D70="Serviço",AX$12&lt;&gt;0,$H70&gt;0,OR(AUTOEVENTO&lt;&gt;"manual",$M70&lt;&gt;$A$15)),
        IF(Import.TipoArredondamento&lt;&gt;"TransfereGOV",
              ROUND(OFFSET($P70,0,AX$13),15-13*ORÇAMENTO!$AF$7)/$H70*OFFSET(ORÇAMENTO!$X$15,ROW(AX70)-ROW(AX$15),0),
              ROUND(ROUND(OFFSET($P70,0,AX$13),15-13*ORÇAMENTO!$AF$7)*OFFSET(ORÇAMENTO!$W$15,ROW(AX70)-ROW(AX$15),0),15-13*ORÇAMENTO!$AF$11)),
         0)</f>
        <v>4765.48</v>
      </c>
      <c r="AY70" s="352" t="n">
        <f aca="true">IF(AND($D70="Serviço",AY$12&lt;&gt;0,$H70&gt;0,OR(AUTOEVENTO&lt;&gt;"manual",$M70&lt;&gt;$A$15)),
        IF(Import.TipoArredondamento&lt;&gt;"TransfereGOV",
              ROUND(OFFSET($P70,0,AY$13),15-13*ORÇAMENTO!$AF$7)/$H70*OFFSET(ORÇAMENTO!$X$15,ROW(AY70)-ROW(AY$15),0),
              ROUND(ROUND(OFFSET($P70,0,AY$13),15-13*ORÇAMENTO!$AF$7)*OFFSET(ORÇAMENTO!$W$15,ROW(AY70)-ROW(AY$15),0),15-13*ORÇAMENTO!$AF$11)),
         0)</f>
        <v>4765.48</v>
      </c>
      <c r="AZ70" s="352" t="n">
        <f aca="true">IF(AND($D70="Serviço",AZ$12&lt;&gt;0,$H70&gt;0,OR(AUTOEVENTO&lt;&gt;"manual",$M70&lt;&gt;$A$15)),
        IF(Import.TipoArredondamento&lt;&gt;"TransfereGOV",
              ROUND(OFFSET($P70,0,AZ$13),15-13*ORÇAMENTO!$AF$7)/$H70*OFFSET(ORÇAMENTO!$X$15,ROW(AZ70)-ROW(AZ$15),0),
              ROUND(ROUND(OFFSET($P70,0,AZ$13),15-13*ORÇAMENTO!$AF$7)*OFFSET(ORÇAMENTO!$W$15,ROW(AZ70)-ROW(AZ$15),0),15-13*ORÇAMENTO!$AF$11)),
         0)</f>
        <v>4765.48</v>
      </c>
      <c r="BA70" s="352" t="n">
        <f aca="true">IF(AND($D70="Serviço",BA$12&lt;&gt;0,$H70&gt;0,OR(AUTOEVENTO&lt;&gt;"manual",$M70&lt;&gt;$A$15)),
        IF(Import.TipoArredondamento&lt;&gt;"TransfereGOV",
              ROUND(OFFSET($P70,0,BA$13),15-13*ORÇAMENTO!$AF$7)/$H70*OFFSET(ORÇAMENTO!$X$15,ROW(BA70)-ROW(BA$15),0),
              ROUND(ROUND(OFFSET($P70,0,BA$13),15-13*ORÇAMENTO!$AF$7)*OFFSET(ORÇAMENTO!$W$15,ROW(BA70)-ROW(BA$15),0),15-13*ORÇAMENTO!$AF$11)),
         0)</f>
        <v>4765.48</v>
      </c>
      <c r="BB70" s="352" t="n">
        <f aca="true">IF(AND($D70="Serviço",BB$12&lt;&gt;0,$H70&gt;0,OR(AUTOEVENTO&lt;&gt;"manual",$M70&lt;&gt;$A$15)),
        IF(Import.TipoArredondamento&lt;&gt;"TransfereGOV",
              ROUND(OFFSET($P70,0,BB$13),15-13*ORÇAMENTO!$AF$7)/$H70*OFFSET(ORÇAMENTO!$X$15,ROW(BB70)-ROW(BB$15),0),
              ROUND(ROUND(OFFSET($P70,0,BB$13),15-13*ORÇAMENTO!$AF$7)*OFFSET(ORÇAMENTO!$W$15,ROW(BB70)-ROW(BB$15),0),15-13*ORÇAMENTO!$AF$11)),
         0)</f>
        <v>4765.48</v>
      </c>
      <c r="BC70" s="352" t="n">
        <f aca="true">IF(AND($D70="Serviço",BC$12&lt;&gt;0,$H70&gt;0,OR(AUTOEVENTO&lt;&gt;"manual",$M70&lt;&gt;$A$15)),
        IF(Import.TipoArredondamento&lt;&gt;"TransfereGOV",
              ROUND(OFFSET($P70,0,BC$13),15-13*ORÇAMENTO!$AF$7)/$H70*OFFSET(ORÇAMENTO!$X$15,ROW(BC70)-ROW(BC$15),0),
              ROUND(ROUND(OFFSET($P70,0,BC$13),15-13*ORÇAMENTO!$AF$7)*OFFSET(ORÇAMENTO!$W$15,ROW(BC70)-ROW(BC$15),0),15-13*ORÇAMENTO!$AF$11)),
         0)</f>
        <v>4765.48</v>
      </c>
      <c r="BD70" s="352" t="n">
        <f aca="true">IF(AND($D70="Serviço",BD$12&lt;&gt;0,$H70&gt;0,OR(AUTOEVENTO&lt;&gt;"manual",$M70&lt;&gt;$A$15)),
        IF(Import.TipoArredondamento&lt;&gt;"TransfereGOV",
              ROUND(OFFSET($P70,0,BD$13),15-13*ORÇAMENTO!$AF$7)/$H70*OFFSET(ORÇAMENTO!$X$15,ROW(BD70)-ROW(BD$15),0),
              ROUND(ROUND(OFFSET($P70,0,BD$13),15-13*ORÇAMENTO!$AF$7)*OFFSET(ORÇAMENTO!$W$15,ROW(BD70)-ROW(BD$15),0),15-13*ORÇAMENTO!$AF$11)),
         0)</f>
        <v>4765.48</v>
      </c>
      <c r="BE70" s="352" t="n">
        <f aca="true">IF(AND($D70="Serviço",BE$12&lt;&gt;0,$H70&gt;0,OR(AUTOEVENTO&lt;&gt;"manual",$M70&lt;&gt;$A$15)),
        IF(Import.TipoArredondamento&lt;&gt;"TransfereGOV",
              ROUND(OFFSET($P70,0,BE$13),15-13*ORÇAMENTO!$AF$7)/$H70*OFFSET(ORÇAMENTO!$X$15,ROW(BE70)-ROW(BE$15),0),
              ROUND(ROUND(OFFSET($P70,0,BE$13),15-13*ORÇAMENTO!$AF$7)*OFFSET(ORÇAMENTO!$W$15,ROW(BE70)-ROW(BE$15),0),15-13*ORÇAMENTO!$AF$11)),
         0)</f>
        <v>4765.48</v>
      </c>
      <c r="BF70" s="352" t="n">
        <f aca="true">IF(AND($D70="Serviço",BF$12&lt;&gt;0,$H70&gt;0,OR(AUTOEVENTO&lt;&gt;"manual",$M70&lt;&gt;$A$15)),
        IF(Import.TipoArredondamento&lt;&gt;"TransfereGOV",
              ROUND(OFFSET($P70,0,BF$13),15-13*ORÇAMENTO!$AF$7)/$H70*OFFSET(ORÇAMENTO!$X$15,ROW(BF70)-ROW(BF$15),0),
              ROUND(ROUND(OFFSET($P70,0,BF$13),15-13*ORÇAMENTO!$AF$7)*OFFSET(ORÇAMENTO!$W$15,ROW(BF70)-ROW(BF$15),0),15-13*ORÇAMENTO!$AF$11)),
         0)</f>
        <v>4765.48</v>
      </c>
      <c r="BG70" s="352" t="n">
        <f aca="true">IF(AND($D70="Serviço",BG$12&lt;&gt;0,$H70&gt;0,OR(AUTOEVENTO&lt;&gt;"manual",$M70&lt;&gt;$A$15)),
        IF(Import.TipoArredondamento&lt;&gt;"TransfereGOV",
              ROUND(OFFSET($P70,0,BG$13),15-13*ORÇAMENTO!$AF$7)/$H70*OFFSET(ORÇAMENTO!$X$15,ROW(BG70)-ROW(BG$15),0),
              ROUND(ROUND(OFFSET($P70,0,BG$13),15-13*ORÇAMENTO!$AF$7)*OFFSET(ORÇAMENTO!$W$15,ROW(BG70)-ROW(BG$15),0),15-13*ORÇAMENTO!$AF$11)),
         0)</f>
        <v>4765.48</v>
      </c>
      <c r="BH70" s="352" t="n">
        <f aca="true">IF(AND($D70="Serviço",BH$12&lt;&gt;0,$H70&gt;0,OR(AUTOEVENTO&lt;&gt;"manual",$M70&lt;&gt;$A$15)),
        IF(Import.TipoArredondamento&lt;&gt;"TransfereGOV",
              ROUND(OFFSET($P70,0,BH$13),15-13*ORÇAMENTO!$AF$7)/$H70*OFFSET(ORÇAMENTO!$X$15,ROW(BH70)-ROW(BH$15),0),
              ROUND(ROUND(OFFSET($P70,0,BH$13),15-13*ORÇAMENTO!$AF$7)*OFFSET(ORÇAMENTO!$W$15,ROW(BH70)-ROW(BH$15),0),15-13*ORÇAMENTO!$AF$11)),
         0)</f>
        <v>4765.48</v>
      </c>
      <c r="BI70" s="352" t="n">
        <f aca="true">IF(AND($D70="Serviço",BI$12&lt;&gt;0,$H70&gt;0,OR(AUTOEVENTO&lt;&gt;"manual",$M70&lt;&gt;$A$15)),
        IF(Import.TipoArredondamento&lt;&gt;"TransfereGOV",
              ROUND(OFFSET($P70,0,BI$13),15-13*ORÇAMENTO!$AF$7)/$H70*OFFSET(ORÇAMENTO!$X$15,ROW(BI70)-ROW(BI$15),0),
              ROUND(ROUND(OFFSET($P70,0,BI$13),15-13*ORÇAMENTO!$AF$7)*OFFSET(ORÇAMENTO!$W$15,ROW(BI70)-ROW(BI$15),0),15-13*ORÇAMENTO!$AF$11)),
         0)</f>
        <v>4765.48</v>
      </c>
      <c r="BJ70" s="352" t="n">
        <f aca="true">IF(AND($D70="Serviço",BJ$12&lt;&gt;0,$H70&gt;0,OR(AUTOEVENTO&lt;&gt;"manual",$M70&lt;&gt;$A$15)),
        IF(Import.TipoArredondamento&lt;&gt;"TransfereGOV",
              ROUND(OFFSET($P70,0,BJ$13),15-13*ORÇAMENTO!$AF$7)/$H70*OFFSET(ORÇAMENTO!$X$15,ROW(BJ70)-ROW(BJ$15),0),
              ROUND(ROUND(OFFSET($P70,0,BJ$13),15-13*ORÇAMENTO!$AF$7)*OFFSET(ORÇAMENTO!$W$15,ROW(BJ70)-ROW(BJ$15),0),15-13*ORÇAMENTO!$AF$11)),
         0)</f>
        <v>4765.48</v>
      </c>
      <c r="BK70" s="352" t="n">
        <f aca="true">IF(AND($D70="Serviço",BK$12&lt;&gt;0,$H70&gt;0,OR(AUTOEVENTO&lt;&gt;"manual",$M70&lt;&gt;$A$15)),
        IF(Import.TipoArredondamento&lt;&gt;"TransfereGOV",
              ROUND(OFFSET($P70,0,BK$13),15-13*ORÇAMENTO!$AF$7)/$H70*OFFSET(ORÇAMENTO!$X$15,ROW(BK70)-ROW(BK$15),0),
              ROUND(ROUND(OFFSET($P70,0,BK$13),15-13*ORÇAMENTO!$AF$7)*OFFSET(ORÇAMENTO!$W$15,ROW(BK70)-ROW(BK$15),0),15-13*ORÇAMENTO!$AF$11)),
         0)</f>
        <v>4765.48</v>
      </c>
      <c r="BL70" s="352" t="n">
        <f aca="true">IF(AND($D70="Serviço",BL$12&lt;&gt;0,$H70&gt;0,OR(AUTOEVENTO&lt;&gt;"manual",$M70&lt;&gt;$A$15)),
        IF(Import.TipoArredondamento&lt;&gt;"TransfereGOV",
              ROUND(OFFSET($P70,0,BL$13),15-13*ORÇAMENTO!$AF$7)/$H70*OFFSET(ORÇAMENTO!$X$15,ROW(BL70)-ROW(BL$15),0),
              ROUND(ROUND(OFFSET($P70,0,BL$13),15-13*ORÇAMENTO!$AF$7)*OFFSET(ORÇAMENTO!$W$15,ROW(BL70)-ROW(BL$15),0),15-13*ORÇAMENTO!$AF$11)),
         0)</f>
        <v>4765.48</v>
      </c>
      <c r="BM70" s="352" t="n">
        <f aca="true">IF(AND($D70="Serviço",BM$12&lt;&gt;0,$H70&gt;0,OR(AUTOEVENTO&lt;&gt;"manual",$M70&lt;&gt;$A$15)),
        IF(Import.TipoArredondamento&lt;&gt;"TransfereGOV",
              ROUND(OFFSET($P70,0,BM$13),15-13*ORÇAMENTO!$AF$7)/$H70*OFFSET(ORÇAMENTO!$X$15,ROW(BM70)-ROW(BM$15),0),
              ROUND(ROUND(OFFSET($P70,0,BM$13),15-13*ORÇAMENTO!$AF$7)*OFFSET(ORÇAMENTO!$W$15,ROW(BM70)-ROW(BM$15),0),15-13*ORÇAMENTO!$AF$11)),
         0)</f>
        <v>4765.48</v>
      </c>
      <c r="BN70" s="352" t="n">
        <f aca="true">IF(AND($D70="Serviço",BN$12&lt;&gt;0,$H70&gt;0,OR(AUTOEVENTO&lt;&gt;"manual",$M70&lt;&gt;$A$15)),
        IF(Import.TipoArredondamento&lt;&gt;"TransfereGOV",
              ROUND(OFFSET($P70,0,BN$13),15-13*ORÇAMENTO!$AF$7)/$H70*OFFSET(ORÇAMENTO!$X$15,ROW(BN70)-ROW(BN$15),0),
              ROUND(ROUND(OFFSET($P70,0,BN$13),15-13*ORÇAMENTO!$AF$7)*OFFSET(ORÇAMENTO!$W$15,ROW(BN70)-ROW(BN$15),0),15-13*ORÇAMENTO!$AF$11)),
         0)</f>
        <v>4765.48</v>
      </c>
      <c r="BO70" s="352" t="n">
        <f aca="true">IF(AND($D70="Serviço",BO$12&lt;&gt;0,$H70&gt;0,OR(AUTOEVENTO&lt;&gt;"manual",$M70&lt;&gt;$A$15)),
        IF(Import.TipoArredondamento&lt;&gt;"TransfereGOV",
              ROUND(OFFSET($P70,0,BO$13),15-13*ORÇAMENTO!$AF$7)/$H70*OFFSET(ORÇAMENTO!$X$15,ROW(BO70)-ROW(BO$15),0),
              ROUND(ROUND(OFFSET($P70,0,BO$13),15-13*ORÇAMENTO!$AF$7)*OFFSET(ORÇAMENTO!$W$15,ROW(BO70)-ROW(BO$15),0),15-13*ORÇAMENTO!$AF$11)),
         0)</f>
        <v>4765.48</v>
      </c>
      <c r="BP70" s="352" t="n">
        <f aca="true">IF(AND($D70="Serviço",BP$12&lt;&gt;0,$H70&gt;0,OR(AUTOEVENTO&lt;&gt;"manual",$M70&lt;&gt;$A$15)),
        IF(Import.TipoArredondamento&lt;&gt;"TransfereGOV",
              ROUND(OFFSET($P70,0,BP$13),15-13*ORÇAMENTO!$AF$7)/$H70*OFFSET(ORÇAMENTO!$X$15,ROW(BP70)-ROW(BP$15),0),
              ROUND(ROUND(OFFSET($P70,0,BP$13),15-13*ORÇAMENTO!$AF$7)*OFFSET(ORÇAMENTO!$W$15,ROW(BP70)-ROW(BP$15),0),15-13*ORÇAMENTO!$AF$11)),
         0)</f>
        <v>4765.48</v>
      </c>
      <c r="BQ70" s="352" t="n">
        <f aca="true">IF(AND($D70="Serviço",BQ$12&lt;&gt;0,$H70&gt;0,OR(AUTOEVENTO&lt;&gt;"manual",$M70&lt;&gt;$A$15)),
        IF(Import.TipoArredondamento&lt;&gt;"TransfereGOV",
              ROUND(OFFSET($P70,0,BQ$13),15-13*ORÇAMENTO!$AF$7)/$H70*OFFSET(ORÇAMENTO!$X$15,ROW(BQ70)-ROW(BQ$15),0),
              ROUND(ROUND(OFFSET($P70,0,BQ$13),15-13*ORÇAMENTO!$AF$7)*OFFSET(ORÇAMENTO!$W$15,ROW(BQ70)-ROW(BQ$15),0),15-13*ORÇAMENTO!$AF$11)),
         0)</f>
        <v>0</v>
      </c>
      <c r="BS70" s="353" t="n">
        <f aca="true">IF(OR($D70&lt;&gt;"Serviço",AND(AUTOEVENTO="Manual",$M70=$A$15)),0,
         IF(OFFSET(CRONOPLE!$F$15,$M70-$A$15,BS$13)=0,10^12,OFFSET(CRONOPLE!$F$15,$M70-$A$15,BS$13)))</f>
        <v>1</v>
      </c>
      <c r="BT70" s="353" t="n">
        <f aca="true">IF(OR($D70&lt;&gt;"Serviço",AND(AUTOEVENTO="Manual",$M70=$A$15)),0,
         IF(OFFSET(CRONOPLE!$F$15,$M70-$A$15,BT$13)=0,10^12,OFFSET(CRONOPLE!$F$15,$M70-$A$15,BT$13)))</f>
        <v>2</v>
      </c>
      <c r="BU70" s="353" t="n">
        <f aca="true">IF(OR($D70&lt;&gt;"Serviço",AND(AUTOEVENTO="Manual",$M70=$A$15)),0,
         IF(OFFSET(CRONOPLE!$F$15,$M70-$A$15,BU$13)=0,10^12,OFFSET(CRONOPLE!$F$15,$M70-$A$15,BU$13)))</f>
        <v>3</v>
      </c>
      <c r="BV70" s="353" t="n">
        <f aca="true">IF(OR($D70&lt;&gt;"Serviço",AND(AUTOEVENTO="Manual",$M70=$A$15)),0,
         IF(OFFSET(CRONOPLE!$F$15,$M70-$A$15,BV$13)=0,10^12,OFFSET(CRONOPLE!$F$15,$M70-$A$15,BV$13)))</f>
        <v>4</v>
      </c>
      <c r="BW70" s="353" t="n">
        <f aca="true">IF(OR($D70&lt;&gt;"Serviço",AND(AUTOEVENTO="Manual",$M70=$A$15)),0,
         IF(OFFSET(CRONOPLE!$F$15,$M70-$A$15,BW$13)=0,10^12,OFFSET(CRONOPLE!$F$15,$M70-$A$15,BW$13)))</f>
        <v>5</v>
      </c>
      <c r="BX70" s="353" t="n">
        <f aca="true">IF(OR($D70&lt;&gt;"Serviço",AND(AUTOEVENTO="Manual",$M70=$A$15)),0,
         IF(OFFSET(CRONOPLE!$F$15,$M70-$A$15,BX$13)=0,10^12,OFFSET(CRONOPLE!$F$15,$M70-$A$15,BX$13)))</f>
        <v>6</v>
      </c>
      <c r="BY70" s="353" t="n">
        <f aca="true">IF(OR($D70&lt;&gt;"Serviço",AND(AUTOEVENTO="Manual",$M70=$A$15)),0,
         IF(OFFSET(CRONOPLE!$F$15,$M70-$A$15,BY$13)=0,10^12,OFFSET(CRONOPLE!$F$15,$M70-$A$15,BY$13)))</f>
        <v>7</v>
      </c>
      <c r="BZ70" s="353" t="n">
        <f aca="true">IF(OR($D70&lt;&gt;"Serviço",AND(AUTOEVENTO="Manual",$M70=$A$15)),0,
         IF(OFFSET(CRONOPLE!$F$15,$M70-$A$15,BZ$13)=0,10^12,OFFSET(CRONOPLE!$F$15,$M70-$A$15,BZ$13)))</f>
        <v>8</v>
      </c>
      <c r="CA70" s="353" t="n">
        <f aca="true">IF(OR($D70&lt;&gt;"Serviço",AND(AUTOEVENTO="Manual",$M70=$A$15)),0,
         IF(OFFSET(CRONOPLE!$F$15,$M70-$A$15,CA$13)=0,10^12,OFFSET(CRONOPLE!$F$15,$M70-$A$15,CA$13)))</f>
        <v>9</v>
      </c>
      <c r="CB70" s="353" t="n">
        <f aca="true">IF(OR($D70&lt;&gt;"Serviço",AND(AUTOEVENTO="Manual",$M70=$A$15)),0,
         IF(OFFSET(CRONOPLE!$F$15,$M70-$A$15,CB$13)=0,10^12,OFFSET(CRONOPLE!$F$15,$M70-$A$15,CB$13)))</f>
        <v>10</v>
      </c>
      <c r="CC70" s="353" t="n">
        <f aca="true">IF(OR($D70&lt;&gt;"Serviço",AND(AUTOEVENTO="Manual",$M70=$A$15)),0,
         IF(OFFSET(CRONOPLE!$F$15,$M70-$A$15,CC$13)=0,10^12,OFFSET(CRONOPLE!$F$15,$M70-$A$15,CC$13)))</f>
        <v>11</v>
      </c>
      <c r="CD70" s="353" t="n">
        <f aca="true">IF(OR($D70&lt;&gt;"Serviço",AND(AUTOEVENTO="Manual",$M70=$A$15)),0,
         IF(OFFSET(CRONOPLE!$F$15,$M70-$A$15,CD$13)=0,10^12,OFFSET(CRONOPLE!$F$15,$M70-$A$15,CD$13)))</f>
        <v>12</v>
      </c>
      <c r="CE70" s="353" t="n">
        <f aca="true">IF(OR($D70&lt;&gt;"Serviço",AND(AUTOEVENTO="Manual",$M70=$A$15)),0,
         IF(OFFSET(CRONOPLE!$F$15,$M70-$A$15,CE$13)=0,10^12,OFFSET(CRONOPLE!$F$15,$M70-$A$15,CE$13)))</f>
        <v>13</v>
      </c>
      <c r="CF70" s="353" t="n">
        <f aca="true">IF(OR($D70&lt;&gt;"Serviço",AND(AUTOEVENTO="Manual",$M70=$A$15)),0,
         IF(OFFSET(CRONOPLE!$F$15,$M70-$A$15,CF$13)=0,10^12,OFFSET(CRONOPLE!$F$15,$M70-$A$15,CF$13)))</f>
        <v>14</v>
      </c>
      <c r="CG70" s="353" t="n">
        <f aca="true">IF(OR($D70&lt;&gt;"Serviço",AND(AUTOEVENTO="Manual",$M70=$A$15)),0,
         IF(OFFSET(CRONOPLE!$F$15,$M70-$A$15,CG$13)=0,10^12,OFFSET(CRONOPLE!$F$15,$M70-$A$15,CG$13)))</f>
        <v>15</v>
      </c>
      <c r="CH70" s="353" t="n">
        <f aca="true">IF(OR($D70&lt;&gt;"Serviço",AND(AUTOEVENTO="Manual",$M70=$A$15)),0,
         IF(OFFSET(CRONOPLE!$F$15,$M70-$A$15,CH$13)=0,10^12,OFFSET(CRONOPLE!$F$15,$M70-$A$15,CH$13)))</f>
        <v>16</v>
      </c>
      <c r="CI70" s="353" t="n">
        <f aca="true">IF(OR($D70&lt;&gt;"Serviço",AND(AUTOEVENTO="Manual",$M70=$A$15)),0,
         IF(OFFSET(CRONOPLE!$F$15,$M70-$A$15,CI$13)=0,10^12,OFFSET(CRONOPLE!$F$15,$M70-$A$15,CI$13)))</f>
        <v>17</v>
      </c>
      <c r="CJ70" s="353" t="n">
        <f aca="true">IF(OR($D70&lt;&gt;"Serviço",AND(AUTOEVENTO="Manual",$M70=$A$15)),0,
         IF(OFFSET(CRONOPLE!$F$15,$M70-$A$15,CJ$13)=0,10^12,OFFSET(CRONOPLE!$F$15,$M70-$A$15,CJ$13)))</f>
        <v>18</v>
      </c>
      <c r="CK70" s="353" t="n">
        <f aca="true">IF(OR($D70&lt;&gt;"Serviço",AND(AUTOEVENTO="Manual",$M70=$A$15)),0,
         IF(OFFSET(CRONOPLE!$F$15,$M70-$A$15,CK$13)=0,10^12,OFFSET(CRONOPLE!$F$15,$M70-$A$15,CK$13)))</f>
        <v>19</v>
      </c>
      <c r="CL70" s="353" t="n">
        <f aca="true">IF(OR($D70&lt;&gt;"Serviço",AND(AUTOEVENTO="Manual",$M70=$A$15)),0,
         IF(OFFSET(CRONOPLE!$F$15,$M70-$A$15,CL$13)=0,10^12,OFFSET(CRONOPLE!$F$15,$M70-$A$15,CL$13)))</f>
        <v>20</v>
      </c>
      <c r="CM70" s="353" t="n">
        <f aca="true">IF(OR($D70&lt;&gt;"Serviço",AND(AUTOEVENTO="Manual",$M70=$A$15)),0,
         IF(OFFSET(CRONOPLE!$F$15,$M70-$A$15,CM$13)=0,10^12,OFFSET(CRONOPLE!$F$15,$M70-$A$15,CM$13)))</f>
        <v>21</v>
      </c>
      <c r="CN70" s="353" t="n">
        <f aca="true">IF(OR($D70&lt;&gt;"Serviço",AND(AUTOEVENTO="Manual",$M70=$A$15)),0,
         IF(OFFSET(CRONOPLE!$F$15,$M70-$A$15,CN$13)=0,10^12,OFFSET(CRONOPLE!$F$15,$M70-$A$15,CN$13)))</f>
        <v>22</v>
      </c>
      <c r="CO70" s="353" t="n">
        <f aca="true">IF(OR($D70&lt;&gt;"Serviço",AND(AUTOEVENTO="Manual",$M70=$A$15)),0,
         IF(OFFSET(CRONOPLE!$F$15,$M70-$A$15,CO$13)=0,10^12,OFFSET(CRONOPLE!$F$15,$M70-$A$15,CO$13)))</f>
        <v>23</v>
      </c>
      <c r="CP70" s="353" t="n">
        <f aca="true">IF(OR($D70&lt;&gt;"Serviço",AND(AUTOEVENTO="Manual",$M70=$A$15)),0,
         IF(OFFSET(CRONOPLE!$F$15,$M70-$A$15,CP$13)=0,10^12,OFFSET(CRONOPLE!$F$15,$M70-$A$15,CP$13)))</f>
        <v>24</v>
      </c>
      <c r="CQ70" s="353" t="n">
        <f aca="true">IF(OR($D70&lt;&gt;"Serviço",AND(AUTOEVENTO="Manual",$M70=$A$15)),0,
         IF(OFFSET(CRONOPLE!$F$15,$M70-$A$15,CQ$13)=0,10^12,OFFSET(CRONOPLE!$F$15,$M70-$A$15,CQ$13)))</f>
        <v>25</v>
      </c>
      <c r="CR70" s="353" t="n">
        <f aca="true">IF(OR($D70&lt;&gt;"Serviço",AND(AUTOEVENTO="Manual",$M70=$A$15)),0,
         IF(OFFSET(CRONOPLE!$F$15,$M70-$A$15,CR$13)=0,10^12,OFFSET(CRONOPLE!$F$15,$M70-$A$15,CR$13)))</f>
        <v>1000000000000</v>
      </c>
      <c r="CT70" s="354" t="n">
        <f aca="true">IF(OR($D70&lt;&gt;"Serviço",AND(AUTOEVENTO="Manual",$M70=$A$15),$M70&gt;(ROW(PLE.lastrow)-ROW(PLE.firstrow))),0,
           IF(OFFSET(PLE!$G$15,$M70-$A$15,CT$13)="",10^12,OFFSET(PLE!$G$15,$M70-$A$15,CT$13)))</f>
        <v>1000000000000</v>
      </c>
      <c r="CU70" s="354" t="n">
        <f aca="true">IF(OR($D70&lt;&gt;"Serviço",AND(AUTOEVENTO="Manual",$M70=$A$15),$M70&gt;(ROW(PLE.lastrow)-ROW(PLE.firstrow))),0,
           IF(OFFSET(PLE!$G$15,$M70-$A$15,CU$13)="",10^12,OFFSET(PLE!$G$15,$M70-$A$15,CU$13)))</f>
        <v>1000000000000</v>
      </c>
      <c r="CV70" s="354" t="n">
        <f aca="true">IF(OR($D70&lt;&gt;"Serviço",AND(AUTOEVENTO="Manual",$M70=$A$15),$M70&gt;(ROW(PLE.lastrow)-ROW(PLE.firstrow))),0,
           IF(OFFSET(PLE!$G$15,$M70-$A$15,CV$13)="",10^12,OFFSET(PLE!$G$15,$M70-$A$15,CV$13)))</f>
        <v>1000000000000</v>
      </c>
      <c r="CW70" s="354" t="n">
        <f aca="true">IF(OR($D70&lt;&gt;"Serviço",AND(AUTOEVENTO="Manual",$M70=$A$15),$M70&gt;(ROW(PLE.lastrow)-ROW(PLE.firstrow))),0,
           IF(OFFSET(PLE!$G$15,$M70-$A$15,CW$13)="",10^12,OFFSET(PLE!$G$15,$M70-$A$15,CW$13)))</f>
        <v>1000000000000</v>
      </c>
      <c r="CX70" s="354" t="n">
        <f aca="true">IF(OR($D70&lt;&gt;"Serviço",AND(AUTOEVENTO="Manual",$M70=$A$15),$M70&gt;(ROW(PLE.lastrow)-ROW(PLE.firstrow))),0,
           IF(OFFSET(PLE!$G$15,$M70-$A$15,CX$13)="",10^12,OFFSET(PLE!$G$15,$M70-$A$15,CX$13)))</f>
        <v>1000000000000</v>
      </c>
      <c r="CY70" s="354" t="n">
        <f aca="true">IF(OR($D70&lt;&gt;"Serviço",AND(AUTOEVENTO="Manual",$M70=$A$15),$M70&gt;(ROW(PLE.lastrow)-ROW(PLE.firstrow))),0,
           IF(OFFSET(PLE!$G$15,$M70-$A$15,CY$13)="",10^12,OFFSET(PLE!$G$15,$M70-$A$15,CY$13)))</f>
        <v>1000000000000</v>
      </c>
      <c r="CZ70" s="354" t="n">
        <f aca="true">IF(OR($D70&lt;&gt;"Serviço",AND(AUTOEVENTO="Manual",$M70=$A$15),$M70&gt;(ROW(PLE.lastrow)-ROW(PLE.firstrow))),0,
           IF(OFFSET(PLE!$G$15,$M70-$A$15,CZ$13)="",10^12,OFFSET(PLE!$G$15,$M70-$A$15,CZ$13)))</f>
        <v>1000000000000</v>
      </c>
      <c r="DA70" s="354" t="n">
        <f aca="true">IF(OR($D70&lt;&gt;"Serviço",AND(AUTOEVENTO="Manual",$M70=$A$15),$M70&gt;(ROW(PLE.lastrow)-ROW(PLE.firstrow))),0,
           IF(OFFSET(PLE!$G$15,$M70-$A$15,DA$13)="",10^12,OFFSET(PLE!$G$15,$M70-$A$15,DA$13)))</f>
        <v>1000000000000</v>
      </c>
      <c r="DB70" s="354" t="n">
        <f aca="true">IF(OR($D70&lt;&gt;"Serviço",AND(AUTOEVENTO="Manual",$M70=$A$15),$M70&gt;(ROW(PLE.lastrow)-ROW(PLE.firstrow))),0,
           IF(OFFSET(PLE!$G$15,$M70-$A$15,DB$13)="",10^12,OFFSET(PLE!$G$15,$M70-$A$15,DB$13)))</f>
        <v>1000000000000</v>
      </c>
      <c r="DC70" s="354" t="n">
        <f aca="true">IF(OR($D70&lt;&gt;"Serviço",AND(AUTOEVENTO="Manual",$M70=$A$15),$M70&gt;(ROW(PLE.lastrow)-ROW(PLE.firstrow))),0,
           IF(OFFSET(PLE!$G$15,$M70-$A$15,DC$13)="",10^12,OFFSET(PLE!$G$15,$M70-$A$15,DC$13)))</f>
        <v>1000000000000</v>
      </c>
      <c r="DD70" s="354" t="n">
        <f aca="true">IF(OR($D70&lt;&gt;"Serviço",AND(AUTOEVENTO="Manual",$M70=$A$15),$M70&gt;(ROW(PLE.lastrow)-ROW(PLE.firstrow))),0,
           IF(OFFSET(PLE!$G$15,$M70-$A$15,DD$13)="",10^12,OFFSET(PLE!$G$15,$M70-$A$15,DD$13)))</f>
        <v>1000000000000</v>
      </c>
      <c r="DE70" s="354" t="n">
        <f aca="true">IF(OR($D70&lt;&gt;"Serviço",AND(AUTOEVENTO="Manual",$M70=$A$15),$M70&gt;(ROW(PLE.lastrow)-ROW(PLE.firstrow))),0,
           IF(OFFSET(PLE!$G$15,$M70-$A$15,DE$13)="",10^12,OFFSET(PLE!$G$15,$M70-$A$15,DE$13)))</f>
        <v>1000000000000</v>
      </c>
      <c r="DF70" s="354" t="n">
        <f aca="true">IF(OR($D70&lt;&gt;"Serviço",AND(AUTOEVENTO="Manual",$M70=$A$15),$M70&gt;(ROW(PLE.lastrow)-ROW(PLE.firstrow))),0,
           IF(OFFSET(PLE!$G$15,$M70-$A$15,DF$13)="",10^12,OFFSET(PLE!$G$15,$M70-$A$15,DF$13)))</f>
        <v>1000000000000</v>
      </c>
      <c r="DG70" s="354" t="n">
        <f aca="true">IF(OR($D70&lt;&gt;"Serviço",AND(AUTOEVENTO="Manual",$M70=$A$15),$M70&gt;(ROW(PLE.lastrow)-ROW(PLE.firstrow))),0,
           IF(OFFSET(PLE!$G$15,$M70-$A$15,DG$13)="",10^12,OFFSET(PLE!$G$15,$M70-$A$15,DG$13)))</f>
        <v>1000000000000</v>
      </c>
      <c r="DH70" s="354" t="n">
        <f aca="true">IF(OR($D70&lt;&gt;"Serviço",AND(AUTOEVENTO="Manual",$M70=$A$15),$M70&gt;(ROW(PLE.lastrow)-ROW(PLE.firstrow))),0,
           IF(OFFSET(PLE!$G$15,$M70-$A$15,DH$13)="",10^12,OFFSET(PLE!$G$15,$M70-$A$15,DH$13)))</f>
        <v>1000000000000</v>
      </c>
      <c r="DI70" s="354" t="n">
        <f aca="true">IF(OR($D70&lt;&gt;"Serviço",AND(AUTOEVENTO="Manual",$M70=$A$15),$M70&gt;(ROW(PLE.lastrow)-ROW(PLE.firstrow))),0,
           IF(OFFSET(PLE!$G$15,$M70-$A$15,DI$13)="",10^12,OFFSET(PLE!$G$15,$M70-$A$15,DI$13)))</f>
        <v>1000000000000</v>
      </c>
      <c r="DJ70" s="354" t="n">
        <f aca="true">IF(OR($D70&lt;&gt;"Serviço",AND(AUTOEVENTO="Manual",$M70=$A$15),$M70&gt;(ROW(PLE.lastrow)-ROW(PLE.firstrow))),0,
           IF(OFFSET(PLE!$G$15,$M70-$A$15,DJ$13)="",10^12,OFFSET(PLE!$G$15,$M70-$A$15,DJ$13)))</f>
        <v>1000000000000</v>
      </c>
      <c r="DK70" s="354" t="n">
        <f aca="true">IF(OR($D70&lt;&gt;"Serviço",AND(AUTOEVENTO="Manual",$M70=$A$15),$M70&gt;(ROW(PLE.lastrow)-ROW(PLE.firstrow))),0,
           IF(OFFSET(PLE!$G$15,$M70-$A$15,DK$13)="",10^12,OFFSET(PLE!$G$15,$M70-$A$15,DK$13)))</f>
        <v>1000000000000</v>
      </c>
      <c r="DL70" s="354" t="n">
        <f aca="true">IF(OR($D70&lt;&gt;"Serviço",AND(AUTOEVENTO="Manual",$M70=$A$15),$M70&gt;(ROW(PLE.lastrow)-ROW(PLE.firstrow))),0,
           IF(OFFSET(PLE!$G$15,$M70-$A$15,DL$13)="",10^12,OFFSET(PLE!$G$15,$M70-$A$15,DL$13)))</f>
        <v>1000000000000</v>
      </c>
      <c r="DM70" s="354" t="n">
        <f aca="true">IF(OR($D70&lt;&gt;"Serviço",AND(AUTOEVENTO="Manual",$M70=$A$15),$M70&gt;(ROW(PLE.lastrow)-ROW(PLE.firstrow))),0,
           IF(OFFSET(PLE!$G$15,$M70-$A$15,DM$13)="",10^12,OFFSET(PLE!$G$15,$M70-$A$15,DM$13)))</f>
        <v>1000000000000</v>
      </c>
      <c r="DN70" s="354" t="n">
        <f aca="true">IF(OR($D70&lt;&gt;"Serviço",AND(AUTOEVENTO="Manual",$M70=$A$15),$M70&gt;(ROW(PLE.lastrow)-ROW(PLE.firstrow))),0,
           IF(OFFSET(PLE!$G$15,$M70-$A$15,DN$13)="",10^12,OFFSET(PLE!$G$15,$M70-$A$15,DN$13)))</f>
        <v>1000000000000</v>
      </c>
      <c r="DO70" s="354" t="n">
        <f aca="true">IF(OR($D70&lt;&gt;"Serviço",AND(AUTOEVENTO="Manual",$M70=$A$15),$M70&gt;(ROW(PLE.lastrow)-ROW(PLE.firstrow))),0,
           IF(OFFSET(PLE!$G$15,$M70-$A$15,DO$13)="",10^12,OFFSET(PLE!$G$15,$M70-$A$15,DO$13)))</f>
        <v>1000000000000</v>
      </c>
      <c r="DP70" s="354" t="n">
        <f aca="true">IF(OR($D70&lt;&gt;"Serviço",AND(AUTOEVENTO="Manual",$M70=$A$15),$M70&gt;(ROW(PLE.lastrow)-ROW(PLE.firstrow))),0,
           IF(OFFSET(PLE!$G$15,$M70-$A$15,DP$13)="",10^12,OFFSET(PLE!$G$15,$M70-$A$15,DP$13)))</f>
        <v>1000000000000</v>
      </c>
      <c r="DQ70" s="354" t="n">
        <f aca="true">IF(OR($D70&lt;&gt;"Serviço",AND(AUTOEVENTO="Manual",$M70=$A$15),$M70&gt;(ROW(PLE.lastrow)-ROW(PLE.firstrow))),0,
           IF(OFFSET(PLE!$G$15,$M70-$A$15,DQ$13)="",10^12,OFFSET(PLE!$G$15,$M70-$A$15,DQ$13)))</f>
        <v>1000000000000</v>
      </c>
      <c r="DR70" s="354" t="n">
        <f aca="true">IF(OR($D70&lt;&gt;"Serviço",AND(AUTOEVENTO="Manual",$M70=$A$15),$M70&gt;(ROW(PLE.lastrow)-ROW(PLE.firstrow))),0,
           IF(OFFSET(PLE!$G$15,$M70-$A$15,DR$13)="",10^12,OFFSET(PLE!$G$15,$M70-$A$15,DR$13)))</f>
        <v>1000000000000</v>
      </c>
      <c r="DS70" s="354" t="n">
        <f aca="true">IF(OR($D70&lt;&gt;"Serviço",AND(AUTOEVENTO="Manual",$M70=$A$15),$M70&gt;(ROW(PLE.lastrow)-ROW(PLE.firstrow))),0,
           IF(OFFSET(PLE!$G$15,$M70-$A$15,DS$13)="",10^12,OFFSET(PLE!$G$15,$M70-$A$15,DS$13)))</f>
        <v>1000000000000</v>
      </c>
    </row>
    <row r="71" customFormat="false" ht="23.85" hidden="false" customHeight="false" outlineLevel="0" collapsed="false">
      <c r="A71" s="50" t="str">
        <f aca="true">IFERROR(IF(AUTOEVENTO="Manual",IF(K71&lt;&gt;"",MIN(VALUE(LEFT(K71,FIND(".",K71)-1)),COUNTA(EVENTOS.Lista)),0),IF(OR($B71&gt;AUTOEVENTO,$B71="S",$B71=0),SUBSTITUTE(OFFSET($A71,-1,0),IF($D71="Serviço",".",""),""),ROW(A71)-ROW($A$15)&amp;".")),0)</f>
        <v>53</v>
      </c>
      <c r="B71" s="50" t="str">
        <f aca="true">OFFSET(ORÇAMENTO!C$15,ROW(B71)-ROW(B$15),0)</f>
        <v>S</v>
      </c>
      <c r="C71" s="50" t="str">
        <f aca="true">OFFSET(ORÇAMENTO!L$15,ROW(C71)-ROW(C$15),0)</f>
        <v>F</v>
      </c>
      <c r="D71" s="201" t="str">
        <f aca="true">OFFSET(ORÇAMENTO!N$15,ROW(D71)-ROW(D$15),0)</f>
        <v>Serviço</v>
      </c>
      <c r="E71" s="202" t="str">
        <f aca="true">OFFSET(ORÇAMENTO!O$15,ROW(E71)-ROW(E$15),0)</f>
        <v>1.15.3.</v>
      </c>
      <c r="F71" s="341" t="str">
        <f aca="true">OFFSET(ORÇAMENTO!R$15,ROW(F71)-ROW(F$15),0)</f>
        <v>CALHA EM CHAPA DE AÇO GALVANIZADO NÚMERO 24, DESENVOLVIMENTO DE 33 CM, INCLUSO TRANSPORTE VERTICAL. </v>
      </c>
      <c r="G71" s="342" t="str">
        <f aca="true">IF($D71&lt;&gt;"Serviço","",OFFSET(ORÇAMENTO!S$15,ROW(G71)-ROW(G$15),0))</f>
        <v>M</v>
      </c>
      <c r="H71" s="207" t="n">
        <f aca="true">IF($D71&lt;&gt;"Serviço",0,IF(ACOMPANHAMENTO="BM",ROUND(OFFSET(ORÇAMENTO!AJ$15,ROW(H71)-ROW(H$15),0),15-13*ORÇAMENTO!$AF$7),SUMPRODUCT(($Q$1:$AQ$1=1)*ROUND($Q71:$AQ71,15-13*ORÇAMENTO!$AF$7))))</f>
        <v>227.5</v>
      </c>
      <c r="I71" s="343" t="s">
        <v>949</v>
      </c>
      <c r="J71" s="344" t="e">
        <f aca="false">IF(OR(B71&lt;&gt;"S",CÁLCULO.FrentesPreenchidas=0),"",IF(AND(ACOMPANHAMENTO="PLE",AUTOEVENTO="Manual",OR(H71&gt;0,ORÇAMENTO!AC71="QUANT."),OR(K71="",M71=0,N71="")),"►",IF(AND(ACOMPANHAMENTO="PLE",ORÇAMENTO!AC71="QUANT."),"►►",IF(AND(COUNTIF($P$11:$AQ$11,"▼")=0,H71&gt;0,I71=""),"◄",""))))</f>
        <v>#NAME?</v>
      </c>
      <c r="K71" s="345"/>
      <c r="L71" s="346" t="s">
        <v>876</v>
      </c>
      <c r="M71" s="347" t="n">
        <f aca="true">IF($D71&lt;&gt;"Serviço","",
          IF(AUTOEVENTO="manual",$A71,
                IF(ISERROR(MATCH($A71,$A$15:OFFSET($A71,-1,0),0)),MAX($M$15:OFFSET(M71,-1,0))+1,
                      INDEX($M$15:OFFSET(M71,-1,0),MATCH($A71,$A$15:OFFSET($A71,-1,0),0)))))</f>
        <v>11</v>
      </c>
      <c r="N71" s="348" t="str">
        <f aca="true">IF($D71&lt;&gt;"Serviço","",
         IF(AUTOEVENTO="Manual",
                IF($A71=0,"&lt;-- defina o número do agrupador",
                       OFFSET(EVENTOS!$D$15,$A71-$A$15,0)),
                OFFSET($F$15,$A71,0)))</f>
        <v>COBERTURA E PROTEÇÕES</v>
      </c>
      <c r="O71" s="349"/>
      <c r="Q71" s="349" t="n">
        <v>9.1</v>
      </c>
      <c r="R71" s="350" t="n">
        <f aca="false">Q71</f>
        <v>9.1</v>
      </c>
      <c r="S71" s="350" t="n">
        <f aca="false">R71</f>
        <v>9.1</v>
      </c>
      <c r="T71" s="350" t="n">
        <f aca="false">S71</f>
        <v>9.1</v>
      </c>
      <c r="U71" s="350" t="n">
        <f aca="false">T71</f>
        <v>9.1</v>
      </c>
      <c r="V71" s="350" t="n">
        <f aca="false">U71</f>
        <v>9.1</v>
      </c>
      <c r="W71" s="350" t="n">
        <f aca="false">V71</f>
        <v>9.1</v>
      </c>
      <c r="X71" s="350" t="n">
        <f aca="false">W71</f>
        <v>9.1</v>
      </c>
      <c r="Y71" s="350" t="n">
        <f aca="false">X71</f>
        <v>9.1</v>
      </c>
      <c r="Z71" s="351" t="n">
        <f aca="false">Y71</f>
        <v>9.1</v>
      </c>
      <c r="AA71" s="350" t="n">
        <f aca="false">Z71</f>
        <v>9.1</v>
      </c>
      <c r="AB71" s="350" t="n">
        <f aca="false">AA71</f>
        <v>9.1</v>
      </c>
      <c r="AC71" s="350" t="n">
        <f aca="false">AB71</f>
        <v>9.1</v>
      </c>
      <c r="AD71" s="350" t="n">
        <f aca="false">AC71</f>
        <v>9.1</v>
      </c>
      <c r="AE71" s="350" t="n">
        <f aca="false">AD71</f>
        <v>9.1</v>
      </c>
      <c r="AF71" s="350" t="n">
        <f aca="false">AE71</f>
        <v>9.1</v>
      </c>
      <c r="AG71" s="350" t="n">
        <f aca="false">AF71</f>
        <v>9.1</v>
      </c>
      <c r="AH71" s="351" t="n">
        <f aca="false">AG71</f>
        <v>9.1</v>
      </c>
      <c r="AI71" s="350" t="n">
        <f aca="false">AH71</f>
        <v>9.1</v>
      </c>
      <c r="AJ71" s="350" t="n">
        <f aca="false">AI71</f>
        <v>9.1</v>
      </c>
      <c r="AK71" s="350" t="n">
        <f aca="false">AJ71</f>
        <v>9.1</v>
      </c>
      <c r="AL71" s="350" t="n">
        <f aca="false">AK71</f>
        <v>9.1</v>
      </c>
      <c r="AM71" s="350" t="n">
        <f aca="false">AL71</f>
        <v>9.1</v>
      </c>
      <c r="AN71" s="350" t="n">
        <f aca="false">AM71</f>
        <v>9.1</v>
      </c>
      <c r="AO71" s="350" t="n">
        <f aca="false">AN71</f>
        <v>9.1</v>
      </c>
      <c r="AP71" s="351"/>
      <c r="AR71" s="352" t="n">
        <f aca="true">IF(AND($D71="Serviço",AR$12&lt;&gt;0,$H71&gt;0,OR(AUTOEVENTO&lt;&gt;"manual",$M71&lt;&gt;$A$15)),
        IF(Import.TipoArredondamento&lt;&gt;"TransfereGOV",
              ROUND(OFFSET($P71,0,AR$13),15-13*ORÇAMENTO!$AF$7)/$H71*OFFSET(ORÇAMENTO!$X$15,ROW(AR71)-ROW(AR$15),0),
              ROUND(ROUND(OFFSET($P71,0,AR$13),15-13*ORÇAMENTO!$AF$7)*OFFSET(ORÇAMENTO!$W$15,ROW(AR71)-ROW(AR$15),0),15-13*ORÇAMENTO!$AF$11)),
         0)</f>
        <v>850.12</v>
      </c>
      <c r="AS71" s="352" t="n">
        <f aca="true">IF(AND($D71="Serviço",AS$12&lt;&gt;0,$H71&gt;0,OR(AUTOEVENTO&lt;&gt;"manual",$M71&lt;&gt;$A$15)),
        IF(Import.TipoArredondamento&lt;&gt;"TransfereGOV",
              ROUND(OFFSET($P71,0,AS$13),15-13*ORÇAMENTO!$AF$7)/$H71*OFFSET(ORÇAMENTO!$X$15,ROW(AS71)-ROW(AS$15),0),
              ROUND(ROUND(OFFSET($P71,0,AS$13),15-13*ORÇAMENTO!$AF$7)*OFFSET(ORÇAMENTO!$W$15,ROW(AS71)-ROW(AS$15),0),15-13*ORÇAMENTO!$AF$11)),
         0)</f>
        <v>850.12</v>
      </c>
      <c r="AT71" s="352" t="n">
        <f aca="true">IF(AND($D71="Serviço",AT$12&lt;&gt;0,$H71&gt;0,OR(AUTOEVENTO&lt;&gt;"manual",$M71&lt;&gt;$A$15)),
        IF(Import.TipoArredondamento&lt;&gt;"TransfereGOV",
              ROUND(OFFSET($P71,0,AT$13),15-13*ORÇAMENTO!$AF$7)/$H71*OFFSET(ORÇAMENTO!$X$15,ROW(AT71)-ROW(AT$15),0),
              ROUND(ROUND(OFFSET($P71,0,AT$13),15-13*ORÇAMENTO!$AF$7)*OFFSET(ORÇAMENTO!$W$15,ROW(AT71)-ROW(AT$15),0),15-13*ORÇAMENTO!$AF$11)),
         0)</f>
        <v>850.12</v>
      </c>
      <c r="AU71" s="352" t="n">
        <f aca="true">IF(AND($D71="Serviço",AU$12&lt;&gt;0,$H71&gt;0,OR(AUTOEVENTO&lt;&gt;"manual",$M71&lt;&gt;$A$15)),
        IF(Import.TipoArredondamento&lt;&gt;"TransfereGOV",
              ROUND(OFFSET($P71,0,AU$13),15-13*ORÇAMENTO!$AF$7)/$H71*OFFSET(ORÇAMENTO!$X$15,ROW(AU71)-ROW(AU$15),0),
              ROUND(ROUND(OFFSET($P71,0,AU$13),15-13*ORÇAMENTO!$AF$7)*OFFSET(ORÇAMENTO!$W$15,ROW(AU71)-ROW(AU$15),0),15-13*ORÇAMENTO!$AF$11)),
         0)</f>
        <v>850.12</v>
      </c>
      <c r="AV71" s="352" t="n">
        <f aca="true">IF(AND($D71="Serviço",AV$12&lt;&gt;0,$H71&gt;0,OR(AUTOEVENTO&lt;&gt;"manual",$M71&lt;&gt;$A$15)),
        IF(Import.TipoArredondamento&lt;&gt;"TransfereGOV",
              ROUND(OFFSET($P71,0,AV$13),15-13*ORÇAMENTO!$AF$7)/$H71*OFFSET(ORÇAMENTO!$X$15,ROW(AV71)-ROW(AV$15),0),
              ROUND(ROUND(OFFSET($P71,0,AV$13),15-13*ORÇAMENTO!$AF$7)*OFFSET(ORÇAMENTO!$W$15,ROW(AV71)-ROW(AV$15),0),15-13*ORÇAMENTO!$AF$11)),
         0)</f>
        <v>850.12</v>
      </c>
      <c r="AW71" s="352" t="n">
        <f aca="true">IF(AND($D71="Serviço",AW$12&lt;&gt;0,$H71&gt;0,OR(AUTOEVENTO&lt;&gt;"manual",$M71&lt;&gt;$A$15)),
        IF(Import.TipoArredondamento&lt;&gt;"TransfereGOV",
              ROUND(OFFSET($P71,0,AW$13),15-13*ORÇAMENTO!$AF$7)/$H71*OFFSET(ORÇAMENTO!$X$15,ROW(AW71)-ROW(AW$15),0),
              ROUND(ROUND(OFFSET($P71,0,AW$13),15-13*ORÇAMENTO!$AF$7)*OFFSET(ORÇAMENTO!$W$15,ROW(AW71)-ROW(AW$15),0),15-13*ORÇAMENTO!$AF$11)),
         0)</f>
        <v>850.12</v>
      </c>
      <c r="AX71" s="352" t="n">
        <f aca="true">IF(AND($D71="Serviço",AX$12&lt;&gt;0,$H71&gt;0,OR(AUTOEVENTO&lt;&gt;"manual",$M71&lt;&gt;$A$15)),
        IF(Import.TipoArredondamento&lt;&gt;"TransfereGOV",
              ROUND(OFFSET($P71,0,AX$13),15-13*ORÇAMENTO!$AF$7)/$H71*OFFSET(ORÇAMENTO!$X$15,ROW(AX71)-ROW(AX$15),0),
              ROUND(ROUND(OFFSET($P71,0,AX$13),15-13*ORÇAMENTO!$AF$7)*OFFSET(ORÇAMENTO!$W$15,ROW(AX71)-ROW(AX$15),0),15-13*ORÇAMENTO!$AF$11)),
         0)</f>
        <v>850.12</v>
      </c>
      <c r="AY71" s="352" t="n">
        <f aca="true">IF(AND($D71="Serviço",AY$12&lt;&gt;0,$H71&gt;0,OR(AUTOEVENTO&lt;&gt;"manual",$M71&lt;&gt;$A$15)),
        IF(Import.TipoArredondamento&lt;&gt;"TransfereGOV",
              ROUND(OFFSET($P71,0,AY$13),15-13*ORÇAMENTO!$AF$7)/$H71*OFFSET(ORÇAMENTO!$X$15,ROW(AY71)-ROW(AY$15),0),
              ROUND(ROUND(OFFSET($P71,0,AY$13),15-13*ORÇAMENTO!$AF$7)*OFFSET(ORÇAMENTO!$W$15,ROW(AY71)-ROW(AY$15),0),15-13*ORÇAMENTO!$AF$11)),
         0)</f>
        <v>850.12</v>
      </c>
      <c r="AZ71" s="352" t="n">
        <f aca="true">IF(AND($D71="Serviço",AZ$12&lt;&gt;0,$H71&gt;0,OR(AUTOEVENTO&lt;&gt;"manual",$M71&lt;&gt;$A$15)),
        IF(Import.TipoArredondamento&lt;&gt;"TransfereGOV",
              ROUND(OFFSET($P71,0,AZ$13),15-13*ORÇAMENTO!$AF$7)/$H71*OFFSET(ORÇAMENTO!$X$15,ROW(AZ71)-ROW(AZ$15),0),
              ROUND(ROUND(OFFSET($P71,0,AZ$13),15-13*ORÇAMENTO!$AF$7)*OFFSET(ORÇAMENTO!$W$15,ROW(AZ71)-ROW(AZ$15),0),15-13*ORÇAMENTO!$AF$11)),
         0)</f>
        <v>850.12</v>
      </c>
      <c r="BA71" s="352" t="n">
        <f aca="true">IF(AND($D71="Serviço",BA$12&lt;&gt;0,$H71&gt;0,OR(AUTOEVENTO&lt;&gt;"manual",$M71&lt;&gt;$A$15)),
        IF(Import.TipoArredondamento&lt;&gt;"TransfereGOV",
              ROUND(OFFSET($P71,0,BA$13),15-13*ORÇAMENTO!$AF$7)/$H71*OFFSET(ORÇAMENTO!$X$15,ROW(BA71)-ROW(BA$15),0),
              ROUND(ROUND(OFFSET($P71,0,BA$13),15-13*ORÇAMENTO!$AF$7)*OFFSET(ORÇAMENTO!$W$15,ROW(BA71)-ROW(BA$15),0),15-13*ORÇAMENTO!$AF$11)),
         0)</f>
        <v>850.12</v>
      </c>
      <c r="BB71" s="352" t="n">
        <f aca="true">IF(AND($D71="Serviço",BB$12&lt;&gt;0,$H71&gt;0,OR(AUTOEVENTO&lt;&gt;"manual",$M71&lt;&gt;$A$15)),
        IF(Import.TipoArredondamento&lt;&gt;"TransfereGOV",
              ROUND(OFFSET($P71,0,BB$13),15-13*ORÇAMENTO!$AF$7)/$H71*OFFSET(ORÇAMENTO!$X$15,ROW(BB71)-ROW(BB$15),0),
              ROUND(ROUND(OFFSET($P71,0,BB$13),15-13*ORÇAMENTO!$AF$7)*OFFSET(ORÇAMENTO!$W$15,ROW(BB71)-ROW(BB$15),0),15-13*ORÇAMENTO!$AF$11)),
         0)</f>
        <v>850.12</v>
      </c>
      <c r="BC71" s="352" t="n">
        <f aca="true">IF(AND($D71="Serviço",BC$12&lt;&gt;0,$H71&gt;0,OR(AUTOEVENTO&lt;&gt;"manual",$M71&lt;&gt;$A$15)),
        IF(Import.TipoArredondamento&lt;&gt;"TransfereGOV",
              ROUND(OFFSET($P71,0,BC$13),15-13*ORÇAMENTO!$AF$7)/$H71*OFFSET(ORÇAMENTO!$X$15,ROW(BC71)-ROW(BC$15),0),
              ROUND(ROUND(OFFSET($P71,0,BC$13),15-13*ORÇAMENTO!$AF$7)*OFFSET(ORÇAMENTO!$W$15,ROW(BC71)-ROW(BC$15),0),15-13*ORÇAMENTO!$AF$11)),
         0)</f>
        <v>850.12</v>
      </c>
      <c r="BD71" s="352" t="n">
        <f aca="true">IF(AND($D71="Serviço",BD$12&lt;&gt;0,$H71&gt;0,OR(AUTOEVENTO&lt;&gt;"manual",$M71&lt;&gt;$A$15)),
        IF(Import.TipoArredondamento&lt;&gt;"TransfereGOV",
              ROUND(OFFSET($P71,0,BD$13),15-13*ORÇAMENTO!$AF$7)/$H71*OFFSET(ORÇAMENTO!$X$15,ROW(BD71)-ROW(BD$15),0),
              ROUND(ROUND(OFFSET($P71,0,BD$13),15-13*ORÇAMENTO!$AF$7)*OFFSET(ORÇAMENTO!$W$15,ROW(BD71)-ROW(BD$15),0),15-13*ORÇAMENTO!$AF$11)),
         0)</f>
        <v>850.12</v>
      </c>
      <c r="BE71" s="352" t="n">
        <f aca="true">IF(AND($D71="Serviço",BE$12&lt;&gt;0,$H71&gt;0,OR(AUTOEVENTO&lt;&gt;"manual",$M71&lt;&gt;$A$15)),
        IF(Import.TipoArredondamento&lt;&gt;"TransfereGOV",
              ROUND(OFFSET($P71,0,BE$13),15-13*ORÇAMENTO!$AF$7)/$H71*OFFSET(ORÇAMENTO!$X$15,ROW(BE71)-ROW(BE$15),0),
              ROUND(ROUND(OFFSET($P71,0,BE$13),15-13*ORÇAMENTO!$AF$7)*OFFSET(ORÇAMENTO!$W$15,ROW(BE71)-ROW(BE$15),0),15-13*ORÇAMENTO!$AF$11)),
         0)</f>
        <v>850.12</v>
      </c>
      <c r="BF71" s="352" t="n">
        <f aca="true">IF(AND($D71="Serviço",BF$12&lt;&gt;0,$H71&gt;0,OR(AUTOEVENTO&lt;&gt;"manual",$M71&lt;&gt;$A$15)),
        IF(Import.TipoArredondamento&lt;&gt;"TransfereGOV",
              ROUND(OFFSET($P71,0,BF$13),15-13*ORÇAMENTO!$AF$7)/$H71*OFFSET(ORÇAMENTO!$X$15,ROW(BF71)-ROW(BF$15),0),
              ROUND(ROUND(OFFSET($P71,0,BF$13),15-13*ORÇAMENTO!$AF$7)*OFFSET(ORÇAMENTO!$W$15,ROW(BF71)-ROW(BF$15),0),15-13*ORÇAMENTO!$AF$11)),
         0)</f>
        <v>850.12</v>
      </c>
      <c r="BG71" s="352" t="n">
        <f aca="true">IF(AND($D71="Serviço",BG$12&lt;&gt;0,$H71&gt;0,OR(AUTOEVENTO&lt;&gt;"manual",$M71&lt;&gt;$A$15)),
        IF(Import.TipoArredondamento&lt;&gt;"TransfereGOV",
              ROUND(OFFSET($P71,0,BG$13),15-13*ORÇAMENTO!$AF$7)/$H71*OFFSET(ORÇAMENTO!$X$15,ROW(BG71)-ROW(BG$15),0),
              ROUND(ROUND(OFFSET($P71,0,BG$13),15-13*ORÇAMENTO!$AF$7)*OFFSET(ORÇAMENTO!$W$15,ROW(BG71)-ROW(BG$15),0),15-13*ORÇAMENTO!$AF$11)),
         0)</f>
        <v>850.12</v>
      </c>
      <c r="BH71" s="352" t="n">
        <f aca="true">IF(AND($D71="Serviço",BH$12&lt;&gt;0,$H71&gt;0,OR(AUTOEVENTO&lt;&gt;"manual",$M71&lt;&gt;$A$15)),
        IF(Import.TipoArredondamento&lt;&gt;"TransfereGOV",
              ROUND(OFFSET($P71,0,BH$13),15-13*ORÇAMENTO!$AF$7)/$H71*OFFSET(ORÇAMENTO!$X$15,ROW(BH71)-ROW(BH$15),0),
              ROUND(ROUND(OFFSET($P71,0,BH$13),15-13*ORÇAMENTO!$AF$7)*OFFSET(ORÇAMENTO!$W$15,ROW(BH71)-ROW(BH$15),0),15-13*ORÇAMENTO!$AF$11)),
         0)</f>
        <v>850.12</v>
      </c>
      <c r="BI71" s="352" t="n">
        <f aca="true">IF(AND($D71="Serviço",BI$12&lt;&gt;0,$H71&gt;0,OR(AUTOEVENTO&lt;&gt;"manual",$M71&lt;&gt;$A$15)),
        IF(Import.TipoArredondamento&lt;&gt;"TransfereGOV",
              ROUND(OFFSET($P71,0,BI$13),15-13*ORÇAMENTO!$AF$7)/$H71*OFFSET(ORÇAMENTO!$X$15,ROW(BI71)-ROW(BI$15),0),
              ROUND(ROUND(OFFSET($P71,0,BI$13),15-13*ORÇAMENTO!$AF$7)*OFFSET(ORÇAMENTO!$W$15,ROW(BI71)-ROW(BI$15),0),15-13*ORÇAMENTO!$AF$11)),
         0)</f>
        <v>850.12</v>
      </c>
      <c r="BJ71" s="352" t="n">
        <f aca="true">IF(AND($D71="Serviço",BJ$12&lt;&gt;0,$H71&gt;0,OR(AUTOEVENTO&lt;&gt;"manual",$M71&lt;&gt;$A$15)),
        IF(Import.TipoArredondamento&lt;&gt;"TransfereGOV",
              ROUND(OFFSET($P71,0,BJ$13),15-13*ORÇAMENTO!$AF$7)/$H71*OFFSET(ORÇAMENTO!$X$15,ROW(BJ71)-ROW(BJ$15),0),
              ROUND(ROUND(OFFSET($P71,0,BJ$13),15-13*ORÇAMENTO!$AF$7)*OFFSET(ORÇAMENTO!$W$15,ROW(BJ71)-ROW(BJ$15),0),15-13*ORÇAMENTO!$AF$11)),
         0)</f>
        <v>850.12</v>
      </c>
      <c r="BK71" s="352" t="n">
        <f aca="true">IF(AND($D71="Serviço",BK$12&lt;&gt;0,$H71&gt;0,OR(AUTOEVENTO&lt;&gt;"manual",$M71&lt;&gt;$A$15)),
        IF(Import.TipoArredondamento&lt;&gt;"TransfereGOV",
              ROUND(OFFSET($P71,0,BK$13),15-13*ORÇAMENTO!$AF$7)/$H71*OFFSET(ORÇAMENTO!$X$15,ROW(BK71)-ROW(BK$15),0),
              ROUND(ROUND(OFFSET($P71,0,BK$13),15-13*ORÇAMENTO!$AF$7)*OFFSET(ORÇAMENTO!$W$15,ROW(BK71)-ROW(BK$15),0),15-13*ORÇAMENTO!$AF$11)),
         0)</f>
        <v>850.12</v>
      </c>
      <c r="BL71" s="352" t="n">
        <f aca="true">IF(AND($D71="Serviço",BL$12&lt;&gt;0,$H71&gt;0,OR(AUTOEVENTO&lt;&gt;"manual",$M71&lt;&gt;$A$15)),
        IF(Import.TipoArredondamento&lt;&gt;"TransfereGOV",
              ROUND(OFFSET($P71,0,BL$13),15-13*ORÇAMENTO!$AF$7)/$H71*OFFSET(ORÇAMENTO!$X$15,ROW(BL71)-ROW(BL$15),0),
              ROUND(ROUND(OFFSET($P71,0,BL$13),15-13*ORÇAMENTO!$AF$7)*OFFSET(ORÇAMENTO!$W$15,ROW(BL71)-ROW(BL$15),0),15-13*ORÇAMENTO!$AF$11)),
         0)</f>
        <v>850.12</v>
      </c>
      <c r="BM71" s="352" t="n">
        <f aca="true">IF(AND($D71="Serviço",BM$12&lt;&gt;0,$H71&gt;0,OR(AUTOEVENTO&lt;&gt;"manual",$M71&lt;&gt;$A$15)),
        IF(Import.TipoArredondamento&lt;&gt;"TransfereGOV",
              ROUND(OFFSET($P71,0,BM$13),15-13*ORÇAMENTO!$AF$7)/$H71*OFFSET(ORÇAMENTO!$X$15,ROW(BM71)-ROW(BM$15),0),
              ROUND(ROUND(OFFSET($P71,0,BM$13),15-13*ORÇAMENTO!$AF$7)*OFFSET(ORÇAMENTO!$W$15,ROW(BM71)-ROW(BM$15),0),15-13*ORÇAMENTO!$AF$11)),
         0)</f>
        <v>850.12</v>
      </c>
      <c r="BN71" s="352" t="n">
        <f aca="true">IF(AND($D71="Serviço",BN$12&lt;&gt;0,$H71&gt;0,OR(AUTOEVENTO&lt;&gt;"manual",$M71&lt;&gt;$A$15)),
        IF(Import.TipoArredondamento&lt;&gt;"TransfereGOV",
              ROUND(OFFSET($P71,0,BN$13),15-13*ORÇAMENTO!$AF$7)/$H71*OFFSET(ORÇAMENTO!$X$15,ROW(BN71)-ROW(BN$15),0),
              ROUND(ROUND(OFFSET($P71,0,BN$13),15-13*ORÇAMENTO!$AF$7)*OFFSET(ORÇAMENTO!$W$15,ROW(BN71)-ROW(BN$15),0),15-13*ORÇAMENTO!$AF$11)),
         0)</f>
        <v>850.12</v>
      </c>
      <c r="BO71" s="352" t="n">
        <f aca="true">IF(AND($D71="Serviço",BO$12&lt;&gt;0,$H71&gt;0,OR(AUTOEVENTO&lt;&gt;"manual",$M71&lt;&gt;$A$15)),
        IF(Import.TipoArredondamento&lt;&gt;"TransfereGOV",
              ROUND(OFFSET($P71,0,BO$13),15-13*ORÇAMENTO!$AF$7)/$H71*OFFSET(ORÇAMENTO!$X$15,ROW(BO71)-ROW(BO$15),0),
              ROUND(ROUND(OFFSET($P71,0,BO$13),15-13*ORÇAMENTO!$AF$7)*OFFSET(ORÇAMENTO!$W$15,ROW(BO71)-ROW(BO$15),0),15-13*ORÇAMENTO!$AF$11)),
         0)</f>
        <v>850.12</v>
      </c>
      <c r="BP71" s="352" t="n">
        <f aca="true">IF(AND($D71="Serviço",BP$12&lt;&gt;0,$H71&gt;0,OR(AUTOEVENTO&lt;&gt;"manual",$M71&lt;&gt;$A$15)),
        IF(Import.TipoArredondamento&lt;&gt;"TransfereGOV",
              ROUND(OFFSET($P71,0,BP$13),15-13*ORÇAMENTO!$AF$7)/$H71*OFFSET(ORÇAMENTO!$X$15,ROW(BP71)-ROW(BP$15),0),
              ROUND(ROUND(OFFSET($P71,0,BP$13),15-13*ORÇAMENTO!$AF$7)*OFFSET(ORÇAMENTO!$W$15,ROW(BP71)-ROW(BP$15),0),15-13*ORÇAMENTO!$AF$11)),
         0)</f>
        <v>850.12</v>
      </c>
      <c r="BQ71" s="352" t="n">
        <f aca="true">IF(AND($D71="Serviço",BQ$12&lt;&gt;0,$H71&gt;0,OR(AUTOEVENTO&lt;&gt;"manual",$M71&lt;&gt;$A$15)),
        IF(Import.TipoArredondamento&lt;&gt;"TransfereGOV",
              ROUND(OFFSET($P71,0,BQ$13),15-13*ORÇAMENTO!$AF$7)/$H71*OFFSET(ORÇAMENTO!$X$15,ROW(BQ71)-ROW(BQ$15),0),
              ROUND(ROUND(OFFSET($P71,0,BQ$13),15-13*ORÇAMENTO!$AF$7)*OFFSET(ORÇAMENTO!$W$15,ROW(BQ71)-ROW(BQ$15),0),15-13*ORÇAMENTO!$AF$11)),
         0)</f>
        <v>0</v>
      </c>
      <c r="BS71" s="353" t="n">
        <f aca="true">IF(OR($D71&lt;&gt;"Serviço",AND(AUTOEVENTO="Manual",$M71=$A$15)),0,
         IF(OFFSET(CRONOPLE!$F$15,$M71-$A$15,BS$13)=0,10^12,OFFSET(CRONOPLE!$F$15,$M71-$A$15,BS$13)))</f>
        <v>1</v>
      </c>
      <c r="BT71" s="353" t="n">
        <f aca="true">IF(OR($D71&lt;&gt;"Serviço",AND(AUTOEVENTO="Manual",$M71=$A$15)),0,
         IF(OFFSET(CRONOPLE!$F$15,$M71-$A$15,BT$13)=0,10^12,OFFSET(CRONOPLE!$F$15,$M71-$A$15,BT$13)))</f>
        <v>2</v>
      </c>
      <c r="BU71" s="353" t="n">
        <f aca="true">IF(OR($D71&lt;&gt;"Serviço",AND(AUTOEVENTO="Manual",$M71=$A$15)),0,
         IF(OFFSET(CRONOPLE!$F$15,$M71-$A$15,BU$13)=0,10^12,OFFSET(CRONOPLE!$F$15,$M71-$A$15,BU$13)))</f>
        <v>3</v>
      </c>
      <c r="BV71" s="353" t="n">
        <f aca="true">IF(OR($D71&lt;&gt;"Serviço",AND(AUTOEVENTO="Manual",$M71=$A$15)),0,
         IF(OFFSET(CRONOPLE!$F$15,$M71-$A$15,BV$13)=0,10^12,OFFSET(CRONOPLE!$F$15,$M71-$A$15,BV$13)))</f>
        <v>4</v>
      </c>
      <c r="BW71" s="353" t="n">
        <f aca="true">IF(OR($D71&lt;&gt;"Serviço",AND(AUTOEVENTO="Manual",$M71=$A$15)),0,
         IF(OFFSET(CRONOPLE!$F$15,$M71-$A$15,BW$13)=0,10^12,OFFSET(CRONOPLE!$F$15,$M71-$A$15,BW$13)))</f>
        <v>5</v>
      </c>
      <c r="BX71" s="353" t="n">
        <f aca="true">IF(OR($D71&lt;&gt;"Serviço",AND(AUTOEVENTO="Manual",$M71=$A$15)),0,
         IF(OFFSET(CRONOPLE!$F$15,$M71-$A$15,BX$13)=0,10^12,OFFSET(CRONOPLE!$F$15,$M71-$A$15,BX$13)))</f>
        <v>6</v>
      </c>
      <c r="BY71" s="353" t="n">
        <f aca="true">IF(OR($D71&lt;&gt;"Serviço",AND(AUTOEVENTO="Manual",$M71=$A$15)),0,
         IF(OFFSET(CRONOPLE!$F$15,$M71-$A$15,BY$13)=0,10^12,OFFSET(CRONOPLE!$F$15,$M71-$A$15,BY$13)))</f>
        <v>7</v>
      </c>
      <c r="BZ71" s="353" t="n">
        <f aca="true">IF(OR($D71&lt;&gt;"Serviço",AND(AUTOEVENTO="Manual",$M71=$A$15)),0,
         IF(OFFSET(CRONOPLE!$F$15,$M71-$A$15,BZ$13)=0,10^12,OFFSET(CRONOPLE!$F$15,$M71-$A$15,BZ$13)))</f>
        <v>8</v>
      </c>
      <c r="CA71" s="353" t="n">
        <f aca="true">IF(OR($D71&lt;&gt;"Serviço",AND(AUTOEVENTO="Manual",$M71=$A$15)),0,
         IF(OFFSET(CRONOPLE!$F$15,$M71-$A$15,CA$13)=0,10^12,OFFSET(CRONOPLE!$F$15,$M71-$A$15,CA$13)))</f>
        <v>9</v>
      </c>
      <c r="CB71" s="353" t="n">
        <f aca="true">IF(OR($D71&lt;&gt;"Serviço",AND(AUTOEVENTO="Manual",$M71=$A$15)),0,
         IF(OFFSET(CRONOPLE!$F$15,$M71-$A$15,CB$13)=0,10^12,OFFSET(CRONOPLE!$F$15,$M71-$A$15,CB$13)))</f>
        <v>10</v>
      </c>
      <c r="CC71" s="353" t="n">
        <f aca="true">IF(OR($D71&lt;&gt;"Serviço",AND(AUTOEVENTO="Manual",$M71=$A$15)),0,
         IF(OFFSET(CRONOPLE!$F$15,$M71-$A$15,CC$13)=0,10^12,OFFSET(CRONOPLE!$F$15,$M71-$A$15,CC$13)))</f>
        <v>11</v>
      </c>
      <c r="CD71" s="353" t="n">
        <f aca="true">IF(OR($D71&lt;&gt;"Serviço",AND(AUTOEVENTO="Manual",$M71=$A$15)),0,
         IF(OFFSET(CRONOPLE!$F$15,$M71-$A$15,CD$13)=0,10^12,OFFSET(CRONOPLE!$F$15,$M71-$A$15,CD$13)))</f>
        <v>12</v>
      </c>
      <c r="CE71" s="353" t="n">
        <f aca="true">IF(OR($D71&lt;&gt;"Serviço",AND(AUTOEVENTO="Manual",$M71=$A$15)),0,
         IF(OFFSET(CRONOPLE!$F$15,$M71-$A$15,CE$13)=0,10^12,OFFSET(CRONOPLE!$F$15,$M71-$A$15,CE$13)))</f>
        <v>13</v>
      </c>
      <c r="CF71" s="353" t="n">
        <f aca="true">IF(OR($D71&lt;&gt;"Serviço",AND(AUTOEVENTO="Manual",$M71=$A$15)),0,
         IF(OFFSET(CRONOPLE!$F$15,$M71-$A$15,CF$13)=0,10^12,OFFSET(CRONOPLE!$F$15,$M71-$A$15,CF$13)))</f>
        <v>14</v>
      </c>
      <c r="CG71" s="353" t="n">
        <f aca="true">IF(OR($D71&lt;&gt;"Serviço",AND(AUTOEVENTO="Manual",$M71=$A$15)),0,
         IF(OFFSET(CRONOPLE!$F$15,$M71-$A$15,CG$13)=0,10^12,OFFSET(CRONOPLE!$F$15,$M71-$A$15,CG$13)))</f>
        <v>15</v>
      </c>
      <c r="CH71" s="353" t="n">
        <f aca="true">IF(OR($D71&lt;&gt;"Serviço",AND(AUTOEVENTO="Manual",$M71=$A$15)),0,
         IF(OFFSET(CRONOPLE!$F$15,$M71-$A$15,CH$13)=0,10^12,OFFSET(CRONOPLE!$F$15,$M71-$A$15,CH$13)))</f>
        <v>16</v>
      </c>
      <c r="CI71" s="353" t="n">
        <f aca="true">IF(OR($D71&lt;&gt;"Serviço",AND(AUTOEVENTO="Manual",$M71=$A$15)),0,
         IF(OFFSET(CRONOPLE!$F$15,$M71-$A$15,CI$13)=0,10^12,OFFSET(CRONOPLE!$F$15,$M71-$A$15,CI$13)))</f>
        <v>17</v>
      </c>
      <c r="CJ71" s="353" t="n">
        <f aca="true">IF(OR($D71&lt;&gt;"Serviço",AND(AUTOEVENTO="Manual",$M71=$A$15)),0,
         IF(OFFSET(CRONOPLE!$F$15,$M71-$A$15,CJ$13)=0,10^12,OFFSET(CRONOPLE!$F$15,$M71-$A$15,CJ$13)))</f>
        <v>18</v>
      </c>
      <c r="CK71" s="353" t="n">
        <f aca="true">IF(OR($D71&lt;&gt;"Serviço",AND(AUTOEVENTO="Manual",$M71=$A$15)),0,
         IF(OFFSET(CRONOPLE!$F$15,$M71-$A$15,CK$13)=0,10^12,OFFSET(CRONOPLE!$F$15,$M71-$A$15,CK$13)))</f>
        <v>19</v>
      </c>
      <c r="CL71" s="353" t="n">
        <f aca="true">IF(OR($D71&lt;&gt;"Serviço",AND(AUTOEVENTO="Manual",$M71=$A$15)),0,
         IF(OFFSET(CRONOPLE!$F$15,$M71-$A$15,CL$13)=0,10^12,OFFSET(CRONOPLE!$F$15,$M71-$A$15,CL$13)))</f>
        <v>20</v>
      </c>
      <c r="CM71" s="353" t="n">
        <f aca="true">IF(OR($D71&lt;&gt;"Serviço",AND(AUTOEVENTO="Manual",$M71=$A$15)),0,
         IF(OFFSET(CRONOPLE!$F$15,$M71-$A$15,CM$13)=0,10^12,OFFSET(CRONOPLE!$F$15,$M71-$A$15,CM$13)))</f>
        <v>21</v>
      </c>
      <c r="CN71" s="353" t="n">
        <f aca="true">IF(OR($D71&lt;&gt;"Serviço",AND(AUTOEVENTO="Manual",$M71=$A$15)),0,
         IF(OFFSET(CRONOPLE!$F$15,$M71-$A$15,CN$13)=0,10^12,OFFSET(CRONOPLE!$F$15,$M71-$A$15,CN$13)))</f>
        <v>22</v>
      </c>
      <c r="CO71" s="353" t="n">
        <f aca="true">IF(OR($D71&lt;&gt;"Serviço",AND(AUTOEVENTO="Manual",$M71=$A$15)),0,
         IF(OFFSET(CRONOPLE!$F$15,$M71-$A$15,CO$13)=0,10^12,OFFSET(CRONOPLE!$F$15,$M71-$A$15,CO$13)))</f>
        <v>23</v>
      </c>
      <c r="CP71" s="353" t="n">
        <f aca="true">IF(OR($D71&lt;&gt;"Serviço",AND(AUTOEVENTO="Manual",$M71=$A$15)),0,
         IF(OFFSET(CRONOPLE!$F$15,$M71-$A$15,CP$13)=0,10^12,OFFSET(CRONOPLE!$F$15,$M71-$A$15,CP$13)))</f>
        <v>24</v>
      </c>
      <c r="CQ71" s="353" t="n">
        <f aca="true">IF(OR($D71&lt;&gt;"Serviço",AND(AUTOEVENTO="Manual",$M71=$A$15)),0,
         IF(OFFSET(CRONOPLE!$F$15,$M71-$A$15,CQ$13)=0,10^12,OFFSET(CRONOPLE!$F$15,$M71-$A$15,CQ$13)))</f>
        <v>25</v>
      </c>
      <c r="CR71" s="353" t="n">
        <f aca="true">IF(OR($D71&lt;&gt;"Serviço",AND(AUTOEVENTO="Manual",$M71=$A$15)),0,
         IF(OFFSET(CRONOPLE!$F$15,$M71-$A$15,CR$13)=0,10^12,OFFSET(CRONOPLE!$F$15,$M71-$A$15,CR$13)))</f>
        <v>1000000000000</v>
      </c>
      <c r="CT71" s="354" t="n">
        <f aca="true">IF(OR($D71&lt;&gt;"Serviço",AND(AUTOEVENTO="Manual",$M71=$A$15),$M71&gt;(ROW(PLE.lastrow)-ROW(PLE.firstrow))),0,
           IF(OFFSET(PLE!$G$15,$M71-$A$15,CT$13)="",10^12,OFFSET(PLE!$G$15,$M71-$A$15,CT$13)))</f>
        <v>1000000000000</v>
      </c>
      <c r="CU71" s="354" t="n">
        <f aca="true">IF(OR($D71&lt;&gt;"Serviço",AND(AUTOEVENTO="Manual",$M71=$A$15),$M71&gt;(ROW(PLE.lastrow)-ROW(PLE.firstrow))),0,
           IF(OFFSET(PLE!$G$15,$M71-$A$15,CU$13)="",10^12,OFFSET(PLE!$G$15,$M71-$A$15,CU$13)))</f>
        <v>1000000000000</v>
      </c>
      <c r="CV71" s="354" t="n">
        <f aca="true">IF(OR($D71&lt;&gt;"Serviço",AND(AUTOEVENTO="Manual",$M71=$A$15),$M71&gt;(ROW(PLE.lastrow)-ROW(PLE.firstrow))),0,
           IF(OFFSET(PLE!$G$15,$M71-$A$15,CV$13)="",10^12,OFFSET(PLE!$G$15,$M71-$A$15,CV$13)))</f>
        <v>1000000000000</v>
      </c>
      <c r="CW71" s="354" t="n">
        <f aca="true">IF(OR($D71&lt;&gt;"Serviço",AND(AUTOEVENTO="Manual",$M71=$A$15),$M71&gt;(ROW(PLE.lastrow)-ROW(PLE.firstrow))),0,
           IF(OFFSET(PLE!$G$15,$M71-$A$15,CW$13)="",10^12,OFFSET(PLE!$G$15,$M71-$A$15,CW$13)))</f>
        <v>1000000000000</v>
      </c>
      <c r="CX71" s="354" t="n">
        <f aca="true">IF(OR($D71&lt;&gt;"Serviço",AND(AUTOEVENTO="Manual",$M71=$A$15),$M71&gt;(ROW(PLE.lastrow)-ROW(PLE.firstrow))),0,
           IF(OFFSET(PLE!$G$15,$M71-$A$15,CX$13)="",10^12,OFFSET(PLE!$G$15,$M71-$A$15,CX$13)))</f>
        <v>1000000000000</v>
      </c>
      <c r="CY71" s="354" t="n">
        <f aca="true">IF(OR($D71&lt;&gt;"Serviço",AND(AUTOEVENTO="Manual",$M71=$A$15),$M71&gt;(ROW(PLE.lastrow)-ROW(PLE.firstrow))),0,
           IF(OFFSET(PLE!$G$15,$M71-$A$15,CY$13)="",10^12,OFFSET(PLE!$G$15,$M71-$A$15,CY$13)))</f>
        <v>1000000000000</v>
      </c>
      <c r="CZ71" s="354" t="n">
        <f aca="true">IF(OR($D71&lt;&gt;"Serviço",AND(AUTOEVENTO="Manual",$M71=$A$15),$M71&gt;(ROW(PLE.lastrow)-ROW(PLE.firstrow))),0,
           IF(OFFSET(PLE!$G$15,$M71-$A$15,CZ$13)="",10^12,OFFSET(PLE!$G$15,$M71-$A$15,CZ$13)))</f>
        <v>1000000000000</v>
      </c>
      <c r="DA71" s="354" t="n">
        <f aca="true">IF(OR($D71&lt;&gt;"Serviço",AND(AUTOEVENTO="Manual",$M71=$A$15),$M71&gt;(ROW(PLE.lastrow)-ROW(PLE.firstrow))),0,
           IF(OFFSET(PLE!$G$15,$M71-$A$15,DA$13)="",10^12,OFFSET(PLE!$G$15,$M71-$A$15,DA$13)))</f>
        <v>1000000000000</v>
      </c>
      <c r="DB71" s="354" t="n">
        <f aca="true">IF(OR($D71&lt;&gt;"Serviço",AND(AUTOEVENTO="Manual",$M71=$A$15),$M71&gt;(ROW(PLE.lastrow)-ROW(PLE.firstrow))),0,
           IF(OFFSET(PLE!$G$15,$M71-$A$15,DB$13)="",10^12,OFFSET(PLE!$G$15,$M71-$A$15,DB$13)))</f>
        <v>1000000000000</v>
      </c>
      <c r="DC71" s="354" t="n">
        <f aca="true">IF(OR($D71&lt;&gt;"Serviço",AND(AUTOEVENTO="Manual",$M71=$A$15),$M71&gt;(ROW(PLE.lastrow)-ROW(PLE.firstrow))),0,
           IF(OFFSET(PLE!$G$15,$M71-$A$15,DC$13)="",10^12,OFFSET(PLE!$G$15,$M71-$A$15,DC$13)))</f>
        <v>1000000000000</v>
      </c>
      <c r="DD71" s="354" t="n">
        <f aca="true">IF(OR($D71&lt;&gt;"Serviço",AND(AUTOEVENTO="Manual",$M71=$A$15),$M71&gt;(ROW(PLE.lastrow)-ROW(PLE.firstrow))),0,
           IF(OFFSET(PLE!$G$15,$M71-$A$15,DD$13)="",10^12,OFFSET(PLE!$G$15,$M71-$A$15,DD$13)))</f>
        <v>1000000000000</v>
      </c>
      <c r="DE71" s="354" t="n">
        <f aca="true">IF(OR($D71&lt;&gt;"Serviço",AND(AUTOEVENTO="Manual",$M71=$A$15),$M71&gt;(ROW(PLE.lastrow)-ROW(PLE.firstrow))),0,
           IF(OFFSET(PLE!$G$15,$M71-$A$15,DE$13)="",10^12,OFFSET(PLE!$G$15,$M71-$A$15,DE$13)))</f>
        <v>1000000000000</v>
      </c>
      <c r="DF71" s="354" t="n">
        <f aca="true">IF(OR($D71&lt;&gt;"Serviço",AND(AUTOEVENTO="Manual",$M71=$A$15),$M71&gt;(ROW(PLE.lastrow)-ROW(PLE.firstrow))),0,
           IF(OFFSET(PLE!$G$15,$M71-$A$15,DF$13)="",10^12,OFFSET(PLE!$G$15,$M71-$A$15,DF$13)))</f>
        <v>1000000000000</v>
      </c>
      <c r="DG71" s="354" t="n">
        <f aca="true">IF(OR($D71&lt;&gt;"Serviço",AND(AUTOEVENTO="Manual",$M71=$A$15),$M71&gt;(ROW(PLE.lastrow)-ROW(PLE.firstrow))),0,
           IF(OFFSET(PLE!$G$15,$M71-$A$15,DG$13)="",10^12,OFFSET(PLE!$G$15,$M71-$A$15,DG$13)))</f>
        <v>1000000000000</v>
      </c>
      <c r="DH71" s="354" t="n">
        <f aca="true">IF(OR($D71&lt;&gt;"Serviço",AND(AUTOEVENTO="Manual",$M71=$A$15),$M71&gt;(ROW(PLE.lastrow)-ROW(PLE.firstrow))),0,
           IF(OFFSET(PLE!$G$15,$M71-$A$15,DH$13)="",10^12,OFFSET(PLE!$G$15,$M71-$A$15,DH$13)))</f>
        <v>1000000000000</v>
      </c>
      <c r="DI71" s="354" t="n">
        <f aca="true">IF(OR($D71&lt;&gt;"Serviço",AND(AUTOEVENTO="Manual",$M71=$A$15),$M71&gt;(ROW(PLE.lastrow)-ROW(PLE.firstrow))),0,
           IF(OFFSET(PLE!$G$15,$M71-$A$15,DI$13)="",10^12,OFFSET(PLE!$G$15,$M71-$A$15,DI$13)))</f>
        <v>1000000000000</v>
      </c>
      <c r="DJ71" s="354" t="n">
        <f aca="true">IF(OR($D71&lt;&gt;"Serviço",AND(AUTOEVENTO="Manual",$M71=$A$15),$M71&gt;(ROW(PLE.lastrow)-ROW(PLE.firstrow))),0,
           IF(OFFSET(PLE!$G$15,$M71-$A$15,DJ$13)="",10^12,OFFSET(PLE!$G$15,$M71-$A$15,DJ$13)))</f>
        <v>1000000000000</v>
      </c>
      <c r="DK71" s="354" t="n">
        <f aca="true">IF(OR($D71&lt;&gt;"Serviço",AND(AUTOEVENTO="Manual",$M71=$A$15),$M71&gt;(ROW(PLE.lastrow)-ROW(PLE.firstrow))),0,
           IF(OFFSET(PLE!$G$15,$M71-$A$15,DK$13)="",10^12,OFFSET(PLE!$G$15,$M71-$A$15,DK$13)))</f>
        <v>1000000000000</v>
      </c>
      <c r="DL71" s="354" t="n">
        <f aca="true">IF(OR($D71&lt;&gt;"Serviço",AND(AUTOEVENTO="Manual",$M71=$A$15),$M71&gt;(ROW(PLE.lastrow)-ROW(PLE.firstrow))),0,
           IF(OFFSET(PLE!$G$15,$M71-$A$15,DL$13)="",10^12,OFFSET(PLE!$G$15,$M71-$A$15,DL$13)))</f>
        <v>1000000000000</v>
      </c>
      <c r="DM71" s="354" t="n">
        <f aca="true">IF(OR($D71&lt;&gt;"Serviço",AND(AUTOEVENTO="Manual",$M71=$A$15),$M71&gt;(ROW(PLE.lastrow)-ROW(PLE.firstrow))),0,
           IF(OFFSET(PLE!$G$15,$M71-$A$15,DM$13)="",10^12,OFFSET(PLE!$G$15,$M71-$A$15,DM$13)))</f>
        <v>1000000000000</v>
      </c>
      <c r="DN71" s="354" t="n">
        <f aca="true">IF(OR($D71&lt;&gt;"Serviço",AND(AUTOEVENTO="Manual",$M71=$A$15),$M71&gt;(ROW(PLE.lastrow)-ROW(PLE.firstrow))),0,
           IF(OFFSET(PLE!$G$15,$M71-$A$15,DN$13)="",10^12,OFFSET(PLE!$G$15,$M71-$A$15,DN$13)))</f>
        <v>1000000000000</v>
      </c>
      <c r="DO71" s="354" t="n">
        <f aca="true">IF(OR($D71&lt;&gt;"Serviço",AND(AUTOEVENTO="Manual",$M71=$A$15),$M71&gt;(ROW(PLE.lastrow)-ROW(PLE.firstrow))),0,
           IF(OFFSET(PLE!$G$15,$M71-$A$15,DO$13)="",10^12,OFFSET(PLE!$G$15,$M71-$A$15,DO$13)))</f>
        <v>1000000000000</v>
      </c>
      <c r="DP71" s="354" t="n">
        <f aca="true">IF(OR($D71&lt;&gt;"Serviço",AND(AUTOEVENTO="Manual",$M71=$A$15),$M71&gt;(ROW(PLE.lastrow)-ROW(PLE.firstrow))),0,
           IF(OFFSET(PLE!$G$15,$M71-$A$15,DP$13)="",10^12,OFFSET(PLE!$G$15,$M71-$A$15,DP$13)))</f>
        <v>1000000000000</v>
      </c>
      <c r="DQ71" s="354" t="n">
        <f aca="true">IF(OR($D71&lt;&gt;"Serviço",AND(AUTOEVENTO="Manual",$M71=$A$15),$M71&gt;(ROW(PLE.lastrow)-ROW(PLE.firstrow))),0,
           IF(OFFSET(PLE!$G$15,$M71-$A$15,DQ$13)="",10^12,OFFSET(PLE!$G$15,$M71-$A$15,DQ$13)))</f>
        <v>1000000000000</v>
      </c>
      <c r="DR71" s="354" t="n">
        <f aca="true">IF(OR($D71&lt;&gt;"Serviço",AND(AUTOEVENTO="Manual",$M71=$A$15),$M71&gt;(ROW(PLE.lastrow)-ROW(PLE.firstrow))),0,
           IF(OFFSET(PLE!$G$15,$M71-$A$15,DR$13)="",10^12,OFFSET(PLE!$G$15,$M71-$A$15,DR$13)))</f>
        <v>1000000000000</v>
      </c>
      <c r="DS71" s="354" t="n">
        <f aca="true">IF(OR($D71&lt;&gt;"Serviço",AND(AUTOEVENTO="Manual",$M71=$A$15),$M71&gt;(ROW(PLE.lastrow)-ROW(PLE.firstrow))),0,
           IF(OFFSET(PLE!$G$15,$M71-$A$15,DS$13)="",10^12,OFFSET(PLE!$G$15,$M71-$A$15,DS$13)))</f>
        <v>1000000000000</v>
      </c>
    </row>
    <row r="72" customFormat="false" ht="23.85" hidden="false" customHeight="false" outlineLevel="0" collapsed="false">
      <c r="A72" s="50" t="str">
        <f aca="true">IFERROR(IF(AUTOEVENTO="Manual",IF(K72&lt;&gt;"",MIN(VALUE(LEFT(K72,FIND(".",K72)-1)),COUNTA(EVENTOS.Lista)),0),IF(OR($B72&gt;AUTOEVENTO,$B72="S",$B72=0),SUBSTITUTE(OFFSET($A72,-1,0),IF($D72="Serviço",".",""),""),ROW(A72)-ROW($A$15)&amp;".")),0)</f>
        <v>53</v>
      </c>
      <c r="B72" s="50" t="str">
        <f aca="true">OFFSET(ORÇAMENTO!C$15,ROW(B72)-ROW(B$15),0)</f>
        <v>S</v>
      </c>
      <c r="C72" s="50" t="str">
        <f aca="true">OFFSET(ORÇAMENTO!L$15,ROW(C72)-ROW(C$15),0)</f>
        <v>F</v>
      </c>
      <c r="D72" s="201" t="str">
        <f aca="true">OFFSET(ORÇAMENTO!N$15,ROW(D72)-ROW(D$15),0)</f>
        <v>Serviço</v>
      </c>
      <c r="E72" s="202" t="str">
        <f aca="true">OFFSET(ORÇAMENTO!O$15,ROW(E72)-ROW(E$15),0)</f>
        <v>1.15.4.</v>
      </c>
      <c r="F72" s="341" t="str">
        <f aca="true">OFFSET(ORÇAMENTO!R$15,ROW(F72)-ROW(F$15),0)</f>
        <v>RUFO EXTERNO/INTERNO EM CHAPA DE AÇO GALVANIZADO NÚMERO 26, CORTE DE 33 CM, INCLUSO IÇAMENTO.  </v>
      </c>
      <c r="G72" s="342" t="str">
        <f aca="true">IF($D72&lt;&gt;"Serviço","",OFFSET(ORÇAMENTO!S$15,ROW(G72)-ROW(G$15),0))</f>
        <v>M</v>
      </c>
      <c r="H72" s="207" t="n">
        <f aca="true">IF($D72&lt;&gt;"Serviço",0,IF(ACOMPANHAMENTO="BM",ROUND(OFFSET(ORÇAMENTO!AJ$15,ROW(H72)-ROW(H$15),0),15-13*ORÇAMENTO!$AF$7),SUMPRODUCT(($Q$1:$AQ$1=1)*ROUND($Q72:$AQ72,15-13*ORÇAMENTO!$AF$7))))</f>
        <v>727.5</v>
      </c>
      <c r="I72" s="343" t="s">
        <v>950</v>
      </c>
      <c r="J72" s="344" t="e">
        <f aca="false">IF(OR(B72&lt;&gt;"S",CÁLCULO.FrentesPreenchidas=0),"",IF(AND(ACOMPANHAMENTO="PLE",AUTOEVENTO="Manual",OR(H72&gt;0,ORÇAMENTO!AC72="QUANT."),OR(K72="",M72=0,N72="")),"►",IF(AND(ACOMPANHAMENTO="PLE",ORÇAMENTO!AC72="QUANT."),"►►",IF(AND(COUNTIF($P$11:$AQ$11,"▼")=0,H72&gt;0,I72=""),"◄",""))))</f>
        <v>#NAME?</v>
      </c>
      <c r="K72" s="345"/>
      <c r="L72" s="346" t="s">
        <v>876</v>
      </c>
      <c r="M72" s="347" t="n">
        <f aca="true">IF($D72&lt;&gt;"Serviço","",
          IF(AUTOEVENTO="manual",$A72,
                IF(ISERROR(MATCH($A72,$A$15:OFFSET($A72,-1,0),0)),MAX($M$15:OFFSET(M72,-1,0))+1,
                      INDEX($M$15:OFFSET(M72,-1,0),MATCH($A72,$A$15:OFFSET($A72,-1,0),0)))))</f>
        <v>11</v>
      </c>
      <c r="N72" s="348" t="str">
        <f aca="true">IF($D72&lt;&gt;"Serviço","",
         IF(AUTOEVENTO="Manual",
                IF($A72=0,"&lt;-- defina o número do agrupador",
                       OFFSET(EVENTOS!$D$15,$A72-$A$15,0)),
                OFFSET($F$15,$A72,0)))</f>
        <v>COBERTURA E PROTEÇÕES</v>
      </c>
      <c r="O72" s="349"/>
      <c r="Q72" s="349" t="n">
        <v>29.1</v>
      </c>
      <c r="R72" s="350" t="n">
        <f aca="false">Q72</f>
        <v>29.1</v>
      </c>
      <c r="S72" s="350" t="n">
        <f aca="false">R72</f>
        <v>29.1</v>
      </c>
      <c r="T72" s="350" t="n">
        <f aca="false">S72</f>
        <v>29.1</v>
      </c>
      <c r="U72" s="350" t="n">
        <f aca="false">T72</f>
        <v>29.1</v>
      </c>
      <c r="V72" s="350" t="n">
        <f aca="false">U72</f>
        <v>29.1</v>
      </c>
      <c r="W72" s="350" t="n">
        <f aca="false">V72</f>
        <v>29.1</v>
      </c>
      <c r="X72" s="350" t="n">
        <f aca="false">W72</f>
        <v>29.1</v>
      </c>
      <c r="Y72" s="350" t="n">
        <f aca="false">X72</f>
        <v>29.1</v>
      </c>
      <c r="Z72" s="351" t="n">
        <f aca="false">Y72</f>
        <v>29.1</v>
      </c>
      <c r="AA72" s="350" t="n">
        <f aca="false">Z72</f>
        <v>29.1</v>
      </c>
      <c r="AB72" s="350" t="n">
        <f aca="false">AA72</f>
        <v>29.1</v>
      </c>
      <c r="AC72" s="350" t="n">
        <f aca="false">AB72</f>
        <v>29.1</v>
      </c>
      <c r="AD72" s="350" t="n">
        <f aca="false">AC72</f>
        <v>29.1</v>
      </c>
      <c r="AE72" s="350" t="n">
        <f aca="false">AD72</f>
        <v>29.1</v>
      </c>
      <c r="AF72" s="350" t="n">
        <f aca="false">AE72</f>
        <v>29.1</v>
      </c>
      <c r="AG72" s="350" t="n">
        <f aca="false">AF72</f>
        <v>29.1</v>
      </c>
      <c r="AH72" s="351" t="n">
        <f aca="false">AG72</f>
        <v>29.1</v>
      </c>
      <c r="AI72" s="350" t="n">
        <f aca="false">AH72</f>
        <v>29.1</v>
      </c>
      <c r="AJ72" s="350" t="n">
        <f aca="false">AI72</f>
        <v>29.1</v>
      </c>
      <c r="AK72" s="350" t="n">
        <f aca="false">AJ72</f>
        <v>29.1</v>
      </c>
      <c r="AL72" s="350" t="n">
        <f aca="false">AK72</f>
        <v>29.1</v>
      </c>
      <c r="AM72" s="350" t="n">
        <f aca="false">AL72</f>
        <v>29.1</v>
      </c>
      <c r="AN72" s="350" t="n">
        <f aca="false">AM72</f>
        <v>29.1</v>
      </c>
      <c r="AO72" s="350" t="n">
        <f aca="false">AN72</f>
        <v>29.1</v>
      </c>
      <c r="AP72" s="351"/>
      <c r="AR72" s="352" t="n">
        <f aca="true">IF(AND($D72="Serviço",AR$12&lt;&gt;0,$H72&gt;0,OR(AUTOEVENTO&lt;&gt;"manual",$M72&lt;&gt;$A$15)),
        IF(Import.TipoArredondamento&lt;&gt;"TransfereGOV",
              ROUND(OFFSET($P72,0,AR$13),15-13*ORÇAMENTO!$AF$7)/$H72*OFFSET(ORÇAMENTO!$X$15,ROW(AR72)-ROW(AR$15),0),
              ROUND(ROUND(OFFSET($P72,0,AR$13),15-13*ORÇAMENTO!$AF$7)*OFFSET(ORÇAMENTO!$W$15,ROW(AR72)-ROW(AR$15),0),15-13*ORÇAMENTO!$AF$11)),
         0)</f>
        <v>2481.07</v>
      </c>
      <c r="AS72" s="352" t="n">
        <f aca="true">IF(AND($D72="Serviço",AS$12&lt;&gt;0,$H72&gt;0,OR(AUTOEVENTO&lt;&gt;"manual",$M72&lt;&gt;$A$15)),
        IF(Import.TipoArredondamento&lt;&gt;"TransfereGOV",
              ROUND(OFFSET($P72,0,AS$13),15-13*ORÇAMENTO!$AF$7)/$H72*OFFSET(ORÇAMENTO!$X$15,ROW(AS72)-ROW(AS$15),0),
              ROUND(ROUND(OFFSET($P72,0,AS$13),15-13*ORÇAMENTO!$AF$7)*OFFSET(ORÇAMENTO!$W$15,ROW(AS72)-ROW(AS$15),0),15-13*ORÇAMENTO!$AF$11)),
         0)</f>
        <v>2481.07</v>
      </c>
      <c r="AT72" s="352" t="n">
        <f aca="true">IF(AND($D72="Serviço",AT$12&lt;&gt;0,$H72&gt;0,OR(AUTOEVENTO&lt;&gt;"manual",$M72&lt;&gt;$A$15)),
        IF(Import.TipoArredondamento&lt;&gt;"TransfereGOV",
              ROUND(OFFSET($P72,0,AT$13),15-13*ORÇAMENTO!$AF$7)/$H72*OFFSET(ORÇAMENTO!$X$15,ROW(AT72)-ROW(AT$15),0),
              ROUND(ROUND(OFFSET($P72,0,AT$13),15-13*ORÇAMENTO!$AF$7)*OFFSET(ORÇAMENTO!$W$15,ROW(AT72)-ROW(AT$15),0),15-13*ORÇAMENTO!$AF$11)),
         0)</f>
        <v>2481.07</v>
      </c>
      <c r="AU72" s="352" t="n">
        <f aca="true">IF(AND($D72="Serviço",AU$12&lt;&gt;0,$H72&gt;0,OR(AUTOEVENTO&lt;&gt;"manual",$M72&lt;&gt;$A$15)),
        IF(Import.TipoArredondamento&lt;&gt;"TransfereGOV",
              ROUND(OFFSET($P72,0,AU$13),15-13*ORÇAMENTO!$AF$7)/$H72*OFFSET(ORÇAMENTO!$X$15,ROW(AU72)-ROW(AU$15),0),
              ROUND(ROUND(OFFSET($P72,0,AU$13),15-13*ORÇAMENTO!$AF$7)*OFFSET(ORÇAMENTO!$W$15,ROW(AU72)-ROW(AU$15),0),15-13*ORÇAMENTO!$AF$11)),
         0)</f>
        <v>2481.07</v>
      </c>
      <c r="AV72" s="352" t="n">
        <f aca="true">IF(AND($D72="Serviço",AV$12&lt;&gt;0,$H72&gt;0,OR(AUTOEVENTO&lt;&gt;"manual",$M72&lt;&gt;$A$15)),
        IF(Import.TipoArredondamento&lt;&gt;"TransfereGOV",
              ROUND(OFFSET($P72,0,AV$13),15-13*ORÇAMENTO!$AF$7)/$H72*OFFSET(ORÇAMENTO!$X$15,ROW(AV72)-ROW(AV$15),0),
              ROUND(ROUND(OFFSET($P72,0,AV$13),15-13*ORÇAMENTO!$AF$7)*OFFSET(ORÇAMENTO!$W$15,ROW(AV72)-ROW(AV$15),0),15-13*ORÇAMENTO!$AF$11)),
         0)</f>
        <v>2481.07</v>
      </c>
      <c r="AW72" s="352" t="n">
        <f aca="true">IF(AND($D72="Serviço",AW$12&lt;&gt;0,$H72&gt;0,OR(AUTOEVENTO&lt;&gt;"manual",$M72&lt;&gt;$A$15)),
        IF(Import.TipoArredondamento&lt;&gt;"TransfereGOV",
              ROUND(OFFSET($P72,0,AW$13),15-13*ORÇAMENTO!$AF$7)/$H72*OFFSET(ORÇAMENTO!$X$15,ROW(AW72)-ROW(AW$15),0),
              ROUND(ROUND(OFFSET($P72,0,AW$13),15-13*ORÇAMENTO!$AF$7)*OFFSET(ORÇAMENTO!$W$15,ROW(AW72)-ROW(AW$15),0),15-13*ORÇAMENTO!$AF$11)),
         0)</f>
        <v>2481.07</v>
      </c>
      <c r="AX72" s="352" t="n">
        <f aca="true">IF(AND($D72="Serviço",AX$12&lt;&gt;0,$H72&gt;0,OR(AUTOEVENTO&lt;&gt;"manual",$M72&lt;&gt;$A$15)),
        IF(Import.TipoArredondamento&lt;&gt;"TransfereGOV",
              ROUND(OFFSET($P72,0,AX$13),15-13*ORÇAMENTO!$AF$7)/$H72*OFFSET(ORÇAMENTO!$X$15,ROW(AX72)-ROW(AX$15),0),
              ROUND(ROUND(OFFSET($P72,0,AX$13),15-13*ORÇAMENTO!$AF$7)*OFFSET(ORÇAMENTO!$W$15,ROW(AX72)-ROW(AX$15),0),15-13*ORÇAMENTO!$AF$11)),
         0)</f>
        <v>2481.07</v>
      </c>
      <c r="AY72" s="352" t="n">
        <f aca="true">IF(AND($D72="Serviço",AY$12&lt;&gt;0,$H72&gt;0,OR(AUTOEVENTO&lt;&gt;"manual",$M72&lt;&gt;$A$15)),
        IF(Import.TipoArredondamento&lt;&gt;"TransfereGOV",
              ROUND(OFFSET($P72,0,AY$13),15-13*ORÇAMENTO!$AF$7)/$H72*OFFSET(ORÇAMENTO!$X$15,ROW(AY72)-ROW(AY$15),0),
              ROUND(ROUND(OFFSET($P72,0,AY$13),15-13*ORÇAMENTO!$AF$7)*OFFSET(ORÇAMENTO!$W$15,ROW(AY72)-ROW(AY$15),0),15-13*ORÇAMENTO!$AF$11)),
         0)</f>
        <v>2481.07</v>
      </c>
      <c r="AZ72" s="352" t="n">
        <f aca="true">IF(AND($D72="Serviço",AZ$12&lt;&gt;0,$H72&gt;0,OR(AUTOEVENTO&lt;&gt;"manual",$M72&lt;&gt;$A$15)),
        IF(Import.TipoArredondamento&lt;&gt;"TransfereGOV",
              ROUND(OFFSET($P72,0,AZ$13),15-13*ORÇAMENTO!$AF$7)/$H72*OFFSET(ORÇAMENTO!$X$15,ROW(AZ72)-ROW(AZ$15),0),
              ROUND(ROUND(OFFSET($P72,0,AZ$13),15-13*ORÇAMENTO!$AF$7)*OFFSET(ORÇAMENTO!$W$15,ROW(AZ72)-ROW(AZ$15),0),15-13*ORÇAMENTO!$AF$11)),
         0)</f>
        <v>2481.07</v>
      </c>
      <c r="BA72" s="352" t="n">
        <f aca="true">IF(AND($D72="Serviço",BA$12&lt;&gt;0,$H72&gt;0,OR(AUTOEVENTO&lt;&gt;"manual",$M72&lt;&gt;$A$15)),
        IF(Import.TipoArredondamento&lt;&gt;"TransfereGOV",
              ROUND(OFFSET($P72,0,BA$13),15-13*ORÇAMENTO!$AF$7)/$H72*OFFSET(ORÇAMENTO!$X$15,ROW(BA72)-ROW(BA$15),0),
              ROUND(ROUND(OFFSET($P72,0,BA$13),15-13*ORÇAMENTO!$AF$7)*OFFSET(ORÇAMENTO!$W$15,ROW(BA72)-ROW(BA$15),0),15-13*ORÇAMENTO!$AF$11)),
         0)</f>
        <v>2481.07</v>
      </c>
      <c r="BB72" s="352" t="n">
        <f aca="true">IF(AND($D72="Serviço",BB$12&lt;&gt;0,$H72&gt;0,OR(AUTOEVENTO&lt;&gt;"manual",$M72&lt;&gt;$A$15)),
        IF(Import.TipoArredondamento&lt;&gt;"TransfereGOV",
              ROUND(OFFSET($P72,0,BB$13),15-13*ORÇAMENTO!$AF$7)/$H72*OFFSET(ORÇAMENTO!$X$15,ROW(BB72)-ROW(BB$15),0),
              ROUND(ROUND(OFFSET($P72,0,BB$13),15-13*ORÇAMENTO!$AF$7)*OFFSET(ORÇAMENTO!$W$15,ROW(BB72)-ROW(BB$15),0),15-13*ORÇAMENTO!$AF$11)),
         0)</f>
        <v>2481.07</v>
      </c>
      <c r="BC72" s="352" t="n">
        <f aca="true">IF(AND($D72="Serviço",BC$12&lt;&gt;0,$H72&gt;0,OR(AUTOEVENTO&lt;&gt;"manual",$M72&lt;&gt;$A$15)),
        IF(Import.TipoArredondamento&lt;&gt;"TransfereGOV",
              ROUND(OFFSET($P72,0,BC$13),15-13*ORÇAMENTO!$AF$7)/$H72*OFFSET(ORÇAMENTO!$X$15,ROW(BC72)-ROW(BC$15),0),
              ROUND(ROUND(OFFSET($P72,0,BC$13),15-13*ORÇAMENTO!$AF$7)*OFFSET(ORÇAMENTO!$W$15,ROW(BC72)-ROW(BC$15),0),15-13*ORÇAMENTO!$AF$11)),
         0)</f>
        <v>2481.07</v>
      </c>
      <c r="BD72" s="352" t="n">
        <f aca="true">IF(AND($D72="Serviço",BD$12&lt;&gt;0,$H72&gt;0,OR(AUTOEVENTO&lt;&gt;"manual",$M72&lt;&gt;$A$15)),
        IF(Import.TipoArredondamento&lt;&gt;"TransfereGOV",
              ROUND(OFFSET($P72,0,BD$13),15-13*ORÇAMENTO!$AF$7)/$H72*OFFSET(ORÇAMENTO!$X$15,ROW(BD72)-ROW(BD$15),0),
              ROUND(ROUND(OFFSET($P72,0,BD$13),15-13*ORÇAMENTO!$AF$7)*OFFSET(ORÇAMENTO!$W$15,ROW(BD72)-ROW(BD$15),0),15-13*ORÇAMENTO!$AF$11)),
         0)</f>
        <v>2481.07</v>
      </c>
      <c r="BE72" s="352" t="n">
        <f aca="true">IF(AND($D72="Serviço",BE$12&lt;&gt;0,$H72&gt;0,OR(AUTOEVENTO&lt;&gt;"manual",$M72&lt;&gt;$A$15)),
        IF(Import.TipoArredondamento&lt;&gt;"TransfereGOV",
              ROUND(OFFSET($P72,0,BE$13),15-13*ORÇAMENTO!$AF$7)/$H72*OFFSET(ORÇAMENTO!$X$15,ROW(BE72)-ROW(BE$15),0),
              ROUND(ROUND(OFFSET($P72,0,BE$13),15-13*ORÇAMENTO!$AF$7)*OFFSET(ORÇAMENTO!$W$15,ROW(BE72)-ROW(BE$15),0),15-13*ORÇAMENTO!$AF$11)),
         0)</f>
        <v>2481.07</v>
      </c>
      <c r="BF72" s="352" t="n">
        <f aca="true">IF(AND($D72="Serviço",BF$12&lt;&gt;0,$H72&gt;0,OR(AUTOEVENTO&lt;&gt;"manual",$M72&lt;&gt;$A$15)),
        IF(Import.TipoArredondamento&lt;&gt;"TransfereGOV",
              ROUND(OFFSET($P72,0,BF$13),15-13*ORÇAMENTO!$AF$7)/$H72*OFFSET(ORÇAMENTO!$X$15,ROW(BF72)-ROW(BF$15),0),
              ROUND(ROUND(OFFSET($P72,0,BF$13),15-13*ORÇAMENTO!$AF$7)*OFFSET(ORÇAMENTO!$W$15,ROW(BF72)-ROW(BF$15),0),15-13*ORÇAMENTO!$AF$11)),
         0)</f>
        <v>2481.07</v>
      </c>
      <c r="BG72" s="352" t="n">
        <f aca="true">IF(AND($D72="Serviço",BG$12&lt;&gt;0,$H72&gt;0,OR(AUTOEVENTO&lt;&gt;"manual",$M72&lt;&gt;$A$15)),
        IF(Import.TipoArredondamento&lt;&gt;"TransfereGOV",
              ROUND(OFFSET($P72,0,BG$13),15-13*ORÇAMENTO!$AF$7)/$H72*OFFSET(ORÇAMENTO!$X$15,ROW(BG72)-ROW(BG$15),0),
              ROUND(ROUND(OFFSET($P72,0,BG$13),15-13*ORÇAMENTO!$AF$7)*OFFSET(ORÇAMENTO!$W$15,ROW(BG72)-ROW(BG$15),0),15-13*ORÇAMENTO!$AF$11)),
         0)</f>
        <v>2481.07</v>
      </c>
      <c r="BH72" s="352" t="n">
        <f aca="true">IF(AND($D72="Serviço",BH$12&lt;&gt;0,$H72&gt;0,OR(AUTOEVENTO&lt;&gt;"manual",$M72&lt;&gt;$A$15)),
        IF(Import.TipoArredondamento&lt;&gt;"TransfereGOV",
              ROUND(OFFSET($P72,0,BH$13),15-13*ORÇAMENTO!$AF$7)/$H72*OFFSET(ORÇAMENTO!$X$15,ROW(BH72)-ROW(BH$15),0),
              ROUND(ROUND(OFFSET($P72,0,BH$13),15-13*ORÇAMENTO!$AF$7)*OFFSET(ORÇAMENTO!$W$15,ROW(BH72)-ROW(BH$15),0),15-13*ORÇAMENTO!$AF$11)),
         0)</f>
        <v>2481.07</v>
      </c>
      <c r="BI72" s="352" t="n">
        <f aca="true">IF(AND($D72="Serviço",BI$12&lt;&gt;0,$H72&gt;0,OR(AUTOEVENTO&lt;&gt;"manual",$M72&lt;&gt;$A$15)),
        IF(Import.TipoArredondamento&lt;&gt;"TransfereGOV",
              ROUND(OFFSET($P72,0,BI$13),15-13*ORÇAMENTO!$AF$7)/$H72*OFFSET(ORÇAMENTO!$X$15,ROW(BI72)-ROW(BI$15),0),
              ROUND(ROUND(OFFSET($P72,0,BI$13),15-13*ORÇAMENTO!$AF$7)*OFFSET(ORÇAMENTO!$W$15,ROW(BI72)-ROW(BI$15),0),15-13*ORÇAMENTO!$AF$11)),
         0)</f>
        <v>2481.07</v>
      </c>
      <c r="BJ72" s="352" t="n">
        <f aca="true">IF(AND($D72="Serviço",BJ$12&lt;&gt;0,$H72&gt;0,OR(AUTOEVENTO&lt;&gt;"manual",$M72&lt;&gt;$A$15)),
        IF(Import.TipoArredondamento&lt;&gt;"TransfereGOV",
              ROUND(OFFSET($P72,0,BJ$13),15-13*ORÇAMENTO!$AF$7)/$H72*OFFSET(ORÇAMENTO!$X$15,ROW(BJ72)-ROW(BJ$15),0),
              ROUND(ROUND(OFFSET($P72,0,BJ$13),15-13*ORÇAMENTO!$AF$7)*OFFSET(ORÇAMENTO!$W$15,ROW(BJ72)-ROW(BJ$15),0),15-13*ORÇAMENTO!$AF$11)),
         0)</f>
        <v>2481.07</v>
      </c>
      <c r="BK72" s="352" t="n">
        <f aca="true">IF(AND($D72="Serviço",BK$12&lt;&gt;0,$H72&gt;0,OR(AUTOEVENTO&lt;&gt;"manual",$M72&lt;&gt;$A$15)),
        IF(Import.TipoArredondamento&lt;&gt;"TransfereGOV",
              ROUND(OFFSET($P72,0,BK$13),15-13*ORÇAMENTO!$AF$7)/$H72*OFFSET(ORÇAMENTO!$X$15,ROW(BK72)-ROW(BK$15),0),
              ROUND(ROUND(OFFSET($P72,0,BK$13),15-13*ORÇAMENTO!$AF$7)*OFFSET(ORÇAMENTO!$W$15,ROW(BK72)-ROW(BK$15),0),15-13*ORÇAMENTO!$AF$11)),
         0)</f>
        <v>2481.07</v>
      </c>
      <c r="BL72" s="352" t="n">
        <f aca="true">IF(AND($D72="Serviço",BL$12&lt;&gt;0,$H72&gt;0,OR(AUTOEVENTO&lt;&gt;"manual",$M72&lt;&gt;$A$15)),
        IF(Import.TipoArredondamento&lt;&gt;"TransfereGOV",
              ROUND(OFFSET($P72,0,BL$13),15-13*ORÇAMENTO!$AF$7)/$H72*OFFSET(ORÇAMENTO!$X$15,ROW(BL72)-ROW(BL$15),0),
              ROUND(ROUND(OFFSET($P72,0,BL$13),15-13*ORÇAMENTO!$AF$7)*OFFSET(ORÇAMENTO!$W$15,ROW(BL72)-ROW(BL$15),0),15-13*ORÇAMENTO!$AF$11)),
         0)</f>
        <v>2481.07</v>
      </c>
      <c r="BM72" s="352" t="n">
        <f aca="true">IF(AND($D72="Serviço",BM$12&lt;&gt;0,$H72&gt;0,OR(AUTOEVENTO&lt;&gt;"manual",$M72&lt;&gt;$A$15)),
        IF(Import.TipoArredondamento&lt;&gt;"TransfereGOV",
              ROUND(OFFSET($P72,0,BM$13),15-13*ORÇAMENTO!$AF$7)/$H72*OFFSET(ORÇAMENTO!$X$15,ROW(BM72)-ROW(BM$15),0),
              ROUND(ROUND(OFFSET($P72,0,BM$13),15-13*ORÇAMENTO!$AF$7)*OFFSET(ORÇAMENTO!$W$15,ROW(BM72)-ROW(BM$15),0),15-13*ORÇAMENTO!$AF$11)),
         0)</f>
        <v>2481.07</v>
      </c>
      <c r="BN72" s="352" t="n">
        <f aca="true">IF(AND($D72="Serviço",BN$12&lt;&gt;0,$H72&gt;0,OR(AUTOEVENTO&lt;&gt;"manual",$M72&lt;&gt;$A$15)),
        IF(Import.TipoArredondamento&lt;&gt;"TransfereGOV",
              ROUND(OFFSET($P72,0,BN$13),15-13*ORÇAMENTO!$AF$7)/$H72*OFFSET(ORÇAMENTO!$X$15,ROW(BN72)-ROW(BN$15),0),
              ROUND(ROUND(OFFSET($P72,0,BN$13),15-13*ORÇAMENTO!$AF$7)*OFFSET(ORÇAMENTO!$W$15,ROW(BN72)-ROW(BN$15),0),15-13*ORÇAMENTO!$AF$11)),
         0)</f>
        <v>2481.07</v>
      </c>
      <c r="BO72" s="352" t="n">
        <f aca="true">IF(AND($D72="Serviço",BO$12&lt;&gt;0,$H72&gt;0,OR(AUTOEVENTO&lt;&gt;"manual",$M72&lt;&gt;$A$15)),
        IF(Import.TipoArredondamento&lt;&gt;"TransfereGOV",
              ROUND(OFFSET($P72,0,BO$13),15-13*ORÇAMENTO!$AF$7)/$H72*OFFSET(ORÇAMENTO!$X$15,ROW(BO72)-ROW(BO$15),0),
              ROUND(ROUND(OFFSET($P72,0,BO$13),15-13*ORÇAMENTO!$AF$7)*OFFSET(ORÇAMENTO!$W$15,ROW(BO72)-ROW(BO$15),0),15-13*ORÇAMENTO!$AF$11)),
         0)</f>
        <v>2481.07</v>
      </c>
      <c r="BP72" s="352" t="n">
        <f aca="true">IF(AND($D72="Serviço",BP$12&lt;&gt;0,$H72&gt;0,OR(AUTOEVENTO&lt;&gt;"manual",$M72&lt;&gt;$A$15)),
        IF(Import.TipoArredondamento&lt;&gt;"TransfereGOV",
              ROUND(OFFSET($P72,0,BP$13),15-13*ORÇAMENTO!$AF$7)/$H72*OFFSET(ORÇAMENTO!$X$15,ROW(BP72)-ROW(BP$15),0),
              ROUND(ROUND(OFFSET($P72,0,BP$13),15-13*ORÇAMENTO!$AF$7)*OFFSET(ORÇAMENTO!$W$15,ROW(BP72)-ROW(BP$15),0),15-13*ORÇAMENTO!$AF$11)),
         0)</f>
        <v>2481.07</v>
      </c>
      <c r="BQ72" s="352" t="n">
        <f aca="true">IF(AND($D72="Serviço",BQ$12&lt;&gt;0,$H72&gt;0,OR(AUTOEVENTO&lt;&gt;"manual",$M72&lt;&gt;$A$15)),
        IF(Import.TipoArredondamento&lt;&gt;"TransfereGOV",
              ROUND(OFFSET($P72,0,BQ$13),15-13*ORÇAMENTO!$AF$7)/$H72*OFFSET(ORÇAMENTO!$X$15,ROW(BQ72)-ROW(BQ$15),0),
              ROUND(ROUND(OFFSET($P72,0,BQ$13),15-13*ORÇAMENTO!$AF$7)*OFFSET(ORÇAMENTO!$W$15,ROW(BQ72)-ROW(BQ$15),0),15-13*ORÇAMENTO!$AF$11)),
         0)</f>
        <v>0</v>
      </c>
      <c r="BS72" s="353" t="n">
        <f aca="true">IF(OR($D72&lt;&gt;"Serviço",AND(AUTOEVENTO="Manual",$M72=$A$15)),0,
         IF(OFFSET(CRONOPLE!$F$15,$M72-$A$15,BS$13)=0,10^12,OFFSET(CRONOPLE!$F$15,$M72-$A$15,BS$13)))</f>
        <v>1</v>
      </c>
      <c r="BT72" s="353" t="n">
        <f aca="true">IF(OR($D72&lt;&gt;"Serviço",AND(AUTOEVENTO="Manual",$M72=$A$15)),0,
         IF(OFFSET(CRONOPLE!$F$15,$M72-$A$15,BT$13)=0,10^12,OFFSET(CRONOPLE!$F$15,$M72-$A$15,BT$13)))</f>
        <v>2</v>
      </c>
      <c r="BU72" s="353" t="n">
        <f aca="true">IF(OR($D72&lt;&gt;"Serviço",AND(AUTOEVENTO="Manual",$M72=$A$15)),0,
         IF(OFFSET(CRONOPLE!$F$15,$M72-$A$15,BU$13)=0,10^12,OFFSET(CRONOPLE!$F$15,$M72-$A$15,BU$13)))</f>
        <v>3</v>
      </c>
      <c r="BV72" s="353" t="n">
        <f aca="true">IF(OR($D72&lt;&gt;"Serviço",AND(AUTOEVENTO="Manual",$M72=$A$15)),0,
         IF(OFFSET(CRONOPLE!$F$15,$M72-$A$15,BV$13)=0,10^12,OFFSET(CRONOPLE!$F$15,$M72-$A$15,BV$13)))</f>
        <v>4</v>
      </c>
      <c r="BW72" s="353" t="n">
        <f aca="true">IF(OR($D72&lt;&gt;"Serviço",AND(AUTOEVENTO="Manual",$M72=$A$15)),0,
         IF(OFFSET(CRONOPLE!$F$15,$M72-$A$15,BW$13)=0,10^12,OFFSET(CRONOPLE!$F$15,$M72-$A$15,BW$13)))</f>
        <v>5</v>
      </c>
      <c r="BX72" s="353" t="n">
        <f aca="true">IF(OR($D72&lt;&gt;"Serviço",AND(AUTOEVENTO="Manual",$M72=$A$15)),0,
         IF(OFFSET(CRONOPLE!$F$15,$M72-$A$15,BX$13)=0,10^12,OFFSET(CRONOPLE!$F$15,$M72-$A$15,BX$13)))</f>
        <v>6</v>
      </c>
      <c r="BY72" s="353" t="n">
        <f aca="true">IF(OR($D72&lt;&gt;"Serviço",AND(AUTOEVENTO="Manual",$M72=$A$15)),0,
         IF(OFFSET(CRONOPLE!$F$15,$M72-$A$15,BY$13)=0,10^12,OFFSET(CRONOPLE!$F$15,$M72-$A$15,BY$13)))</f>
        <v>7</v>
      </c>
      <c r="BZ72" s="353" t="n">
        <f aca="true">IF(OR($D72&lt;&gt;"Serviço",AND(AUTOEVENTO="Manual",$M72=$A$15)),0,
         IF(OFFSET(CRONOPLE!$F$15,$M72-$A$15,BZ$13)=0,10^12,OFFSET(CRONOPLE!$F$15,$M72-$A$15,BZ$13)))</f>
        <v>8</v>
      </c>
      <c r="CA72" s="353" t="n">
        <f aca="true">IF(OR($D72&lt;&gt;"Serviço",AND(AUTOEVENTO="Manual",$M72=$A$15)),0,
         IF(OFFSET(CRONOPLE!$F$15,$M72-$A$15,CA$13)=0,10^12,OFFSET(CRONOPLE!$F$15,$M72-$A$15,CA$13)))</f>
        <v>9</v>
      </c>
      <c r="CB72" s="353" t="n">
        <f aca="true">IF(OR($D72&lt;&gt;"Serviço",AND(AUTOEVENTO="Manual",$M72=$A$15)),0,
         IF(OFFSET(CRONOPLE!$F$15,$M72-$A$15,CB$13)=0,10^12,OFFSET(CRONOPLE!$F$15,$M72-$A$15,CB$13)))</f>
        <v>10</v>
      </c>
      <c r="CC72" s="353" t="n">
        <f aca="true">IF(OR($D72&lt;&gt;"Serviço",AND(AUTOEVENTO="Manual",$M72=$A$15)),0,
         IF(OFFSET(CRONOPLE!$F$15,$M72-$A$15,CC$13)=0,10^12,OFFSET(CRONOPLE!$F$15,$M72-$A$15,CC$13)))</f>
        <v>11</v>
      </c>
      <c r="CD72" s="353" t="n">
        <f aca="true">IF(OR($D72&lt;&gt;"Serviço",AND(AUTOEVENTO="Manual",$M72=$A$15)),0,
         IF(OFFSET(CRONOPLE!$F$15,$M72-$A$15,CD$13)=0,10^12,OFFSET(CRONOPLE!$F$15,$M72-$A$15,CD$13)))</f>
        <v>12</v>
      </c>
      <c r="CE72" s="353" t="n">
        <f aca="true">IF(OR($D72&lt;&gt;"Serviço",AND(AUTOEVENTO="Manual",$M72=$A$15)),0,
         IF(OFFSET(CRONOPLE!$F$15,$M72-$A$15,CE$13)=0,10^12,OFFSET(CRONOPLE!$F$15,$M72-$A$15,CE$13)))</f>
        <v>13</v>
      </c>
      <c r="CF72" s="353" t="n">
        <f aca="true">IF(OR($D72&lt;&gt;"Serviço",AND(AUTOEVENTO="Manual",$M72=$A$15)),0,
         IF(OFFSET(CRONOPLE!$F$15,$M72-$A$15,CF$13)=0,10^12,OFFSET(CRONOPLE!$F$15,$M72-$A$15,CF$13)))</f>
        <v>14</v>
      </c>
      <c r="CG72" s="353" t="n">
        <f aca="true">IF(OR($D72&lt;&gt;"Serviço",AND(AUTOEVENTO="Manual",$M72=$A$15)),0,
         IF(OFFSET(CRONOPLE!$F$15,$M72-$A$15,CG$13)=0,10^12,OFFSET(CRONOPLE!$F$15,$M72-$A$15,CG$13)))</f>
        <v>15</v>
      </c>
      <c r="CH72" s="353" t="n">
        <f aca="true">IF(OR($D72&lt;&gt;"Serviço",AND(AUTOEVENTO="Manual",$M72=$A$15)),0,
         IF(OFFSET(CRONOPLE!$F$15,$M72-$A$15,CH$13)=0,10^12,OFFSET(CRONOPLE!$F$15,$M72-$A$15,CH$13)))</f>
        <v>16</v>
      </c>
      <c r="CI72" s="353" t="n">
        <f aca="true">IF(OR($D72&lt;&gt;"Serviço",AND(AUTOEVENTO="Manual",$M72=$A$15)),0,
         IF(OFFSET(CRONOPLE!$F$15,$M72-$A$15,CI$13)=0,10^12,OFFSET(CRONOPLE!$F$15,$M72-$A$15,CI$13)))</f>
        <v>17</v>
      </c>
      <c r="CJ72" s="353" t="n">
        <f aca="true">IF(OR($D72&lt;&gt;"Serviço",AND(AUTOEVENTO="Manual",$M72=$A$15)),0,
         IF(OFFSET(CRONOPLE!$F$15,$M72-$A$15,CJ$13)=0,10^12,OFFSET(CRONOPLE!$F$15,$M72-$A$15,CJ$13)))</f>
        <v>18</v>
      </c>
      <c r="CK72" s="353" t="n">
        <f aca="true">IF(OR($D72&lt;&gt;"Serviço",AND(AUTOEVENTO="Manual",$M72=$A$15)),0,
         IF(OFFSET(CRONOPLE!$F$15,$M72-$A$15,CK$13)=0,10^12,OFFSET(CRONOPLE!$F$15,$M72-$A$15,CK$13)))</f>
        <v>19</v>
      </c>
      <c r="CL72" s="353" t="n">
        <f aca="true">IF(OR($D72&lt;&gt;"Serviço",AND(AUTOEVENTO="Manual",$M72=$A$15)),0,
         IF(OFFSET(CRONOPLE!$F$15,$M72-$A$15,CL$13)=0,10^12,OFFSET(CRONOPLE!$F$15,$M72-$A$15,CL$13)))</f>
        <v>20</v>
      </c>
      <c r="CM72" s="353" t="n">
        <f aca="true">IF(OR($D72&lt;&gt;"Serviço",AND(AUTOEVENTO="Manual",$M72=$A$15)),0,
         IF(OFFSET(CRONOPLE!$F$15,$M72-$A$15,CM$13)=0,10^12,OFFSET(CRONOPLE!$F$15,$M72-$A$15,CM$13)))</f>
        <v>21</v>
      </c>
      <c r="CN72" s="353" t="n">
        <f aca="true">IF(OR($D72&lt;&gt;"Serviço",AND(AUTOEVENTO="Manual",$M72=$A$15)),0,
         IF(OFFSET(CRONOPLE!$F$15,$M72-$A$15,CN$13)=0,10^12,OFFSET(CRONOPLE!$F$15,$M72-$A$15,CN$13)))</f>
        <v>22</v>
      </c>
      <c r="CO72" s="353" t="n">
        <f aca="true">IF(OR($D72&lt;&gt;"Serviço",AND(AUTOEVENTO="Manual",$M72=$A$15)),0,
         IF(OFFSET(CRONOPLE!$F$15,$M72-$A$15,CO$13)=0,10^12,OFFSET(CRONOPLE!$F$15,$M72-$A$15,CO$13)))</f>
        <v>23</v>
      </c>
      <c r="CP72" s="353" t="n">
        <f aca="true">IF(OR($D72&lt;&gt;"Serviço",AND(AUTOEVENTO="Manual",$M72=$A$15)),0,
         IF(OFFSET(CRONOPLE!$F$15,$M72-$A$15,CP$13)=0,10^12,OFFSET(CRONOPLE!$F$15,$M72-$A$15,CP$13)))</f>
        <v>24</v>
      </c>
      <c r="CQ72" s="353" t="n">
        <f aca="true">IF(OR($D72&lt;&gt;"Serviço",AND(AUTOEVENTO="Manual",$M72=$A$15)),0,
         IF(OFFSET(CRONOPLE!$F$15,$M72-$A$15,CQ$13)=0,10^12,OFFSET(CRONOPLE!$F$15,$M72-$A$15,CQ$13)))</f>
        <v>25</v>
      </c>
      <c r="CR72" s="353" t="n">
        <f aca="true">IF(OR($D72&lt;&gt;"Serviço",AND(AUTOEVENTO="Manual",$M72=$A$15)),0,
         IF(OFFSET(CRONOPLE!$F$15,$M72-$A$15,CR$13)=0,10^12,OFFSET(CRONOPLE!$F$15,$M72-$A$15,CR$13)))</f>
        <v>1000000000000</v>
      </c>
      <c r="CT72" s="354" t="n">
        <f aca="true">IF(OR($D72&lt;&gt;"Serviço",AND(AUTOEVENTO="Manual",$M72=$A$15),$M72&gt;(ROW(PLE.lastrow)-ROW(PLE.firstrow))),0,
           IF(OFFSET(PLE!$G$15,$M72-$A$15,CT$13)="",10^12,OFFSET(PLE!$G$15,$M72-$A$15,CT$13)))</f>
        <v>1000000000000</v>
      </c>
      <c r="CU72" s="354" t="n">
        <f aca="true">IF(OR($D72&lt;&gt;"Serviço",AND(AUTOEVENTO="Manual",$M72=$A$15),$M72&gt;(ROW(PLE.lastrow)-ROW(PLE.firstrow))),0,
           IF(OFFSET(PLE!$G$15,$M72-$A$15,CU$13)="",10^12,OFFSET(PLE!$G$15,$M72-$A$15,CU$13)))</f>
        <v>1000000000000</v>
      </c>
      <c r="CV72" s="354" t="n">
        <f aca="true">IF(OR($D72&lt;&gt;"Serviço",AND(AUTOEVENTO="Manual",$M72=$A$15),$M72&gt;(ROW(PLE.lastrow)-ROW(PLE.firstrow))),0,
           IF(OFFSET(PLE!$G$15,$M72-$A$15,CV$13)="",10^12,OFFSET(PLE!$G$15,$M72-$A$15,CV$13)))</f>
        <v>1000000000000</v>
      </c>
      <c r="CW72" s="354" t="n">
        <f aca="true">IF(OR($D72&lt;&gt;"Serviço",AND(AUTOEVENTO="Manual",$M72=$A$15),$M72&gt;(ROW(PLE.lastrow)-ROW(PLE.firstrow))),0,
           IF(OFFSET(PLE!$G$15,$M72-$A$15,CW$13)="",10^12,OFFSET(PLE!$G$15,$M72-$A$15,CW$13)))</f>
        <v>1000000000000</v>
      </c>
      <c r="CX72" s="354" t="n">
        <f aca="true">IF(OR($D72&lt;&gt;"Serviço",AND(AUTOEVENTO="Manual",$M72=$A$15),$M72&gt;(ROW(PLE.lastrow)-ROW(PLE.firstrow))),0,
           IF(OFFSET(PLE!$G$15,$M72-$A$15,CX$13)="",10^12,OFFSET(PLE!$G$15,$M72-$A$15,CX$13)))</f>
        <v>1000000000000</v>
      </c>
      <c r="CY72" s="354" t="n">
        <f aca="true">IF(OR($D72&lt;&gt;"Serviço",AND(AUTOEVENTO="Manual",$M72=$A$15),$M72&gt;(ROW(PLE.lastrow)-ROW(PLE.firstrow))),0,
           IF(OFFSET(PLE!$G$15,$M72-$A$15,CY$13)="",10^12,OFFSET(PLE!$G$15,$M72-$A$15,CY$13)))</f>
        <v>1000000000000</v>
      </c>
      <c r="CZ72" s="354" t="n">
        <f aca="true">IF(OR($D72&lt;&gt;"Serviço",AND(AUTOEVENTO="Manual",$M72=$A$15),$M72&gt;(ROW(PLE.lastrow)-ROW(PLE.firstrow))),0,
           IF(OFFSET(PLE!$G$15,$M72-$A$15,CZ$13)="",10^12,OFFSET(PLE!$G$15,$M72-$A$15,CZ$13)))</f>
        <v>1000000000000</v>
      </c>
      <c r="DA72" s="354" t="n">
        <f aca="true">IF(OR($D72&lt;&gt;"Serviço",AND(AUTOEVENTO="Manual",$M72=$A$15),$M72&gt;(ROW(PLE.lastrow)-ROW(PLE.firstrow))),0,
           IF(OFFSET(PLE!$G$15,$M72-$A$15,DA$13)="",10^12,OFFSET(PLE!$G$15,$M72-$A$15,DA$13)))</f>
        <v>1000000000000</v>
      </c>
      <c r="DB72" s="354" t="n">
        <f aca="true">IF(OR($D72&lt;&gt;"Serviço",AND(AUTOEVENTO="Manual",$M72=$A$15),$M72&gt;(ROW(PLE.lastrow)-ROW(PLE.firstrow))),0,
           IF(OFFSET(PLE!$G$15,$M72-$A$15,DB$13)="",10^12,OFFSET(PLE!$G$15,$M72-$A$15,DB$13)))</f>
        <v>1000000000000</v>
      </c>
      <c r="DC72" s="354" t="n">
        <f aca="true">IF(OR($D72&lt;&gt;"Serviço",AND(AUTOEVENTO="Manual",$M72=$A$15),$M72&gt;(ROW(PLE.lastrow)-ROW(PLE.firstrow))),0,
           IF(OFFSET(PLE!$G$15,$M72-$A$15,DC$13)="",10^12,OFFSET(PLE!$G$15,$M72-$A$15,DC$13)))</f>
        <v>1000000000000</v>
      </c>
      <c r="DD72" s="354" t="n">
        <f aca="true">IF(OR($D72&lt;&gt;"Serviço",AND(AUTOEVENTO="Manual",$M72=$A$15),$M72&gt;(ROW(PLE.lastrow)-ROW(PLE.firstrow))),0,
           IF(OFFSET(PLE!$G$15,$M72-$A$15,DD$13)="",10^12,OFFSET(PLE!$G$15,$M72-$A$15,DD$13)))</f>
        <v>1000000000000</v>
      </c>
      <c r="DE72" s="354" t="n">
        <f aca="true">IF(OR($D72&lt;&gt;"Serviço",AND(AUTOEVENTO="Manual",$M72=$A$15),$M72&gt;(ROW(PLE.lastrow)-ROW(PLE.firstrow))),0,
           IF(OFFSET(PLE!$G$15,$M72-$A$15,DE$13)="",10^12,OFFSET(PLE!$G$15,$M72-$A$15,DE$13)))</f>
        <v>1000000000000</v>
      </c>
      <c r="DF72" s="354" t="n">
        <f aca="true">IF(OR($D72&lt;&gt;"Serviço",AND(AUTOEVENTO="Manual",$M72=$A$15),$M72&gt;(ROW(PLE.lastrow)-ROW(PLE.firstrow))),0,
           IF(OFFSET(PLE!$G$15,$M72-$A$15,DF$13)="",10^12,OFFSET(PLE!$G$15,$M72-$A$15,DF$13)))</f>
        <v>1000000000000</v>
      </c>
      <c r="DG72" s="354" t="n">
        <f aca="true">IF(OR($D72&lt;&gt;"Serviço",AND(AUTOEVENTO="Manual",$M72=$A$15),$M72&gt;(ROW(PLE.lastrow)-ROW(PLE.firstrow))),0,
           IF(OFFSET(PLE!$G$15,$M72-$A$15,DG$13)="",10^12,OFFSET(PLE!$G$15,$M72-$A$15,DG$13)))</f>
        <v>1000000000000</v>
      </c>
      <c r="DH72" s="354" t="n">
        <f aca="true">IF(OR($D72&lt;&gt;"Serviço",AND(AUTOEVENTO="Manual",$M72=$A$15),$M72&gt;(ROW(PLE.lastrow)-ROW(PLE.firstrow))),0,
           IF(OFFSET(PLE!$G$15,$M72-$A$15,DH$13)="",10^12,OFFSET(PLE!$G$15,$M72-$A$15,DH$13)))</f>
        <v>1000000000000</v>
      </c>
      <c r="DI72" s="354" t="n">
        <f aca="true">IF(OR($D72&lt;&gt;"Serviço",AND(AUTOEVENTO="Manual",$M72=$A$15),$M72&gt;(ROW(PLE.lastrow)-ROW(PLE.firstrow))),0,
           IF(OFFSET(PLE!$G$15,$M72-$A$15,DI$13)="",10^12,OFFSET(PLE!$G$15,$M72-$A$15,DI$13)))</f>
        <v>1000000000000</v>
      </c>
      <c r="DJ72" s="354" t="n">
        <f aca="true">IF(OR($D72&lt;&gt;"Serviço",AND(AUTOEVENTO="Manual",$M72=$A$15),$M72&gt;(ROW(PLE.lastrow)-ROW(PLE.firstrow))),0,
           IF(OFFSET(PLE!$G$15,$M72-$A$15,DJ$13)="",10^12,OFFSET(PLE!$G$15,$M72-$A$15,DJ$13)))</f>
        <v>1000000000000</v>
      </c>
      <c r="DK72" s="354" t="n">
        <f aca="true">IF(OR($D72&lt;&gt;"Serviço",AND(AUTOEVENTO="Manual",$M72=$A$15),$M72&gt;(ROW(PLE.lastrow)-ROW(PLE.firstrow))),0,
           IF(OFFSET(PLE!$G$15,$M72-$A$15,DK$13)="",10^12,OFFSET(PLE!$G$15,$M72-$A$15,DK$13)))</f>
        <v>1000000000000</v>
      </c>
      <c r="DL72" s="354" t="n">
        <f aca="true">IF(OR($D72&lt;&gt;"Serviço",AND(AUTOEVENTO="Manual",$M72=$A$15),$M72&gt;(ROW(PLE.lastrow)-ROW(PLE.firstrow))),0,
           IF(OFFSET(PLE!$G$15,$M72-$A$15,DL$13)="",10^12,OFFSET(PLE!$G$15,$M72-$A$15,DL$13)))</f>
        <v>1000000000000</v>
      </c>
      <c r="DM72" s="354" t="n">
        <f aca="true">IF(OR($D72&lt;&gt;"Serviço",AND(AUTOEVENTO="Manual",$M72=$A$15),$M72&gt;(ROW(PLE.lastrow)-ROW(PLE.firstrow))),0,
           IF(OFFSET(PLE!$G$15,$M72-$A$15,DM$13)="",10^12,OFFSET(PLE!$G$15,$M72-$A$15,DM$13)))</f>
        <v>1000000000000</v>
      </c>
      <c r="DN72" s="354" t="n">
        <f aca="true">IF(OR($D72&lt;&gt;"Serviço",AND(AUTOEVENTO="Manual",$M72=$A$15),$M72&gt;(ROW(PLE.lastrow)-ROW(PLE.firstrow))),0,
           IF(OFFSET(PLE!$G$15,$M72-$A$15,DN$13)="",10^12,OFFSET(PLE!$G$15,$M72-$A$15,DN$13)))</f>
        <v>1000000000000</v>
      </c>
      <c r="DO72" s="354" t="n">
        <f aca="true">IF(OR($D72&lt;&gt;"Serviço",AND(AUTOEVENTO="Manual",$M72=$A$15),$M72&gt;(ROW(PLE.lastrow)-ROW(PLE.firstrow))),0,
           IF(OFFSET(PLE!$G$15,$M72-$A$15,DO$13)="",10^12,OFFSET(PLE!$G$15,$M72-$A$15,DO$13)))</f>
        <v>1000000000000</v>
      </c>
      <c r="DP72" s="354" t="n">
        <f aca="true">IF(OR($D72&lt;&gt;"Serviço",AND(AUTOEVENTO="Manual",$M72=$A$15),$M72&gt;(ROW(PLE.lastrow)-ROW(PLE.firstrow))),0,
           IF(OFFSET(PLE!$G$15,$M72-$A$15,DP$13)="",10^12,OFFSET(PLE!$G$15,$M72-$A$15,DP$13)))</f>
        <v>1000000000000</v>
      </c>
      <c r="DQ72" s="354" t="n">
        <f aca="true">IF(OR($D72&lt;&gt;"Serviço",AND(AUTOEVENTO="Manual",$M72=$A$15),$M72&gt;(ROW(PLE.lastrow)-ROW(PLE.firstrow))),0,
           IF(OFFSET(PLE!$G$15,$M72-$A$15,DQ$13)="",10^12,OFFSET(PLE!$G$15,$M72-$A$15,DQ$13)))</f>
        <v>1000000000000</v>
      </c>
      <c r="DR72" s="354" t="n">
        <f aca="true">IF(OR($D72&lt;&gt;"Serviço",AND(AUTOEVENTO="Manual",$M72=$A$15),$M72&gt;(ROW(PLE.lastrow)-ROW(PLE.firstrow))),0,
           IF(OFFSET(PLE!$G$15,$M72-$A$15,DR$13)="",10^12,OFFSET(PLE!$G$15,$M72-$A$15,DR$13)))</f>
        <v>1000000000000</v>
      </c>
      <c r="DS72" s="354" t="n">
        <f aca="true">IF(OR($D72&lt;&gt;"Serviço",AND(AUTOEVENTO="Manual",$M72=$A$15),$M72&gt;(ROW(PLE.lastrow)-ROW(PLE.firstrow))),0,
           IF(OFFSET(PLE!$G$15,$M72-$A$15,DS$13)="",10^12,OFFSET(PLE!$G$15,$M72-$A$15,DS$13)))</f>
        <v>1000000000000</v>
      </c>
    </row>
    <row r="73" customFormat="false" ht="12.75" hidden="false" customHeight="false" outlineLevel="0" collapsed="false">
      <c r="A73" s="50" t="str">
        <f aca="true">IFERROR(IF(AUTOEVENTO="Manual",IF(K73&lt;&gt;"",MIN(VALUE(LEFT(K73,FIND(".",K73)-1)),COUNTA(EVENTOS.Lista)),0),IF(OR($B73&gt;AUTOEVENTO,$B73="S",$B73=0),SUBSTITUTE(OFFSET($A73,-1,0),IF($D73="Serviço",".",""),""),ROW(A73)-ROW($A$15)&amp;".")),0)</f>
        <v>53</v>
      </c>
      <c r="B73" s="50" t="str">
        <f aca="true">OFFSET(ORÇAMENTO!C$15,ROW(B73)-ROW(B$15),0)</f>
        <v>S</v>
      </c>
      <c r="C73" s="50" t="str">
        <f aca="true">OFFSET(ORÇAMENTO!L$15,ROW(C73)-ROW(C$15),0)</f>
        <v>F</v>
      </c>
      <c r="D73" s="201" t="str">
        <f aca="true">OFFSET(ORÇAMENTO!N$15,ROW(D73)-ROW(D$15),0)</f>
        <v>Serviço</v>
      </c>
      <c r="E73" s="202" t="str">
        <f aca="true">OFFSET(ORÇAMENTO!O$15,ROW(E73)-ROW(E$15),0)</f>
        <v>1.15.5.</v>
      </c>
      <c r="F73" s="341" t="str">
        <f aca="true">OFFSET(ORÇAMENTO!R$15,ROW(F73)-ROW(F$15),0)</f>
        <v>CHAPIM (RUFO CAPA) EM AÇO GALVANIZADO, CORTE 33</v>
      </c>
      <c r="G73" s="342" t="str">
        <f aca="true">IF($D73&lt;&gt;"Serviço","",OFFSET(ORÇAMENTO!S$15,ROW(G73)-ROW(G$15),0))</f>
        <v>M</v>
      </c>
      <c r="H73" s="207" t="n">
        <f aca="true">IF($D73&lt;&gt;"Serviço",0,IF(ACOMPANHAMENTO="BM",ROUND(OFFSET(ORÇAMENTO!AJ$15,ROW(H73)-ROW(H$15),0),15-13*ORÇAMENTO!$AF$7),SUMPRODUCT(($Q$1:$AQ$1=1)*ROUND($Q73:$AQ73,15-13*ORÇAMENTO!$AF$7))))</f>
        <v>757.5</v>
      </c>
      <c r="I73" s="343" t="s">
        <v>951</v>
      </c>
      <c r="J73" s="344" t="e">
        <f aca="false">IF(OR(B73&lt;&gt;"S",CÁLCULO.FrentesPreenchidas=0),"",IF(AND(ACOMPANHAMENTO="PLE",AUTOEVENTO="Manual",OR(H73&gt;0,ORÇAMENTO!AC73="QUANT."),OR(K73="",M73=0,N73="")),"►",IF(AND(ACOMPANHAMENTO="PLE",ORÇAMENTO!AC73="QUANT."),"►►",IF(AND(COUNTIF($P$11:$AQ$11,"▼")=0,H73&gt;0,I73=""),"◄",""))))</f>
        <v>#NAME?</v>
      </c>
      <c r="K73" s="345"/>
      <c r="L73" s="346" t="s">
        <v>876</v>
      </c>
      <c r="M73" s="347" t="n">
        <f aca="true">IF($D73&lt;&gt;"Serviço","",
          IF(AUTOEVENTO="manual",$A73,
                IF(ISERROR(MATCH($A73,$A$15:OFFSET($A73,-1,0),0)),MAX($M$15:OFFSET(M73,-1,0))+1,
                      INDEX($M$15:OFFSET(M73,-1,0),MATCH($A73,$A$15:OFFSET($A73,-1,0),0)))))</f>
        <v>11</v>
      </c>
      <c r="N73" s="348" t="str">
        <f aca="true">IF($D73&lt;&gt;"Serviço","",
         IF(AUTOEVENTO="Manual",
                IF($A73=0,"&lt;-- defina o número do agrupador",
                       OFFSET(EVENTOS!$D$15,$A73-$A$15,0)),
                OFFSET($F$15,$A73,0)))</f>
        <v>COBERTURA E PROTEÇÕES</v>
      </c>
      <c r="O73" s="349"/>
      <c r="Q73" s="349" t="n">
        <v>30.3</v>
      </c>
      <c r="R73" s="350" t="n">
        <f aca="false">Q73</f>
        <v>30.3</v>
      </c>
      <c r="S73" s="350" t="n">
        <f aca="false">R73</f>
        <v>30.3</v>
      </c>
      <c r="T73" s="350" t="n">
        <f aca="false">S73</f>
        <v>30.3</v>
      </c>
      <c r="U73" s="350" t="n">
        <f aca="false">T73</f>
        <v>30.3</v>
      </c>
      <c r="V73" s="350" t="n">
        <f aca="false">U73</f>
        <v>30.3</v>
      </c>
      <c r="W73" s="350" t="n">
        <f aca="false">V73</f>
        <v>30.3</v>
      </c>
      <c r="X73" s="350" t="n">
        <f aca="false">W73</f>
        <v>30.3</v>
      </c>
      <c r="Y73" s="350" t="n">
        <f aca="false">X73</f>
        <v>30.3</v>
      </c>
      <c r="Z73" s="351" t="n">
        <f aca="false">Y73</f>
        <v>30.3</v>
      </c>
      <c r="AA73" s="350" t="n">
        <f aca="false">Z73</f>
        <v>30.3</v>
      </c>
      <c r="AB73" s="350" t="n">
        <f aca="false">AA73</f>
        <v>30.3</v>
      </c>
      <c r="AC73" s="350" t="n">
        <f aca="false">AB73</f>
        <v>30.3</v>
      </c>
      <c r="AD73" s="350" t="n">
        <f aca="false">AC73</f>
        <v>30.3</v>
      </c>
      <c r="AE73" s="350" t="n">
        <f aca="false">AD73</f>
        <v>30.3</v>
      </c>
      <c r="AF73" s="350" t="n">
        <f aca="false">AE73</f>
        <v>30.3</v>
      </c>
      <c r="AG73" s="350" t="n">
        <f aca="false">AF73</f>
        <v>30.3</v>
      </c>
      <c r="AH73" s="351" t="n">
        <f aca="false">AG73</f>
        <v>30.3</v>
      </c>
      <c r="AI73" s="350" t="n">
        <f aca="false">AH73</f>
        <v>30.3</v>
      </c>
      <c r="AJ73" s="350" t="n">
        <f aca="false">AI73</f>
        <v>30.3</v>
      </c>
      <c r="AK73" s="350" t="n">
        <f aca="false">AJ73</f>
        <v>30.3</v>
      </c>
      <c r="AL73" s="350" t="n">
        <f aca="false">AK73</f>
        <v>30.3</v>
      </c>
      <c r="AM73" s="350" t="n">
        <f aca="false">AL73</f>
        <v>30.3</v>
      </c>
      <c r="AN73" s="350" t="n">
        <f aca="false">AM73</f>
        <v>30.3</v>
      </c>
      <c r="AO73" s="350" t="n">
        <f aca="false">AN73</f>
        <v>30.3</v>
      </c>
      <c r="AP73" s="351"/>
      <c r="AR73" s="352" t="n">
        <f aca="true">IF(AND($D73="Serviço",AR$12&lt;&gt;0,$H73&gt;0,OR(AUTOEVENTO&lt;&gt;"manual",$M73&lt;&gt;$A$15)),
        IF(Import.TipoArredondamento&lt;&gt;"TransfereGOV",
              ROUND(OFFSET($P73,0,AR$13),15-13*ORÇAMENTO!$AF$7)/$H73*OFFSET(ORÇAMENTO!$X$15,ROW(AR73)-ROW(AR$15),0),
              ROUND(ROUND(OFFSET($P73,0,AR$13),15-13*ORÇAMENTO!$AF$7)*OFFSET(ORÇAMENTO!$W$15,ROW(AR73)-ROW(AR$15),0),15-13*ORÇAMENTO!$AF$11)),
         0)</f>
        <v>1743.77</v>
      </c>
      <c r="AS73" s="352" t="n">
        <f aca="true">IF(AND($D73="Serviço",AS$12&lt;&gt;0,$H73&gt;0,OR(AUTOEVENTO&lt;&gt;"manual",$M73&lt;&gt;$A$15)),
        IF(Import.TipoArredondamento&lt;&gt;"TransfereGOV",
              ROUND(OFFSET($P73,0,AS$13),15-13*ORÇAMENTO!$AF$7)/$H73*OFFSET(ORÇAMENTO!$X$15,ROW(AS73)-ROW(AS$15),0),
              ROUND(ROUND(OFFSET($P73,0,AS$13),15-13*ORÇAMENTO!$AF$7)*OFFSET(ORÇAMENTO!$W$15,ROW(AS73)-ROW(AS$15),0),15-13*ORÇAMENTO!$AF$11)),
         0)</f>
        <v>1743.77</v>
      </c>
      <c r="AT73" s="352" t="n">
        <f aca="true">IF(AND($D73="Serviço",AT$12&lt;&gt;0,$H73&gt;0,OR(AUTOEVENTO&lt;&gt;"manual",$M73&lt;&gt;$A$15)),
        IF(Import.TipoArredondamento&lt;&gt;"TransfereGOV",
              ROUND(OFFSET($P73,0,AT$13),15-13*ORÇAMENTO!$AF$7)/$H73*OFFSET(ORÇAMENTO!$X$15,ROW(AT73)-ROW(AT$15),0),
              ROUND(ROUND(OFFSET($P73,0,AT$13),15-13*ORÇAMENTO!$AF$7)*OFFSET(ORÇAMENTO!$W$15,ROW(AT73)-ROW(AT$15),0),15-13*ORÇAMENTO!$AF$11)),
         0)</f>
        <v>1743.77</v>
      </c>
      <c r="AU73" s="352" t="n">
        <f aca="true">IF(AND($D73="Serviço",AU$12&lt;&gt;0,$H73&gt;0,OR(AUTOEVENTO&lt;&gt;"manual",$M73&lt;&gt;$A$15)),
        IF(Import.TipoArredondamento&lt;&gt;"TransfereGOV",
              ROUND(OFFSET($P73,0,AU$13),15-13*ORÇAMENTO!$AF$7)/$H73*OFFSET(ORÇAMENTO!$X$15,ROW(AU73)-ROW(AU$15),0),
              ROUND(ROUND(OFFSET($P73,0,AU$13),15-13*ORÇAMENTO!$AF$7)*OFFSET(ORÇAMENTO!$W$15,ROW(AU73)-ROW(AU$15),0),15-13*ORÇAMENTO!$AF$11)),
         0)</f>
        <v>1743.77</v>
      </c>
      <c r="AV73" s="352" t="n">
        <f aca="true">IF(AND($D73="Serviço",AV$12&lt;&gt;0,$H73&gt;0,OR(AUTOEVENTO&lt;&gt;"manual",$M73&lt;&gt;$A$15)),
        IF(Import.TipoArredondamento&lt;&gt;"TransfereGOV",
              ROUND(OFFSET($P73,0,AV$13),15-13*ORÇAMENTO!$AF$7)/$H73*OFFSET(ORÇAMENTO!$X$15,ROW(AV73)-ROW(AV$15),0),
              ROUND(ROUND(OFFSET($P73,0,AV$13),15-13*ORÇAMENTO!$AF$7)*OFFSET(ORÇAMENTO!$W$15,ROW(AV73)-ROW(AV$15),0),15-13*ORÇAMENTO!$AF$11)),
         0)</f>
        <v>1743.77</v>
      </c>
      <c r="AW73" s="352" t="n">
        <f aca="true">IF(AND($D73="Serviço",AW$12&lt;&gt;0,$H73&gt;0,OR(AUTOEVENTO&lt;&gt;"manual",$M73&lt;&gt;$A$15)),
        IF(Import.TipoArredondamento&lt;&gt;"TransfereGOV",
              ROUND(OFFSET($P73,0,AW$13),15-13*ORÇAMENTO!$AF$7)/$H73*OFFSET(ORÇAMENTO!$X$15,ROW(AW73)-ROW(AW$15),0),
              ROUND(ROUND(OFFSET($P73,0,AW$13),15-13*ORÇAMENTO!$AF$7)*OFFSET(ORÇAMENTO!$W$15,ROW(AW73)-ROW(AW$15),0),15-13*ORÇAMENTO!$AF$11)),
         0)</f>
        <v>1743.77</v>
      </c>
      <c r="AX73" s="352" t="n">
        <f aca="true">IF(AND($D73="Serviço",AX$12&lt;&gt;0,$H73&gt;0,OR(AUTOEVENTO&lt;&gt;"manual",$M73&lt;&gt;$A$15)),
        IF(Import.TipoArredondamento&lt;&gt;"TransfereGOV",
              ROUND(OFFSET($P73,0,AX$13),15-13*ORÇAMENTO!$AF$7)/$H73*OFFSET(ORÇAMENTO!$X$15,ROW(AX73)-ROW(AX$15),0),
              ROUND(ROUND(OFFSET($P73,0,AX$13),15-13*ORÇAMENTO!$AF$7)*OFFSET(ORÇAMENTO!$W$15,ROW(AX73)-ROW(AX$15),0),15-13*ORÇAMENTO!$AF$11)),
         0)</f>
        <v>1743.77</v>
      </c>
      <c r="AY73" s="352" t="n">
        <f aca="true">IF(AND($D73="Serviço",AY$12&lt;&gt;0,$H73&gt;0,OR(AUTOEVENTO&lt;&gt;"manual",$M73&lt;&gt;$A$15)),
        IF(Import.TipoArredondamento&lt;&gt;"TransfereGOV",
              ROUND(OFFSET($P73,0,AY$13),15-13*ORÇAMENTO!$AF$7)/$H73*OFFSET(ORÇAMENTO!$X$15,ROW(AY73)-ROW(AY$15),0),
              ROUND(ROUND(OFFSET($P73,0,AY$13),15-13*ORÇAMENTO!$AF$7)*OFFSET(ORÇAMENTO!$W$15,ROW(AY73)-ROW(AY$15),0),15-13*ORÇAMENTO!$AF$11)),
         0)</f>
        <v>1743.77</v>
      </c>
      <c r="AZ73" s="352" t="n">
        <f aca="true">IF(AND($D73="Serviço",AZ$12&lt;&gt;0,$H73&gt;0,OR(AUTOEVENTO&lt;&gt;"manual",$M73&lt;&gt;$A$15)),
        IF(Import.TipoArredondamento&lt;&gt;"TransfereGOV",
              ROUND(OFFSET($P73,0,AZ$13),15-13*ORÇAMENTO!$AF$7)/$H73*OFFSET(ORÇAMENTO!$X$15,ROW(AZ73)-ROW(AZ$15),0),
              ROUND(ROUND(OFFSET($P73,0,AZ$13),15-13*ORÇAMENTO!$AF$7)*OFFSET(ORÇAMENTO!$W$15,ROW(AZ73)-ROW(AZ$15),0),15-13*ORÇAMENTO!$AF$11)),
         0)</f>
        <v>1743.77</v>
      </c>
      <c r="BA73" s="352" t="n">
        <f aca="true">IF(AND($D73="Serviço",BA$12&lt;&gt;0,$H73&gt;0,OR(AUTOEVENTO&lt;&gt;"manual",$M73&lt;&gt;$A$15)),
        IF(Import.TipoArredondamento&lt;&gt;"TransfereGOV",
              ROUND(OFFSET($P73,0,BA$13),15-13*ORÇAMENTO!$AF$7)/$H73*OFFSET(ORÇAMENTO!$X$15,ROW(BA73)-ROW(BA$15),0),
              ROUND(ROUND(OFFSET($P73,0,BA$13),15-13*ORÇAMENTO!$AF$7)*OFFSET(ORÇAMENTO!$W$15,ROW(BA73)-ROW(BA$15),0),15-13*ORÇAMENTO!$AF$11)),
         0)</f>
        <v>1743.77</v>
      </c>
      <c r="BB73" s="352" t="n">
        <f aca="true">IF(AND($D73="Serviço",BB$12&lt;&gt;0,$H73&gt;0,OR(AUTOEVENTO&lt;&gt;"manual",$M73&lt;&gt;$A$15)),
        IF(Import.TipoArredondamento&lt;&gt;"TransfereGOV",
              ROUND(OFFSET($P73,0,BB$13),15-13*ORÇAMENTO!$AF$7)/$H73*OFFSET(ORÇAMENTO!$X$15,ROW(BB73)-ROW(BB$15),0),
              ROUND(ROUND(OFFSET($P73,0,BB$13),15-13*ORÇAMENTO!$AF$7)*OFFSET(ORÇAMENTO!$W$15,ROW(BB73)-ROW(BB$15),0),15-13*ORÇAMENTO!$AF$11)),
         0)</f>
        <v>1743.77</v>
      </c>
      <c r="BC73" s="352" t="n">
        <f aca="true">IF(AND($D73="Serviço",BC$12&lt;&gt;0,$H73&gt;0,OR(AUTOEVENTO&lt;&gt;"manual",$M73&lt;&gt;$A$15)),
        IF(Import.TipoArredondamento&lt;&gt;"TransfereGOV",
              ROUND(OFFSET($P73,0,BC$13),15-13*ORÇAMENTO!$AF$7)/$H73*OFFSET(ORÇAMENTO!$X$15,ROW(BC73)-ROW(BC$15),0),
              ROUND(ROUND(OFFSET($P73,0,BC$13),15-13*ORÇAMENTO!$AF$7)*OFFSET(ORÇAMENTO!$W$15,ROW(BC73)-ROW(BC$15),0),15-13*ORÇAMENTO!$AF$11)),
         0)</f>
        <v>1743.77</v>
      </c>
      <c r="BD73" s="352" t="n">
        <f aca="true">IF(AND($D73="Serviço",BD$12&lt;&gt;0,$H73&gt;0,OR(AUTOEVENTO&lt;&gt;"manual",$M73&lt;&gt;$A$15)),
        IF(Import.TipoArredondamento&lt;&gt;"TransfereGOV",
              ROUND(OFFSET($P73,0,BD$13),15-13*ORÇAMENTO!$AF$7)/$H73*OFFSET(ORÇAMENTO!$X$15,ROW(BD73)-ROW(BD$15),0),
              ROUND(ROUND(OFFSET($P73,0,BD$13),15-13*ORÇAMENTO!$AF$7)*OFFSET(ORÇAMENTO!$W$15,ROW(BD73)-ROW(BD$15),0),15-13*ORÇAMENTO!$AF$11)),
         0)</f>
        <v>1743.77</v>
      </c>
      <c r="BE73" s="352" t="n">
        <f aca="true">IF(AND($D73="Serviço",BE$12&lt;&gt;0,$H73&gt;0,OR(AUTOEVENTO&lt;&gt;"manual",$M73&lt;&gt;$A$15)),
        IF(Import.TipoArredondamento&lt;&gt;"TransfereGOV",
              ROUND(OFFSET($P73,0,BE$13),15-13*ORÇAMENTO!$AF$7)/$H73*OFFSET(ORÇAMENTO!$X$15,ROW(BE73)-ROW(BE$15),0),
              ROUND(ROUND(OFFSET($P73,0,BE$13),15-13*ORÇAMENTO!$AF$7)*OFFSET(ORÇAMENTO!$W$15,ROW(BE73)-ROW(BE$15),0),15-13*ORÇAMENTO!$AF$11)),
         0)</f>
        <v>1743.77</v>
      </c>
      <c r="BF73" s="352" t="n">
        <f aca="true">IF(AND($D73="Serviço",BF$12&lt;&gt;0,$H73&gt;0,OR(AUTOEVENTO&lt;&gt;"manual",$M73&lt;&gt;$A$15)),
        IF(Import.TipoArredondamento&lt;&gt;"TransfereGOV",
              ROUND(OFFSET($P73,0,BF$13),15-13*ORÇAMENTO!$AF$7)/$H73*OFFSET(ORÇAMENTO!$X$15,ROW(BF73)-ROW(BF$15),0),
              ROUND(ROUND(OFFSET($P73,0,BF$13),15-13*ORÇAMENTO!$AF$7)*OFFSET(ORÇAMENTO!$W$15,ROW(BF73)-ROW(BF$15),0),15-13*ORÇAMENTO!$AF$11)),
         0)</f>
        <v>1743.77</v>
      </c>
      <c r="BG73" s="352" t="n">
        <f aca="true">IF(AND($D73="Serviço",BG$12&lt;&gt;0,$H73&gt;0,OR(AUTOEVENTO&lt;&gt;"manual",$M73&lt;&gt;$A$15)),
        IF(Import.TipoArredondamento&lt;&gt;"TransfereGOV",
              ROUND(OFFSET($P73,0,BG$13),15-13*ORÇAMENTO!$AF$7)/$H73*OFFSET(ORÇAMENTO!$X$15,ROW(BG73)-ROW(BG$15),0),
              ROUND(ROUND(OFFSET($P73,0,BG$13),15-13*ORÇAMENTO!$AF$7)*OFFSET(ORÇAMENTO!$W$15,ROW(BG73)-ROW(BG$15),0),15-13*ORÇAMENTO!$AF$11)),
         0)</f>
        <v>1743.77</v>
      </c>
      <c r="BH73" s="352" t="n">
        <f aca="true">IF(AND($D73="Serviço",BH$12&lt;&gt;0,$H73&gt;0,OR(AUTOEVENTO&lt;&gt;"manual",$M73&lt;&gt;$A$15)),
        IF(Import.TipoArredondamento&lt;&gt;"TransfereGOV",
              ROUND(OFFSET($P73,0,BH$13),15-13*ORÇAMENTO!$AF$7)/$H73*OFFSET(ORÇAMENTO!$X$15,ROW(BH73)-ROW(BH$15),0),
              ROUND(ROUND(OFFSET($P73,0,BH$13),15-13*ORÇAMENTO!$AF$7)*OFFSET(ORÇAMENTO!$W$15,ROW(BH73)-ROW(BH$15),0),15-13*ORÇAMENTO!$AF$11)),
         0)</f>
        <v>1743.77</v>
      </c>
      <c r="BI73" s="352" t="n">
        <f aca="true">IF(AND($D73="Serviço",BI$12&lt;&gt;0,$H73&gt;0,OR(AUTOEVENTO&lt;&gt;"manual",$M73&lt;&gt;$A$15)),
        IF(Import.TipoArredondamento&lt;&gt;"TransfereGOV",
              ROUND(OFFSET($P73,0,BI$13),15-13*ORÇAMENTO!$AF$7)/$H73*OFFSET(ORÇAMENTO!$X$15,ROW(BI73)-ROW(BI$15),0),
              ROUND(ROUND(OFFSET($P73,0,BI$13),15-13*ORÇAMENTO!$AF$7)*OFFSET(ORÇAMENTO!$W$15,ROW(BI73)-ROW(BI$15),0),15-13*ORÇAMENTO!$AF$11)),
         0)</f>
        <v>1743.77</v>
      </c>
      <c r="BJ73" s="352" t="n">
        <f aca="true">IF(AND($D73="Serviço",BJ$12&lt;&gt;0,$H73&gt;0,OR(AUTOEVENTO&lt;&gt;"manual",$M73&lt;&gt;$A$15)),
        IF(Import.TipoArredondamento&lt;&gt;"TransfereGOV",
              ROUND(OFFSET($P73,0,BJ$13),15-13*ORÇAMENTO!$AF$7)/$H73*OFFSET(ORÇAMENTO!$X$15,ROW(BJ73)-ROW(BJ$15),0),
              ROUND(ROUND(OFFSET($P73,0,BJ$13),15-13*ORÇAMENTO!$AF$7)*OFFSET(ORÇAMENTO!$W$15,ROW(BJ73)-ROW(BJ$15),0),15-13*ORÇAMENTO!$AF$11)),
         0)</f>
        <v>1743.77</v>
      </c>
      <c r="BK73" s="352" t="n">
        <f aca="true">IF(AND($D73="Serviço",BK$12&lt;&gt;0,$H73&gt;0,OR(AUTOEVENTO&lt;&gt;"manual",$M73&lt;&gt;$A$15)),
        IF(Import.TipoArredondamento&lt;&gt;"TransfereGOV",
              ROUND(OFFSET($P73,0,BK$13),15-13*ORÇAMENTO!$AF$7)/$H73*OFFSET(ORÇAMENTO!$X$15,ROW(BK73)-ROW(BK$15),0),
              ROUND(ROUND(OFFSET($P73,0,BK$13),15-13*ORÇAMENTO!$AF$7)*OFFSET(ORÇAMENTO!$W$15,ROW(BK73)-ROW(BK$15),0),15-13*ORÇAMENTO!$AF$11)),
         0)</f>
        <v>1743.77</v>
      </c>
      <c r="BL73" s="352" t="n">
        <f aca="true">IF(AND($D73="Serviço",BL$12&lt;&gt;0,$H73&gt;0,OR(AUTOEVENTO&lt;&gt;"manual",$M73&lt;&gt;$A$15)),
        IF(Import.TipoArredondamento&lt;&gt;"TransfereGOV",
              ROUND(OFFSET($P73,0,BL$13),15-13*ORÇAMENTO!$AF$7)/$H73*OFFSET(ORÇAMENTO!$X$15,ROW(BL73)-ROW(BL$15),0),
              ROUND(ROUND(OFFSET($P73,0,BL$13),15-13*ORÇAMENTO!$AF$7)*OFFSET(ORÇAMENTO!$W$15,ROW(BL73)-ROW(BL$15),0),15-13*ORÇAMENTO!$AF$11)),
         0)</f>
        <v>1743.77</v>
      </c>
      <c r="BM73" s="352" t="n">
        <f aca="true">IF(AND($D73="Serviço",BM$12&lt;&gt;0,$H73&gt;0,OR(AUTOEVENTO&lt;&gt;"manual",$M73&lt;&gt;$A$15)),
        IF(Import.TipoArredondamento&lt;&gt;"TransfereGOV",
              ROUND(OFFSET($P73,0,BM$13),15-13*ORÇAMENTO!$AF$7)/$H73*OFFSET(ORÇAMENTO!$X$15,ROW(BM73)-ROW(BM$15),0),
              ROUND(ROUND(OFFSET($P73,0,BM$13),15-13*ORÇAMENTO!$AF$7)*OFFSET(ORÇAMENTO!$W$15,ROW(BM73)-ROW(BM$15),0),15-13*ORÇAMENTO!$AF$11)),
         0)</f>
        <v>1743.77</v>
      </c>
      <c r="BN73" s="352" t="n">
        <f aca="true">IF(AND($D73="Serviço",BN$12&lt;&gt;0,$H73&gt;0,OR(AUTOEVENTO&lt;&gt;"manual",$M73&lt;&gt;$A$15)),
        IF(Import.TipoArredondamento&lt;&gt;"TransfereGOV",
              ROUND(OFFSET($P73,0,BN$13),15-13*ORÇAMENTO!$AF$7)/$H73*OFFSET(ORÇAMENTO!$X$15,ROW(BN73)-ROW(BN$15),0),
              ROUND(ROUND(OFFSET($P73,0,BN$13),15-13*ORÇAMENTO!$AF$7)*OFFSET(ORÇAMENTO!$W$15,ROW(BN73)-ROW(BN$15),0),15-13*ORÇAMENTO!$AF$11)),
         0)</f>
        <v>1743.77</v>
      </c>
      <c r="BO73" s="352" t="n">
        <f aca="true">IF(AND($D73="Serviço",BO$12&lt;&gt;0,$H73&gt;0,OR(AUTOEVENTO&lt;&gt;"manual",$M73&lt;&gt;$A$15)),
        IF(Import.TipoArredondamento&lt;&gt;"TransfereGOV",
              ROUND(OFFSET($P73,0,BO$13),15-13*ORÇAMENTO!$AF$7)/$H73*OFFSET(ORÇAMENTO!$X$15,ROW(BO73)-ROW(BO$15),0),
              ROUND(ROUND(OFFSET($P73,0,BO$13),15-13*ORÇAMENTO!$AF$7)*OFFSET(ORÇAMENTO!$W$15,ROW(BO73)-ROW(BO$15),0),15-13*ORÇAMENTO!$AF$11)),
         0)</f>
        <v>1743.77</v>
      </c>
      <c r="BP73" s="352" t="n">
        <f aca="true">IF(AND($D73="Serviço",BP$12&lt;&gt;0,$H73&gt;0,OR(AUTOEVENTO&lt;&gt;"manual",$M73&lt;&gt;$A$15)),
        IF(Import.TipoArredondamento&lt;&gt;"TransfereGOV",
              ROUND(OFFSET($P73,0,BP$13),15-13*ORÇAMENTO!$AF$7)/$H73*OFFSET(ORÇAMENTO!$X$15,ROW(BP73)-ROW(BP$15),0),
              ROUND(ROUND(OFFSET($P73,0,BP$13),15-13*ORÇAMENTO!$AF$7)*OFFSET(ORÇAMENTO!$W$15,ROW(BP73)-ROW(BP$15),0),15-13*ORÇAMENTO!$AF$11)),
         0)</f>
        <v>1743.77</v>
      </c>
      <c r="BQ73" s="352" t="n">
        <f aca="true">IF(AND($D73="Serviço",BQ$12&lt;&gt;0,$H73&gt;0,OR(AUTOEVENTO&lt;&gt;"manual",$M73&lt;&gt;$A$15)),
        IF(Import.TipoArredondamento&lt;&gt;"TransfereGOV",
              ROUND(OFFSET($P73,0,BQ$13),15-13*ORÇAMENTO!$AF$7)/$H73*OFFSET(ORÇAMENTO!$X$15,ROW(BQ73)-ROW(BQ$15),0),
              ROUND(ROUND(OFFSET($P73,0,BQ$13),15-13*ORÇAMENTO!$AF$7)*OFFSET(ORÇAMENTO!$W$15,ROW(BQ73)-ROW(BQ$15),0),15-13*ORÇAMENTO!$AF$11)),
         0)</f>
        <v>0</v>
      </c>
      <c r="BS73" s="353" t="n">
        <f aca="true">IF(OR($D73&lt;&gt;"Serviço",AND(AUTOEVENTO="Manual",$M73=$A$15)),0,
         IF(OFFSET(CRONOPLE!$F$15,$M73-$A$15,BS$13)=0,10^12,OFFSET(CRONOPLE!$F$15,$M73-$A$15,BS$13)))</f>
        <v>1</v>
      </c>
      <c r="BT73" s="353" t="n">
        <f aca="true">IF(OR($D73&lt;&gt;"Serviço",AND(AUTOEVENTO="Manual",$M73=$A$15)),0,
         IF(OFFSET(CRONOPLE!$F$15,$M73-$A$15,BT$13)=0,10^12,OFFSET(CRONOPLE!$F$15,$M73-$A$15,BT$13)))</f>
        <v>2</v>
      </c>
      <c r="BU73" s="353" t="n">
        <f aca="true">IF(OR($D73&lt;&gt;"Serviço",AND(AUTOEVENTO="Manual",$M73=$A$15)),0,
         IF(OFFSET(CRONOPLE!$F$15,$M73-$A$15,BU$13)=0,10^12,OFFSET(CRONOPLE!$F$15,$M73-$A$15,BU$13)))</f>
        <v>3</v>
      </c>
      <c r="BV73" s="353" t="n">
        <f aca="true">IF(OR($D73&lt;&gt;"Serviço",AND(AUTOEVENTO="Manual",$M73=$A$15)),0,
         IF(OFFSET(CRONOPLE!$F$15,$M73-$A$15,BV$13)=0,10^12,OFFSET(CRONOPLE!$F$15,$M73-$A$15,BV$13)))</f>
        <v>4</v>
      </c>
      <c r="BW73" s="353" t="n">
        <f aca="true">IF(OR($D73&lt;&gt;"Serviço",AND(AUTOEVENTO="Manual",$M73=$A$15)),0,
         IF(OFFSET(CRONOPLE!$F$15,$M73-$A$15,BW$13)=0,10^12,OFFSET(CRONOPLE!$F$15,$M73-$A$15,BW$13)))</f>
        <v>5</v>
      </c>
      <c r="BX73" s="353" t="n">
        <f aca="true">IF(OR($D73&lt;&gt;"Serviço",AND(AUTOEVENTO="Manual",$M73=$A$15)),0,
         IF(OFFSET(CRONOPLE!$F$15,$M73-$A$15,BX$13)=0,10^12,OFFSET(CRONOPLE!$F$15,$M73-$A$15,BX$13)))</f>
        <v>6</v>
      </c>
      <c r="BY73" s="353" t="n">
        <f aca="true">IF(OR($D73&lt;&gt;"Serviço",AND(AUTOEVENTO="Manual",$M73=$A$15)),0,
         IF(OFFSET(CRONOPLE!$F$15,$M73-$A$15,BY$13)=0,10^12,OFFSET(CRONOPLE!$F$15,$M73-$A$15,BY$13)))</f>
        <v>7</v>
      </c>
      <c r="BZ73" s="353" t="n">
        <f aca="true">IF(OR($D73&lt;&gt;"Serviço",AND(AUTOEVENTO="Manual",$M73=$A$15)),0,
         IF(OFFSET(CRONOPLE!$F$15,$M73-$A$15,BZ$13)=0,10^12,OFFSET(CRONOPLE!$F$15,$M73-$A$15,BZ$13)))</f>
        <v>8</v>
      </c>
      <c r="CA73" s="353" t="n">
        <f aca="true">IF(OR($D73&lt;&gt;"Serviço",AND(AUTOEVENTO="Manual",$M73=$A$15)),0,
         IF(OFFSET(CRONOPLE!$F$15,$M73-$A$15,CA$13)=0,10^12,OFFSET(CRONOPLE!$F$15,$M73-$A$15,CA$13)))</f>
        <v>9</v>
      </c>
      <c r="CB73" s="353" t="n">
        <f aca="true">IF(OR($D73&lt;&gt;"Serviço",AND(AUTOEVENTO="Manual",$M73=$A$15)),0,
         IF(OFFSET(CRONOPLE!$F$15,$M73-$A$15,CB$13)=0,10^12,OFFSET(CRONOPLE!$F$15,$M73-$A$15,CB$13)))</f>
        <v>10</v>
      </c>
      <c r="CC73" s="353" t="n">
        <f aca="true">IF(OR($D73&lt;&gt;"Serviço",AND(AUTOEVENTO="Manual",$M73=$A$15)),0,
         IF(OFFSET(CRONOPLE!$F$15,$M73-$A$15,CC$13)=0,10^12,OFFSET(CRONOPLE!$F$15,$M73-$A$15,CC$13)))</f>
        <v>11</v>
      </c>
      <c r="CD73" s="353" t="n">
        <f aca="true">IF(OR($D73&lt;&gt;"Serviço",AND(AUTOEVENTO="Manual",$M73=$A$15)),0,
         IF(OFFSET(CRONOPLE!$F$15,$M73-$A$15,CD$13)=0,10^12,OFFSET(CRONOPLE!$F$15,$M73-$A$15,CD$13)))</f>
        <v>12</v>
      </c>
      <c r="CE73" s="353" t="n">
        <f aca="true">IF(OR($D73&lt;&gt;"Serviço",AND(AUTOEVENTO="Manual",$M73=$A$15)),0,
         IF(OFFSET(CRONOPLE!$F$15,$M73-$A$15,CE$13)=0,10^12,OFFSET(CRONOPLE!$F$15,$M73-$A$15,CE$13)))</f>
        <v>13</v>
      </c>
      <c r="CF73" s="353" t="n">
        <f aca="true">IF(OR($D73&lt;&gt;"Serviço",AND(AUTOEVENTO="Manual",$M73=$A$15)),0,
         IF(OFFSET(CRONOPLE!$F$15,$M73-$A$15,CF$13)=0,10^12,OFFSET(CRONOPLE!$F$15,$M73-$A$15,CF$13)))</f>
        <v>14</v>
      </c>
      <c r="CG73" s="353" t="n">
        <f aca="true">IF(OR($D73&lt;&gt;"Serviço",AND(AUTOEVENTO="Manual",$M73=$A$15)),0,
         IF(OFFSET(CRONOPLE!$F$15,$M73-$A$15,CG$13)=0,10^12,OFFSET(CRONOPLE!$F$15,$M73-$A$15,CG$13)))</f>
        <v>15</v>
      </c>
      <c r="CH73" s="353" t="n">
        <f aca="true">IF(OR($D73&lt;&gt;"Serviço",AND(AUTOEVENTO="Manual",$M73=$A$15)),0,
         IF(OFFSET(CRONOPLE!$F$15,$M73-$A$15,CH$13)=0,10^12,OFFSET(CRONOPLE!$F$15,$M73-$A$15,CH$13)))</f>
        <v>16</v>
      </c>
      <c r="CI73" s="353" t="n">
        <f aca="true">IF(OR($D73&lt;&gt;"Serviço",AND(AUTOEVENTO="Manual",$M73=$A$15)),0,
         IF(OFFSET(CRONOPLE!$F$15,$M73-$A$15,CI$13)=0,10^12,OFFSET(CRONOPLE!$F$15,$M73-$A$15,CI$13)))</f>
        <v>17</v>
      </c>
      <c r="CJ73" s="353" t="n">
        <f aca="true">IF(OR($D73&lt;&gt;"Serviço",AND(AUTOEVENTO="Manual",$M73=$A$15)),0,
         IF(OFFSET(CRONOPLE!$F$15,$M73-$A$15,CJ$13)=0,10^12,OFFSET(CRONOPLE!$F$15,$M73-$A$15,CJ$13)))</f>
        <v>18</v>
      </c>
      <c r="CK73" s="353" t="n">
        <f aca="true">IF(OR($D73&lt;&gt;"Serviço",AND(AUTOEVENTO="Manual",$M73=$A$15)),0,
         IF(OFFSET(CRONOPLE!$F$15,$M73-$A$15,CK$13)=0,10^12,OFFSET(CRONOPLE!$F$15,$M73-$A$15,CK$13)))</f>
        <v>19</v>
      </c>
      <c r="CL73" s="353" t="n">
        <f aca="true">IF(OR($D73&lt;&gt;"Serviço",AND(AUTOEVENTO="Manual",$M73=$A$15)),0,
         IF(OFFSET(CRONOPLE!$F$15,$M73-$A$15,CL$13)=0,10^12,OFFSET(CRONOPLE!$F$15,$M73-$A$15,CL$13)))</f>
        <v>20</v>
      </c>
      <c r="CM73" s="353" t="n">
        <f aca="true">IF(OR($D73&lt;&gt;"Serviço",AND(AUTOEVENTO="Manual",$M73=$A$15)),0,
         IF(OFFSET(CRONOPLE!$F$15,$M73-$A$15,CM$13)=0,10^12,OFFSET(CRONOPLE!$F$15,$M73-$A$15,CM$13)))</f>
        <v>21</v>
      </c>
      <c r="CN73" s="353" t="n">
        <f aca="true">IF(OR($D73&lt;&gt;"Serviço",AND(AUTOEVENTO="Manual",$M73=$A$15)),0,
         IF(OFFSET(CRONOPLE!$F$15,$M73-$A$15,CN$13)=0,10^12,OFFSET(CRONOPLE!$F$15,$M73-$A$15,CN$13)))</f>
        <v>22</v>
      </c>
      <c r="CO73" s="353" t="n">
        <f aca="true">IF(OR($D73&lt;&gt;"Serviço",AND(AUTOEVENTO="Manual",$M73=$A$15)),0,
         IF(OFFSET(CRONOPLE!$F$15,$M73-$A$15,CO$13)=0,10^12,OFFSET(CRONOPLE!$F$15,$M73-$A$15,CO$13)))</f>
        <v>23</v>
      </c>
      <c r="CP73" s="353" t="n">
        <f aca="true">IF(OR($D73&lt;&gt;"Serviço",AND(AUTOEVENTO="Manual",$M73=$A$15)),0,
         IF(OFFSET(CRONOPLE!$F$15,$M73-$A$15,CP$13)=0,10^12,OFFSET(CRONOPLE!$F$15,$M73-$A$15,CP$13)))</f>
        <v>24</v>
      </c>
      <c r="CQ73" s="353" t="n">
        <f aca="true">IF(OR($D73&lt;&gt;"Serviço",AND(AUTOEVENTO="Manual",$M73=$A$15)),0,
         IF(OFFSET(CRONOPLE!$F$15,$M73-$A$15,CQ$13)=0,10^12,OFFSET(CRONOPLE!$F$15,$M73-$A$15,CQ$13)))</f>
        <v>25</v>
      </c>
      <c r="CR73" s="353" t="n">
        <f aca="true">IF(OR($D73&lt;&gt;"Serviço",AND(AUTOEVENTO="Manual",$M73=$A$15)),0,
         IF(OFFSET(CRONOPLE!$F$15,$M73-$A$15,CR$13)=0,10^12,OFFSET(CRONOPLE!$F$15,$M73-$A$15,CR$13)))</f>
        <v>1000000000000</v>
      </c>
      <c r="CT73" s="354" t="n">
        <f aca="true">IF(OR($D73&lt;&gt;"Serviço",AND(AUTOEVENTO="Manual",$M73=$A$15),$M73&gt;(ROW(PLE.lastrow)-ROW(PLE.firstrow))),0,
           IF(OFFSET(PLE!$G$15,$M73-$A$15,CT$13)="",10^12,OFFSET(PLE!$G$15,$M73-$A$15,CT$13)))</f>
        <v>1000000000000</v>
      </c>
      <c r="CU73" s="354" t="n">
        <f aca="true">IF(OR($D73&lt;&gt;"Serviço",AND(AUTOEVENTO="Manual",$M73=$A$15),$M73&gt;(ROW(PLE.lastrow)-ROW(PLE.firstrow))),0,
           IF(OFFSET(PLE!$G$15,$M73-$A$15,CU$13)="",10^12,OFFSET(PLE!$G$15,$M73-$A$15,CU$13)))</f>
        <v>1000000000000</v>
      </c>
      <c r="CV73" s="354" t="n">
        <f aca="true">IF(OR($D73&lt;&gt;"Serviço",AND(AUTOEVENTO="Manual",$M73=$A$15),$M73&gt;(ROW(PLE.lastrow)-ROW(PLE.firstrow))),0,
           IF(OFFSET(PLE!$G$15,$M73-$A$15,CV$13)="",10^12,OFFSET(PLE!$G$15,$M73-$A$15,CV$13)))</f>
        <v>1000000000000</v>
      </c>
      <c r="CW73" s="354" t="n">
        <f aca="true">IF(OR($D73&lt;&gt;"Serviço",AND(AUTOEVENTO="Manual",$M73=$A$15),$M73&gt;(ROW(PLE.lastrow)-ROW(PLE.firstrow))),0,
           IF(OFFSET(PLE!$G$15,$M73-$A$15,CW$13)="",10^12,OFFSET(PLE!$G$15,$M73-$A$15,CW$13)))</f>
        <v>1000000000000</v>
      </c>
      <c r="CX73" s="354" t="n">
        <f aca="true">IF(OR($D73&lt;&gt;"Serviço",AND(AUTOEVENTO="Manual",$M73=$A$15),$M73&gt;(ROW(PLE.lastrow)-ROW(PLE.firstrow))),0,
           IF(OFFSET(PLE!$G$15,$M73-$A$15,CX$13)="",10^12,OFFSET(PLE!$G$15,$M73-$A$15,CX$13)))</f>
        <v>1000000000000</v>
      </c>
      <c r="CY73" s="354" t="n">
        <f aca="true">IF(OR($D73&lt;&gt;"Serviço",AND(AUTOEVENTO="Manual",$M73=$A$15),$M73&gt;(ROW(PLE.lastrow)-ROW(PLE.firstrow))),0,
           IF(OFFSET(PLE!$G$15,$M73-$A$15,CY$13)="",10^12,OFFSET(PLE!$G$15,$M73-$A$15,CY$13)))</f>
        <v>1000000000000</v>
      </c>
      <c r="CZ73" s="354" t="n">
        <f aca="true">IF(OR($D73&lt;&gt;"Serviço",AND(AUTOEVENTO="Manual",$M73=$A$15),$M73&gt;(ROW(PLE.lastrow)-ROW(PLE.firstrow))),0,
           IF(OFFSET(PLE!$G$15,$M73-$A$15,CZ$13)="",10^12,OFFSET(PLE!$G$15,$M73-$A$15,CZ$13)))</f>
        <v>1000000000000</v>
      </c>
      <c r="DA73" s="354" t="n">
        <f aca="true">IF(OR($D73&lt;&gt;"Serviço",AND(AUTOEVENTO="Manual",$M73=$A$15),$M73&gt;(ROW(PLE.lastrow)-ROW(PLE.firstrow))),0,
           IF(OFFSET(PLE!$G$15,$M73-$A$15,DA$13)="",10^12,OFFSET(PLE!$G$15,$M73-$A$15,DA$13)))</f>
        <v>1000000000000</v>
      </c>
      <c r="DB73" s="354" t="n">
        <f aca="true">IF(OR($D73&lt;&gt;"Serviço",AND(AUTOEVENTO="Manual",$M73=$A$15),$M73&gt;(ROW(PLE.lastrow)-ROW(PLE.firstrow))),0,
           IF(OFFSET(PLE!$G$15,$M73-$A$15,DB$13)="",10^12,OFFSET(PLE!$G$15,$M73-$A$15,DB$13)))</f>
        <v>1000000000000</v>
      </c>
      <c r="DC73" s="354" t="n">
        <f aca="true">IF(OR($D73&lt;&gt;"Serviço",AND(AUTOEVENTO="Manual",$M73=$A$15),$M73&gt;(ROW(PLE.lastrow)-ROW(PLE.firstrow))),0,
           IF(OFFSET(PLE!$G$15,$M73-$A$15,DC$13)="",10^12,OFFSET(PLE!$G$15,$M73-$A$15,DC$13)))</f>
        <v>1000000000000</v>
      </c>
      <c r="DD73" s="354" t="n">
        <f aca="true">IF(OR($D73&lt;&gt;"Serviço",AND(AUTOEVENTO="Manual",$M73=$A$15),$M73&gt;(ROW(PLE.lastrow)-ROW(PLE.firstrow))),0,
           IF(OFFSET(PLE!$G$15,$M73-$A$15,DD$13)="",10^12,OFFSET(PLE!$G$15,$M73-$A$15,DD$13)))</f>
        <v>1000000000000</v>
      </c>
      <c r="DE73" s="354" t="n">
        <f aca="true">IF(OR($D73&lt;&gt;"Serviço",AND(AUTOEVENTO="Manual",$M73=$A$15),$M73&gt;(ROW(PLE.lastrow)-ROW(PLE.firstrow))),0,
           IF(OFFSET(PLE!$G$15,$M73-$A$15,DE$13)="",10^12,OFFSET(PLE!$G$15,$M73-$A$15,DE$13)))</f>
        <v>1000000000000</v>
      </c>
      <c r="DF73" s="354" t="n">
        <f aca="true">IF(OR($D73&lt;&gt;"Serviço",AND(AUTOEVENTO="Manual",$M73=$A$15),$M73&gt;(ROW(PLE.lastrow)-ROW(PLE.firstrow))),0,
           IF(OFFSET(PLE!$G$15,$M73-$A$15,DF$13)="",10^12,OFFSET(PLE!$G$15,$M73-$A$15,DF$13)))</f>
        <v>1000000000000</v>
      </c>
      <c r="DG73" s="354" t="n">
        <f aca="true">IF(OR($D73&lt;&gt;"Serviço",AND(AUTOEVENTO="Manual",$M73=$A$15),$M73&gt;(ROW(PLE.lastrow)-ROW(PLE.firstrow))),0,
           IF(OFFSET(PLE!$G$15,$M73-$A$15,DG$13)="",10^12,OFFSET(PLE!$G$15,$M73-$A$15,DG$13)))</f>
        <v>1000000000000</v>
      </c>
      <c r="DH73" s="354" t="n">
        <f aca="true">IF(OR($D73&lt;&gt;"Serviço",AND(AUTOEVENTO="Manual",$M73=$A$15),$M73&gt;(ROW(PLE.lastrow)-ROW(PLE.firstrow))),0,
           IF(OFFSET(PLE!$G$15,$M73-$A$15,DH$13)="",10^12,OFFSET(PLE!$G$15,$M73-$A$15,DH$13)))</f>
        <v>1000000000000</v>
      </c>
      <c r="DI73" s="354" t="n">
        <f aca="true">IF(OR($D73&lt;&gt;"Serviço",AND(AUTOEVENTO="Manual",$M73=$A$15),$M73&gt;(ROW(PLE.lastrow)-ROW(PLE.firstrow))),0,
           IF(OFFSET(PLE!$G$15,$M73-$A$15,DI$13)="",10^12,OFFSET(PLE!$G$15,$M73-$A$15,DI$13)))</f>
        <v>1000000000000</v>
      </c>
      <c r="DJ73" s="354" t="n">
        <f aca="true">IF(OR($D73&lt;&gt;"Serviço",AND(AUTOEVENTO="Manual",$M73=$A$15),$M73&gt;(ROW(PLE.lastrow)-ROW(PLE.firstrow))),0,
           IF(OFFSET(PLE!$G$15,$M73-$A$15,DJ$13)="",10^12,OFFSET(PLE!$G$15,$M73-$A$15,DJ$13)))</f>
        <v>1000000000000</v>
      </c>
      <c r="DK73" s="354" t="n">
        <f aca="true">IF(OR($D73&lt;&gt;"Serviço",AND(AUTOEVENTO="Manual",$M73=$A$15),$M73&gt;(ROW(PLE.lastrow)-ROW(PLE.firstrow))),0,
           IF(OFFSET(PLE!$G$15,$M73-$A$15,DK$13)="",10^12,OFFSET(PLE!$G$15,$M73-$A$15,DK$13)))</f>
        <v>1000000000000</v>
      </c>
      <c r="DL73" s="354" t="n">
        <f aca="true">IF(OR($D73&lt;&gt;"Serviço",AND(AUTOEVENTO="Manual",$M73=$A$15),$M73&gt;(ROW(PLE.lastrow)-ROW(PLE.firstrow))),0,
           IF(OFFSET(PLE!$G$15,$M73-$A$15,DL$13)="",10^12,OFFSET(PLE!$G$15,$M73-$A$15,DL$13)))</f>
        <v>1000000000000</v>
      </c>
      <c r="DM73" s="354" t="n">
        <f aca="true">IF(OR($D73&lt;&gt;"Serviço",AND(AUTOEVENTO="Manual",$M73=$A$15),$M73&gt;(ROW(PLE.lastrow)-ROW(PLE.firstrow))),0,
           IF(OFFSET(PLE!$G$15,$M73-$A$15,DM$13)="",10^12,OFFSET(PLE!$G$15,$M73-$A$15,DM$13)))</f>
        <v>1000000000000</v>
      </c>
      <c r="DN73" s="354" t="n">
        <f aca="true">IF(OR($D73&lt;&gt;"Serviço",AND(AUTOEVENTO="Manual",$M73=$A$15),$M73&gt;(ROW(PLE.lastrow)-ROW(PLE.firstrow))),0,
           IF(OFFSET(PLE!$G$15,$M73-$A$15,DN$13)="",10^12,OFFSET(PLE!$G$15,$M73-$A$15,DN$13)))</f>
        <v>1000000000000</v>
      </c>
      <c r="DO73" s="354" t="n">
        <f aca="true">IF(OR($D73&lt;&gt;"Serviço",AND(AUTOEVENTO="Manual",$M73=$A$15),$M73&gt;(ROW(PLE.lastrow)-ROW(PLE.firstrow))),0,
           IF(OFFSET(PLE!$G$15,$M73-$A$15,DO$13)="",10^12,OFFSET(PLE!$G$15,$M73-$A$15,DO$13)))</f>
        <v>1000000000000</v>
      </c>
      <c r="DP73" s="354" t="n">
        <f aca="true">IF(OR($D73&lt;&gt;"Serviço",AND(AUTOEVENTO="Manual",$M73=$A$15),$M73&gt;(ROW(PLE.lastrow)-ROW(PLE.firstrow))),0,
           IF(OFFSET(PLE!$G$15,$M73-$A$15,DP$13)="",10^12,OFFSET(PLE!$G$15,$M73-$A$15,DP$13)))</f>
        <v>1000000000000</v>
      </c>
      <c r="DQ73" s="354" t="n">
        <f aca="true">IF(OR($D73&lt;&gt;"Serviço",AND(AUTOEVENTO="Manual",$M73=$A$15),$M73&gt;(ROW(PLE.lastrow)-ROW(PLE.firstrow))),0,
           IF(OFFSET(PLE!$G$15,$M73-$A$15,DQ$13)="",10^12,OFFSET(PLE!$G$15,$M73-$A$15,DQ$13)))</f>
        <v>1000000000000</v>
      </c>
      <c r="DR73" s="354" t="n">
        <f aca="true">IF(OR($D73&lt;&gt;"Serviço",AND(AUTOEVENTO="Manual",$M73=$A$15),$M73&gt;(ROW(PLE.lastrow)-ROW(PLE.firstrow))),0,
           IF(OFFSET(PLE!$G$15,$M73-$A$15,DR$13)="",10^12,OFFSET(PLE!$G$15,$M73-$A$15,DR$13)))</f>
        <v>1000000000000</v>
      </c>
      <c r="DS73" s="354" t="n">
        <f aca="true">IF(OR($D73&lt;&gt;"Serviço",AND(AUTOEVENTO="Manual",$M73=$A$15),$M73&gt;(ROW(PLE.lastrow)-ROW(PLE.firstrow))),0,
           IF(OFFSET(PLE!$G$15,$M73-$A$15,DS$13)="",10^12,OFFSET(PLE!$G$15,$M73-$A$15,DS$13)))</f>
        <v>1000000000000</v>
      </c>
    </row>
    <row r="74" customFormat="false" ht="35.05" hidden="false" customHeight="false" outlineLevel="0" collapsed="false">
      <c r="A74" s="50" t="str">
        <f aca="true">IFERROR(IF(AUTOEVENTO="Manual",IF(K74&lt;&gt;"",MIN(VALUE(LEFT(K74,FIND(".",K74)-1)),COUNTA(EVENTOS.Lista)),0),IF(OR($B74&gt;AUTOEVENTO,$B74="S",$B74=0),SUBSTITUTE(OFFSET($A74,-1,0),IF($D74="Serviço",".",""),""),ROW(A74)-ROW($A$15)&amp;".")),0)</f>
        <v>53</v>
      </c>
      <c r="B74" s="50" t="str">
        <f aca="true">OFFSET(ORÇAMENTO!C$15,ROW(B74)-ROW(B$15),0)</f>
        <v>S</v>
      </c>
      <c r="C74" s="50" t="str">
        <f aca="true">OFFSET(ORÇAMENTO!L$15,ROW(C74)-ROW(C$15),0)</f>
        <v>F</v>
      </c>
      <c r="D74" s="201" t="str">
        <f aca="true">OFFSET(ORÇAMENTO!N$15,ROW(D74)-ROW(D$15),0)</f>
        <v>Serviço</v>
      </c>
      <c r="E74" s="202" t="str">
        <f aca="true">OFFSET(ORÇAMENTO!O$15,ROW(E74)-ROW(E$15),0)</f>
        <v>1.15.6.</v>
      </c>
      <c r="F74" s="341" t="str">
        <f aca="true">OFFSET(ORÇAMENTO!R$15,ROW(F74)-ROW(F$15),0)</f>
        <v>CONDUTOR CIRCULAR DE ÁGUA PLUVIAL PARA DO TELHADO EM
TUBO DE PVC, DIÂMETRO DE 100MM, INCLUSIVE CONEXÕES E
SUPORTES</v>
      </c>
      <c r="G74" s="342" t="str">
        <f aca="true">IF($D74&lt;&gt;"Serviço","",OFFSET(ORÇAMENTO!S$15,ROW(G74)-ROW(G$15),0))</f>
        <v>M</v>
      </c>
      <c r="H74" s="207" t="n">
        <f aca="true">IF($D74&lt;&gt;"Serviço",0,IF(ACOMPANHAMENTO="BM",ROUND(OFFSET(ORÇAMENTO!AJ$15,ROW(H74)-ROW(H$15),0),15-13*ORÇAMENTO!$AF$7),SUMPRODUCT(($Q$1:$AQ$1=1)*ROUND($Q74:$AQ74,15-13*ORÇAMENTO!$AF$7))))</f>
        <v>225</v>
      </c>
      <c r="I74" s="343" t="s">
        <v>952</v>
      </c>
      <c r="J74" s="344" t="e">
        <f aca="false">IF(OR(B74&lt;&gt;"S",CÁLCULO.FrentesPreenchidas=0),"",IF(AND(ACOMPANHAMENTO="PLE",AUTOEVENTO="Manual",OR(H74&gt;0,ORÇAMENTO!AC74="QUANT."),OR(K74="",M74=0,N74="")),"►",IF(AND(ACOMPANHAMENTO="PLE",ORÇAMENTO!AC74="QUANT."),"►►",IF(AND(COUNTIF($P$11:$AQ$11,"▼")=0,H74&gt;0,I74=""),"◄",""))))</f>
        <v>#NAME?</v>
      </c>
      <c r="K74" s="345"/>
      <c r="L74" s="346" t="s">
        <v>876</v>
      </c>
      <c r="M74" s="347" t="n">
        <f aca="true">IF($D74&lt;&gt;"Serviço","",
          IF(AUTOEVENTO="manual",$A74,
                IF(ISERROR(MATCH($A74,$A$15:OFFSET($A74,-1,0),0)),MAX($M$15:OFFSET(M74,-1,0))+1,
                      INDEX($M$15:OFFSET(M74,-1,0),MATCH($A74,$A$15:OFFSET($A74,-1,0),0)))))</f>
        <v>11</v>
      </c>
      <c r="N74" s="348" t="str">
        <f aca="true">IF($D74&lt;&gt;"Serviço","",
         IF(AUTOEVENTO="Manual",
                IF($A74=0,"&lt;-- defina o número do agrupador",
                       OFFSET(EVENTOS!$D$15,$A74-$A$15,0)),
                OFFSET($F$15,$A74,0)))</f>
        <v>COBERTURA E PROTEÇÕES</v>
      </c>
      <c r="O74" s="349"/>
      <c r="Q74" s="349" t="n">
        <v>9</v>
      </c>
      <c r="R74" s="350" t="n">
        <f aca="false">Q74</f>
        <v>9</v>
      </c>
      <c r="S74" s="350" t="n">
        <f aca="false">R74</f>
        <v>9</v>
      </c>
      <c r="T74" s="350" t="n">
        <f aca="false">S74</f>
        <v>9</v>
      </c>
      <c r="U74" s="350" t="n">
        <f aca="false">T74</f>
        <v>9</v>
      </c>
      <c r="V74" s="350" t="n">
        <f aca="false">U74</f>
        <v>9</v>
      </c>
      <c r="W74" s="350" t="n">
        <f aca="false">V74</f>
        <v>9</v>
      </c>
      <c r="X74" s="350" t="n">
        <f aca="false">W74</f>
        <v>9</v>
      </c>
      <c r="Y74" s="350" t="n">
        <f aca="false">X74</f>
        <v>9</v>
      </c>
      <c r="Z74" s="351" t="n">
        <f aca="false">Y74</f>
        <v>9</v>
      </c>
      <c r="AA74" s="350" t="n">
        <f aca="false">Z74</f>
        <v>9</v>
      </c>
      <c r="AB74" s="350" t="n">
        <f aca="false">AA74</f>
        <v>9</v>
      </c>
      <c r="AC74" s="350" t="n">
        <f aca="false">AB74</f>
        <v>9</v>
      </c>
      <c r="AD74" s="350" t="n">
        <f aca="false">AC74</f>
        <v>9</v>
      </c>
      <c r="AE74" s="350" t="n">
        <f aca="false">AD74</f>
        <v>9</v>
      </c>
      <c r="AF74" s="350" t="n">
        <f aca="false">AE74</f>
        <v>9</v>
      </c>
      <c r="AG74" s="350" t="n">
        <f aca="false">AF74</f>
        <v>9</v>
      </c>
      <c r="AH74" s="351" t="n">
        <f aca="false">AG74</f>
        <v>9</v>
      </c>
      <c r="AI74" s="350" t="n">
        <f aca="false">AH74</f>
        <v>9</v>
      </c>
      <c r="AJ74" s="350" t="n">
        <f aca="false">AI74</f>
        <v>9</v>
      </c>
      <c r="AK74" s="350" t="n">
        <f aca="false">AJ74</f>
        <v>9</v>
      </c>
      <c r="AL74" s="350" t="n">
        <f aca="false">AK74</f>
        <v>9</v>
      </c>
      <c r="AM74" s="350" t="n">
        <f aca="false">AL74</f>
        <v>9</v>
      </c>
      <c r="AN74" s="350" t="n">
        <f aca="false">AM74</f>
        <v>9</v>
      </c>
      <c r="AO74" s="350" t="n">
        <f aca="false">AN74</f>
        <v>9</v>
      </c>
      <c r="AP74" s="351"/>
      <c r="AR74" s="352" t="n">
        <f aca="true">IF(AND($D74="Serviço",AR$12&lt;&gt;0,$H74&gt;0,OR(AUTOEVENTO&lt;&gt;"manual",$M74&lt;&gt;$A$15)),
        IF(Import.TipoArredondamento&lt;&gt;"TransfereGOV",
              ROUND(OFFSET($P74,0,AR$13),15-13*ORÇAMENTO!$AF$7)/$H74*OFFSET(ORÇAMENTO!$X$15,ROW(AR74)-ROW(AR$15),0),
              ROUND(ROUND(OFFSET($P74,0,AR$13),15-13*ORÇAMENTO!$AF$7)*OFFSET(ORÇAMENTO!$W$15,ROW(AR74)-ROW(AR$15),0),15-13*ORÇAMENTO!$AF$11)),
         0)</f>
        <v>995.4</v>
      </c>
      <c r="AS74" s="352" t="n">
        <f aca="true">IF(AND($D74="Serviço",AS$12&lt;&gt;0,$H74&gt;0,OR(AUTOEVENTO&lt;&gt;"manual",$M74&lt;&gt;$A$15)),
        IF(Import.TipoArredondamento&lt;&gt;"TransfereGOV",
              ROUND(OFFSET($P74,0,AS$13),15-13*ORÇAMENTO!$AF$7)/$H74*OFFSET(ORÇAMENTO!$X$15,ROW(AS74)-ROW(AS$15),0),
              ROUND(ROUND(OFFSET($P74,0,AS$13),15-13*ORÇAMENTO!$AF$7)*OFFSET(ORÇAMENTO!$W$15,ROW(AS74)-ROW(AS$15),0),15-13*ORÇAMENTO!$AF$11)),
         0)</f>
        <v>995.4</v>
      </c>
      <c r="AT74" s="352" t="n">
        <f aca="true">IF(AND($D74="Serviço",AT$12&lt;&gt;0,$H74&gt;0,OR(AUTOEVENTO&lt;&gt;"manual",$M74&lt;&gt;$A$15)),
        IF(Import.TipoArredondamento&lt;&gt;"TransfereGOV",
              ROUND(OFFSET($P74,0,AT$13),15-13*ORÇAMENTO!$AF$7)/$H74*OFFSET(ORÇAMENTO!$X$15,ROW(AT74)-ROW(AT$15),0),
              ROUND(ROUND(OFFSET($P74,0,AT$13),15-13*ORÇAMENTO!$AF$7)*OFFSET(ORÇAMENTO!$W$15,ROW(AT74)-ROW(AT$15),0),15-13*ORÇAMENTO!$AF$11)),
         0)</f>
        <v>995.4</v>
      </c>
      <c r="AU74" s="352" t="n">
        <f aca="true">IF(AND($D74="Serviço",AU$12&lt;&gt;0,$H74&gt;0,OR(AUTOEVENTO&lt;&gt;"manual",$M74&lt;&gt;$A$15)),
        IF(Import.TipoArredondamento&lt;&gt;"TransfereGOV",
              ROUND(OFFSET($P74,0,AU$13),15-13*ORÇAMENTO!$AF$7)/$H74*OFFSET(ORÇAMENTO!$X$15,ROW(AU74)-ROW(AU$15),0),
              ROUND(ROUND(OFFSET($P74,0,AU$13),15-13*ORÇAMENTO!$AF$7)*OFFSET(ORÇAMENTO!$W$15,ROW(AU74)-ROW(AU$15),0),15-13*ORÇAMENTO!$AF$11)),
         0)</f>
        <v>995.4</v>
      </c>
      <c r="AV74" s="352" t="n">
        <f aca="true">IF(AND($D74="Serviço",AV$12&lt;&gt;0,$H74&gt;0,OR(AUTOEVENTO&lt;&gt;"manual",$M74&lt;&gt;$A$15)),
        IF(Import.TipoArredondamento&lt;&gt;"TransfereGOV",
              ROUND(OFFSET($P74,0,AV$13),15-13*ORÇAMENTO!$AF$7)/$H74*OFFSET(ORÇAMENTO!$X$15,ROW(AV74)-ROW(AV$15),0),
              ROUND(ROUND(OFFSET($P74,0,AV$13),15-13*ORÇAMENTO!$AF$7)*OFFSET(ORÇAMENTO!$W$15,ROW(AV74)-ROW(AV$15),0),15-13*ORÇAMENTO!$AF$11)),
         0)</f>
        <v>995.4</v>
      </c>
      <c r="AW74" s="352" t="n">
        <f aca="true">IF(AND($D74="Serviço",AW$12&lt;&gt;0,$H74&gt;0,OR(AUTOEVENTO&lt;&gt;"manual",$M74&lt;&gt;$A$15)),
        IF(Import.TipoArredondamento&lt;&gt;"TransfereGOV",
              ROUND(OFFSET($P74,0,AW$13),15-13*ORÇAMENTO!$AF$7)/$H74*OFFSET(ORÇAMENTO!$X$15,ROW(AW74)-ROW(AW$15),0),
              ROUND(ROUND(OFFSET($P74,0,AW$13),15-13*ORÇAMENTO!$AF$7)*OFFSET(ORÇAMENTO!$W$15,ROW(AW74)-ROW(AW$15),0),15-13*ORÇAMENTO!$AF$11)),
         0)</f>
        <v>995.4</v>
      </c>
      <c r="AX74" s="352" t="n">
        <f aca="true">IF(AND($D74="Serviço",AX$12&lt;&gt;0,$H74&gt;0,OR(AUTOEVENTO&lt;&gt;"manual",$M74&lt;&gt;$A$15)),
        IF(Import.TipoArredondamento&lt;&gt;"TransfereGOV",
              ROUND(OFFSET($P74,0,AX$13),15-13*ORÇAMENTO!$AF$7)/$H74*OFFSET(ORÇAMENTO!$X$15,ROW(AX74)-ROW(AX$15),0),
              ROUND(ROUND(OFFSET($P74,0,AX$13),15-13*ORÇAMENTO!$AF$7)*OFFSET(ORÇAMENTO!$W$15,ROW(AX74)-ROW(AX$15),0),15-13*ORÇAMENTO!$AF$11)),
         0)</f>
        <v>995.4</v>
      </c>
      <c r="AY74" s="352" t="n">
        <f aca="true">IF(AND($D74="Serviço",AY$12&lt;&gt;0,$H74&gt;0,OR(AUTOEVENTO&lt;&gt;"manual",$M74&lt;&gt;$A$15)),
        IF(Import.TipoArredondamento&lt;&gt;"TransfereGOV",
              ROUND(OFFSET($P74,0,AY$13),15-13*ORÇAMENTO!$AF$7)/$H74*OFFSET(ORÇAMENTO!$X$15,ROW(AY74)-ROW(AY$15),0),
              ROUND(ROUND(OFFSET($P74,0,AY$13),15-13*ORÇAMENTO!$AF$7)*OFFSET(ORÇAMENTO!$W$15,ROW(AY74)-ROW(AY$15),0),15-13*ORÇAMENTO!$AF$11)),
         0)</f>
        <v>995.4</v>
      </c>
      <c r="AZ74" s="352" t="n">
        <f aca="true">IF(AND($D74="Serviço",AZ$12&lt;&gt;0,$H74&gt;0,OR(AUTOEVENTO&lt;&gt;"manual",$M74&lt;&gt;$A$15)),
        IF(Import.TipoArredondamento&lt;&gt;"TransfereGOV",
              ROUND(OFFSET($P74,0,AZ$13),15-13*ORÇAMENTO!$AF$7)/$H74*OFFSET(ORÇAMENTO!$X$15,ROW(AZ74)-ROW(AZ$15),0),
              ROUND(ROUND(OFFSET($P74,0,AZ$13),15-13*ORÇAMENTO!$AF$7)*OFFSET(ORÇAMENTO!$W$15,ROW(AZ74)-ROW(AZ$15),0),15-13*ORÇAMENTO!$AF$11)),
         0)</f>
        <v>995.4</v>
      </c>
      <c r="BA74" s="352" t="n">
        <f aca="true">IF(AND($D74="Serviço",BA$12&lt;&gt;0,$H74&gt;0,OR(AUTOEVENTO&lt;&gt;"manual",$M74&lt;&gt;$A$15)),
        IF(Import.TipoArredondamento&lt;&gt;"TransfereGOV",
              ROUND(OFFSET($P74,0,BA$13),15-13*ORÇAMENTO!$AF$7)/$H74*OFFSET(ORÇAMENTO!$X$15,ROW(BA74)-ROW(BA$15),0),
              ROUND(ROUND(OFFSET($P74,0,BA$13),15-13*ORÇAMENTO!$AF$7)*OFFSET(ORÇAMENTO!$W$15,ROW(BA74)-ROW(BA$15),0),15-13*ORÇAMENTO!$AF$11)),
         0)</f>
        <v>995.4</v>
      </c>
      <c r="BB74" s="352" t="n">
        <f aca="true">IF(AND($D74="Serviço",BB$12&lt;&gt;0,$H74&gt;0,OR(AUTOEVENTO&lt;&gt;"manual",$M74&lt;&gt;$A$15)),
        IF(Import.TipoArredondamento&lt;&gt;"TransfereGOV",
              ROUND(OFFSET($P74,0,BB$13),15-13*ORÇAMENTO!$AF$7)/$H74*OFFSET(ORÇAMENTO!$X$15,ROW(BB74)-ROW(BB$15),0),
              ROUND(ROUND(OFFSET($P74,0,BB$13),15-13*ORÇAMENTO!$AF$7)*OFFSET(ORÇAMENTO!$W$15,ROW(BB74)-ROW(BB$15),0),15-13*ORÇAMENTO!$AF$11)),
         0)</f>
        <v>995.4</v>
      </c>
      <c r="BC74" s="352" t="n">
        <f aca="true">IF(AND($D74="Serviço",BC$12&lt;&gt;0,$H74&gt;0,OR(AUTOEVENTO&lt;&gt;"manual",$M74&lt;&gt;$A$15)),
        IF(Import.TipoArredondamento&lt;&gt;"TransfereGOV",
              ROUND(OFFSET($P74,0,BC$13),15-13*ORÇAMENTO!$AF$7)/$H74*OFFSET(ORÇAMENTO!$X$15,ROW(BC74)-ROW(BC$15),0),
              ROUND(ROUND(OFFSET($P74,0,BC$13),15-13*ORÇAMENTO!$AF$7)*OFFSET(ORÇAMENTO!$W$15,ROW(BC74)-ROW(BC$15),0),15-13*ORÇAMENTO!$AF$11)),
         0)</f>
        <v>995.4</v>
      </c>
      <c r="BD74" s="352" t="n">
        <f aca="true">IF(AND($D74="Serviço",BD$12&lt;&gt;0,$H74&gt;0,OR(AUTOEVENTO&lt;&gt;"manual",$M74&lt;&gt;$A$15)),
        IF(Import.TipoArredondamento&lt;&gt;"TransfereGOV",
              ROUND(OFFSET($P74,0,BD$13),15-13*ORÇAMENTO!$AF$7)/$H74*OFFSET(ORÇAMENTO!$X$15,ROW(BD74)-ROW(BD$15),0),
              ROUND(ROUND(OFFSET($P74,0,BD$13),15-13*ORÇAMENTO!$AF$7)*OFFSET(ORÇAMENTO!$W$15,ROW(BD74)-ROW(BD$15),0),15-13*ORÇAMENTO!$AF$11)),
         0)</f>
        <v>995.4</v>
      </c>
      <c r="BE74" s="352" t="n">
        <f aca="true">IF(AND($D74="Serviço",BE$12&lt;&gt;0,$H74&gt;0,OR(AUTOEVENTO&lt;&gt;"manual",$M74&lt;&gt;$A$15)),
        IF(Import.TipoArredondamento&lt;&gt;"TransfereGOV",
              ROUND(OFFSET($P74,0,BE$13),15-13*ORÇAMENTO!$AF$7)/$H74*OFFSET(ORÇAMENTO!$X$15,ROW(BE74)-ROW(BE$15),0),
              ROUND(ROUND(OFFSET($P74,0,BE$13),15-13*ORÇAMENTO!$AF$7)*OFFSET(ORÇAMENTO!$W$15,ROW(BE74)-ROW(BE$15),0),15-13*ORÇAMENTO!$AF$11)),
         0)</f>
        <v>995.4</v>
      </c>
      <c r="BF74" s="352" t="n">
        <f aca="true">IF(AND($D74="Serviço",BF$12&lt;&gt;0,$H74&gt;0,OR(AUTOEVENTO&lt;&gt;"manual",$M74&lt;&gt;$A$15)),
        IF(Import.TipoArredondamento&lt;&gt;"TransfereGOV",
              ROUND(OFFSET($P74,0,BF$13),15-13*ORÇAMENTO!$AF$7)/$H74*OFFSET(ORÇAMENTO!$X$15,ROW(BF74)-ROW(BF$15),0),
              ROUND(ROUND(OFFSET($P74,0,BF$13),15-13*ORÇAMENTO!$AF$7)*OFFSET(ORÇAMENTO!$W$15,ROW(BF74)-ROW(BF$15),0),15-13*ORÇAMENTO!$AF$11)),
         0)</f>
        <v>995.4</v>
      </c>
      <c r="BG74" s="352" t="n">
        <f aca="true">IF(AND($D74="Serviço",BG$12&lt;&gt;0,$H74&gt;0,OR(AUTOEVENTO&lt;&gt;"manual",$M74&lt;&gt;$A$15)),
        IF(Import.TipoArredondamento&lt;&gt;"TransfereGOV",
              ROUND(OFFSET($P74,0,BG$13),15-13*ORÇAMENTO!$AF$7)/$H74*OFFSET(ORÇAMENTO!$X$15,ROW(BG74)-ROW(BG$15),0),
              ROUND(ROUND(OFFSET($P74,0,BG$13),15-13*ORÇAMENTO!$AF$7)*OFFSET(ORÇAMENTO!$W$15,ROW(BG74)-ROW(BG$15),0),15-13*ORÇAMENTO!$AF$11)),
         0)</f>
        <v>995.4</v>
      </c>
      <c r="BH74" s="352" t="n">
        <f aca="true">IF(AND($D74="Serviço",BH$12&lt;&gt;0,$H74&gt;0,OR(AUTOEVENTO&lt;&gt;"manual",$M74&lt;&gt;$A$15)),
        IF(Import.TipoArredondamento&lt;&gt;"TransfereGOV",
              ROUND(OFFSET($P74,0,BH$13),15-13*ORÇAMENTO!$AF$7)/$H74*OFFSET(ORÇAMENTO!$X$15,ROW(BH74)-ROW(BH$15),0),
              ROUND(ROUND(OFFSET($P74,0,BH$13),15-13*ORÇAMENTO!$AF$7)*OFFSET(ORÇAMENTO!$W$15,ROW(BH74)-ROW(BH$15),0),15-13*ORÇAMENTO!$AF$11)),
         0)</f>
        <v>995.4</v>
      </c>
      <c r="BI74" s="352" t="n">
        <f aca="true">IF(AND($D74="Serviço",BI$12&lt;&gt;0,$H74&gt;0,OR(AUTOEVENTO&lt;&gt;"manual",$M74&lt;&gt;$A$15)),
        IF(Import.TipoArredondamento&lt;&gt;"TransfereGOV",
              ROUND(OFFSET($P74,0,BI$13),15-13*ORÇAMENTO!$AF$7)/$H74*OFFSET(ORÇAMENTO!$X$15,ROW(BI74)-ROW(BI$15),0),
              ROUND(ROUND(OFFSET($P74,0,BI$13),15-13*ORÇAMENTO!$AF$7)*OFFSET(ORÇAMENTO!$W$15,ROW(BI74)-ROW(BI$15),0),15-13*ORÇAMENTO!$AF$11)),
         0)</f>
        <v>995.4</v>
      </c>
      <c r="BJ74" s="352" t="n">
        <f aca="true">IF(AND($D74="Serviço",BJ$12&lt;&gt;0,$H74&gt;0,OR(AUTOEVENTO&lt;&gt;"manual",$M74&lt;&gt;$A$15)),
        IF(Import.TipoArredondamento&lt;&gt;"TransfereGOV",
              ROUND(OFFSET($P74,0,BJ$13),15-13*ORÇAMENTO!$AF$7)/$H74*OFFSET(ORÇAMENTO!$X$15,ROW(BJ74)-ROW(BJ$15),0),
              ROUND(ROUND(OFFSET($P74,0,BJ$13),15-13*ORÇAMENTO!$AF$7)*OFFSET(ORÇAMENTO!$W$15,ROW(BJ74)-ROW(BJ$15),0),15-13*ORÇAMENTO!$AF$11)),
         0)</f>
        <v>995.4</v>
      </c>
      <c r="BK74" s="352" t="n">
        <f aca="true">IF(AND($D74="Serviço",BK$12&lt;&gt;0,$H74&gt;0,OR(AUTOEVENTO&lt;&gt;"manual",$M74&lt;&gt;$A$15)),
        IF(Import.TipoArredondamento&lt;&gt;"TransfereGOV",
              ROUND(OFFSET($P74,0,BK$13),15-13*ORÇAMENTO!$AF$7)/$H74*OFFSET(ORÇAMENTO!$X$15,ROW(BK74)-ROW(BK$15),0),
              ROUND(ROUND(OFFSET($P74,0,BK$13),15-13*ORÇAMENTO!$AF$7)*OFFSET(ORÇAMENTO!$W$15,ROW(BK74)-ROW(BK$15),0),15-13*ORÇAMENTO!$AF$11)),
         0)</f>
        <v>995.4</v>
      </c>
      <c r="BL74" s="352" t="n">
        <f aca="true">IF(AND($D74="Serviço",BL$12&lt;&gt;0,$H74&gt;0,OR(AUTOEVENTO&lt;&gt;"manual",$M74&lt;&gt;$A$15)),
        IF(Import.TipoArredondamento&lt;&gt;"TransfereGOV",
              ROUND(OFFSET($P74,0,BL$13),15-13*ORÇAMENTO!$AF$7)/$H74*OFFSET(ORÇAMENTO!$X$15,ROW(BL74)-ROW(BL$15),0),
              ROUND(ROUND(OFFSET($P74,0,BL$13),15-13*ORÇAMENTO!$AF$7)*OFFSET(ORÇAMENTO!$W$15,ROW(BL74)-ROW(BL$15),0),15-13*ORÇAMENTO!$AF$11)),
         0)</f>
        <v>995.4</v>
      </c>
      <c r="BM74" s="352" t="n">
        <f aca="true">IF(AND($D74="Serviço",BM$12&lt;&gt;0,$H74&gt;0,OR(AUTOEVENTO&lt;&gt;"manual",$M74&lt;&gt;$A$15)),
        IF(Import.TipoArredondamento&lt;&gt;"TransfereGOV",
              ROUND(OFFSET($P74,0,BM$13),15-13*ORÇAMENTO!$AF$7)/$H74*OFFSET(ORÇAMENTO!$X$15,ROW(BM74)-ROW(BM$15),0),
              ROUND(ROUND(OFFSET($P74,0,BM$13),15-13*ORÇAMENTO!$AF$7)*OFFSET(ORÇAMENTO!$W$15,ROW(BM74)-ROW(BM$15),0),15-13*ORÇAMENTO!$AF$11)),
         0)</f>
        <v>995.4</v>
      </c>
      <c r="BN74" s="352" t="n">
        <f aca="true">IF(AND($D74="Serviço",BN$12&lt;&gt;0,$H74&gt;0,OR(AUTOEVENTO&lt;&gt;"manual",$M74&lt;&gt;$A$15)),
        IF(Import.TipoArredondamento&lt;&gt;"TransfereGOV",
              ROUND(OFFSET($P74,0,BN$13),15-13*ORÇAMENTO!$AF$7)/$H74*OFFSET(ORÇAMENTO!$X$15,ROW(BN74)-ROW(BN$15),0),
              ROUND(ROUND(OFFSET($P74,0,BN$13),15-13*ORÇAMENTO!$AF$7)*OFFSET(ORÇAMENTO!$W$15,ROW(BN74)-ROW(BN$15),0),15-13*ORÇAMENTO!$AF$11)),
         0)</f>
        <v>995.4</v>
      </c>
      <c r="BO74" s="352" t="n">
        <f aca="true">IF(AND($D74="Serviço",BO$12&lt;&gt;0,$H74&gt;0,OR(AUTOEVENTO&lt;&gt;"manual",$M74&lt;&gt;$A$15)),
        IF(Import.TipoArredondamento&lt;&gt;"TransfereGOV",
              ROUND(OFFSET($P74,0,BO$13),15-13*ORÇAMENTO!$AF$7)/$H74*OFFSET(ORÇAMENTO!$X$15,ROW(BO74)-ROW(BO$15),0),
              ROUND(ROUND(OFFSET($P74,0,BO$13),15-13*ORÇAMENTO!$AF$7)*OFFSET(ORÇAMENTO!$W$15,ROW(BO74)-ROW(BO$15),0),15-13*ORÇAMENTO!$AF$11)),
         0)</f>
        <v>995.4</v>
      </c>
      <c r="BP74" s="352" t="n">
        <f aca="true">IF(AND($D74="Serviço",BP$12&lt;&gt;0,$H74&gt;0,OR(AUTOEVENTO&lt;&gt;"manual",$M74&lt;&gt;$A$15)),
        IF(Import.TipoArredondamento&lt;&gt;"TransfereGOV",
              ROUND(OFFSET($P74,0,BP$13),15-13*ORÇAMENTO!$AF$7)/$H74*OFFSET(ORÇAMENTO!$X$15,ROW(BP74)-ROW(BP$15),0),
              ROUND(ROUND(OFFSET($P74,0,BP$13),15-13*ORÇAMENTO!$AF$7)*OFFSET(ORÇAMENTO!$W$15,ROW(BP74)-ROW(BP$15),0),15-13*ORÇAMENTO!$AF$11)),
         0)</f>
        <v>995.4</v>
      </c>
      <c r="BQ74" s="352" t="n">
        <f aca="true">IF(AND($D74="Serviço",BQ$12&lt;&gt;0,$H74&gt;0,OR(AUTOEVENTO&lt;&gt;"manual",$M74&lt;&gt;$A$15)),
        IF(Import.TipoArredondamento&lt;&gt;"TransfereGOV",
              ROUND(OFFSET($P74,0,BQ$13),15-13*ORÇAMENTO!$AF$7)/$H74*OFFSET(ORÇAMENTO!$X$15,ROW(BQ74)-ROW(BQ$15),0),
              ROUND(ROUND(OFFSET($P74,0,BQ$13),15-13*ORÇAMENTO!$AF$7)*OFFSET(ORÇAMENTO!$W$15,ROW(BQ74)-ROW(BQ$15),0),15-13*ORÇAMENTO!$AF$11)),
         0)</f>
        <v>0</v>
      </c>
      <c r="BS74" s="353" t="n">
        <f aca="true">IF(OR($D74&lt;&gt;"Serviço",AND(AUTOEVENTO="Manual",$M74=$A$15)),0,
         IF(OFFSET(CRONOPLE!$F$15,$M74-$A$15,BS$13)=0,10^12,OFFSET(CRONOPLE!$F$15,$M74-$A$15,BS$13)))</f>
        <v>1</v>
      </c>
      <c r="BT74" s="353" t="n">
        <f aca="true">IF(OR($D74&lt;&gt;"Serviço",AND(AUTOEVENTO="Manual",$M74=$A$15)),0,
         IF(OFFSET(CRONOPLE!$F$15,$M74-$A$15,BT$13)=0,10^12,OFFSET(CRONOPLE!$F$15,$M74-$A$15,BT$13)))</f>
        <v>2</v>
      </c>
      <c r="BU74" s="353" t="n">
        <f aca="true">IF(OR($D74&lt;&gt;"Serviço",AND(AUTOEVENTO="Manual",$M74=$A$15)),0,
         IF(OFFSET(CRONOPLE!$F$15,$M74-$A$15,BU$13)=0,10^12,OFFSET(CRONOPLE!$F$15,$M74-$A$15,BU$13)))</f>
        <v>3</v>
      </c>
      <c r="BV74" s="353" t="n">
        <f aca="true">IF(OR($D74&lt;&gt;"Serviço",AND(AUTOEVENTO="Manual",$M74=$A$15)),0,
         IF(OFFSET(CRONOPLE!$F$15,$M74-$A$15,BV$13)=0,10^12,OFFSET(CRONOPLE!$F$15,$M74-$A$15,BV$13)))</f>
        <v>4</v>
      </c>
      <c r="BW74" s="353" t="n">
        <f aca="true">IF(OR($D74&lt;&gt;"Serviço",AND(AUTOEVENTO="Manual",$M74=$A$15)),0,
         IF(OFFSET(CRONOPLE!$F$15,$M74-$A$15,BW$13)=0,10^12,OFFSET(CRONOPLE!$F$15,$M74-$A$15,BW$13)))</f>
        <v>5</v>
      </c>
      <c r="BX74" s="353" t="n">
        <f aca="true">IF(OR($D74&lt;&gt;"Serviço",AND(AUTOEVENTO="Manual",$M74=$A$15)),0,
         IF(OFFSET(CRONOPLE!$F$15,$M74-$A$15,BX$13)=0,10^12,OFFSET(CRONOPLE!$F$15,$M74-$A$15,BX$13)))</f>
        <v>6</v>
      </c>
      <c r="BY74" s="353" t="n">
        <f aca="true">IF(OR($D74&lt;&gt;"Serviço",AND(AUTOEVENTO="Manual",$M74=$A$15)),0,
         IF(OFFSET(CRONOPLE!$F$15,$M74-$A$15,BY$13)=0,10^12,OFFSET(CRONOPLE!$F$15,$M74-$A$15,BY$13)))</f>
        <v>7</v>
      </c>
      <c r="BZ74" s="353" t="n">
        <f aca="true">IF(OR($D74&lt;&gt;"Serviço",AND(AUTOEVENTO="Manual",$M74=$A$15)),0,
         IF(OFFSET(CRONOPLE!$F$15,$M74-$A$15,BZ$13)=0,10^12,OFFSET(CRONOPLE!$F$15,$M74-$A$15,BZ$13)))</f>
        <v>8</v>
      </c>
      <c r="CA74" s="353" t="n">
        <f aca="true">IF(OR($D74&lt;&gt;"Serviço",AND(AUTOEVENTO="Manual",$M74=$A$15)),0,
         IF(OFFSET(CRONOPLE!$F$15,$M74-$A$15,CA$13)=0,10^12,OFFSET(CRONOPLE!$F$15,$M74-$A$15,CA$13)))</f>
        <v>9</v>
      </c>
      <c r="CB74" s="353" t="n">
        <f aca="true">IF(OR($D74&lt;&gt;"Serviço",AND(AUTOEVENTO="Manual",$M74=$A$15)),0,
         IF(OFFSET(CRONOPLE!$F$15,$M74-$A$15,CB$13)=0,10^12,OFFSET(CRONOPLE!$F$15,$M74-$A$15,CB$13)))</f>
        <v>10</v>
      </c>
      <c r="CC74" s="353" t="n">
        <f aca="true">IF(OR($D74&lt;&gt;"Serviço",AND(AUTOEVENTO="Manual",$M74=$A$15)),0,
         IF(OFFSET(CRONOPLE!$F$15,$M74-$A$15,CC$13)=0,10^12,OFFSET(CRONOPLE!$F$15,$M74-$A$15,CC$13)))</f>
        <v>11</v>
      </c>
      <c r="CD74" s="353" t="n">
        <f aca="true">IF(OR($D74&lt;&gt;"Serviço",AND(AUTOEVENTO="Manual",$M74=$A$15)),0,
         IF(OFFSET(CRONOPLE!$F$15,$M74-$A$15,CD$13)=0,10^12,OFFSET(CRONOPLE!$F$15,$M74-$A$15,CD$13)))</f>
        <v>12</v>
      </c>
      <c r="CE74" s="353" t="n">
        <f aca="true">IF(OR($D74&lt;&gt;"Serviço",AND(AUTOEVENTO="Manual",$M74=$A$15)),0,
         IF(OFFSET(CRONOPLE!$F$15,$M74-$A$15,CE$13)=0,10^12,OFFSET(CRONOPLE!$F$15,$M74-$A$15,CE$13)))</f>
        <v>13</v>
      </c>
      <c r="CF74" s="353" t="n">
        <f aca="true">IF(OR($D74&lt;&gt;"Serviço",AND(AUTOEVENTO="Manual",$M74=$A$15)),0,
         IF(OFFSET(CRONOPLE!$F$15,$M74-$A$15,CF$13)=0,10^12,OFFSET(CRONOPLE!$F$15,$M74-$A$15,CF$13)))</f>
        <v>14</v>
      </c>
      <c r="CG74" s="353" t="n">
        <f aca="true">IF(OR($D74&lt;&gt;"Serviço",AND(AUTOEVENTO="Manual",$M74=$A$15)),0,
         IF(OFFSET(CRONOPLE!$F$15,$M74-$A$15,CG$13)=0,10^12,OFFSET(CRONOPLE!$F$15,$M74-$A$15,CG$13)))</f>
        <v>15</v>
      </c>
      <c r="CH74" s="353" t="n">
        <f aca="true">IF(OR($D74&lt;&gt;"Serviço",AND(AUTOEVENTO="Manual",$M74=$A$15)),0,
         IF(OFFSET(CRONOPLE!$F$15,$M74-$A$15,CH$13)=0,10^12,OFFSET(CRONOPLE!$F$15,$M74-$A$15,CH$13)))</f>
        <v>16</v>
      </c>
      <c r="CI74" s="353" t="n">
        <f aca="true">IF(OR($D74&lt;&gt;"Serviço",AND(AUTOEVENTO="Manual",$M74=$A$15)),0,
         IF(OFFSET(CRONOPLE!$F$15,$M74-$A$15,CI$13)=0,10^12,OFFSET(CRONOPLE!$F$15,$M74-$A$15,CI$13)))</f>
        <v>17</v>
      </c>
      <c r="CJ74" s="353" t="n">
        <f aca="true">IF(OR($D74&lt;&gt;"Serviço",AND(AUTOEVENTO="Manual",$M74=$A$15)),0,
         IF(OFFSET(CRONOPLE!$F$15,$M74-$A$15,CJ$13)=0,10^12,OFFSET(CRONOPLE!$F$15,$M74-$A$15,CJ$13)))</f>
        <v>18</v>
      </c>
      <c r="CK74" s="353" t="n">
        <f aca="true">IF(OR($D74&lt;&gt;"Serviço",AND(AUTOEVENTO="Manual",$M74=$A$15)),0,
         IF(OFFSET(CRONOPLE!$F$15,$M74-$A$15,CK$13)=0,10^12,OFFSET(CRONOPLE!$F$15,$M74-$A$15,CK$13)))</f>
        <v>19</v>
      </c>
      <c r="CL74" s="353" t="n">
        <f aca="true">IF(OR($D74&lt;&gt;"Serviço",AND(AUTOEVENTO="Manual",$M74=$A$15)),0,
         IF(OFFSET(CRONOPLE!$F$15,$M74-$A$15,CL$13)=0,10^12,OFFSET(CRONOPLE!$F$15,$M74-$A$15,CL$13)))</f>
        <v>20</v>
      </c>
      <c r="CM74" s="353" t="n">
        <f aca="true">IF(OR($D74&lt;&gt;"Serviço",AND(AUTOEVENTO="Manual",$M74=$A$15)),0,
         IF(OFFSET(CRONOPLE!$F$15,$M74-$A$15,CM$13)=0,10^12,OFFSET(CRONOPLE!$F$15,$M74-$A$15,CM$13)))</f>
        <v>21</v>
      </c>
      <c r="CN74" s="353" t="n">
        <f aca="true">IF(OR($D74&lt;&gt;"Serviço",AND(AUTOEVENTO="Manual",$M74=$A$15)),0,
         IF(OFFSET(CRONOPLE!$F$15,$M74-$A$15,CN$13)=0,10^12,OFFSET(CRONOPLE!$F$15,$M74-$A$15,CN$13)))</f>
        <v>22</v>
      </c>
      <c r="CO74" s="353" t="n">
        <f aca="true">IF(OR($D74&lt;&gt;"Serviço",AND(AUTOEVENTO="Manual",$M74=$A$15)),0,
         IF(OFFSET(CRONOPLE!$F$15,$M74-$A$15,CO$13)=0,10^12,OFFSET(CRONOPLE!$F$15,$M74-$A$15,CO$13)))</f>
        <v>23</v>
      </c>
      <c r="CP74" s="353" t="n">
        <f aca="true">IF(OR($D74&lt;&gt;"Serviço",AND(AUTOEVENTO="Manual",$M74=$A$15)),0,
         IF(OFFSET(CRONOPLE!$F$15,$M74-$A$15,CP$13)=0,10^12,OFFSET(CRONOPLE!$F$15,$M74-$A$15,CP$13)))</f>
        <v>24</v>
      </c>
      <c r="CQ74" s="353" t="n">
        <f aca="true">IF(OR($D74&lt;&gt;"Serviço",AND(AUTOEVENTO="Manual",$M74=$A$15)),0,
         IF(OFFSET(CRONOPLE!$F$15,$M74-$A$15,CQ$13)=0,10^12,OFFSET(CRONOPLE!$F$15,$M74-$A$15,CQ$13)))</f>
        <v>25</v>
      </c>
      <c r="CR74" s="353" t="n">
        <f aca="true">IF(OR($D74&lt;&gt;"Serviço",AND(AUTOEVENTO="Manual",$M74=$A$15)),0,
         IF(OFFSET(CRONOPLE!$F$15,$M74-$A$15,CR$13)=0,10^12,OFFSET(CRONOPLE!$F$15,$M74-$A$15,CR$13)))</f>
        <v>1000000000000</v>
      </c>
      <c r="CT74" s="354" t="n">
        <f aca="true">IF(OR($D74&lt;&gt;"Serviço",AND(AUTOEVENTO="Manual",$M74=$A$15),$M74&gt;(ROW(PLE.lastrow)-ROW(PLE.firstrow))),0,
           IF(OFFSET(PLE!$G$15,$M74-$A$15,CT$13)="",10^12,OFFSET(PLE!$G$15,$M74-$A$15,CT$13)))</f>
        <v>1000000000000</v>
      </c>
      <c r="CU74" s="354" t="n">
        <f aca="true">IF(OR($D74&lt;&gt;"Serviço",AND(AUTOEVENTO="Manual",$M74=$A$15),$M74&gt;(ROW(PLE.lastrow)-ROW(PLE.firstrow))),0,
           IF(OFFSET(PLE!$G$15,$M74-$A$15,CU$13)="",10^12,OFFSET(PLE!$G$15,$M74-$A$15,CU$13)))</f>
        <v>1000000000000</v>
      </c>
      <c r="CV74" s="354" t="n">
        <f aca="true">IF(OR($D74&lt;&gt;"Serviço",AND(AUTOEVENTO="Manual",$M74=$A$15),$M74&gt;(ROW(PLE.lastrow)-ROW(PLE.firstrow))),0,
           IF(OFFSET(PLE!$G$15,$M74-$A$15,CV$13)="",10^12,OFFSET(PLE!$G$15,$M74-$A$15,CV$13)))</f>
        <v>1000000000000</v>
      </c>
      <c r="CW74" s="354" t="n">
        <f aca="true">IF(OR($D74&lt;&gt;"Serviço",AND(AUTOEVENTO="Manual",$M74=$A$15),$M74&gt;(ROW(PLE.lastrow)-ROW(PLE.firstrow))),0,
           IF(OFFSET(PLE!$G$15,$M74-$A$15,CW$13)="",10^12,OFFSET(PLE!$G$15,$M74-$A$15,CW$13)))</f>
        <v>1000000000000</v>
      </c>
      <c r="CX74" s="354" t="n">
        <f aca="true">IF(OR($D74&lt;&gt;"Serviço",AND(AUTOEVENTO="Manual",$M74=$A$15),$M74&gt;(ROW(PLE.lastrow)-ROW(PLE.firstrow))),0,
           IF(OFFSET(PLE!$G$15,$M74-$A$15,CX$13)="",10^12,OFFSET(PLE!$G$15,$M74-$A$15,CX$13)))</f>
        <v>1000000000000</v>
      </c>
      <c r="CY74" s="354" t="n">
        <f aca="true">IF(OR($D74&lt;&gt;"Serviço",AND(AUTOEVENTO="Manual",$M74=$A$15),$M74&gt;(ROW(PLE.lastrow)-ROW(PLE.firstrow))),0,
           IF(OFFSET(PLE!$G$15,$M74-$A$15,CY$13)="",10^12,OFFSET(PLE!$G$15,$M74-$A$15,CY$13)))</f>
        <v>1000000000000</v>
      </c>
      <c r="CZ74" s="354" t="n">
        <f aca="true">IF(OR($D74&lt;&gt;"Serviço",AND(AUTOEVENTO="Manual",$M74=$A$15),$M74&gt;(ROW(PLE.lastrow)-ROW(PLE.firstrow))),0,
           IF(OFFSET(PLE!$G$15,$M74-$A$15,CZ$13)="",10^12,OFFSET(PLE!$G$15,$M74-$A$15,CZ$13)))</f>
        <v>1000000000000</v>
      </c>
      <c r="DA74" s="354" t="n">
        <f aca="true">IF(OR($D74&lt;&gt;"Serviço",AND(AUTOEVENTO="Manual",$M74=$A$15),$M74&gt;(ROW(PLE.lastrow)-ROW(PLE.firstrow))),0,
           IF(OFFSET(PLE!$G$15,$M74-$A$15,DA$13)="",10^12,OFFSET(PLE!$G$15,$M74-$A$15,DA$13)))</f>
        <v>1000000000000</v>
      </c>
      <c r="DB74" s="354" t="n">
        <f aca="true">IF(OR($D74&lt;&gt;"Serviço",AND(AUTOEVENTO="Manual",$M74=$A$15),$M74&gt;(ROW(PLE.lastrow)-ROW(PLE.firstrow))),0,
           IF(OFFSET(PLE!$G$15,$M74-$A$15,DB$13)="",10^12,OFFSET(PLE!$G$15,$M74-$A$15,DB$13)))</f>
        <v>1000000000000</v>
      </c>
      <c r="DC74" s="354" t="n">
        <f aca="true">IF(OR($D74&lt;&gt;"Serviço",AND(AUTOEVENTO="Manual",$M74=$A$15),$M74&gt;(ROW(PLE.lastrow)-ROW(PLE.firstrow))),0,
           IF(OFFSET(PLE!$G$15,$M74-$A$15,DC$13)="",10^12,OFFSET(PLE!$G$15,$M74-$A$15,DC$13)))</f>
        <v>1000000000000</v>
      </c>
      <c r="DD74" s="354" t="n">
        <f aca="true">IF(OR($D74&lt;&gt;"Serviço",AND(AUTOEVENTO="Manual",$M74=$A$15),$M74&gt;(ROW(PLE.lastrow)-ROW(PLE.firstrow))),0,
           IF(OFFSET(PLE!$G$15,$M74-$A$15,DD$13)="",10^12,OFFSET(PLE!$G$15,$M74-$A$15,DD$13)))</f>
        <v>1000000000000</v>
      </c>
      <c r="DE74" s="354" t="n">
        <f aca="true">IF(OR($D74&lt;&gt;"Serviço",AND(AUTOEVENTO="Manual",$M74=$A$15),$M74&gt;(ROW(PLE.lastrow)-ROW(PLE.firstrow))),0,
           IF(OFFSET(PLE!$G$15,$M74-$A$15,DE$13)="",10^12,OFFSET(PLE!$G$15,$M74-$A$15,DE$13)))</f>
        <v>1000000000000</v>
      </c>
      <c r="DF74" s="354" t="n">
        <f aca="true">IF(OR($D74&lt;&gt;"Serviço",AND(AUTOEVENTO="Manual",$M74=$A$15),$M74&gt;(ROW(PLE.lastrow)-ROW(PLE.firstrow))),0,
           IF(OFFSET(PLE!$G$15,$M74-$A$15,DF$13)="",10^12,OFFSET(PLE!$G$15,$M74-$A$15,DF$13)))</f>
        <v>1000000000000</v>
      </c>
      <c r="DG74" s="354" t="n">
        <f aca="true">IF(OR($D74&lt;&gt;"Serviço",AND(AUTOEVENTO="Manual",$M74=$A$15),$M74&gt;(ROW(PLE.lastrow)-ROW(PLE.firstrow))),0,
           IF(OFFSET(PLE!$G$15,$M74-$A$15,DG$13)="",10^12,OFFSET(PLE!$G$15,$M74-$A$15,DG$13)))</f>
        <v>1000000000000</v>
      </c>
      <c r="DH74" s="354" t="n">
        <f aca="true">IF(OR($D74&lt;&gt;"Serviço",AND(AUTOEVENTO="Manual",$M74=$A$15),$M74&gt;(ROW(PLE.lastrow)-ROW(PLE.firstrow))),0,
           IF(OFFSET(PLE!$G$15,$M74-$A$15,DH$13)="",10^12,OFFSET(PLE!$G$15,$M74-$A$15,DH$13)))</f>
        <v>1000000000000</v>
      </c>
      <c r="DI74" s="354" t="n">
        <f aca="true">IF(OR($D74&lt;&gt;"Serviço",AND(AUTOEVENTO="Manual",$M74=$A$15),$M74&gt;(ROW(PLE.lastrow)-ROW(PLE.firstrow))),0,
           IF(OFFSET(PLE!$G$15,$M74-$A$15,DI$13)="",10^12,OFFSET(PLE!$G$15,$M74-$A$15,DI$13)))</f>
        <v>1000000000000</v>
      </c>
      <c r="DJ74" s="354" t="n">
        <f aca="true">IF(OR($D74&lt;&gt;"Serviço",AND(AUTOEVENTO="Manual",$M74=$A$15),$M74&gt;(ROW(PLE.lastrow)-ROW(PLE.firstrow))),0,
           IF(OFFSET(PLE!$G$15,$M74-$A$15,DJ$13)="",10^12,OFFSET(PLE!$G$15,$M74-$A$15,DJ$13)))</f>
        <v>1000000000000</v>
      </c>
      <c r="DK74" s="354" t="n">
        <f aca="true">IF(OR($D74&lt;&gt;"Serviço",AND(AUTOEVENTO="Manual",$M74=$A$15),$M74&gt;(ROW(PLE.lastrow)-ROW(PLE.firstrow))),0,
           IF(OFFSET(PLE!$G$15,$M74-$A$15,DK$13)="",10^12,OFFSET(PLE!$G$15,$M74-$A$15,DK$13)))</f>
        <v>1000000000000</v>
      </c>
      <c r="DL74" s="354" t="n">
        <f aca="true">IF(OR($D74&lt;&gt;"Serviço",AND(AUTOEVENTO="Manual",$M74=$A$15),$M74&gt;(ROW(PLE.lastrow)-ROW(PLE.firstrow))),0,
           IF(OFFSET(PLE!$G$15,$M74-$A$15,DL$13)="",10^12,OFFSET(PLE!$G$15,$M74-$A$15,DL$13)))</f>
        <v>1000000000000</v>
      </c>
      <c r="DM74" s="354" t="n">
        <f aca="true">IF(OR($D74&lt;&gt;"Serviço",AND(AUTOEVENTO="Manual",$M74=$A$15),$M74&gt;(ROW(PLE.lastrow)-ROW(PLE.firstrow))),0,
           IF(OFFSET(PLE!$G$15,$M74-$A$15,DM$13)="",10^12,OFFSET(PLE!$G$15,$M74-$A$15,DM$13)))</f>
        <v>1000000000000</v>
      </c>
      <c r="DN74" s="354" t="n">
        <f aca="true">IF(OR($D74&lt;&gt;"Serviço",AND(AUTOEVENTO="Manual",$M74=$A$15),$M74&gt;(ROW(PLE.lastrow)-ROW(PLE.firstrow))),0,
           IF(OFFSET(PLE!$G$15,$M74-$A$15,DN$13)="",10^12,OFFSET(PLE!$G$15,$M74-$A$15,DN$13)))</f>
        <v>1000000000000</v>
      </c>
      <c r="DO74" s="354" t="n">
        <f aca="true">IF(OR($D74&lt;&gt;"Serviço",AND(AUTOEVENTO="Manual",$M74=$A$15),$M74&gt;(ROW(PLE.lastrow)-ROW(PLE.firstrow))),0,
           IF(OFFSET(PLE!$G$15,$M74-$A$15,DO$13)="",10^12,OFFSET(PLE!$G$15,$M74-$A$15,DO$13)))</f>
        <v>1000000000000</v>
      </c>
      <c r="DP74" s="354" t="n">
        <f aca="true">IF(OR($D74&lt;&gt;"Serviço",AND(AUTOEVENTO="Manual",$M74=$A$15),$M74&gt;(ROW(PLE.lastrow)-ROW(PLE.firstrow))),0,
           IF(OFFSET(PLE!$G$15,$M74-$A$15,DP$13)="",10^12,OFFSET(PLE!$G$15,$M74-$A$15,DP$13)))</f>
        <v>1000000000000</v>
      </c>
      <c r="DQ74" s="354" t="n">
        <f aca="true">IF(OR($D74&lt;&gt;"Serviço",AND(AUTOEVENTO="Manual",$M74=$A$15),$M74&gt;(ROW(PLE.lastrow)-ROW(PLE.firstrow))),0,
           IF(OFFSET(PLE!$G$15,$M74-$A$15,DQ$13)="",10^12,OFFSET(PLE!$G$15,$M74-$A$15,DQ$13)))</f>
        <v>1000000000000</v>
      </c>
      <c r="DR74" s="354" t="n">
        <f aca="true">IF(OR($D74&lt;&gt;"Serviço",AND(AUTOEVENTO="Manual",$M74=$A$15),$M74&gt;(ROW(PLE.lastrow)-ROW(PLE.firstrow))),0,
           IF(OFFSET(PLE!$G$15,$M74-$A$15,DR$13)="",10^12,OFFSET(PLE!$G$15,$M74-$A$15,DR$13)))</f>
        <v>1000000000000</v>
      </c>
      <c r="DS74" s="354" t="n">
        <f aca="true">IF(OR($D74&lt;&gt;"Serviço",AND(AUTOEVENTO="Manual",$M74=$A$15),$M74&gt;(ROW(PLE.lastrow)-ROW(PLE.firstrow))),0,
           IF(OFFSET(PLE!$G$15,$M74-$A$15,DS$13)="",10^12,OFFSET(PLE!$G$15,$M74-$A$15,DS$13)))</f>
        <v>1000000000000</v>
      </c>
    </row>
    <row r="75" customFormat="false" ht="12.75" hidden="false" customHeight="false" outlineLevel="0" collapsed="false">
      <c r="A75" s="50" t="str">
        <f aca="true">IFERROR(IF(AUTOEVENTO="Manual",IF(K75&lt;&gt;"",MIN(VALUE(LEFT(K75,FIND(".",K75)-1)),COUNTA(EVENTOS.Lista)),0),IF(OR($B75&gt;AUTOEVENTO,$B75="S",$B75=0),SUBSTITUTE(OFFSET($A75,-1,0),IF($D75="Serviço",".",""),""),ROW(A75)-ROW($A$15)&amp;".")),0)</f>
        <v>60.</v>
      </c>
      <c r="B75" s="50" t="n">
        <f aca="true">OFFSET(ORÇAMENTO!C$15,ROW(B75)-ROW(B$15),0)</f>
        <v>2</v>
      </c>
      <c r="C75" s="50" t="str">
        <f aca="true">OFFSET(ORÇAMENTO!L$15,ROW(C75)-ROW(C$15),0)</f>
        <v>F</v>
      </c>
      <c r="D75" s="201" t="str">
        <f aca="true">OFFSET(ORÇAMENTO!N$15,ROW(D75)-ROW(D$15),0)</f>
        <v>Nível 2</v>
      </c>
      <c r="E75" s="202" t="str">
        <f aca="true">OFFSET(ORÇAMENTO!O$15,ROW(E75)-ROW(E$15),0)</f>
        <v>1.16.</v>
      </c>
      <c r="F75" s="341" t="str">
        <f aca="true">OFFSET(ORÇAMENTO!R$15,ROW(F75)-ROW(F$15),0)</f>
        <v>IMPERMEBILIZAÇÕES</v>
      </c>
      <c r="G75" s="342" t="str">
        <f aca="true">IF($D75&lt;&gt;"Serviço","",OFFSET(ORÇAMENTO!S$15,ROW(G75)-ROW(G$15),0))</f>
        <v/>
      </c>
      <c r="H75" s="207" t="n">
        <f aca="true">IF($D75&lt;&gt;"Serviço",0,IF(ACOMPANHAMENTO="BM",ROUND(OFFSET(ORÇAMENTO!AJ$15,ROW(H75)-ROW(H$15),0),15-13*ORÇAMENTO!$AF$7),SUMPRODUCT(($Q$1:$AQ$1=1)*ROUND($Q75:$AQ75,15-13*ORÇAMENTO!$AF$7))))</f>
        <v>0</v>
      </c>
      <c r="I75" s="343"/>
      <c r="J75" s="344" t="str">
        <f aca="false">IF(OR(B75&lt;&gt;"S",CÁLCULO.FrentesPreenchidas=0),"",IF(AND(ACOMPANHAMENTO="PLE",AUTOEVENTO="Manual",OR(H75&gt;0,ORÇAMENTO!AC75="QUANT."),OR(K75="",M75=0,N75="")),"►",IF(AND(ACOMPANHAMENTO="PLE",ORÇAMENTO!AC75="QUANT."),"►►",IF(AND(COUNTIF($P$11:$AQ$11,"▼")=0,H75&gt;0,I75=""),"◄",""))))</f>
        <v/>
      </c>
      <c r="K75" s="345"/>
      <c r="L75" s="346" t="s">
        <v>876</v>
      </c>
      <c r="M75" s="347" t="str">
        <f aca="true">IF($D75&lt;&gt;"Serviço","",
          IF(AUTOEVENTO="manual",$A75,
                IF(ISERROR(MATCH($A75,$A$15:OFFSET($A75,-1,0),0)),MAX($M$15:OFFSET(M75,-1,0))+1,
                      INDEX($M$15:OFFSET(M75,-1,0),MATCH($A75,$A$15:OFFSET($A75,-1,0),0)))))</f>
        <v/>
      </c>
      <c r="N75" s="348" t="str">
        <f aca="true">IF($D75&lt;&gt;"Serviço","",
         IF(AUTOEVENTO="Manual",
                IF($A75=0,"&lt;-- defina o número do agrupador",
                       OFFSET(EVENTOS!$D$15,$A75-$A$15,0)),
                OFFSET($F$15,$A75,0)))</f>
        <v/>
      </c>
      <c r="O75" s="349"/>
      <c r="Q75" s="349"/>
      <c r="R75" s="350"/>
      <c r="S75" s="350"/>
      <c r="T75" s="350"/>
      <c r="U75" s="350"/>
      <c r="V75" s="350"/>
      <c r="W75" s="350"/>
      <c r="X75" s="350"/>
      <c r="Y75" s="350"/>
      <c r="Z75" s="351"/>
      <c r="AA75" s="350"/>
      <c r="AB75" s="350"/>
      <c r="AC75" s="350"/>
      <c r="AD75" s="350"/>
      <c r="AE75" s="350"/>
      <c r="AF75" s="350"/>
      <c r="AG75" s="350"/>
      <c r="AH75" s="351"/>
      <c r="AI75" s="350"/>
      <c r="AJ75" s="350"/>
      <c r="AK75" s="350"/>
      <c r="AL75" s="350"/>
      <c r="AM75" s="350"/>
      <c r="AN75" s="350"/>
      <c r="AO75" s="350"/>
      <c r="AP75" s="351"/>
      <c r="AR75" s="352" t="n">
        <f aca="true">IF(AND($D75="Serviço",AR$12&lt;&gt;0,$H75&gt;0,OR(AUTOEVENTO&lt;&gt;"manual",$M75&lt;&gt;$A$15)),
        IF(Import.TipoArredondamento&lt;&gt;"TransfereGOV",
              ROUND(OFFSET($P75,0,AR$13),15-13*ORÇAMENTO!$AF$7)/$H75*OFFSET(ORÇAMENTO!$X$15,ROW(AR75)-ROW(AR$15),0),
              ROUND(ROUND(OFFSET($P75,0,AR$13),15-13*ORÇAMENTO!$AF$7)*OFFSET(ORÇAMENTO!$W$15,ROW(AR75)-ROW(AR$15),0),15-13*ORÇAMENTO!$AF$11)),
         0)</f>
        <v>0</v>
      </c>
      <c r="AS75" s="352" t="n">
        <f aca="true">IF(AND($D75="Serviço",AS$12&lt;&gt;0,$H75&gt;0,OR(AUTOEVENTO&lt;&gt;"manual",$M75&lt;&gt;$A$15)),
        IF(Import.TipoArredondamento&lt;&gt;"TransfereGOV",
              ROUND(OFFSET($P75,0,AS$13),15-13*ORÇAMENTO!$AF$7)/$H75*OFFSET(ORÇAMENTO!$X$15,ROW(AS75)-ROW(AS$15),0),
              ROUND(ROUND(OFFSET($P75,0,AS$13),15-13*ORÇAMENTO!$AF$7)*OFFSET(ORÇAMENTO!$W$15,ROW(AS75)-ROW(AS$15),0),15-13*ORÇAMENTO!$AF$11)),
         0)</f>
        <v>0</v>
      </c>
      <c r="AT75" s="352" t="n">
        <f aca="true">IF(AND($D75="Serviço",AT$12&lt;&gt;0,$H75&gt;0,OR(AUTOEVENTO&lt;&gt;"manual",$M75&lt;&gt;$A$15)),
        IF(Import.TipoArredondamento&lt;&gt;"TransfereGOV",
              ROUND(OFFSET($P75,0,AT$13),15-13*ORÇAMENTO!$AF$7)/$H75*OFFSET(ORÇAMENTO!$X$15,ROW(AT75)-ROW(AT$15),0),
              ROUND(ROUND(OFFSET($P75,0,AT$13),15-13*ORÇAMENTO!$AF$7)*OFFSET(ORÇAMENTO!$W$15,ROW(AT75)-ROW(AT$15),0),15-13*ORÇAMENTO!$AF$11)),
         0)</f>
        <v>0</v>
      </c>
      <c r="AU75" s="352" t="n">
        <f aca="true">IF(AND($D75="Serviço",AU$12&lt;&gt;0,$H75&gt;0,OR(AUTOEVENTO&lt;&gt;"manual",$M75&lt;&gt;$A$15)),
        IF(Import.TipoArredondamento&lt;&gt;"TransfereGOV",
              ROUND(OFFSET($P75,0,AU$13),15-13*ORÇAMENTO!$AF$7)/$H75*OFFSET(ORÇAMENTO!$X$15,ROW(AU75)-ROW(AU$15),0),
              ROUND(ROUND(OFFSET($P75,0,AU$13),15-13*ORÇAMENTO!$AF$7)*OFFSET(ORÇAMENTO!$W$15,ROW(AU75)-ROW(AU$15),0),15-13*ORÇAMENTO!$AF$11)),
         0)</f>
        <v>0</v>
      </c>
      <c r="AV75" s="352" t="n">
        <f aca="true">IF(AND($D75="Serviço",AV$12&lt;&gt;0,$H75&gt;0,OR(AUTOEVENTO&lt;&gt;"manual",$M75&lt;&gt;$A$15)),
        IF(Import.TipoArredondamento&lt;&gt;"TransfereGOV",
              ROUND(OFFSET($P75,0,AV$13),15-13*ORÇAMENTO!$AF$7)/$H75*OFFSET(ORÇAMENTO!$X$15,ROW(AV75)-ROW(AV$15),0),
              ROUND(ROUND(OFFSET($P75,0,AV$13),15-13*ORÇAMENTO!$AF$7)*OFFSET(ORÇAMENTO!$W$15,ROW(AV75)-ROW(AV$15),0),15-13*ORÇAMENTO!$AF$11)),
         0)</f>
        <v>0</v>
      </c>
      <c r="AW75" s="352" t="n">
        <f aca="true">IF(AND($D75="Serviço",AW$12&lt;&gt;0,$H75&gt;0,OR(AUTOEVENTO&lt;&gt;"manual",$M75&lt;&gt;$A$15)),
        IF(Import.TipoArredondamento&lt;&gt;"TransfereGOV",
              ROUND(OFFSET($P75,0,AW$13),15-13*ORÇAMENTO!$AF$7)/$H75*OFFSET(ORÇAMENTO!$X$15,ROW(AW75)-ROW(AW$15),0),
              ROUND(ROUND(OFFSET($P75,0,AW$13),15-13*ORÇAMENTO!$AF$7)*OFFSET(ORÇAMENTO!$W$15,ROW(AW75)-ROW(AW$15),0),15-13*ORÇAMENTO!$AF$11)),
         0)</f>
        <v>0</v>
      </c>
      <c r="AX75" s="352" t="n">
        <f aca="true">IF(AND($D75="Serviço",AX$12&lt;&gt;0,$H75&gt;0,OR(AUTOEVENTO&lt;&gt;"manual",$M75&lt;&gt;$A$15)),
        IF(Import.TipoArredondamento&lt;&gt;"TransfereGOV",
              ROUND(OFFSET($P75,0,AX$13),15-13*ORÇAMENTO!$AF$7)/$H75*OFFSET(ORÇAMENTO!$X$15,ROW(AX75)-ROW(AX$15),0),
              ROUND(ROUND(OFFSET($P75,0,AX$13),15-13*ORÇAMENTO!$AF$7)*OFFSET(ORÇAMENTO!$W$15,ROW(AX75)-ROW(AX$15),0),15-13*ORÇAMENTO!$AF$11)),
         0)</f>
        <v>0</v>
      </c>
      <c r="AY75" s="352" t="n">
        <f aca="true">IF(AND($D75="Serviço",AY$12&lt;&gt;0,$H75&gt;0,OR(AUTOEVENTO&lt;&gt;"manual",$M75&lt;&gt;$A$15)),
        IF(Import.TipoArredondamento&lt;&gt;"TransfereGOV",
              ROUND(OFFSET($P75,0,AY$13),15-13*ORÇAMENTO!$AF$7)/$H75*OFFSET(ORÇAMENTO!$X$15,ROW(AY75)-ROW(AY$15),0),
              ROUND(ROUND(OFFSET($P75,0,AY$13),15-13*ORÇAMENTO!$AF$7)*OFFSET(ORÇAMENTO!$W$15,ROW(AY75)-ROW(AY$15),0),15-13*ORÇAMENTO!$AF$11)),
         0)</f>
        <v>0</v>
      </c>
      <c r="AZ75" s="352" t="n">
        <f aca="true">IF(AND($D75="Serviço",AZ$12&lt;&gt;0,$H75&gt;0,OR(AUTOEVENTO&lt;&gt;"manual",$M75&lt;&gt;$A$15)),
        IF(Import.TipoArredondamento&lt;&gt;"TransfereGOV",
              ROUND(OFFSET($P75,0,AZ$13),15-13*ORÇAMENTO!$AF$7)/$H75*OFFSET(ORÇAMENTO!$X$15,ROW(AZ75)-ROW(AZ$15),0),
              ROUND(ROUND(OFFSET($P75,0,AZ$13),15-13*ORÇAMENTO!$AF$7)*OFFSET(ORÇAMENTO!$W$15,ROW(AZ75)-ROW(AZ$15),0),15-13*ORÇAMENTO!$AF$11)),
         0)</f>
        <v>0</v>
      </c>
      <c r="BA75" s="352" t="n">
        <f aca="true">IF(AND($D75="Serviço",BA$12&lt;&gt;0,$H75&gt;0,OR(AUTOEVENTO&lt;&gt;"manual",$M75&lt;&gt;$A$15)),
        IF(Import.TipoArredondamento&lt;&gt;"TransfereGOV",
              ROUND(OFFSET($P75,0,BA$13),15-13*ORÇAMENTO!$AF$7)/$H75*OFFSET(ORÇAMENTO!$X$15,ROW(BA75)-ROW(BA$15),0),
              ROUND(ROUND(OFFSET($P75,0,BA$13),15-13*ORÇAMENTO!$AF$7)*OFFSET(ORÇAMENTO!$W$15,ROW(BA75)-ROW(BA$15),0),15-13*ORÇAMENTO!$AF$11)),
         0)</f>
        <v>0</v>
      </c>
      <c r="BB75" s="352" t="n">
        <f aca="true">IF(AND($D75="Serviço",BB$12&lt;&gt;0,$H75&gt;0,OR(AUTOEVENTO&lt;&gt;"manual",$M75&lt;&gt;$A$15)),
        IF(Import.TipoArredondamento&lt;&gt;"TransfereGOV",
              ROUND(OFFSET($P75,0,BB$13),15-13*ORÇAMENTO!$AF$7)/$H75*OFFSET(ORÇAMENTO!$X$15,ROW(BB75)-ROW(BB$15),0),
              ROUND(ROUND(OFFSET($P75,0,BB$13),15-13*ORÇAMENTO!$AF$7)*OFFSET(ORÇAMENTO!$W$15,ROW(BB75)-ROW(BB$15),0),15-13*ORÇAMENTO!$AF$11)),
         0)</f>
        <v>0</v>
      </c>
      <c r="BC75" s="352" t="n">
        <f aca="true">IF(AND($D75="Serviço",BC$12&lt;&gt;0,$H75&gt;0,OR(AUTOEVENTO&lt;&gt;"manual",$M75&lt;&gt;$A$15)),
        IF(Import.TipoArredondamento&lt;&gt;"TransfereGOV",
              ROUND(OFFSET($P75,0,BC$13),15-13*ORÇAMENTO!$AF$7)/$H75*OFFSET(ORÇAMENTO!$X$15,ROW(BC75)-ROW(BC$15),0),
              ROUND(ROUND(OFFSET($P75,0,BC$13),15-13*ORÇAMENTO!$AF$7)*OFFSET(ORÇAMENTO!$W$15,ROW(BC75)-ROW(BC$15),0),15-13*ORÇAMENTO!$AF$11)),
         0)</f>
        <v>0</v>
      </c>
      <c r="BD75" s="352" t="n">
        <f aca="true">IF(AND($D75="Serviço",BD$12&lt;&gt;0,$H75&gt;0,OR(AUTOEVENTO&lt;&gt;"manual",$M75&lt;&gt;$A$15)),
        IF(Import.TipoArredondamento&lt;&gt;"TransfereGOV",
              ROUND(OFFSET($P75,0,BD$13),15-13*ORÇAMENTO!$AF$7)/$H75*OFFSET(ORÇAMENTO!$X$15,ROW(BD75)-ROW(BD$15),0),
              ROUND(ROUND(OFFSET($P75,0,BD$13),15-13*ORÇAMENTO!$AF$7)*OFFSET(ORÇAMENTO!$W$15,ROW(BD75)-ROW(BD$15),0),15-13*ORÇAMENTO!$AF$11)),
         0)</f>
        <v>0</v>
      </c>
      <c r="BE75" s="352" t="n">
        <f aca="true">IF(AND($D75="Serviço",BE$12&lt;&gt;0,$H75&gt;0,OR(AUTOEVENTO&lt;&gt;"manual",$M75&lt;&gt;$A$15)),
        IF(Import.TipoArredondamento&lt;&gt;"TransfereGOV",
              ROUND(OFFSET($P75,0,BE$13),15-13*ORÇAMENTO!$AF$7)/$H75*OFFSET(ORÇAMENTO!$X$15,ROW(BE75)-ROW(BE$15),0),
              ROUND(ROUND(OFFSET($P75,0,BE$13),15-13*ORÇAMENTO!$AF$7)*OFFSET(ORÇAMENTO!$W$15,ROW(BE75)-ROW(BE$15),0),15-13*ORÇAMENTO!$AF$11)),
         0)</f>
        <v>0</v>
      </c>
      <c r="BF75" s="352" t="n">
        <f aca="true">IF(AND($D75="Serviço",BF$12&lt;&gt;0,$H75&gt;0,OR(AUTOEVENTO&lt;&gt;"manual",$M75&lt;&gt;$A$15)),
        IF(Import.TipoArredondamento&lt;&gt;"TransfereGOV",
              ROUND(OFFSET($P75,0,BF$13),15-13*ORÇAMENTO!$AF$7)/$H75*OFFSET(ORÇAMENTO!$X$15,ROW(BF75)-ROW(BF$15),0),
              ROUND(ROUND(OFFSET($P75,0,BF$13),15-13*ORÇAMENTO!$AF$7)*OFFSET(ORÇAMENTO!$W$15,ROW(BF75)-ROW(BF$15),0),15-13*ORÇAMENTO!$AF$11)),
         0)</f>
        <v>0</v>
      </c>
      <c r="BG75" s="352" t="n">
        <f aca="true">IF(AND($D75="Serviço",BG$12&lt;&gt;0,$H75&gt;0,OR(AUTOEVENTO&lt;&gt;"manual",$M75&lt;&gt;$A$15)),
        IF(Import.TipoArredondamento&lt;&gt;"TransfereGOV",
              ROUND(OFFSET($P75,0,BG$13),15-13*ORÇAMENTO!$AF$7)/$H75*OFFSET(ORÇAMENTO!$X$15,ROW(BG75)-ROW(BG$15),0),
              ROUND(ROUND(OFFSET($P75,0,BG$13),15-13*ORÇAMENTO!$AF$7)*OFFSET(ORÇAMENTO!$W$15,ROW(BG75)-ROW(BG$15),0),15-13*ORÇAMENTO!$AF$11)),
         0)</f>
        <v>0</v>
      </c>
      <c r="BH75" s="352" t="n">
        <f aca="true">IF(AND($D75="Serviço",BH$12&lt;&gt;0,$H75&gt;0,OR(AUTOEVENTO&lt;&gt;"manual",$M75&lt;&gt;$A$15)),
        IF(Import.TipoArredondamento&lt;&gt;"TransfereGOV",
              ROUND(OFFSET($P75,0,BH$13),15-13*ORÇAMENTO!$AF$7)/$H75*OFFSET(ORÇAMENTO!$X$15,ROW(BH75)-ROW(BH$15),0),
              ROUND(ROUND(OFFSET($P75,0,BH$13),15-13*ORÇAMENTO!$AF$7)*OFFSET(ORÇAMENTO!$W$15,ROW(BH75)-ROW(BH$15),0),15-13*ORÇAMENTO!$AF$11)),
         0)</f>
        <v>0</v>
      </c>
      <c r="BI75" s="352" t="n">
        <f aca="true">IF(AND($D75="Serviço",BI$12&lt;&gt;0,$H75&gt;0,OR(AUTOEVENTO&lt;&gt;"manual",$M75&lt;&gt;$A$15)),
        IF(Import.TipoArredondamento&lt;&gt;"TransfereGOV",
              ROUND(OFFSET($P75,0,BI$13),15-13*ORÇAMENTO!$AF$7)/$H75*OFFSET(ORÇAMENTO!$X$15,ROW(BI75)-ROW(BI$15),0),
              ROUND(ROUND(OFFSET($P75,0,BI$13),15-13*ORÇAMENTO!$AF$7)*OFFSET(ORÇAMENTO!$W$15,ROW(BI75)-ROW(BI$15),0),15-13*ORÇAMENTO!$AF$11)),
         0)</f>
        <v>0</v>
      </c>
      <c r="BJ75" s="352" t="n">
        <f aca="true">IF(AND($D75="Serviço",BJ$12&lt;&gt;0,$H75&gt;0,OR(AUTOEVENTO&lt;&gt;"manual",$M75&lt;&gt;$A$15)),
        IF(Import.TipoArredondamento&lt;&gt;"TransfereGOV",
              ROUND(OFFSET($P75,0,BJ$13),15-13*ORÇAMENTO!$AF$7)/$H75*OFFSET(ORÇAMENTO!$X$15,ROW(BJ75)-ROW(BJ$15),0),
              ROUND(ROUND(OFFSET($P75,0,BJ$13),15-13*ORÇAMENTO!$AF$7)*OFFSET(ORÇAMENTO!$W$15,ROW(BJ75)-ROW(BJ$15),0),15-13*ORÇAMENTO!$AF$11)),
         0)</f>
        <v>0</v>
      </c>
      <c r="BK75" s="352" t="n">
        <f aca="true">IF(AND($D75="Serviço",BK$12&lt;&gt;0,$H75&gt;0,OR(AUTOEVENTO&lt;&gt;"manual",$M75&lt;&gt;$A$15)),
        IF(Import.TipoArredondamento&lt;&gt;"TransfereGOV",
              ROUND(OFFSET($P75,0,BK$13),15-13*ORÇAMENTO!$AF$7)/$H75*OFFSET(ORÇAMENTO!$X$15,ROW(BK75)-ROW(BK$15),0),
              ROUND(ROUND(OFFSET($P75,0,BK$13),15-13*ORÇAMENTO!$AF$7)*OFFSET(ORÇAMENTO!$W$15,ROW(BK75)-ROW(BK$15),0),15-13*ORÇAMENTO!$AF$11)),
         0)</f>
        <v>0</v>
      </c>
      <c r="BL75" s="352" t="n">
        <f aca="true">IF(AND($D75="Serviço",BL$12&lt;&gt;0,$H75&gt;0,OR(AUTOEVENTO&lt;&gt;"manual",$M75&lt;&gt;$A$15)),
        IF(Import.TipoArredondamento&lt;&gt;"TransfereGOV",
              ROUND(OFFSET($P75,0,BL$13),15-13*ORÇAMENTO!$AF$7)/$H75*OFFSET(ORÇAMENTO!$X$15,ROW(BL75)-ROW(BL$15),0),
              ROUND(ROUND(OFFSET($P75,0,BL$13),15-13*ORÇAMENTO!$AF$7)*OFFSET(ORÇAMENTO!$W$15,ROW(BL75)-ROW(BL$15),0),15-13*ORÇAMENTO!$AF$11)),
         0)</f>
        <v>0</v>
      </c>
      <c r="BM75" s="352" t="n">
        <f aca="true">IF(AND($D75="Serviço",BM$12&lt;&gt;0,$H75&gt;0,OR(AUTOEVENTO&lt;&gt;"manual",$M75&lt;&gt;$A$15)),
        IF(Import.TipoArredondamento&lt;&gt;"TransfereGOV",
              ROUND(OFFSET($P75,0,BM$13),15-13*ORÇAMENTO!$AF$7)/$H75*OFFSET(ORÇAMENTO!$X$15,ROW(BM75)-ROW(BM$15),0),
              ROUND(ROUND(OFFSET($P75,0,BM$13),15-13*ORÇAMENTO!$AF$7)*OFFSET(ORÇAMENTO!$W$15,ROW(BM75)-ROW(BM$15),0),15-13*ORÇAMENTO!$AF$11)),
         0)</f>
        <v>0</v>
      </c>
      <c r="BN75" s="352" t="n">
        <f aca="true">IF(AND($D75="Serviço",BN$12&lt;&gt;0,$H75&gt;0,OR(AUTOEVENTO&lt;&gt;"manual",$M75&lt;&gt;$A$15)),
        IF(Import.TipoArredondamento&lt;&gt;"TransfereGOV",
              ROUND(OFFSET($P75,0,BN$13),15-13*ORÇAMENTO!$AF$7)/$H75*OFFSET(ORÇAMENTO!$X$15,ROW(BN75)-ROW(BN$15),0),
              ROUND(ROUND(OFFSET($P75,0,BN$13),15-13*ORÇAMENTO!$AF$7)*OFFSET(ORÇAMENTO!$W$15,ROW(BN75)-ROW(BN$15),0),15-13*ORÇAMENTO!$AF$11)),
         0)</f>
        <v>0</v>
      </c>
      <c r="BO75" s="352" t="n">
        <f aca="true">IF(AND($D75="Serviço",BO$12&lt;&gt;0,$H75&gt;0,OR(AUTOEVENTO&lt;&gt;"manual",$M75&lt;&gt;$A$15)),
        IF(Import.TipoArredondamento&lt;&gt;"TransfereGOV",
              ROUND(OFFSET($P75,0,BO$13),15-13*ORÇAMENTO!$AF$7)/$H75*OFFSET(ORÇAMENTO!$X$15,ROW(BO75)-ROW(BO$15),0),
              ROUND(ROUND(OFFSET($P75,0,BO$13),15-13*ORÇAMENTO!$AF$7)*OFFSET(ORÇAMENTO!$W$15,ROW(BO75)-ROW(BO$15),0),15-13*ORÇAMENTO!$AF$11)),
         0)</f>
        <v>0</v>
      </c>
      <c r="BP75" s="352" t="n">
        <f aca="true">IF(AND($D75="Serviço",BP$12&lt;&gt;0,$H75&gt;0,OR(AUTOEVENTO&lt;&gt;"manual",$M75&lt;&gt;$A$15)),
        IF(Import.TipoArredondamento&lt;&gt;"TransfereGOV",
              ROUND(OFFSET($P75,0,BP$13),15-13*ORÇAMENTO!$AF$7)/$H75*OFFSET(ORÇAMENTO!$X$15,ROW(BP75)-ROW(BP$15),0),
              ROUND(ROUND(OFFSET($P75,0,BP$13),15-13*ORÇAMENTO!$AF$7)*OFFSET(ORÇAMENTO!$W$15,ROW(BP75)-ROW(BP$15),0),15-13*ORÇAMENTO!$AF$11)),
         0)</f>
        <v>0</v>
      </c>
      <c r="BQ75" s="352" t="n">
        <f aca="true">IF(AND($D75="Serviço",BQ$12&lt;&gt;0,$H75&gt;0,OR(AUTOEVENTO&lt;&gt;"manual",$M75&lt;&gt;$A$15)),
        IF(Import.TipoArredondamento&lt;&gt;"TransfereGOV",
              ROUND(OFFSET($P75,0,BQ$13),15-13*ORÇAMENTO!$AF$7)/$H75*OFFSET(ORÇAMENTO!$X$15,ROW(BQ75)-ROW(BQ$15),0),
              ROUND(ROUND(OFFSET($P75,0,BQ$13),15-13*ORÇAMENTO!$AF$7)*OFFSET(ORÇAMENTO!$W$15,ROW(BQ75)-ROW(BQ$15),0),15-13*ORÇAMENTO!$AF$11)),
         0)</f>
        <v>0</v>
      </c>
      <c r="BS75" s="353" t="n">
        <f aca="true">IF(OR($D75&lt;&gt;"Serviço",AND(AUTOEVENTO="Manual",$M75=$A$15)),0,
         IF(OFFSET(CRONOPLE!$F$15,$M75-$A$15,BS$13)=0,10^12,OFFSET(CRONOPLE!$F$15,$M75-$A$15,BS$13)))</f>
        <v>0</v>
      </c>
      <c r="BT75" s="353" t="n">
        <f aca="true">IF(OR($D75&lt;&gt;"Serviço",AND(AUTOEVENTO="Manual",$M75=$A$15)),0,
         IF(OFFSET(CRONOPLE!$F$15,$M75-$A$15,BT$13)=0,10^12,OFFSET(CRONOPLE!$F$15,$M75-$A$15,BT$13)))</f>
        <v>0</v>
      </c>
      <c r="BU75" s="353" t="n">
        <f aca="true">IF(OR($D75&lt;&gt;"Serviço",AND(AUTOEVENTO="Manual",$M75=$A$15)),0,
         IF(OFFSET(CRONOPLE!$F$15,$M75-$A$15,BU$13)=0,10^12,OFFSET(CRONOPLE!$F$15,$M75-$A$15,BU$13)))</f>
        <v>0</v>
      </c>
      <c r="BV75" s="353" t="n">
        <f aca="true">IF(OR($D75&lt;&gt;"Serviço",AND(AUTOEVENTO="Manual",$M75=$A$15)),0,
         IF(OFFSET(CRONOPLE!$F$15,$M75-$A$15,BV$13)=0,10^12,OFFSET(CRONOPLE!$F$15,$M75-$A$15,BV$13)))</f>
        <v>0</v>
      </c>
      <c r="BW75" s="353" t="n">
        <f aca="true">IF(OR($D75&lt;&gt;"Serviço",AND(AUTOEVENTO="Manual",$M75=$A$15)),0,
         IF(OFFSET(CRONOPLE!$F$15,$M75-$A$15,BW$13)=0,10^12,OFFSET(CRONOPLE!$F$15,$M75-$A$15,BW$13)))</f>
        <v>0</v>
      </c>
      <c r="BX75" s="353" t="n">
        <f aca="true">IF(OR($D75&lt;&gt;"Serviço",AND(AUTOEVENTO="Manual",$M75=$A$15)),0,
         IF(OFFSET(CRONOPLE!$F$15,$M75-$A$15,BX$13)=0,10^12,OFFSET(CRONOPLE!$F$15,$M75-$A$15,BX$13)))</f>
        <v>0</v>
      </c>
      <c r="BY75" s="353" t="n">
        <f aca="true">IF(OR($D75&lt;&gt;"Serviço",AND(AUTOEVENTO="Manual",$M75=$A$15)),0,
         IF(OFFSET(CRONOPLE!$F$15,$M75-$A$15,BY$13)=0,10^12,OFFSET(CRONOPLE!$F$15,$M75-$A$15,BY$13)))</f>
        <v>0</v>
      </c>
      <c r="BZ75" s="353" t="n">
        <f aca="true">IF(OR($D75&lt;&gt;"Serviço",AND(AUTOEVENTO="Manual",$M75=$A$15)),0,
         IF(OFFSET(CRONOPLE!$F$15,$M75-$A$15,BZ$13)=0,10^12,OFFSET(CRONOPLE!$F$15,$M75-$A$15,BZ$13)))</f>
        <v>0</v>
      </c>
      <c r="CA75" s="353" t="n">
        <f aca="true">IF(OR($D75&lt;&gt;"Serviço",AND(AUTOEVENTO="Manual",$M75=$A$15)),0,
         IF(OFFSET(CRONOPLE!$F$15,$M75-$A$15,CA$13)=0,10^12,OFFSET(CRONOPLE!$F$15,$M75-$A$15,CA$13)))</f>
        <v>0</v>
      </c>
      <c r="CB75" s="353" t="n">
        <f aca="true">IF(OR($D75&lt;&gt;"Serviço",AND(AUTOEVENTO="Manual",$M75=$A$15)),0,
         IF(OFFSET(CRONOPLE!$F$15,$M75-$A$15,CB$13)=0,10^12,OFFSET(CRONOPLE!$F$15,$M75-$A$15,CB$13)))</f>
        <v>0</v>
      </c>
      <c r="CC75" s="353" t="n">
        <f aca="true">IF(OR($D75&lt;&gt;"Serviço",AND(AUTOEVENTO="Manual",$M75=$A$15)),0,
         IF(OFFSET(CRONOPLE!$F$15,$M75-$A$15,CC$13)=0,10^12,OFFSET(CRONOPLE!$F$15,$M75-$A$15,CC$13)))</f>
        <v>0</v>
      </c>
      <c r="CD75" s="353" t="n">
        <f aca="true">IF(OR($D75&lt;&gt;"Serviço",AND(AUTOEVENTO="Manual",$M75=$A$15)),0,
         IF(OFFSET(CRONOPLE!$F$15,$M75-$A$15,CD$13)=0,10^12,OFFSET(CRONOPLE!$F$15,$M75-$A$15,CD$13)))</f>
        <v>0</v>
      </c>
      <c r="CE75" s="353" t="n">
        <f aca="true">IF(OR($D75&lt;&gt;"Serviço",AND(AUTOEVENTO="Manual",$M75=$A$15)),0,
         IF(OFFSET(CRONOPLE!$F$15,$M75-$A$15,CE$13)=0,10^12,OFFSET(CRONOPLE!$F$15,$M75-$A$15,CE$13)))</f>
        <v>0</v>
      </c>
      <c r="CF75" s="353" t="n">
        <f aca="true">IF(OR($D75&lt;&gt;"Serviço",AND(AUTOEVENTO="Manual",$M75=$A$15)),0,
         IF(OFFSET(CRONOPLE!$F$15,$M75-$A$15,CF$13)=0,10^12,OFFSET(CRONOPLE!$F$15,$M75-$A$15,CF$13)))</f>
        <v>0</v>
      </c>
      <c r="CG75" s="353" t="n">
        <f aca="true">IF(OR($D75&lt;&gt;"Serviço",AND(AUTOEVENTO="Manual",$M75=$A$15)),0,
         IF(OFFSET(CRONOPLE!$F$15,$M75-$A$15,CG$13)=0,10^12,OFFSET(CRONOPLE!$F$15,$M75-$A$15,CG$13)))</f>
        <v>0</v>
      </c>
      <c r="CH75" s="353" t="n">
        <f aca="true">IF(OR($D75&lt;&gt;"Serviço",AND(AUTOEVENTO="Manual",$M75=$A$15)),0,
         IF(OFFSET(CRONOPLE!$F$15,$M75-$A$15,CH$13)=0,10^12,OFFSET(CRONOPLE!$F$15,$M75-$A$15,CH$13)))</f>
        <v>0</v>
      </c>
      <c r="CI75" s="353" t="n">
        <f aca="true">IF(OR($D75&lt;&gt;"Serviço",AND(AUTOEVENTO="Manual",$M75=$A$15)),0,
         IF(OFFSET(CRONOPLE!$F$15,$M75-$A$15,CI$13)=0,10^12,OFFSET(CRONOPLE!$F$15,$M75-$A$15,CI$13)))</f>
        <v>0</v>
      </c>
      <c r="CJ75" s="353" t="n">
        <f aca="true">IF(OR($D75&lt;&gt;"Serviço",AND(AUTOEVENTO="Manual",$M75=$A$15)),0,
         IF(OFFSET(CRONOPLE!$F$15,$M75-$A$15,CJ$13)=0,10^12,OFFSET(CRONOPLE!$F$15,$M75-$A$15,CJ$13)))</f>
        <v>0</v>
      </c>
      <c r="CK75" s="353" t="n">
        <f aca="true">IF(OR($D75&lt;&gt;"Serviço",AND(AUTOEVENTO="Manual",$M75=$A$15)),0,
         IF(OFFSET(CRONOPLE!$F$15,$M75-$A$15,CK$13)=0,10^12,OFFSET(CRONOPLE!$F$15,$M75-$A$15,CK$13)))</f>
        <v>0</v>
      </c>
      <c r="CL75" s="353" t="n">
        <f aca="true">IF(OR($D75&lt;&gt;"Serviço",AND(AUTOEVENTO="Manual",$M75=$A$15)),0,
         IF(OFFSET(CRONOPLE!$F$15,$M75-$A$15,CL$13)=0,10^12,OFFSET(CRONOPLE!$F$15,$M75-$A$15,CL$13)))</f>
        <v>0</v>
      </c>
      <c r="CM75" s="353" t="n">
        <f aca="true">IF(OR($D75&lt;&gt;"Serviço",AND(AUTOEVENTO="Manual",$M75=$A$15)),0,
         IF(OFFSET(CRONOPLE!$F$15,$M75-$A$15,CM$13)=0,10^12,OFFSET(CRONOPLE!$F$15,$M75-$A$15,CM$13)))</f>
        <v>0</v>
      </c>
      <c r="CN75" s="353" t="n">
        <f aca="true">IF(OR($D75&lt;&gt;"Serviço",AND(AUTOEVENTO="Manual",$M75=$A$15)),0,
         IF(OFFSET(CRONOPLE!$F$15,$M75-$A$15,CN$13)=0,10^12,OFFSET(CRONOPLE!$F$15,$M75-$A$15,CN$13)))</f>
        <v>0</v>
      </c>
      <c r="CO75" s="353" t="n">
        <f aca="true">IF(OR($D75&lt;&gt;"Serviço",AND(AUTOEVENTO="Manual",$M75=$A$15)),0,
         IF(OFFSET(CRONOPLE!$F$15,$M75-$A$15,CO$13)=0,10^12,OFFSET(CRONOPLE!$F$15,$M75-$A$15,CO$13)))</f>
        <v>0</v>
      </c>
      <c r="CP75" s="353" t="n">
        <f aca="true">IF(OR($D75&lt;&gt;"Serviço",AND(AUTOEVENTO="Manual",$M75=$A$15)),0,
         IF(OFFSET(CRONOPLE!$F$15,$M75-$A$15,CP$13)=0,10^12,OFFSET(CRONOPLE!$F$15,$M75-$A$15,CP$13)))</f>
        <v>0</v>
      </c>
      <c r="CQ75" s="353" t="n">
        <f aca="true">IF(OR($D75&lt;&gt;"Serviço",AND(AUTOEVENTO="Manual",$M75=$A$15)),0,
         IF(OFFSET(CRONOPLE!$F$15,$M75-$A$15,CQ$13)=0,10^12,OFFSET(CRONOPLE!$F$15,$M75-$A$15,CQ$13)))</f>
        <v>0</v>
      </c>
      <c r="CR75" s="353" t="n">
        <f aca="true">IF(OR($D75&lt;&gt;"Serviço",AND(AUTOEVENTO="Manual",$M75=$A$15)),0,
         IF(OFFSET(CRONOPLE!$F$15,$M75-$A$15,CR$13)=0,10^12,OFFSET(CRONOPLE!$F$15,$M75-$A$15,CR$13)))</f>
        <v>0</v>
      </c>
      <c r="CT75" s="354" t="n">
        <f aca="true">IF(OR($D75&lt;&gt;"Serviço",AND(AUTOEVENTO="Manual",$M75=$A$15),$M75&gt;(ROW(PLE.lastrow)-ROW(PLE.firstrow))),0,
           IF(OFFSET(PLE!$G$15,$M75-$A$15,CT$13)="",10^12,OFFSET(PLE!$G$15,$M75-$A$15,CT$13)))</f>
        <v>0</v>
      </c>
      <c r="CU75" s="354" t="n">
        <f aca="true">IF(OR($D75&lt;&gt;"Serviço",AND(AUTOEVENTO="Manual",$M75=$A$15),$M75&gt;(ROW(PLE.lastrow)-ROW(PLE.firstrow))),0,
           IF(OFFSET(PLE!$G$15,$M75-$A$15,CU$13)="",10^12,OFFSET(PLE!$G$15,$M75-$A$15,CU$13)))</f>
        <v>0</v>
      </c>
      <c r="CV75" s="354" t="n">
        <f aca="true">IF(OR($D75&lt;&gt;"Serviço",AND(AUTOEVENTO="Manual",$M75=$A$15),$M75&gt;(ROW(PLE.lastrow)-ROW(PLE.firstrow))),0,
           IF(OFFSET(PLE!$G$15,$M75-$A$15,CV$13)="",10^12,OFFSET(PLE!$G$15,$M75-$A$15,CV$13)))</f>
        <v>0</v>
      </c>
      <c r="CW75" s="354" t="n">
        <f aca="true">IF(OR($D75&lt;&gt;"Serviço",AND(AUTOEVENTO="Manual",$M75=$A$15),$M75&gt;(ROW(PLE.lastrow)-ROW(PLE.firstrow))),0,
           IF(OFFSET(PLE!$G$15,$M75-$A$15,CW$13)="",10^12,OFFSET(PLE!$G$15,$M75-$A$15,CW$13)))</f>
        <v>0</v>
      </c>
      <c r="CX75" s="354" t="n">
        <f aca="true">IF(OR($D75&lt;&gt;"Serviço",AND(AUTOEVENTO="Manual",$M75=$A$15),$M75&gt;(ROW(PLE.lastrow)-ROW(PLE.firstrow))),0,
           IF(OFFSET(PLE!$G$15,$M75-$A$15,CX$13)="",10^12,OFFSET(PLE!$G$15,$M75-$A$15,CX$13)))</f>
        <v>0</v>
      </c>
      <c r="CY75" s="354" t="n">
        <f aca="true">IF(OR($D75&lt;&gt;"Serviço",AND(AUTOEVENTO="Manual",$M75=$A$15),$M75&gt;(ROW(PLE.lastrow)-ROW(PLE.firstrow))),0,
           IF(OFFSET(PLE!$G$15,$M75-$A$15,CY$13)="",10^12,OFFSET(PLE!$G$15,$M75-$A$15,CY$13)))</f>
        <v>0</v>
      </c>
      <c r="CZ75" s="354" t="n">
        <f aca="true">IF(OR($D75&lt;&gt;"Serviço",AND(AUTOEVENTO="Manual",$M75=$A$15),$M75&gt;(ROW(PLE.lastrow)-ROW(PLE.firstrow))),0,
           IF(OFFSET(PLE!$G$15,$M75-$A$15,CZ$13)="",10^12,OFFSET(PLE!$G$15,$M75-$A$15,CZ$13)))</f>
        <v>0</v>
      </c>
      <c r="DA75" s="354" t="n">
        <f aca="true">IF(OR($D75&lt;&gt;"Serviço",AND(AUTOEVENTO="Manual",$M75=$A$15),$M75&gt;(ROW(PLE.lastrow)-ROW(PLE.firstrow))),0,
           IF(OFFSET(PLE!$G$15,$M75-$A$15,DA$13)="",10^12,OFFSET(PLE!$G$15,$M75-$A$15,DA$13)))</f>
        <v>0</v>
      </c>
      <c r="DB75" s="354" t="n">
        <f aca="true">IF(OR($D75&lt;&gt;"Serviço",AND(AUTOEVENTO="Manual",$M75=$A$15),$M75&gt;(ROW(PLE.lastrow)-ROW(PLE.firstrow))),0,
           IF(OFFSET(PLE!$G$15,$M75-$A$15,DB$13)="",10^12,OFFSET(PLE!$G$15,$M75-$A$15,DB$13)))</f>
        <v>0</v>
      </c>
      <c r="DC75" s="354" t="n">
        <f aca="true">IF(OR($D75&lt;&gt;"Serviço",AND(AUTOEVENTO="Manual",$M75=$A$15),$M75&gt;(ROW(PLE.lastrow)-ROW(PLE.firstrow))),0,
           IF(OFFSET(PLE!$G$15,$M75-$A$15,DC$13)="",10^12,OFFSET(PLE!$G$15,$M75-$A$15,DC$13)))</f>
        <v>0</v>
      </c>
      <c r="DD75" s="354" t="n">
        <f aca="true">IF(OR($D75&lt;&gt;"Serviço",AND(AUTOEVENTO="Manual",$M75=$A$15),$M75&gt;(ROW(PLE.lastrow)-ROW(PLE.firstrow))),0,
           IF(OFFSET(PLE!$G$15,$M75-$A$15,DD$13)="",10^12,OFFSET(PLE!$G$15,$M75-$A$15,DD$13)))</f>
        <v>0</v>
      </c>
      <c r="DE75" s="354" t="n">
        <f aca="true">IF(OR($D75&lt;&gt;"Serviço",AND(AUTOEVENTO="Manual",$M75=$A$15),$M75&gt;(ROW(PLE.lastrow)-ROW(PLE.firstrow))),0,
           IF(OFFSET(PLE!$G$15,$M75-$A$15,DE$13)="",10^12,OFFSET(PLE!$G$15,$M75-$A$15,DE$13)))</f>
        <v>0</v>
      </c>
      <c r="DF75" s="354" t="n">
        <f aca="true">IF(OR($D75&lt;&gt;"Serviço",AND(AUTOEVENTO="Manual",$M75=$A$15),$M75&gt;(ROW(PLE.lastrow)-ROW(PLE.firstrow))),0,
           IF(OFFSET(PLE!$G$15,$M75-$A$15,DF$13)="",10^12,OFFSET(PLE!$G$15,$M75-$A$15,DF$13)))</f>
        <v>0</v>
      </c>
      <c r="DG75" s="354" t="n">
        <f aca="true">IF(OR($D75&lt;&gt;"Serviço",AND(AUTOEVENTO="Manual",$M75=$A$15),$M75&gt;(ROW(PLE.lastrow)-ROW(PLE.firstrow))),0,
           IF(OFFSET(PLE!$G$15,$M75-$A$15,DG$13)="",10^12,OFFSET(PLE!$G$15,$M75-$A$15,DG$13)))</f>
        <v>0</v>
      </c>
      <c r="DH75" s="354" t="n">
        <f aca="true">IF(OR($D75&lt;&gt;"Serviço",AND(AUTOEVENTO="Manual",$M75=$A$15),$M75&gt;(ROW(PLE.lastrow)-ROW(PLE.firstrow))),0,
           IF(OFFSET(PLE!$G$15,$M75-$A$15,DH$13)="",10^12,OFFSET(PLE!$G$15,$M75-$A$15,DH$13)))</f>
        <v>0</v>
      </c>
      <c r="DI75" s="354" t="n">
        <f aca="true">IF(OR($D75&lt;&gt;"Serviço",AND(AUTOEVENTO="Manual",$M75=$A$15),$M75&gt;(ROW(PLE.lastrow)-ROW(PLE.firstrow))),0,
           IF(OFFSET(PLE!$G$15,$M75-$A$15,DI$13)="",10^12,OFFSET(PLE!$G$15,$M75-$A$15,DI$13)))</f>
        <v>0</v>
      </c>
      <c r="DJ75" s="354" t="n">
        <f aca="true">IF(OR($D75&lt;&gt;"Serviço",AND(AUTOEVENTO="Manual",$M75=$A$15),$M75&gt;(ROW(PLE.lastrow)-ROW(PLE.firstrow))),0,
           IF(OFFSET(PLE!$G$15,$M75-$A$15,DJ$13)="",10^12,OFFSET(PLE!$G$15,$M75-$A$15,DJ$13)))</f>
        <v>0</v>
      </c>
      <c r="DK75" s="354" t="n">
        <f aca="true">IF(OR($D75&lt;&gt;"Serviço",AND(AUTOEVENTO="Manual",$M75=$A$15),$M75&gt;(ROW(PLE.lastrow)-ROW(PLE.firstrow))),0,
           IF(OFFSET(PLE!$G$15,$M75-$A$15,DK$13)="",10^12,OFFSET(PLE!$G$15,$M75-$A$15,DK$13)))</f>
        <v>0</v>
      </c>
      <c r="DL75" s="354" t="n">
        <f aca="true">IF(OR($D75&lt;&gt;"Serviço",AND(AUTOEVENTO="Manual",$M75=$A$15),$M75&gt;(ROW(PLE.lastrow)-ROW(PLE.firstrow))),0,
           IF(OFFSET(PLE!$G$15,$M75-$A$15,DL$13)="",10^12,OFFSET(PLE!$G$15,$M75-$A$15,DL$13)))</f>
        <v>0</v>
      </c>
      <c r="DM75" s="354" t="n">
        <f aca="true">IF(OR($D75&lt;&gt;"Serviço",AND(AUTOEVENTO="Manual",$M75=$A$15),$M75&gt;(ROW(PLE.lastrow)-ROW(PLE.firstrow))),0,
           IF(OFFSET(PLE!$G$15,$M75-$A$15,DM$13)="",10^12,OFFSET(PLE!$G$15,$M75-$A$15,DM$13)))</f>
        <v>0</v>
      </c>
      <c r="DN75" s="354" t="n">
        <f aca="true">IF(OR($D75&lt;&gt;"Serviço",AND(AUTOEVENTO="Manual",$M75=$A$15),$M75&gt;(ROW(PLE.lastrow)-ROW(PLE.firstrow))),0,
           IF(OFFSET(PLE!$G$15,$M75-$A$15,DN$13)="",10^12,OFFSET(PLE!$G$15,$M75-$A$15,DN$13)))</f>
        <v>0</v>
      </c>
      <c r="DO75" s="354" t="n">
        <f aca="true">IF(OR($D75&lt;&gt;"Serviço",AND(AUTOEVENTO="Manual",$M75=$A$15),$M75&gt;(ROW(PLE.lastrow)-ROW(PLE.firstrow))),0,
           IF(OFFSET(PLE!$G$15,$M75-$A$15,DO$13)="",10^12,OFFSET(PLE!$G$15,$M75-$A$15,DO$13)))</f>
        <v>0</v>
      </c>
      <c r="DP75" s="354" t="n">
        <f aca="true">IF(OR($D75&lt;&gt;"Serviço",AND(AUTOEVENTO="Manual",$M75=$A$15),$M75&gt;(ROW(PLE.lastrow)-ROW(PLE.firstrow))),0,
           IF(OFFSET(PLE!$G$15,$M75-$A$15,DP$13)="",10^12,OFFSET(PLE!$G$15,$M75-$A$15,DP$13)))</f>
        <v>0</v>
      </c>
      <c r="DQ75" s="354" t="n">
        <f aca="true">IF(OR($D75&lt;&gt;"Serviço",AND(AUTOEVENTO="Manual",$M75=$A$15),$M75&gt;(ROW(PLE.lastrow)-ROW(PLE.firstrow))),0,
           IF(OFFSET(PLE!$G$15,$M75-$A$15,DQ$13)="",10^12,OFFSET(PLE!$G$15,$M75-$A$15,DQ$13)))</f>
        <v>0</v>
      </c>
      <c r="DR75" s="354" t="n">
        <f aca="true">IF(OR($D75&lt;&gt;"Serviço",AND(AUTOEVENTO="Manual",$M75=$A$15),$M75&gt;(ROW(PLE.lastrow)-ROW(PLE.firstrow))),0,
           IF(OFFSET(PLE!$G$15,$M75-$A$15,DR$13)="",10^12,OFFSET(PLE!$G$15,$M75-$A$15,DR$13)))</f>
        <v>0</v>
      </c>
      <c r="DS75" s="354" t="n">
        <f aca="true">IF(OR($D75&lt;&gt;"Serviço",AND(AUTOEVENTO="Manual",$M75=$A$15),$M75&gt;(ROW(PLE.lastrow)-ROW(PLE.firstrow))),0,
           IF(OFFSET(PLE!$G$15,$M75-$A$15,DS$13)="",10^12,OFFSET(PLE!$G$15,$M75-$A$15,DS$13)))</f>
        <v>0</v>
      </c>
    </row>
    <row r="76" customFormat="false" ht="12.75" hidden="false" customHeight="false" outlineLevel="0" collapsed="false">
      <c r="A76" s="50" t="str">
        <f aca="true">IFERROR(IF(AUTOEVENTO="Manual",IF(K76&lt;&gt;"",MIN(VALUE(LEFT(K76,FIND(".",K76)-1)),COUNTA(EVENTOS.Lista)),0),IF(OR($B76&gt;AUTOEVENTO,$B76="S",$B76=0),SUBSTITUTE(OFFSET($A76,-1,0),IF($D76="Serviço",".",""),""),ROW(A76)-ROW($A$15)&amp;".")),0)</f>
        <v>61.</v>
      </c>
      <c r="B76" s="50" t="n">
        <f aca="true">OFFSET(ORÇAMENTO!C$15,ROW(B76)-ROW(B$15),0)</f>
        <v>2</v>
      </c>
      <c r="C76" s="50" t="str">
        <f aca="true">OFFSET(ORÇAMENTO!L$15,ROW(C76)-ROW(C$15),0)</f>
        <v>F</v>
      </c>
      <c r="D76" s="201" t="str">
        <f aca="true">OFFSET(ORÇAMENTO!N$15,ROW(D76)-ROW(D$15),0)</f>
        <v>Nível 2</v>
      </c>
      <c r="E76" s="202" t="str">
        <f aca="true">OFFSET(ORÇAMENTO!O$15,ROW(E76)-ROW(E$15),0)</f>
        <v>1.17.</v>
      </c>
      <c r="F76" s="341" t="str">
        <f aca="true">OFFSET(ORÇAMENTO!R$15,ROW(F76)-ROW(F$15),0)</f>
        <v>REVESTIMENTOS</v>
      </c>
      <c r="G76" s="342" t="str">
        <f aca="true">IF($D76&lt;&gt;"Serviço","",OFFSET(ORÇAMENTO!S$15,ROW(G76)-ROW(G$15),0))</f>
        <v/>
      </c>
      <c r="H76" s="207" t="n">
        <f aca="true">IF($D76&lt;&gt;"Serviço",0,IF(ACOMPANHAMENTO="BM",ROUND(OFFSET(ORÇAMENTO!AJ$15,ROW(H76)-ROW(H$15),0),15-13*ORÇAMENTO!$AF$7),SUMPRODUCT(($Q$1:$AQ$1=1)*ROUND($Q76:$AQ76,15-13*ORÇAMENTO!$AF$7))))</f>
        <v>0</v>
      </c>
      <c r="I76" s="343"/>
      <c r="J76" s="344" t="str">
        <f aca="false">IF(OR(B76&lt;&gt;"S",CÁLCULO.FrentesPreenchidas=0),"",IF(AND(ACOMPANHAMENTO="PLE",AUTOEVENTO="Manual",OR(H76&gt;0,ORÇAMENTO!AC76="QUANT."),OR(K76="",M76=0,N76="")),"►",IF(AND(ACOMPANHAMENTO="PLE",ORÇAMENTO!AC76="QUANT."),"►►",IF(AND(COUNTIF($P$11:$AQ$11,"▼")=0,H76&gt;0,I76=""),"◄",""))))</f>
        <v/>
      </c>
      <c r="K76" s="345"/>
      <c r="L76" s="346" t="s">
        <v>876</v>
      </c>
      <c r="M76" s="347" t="str">
        <f aca="true">IF($D76&lt;&gt;"Serviço","",
          IF(AUTOEVENTO="manual",$A76,
                IF(ISERROR(MATCH($A76,$A$15:OFFSET($A76,-1,0),0)),MAX($M$15:OFFSET(M76,-1,0))+1,
                      INDEX($M$15:OFFSET(M76,-1,0),MATCH($A76,$A$15:OFFSET($A76,-1,0),0)))))</f>
        <v/>
      </c>
      <c r="N76" s="348" t="str">
        <f aca="true">IF($D76&lt;&gt;"Serviço","",
         IF(AUTOEVENTO="Manual",
                IF($A76=0,"&lt;-- defina o número do agrupador",
                       OFFSET(EVENTOS!$D$15,$A76-$A$15,0)),
                OFFSET($F$15,$A76,0)))</f>
        <v/>
      </c>
      <c r="O76" s="349"/>
      <c r="Q76" s="349" t="n">
        <v>2</v>
      </c>
      <c r="R76" s="350" t="n">
        <v>2</v>
      </c>
      <c r="S76" s="350" t="n">
        <v>2</v>
      </c>
      <c r="T76" s="350" t="n">
        <v>2</v>
      </c>
      <c r="U76" s="350" t="n">
        <v>2</v>
      </c>
      <c r="V76" s="350" t="n">
        <v>2</v>
      </c>
      <c r="W76" s="350" t="n">
        <v>2</v>
      </c>
      <c r="X76" s="350" t="n">
        <v>2</v>
      </c>
      <c r="Y76" s="350" t="n">
        <v>2</v>
      </c>
      <c r="Z76" s="351" t="n">
        <v>2</v>
      </c>
      <c r="AA76" s="350" t="n">
        <v>2</v>
      </c>
      <c r="AB76" s="350" t="n">
        <v>2</v>
      </c>
      <c r="AC76" s="350" t="n">
        <v>2</v>
      </c>
      <c r="AD76" s="350" t="n">
        <v>2</v>
      </c>
      <c r="AE76" s="350" t="n">
        <v>2</v>
      </c>
      <c r="AF76" s="350" t="n">
        <v>2</v>
      </c>
      <c r="AG76" s="350" t="n">
        <v>2</v>
      </c>
      <c r="AH76" s="351" t="n">
        <v>2</v>
      </c>
      <c r="AI76" s="350" t="n">
        <v>2</v>
      </c>
      <c r="AJ76" s="350" t="n">
        <v>2</v>
      </c>
      <c r="AK76" s="350" t="n">
        <v>2</v>
      </c>
      <c r="AL76" s="350" t="n">
        <v>2</v>
      </c>
      <c r="AM76" s="350" t="n">
        <v>2</v>
      </c>
      <c r="AN76" s="350" t="n">
        <v>2</v>
      </c>
      <c r="AO76" s="350" t="n">
        <v>2</v>
      </c>
      <c r="AP76" s="351"/>
      <c r="AR76" s="352" t="n">
        <f aca="true">IF(AND($D76="Serviço",AR$12&lt;&gt;0,$H76&gt;0,OR(AUTOEVENTO&lt;&gt;"manual",$M76&lt;&gt;$A$15)),
        IF(Import.TipoArredondamento&lt;&gt;"TransfereGOV",
              ROUND(OFFSET($P76,0,AR$13),15-13*ORÇAMENTO!$AF$7)/$H76*OFFSET(ORÇAMENTO!$X$15,ROW(AR76)-ROW(AR$15),0),
              ROUND(ROUND(OFFSET($P76,0,AR$13),15-13*ORÇAMENTO!$AF$7)*OFFSET(ORÇAMENTO!$W$15,ROW(AR76)-ROW(AR$15),0),15-13*ORÇAMENTO!$AF$11)),
         0)</f>
        <v>0</v>
      </c>
      <c r="AS76" s="352" t="n">
        <f aca="true">IF(AND($D76="Serviço",AS$12&lt;&gt;0,$H76&gt;0,OR(AUTOEVENTO&lt;&gt;"manual",$M76&lt;&gt;$A$15)),
        IF(Import.TipoArredondamento&lt;&gt;"TransfereGOV",
              ROUND(OFFSET($P76,0,AS$13),15-13*ORÇAMENTO!$AF$7)/$H76*OFFSET(ORÇAMENTO!$X$15,ROW(AS76)-ROW(AS$15),0),
              ROUND(ROUND(OFFSET($P76,0,AS$13),15-13*ORÇAMENTO!$AF$7)*OFFSET(ORÇAMENTO!$W$15,ROW(AS76)-ROW(AS$15),0),15-13*ORÇAMENTO!$AF$11)),
         0)</f>
        <v>0</v>
      </c>
      <c r="AT76" s="352" t="n">
        <f aca="true">IF(AND($D76="Serviço",AT$12&lt;&gt;0,$H76&gt;0,OR(AUTOEVENTO&lt;&gt;"manual",$M76&lt;&gt;$A$15)),
        IF(Import.TipoArredondamento&lt;&gt;"TransfereGOV",
              ROUND(OFFSET($P76,0,AT$13),15-13*ORÇAMENTO!$AF$7)/$H76*OFFSET(ORÇAMENTO!$X$15,ROW(AT76)-ROW(AT$15),0),
              ROUND(ROUND(OFFSET($P76,0,AT$13),15-13*ORÇAMENTO!$AF$7)*OFFSET(ORÇAMENTO!$W$15,ROW(AT76)-ROW(AT$15),0),15-13*ORÇAMENTO!$AF$11)),
         0)</f>
        <v>0</v>
      </c>
      <c r="AU76" s="352" t="n">
        <f aca="true">IF(AND($D76="Serviço",AU$12&lt;&gt;0,$H76&gt;0,OR(AUTOEVENTO&lt;&gt;"manual",$M76&lt;&gt;$A$15)),
        IF(Import.TipoArredondamento&lt;&gt;"TransfereGOV",
              ROUND(OFFSET($P76,0,AU$13),15-13*ORÇAMENTO!$AF$7)/$H76*OFFSET(ORÇAMENTO!$X$15,ROW(AU76)-ROW(AU$15),0),
              ROUND(ROUND(OFFSET($P76,0,AU$13),15-13*ORÇAMENTO!$AF$7)*OFFSET(ORÇAMENTO!$W$15,ROW(AU76)-ROW(AU$15),0),15-13*ORÇAMENTO!$AF$11)),
         0)</f>
        <v>0</v>
      </c>
      <c r="AV76" s="352" t="n">
        <f aca="true">IF(AND($D76="Serviço",AV$12&lt;&gt;0,$H76&gt;0,OR(AUTOEVENTO&lt;&gt;"manual",$M76&lt;&gt;$A$15)),
        IF(Import.TipoArredondamento&lt;&gt;"TransfereGOV",
              ROUND(OFFSET($P76,0,AV$13),15-13*ORÇAMENTO!$AF$7)/$H76*OFFSET(ORÇAMENTO!$X$15,ROW(AV76)-ROW(AV$15),0),
              ROUND(ROUND(OFFSET($P76,0,AV$13),15-13*ORÇAMENTO!$AF$7)*OFFSET(ORÇAMENTO!$W$15,ROW(AV76)-ROW(AV$15),0),15-13*ORÇAMENTO!$AF$11)),
         0)</f>
        <v>0</v>
      </c>
      <c r="AW76" s="352" t="n">
        <f aca="true">IF(AND($D76="Serviço",AW$12&lt;&gt;0,$H76&gt;0,OR(AUTOEVENTO&lt;&gt;"manual",$M76&lt;&gt;$A$15)),
        IF(Import.TipoArredondamento&lt;&gt;"TransfereGOV",
              ROUND(OFFSET($P76,0,AW$13),15-13*ORÇAMENTO!$AF$7)/$H76*OFFSET(ORÇAMENTO!$X$15,ROW(AW76)-ROW(AW$15),0),
              ROUND(ROUND(OFFSET($P76,0,AW$13),15-13*ORÇAMENTO!$AF$7)*OFFSET(ORÇAMENTO!$W$15,ROW(AW76)-ROW(AW$15),0),15-13*ORÇAMENTO!$AF$11)),
         0)</f>
        <v>0</v>
      </c>
      <c r="AX76" s="352" t="n">
        <f aca="true">IF(AND($D76="Serviço",AX$12&lt;&gt;0,$H76&gt;0,OR(AUTOEVENTO&lt;&gt;"manual",$M76&lt;&gt;$A$15)),
        IF(Import.TipoArredondamento&lt;&gt;"TransfereGOV",
              ROUND(OFFSET($P76,0,AX$13),15-13*ORÇAMENTO!$AF$7)/$H76*OFFSET(ORÇAMENTO!$X$15,ROW(AX76)-ROW(AX$15),0),
              ROUND(ROUND(OFFSET($P76,0,AX$13),15-13*ORÇAMENTO!$AF$7)*OFFSET(ORÇAMENTO!$W$15,ROW(AX76)-ROW(AX$15),0),15-13*ORÇAMENTO!$AF$11)),
         0)</f>
        <v>0</v>
      </c>
      <c r="AY76" s="352" t="n">
        <f aca="true">IF(AND($D76="Serviço",AY$12&lt;&gt;0,$H76&gt;0,OR(AUTOEVENTO&lt;&gt;"manual",$M76&lt;&gt;$A$15)),
        IF(Import.TipoArredondamento&lt;&gt;"TransfereGOV",
              ROUND(OFFSET($P76,0,AY$13),15-13*ORÇAMENTO!$AF$7)/$H76*OFFSET(ORÇAMENTO!$X$15,ROW(AY76)-ROW(AY$15),0),
              ROUND(ROUND(OFFSET($P76,0,AY$13),15-13*ORÇAMENTO!$AF$7)*OFFSET(ORÇAMENTO!$W$15,ROW(AY76)-ROW(AY$15),0),15-13*ORÇAMENTO!$AF$11)),
         0)</f>
        <v>0</v>
      </c>
      <c r="AZ76" s="352" t="n">
        <f aca="true">IF(AND($D76="Serviço",AZ$12&lt;&gt;0,$H76&gt;0,OR(AUTOEVENTO&lt;&gt;"manual",$M76&lt;&gt;$A$15)),
        IF(Import.TipoArredondamento&lt;&gt;"TransfereGOV",
              ROUND(OFFSET($P76,0,AZ$13),15-13*ORÇAMENTO!$AF$7)/$H76*OFFSET(ORÇAMENTO!$X$15,ROW(AZ76)-ROW(AZ$15),0),
              ROUND(ROUND(OFFSET($P76,0,AZ$13),15-13*ORÇAMENTO!$AF$7)*OFFSET(ORÇAMENTO!$W$15,ROW(AZ76)-ROW(AZ$15),0),15-13*ORÇAMENTO!$AF$11)),
         0)</f>
        <v>0</v>
      </c>
      <c r="BA76" s="352" t="n">
        <f aca="true">IF(AND($D76="Serviço",BA$12&lt;&gt;0,$H76&gt;0,OR(AUTOEVENTO&lt;&gt;"manual",$M76&lt;&gt;$A$15)),
        IF(Import.TipoArredondamento&lt;&gt;"TransfereGOV",
              ROUND(OFFSET($P76,0,BA$13),15-13*ORÇAMENTO!$AF$7)/$H76*OFFSET(ORÇAMENTO!$X$15,ROW(BA76)-ROW(BA$15),0),
              ROUND(ROUND(OFFSET($P76,0,BA$13),15-13*ORÇAMENTO!$AF$7)*OFFSET(ORÇAMENTO!$W$15,ROW(BA76)-ROW(BA$15),0),15-13*ORÇAMENTO!$AF$11)),
         0)</f>
        <v>0</v>
      </c>
      <c r="BB76" s="352" t="n">
        <f aca="true">IF(AND($D76="Serviço",BB$12&lt;&gt;0,$H76&gt;0,OR(AUTOEVENTO&lt;&gt;"manual",$M76&lt;&gt;$A$15)),
        IF(Import.TipoArredondamento&lt;&gt;"TransfereGOV",
              ROUND(OFFSET($P76,0,BB$13),15-13*ORÇAMENTO!$AF$7)/$H76*OFFSET(ORÇAMENTO!$X$15,ROW(BB76)-ROW(BB$15),0),
              ROUND(ROUND(OFFSET($P76,0,BB$13),15-13*ORÇAMENTO!$AF$7)*OFFSET(ORÇAMENTO!$W$15,ROW(BB76)-ROW(BB$15),0),15-13*ORÇAMENTO!$AF$11)),
         0)</f>
        <v>0</v>
      </c>
      <c r="BC76" s="352" t="n">
        <f aca="true">IF(AND($D76="Serviço",BC$12&lt;&gt;0,$H76&gt;0,OR(AUTOEVENTO&lt;&gt;"manual",$M76&lt;&gt;$A$15)),
        IF(Import.TipoArredondamento&lt;&gt;"TransfereGOV",
              ROUND(OFFSET($P76,0,BC$13),15-13*ORÇAMENTO!$AF$7)/$H76*OFFSET(ORÇAMENTO!$X$15,ROW(BC76)-ROW(BC$15),0),
              ROUND(ROUND(OFFSET($P76,0,BC$13),15-13*ORÇAMENTO!$AF$7)*OFFSET(ORÇAMENTO!$W$15,ROW(BC76)-ROW(BC$15),0),15-13*ORÇAMENTO!$AF$11)),
         0)</f>
        <v>0</v>
      </c>
      <c r="BD76" s="352" t="n">
        <f aca="true">IF(AND($D76="Serviço",BD$12&lt;&gt;0,$H76&gt;0,OR(AUTOEVENTO&lt;&gt;"manual",$M76&lt;&gt;$A$15)),
        IF(Import.TipoArredondamento&lt;&gt;"TransfereGOV",
              ROUND(OFFSET($P76,0,BD$13),15-13*ORÇAMENTO!$AF$7)/$H76*OFFSET(ORÇAMENTO!$X$15,ROW(BD76)-ROW(BD$15),0),
              ROUND(ROUND(OFFSET($P76,0,BD$13),15-13*ORÇAMENTO!$AF$7)*OFFSET(ORÇAMENTO!$W$15,ROW(BD76)-ROW(BD$15),0),15-13*ORÇAMENTO!$AF$11)),
         0)</f>
        <v>0</v>
      </c>
      <c r="BE76" s="352" t="n">
        <f aca="true">IF(AND($D76="Serviço",BE$12&lt;&gt;0,$H76&gt;0,OR(AUTOEVENTO&lt;&gt;"manual",$M76&lt;&gt;$A$15)),
        IF(Import.TipoArredondamento&lt;&gt;"TransfereGOV",
              ROUND(OFFSET($P76,0,BE$13),15-13*ORÇAMENTO!$AF$7)/$H76*OFFSET(ORÇAMENTO!$X$15,ROW(BE76)-ROW(BE$15),0),
              ROUND(ROUND(OFFSET($P76,0,BE$13),15-13*ORÇAMENTO!$AF$7)*OFFSET(ORÇAMENTO!$W$15,ROW(BE76)-ROW(BE$15),0),15-13*ORÇAMENTO!$AF$11)),
         0)</f>
        <v>0</v>
      </c>
      <c r="BF76" s="352" t="n">
        <f aca="true">IF(AND($D76="Serviço",BF$12&lt;&gt;0,$H76&gt;0,OR(AUTOEVENTO&lt;&gt;"manual",$M76&lt;&gt;$A$15)),
        IF(Import.TipoArredondamento&lt;&gt;"TransfereGOV",
              ROUND(OFFSET($P76,0,BF$13),15-13*ORÇAMENTO!$AF$7)/$H76*OFFSET(ORÇAMENTO!$X$15,ROW(BF76)-ROW(BF$15),0),
              ROUND(ROUND(OFFSET($P76,0,BF$13),15-13*ORÇAMENTO!$AF$7)*OFFSET(ORÇAMENTO!$W$15,ROW(BF76)-ROW(BF$15),0),15-13*ORÇAMENTO!$AF$11)),
         0)</f>
        <v>0</v>
      </c>
      <c r="BG76" s="352" t="n">
        <f aca="true">IF(AND($D76="Serviço",BG$12&lt;&gt;0,$H76&gt;0,OR(AUTOEVENTO&lt;&gt;"manual",$M76&lt;&gt;$A$15)),
        IF(Import.TipoArredondamento&lt;&gt;"TransfereGOV",
              ROUND(OFFSET($P76,0,BG$13),15-13*ORÇAMENTO!$AF$7)/$H76*OFFSET(ORÇAMENTO!$X$15,ROW(BG76)-ROW(BG$15),0),
              ROUND(ROUND(OFFSET($P76,0,BG$13),15-13*ORÇAMENTO!$AF$7)*OFFSET(ORÇAMENTO!$W$15,ROW(BG76)-ROW(BG$15),0),15-13*ORÇAMENTO!$AF$11)),
         0)</f>
        <v>0</v>
      </c>
      <c r="BH76" s="352" t="n">
        <f aca="true">IF(AND($D76="Serviço",BH$12&lt;&gt;0,$H76&gt;0,OR(AUTOEVENTO&lt;&gt;"manual",$M76&lt;&gt;$A$15)),
        IF(Import.TipoArredondamento&lt;&gt;"TransfereGOV",
              ROUND(OFFSET($P76,0,BH$13),15-13*ORÇAMENTO!$AF$7)/$H76*OFFSET(ORÇAMENTO!$X$15,ROW(BH76)-ROW(BH$15),0),
              ROUND(ROUND(OFFSET($P76,0,BH$13),15-13*ORÇAMENTO!$AF$7)*OFFSET(ORÇAMENTO!$W$15,ROW(BH76)-ROW(BH$15),0),15-13*ORÇAMENTO!$AF$11)),
         0)</f>
        <v>0</v>
      </c>
      <c r="BI76" s="352" t="n">
        <f aca="true">IF(AND($D76="Serviço",BI$12&lt;&gt;0,$H76&gt;0,OR(AUTOEVENTO&lt;&gt;"manual",$M76&lt;&gt;$A$15)),
        IF(Import.TipoArredondamento&lt;&gt;"TransfereGOV",
              ROUND(OFFSET($P76,0,BI$13),15-13*ORÇAMENTO!$AF$7)/$H76*OFFSET(ORÇAMENTO!$X$15,ROW(BI76)-ROW(BI$15),0),
              ROUND(ROUND(OFFSET($P76,0,BI$13),15-13*ORÇAMENTO!$AF$7)*OFFSET(ORÇAMENTO!$W$15,ROW(BI76)-ROW(BI$15),0),15-13*ORÇAMENTO!$AF$11)),
         0)</f>
        <v>0</v>
      </c>
      <c r="BJ76" s="352" t="n">
        <f aca="true">IF(AND($D76="Serviço",BJ$12&lt;&gt;0,$H76&gt;0,OR(AUTOEVENTO&lt;&gt;"manual",$M76&lt;&gt;$A$15)),
        IF(Import.TipoArredondamento&lt;&gt;"TransfereGOV",
              ROUND(OFFSET($P76,0,BJ$13),15-13*ORÇAMENTO!$AF$7)/$H76*OFFSET(ORÇAMENTO!$X$15,ROW(BJ76)-ROW(BJ$15),0),
              ROUND(ROUND(OFFSET($P76,0,BJ$13),15-13*ORÇAMENTO!$AF$7)*OFFSET(ORÇAMENTO!$W$15,ROW(BJ76)-ROW(BJ$15),0),15-13*ORÇAMENTO!$AF$11)),
         0)</f>
        <v>0</v>
      </c>
      <c r="BK76" s="352" t="n">
        <f aca="true">IF(AND($D76="Serviço",BK$12&lt;&gt;0,$H76&gt;0,OR(AUTOEVENTO&lt;&gt;"manual",$M76&lt;&gt;$A$15)),
        IF(Import.TipoArredondamento&lt;&gt;"TransfereGOV",
              ROUND(OFFSET($P76,0,BK$13),15-13*ORÇAMENTO!$AF$7)/$H76*OFFSET(ORÇAMENTO!$X$15,ROW(BK76)-ROW(BK$15),0),
              ROUND(ROUND(OFFSET($P76,0,BK$13),15-13*ORÇAMENTO!$AF$7)*OFFSET(ORÇAMENTO!$W$15,ROW(BK76)-ROW(BK$15),0),15-13*ORÇAMENTO!$AF$11)),
         0)</f>
        <v>0</v>
      </c>
      <c r="BL76" s="352" t="n">
        <f aca="true">IF(AND($D76="Serviço",BL$12&lt;&gt;0,$H76&gt;0,OR(AUTOEVENTO&lt;&gt;"manual",$M76&lt;&gt;$A$15)),
        IF(Import.TipoArredondamento&lt;&gt;"TransfereGOV",
              ROUND(OFFSET($P76,0,BL$13),15-13*ORÇAMENTO!$AF$7)/$H76*OFFSET(ORÇAMENTO!$X$15,ROW(BL76)-ROW(BL$15),0),
              ROUND(ROUND(OFFSET($P76,0,BL$13),15-13*ORÇAMENTO!$AF$7)*OFFSET(ORÇAMENTO!$W$15,ROW(BL76)-ROW(BL$15),0),15-13*ORÇAMENTO!$AF$11)),
         0)</f>
        <v>0</v>
      </c>
      <c r="BM76" s="352" t="n">
        <f aca="true">IF(AND($D76="Serviço",BM$12&lt;&gt;0,$H76&gt;0,OR(AUTOEVENTO&lt;&gt;"manual",$M76&lt;&gt;$A$15)),
        IF(Import.TipoArredondamento&lt;&gt;"TransfereGOV",
              ROUND(OFFSET($P76,0,BM$13),15-13*ORÇAMENTO!$AF$7)/$H76*OFFSET(ORÇAMENTO!$X$15,ROW(BM76)-ROW(BM$15),0),
              ROUND(ROUND(OFFSET($P76,0,BM$13),15-13*ORÇAMENTO!$AF$7)*OFFSET(ORÇAMENTO!$W$15,ROW(BM76)-ROW(BM$15),0),15-13*ORÇAMENTO!$AF$11)),
         0)</f>
        <v>0</v>
      </c>
      <c r="BN76" s="352" t="n">
        <f aca="true">IF(AND($D76="Serviço",BN$12&lt;&gt;0,$H76&gt;0,OR(AUTOEVENTO&lt;&gt;"manual",$M76&lt;&gt;$A$15)),
        IF(Import.TipoArredondamento&lt;&gt;"TransfereGOV",
              ROUND(OFFSET($P76,0,BN$13),15-13*ORÇAMENTO!$AF$7)/$H76*OFFSET(ORÇAMENTO!$X$15,ROW(BN76)-ROW(BN$15),0),
              ROUND(ROUND(OFFSET($P76,0,BN$13),15-13*ORÇAMENTO!$AF$7)*OFFSET(ORÇAMENTO!$W$15,ROW(BN76)-ROW(BN$15),0),15-13*ORÇAMENTO!$AF$11)),
         0)</f>
        <v>0</v>
      </c>
      <c r="BO76" s="352" t="n">
        <f aca="true">IF(AND($D76="Serviço",BO$12&lt;&gt;0,$H76&gt;0,OR(AUTOEVENTO&lt;&gt;"manual",$M76&lt;&gt;$A$15)),
        IF(Import.TipoArredondamento&lt;&gt;"TransfereGOV",
              ROUND(OFFSET($P76,0,BO$13),15-13*ORÇAMENTO!$AF$7)/$H76*OFFSET(ORÇAMENTO!$X$15,ROW(BO76)-ROW(BO$15),0),
              ROUND(ROUND(OFFSET($P76,0,BO$13),15-13*ORÇAMENTO!$AF$7)*OFFSET(ORÇAMENTO!$W$15,ROW(BO76)-ROW(BO$15),0),15-13*ORÇAMENTO!$AF$11)),
         0)</f>
        <v>0</v>
      </c>
      <c r="BP76" s="352" t="n">
        <f aca="true">IF(AND($D76="Serviço",BP$12&lt;&gt;0,$H76&gt;0,OR(AUTOEVENTO&lt;&gt;"manual",$M76&lt;&gt;$A$15)),
        IF(Import.TipoArredondamento&lt;&gt;"TransfereGOV",
              ROUND(OFFSET($P76,0,BP$13),15-13*ORÇAMENTO!$AF$7)/$H76*OFFSET(ORÇAMENTO!$X$15,ROW(BP76)-ROW(BP$15),0),
              ROUND(ROUND(OFFSET($P76,0,BP$13),15-13*ORÇAMENTO!$AF$7)*OFFSET(ORÇAMENTO!$W$15,ROW(BP76)-ROW(BP$15),0),15-13*ORÇAMENTO!$AF$11)),
         0)</f>
        <v>0</v>
      </c>
      <c r="BQ76" s="352" t="n">
        <f aca="true">IF(AND($D76="Serviço",BQ$12&lt;&gt;0,$H76&gt;0,OR(AUTOEVENTO&lt;&gt;"manual",$M76&lt;&gt;$A$15)),
        IF(Import.TipoArredondamento&lt;&gt;"TransfereGOV",
              ROUND(OFFSET($P76,0,BQ$13),15-13*ORÇAMENTO!$AF$7)/$H76*OFFSET(ORÇAMENTO!$X$15,ROW(BQ76)-ROW(BQ$15),0),
              ROUND(ROUND(OFFSET($P76,0,BQ$13),15-13*ORÇAMENTO!$AF$7)*OFFSET(ORÇAMENTO!$W$15,ROW(BQ76)-ROW(BQ$15),0),15-13*ORÇAMENTO!$AF$11)),
         0)</f>
        <v>0</v>
      </c>
      <c r="BS76" s="353" t="n">
        <f aca="true">IF(OR($D76&lt;&gt;"Serviço",AND(AUTOEVENTO="Manual",$M76=$A$15)),0,
         IF(OFFSET(CRONOPLE!$F$15,$M76-$A$15,BS$13)=0,10^12,OFFSET(CRONOPLE!$F$15,$M76-$A$15,BS$13)))</f>
        <v>0</v>
      </c>
      <c r="BT76" s="353" t="n">
        <f aca="true">IF(OR($D76&lt;&gt;"Serviço",AND(AUTOEVENTO="Manual",$M76=$A$15)),0,
         IF(OFFSET(CRONOPLE!$F$15,$M76-$A$15,BT$13)=0,10^12,OFFSET(CRONOPLE!$F$15,$M76-$A$15,BT$13)))</f>
        <v>0</v>
      </c>
      <c r="BU76" s="353" t="n">
        <f aca="true">IF(OR($D76&lt;&gt;"Serviço",AND(AUTOEVENTO="Manual",$M76=$A$15)),0,
         IF(OFFSET(CRONOPLE!$F$15,$M76-$A$15,BU$13)=0,10^12,OFFSET(CRONOPLE!$F$15,$M76-$A$15,BU$13)))</f>
        <v>0</v>
      </c>
      <c r="BV76" s="353" t="n">
        <f aca="true">IF(OR($D76&lt;&gt;"Serviço",AND(AUTOEVENTO="Manual",$M76=$A$15)),0,
         IF(OFFSET(CRONOPLE!$F$15,$M76-$A$15,BV$13)=0,10^12,OFFSET(CRONOPLE!$F$15,$M76-$A$15,BV$13)))</f>
        <v>0</v>
      </c>
      <c r="BW76" s="353" t="n">
        <f aca="true">IF(OR($D76&lt;&gt;"Serviço",AND(AUTOEVENTO="Manual",$M76=$A$15)),0,
         IF(OFFSET(CRONOPLE!$F$15,$M76-$A$15,BW$13)=0,10^12,OFFSET(CRONOPLE!$F$15,$M76-$A$15,BW$13)))</f>
        <v>0</v>
      </c>
      <c r="BX76" s="353" t="n">
        <f aca="true">IF(OR($D76&lt;&gt;"Serviço",AND(AUTOEVENTO="Manual",$M76=$A$15)),0,
         IF(OFFSET(CRONOPLE!$F$15,$M76-$A$15,BX$13)=0,10^12,OFFSET(CRONOPLE!$F$15,$M76-$A$15,BX$13)))</f>
        <v>0</v>
      </c>
      <c r="BY76" s="353" t="n">
        <f aca="true">IF(OR($D76&lt;&gt;"Serviço",AND(AUTOEVENTO="Manual",$M76=$A$15)),0,
         IF(OFFSET(CRONOPLE!$F$15,$M76-$A$15,BY$13)=0,10^12,OFFSET(CRONOPLE!$F$15,$M76-$A$15,BY$13)))</f>
        <v>0</v>
      </c>
      <c r="BZ76" s="353" t="n">
        <f aca="true">IF(OR($D76&lt;&gt;"Serviço",AND(AUTOEVENTO="Manual",$M76=$A$15)),0,
         IF(OFFSET(CRONOPLE!$F$15,$M76-$A$15,BZ$13)=0,10^12,OFFSET(CRONOPLE!$F$15,$M76-$A$15,BZ$13)))</f>
        <v>0</v>
      </c>
      <c r="CA76" s="353" t="n">
        <f aca="true">IF(OR($D76&lt;&gt;"Serviço",AND(AUTOEVENTO="Manual",$M76=$A$15)),0,
         IF(OFFSET(CRONOPLE!$F$15,$M76-$A$15,CA$13)=0,10^12,OFFSET(CRONOPLE!$F$15,$M76-$A$15,CA$13)))</f>
        <v>0</v>
      </c>
      <c r="CB76" s="353" t="n">
        <f aca="true">IF(OR($D76&lt;&gt;"Serviço",AND(AUTOEVENTO="Manual",$M76=$A$15)),0,
         IF(OFFSET(CRONOPLE!$F$15,$M76-$A$15,CB$13)=0,10^12,OFFSET(CRONOPLE!$F$15,$M76-$A$15,CB$13)))</f>
        <v>0</v>
      </c>
      <c r="CC76" s="353" t="n">
        <f aca="true">IF(OR($D76&lt;&gt;"Serviço",AND(AUTOEVENTO="Manual",$M76=$A$15)),0,
         IF(OFFSET(CRONOPLE!$F$15,$M76-$A$15,CC$13)=0,10^12,OFFSET(CRONOPLE!$F$15,$M76-$A$15,CC$13)))</f>
        <v>0</v>
      </c>
      <c r="CD76" s="353" t="n">
        <f aca="true">IF(OR($D76&lt;&gt;"Serviço",AND(AUTOEVENTO="Manual",$M76=$A$15)),0,
         IF(OFFSET(CRONOPLE!$F$15,$M76-$A$15,CD$13)=0,10^12,OFFSET(CRONOPLE!$F$15,$M76-$A$15,CD$13)))</f>
        <v>0</v>
      </c>
      <c r="CE76" s="353" t="n">
        <f aca="true">IF(OR($D76&lt;&gt;"Serviço",AND(AUTOEVENTO="Manual",$M76=$A$15)),0,
         IF(OFFSET(CRONOPLE!$F$15,$M76-$A$15,CE$13)=0,10^12,OFFSET(CRONOPLE!$F$15,$M76-$A$15,CE$13)))</f>
        <v>0</v>
      </c>
      <c r="CF76" s="353" t="n">
        <f aca="true">IF(OR($D76&lt;&gt;"Serviço",AND(AUTOEVENTO="Manual",$M76=$A$15)),0,
         IF(OFFSET(CRONOPLE!$F$15,$M76-$A$15,CF$13)=0,10^12,OFFSET(CRONOPLE!$F$15,$M76-$A$15,CF$13)))</f>
        <v>0</v>
      </c>
      <c r="CG76" s="353" t="n">
        <f aca="true">IF(OR($D76&lt;&gt;"Serviço",AND(AUTOEVENTO="Manual",$M76=$A$15)),0,
         IF(OFFSET(CRONOPLE!$F$15,$M76-$A$15,CG$13)=0,10^12,OFFSET(CRONOPLE!$F$15,$M76-$A$15,CG$13)))</f>
        <v>0</v>
      </c>
      <c r="CH76" s="353" t="n">
        <f aca="true">IF(OR($D76&lt;&gt;"Serviço",AND(AUTOEVENTO="Manual",$M76=$A$15)),0,
         IF(OFFSET(CRONOPLE!$F$15,$M76-$A$15,CH$13)=0,10^12,OFFSET(CRONOPLE!$F$15,$M76-$A$15,CH$13)))</f>
        <v>0</v>
      </c>
      <c r="CI76" s="353" t="n">
        <f aca="true">IF(OR($D76&lt;&gt;"Serviço",AND(AUTOEVENTO="Manual",$M76=$A$15)),0,
         IF(OFFSET(CRONOPLE!$F$15,$M76-$A$15,CI$13)=0,10^12,OFFSET(CRONOPLE!$F$15,$M76-$A$15,CI$13)))</f>
        <v>0</v>
      </c>
      <c r="CJ76" s="353" t="n">
        <f aca="true">IF(OR($D76&lt;&gt;"Serviço",AND(AUTOEVENTO="Manual",$M76=$A$15)),0,
         IF(OFFSET(CRONOPLE!$F$15,$M76-$A$15,CJ$13)=0,10^12,OFFSET(CRONOPLE!$F$15,$M76-$A$15,CJ$13)))</f>
        <v>0</v>
      </c>
      <c r="CK76" s="353" t="n">
        <f aca="true">IF(OR($D76&lt;&gt;"Serviço",AND(AUTOEVENTO="Manual",$M76=$A$15)),0,
         IF(OFFSET(CRONOPLE!$F$15,$M76-$A$15,CK$13)=0,10^12,OFFSET(CRONOPLE!$F$15,$M76-$A$15,CK$13)))</f>
        <v>0</v>
      </c>
      <c r="CL76" s="353" t="n">
        <f aca="true">IF(OR($D76&lt;&gt;"Serviço",AND(AUTOEVENTO="Manual",$M76=$A$15)),0,
         IF(OFFSET(CRONOPLE!$F$15,$M76-$A$15,CL$13)=0,10^12,OFFSET(CRONOPLE!$F$15,$M76-$A$15,CL$13)))</f>
        <v>0</v>
      </c>
      <c r="CM76" s="353" t="n">
        <f aca="true">IF(OR($D76&lt;&gt;"Serviço",AND(AUTOEVENTO="Manual",$M76=$A$15)),0,
         IF(OFFSET(CRONOPLE!$F$15,$M76-$A$15,CM$13)=0,10^12,OFFSET(CRONOPLE!$F$15,$M76-$A$15,CM$13)))</f>
        <v>0</v>
      </c>
      <c r="CN76" s="353" t="n">
        <f aca="true">IF(OR($D76&lt;&gt;"Serviço",AND(AUTOEVENTO="Manual",$M76=$A$15)),0,
         IF(OFFSET(CRONOPLE!$F$15,$M76-$A$15,CN$13)=0,10^12,OFFSET(CRONOPLE!$F$15,$M76-$A$15,CN$13)))</f>
        <v>0</v>
      </c>
      <c r="CO76" s="353" t="n">
        <f aca="true">IF(OR($D76&lt;&gt;"Serviço",AND(AUTOEVENTO="Manual",$M76=$A$15)),0,
         IF(OFFSET(CRONOPLE!$F$15,$M76-$A$15,CO$13)=0,10^12,OFFSET(CRONOPLE!$F$15,$M76-$A$15,CO$13)))</f>
        <v>0</v>
      </c>
      <c r="CP76" s="353" t="n">
        <f aca="true">IF(OR($D76&lt;&gt;"Serviço",AND(AUTOEVENTO="Manual",$M76=$A$15)),0,
         IF(OFFSET(CRONOPLE!$F$15,$M76-$A$15,CP$13)=0,10^12,OFFSET(CRONOPLE!$F$15,$M76-$A$15,CP$13)))</f>
        <v>0</v>
      </c>
      <c r="CQ76" s="353" t="n">
        <f aca="true">IF(OR($D76&lt;&gt;"Serviço",AND(AUTOEVENTO="Manual",$M76=$A$15)),0,
         IF(OFFSET(CRONOPLE!$F$15,$M76-$A$15,CQ$13)=0,10^12,OFFSET(CRONOPLE!$F$15,$M76-$A$15,CQ$13)))</f>
        <v>0</v>
      </c>
      <c r="CR76" s="353" t="n">
        <f aca="true">IF(OR($D76&lt;&gt;"Serviço",AND(AUTOEVENTO="Manual",$M76=$A$15)),0,
         IF(OFFSET(CRONOPLE!$F$15,$M76-$A$15,CR$13)=0,10^12,OFFSET(CRONOPLE!$F$15,$M76-$A$15,CR$13)))</f>
        <v>0</v>
      </c>
      <c r="CT76" s="354" t="n">
        <f aca="true">IF(OR($D76&lt;&gt;"Serviço",AND(AUTOEVENTO="Manual",$M76=$A$15),$M76&gt;(ROW(PLE.lastrow)-ROW(PLE.firstrow))),0,
           IF(OFFSET(PLE!$G$15,$M76-$A$15,CT$13)="",10^12,OFFSET(PLE!$G$15,$M76-$A$15,CT$13)))</f>
        <v>0</v>
      </c>
      <c r="CU76" s="354" t="n">
        <f aca="true">IF(OR($D76&lt;&gt;"Serviço",AND(AUTOEVENTO="Manual",$M76=$A$15),$M76&gt;(ROW(PLE.lastrow)-ROW(PLE.firstrow))),0,
           IF(OFFSET(PLE!$G$15,$M76-$A$15,CU$13)="",10^12,OFFSET(PLE!$G$15,$M76-$A$15,CU$13)))</f>
        <v>0</v>
      </c>
      <c r="CV76" s="354" t="n">
        <f aca="true">IF(OR($D76&lt;&gt;"Serviço",AND(AUTOEVENTO="Manual",$M76=$A$15),$M76&gt;(ROW(PLE.lastrow)-ROW(PLE.firstrow))),0,
           IF(OFFSET(PLE!$G$15,$M76-$A$15,CV$13)="",10^12,OFFSET(PLE!$G$15,$M76-$A$15,CV$13)))</f>
        <v>0</v>
      </c>
      <c r="CW76" s="354" t="n">
        <f aca="true">IF(OR($D76&lt;&gt;"Serviço",AND(AUTOEVENTO="Manual",$M76=$A$15),$M76&gt;(ROW(PLE.lastrow)-ROW(PLE.firstrow))),0,
           IF(OFFSET(PLE!$G$15,$M76-$A$15,CW$13)="",10^12,OFFSET(PLE!$G$15,$M76-$A$15,CW$13)))</f>
        <v>0</v>
      </c>
      <c r="CX76" s="354" t="n">
        <f aca="true">IF(OR($D76&lt;&gt;"Serviço",AND(AUTOEVENTO="Manual",$M76=$A$15),$M76&gt;(ROW(PLE.lastrow)-ROW(PLE.firstrow))),0,
           IF(OFFSET(PLE!$G$15,$M76-$A$15,CX$13)="",10^12,OFFSET(PLE!$G$15,$M76-$A$15,CX$13)))</f>
        <v>0</v>
      </c>
      <c r="CY76" s="354" t="n">
        <f aca="true">IF(OR($D76&lt;&gt;"Serviço",AND(AUTOEVENTO="Manual",$M76=$A$15),$M76&gt;(ROW(PLE.lastrow)-ROW(PLE.firstrow))),0,
           IF(OFFSET(PLE!$G$15,$M76-$A$15,CY$13)="",10^12,OFFSET(PLE!$G$15,$M76-$A$15,CY$13)))</f>
        <v>0</v>
      </c>
      <c r="CZ76" s="354" t="n">
        <f aca="true">IF(OR($D76&lt;&gt;"Serviço",AND(AUTOEVENTO="Manual",$M76=$A$15),$M76&gt;(ROW(PLE.lastrow)-ROW(PLE.firstrow))),0,
           IF(OFFSET(PLE!$G$15,$M76-$A$15,CZ$13)="",10^12,OFFSET(PLE!$G$15,$M76-$A$15,CZ$13)))</f>
        <v>0</v>
      </c>
      <c r="DA76" s="354" t="n">
        <f aca="true">IF(OR($D76&lt;&gt;"Serviço",AND(AUTOEVENTO="Manual",$M76=$A$15),$M76&gt;(ROW(PLE.lastrow)-ROW(PLE.firstrow))),0,
           IF(OFFSET(PLE!$G$15,$M76-$A$15,DA$13)="",10^12,OFFSET(PLE!$G$15,$M76-$A$15,DA$13)))</f>
        <v>0</v>
      </c>
      <c r="DB76" s="354" t="n">
        <f aca="true">IF(OR($D76&lt;&gt;"Serviço",AND(AUTOEVENTO="Manual",$M76=$A$15),$M76&gt;(ROW(PLE.lastrow)-ROW(PLE.firstrow))),0,
           IF(OFFSET(PLE!$G$15,$M76-$A$15,DB$13)="",10^12,OFFSET(PLE!$G$15,$M76-$A$15,DB$13)))</f>
        <v>0</v>
      </c>
      <c r="DC76" s="354" t="n">
        <f aca="true">IF(OR($D76&lt;&gt;"Serviço",AND(AUTOEVENTO="Manual",$M76=$A$15),$M76&gt;(ROW(PLE.lastrow)-ROW(PLE.firstrow))),0,
           IF(OFFSET(PLE!$G$15,$M76-$A$15,DC$13)="",10^12,OFFSET(PLE!$G$15,$M76-$A$15,DC$13)))</f>
        <v>0</v>
      </c>
      <c r="DD76" s="354" t="n">
        <f aca="true">IF(OR($D76&lt;&gt;"Serviço",AND(AUTOEVENTO="Manual",$M76=$A$15),$M76&gt;(ROW(PLE.lastrow)-ROW(PLE.firstrow))),0,
           IF(OFFSET(PLE!$G$15,$M76-$A$15,DD$13)="",10^12,OFFSET(PLE!$G$15,$M76-$A$15,DD$13)))</f>
        <v>0</v>
      </c>
      <c r="DE76" s="354" t="n">
        <f aca="true">IF(OR($D76&lt;&gt;"Serviço",AND(AUTOEVENTO="Manual",$M76=$A$15),$M76&gt;(ROW(PLE.lastrow)-ROW(PLE.firstrow))),0,
           IF(OFFSET(PLE!$G$15,$M76-$A$15,DE$13)="",10^12,OFFSET(PLE!$G$15,$M76-$A$15,DE$13)))</f>
        <v>0</v>
      </c>
      <c r="DF76" s="354" t="n">
        <f aca="true">IF(OR($D76&lt;&gt;"Serviço",AND(AUTOEVENTO="Manual",$M76=$A$15),$M76&gt;(ROW(PLE.lastrow)-ROW(PLE.firstrow))),0,
           IF(OFFSET(PLE!$G$15,$M76-$A$15,DF$13)="",10^12,OFFSET(PLE!$G$15,$M76-$A$15,DF$13)))</f>
        <v>0</v>
      </c>
      <c r="DG76" s="354" t="n">
        <f aca="true">IF(OR($D76&lt;&gt;"Serviço",AND(AUTOEVENTO="Manual",$M76=$A$15),$M76&gt;(ROW(PLE.lastrow)-ROW(PLE.firstrow))),0,
           IF(OFFSET(PLE!$G$15,$M76-$A$15,DG$13)="",10^12,OFFSET(PLE!$G$15,$M76-$A$15,DG$13)))</f>
        <v>0</v>
      </c>
      <c r="DH76" s="354" t="n">
        <f aca="true">IF(OR($D76&lt;&gt;"Serviço",AND(AUTOEVENTO="Manual",$M76=$A$15),$M76&gt;(ROW(PLE.lastrow)-ROW(PLE.firstrow))),0,
           IF(OFFSET(PLE!$G$15,$M76-$A$15,DH$13)="",10^12,OFFSET(PLE!$G$15,$M76-$A$15,DH$13)))</f>
        <v>0</v>
      </c>
      <c r="DI76" s="354" t="n">
        <f aca="true">IF(OR($D76&lt;&gt;"Serviço",AND(AUTOEVENTO="Manual",$M76=$A$15),$M76&gt;(ROW(PLE.lastrow)-ROW(PLE.firstrow))),0,
           IF(OFFSET(PLE!$G$15,$M76-$A$15,DI$13)="",10^12,OFFSET(PLE!$G$15,$M76-$A$15,DI$13)))</f>
        <v>0</v>
      </c>
      <c r="DJ76" s="354" t="n">
        <f aca="true">IF(OR($D76&lt;&gt;"Serviço",AND(AUTOEVENTO="Manual",$M76=$A$15),$M76&gt;(ROW(PLE.lastrow)-ROW(PLE.firstrow))),0,
           IF(OFFSET(PLE!$G$15,$M76-$A$15,DJ$13)="",10^12,OFFSET(PLE!$G$15,$M76-$A$15,DJ$13)))</f>
        <v>0</v>
      </c>
      <c r="DK76" s="354" t="n">
        <f aca="true">IF(OR($D76&lt;&gt;"Serviço",AND(AUTOEVENTO="Manual",$M76=$A$15),$M76&gt;(ROW(PLE.lastrow)-ROW(PLE.firstrow))),0,
           IF(OFFSET(PLE!$G$15,$M76-$A$15,DK$13)="",10^12,OFFSET(PLE!$G$15,$M76-$A$15,DK$13)))</f>
        <v>0</v>
      </c>
      <c r="DL76" s="354" t="n">
        <f aca="true">IF(OR($D76&lt;&gt;"Serviço",AND(AUTOEVENTO="Manual",$M76=$A$15),$M76&gt;(ROW(PLE.lastrow)-ROW(PLE.firstrow))),0,
           IF(OFFSET(PLE!$G$15,$M76-$A$15,DL$13)="",10^12,OFFSET(PLE!$G$15,$M76-$A$15,DL$13)))</f>
        <v>0</v>
      </c>
      <c r="DM76" s="354" t="n">
        <f aca="true">IF(OR($D76&lt;&gt;"Serviço",AND(AUTOEVENTO="Manual",$M76=$A$15),$M76&gt;(ROW(PLE.lastrow)-ROW(PLE.firstrow))),0,
           IF(OFFSET(PLE!$G$15,$M76-$A$15,DM$13)="",10^12,OFFSET(PLE!$G$15,$M76-$A$15,DM$13)))</f>
        <v>0</v>
      </c>
      <c r="DN76" s="354" t="n">
        <f aca="true">IF(OR($D76&lt;&gt;"Serviço",AND(AUTOEVENTO="Manual",$M76=$A$15),$M76&gt;(ROW(PLE.lastrow)-ROW(PLE.firstrow))),0,
           IF(OFFSET(PLE!$G$15,$M76-$A$15,DN$13)="",10^12,OFFSET(PLE!$G$15,$M76-$A$15,DN$13)))</f>
        <v>0</v>
      </c>
      <c r="DO76" s="354" t="n">
        <f aca="true">IF(OR($D76&lt;&gt;"Serviço",AND(AUTOEVENTO="Manual",$M76=$A$15),$M76&gt;(ROW(PLE.lastrow)-ROW(PLE.firstrow))),0,
           IF(OFFSET(PLE!$G$15,$M76-$A$15,DO$13)="",10^12,OFFSET(PLE!$G$15,$M76-$A$15,DO$13)))</f>
        <v>0</v>
      </c>
      <c r="DP76" s="354" t="n">
        <f aca="true">IF(OR($D76&lt;&gt;"Serviço",AND(AUTOEVENTO="Manual",$M76=$A$15),$M76&gt;(ROW(PLE.lastrow)-ROW(PLE.firstrow))),0,
           IF(OFFSET(PLE!$G$15,$M76-$A$15,DP$13)="",10^12,OFFSET(PLE!$G$15,$M76-$A$15,DP$13)))</f>
        <v>0</v>
      </c>
      <c r="DQ76" s="354" t="n">
        <f aca="true">IF(OR($D76&lt;&gt;"Serviço",AND(AUTOEVENTO="Manual",$M76=$A$15),$M76&gt;(ROW(PLE.lastrow)-ROW(PLE.firstrow))),0,
           IF(OFFSET(PLE!$G$15,$M76-$A$15,DQ$13)="",10^12,OFFSET(PLE!$G$15,$M76-$A$15,DQ$13)))</f>
        <v>0</v>
      </c>
      <c r="DR76" s="354" t="n">
        <f aca="true">IF(OR($D76&lt;&gt;"Serviço",AND(AUTOEVENTO="Manual",$M76=$A$15),$M76&gt;(ROW(PLE.lastrow)-ROW(PLE.firstrow))),0,
           IF(OFFSET(PLE!$G$15,$M76-$A$15,DR$13)="",10^12,OFFSET(PLE!$G$15,$M76-$A$15,DR$13)))</f>
        <v>0</v>
      </c>
      <c r="DS76" s="354" t="n">
        <f aca="true">IF(OR($D76&lt;&gt;"Serviço",AND(AUTOEVENTO="Manual",$M76=$A$15),$M76&gt;(ROW(PLE.lastrow)-ROW(PLE.firstrow))),0,
           IF(OFFSET(PLE!$G$15,$M76-$A$15,DS$13)="",10^12,OFFSET(PLE!$G$15,$M76-$A$15,DS$13)))</f>
        <v>0</v>
      </c>
    </row>
    <row r="77" customFormat="false" ht="12.75" hidden="false" customHeight="false" outlineLevel="0" collapsed="false">
      <c r="A77" s="50" t="str">
        <f aca="true">IFERROR(IF(AUTOEVENTO="Manual",IF(K77&lt;&gt;"",MIN(VALUE(LEFT(K77,FIND(".",K77)-1)),COUNTA(EVENTOS.Lista)),0),IF(OR($B77&gt;AUTOEVENTO,$B77="S",$B77=0),SUBSTITUTE(OFFSET($A77,-1,0),IF($D77="Serviço",".",""),""),ROW(A77)-ROW($A$15)&amp;".")),0)</f>
        <v>62.</v>
      </c>
      <c r="B77" s="50" t="n">
        <f aca="true">OFFSET(ORÇAMENTO!C$15,ROW(B77)-ROW(B$15),0)</f>
        <v>2</v>
      </c>
      <c r="C77" s="50" t="str">
        <f aca="true">OFFSET(ORÇAMENTO!L$15,ROW(C77)-ROW(C$15),0)</f>
        <v>F</v>
      </c>
      <c r="D77" s="201" t="str">
        <f aca="true">OFFSET(ORÇAMENTO!N$15,ROW(D77)-ROW(D$15),0)</f>
        <v>Nível 2</v>
      </c>
      <c r="E77" s="202" t="str">
        <f aca="true">OFFSET(ORÇAMENTO!O$15,ROW(E77)-ROW(E$15),0)</f>
        <v>1.18.</v>
      </c>
      <c r="F77" s="341" t="str">
        <f aca="true">OFFSET(ORÇAMENTO!R$15,ROW(F77)-ROW(F$15),0)</f>
        <v>REVESTIMENTOS INTERNOS</v>
      </c>
      <c r="G77" s="342" t="str">
        <f aca="true">IF($D77&lt;&gt;"Serviço","",OFFSET(ORÇAMENTO!S$15,ROW(G77)-ROW(G$15),0))</f>
        <v/>
      </c>
      <c r="H77" s="207" t="n">
        <f aca="true">IF($D77&lt;&gt;"Serviço",0,IF(ACOMPANHAMENTO="BM",ROUND(OFFSET(ORÇAMENTO!AJ$15,ROW(H77)-ROW(H$15),0),15-13*ORÇAMENTO!$AF$7),SUMPRODUCT(($Q$1:$AQ$1=1)*ROUND($Q77:$AQ77,15-13*ORÇAMENTO!$AF$7))))</f>
        <v>0</v>
      </c>
      <c r="I77" s="343"/>
      <c r="J77" s="344" t="str">
        <f aca="false">IF(OR(B77&lt;&gt;"S",CÁLCULO.FrentesPreenchidas=0),"",IF(AND(ACOMPANHAMENTO="PLE",AUTOEVENTO="Manual",OR(H77&gt;0,ORÇAMENTO!AC77="QUANT."),OR(K77="",M77=0,N77="")),"►",IF(AND(ACOMPANHAMENTO="PLE",ORÇAMENTO!AC77="QUANT."),"►►",IF(AND(COUNTIF($P$11:$AQ$11,"▼")=0,H77&gt;0,I77=""),"◄",""))))</f>
        <v/>
      </c>
      <c r="K77" s="345"/>
      <c r="L77" s="346" t="s">
        <v>876</v>
      </c>
      <c r="M77" s="347" t="str">
        <f aca="true">IF($D77&lt;&gt;"Serviço","",
          IF(AUTOEVENTO="manual",$A77,
                IF(ISERROR(MATCH($A77,$A$15:OFFSET($A77,-1,0),0)),MAX($M$15:OFFSET(M77,-1,0))+1,
                      INDEX($M$15:OFFSET(M77,-1,0),MATCH($A77,$A$15:OFFSET($A77,-1,0),0)))))</f>
        <v/>
      </c>
      <c r="N77" s="348" t="str">
        <f aca="true">IF($D77&lt;&gt;"Serviço","",
         IF(AUTOEVENTO="Manual",
                IF($A77=0,"&lt;-- defina o número do agrupador",
                       OFFSET(EVENTOS!$D$15,$A77-$A$15,0)),
                OFFSET($F$15,$A77,0)))</f>
        <v/>
      </c>
      <c r="O77" s="349"/>
      <c r="Q77" s="349" t="n">
        <v>2</v>
      </c>
      <c r="R77" s="350" t="n">
        <v>2</v>
      </c>
      <c r="S77" s="350" t="n">
        <v>2</v>
      </c>
      <c r="T77" s="350" t="n">
        <v>2</v>
      </c>
      <c r="U77" s="350" t="n">
        <v>2</v>
      </c>
      <c r="V77" s="350" t="n">
        <v>2</v>
      </c>
      <c r="W77" s="350" t="n">
        <v>2</v>
      </c>
      <c r="X77" s="350" t="n">
        <v>2</v>
      </c>
      <c r="Y77" s="350" t="n">
        <v>2</v>
      </c>
      <c r="Z77" s="351" t="n">
        <v>2</v>
      </c>
      <c r="AA77" s="350" t="n">
        <v>2</v>
      </c>
      <c r="AB77" s="350" t="n">
        <v>2</v>
      </c>
      <c r="AC77" s="350" t="n">
        <v>2</v>
      </c>
      <c r="AD77" s="350" t="n">
        <v>2</v>
      </c>
      <c r="AE77" s="350" t="n">
        <v>2</v>
      </c>
      <c r="AF77" s="350" t="n">
        <v>2</v>
      </c>
      <c r="AG77" s="350" t="n">
        <v>2</v>
      </c>
      <c r="AH77" s="351" t="n">
        <v>2</v>
      </c>
      <c r="AI77" s="350" t="n">
        <v>2</v>
      </c>
      <c r="AJ77" s="350" t="n">
        <v>2</v>
      </c>
      <c r="AK77" s="350" t="n">
        <v>2</v>
      </c>
      <c r="AL77" s="350" t="n">
        <v>2</v>
      </c>
      <c r="AM77" s="350" t="n">
        <v>2</v>
      </c>
      <c r="AN77" s="350" t="n">
        <v>2</v>
      </c>
      <c r="AO77" s="350" t="n">
        <v>2</v>
      </c>
      <c r="AP77" s="351"/>
      <c r="AR77" s="352" t="n">
        <f aca="true">IF(AND($D77="Serviço",AR$12&lt;&gt;0,$H77&gt;0,OR(AUTOEVENTO&lt;&gt;"manual",$M77&lt;&gt;$A$15)),
        IF(Import.TipoArredondamento&lt;&gt;"TransfereGOV",
              ROUND(OFFSET($P77,0,AR$13),15-13*ORÇAMENTO!$AF$7)/$H77*OFFSET(ORÇAMENTO!$X$15,ROW(AR77)-ROW(AR$15),0),
              ROUND(ROUND(OFFSET($P77,0,AR$13),15-13*ORÇAMENTO!$AF$7)*OFFSET(ORÇAMENTO!$W$15,ROW(AR77)-ROW(AR$15),0),15-13*ORÇAMENTO!$AF$11)),
         0)</f>
        <v>0</v>
      </c>
      <c r="AS77" s="352" t="n">
        <f aca="true">IF(AND($D77="Serviço",AS$12&lt;&gt;0,$H77&gt;0,OR(AUTOEVENTO&lt;&gt;"manual",$M77&lt;&gt;$A$15)),
        IF(Import.TipoArredondamento&lt;&gt;"TransfereGOV",
              ROUND(OFFSET($P77,0,AS$13),15-13*ORÇAMENTO!$AF$7)/$H77*OFFSET(ORÇAMENTO!$X$15,ROW(AS77)-ROW(AS$15),0),
              ROUND(ROUND(OFFSET($P77,0,AS$13),15-13*ORÇAMENTO!$AF$7)*OFFSET(ORÇAMENTO!$W$15,ROW(AS77)-ROW(AS$15),0),15-13*ORÇAMENTO!$AF$11)),
         0)</f>
        <v>0</v>
      </c>
      <c r="AT77" s="352" t="n">
        <f aca="true">IF(AND($D77="Serviço",AT$12&lt;&gt;0,$H77&gt;0,OR(AUTOEVENTO&lt;&gt;"manual",$M77&lt;&gt;$A$15)),
        IF(Import.TipoArredondamento&lt;&gt;"TransfereGOV",
              ROUND(OFFSET($P77,0,AT$13),15-13*ORÇAMENTO!$AF$7)/$H77*OFFSET(ORÇAMENTO!$X$15,ROW(AT77)-ROW(AT$15),0),
              ROUND(ROUND(OFFSET($P77,0,AT$13),15-13*ORÇAMENTO!$AF$7)*OFFSET(ORÇAMENTO!$W$15,ROW(AT77)-ROW(AT$15),0),15-13*ORÇAMENTO!$AF$11)),
         0)</f>
        <v>0</v>
      </c>
      <c r="AU77" s="352" t="n">
        <f aca="true">IF(AND($D77="Serviço",AU$12&lt;&gt;0,$H77&gt;0,OR(AUTOEVENTO&lt;&gt;"manual",$M77&lt;&gt;$A$15)),
        IF(Import.TipoArredondamento&lt;&gt;"TransfereGOV",
              ROUND(OFFSET($P77,0,AU$13),15-13*ORÇAMENTO!$AF$7)/$H77*OFFSET(ORÇAMENTO!$X$15,ROW(AU77)-ROW(AU$15),0),
              ROUND(ROUND(OFFSET($P77,0,AU$13),15-13*ORÇAMENTO!$AF$7)*OFFSET(ORÇAMENTO!$W$15,ROW(AU77)-ROW(AU$15),0),15-13*ORÇAMENTO!$AF$11)),
         0)</f>
        <v>0</v>
      </c>
      <c r="AV77" s="352" t="n">
        <f aca="true">IF(AND($D77="Serviço",AV$12&lt;&gt;0,$H77&gt;0,OR(AUTOEVENTO&lt;&gt;"manual",$M77&lt;&gt;$A$15)),
        IF(Import.TipoArredondamento&lt;&gt;"TransfereGOV",
              ROUND(OFFSET($P77,0,AV$13),15-13*ORÇAMENTO!$AF$7)/$H77*OFFSET(ORÇAMENTO!$X$15,ROW(AV77)-ROW(AV$15),0),
              ROUND(ROUND(OFFSET($P77,0,AV$13),15-13*ORÇAMENTO!$AF$7)*OFFSET(ORÇAMENTO!$W$15,ROW(AV77)-ROW(AV$15),0),15-13*ORÇAMENTO!$AF$11)),
         0)</f>
        <v>0</v>
      </c>
      <c r="AW77" s="352" t="n">
        <f aca="true">IF(AND($D77="Serviço",AW$12&lt;&gt;0,$H77&gt;0,OR(AUTOEVENTO&lt;&gt;"manual",$M77&lt;&gt;$A$15)),
        IF(Import.TipoArredondamento&lt;&gt;"TransfereGOV",
              ROUND(OFFSET($P77,0,AW$13),15-13*ORÇAMENTO!$AF$7)/$H77*OFFSET(ORÇAMENTO!$X$15,ROW(AW77)-ROW(AW$15),0),
              ROUND(ROUND(OFFSET($P77,0,AW$13),15-13*ORÇAMENTO!$AF$7)*OFFSET(ORÇAMENTO!$W$15,ROW(AW77)-ROW(AW$15),0),15-13*ORÇAMENTO!$AF$11)),
         0)</f>
        <v>0</v>
      </c>
      <c r="AX77" s="352" t="n">
        <f aca="true">IF(AND($D77="Serviço",AX$12&lt;&gt;0,$H77&gt;0,OR(AUTOEVENTO&lt;&gt;"manual",$M77&lt;&gt;$A$15)),
        IF(Import.TipoArredondamento&lt;&gt;"TransfereGOV",
              ROUND(OFFSET($P77,0,AX$13),15-13*ORÇAMENTO!$AF$7)/$H77*OFFSET(ORÇAMENTO!$X$15,ROW(AX77)-ROW(AX$15),0),
              ROUND(ROUND(OFFSET($P77,0,AX$13),15-13*ORÇAMENTO!$AF$7)*OFFSET(ORÇAMENTO!$W$15,ROW(AX77)-ROW(AX$15),0),15-13*ORÇAMENTO!$AF$11)),
         0)</f>
        <v>0</v>
      </c>
      <c r="AY77" s="352" t="n">
        <f aca="true">IF(AND($D77="Serviço",AY$12&lt;&gt;0,$H77&gt;0,OR(AUTOEVENTO&lt;&gt;"manual",$M77&lt;&gt;$A$15)),
        IF(Import.TipoArredondamento&lt;&gt;"TransfereGOV",
              ROUND(OFFSET($P77,0,AY$13),15-13*ORÇAMENTO!$AF$7)/$H77*OFFSET(ORÇAMENTO!$X$15,ROW(AY77)-ROW(AY$15),0),
              ROUND(ROUND(OFFSET($P77,0,AY$13),15-13*ORÇAMENTO!$AF$7)*OFFSET(ORÇAMENTO!$W$15,ROW(AY77)-ROW(AY$15),0),15-13*ORÇAMENTO!$AF$11)),
         0)</f>
        <v>0</v>
      </c>
      <c r="AZ77" s="352" t="n">
        <f aca="true">IF(AND($D77="Serviço",AZ$12&lt;&gt;0,$H77&gt;0,OR(AUTOEVENTO&lt;&gt;"manual",$M77&lt;&gt;$A$15)),
        IF(Import.TipoArredondamento&lt;&gt;"TransfereGOV",
              ROUND(OFFSET($P77,0,AZ$13),15-13*ORÇAMENTO!$AF$7)/$H77*OFFSET(ORÇAMENTO!$X$15,ROW(AZ77)-ROW(AZ$15),0),
              ROUND(ROUND(OFFSET($P77,0,AZ$13),15-13*ORÇAMENTO!$AF$7)*OFFSET(ORÇAMENTO!$W$15,ROW(AZ77)-ROW(AZ$15),0),15-13*ORÇAMENTO!$AF$11)),
         0)</f>
        <v>0</v>
      </c>
      <c r="BA77" s="352" t="n">
        <f aca="true">IF(AND($D77="Serviço",BA$12&lt;&gt;0,$H77&gt;0,OR(AUTOEVENTO&lt;&gt;"manual",$M77&lt;&gt;$A$15)),
        IF(Import.TipoArredondamento&lt;&gt;"TransfereGOV",
              ROUND(OFFSET($P77,0,BA$13),15-13*ORÇAMENTO!$AF$7)/$H77*OFFSET(ORÇAMENTO!$X$15,ROW(BA77)-ROW(BA$15),0),
              ROUND(ROUND(OFFSET($P77,0,BA$13),15-13*ORÇAMENTO!$AF$7)*OFFSET(ORÇAMENTO!$W$15,ROW(BA77)-ROW(BA$15),0),15-13*ORÇAMENTO!$AF$11)),
         0)</f>
        <v>0</v>
      </c>
      <c r="BB77" s="352" t="n">
        <f aca="true">IF(AND($D77="Serviço",BB$12&lt;&gt;0,$H77&gt;0,OR(AUTOEVENTO&lt;&gt;"manual",$M77&lt;&gt;$A$15)),
        IF(Import.TipoArredondamento&lt;&gt;"TransfereGOV",
              ROUND(OFFSET($P77,0,BB$13),15-13*ORÇAMENTO!$AF$7)/$H77*OFFSET(ORÇAMENTO!$X$15,ROW(BB77)-ROW(BB$15),0),
              ROUND(ROUND(OFFSET($P77,0,BB$13),15-13*ORÇAMENTO!$AF$7)*OFFSET(ORÇAMENTO!$W$15,ROW(BB77)-ROW(BB$15),0),15-13*ORÇAMENTO!$AF$11)),
         0)</f>
        <v>0</v>
      </c>
      <c r="BC77" s="352" t="n">
        <f aca="true">IF(AND($D77="Serviço",BC$12&lt;&gt;0,$H77&gt;0,OR(AUTOEVENTO&lt;&gt;"manual",$M77&lt;&gt;$A$15)),
        IF(Import.TipoArredondamento&lt;&gt;"TransfereGOV",
              ROUND(OFFSET($P77,0,BC$13),15-13*ORÇAMENTO!$AF$7)/$H77*OFFSET(ORÇAMENTO!$X$15,ROW(BC77)-ROW(BC$15),0),
              ROUND(ROUND(OFFSET($P77,0,BC$13),15-13*ORÇAMENTO!$AF$7)*OFFSET(ORÇAMENTO!$W$15,ROW(BC77)-ROW(BC$15),0),15-13*ORÇAMENTO!$AF$11)),
         0)</f>
        <v>0</v>
      </c>
      <c r="BD77" s="352" t="n">
        <f aca="true">IF(AND($D77="Serviço",BD$12&lt;&gt;0,$H77&gt;0,OR(AUTOEVENTO&lt;&gt;"manual",$M77&lt;&gt;$A$15)),
        IF(Import.TipoArredondamento&lt;&gt;"TransfereGOV",
              ROUND(OFFSET($P77,0,BD$13),15-13*ORÇAMENTO!$AF$7)/$H77*OFFSET(ORÇAMENTO!$X$15,ROW(BD77)-ROW(BD$15),0),
              ROUND(ROUND(OFFSET($P77,0,BD$13),15-13*ORÇAMENTO!$AF$7)*OFFSET(ORÇAMENTO!$W$15,ROW(BD77)-ROW(BD$15),0),15-13*ORÇAMENTO!$AF$11)),
         0)</f>
        <v>0</v>
      </c>
      <c r="BE77" s="352" t="n">
        <f aca="true">IF(AND($D77="Serviço",BE$12&lt;&gt;0,$H77&gt;0,OR(AUTOEVENTO&lt;&gt;"manual",$M77&lt;&gt;$A$15)),
        IF(Import.TipoArredondamento&lt;&gt;"TransfereGOV",
              ROUND(OFFSET($P77,0,BE$13),15-13*ORÇAMENTO!$AF$7)/$H77*OFFSET(ORÇAMENTO!$X$15,ROW(BE77)-ROW(BE$15),0),
              ROUND(ROUND(OFFSET($P77,0,BE$13),15-13*ORÇAMENTO!$AF$7)*OFFSET(ORÇAMENTO!$W$15,ROW(BE77)-ROW(BE$15),0),15-13*ORÇAMENTO!$AF$11)),
         0)</f>
        <v>0</v>
      </c>
      <c r="BF77" s="352" t="n">
        <f aca="true">IF(AND($D77="Serviço",BF$12&lt;&gt;0,$H77&gt;0,OR(AUTOEVENTO&lt;&gt;"manual",$M77&lt;&gt;$A$15)),
        IF(Import.TipoArredondamento&lt;&gt;"TransfereGOV",
              ROUND(OFFSET($P77,0,BF$13),15-13*ORÇAMENTO!$AF$7)/$H77*OFFSET(ORÇAMENTO!$X$15,ROW(BF77)-ROW(BF$15),0),
              ROUND(ROUND(OFFSET($P77,0,BF$13),15-13*ORÇAMENTO!$AF$7)*OFFSET(ORÇAMENTO!$W$15,ROW(BF77)-ROW(BF$15),0),15-13*ORÇAMENTO!$AF$11)),
         0)</f>
        <v>0</v>
      </c>
      <c r="BG77" s="352" t="n">
        <f aca="true">IF(AND($D77="Serviço",BG$12&lt;&gt;0,$H77&gt;0,OR(AUTOEVENTO&lt;&gt;"manual",$M77&lt;&gt;$A$15)),
        IF(Import.TipoArredondamento&lt;&gt;"TransfereGOV",
              ROUND(OFFSET($P77,0,BG$13),15-13*ORÇAMENTO!$AF$7)/$H77*OFFSET(ORÇAMENTO!$X$15,ROW(BG77)-ROW(BG$15),0),
              ROUND(ROUND(OFFSET($P77,0,BG$13),15-13*ORÇAMENTO!$AF$7)*OFFSET(ORÇAMENTO!$W$15,ROW(BG77)-ROW(BG$15),0),15-13*ORÇAMENTO!$AF$11)),
         0)</f>
        <v>0</v>
      </c>
      <c r="BH77" s="352" t="n">
        <f aca="true">IF(AND($D77="Serviço",BH$12&lt;&gt;0,$H77&gt;0,OR(AUTOEVENTO&lt;&gt;"manual",$M77&lt;&gt;$A$15)),
        IF(Import.TipoArredondamento&lt;&gt;"TransfereGOV",
              ROUND(OFFSET($P77,0,BH$13),15-13*ORÇAMENTO!$AF$7)/$H77*OFFSET(ORÇAMENTO!$X$15,ROW(BH77)-ROW(BH$15),0),
              ROUND(ROUND(OFFSET($P77,0,BH$13),15-13*ORÇAMENTO!$AF$7)*OFFSET(ORÇAMENTO!$W$15,ROW(BH77)-ROW(BH$15),0),15-13*ORÇAMENTO!$AF$11)),
         0)</f>
        <v>0</v>
      </c>
      <c r="BI77" s="352" t="n">
        <f aca="true">IF(AND($D77="Serviço",BI$12&lt;&gt;0,$H77&gt;0,OR(AUTOEVENTO&lt;&gt;"manual",$M77&lt;&gt;$A$15)),
        IF(Import.TipoArredondamento&lt;&gt;"TransfereGOV",
              ROUND(OFFSET($P77,0,BI$13),15-13*ORÇAMENTO!$AF$7)/$H77*OFFSET(ORÇAMENTO!$X$15,ROW(BI77)-ROW(BI$15),0),
              ROUND(ROUND(OFFSET($P77,0,BI$13),15-13*ORÇAMENTO!$AF$7)*OFFSET(ORÇAMENTO!$W$15,ROW(BI77)-ROW(BI$15),0),15-13*ORÇAMENTO!$AF$11)),
         0)</f>
        <v>0</v>
      </c>
      <c r="BJ77" s="352" t="n">
        <f aca="true">IF(AND($D77="Serviço",BJ$12&lt;&gt;0,$H77&gt;0,OR(AUTOEVENTO&lt;&gt;"manual",$M77&lt;&gt;$A$15)),
        IF(Import.TipoArredondamento&lt;&gt;"TransfereGOV",
              ROUND(OFFSET($P77,0,BJ$13),15-13*ORÇAMENTO!$AF$7)/$H77*OFFSET(ORÇAMENTO!$X$15,ROW(BJ77)-ROW(BJ$15),0),
              ROUND(ROUND(OFFSET($P77,0,BJ$13),15-13*ORÇAMENTO!$AF$7)*OFFSET(ORÇAMENTO!$W$15,ROW(BJ77)-ROW(BJ$15),0),15-13*ORÇAMENTO!$AF$11)),
         0)</f>
        <v>0</v>
      </c>
      <c r="BK77" s="352" t="n">
        <f aca="true">IF(AND($D77="Serviço",BK$12&lt;&gt;0,$H77&gt;0,OR(AUTOEVENTO&lt;&gt;"manual",$M77&lt;&gt;$A$15)),
        IF(Import.TipoArredondamento&lt;&gt;"TransfereGOV",
              ROUND(OFFSET($P77,0,BK$13),15-13*ORÇAMENTO!$AF$7)/$H77*OFFSET(ORÇAMENTO!$X$15,ROW(BK77)-ROW(BK$15),0),
              ROUND(ROUND(OFFSET($P77,0,BK$13),15-13*ORÇAMENTO!$AF$7)*OFFSET(ORÇAMENTO!$W$15,ROW(BK77)-ROW(BK$15),0),15-13*ORÇAMENTO!$AF$11)),
         0)</f>
        <v>0</v>
      </c>
      <c r="BL77" s="352" t="n">
        <f aca="true">IF(AND($D77="Serviço",BL$12&lt;&gt;0,$H77&gt;0,OR(AUTOEVENTO&lt;&gt;"manual",$M77&lt;&gt;$A$15)),
        IF(Import.TipoArredondamento&lt;&gt;"TransfereGOV",
              ROUND(OFFSET($P77,0,BL$13),15-13*ORÇAMENTO!$AF$7)/$H77*OFFSET(ORÇAMENTO!$X$15,ROW(BL77)-ROW(BL$15),0),
              ROUND(ROUND(OFFSET($P77,0,BL$13),15-13*ORÇAMENTO!$AF$7)*OFFSET(ORÇAMENTO!$W$15,ROW(BL77)-ROW(BL$15),0),15-13*ORÇAMENTO!$AF$11)),
         0)</f>
        <v>0</v>
      </c>
      <c r="BM77" s="352" t="n">
        <f aca="true">IF(AND($D77="Serviço",BM$12&lt;&gt;0,$H77&gt;0,OR(AUTOEVENTO&lt;&gt;"manual",$M77&lt;&gt;$A$15)),
        IF(Import.TipoArredondamento&lt;&gt;"TransfereGOV",
              ROUND(OFFSET($P77,0,BM$13),15-13*ORÇAMENTO!$AF$7)/$H77*OFFSET(ORÇAMENTO!$X$15,ROW(BM77)-ROW(BM$15),0),
              ROUND(ROUND(OFFSET($P77,0,BM$13),15-13*ORÇAMENTO!$AF$7)*OFFSET(ORÇAMENTO!$W$15,ROW(BM77)-ROW(BM$15),0),15-13*ORÇAMENTO!$AF$11)),
         0)</f>
        <v>0</v>
      </c>
      <c r="BN77" s="352" t="n">
        <f aca="true">IF(AND($D77="Serviço",BN$12&lt;&gt;0,$H77&gt;0,OR(AUTOEVENTO&lt;&gt;"manual",$M77&lt;&gt;$A$15)),
        IF(Import.TipoArredondamento&lt;&gt;"TransfereGOV",
              ROUND(OFFSET($P77,0,BN$13),15-13*ORÇAMENTO!$AF$7)/$H77*OFFSET(ORÇAMENTO!$X$15,ROW(BN77)-ROW(BN$15),0),
              ROUND(ROUND(OFFSET($P77,0,BN$13),15-13*ORÇAMENTO!$AF$7)*OFFSET(ORÇAMENTO!$W$15,ROW(BN77)-ROW(BN$15),0),15-13*ORÇAMENTO!$AF$11)),
         0)</f>
        <v>0</v>
      </c>
      <c r="BO77" s="352" t="n">
        <f aca="true">IF(AND($D77="Serviço",BO$12&lt;&gt;0,$H77&gt;0,OR(AUTOEVENTO&lt;&gt;"manual",$M77&lt;&gt;$A$15)),
        IF(Import.TipoArredondamento&lt;&gt;"TransfereGOV",
              ROUND(OFFSET($P77,0,BO$13),15-13*ORÇAMENTO!$AF$7)/$H77*OFFSET(ORÇAMENTO!$X$15,ROW(BO77)-ROW(BO$15),0),
              ROUND(ROUND(OFFSET($P77,0,BO$13),15-13*ORÇAMENTO!$AF$7)*OFFSET(ORÇAMENTO!$W$15,ROW(BO77)-ROW(BO$15),0),15-13*ORÇAMENTO!$AF$11)),
         0)</f>
        <v>0</v>
      </c>
      <c r="BP77" s="352" t="n">
        <f aca="true">IF(AND($D77="Serviço",BP$12&lt;&gt;0,$H77&gt;0,OR(AUTOEVENTO&lt;&gt;"manual",$M77&lt;&gt;$A$15)),
        IF(Import.TipoArredondamento&lt;&gt;"TransfereGOV",
              ROUND(OFFSET($P77,0,BP$13),15-13*ORÇAMENTO!$AF$7)/$H77*OFFSET(ORÇAMENTO!$X$15,ROW(BP77)-ROW(BP$15),0),
              ROUND(ROUND(OFFSET($P77,0,BP$13),15-13*ORÇAMENTO!$AF$7)*OFFSET(ORÇAMENTO!$W$15,ROW(BP77)-ROW(BP$15),0),15-13*ORÇAMENTO!$AF$11)),
         0)</f>
        <v>0</v>
      </c>
      <c r="BQ77" s="352" t="n">
        <f aca="true">IF(AND($D77="Serviço",BQ$12&lt;&gt;0,$H77&gt;0,OR(AUTOEVENTO&lt;&gt;"manual",$M77&lt;&gt;$A$15)),
        IF(Import.TipoArredondamento&lt;&gt;"TransfereGOV",
              ROUND(OFFSET($P77,0,BQ$13),15-13*ORÇAMENTO!$AF$7)/$H77*OFFSET(ORÇAMENTO!$X$15,ROW(BQ77)-ROW(BQ$15),0),
              ROUND(ROUND(OFFSET($P77,0,BQ$13),15-13*ORÇAMENTO!$AF$7)*OFFSET(ORÇAMENTO!$W$15,ROW(BQ77)-ROW(BQ$15),0),15-13*ORÇAMENTO!$AF$11)),
         0)</f>
        <v>0</v>
      </c>
      <c r="BS77" s="353" t="n">
        <f aca="true">IF(OR($D77&lt;&gt;"Serviço",AND(AUTOEVENTO="Manual",$M77=$A$15)),0,
         IF(OFFSET(CRONOPLE!$F$15,$M77-$A$15,BS$13)=0,10^12,OFFSET(CRONOPLE!$F$15,$M77-$A$15,BS$13)))</f>
        <v>0</v>
      </c>
      <c r="BT77" s="353" t="n">
        <f aca="true">IF(OR($D77&lt;&gt;"Serviço",AND(AUTOEVENTO="Manual",$M77=$A$15)),0,
         IF(OFFSET(CRONOPLE!$F$15,$M77-$A$15,BT$13)=0,10^12,OFFSET(CRONOPLE!$F$15,$M77-$A$15,BT$13)))</f>
        <v>0</v>
      </c>
      <c r="BU77" s="353" t="n">
        <f aca="true">IF(OR($D77&lt;&gt;"Serviço",AND(AUTOEVENTO="Manual",$M77=$A$15)),0,
         IF(OFFSET(CRONOPLE!$F$15,$M77-$A$15,BU$13)=0,10^12,OFFSET(CRONOPLE!$F$15,$M77-$A$15,BU$13)))</f>
        <v>0</v>
      </c>
      <c r="BV77" s="353" t="n">
        <f aca="true">IF(OR($D77&lt;&gt;"Serviço",AND(AUTOEVENTO="Manual",$M77=$A$15)),0,
         IF(OFFSET(CRONOPLE!$F$15,$M77-$A$15,BV$13)=0,10^12,OFFSET(CRONOPLE!$F$15,$M77-$A$15,BV$13)))</f>
        <v>0</v>
      </c>
      <c r="BW77" s="353" t="n">
        <f aca="true">IF(OR($D77&lt;&gt;"Serviço",AND(AUTOEVENTO="Manual",$M77=$A$15)),0,
         IF(OFFSET(CRONOPLE!$F$15,$M77-$A$15,BW$13)=0,10^12,OFFSET(CRONOPLE!$F$15,$M77-$A$15,BW$13)))</f>
        <v>0</v>
      </c>
      <c r="BX77" s="353" t="n">
        <f aca="true">IF(OR($D77&lt;&gt;"Serviço",AND(AUTOEVENTO="Manual",$M77=$A$15)),0,
         IF(OFFSET(CRONOPLE!$F$15,$M77-$A$15,BX$13)=0,10^12,OFFSET(CRONOPLE!$F$15,$M77-$A$15,BX$13)))</f>
        <v>0</v>
      </c>
      <c r="BY77" s="353" t="n">
        <f aca="true">IF(OR($D77&lt;&gt;"Serviço",AND(AUTOEVENTO="Manual",$M77=$A$15)),0,
         IF(OFFSET(CRONOPLE!$F$15,$M77-$A$15,BY$13)=0,10^12,OFFSET(CRONOPLE!$F$15,$M77-$A$15,BY$13)))</f>
        <v>0</v>
      </c>
      <c r="BZ77" s="353" t="n">
        <f aca="true">IF(OR($D77&lt;&gt;"Serviço",AND(AUTOEVENTO="Manual",$M77=$A$15)),0,
         IF(OFFSET(CRONOPLE!$F$15,$M77-$A$15,BZ$13)=0,10^12,OFFSET(CRONOPLE!$F$15,$M77-$A$15,BZ$13)))</f>
        <v>0</v>
      </c>
      <c r="CA77" s="353" t="n">
        <f aca="true">IF(OR($D77&lt;&gt;"Serviço",AND(AUTOEVENTO="Manual",$M77=$A$15)),0,
         IF(OFFSET(CRONOPLE!$F$15,$M77-$A$15,CA$13)=0,10^12,OFFSET(CRONOPLE!$F$15,$M77-$A$15,CA$13)))</f>
        <v>0</v>
      </c>
      <c r="CB77" s="353" t="n">
        <f aca="true">IF(OR($D77&lt;&gt;"Serviço",AND(AUTOEVENTO="Manual",$M77=$A$15)),0,
         IF(OFFSET(CRONOPLE!$F$15,$M77-$A$15,CB$13)=0,10^12,OFFSET(CRONOPLE!$F$15,$M77-$A$15,CB$13)))</f>
        <v>0</v>
      </c>
      <c r="CC77" s="353" t="n">
        <f aca="true">IF(OR($D77&lt;&gt;"Serviço",AND(AUTOEVENTO="Manual",$M77=$A$15)),0,
         IF(OFFSET(CRONOPLE!$F$15,$M77-$A$15,CC$13)=0,10^12,OFFSET(CRONOPLE!$F$15,$M77-$A$15,CC$13)))</f>
        <v>0</v>
      </c>
      <c r="CD77" s="353" t="n">
        <f aca="true">IF(OR($D77&lt;&gt;"Serviço",AND(AUTOEVENTO="Manual",$M77=$A$15)),0,
         IF(OFFSET(CRONOPLE!$F$15,$M77-$A$15,CD$13)=0,10^12,OFFSET(CRONOPLE!$F$15,$M77-$A$15,CD$13)))</f>
        <v>0</v>
      </c>
      <c r="CE77" s="353" t="n">
        <f aca="true">IF(OR($D77&lt;&gt;"Serviço",AND(AUTOEVENTO="Manual",$M77=$A$15)),0,
         IF(OFFSET(CRONOPLE!$F$15,$M77-$A$15,CE$13)=0,10^12,OFFSET(CRONOPLE!$F$15,$M77-$A$15,CE$13)))</f>
        <v>0</v>
      </c>
      <c r="CF77" s="353" t="n">
        <f aca="true">IF(OR($D77&lt;&gt;"Serviço",AND(AUTOEVENTO="Manual",$M77=$A$15)),0,
         IF(OFFSET(CRONOPLE!$F$15,$M77-$A$15,CF$13)=0,10^12,OFFSET(CRONOPLE!$F$15,$M77-$A$15,CF$13)))</f>
        <v>0</v>
      </c>
      <c r="CG77" s="353" t="n">
        <f aca="true">IF(OR($D77&lt;&gt;"Serviço",AND(AUTOEVENTO="Manual",$M77=$A$15)),0,
         IF(OFFSET(CRONOPLE!$F$15,$M77-$A$15,CG$13)=0,10^12,OFFSET(CRONOPLE!$F$15,$M77-$A$15,CG$13)))</f>
        <v>0</v>
      </c>
      <c r="CH77" s="353" t="n">
        <f aca="true">IF(OR($D77&lt;&gt;"Serviço",AND(AUTOEVENTO="Manual",$M77=$A$15)),0,
         IF(OFFSET(CRONOPLE!$F$15,$M77-$A$15,CH$13)=0,10^12,OFFSET(CRONOPLE!$F$15,$M77-$A$15,CH$13)))</f>
        <v>0</v>
      </c>
      <c r="CI77" s="353" t="n">
        <f aca="true">IF(OR($D77&lt;&gt;"Serviço",AND(AUTOEVENTO="Manual",$M77=$A$15)),0,
         IF(OFFSET(CRONOPLE!$F$15,$M77-$A$15,CI$13)=0,10^12,OFFSET(CRONOPLE!$F$15,$M77-$A$15,CI$13)))</f>
        <v>0</v>
      </c>
      <c r="CJ77" s="353" t="n">
        <f aca="true">IF(OR($D77&lt;&gt;"Serviço",AND(AUTOEVENTO="Manual",$M77=$A$15)),0,
         IF(OFFSET(CRONOPLE!$F$15,$M77-$A$15,CJ$13)=0,10^12,OFFSET(CRONOPLE!$F$15,$M77-$A$15,CJ$13)))</f>
        <v>0</v>
      </c>
      <c r="CK77" s="353" t="n">
        <f aca="true">IF(OR($D77&lt;&gt;"Serviço",AND(AUTOEVENTO="Manual",$M77=$A$15)),0,
         IF(OFFSET(CRONOPLE!$F$15,$M77-$A$15,CK$13)=0,10^12,OFFSET(CRONOPLE!$F$15,$M77-$A$15,CK$13)))</f>
        <v>0</v>
      </c>
      <c r="CL77" s="353" t="n">
        <f aca="true">IF(OR($D77&lt;&gt;"Serviço",AND(AUTOEVENTO="Manual",$M77=$A$15)),0,
         IF(OFFSET(CRONOPLE!$F$15,$M77-$A$15,CL$13)=0,10^12,OFFSET(CRONOPLE!$F$15,$M77-$A$15,CL$13)))</f>
        <v>0</v>
      </c>
      <c r="CM77" s="353" t="n">
        <f aca="true">IF(OR($D77&lt;&gt;"Serviço",AND(AUTOEVENTO="Manual",$M77=$A$15)),0,
         IF(OFFSET(CRONOPLE!$F$15,$M77-$A$15,CM$13)=0,10^12,OFFSET(CRONOPLE!$F$15,$M77-$A$15,CM$13)))</f>
        <v>0</v>
      </c>
      <c r="CN77" s="353" t="n">
        <f aca="true">IF(OR($D77&lt;&gt;"Serviço",AND(AUTOEVENTO="Manual",$M77=$A$15)),0,
         IF(OFFSET(CRONOPLE!$F$15,$M77-$A$15,CN$13)=0,10^12,OFFSET(CRONOPLE!$F$15,$M77-$A$15,CN$13)))</f>
        <v>0</v>
      </c>
      <c r="CO77" s="353" t="n">
        <f aca="true">IF(OR($D77&lt;&gt;"Serviço",AND(AUTOEVENTO="Manual",$M77=$A$15)),0,
         IF(OFFSET(CRONOPLE!$F$15,$M77-$A$15,CO$13)=0,10^12,OFFSET(CRONOPLE!$F$15,$M77-$A$15,CO$13)))</f>
        <v>0</v>
      </c>
      <c r="CP77" s="353" t="n">
        <f aca="true">IF(OR($D77&lt;&gt;"Serviço",AND(AUTOEVENTO="Manual",$M77=$A$15)),0,
         IF(OFFSET(CRONOPLE!$F$15,$M77-$A$15,CP$13)=0,10^12,OFFSET(CRONOPLE!$F$15,$M77-$A$15,CP$13)))</f>
        <v>0</v>
      </c>
      <c r="CQ77" s="353" t="n">
        <f aca="true">IF(OR($D77&lt;&gt;"Serviço",AND(AUTOEVENTO="Manual",$M77=$A$15)),0,
         IF(OFFSET(CRONOPLE!$F$15,$M77-$A$15,CQ$13)=0,10^12,OFFSET(CRONOPLE!$F$15,$M77-$A$15,CQ$13)))</f>
        <v>0</v>
      </c>
      <c r="CR77" s="353" t="n">
        <f aca="true">IF(OR($D77&lt;&gt;"Serviço",AND(AUTOEVENTO="Manual",$M77=$A$15)),0,
         IF(OFFSET(CRONOPLE!$F$15,$M77-$A$15,CR$13)=0,10^12,OFFSET(CRONOPLE!$F$15,$M77-$A$15,CR$13)))</f>
        <v>0</v>
      </c>
      <c r="CT77" s="354" t="n">
        <f aca="true">IF(OR($D77&lt;&gt;"Serviço",AND(AUTOEVENTO="Manual",$M77=$A$15),$M77&gt;(ROW(PLE.lastrow)-ROW(PLE.firstrow))),0,
           IF(OFFSET(PLE!$G$15,$M77-$A$15,CT$13)="",10^12,OFFSET(PLE!$G$15,$M77-$A$15,CT$13)))</f>
        <v>0</v>
      </c>
      <c r="CU77" s="354" t="n">
        <f aca="true">IF(OR($D77&lt;&gt;"Serviço",AND(AUTOEVENTO="Manual",$M77=$A$15),$M77&gt;(ROW(PLE.lastrow)-ROW(PLE.firstrow))),0,
           IF(OFFSET(PLE!$G$15,$M77-$A$15,CU$13)="",10^12,OFFSET(PLE!$G$15,$M77-$A$15,CU$13)))</f>
        <v>0</v>
      </c>
      <c r="CV77" s="354" t="n">
        <f aca="true">IF(OR($D77&lt;&gt;"Serviço",AND(AUTOEVENTO="Manual",$M77=$A$15),$M77&gt;(ROW(PLE.lastrow)-ROW(PLE.firstrow))),0,
           IF(OFFSET(PLE!$G$15,$M77-$A$15,CV$13)="",10^12,OFFSET(PLE!$G$15,$M77-$A$15,CV$13)))</f>
        <v>0</v>
      </c>
      <c r="CW77" s="354" t="n">
        <f aca="true">IF(OR($D77&lt;&gt;"Serviço",AND(AUTOEVENTO="Manual",$M77=$A$15),$M77&gt;(ROW(PLE.lastrow)-ROW(PLE.firstrow))),0,
           IF(OFFSET(PLE!$G$15,$M77-$A$15,CW$13)="",10^12,OFFSET(PLE!$G$15,$M77-$A$15,CW$13)))</f>
        <v>0</v>
      </c>
      <c r="CX77" s="354" t="n">
        <f aca="true">IF(OR($D77&lt;&gt;"Serviço",AND(AUTOEVENTO="Manual",$M77=$A$15),$M77&gt;(ROW(PLE.lastrow)-ROW(PLE.firstrow))),0,
           IF(OFFSET(PLE!$G$15,$M77-$A$15,CX$13)="",10^12,OFFSET(PLE!$G$15,$M77-$A$15,CX$13)))</f>
        <v>0</v>
      </c>
      <c r="CY77" s="354" t="n">
        <f aca="true">IF(OR($D77&lt;&gt;"Serviço",AND(AUTOEVENTO="Manual",$M77=$A$15),$M77&gt;(ROW(PLE.lastrow)-ROW(PLE.firstrow))),0,
           IF(OFFSET(PLE!$G$15,$M77-$A$15,CY$13)="",10^12,OFFSET(PLE!$G$15,$M77-$A$15,CY$13)))</f>
        <v>0</v>
      </c>
      <c r="CZ77" s="354" t="n">
        <f aca="true">IF(OR($D77&lt;&gt;"Serviço",AND(AUTOEVENTO="Manual",$M77=$A$15),$M77&gt;(ROW(PLE.lastrow)-ROW(PLE.firstrow))),0,
           IF(OFFSET(PLE!$G$15,$M77-$A$15,CZ$13)="",10^12,OFFSET(PLE!$G$15,$M77-$A$15,CZ$13)))</f>
        <v>0</v>
      </c>
      <c r="DA77" s="354" t="n">
        <f aca="true">IF(OR($D77&lt;&gt;"Serviço",AND(AUTOEVENTO="Manual",$M77=$A$15),$M77&gt;(ROW(PLE.lastrow)-ROW(PLE.firstrow))),0,
           IF(OFFSET(PLE!$G$15,$M77-$A$15,DA$13)="",10^12,OFFSET(PLE!$G$15,$M77-$A$15,DA$13)))</f>
        <v>0</v>
      </c>
      <c r="DB77" s="354" t="n">
        <f aca="true">IF(OR($D77&lt;&gt;"Serviço",AND(AUTOEVENTO="Manual",$M77=$A$15),$M77&gt;(ROW(PLE.lastrow)-ROW(PLE.firstrow))),0,
           IF(OFFSET(PLE!$G$15,$M77-$A$15,DB$13)="",10^12,OFFSET(PLE!$G$15,$M77-$A$15,DB$13)))</f>
        <v>0</v>
      </c>
      <c r="DC77" s="354" t="n">
        <f aca="true">IF(OR($D77&lt;&gt;"Serviço",AND(AUTOEVENTO="Manual",$M77=$A$15),$M77&gt;(ROW(PLE.lastrow)-ROW(PLE.firstrow))),0,
           IF(OFFSET(PLE!$G$15,$M77-$A$15,DC$13)="",10^12,OFFSET(PLE!$G$15,$M77-$A$15,DC$13)))</f>
        <v>0</v>
      </c>
      <c r="DD77" s="354" t="n">
        <f aca="true">IF(OR($D77&lt;&gt;"Serviço",AND(AUTOEVENTO="Manual",$M77=$A$15),$M77&gt;(ROW(PLE.lastrow)-ROW(PLE.firstrow))),0,
           IF(OFFSET(PLE!$G$15,$M77-$A$15,DD$13)="",10^12,OFFSET(PLE!$G$15,$M77-$A$15,DD$13)))</f>
        <v>0</v>
      </c>
      <c r="DE77" s="354" t="n">
        <f aca="true">IF(OR($D77&lt;&gt;"Serviço",AND(AUTOEVENTO="Manual",$M77=$A$15),$M77&gt;(ROW(PLE.lastrow)-ROW(PLE.firstrow))),0,
           IF(OFFSET(PLE!$G$15,$M77-$A$15,DE$13)="",10^12,OFFSET(PLE!$G$15,$M77-$A$15,DE$13)))</f>
        <v>0</v>
      </c>
      <c r="DF77" s="354" t="n">
        <f aca="true">IF(OR($D77&lt;&gt;"Serviço",AND(AUTOEVENTO="Manual",$M77=$A$15),$M77&gt;(ROW(PLE.lastrow)-ROW(PLE.firstrow))),0,
           IF(OFFSET(PLE!$G$15,$M77-$A$15,DF$13)="",10^12,OFFSET(PLE!$G$15,$M77-$A$15,DF$13)))</f>
        <v>0</v>
      </c>
      <c r="DG77" s="354" t="n">
        <f aca="true">IF(OR($D77&lt;&gt;"Serviço",AND(AUTOEVENTO="Manual",$M77=$A$15),$M77&gt;(ROW(PLE.lastrow)-ROW(PLE.firstrow))),0,
           IF(OFFSET(PLE!$G$15,$M77-$A$15,DG$13)="",10^12,OFFSET(PLE!$G$15,$M77-$A$15,DG$13)))</f>
        <v>0</v>
      </c>
      <c r="DH77" s="354" t="n">
        <f aca="true">IF(OR($D77&lt;&gt;"Serviço",AND(AUTOEVENTO="Manual",$M77=$A$15),$M77&gt;(ROW(PLE.lastrow)-ROW(PLE.firstrow))),0,
           IF(OFFSET(PLE!$G$15,$M77-$A$15,DH$13)="",10^12,OFFSET(PLE!$G$15,$M77-$A$15,DH$13)))</f>
        <v>0</v>
      </c>
      <c r="DI77" s="354" t="n">
        <f aca="true">IF(OR($D77&lt;&gt;"Serviço",AND(AUTOEVENTO="Manual",$M77=$A$15),$M77&gt;(ROW(PLE.lastrow)-ROW(PLE.firstrow))),0,
           IF(OFFSET(PLE!$G$15,$M77-$A$15,DI$13)="",10^12,OFFSET(PLE!$G$15,$M77-$A$15,DI$13)))</f>
        <v>0</v>
      </c>
      <c r="DJ77" s="354" t="n">
        <f aca="true">IF(OR($D77&lt;&gt;"Serviço",AND(AUTOEVENTO="Manual",$M77=$A$15),$M77&gt;(ROW(PLE.lastrow)-ROW(PLE.firstrow))),0,
           IF(OFFSET(PLE!$G$15,$M77-$A$15,DJ$13)="",10^12,OFFSET(PLE!$G$15,$M77-$A$15,DJ$13)))</f>
        <v>0</v>
      </c>
      <c r="DK77" s="354" t="n">
        <f aca="true">IF(OR($D77&lt;&gt;"Serviço",AND(AUTOEVENTO="Manual",$M77=$A$15),$M77&gt;(ROW(PLE.lastrow)-ROW(PLE.firstrow))),0,
           IF(OFFSET(PLE!$G$15,$M77-$A$15,DK$13)="",10^12,OFFSET(PLE!$G$15,$M77-$A$15,DK$13)))</f>
        <v>0</v>
      </c>
      <c r="DL77" s="354" t="n">
        <f aca="true">IF(OR($D77&lt;&gt;"Serviço",AND(AUTOEVENTO="Manual",$M77=$A$15),$M77&gt;(ROW(PLE.lastrow)-ROW(PLE.firstrow))),0,
           IF(OFFSET(PLE!$G$15,$M77-$A$15,DL$13)="",10^12,OFFSET(PLE!$G$15,$M77-$A$15,DL$13)))</f>
        <v>0</v>
      </c>
      <c r="DM77" s="354" t="n">
        <f aca="true">IF(OR($D77&lt;&gt;"Serviço",AND(AUTOEVENTO="Manual",$M77=$A$15),$M77&gt;(ROW(PLE.lastrow)-ROW(PLE.firstrow))),0,
           IF(OFFSET(PLE!$G$15,$M77-$A$15,DM$13)="",10^12,OFFSET(PLE!$G$15,$M77-$A$15,DM$13)))</f>
        <v>0</v>
      </c>
      <c r="DN77" s="354" t="n">
        <f aca="true">IF(OR($D77&lt;&gt;"Serviço",AND(AUTOEVENTO="Manual",$M77=$A$15),$M77&gt;(ROW(PLE.lastrow)-ROW(PLE.firstrow))),0,
           IF(OFFSET(PLE!$G$15,$M77-$A$15,DN$13)="",10^12,OFFSET(PLE!$G$15,$M77-$A$15,DN$13)))</f>
        <v>0</v>
      </c>
      <c r="DO77" s="354" t="n">
        <f aca="true">IF(OR($D77&lt;&gt;"Serviço",AND(AUTOEVENTO="Manual",$M77=$A$15),$M77&gt;(ROW(PLE.lastrow)-ROW(PLE.firstrow))),0,
           IF(OFFSET(PLE!$G$15,$M77-$A$15,DO$13)="",10^12,OFFSET(PLE!$G$15,$M77-$A$15,DO$13)))</f>
        <v>0</v>
      </c>
      <c r="DP77" s="354" t="n">
        <f aca="true">IF(OR($D77&lt;&gt;"Serviço",AND(AUTOEVENTO="Manual",$M77=$A$15),$M77&gt;(ROW(PLE.lastrow)-ROW(PLE.firstrow))),0,
           IF(OFFSET(PLE!$G$15,$M77-$A$15,DP$13)="",10^12,OFFSET(PLE!$G$15,$M77-$A$15,DP$13)))</f>
        <v>0</v>
      </c>
      <c r="DQ77" s="354" t="n">
        <f aca="true">IF(OR($D77&lt;&gt;"Serviço",AND(AUTOEVENTO="Manual",$M77=$A$15),$M77&gt;(ROW(PLE.lastrow)-ROW(PLE.firstrow))),0,
           IF(OFFSET(PLE!$G$15,$M77-$A$15,DQ$13)="",10^12,OFFSET(PLE!$G$15,$M77-$A$15,DQ$13)))</f>
        <v>0</v>
      </c>
      <c r="DR77" s="354" t="n">
        <f aca="true">IF(OR($D77&lt;&gt;"Serviço",AND(AUTOEVENTO="Manual",$M77=$A$15),$M77&gt;(ROW(PLE.lastrow)-ROW(PLE.firstrow))),0,
           IF(OFFSET(PLE!$G$15,$M77-$A$15,DR$13)="",10^12,OFFSET(PLE!$G$15,$M77-$A$15,DR$13)))</f>
        <v>0</v>
      </c>
      <c r="DS77" s="354" t="n">
        <f aca="true">IF(OR($D77&lt;&gt;"Serviço",AND(AUTOEVENTO="Manual",$M77=$A$15),$M77&gt;(ROW(PLE.lastrow)-ROW(PLE.firstrow))),0,
           IF(OFFSET(PLE!$G$15,$M77-$A$15,DS$13)="",10^12,OFFSET(PLE!$G$15,$M77-$A$15,DS$13)))</f>
        <v>0</v>
      </c>
    </row>
    <row r="78" customFormat="false" ht="68.65" hidden="false" customHeight="false" outlineLevel="0" collapsed="false">
      <c r="A78" s="50" t="str">
        <f aca="true">IFERROR(IF(AUTOEVENTO="Manual",IF(K78&lt;&gt;"",MIN(VALUE(LEFT(K78,FIND(".",K78)-1)),COUNTA(EVENTOS.Lista)),0),IF(OR($B78&gt;AUTOEVENTO,$B78="S",$B78=0),SUBSTITUTE(OFFSET($A78,-1,0),IF($D78="Serviço",".",""),""),ROW(A78)-ROW($A$15)&amp;".")),0)</f>
        <v>62</v>
      </c>
      <c r="B78" s="50" t="str">
        <f aca="true">OFFSET(ORÇAMENTO!C$15,ROW(B78)-ROW(B$15),0)</f>
        <v>S</v>
      </c>
      <c r="C78" s="50" t="str">
        <f aca="true">OFFSET(ORÇAMENTO!L$15,ROW(C78)-ROW(C$15),0)</f>
        <v>F</v>
      </c>
      <c r="D78" s="201" t="str">
        <f aca="true">OFFSET(ORÇAMENTO!N$15,ROW(D78)-ROW(D$15),0)</f>
        <v>Serviço</v>
      </c>
      <c r="E78" s="202" t="str">
        <f aca="true">OFFSET(ORÇAMENTO!O$15,ROW(E78)-ROW(E$15),0)</f>
        <v>1.18.1.</v>
      </c>
      <c r="F78" s="341" t="str">
        <f aca="true">OFFSET(ORÇAMENTO!R$15,ROW(F78)-ROW(F$15),0)</f>
        <v>APLICAÇÃO MANUAL DE GESSO DESEMPENADO (SEM TALISCAS) EM PAREDES, ESPESSURA DE 0,5CM. AF_03/2023</v>
      </c>
      <c r="G78" s="342" t="str">
        <f aca="true">IF($D78&lt;&gt;"Serviço","",OFFSET(ORÇAMENTO!S$15,ROW(G78)-ROW(G$15),0))</f>
        <v>M2</v>
      </c>
      <c r="H78" s="207" t="n">
        <f aca="true">IF($D78&lt;&gt;"Serviço",0,IF(ACOMPANHAMENTO="BM",ROUND(OFFSET(ORÇAMENTO!AJ$15,ROW(H78)-ROW(H$15),0),15-13*ORÇAMENTO!$AF$7),SUMPRODUCT(($Q$1:$AQ$1=1)*ROUND($Q78:$AQ78,15-13*ORÇAMENTO!$AF$7))))</f>
        <v>2413.75</v>
      </c>
      <c r="I78" s="343" t="s">
        <v>953</v>
      </c>
      <c r="J78" s="344" t="e">
        <f aca="false">IF(OR(B78&lt;&gt;"S",CÁLCULO.FrentesPreenchidas=0),"",IF(AND(ACOMPANHAMENTO="PLE",AUTOEVENTO="Manual",OR(H78&gt;0,ORÇAMENTO!AC78="QUANT."),OR(K78="",M78=0,N78="")),"►",IF(AND(ACOMPANHAMENTO="PLE",ORÇAMENTO!AC78="QUANT."),"►►",IF(AND(COUNTIF($P$11:$AQ$11,"▼")=0,H78&gt;0,I78=""),"◄",""))))</f>
        <v>#NAME?</v>
      </c>
      <c r="K78" s="345"/>
      <c r="L78" s="346" t="s">
        <v>876</v>
      </c>
      <c r="M78" s="347" t="n">
        <f aca="true">IF($D78&lt;&gt;"Serviço","",
          IF(AUTOEVENTO="manual",$A78,
                IF(ISERROR(MATCH($A78,$A$15:OFFSET($A78,-1,0),0)),MAX($M$15:OFFSET(M78,-1,0))+1,
                      INDEX($M$15:OFFSET(M78,-1,0),MATCH($A78,$A$15:OFFSET($A78,-1,0),0)))))</f>
        <v>12</v>
      </c>
      <c r="N78" s="348" t="str">
        <f aca="true">IF($D78&lt;&gt;"Serviço","",
         IF(AUTOEVENTO="Manual",
                IF($A78=0,"&lt;-- defina o número do agrupador",
                       OFFSET(EVENTOS!$D$15,$A78-$A$15,0)),
                OFFSET($F$15,$A78,0)))</f>
        <v>REVESTIMENTOS INTERNOS</v>
      </c>
      <c r="O78" s="349"/>
      <c r="Q78" s="349" t="n">
        <v>96.55</v>
      </c>
      <c r="R78" s="350" t="n">
        <f aca="false">Q78</f>
        <v>96.55</v>
      </c>
      <c r="S78" s="350" t="n">
        <f aca="false">R78</f>
        <v>96.55</v>
      </c>
      <c r="T78" s="350" t="n">
        <f aca="false">S78</f>
        <v>96.55</v>
      </c>
      <c r="U78" s="350" t="n">
        <f aca="false">T78</f>
        <v>96.55</v>
      </c>
      <c r="V78" s="350" t="n">
        <f aca="false">U78</f>
        <v>96.55</v>
      </c>
      <c r="W78" s="350" t="n">
        <f aca="false">V78</f>
        <v>96.55</v>
      </c>
      <c r="X78" s="350" t="n">
        <f aca="false">W78</f>
        <v>96.55</v>
      </c>
      <c r="Y78" s="350" t="n">
        <f aca="false">X78</f>
        <v>96.55</v>
      </c>
      <c r="Z78" s="351" t="n">
        <f aca="false">Y78</f>
        <v>96.55</v>
      </c>
      <c r="AA78" s="350" t="n">
        <f aca="false">Z78</f>
        <v>96.55</v>
      </c>
      <c r="AB78" s="350" t="n">
        <f aca="false">AA78</f>
        <v>96.55</v>
      </c>
      <c r="AC78" s="350" t="n">
        <f aca="false">AB78</f>
        <v>96.55</v>
      </c>
      <c r="AD78" s="350" t="n">
        <f aca="false">AC78</f>
        <v>96.55</v>
      </c>
      <c r="AE78" s="350" t="n">
        <f aca="false">AD78</f>
        <v>96.55</v>
      </c>
      <c r="AF78" s="350" t="n">
        <f aca="false">AE78</f>
        <v>96.55</v>
      </c>
      <c r="AG78" s="350" t="n">
        <f aca="false">AF78</f>
        <v>96.55</v>
      </c>
      <c r="AH78" s="351" t="n">
        <f aca="false">AG78</f>
        <v>96.55</v>
      </c>
      <c r="AI78" s="350" t="n">
        <f aca="false">AH78</f>
        <v>96.55</v>
      </c>
      <c r="AJ78" s="350" t="n">
        <f aca="false">AI78</f>
        <v>96.55</v>
      </c>
      <c r="AK78" s="350" t="n">
        <f aca="false">AJ78</f>
        <v>96.55</v>
      </c>
      <c r="AL78" s="350" t="n">
        <f aca="false">AK78</f>
        <v>96.55</v>
      </c>
      <c r="AM78" s="350" t="n">
        <f aca="false">AL78</f>
        <v>96.55</v>
      </c>
      <c r="AN78" s="350" t="n">
        <f aca="false">AM78</f>
        <v>96.55</v>
      </c>
      <c r="AO78" s="350" t="n">
        <f aca="false">AN78</f>
        <v>96.55</v>
      </c>
      <c r="AP78" s="351"/>
      <c r="AR78" s="352" t="n">
        <f aca="true">IF(AND($D78="Serviço",AR$12&lt;&gt;0,$H78&gt;0,OR(AUTOEVENTO&lt;&gt;"manual",$M78&lt;&gt;$A$15)),
        IF(Import.TipoArredondamento&lt;&gt;"TransfereGOV",
              ROUND(OFFSET($P78,0,AR$13),15-13*ORÇAMENTO!$AF$7)/$H78*OFFSET(ORÇAMENTO!$X$15,ROW(AR78)-ROW(AR$15),0),
              ROUND(ROUND(OFFSET($P78,0,AR$13),15-13*ORÇAMENTO!$AF$7)*OFFSET(ORÇAMENTO!$W$15,ROW(AR78)-ROW(AR$15),0),15-13*ORÇAMENTO!$AF$11)),
         0)</f>
        <v>2462.99</v>
      </c>
      <c r="AS78" s="352" t="n">
        <f aca="true">IF(AND($D78="Serviço",AS$12&lt;&gt;0,$H78&gt;0,OR(AUTOEVENTO&lt;&gt;"manual",$M78&lt;&gt;$A$15)),
        IF(Import.TipoArredondamento&lt;&gt;"TransfereGOV",
              ROUND(OFFSET($P78,0,AS$13),15-13*ORÇAMENTO!$AF$7)/$H78*OFFSET(ORÇAMENTO!$X$15,ROW(AS78)-ROW(AS$15),0),
              ROUND(ROUND(OFFSET($P78,0,AS$13),15-13*ORÇAMENTO!$AF$7)*OFFSET(ORÇAMENTO!$W$15,ROW(AS78)-ROW(AS$15),0),15-13*ORÇAMENTO!$AF$11)),
         0)</f>
        <v>2462.99</v>
      </c>
      <c r="AT78" s="352" t="n">
        <f aca="true">IF(AND($D78="Serviço",AT$12&lt;&gt;0,$H78&gt;0,OR(AUTOEVENTO&lt;&gt;"manual",$M78&lt;&gt;$A$15)),
        IF(Import.TipoArredondamento&lt;&gt;"TransfereGOV",
              ROUND(OFFSET($P78,0,AT$13),15-13*ORÇAMENTO!$AF$7)/$H78*OFFSET(ORÇAMENTO!$X$15,ROW(AT78)-ROW(AT$15),0),
              ROUND(ROUND(OFFSET($P78,0,AT$13),15-13*ORÇAMENTO!$AF$7)*OFFSET(ORÇAMENTO!$W$15,ROW(AT78)-ROW(AT$15),0),15-13*ORÇAMENTO!$AF$11)),
         0)</f>
        <v>2462.99</v>
      </c>
      <c r="AU78" s="352" t="n">
        <f aca="true">IF(AND($D78="Serviço",AU$12&lt;&gt;0,$H78&gt;0,OR(AUTOEVENTO&lt;&gt;"manual",$M78&lt;&gt;$A$15)),
        IF(Import.TipoArredondamento&lt;&gt;"TransfereGOV",
              ROUND(OFFSET($P78,0,AU$13),15-13*ORÇAMENTO!$AF$7)/$H78*OFFSET(ORÇAMENTO!$X$15,ROW(AU78)-ROW(AU$15),0),
              ROUND(ROUND(OFFSET($P78,0,AU$13),15-13*ORÇAMENTO!$AF$7)*OFFSET(ORÇAMENTO!$W$15,ROW(AU78)-ROW(AU$15),0),15-13*ORÇAMENTO!$AF$11)),
         0)</f>
        <v>2462.99</v>
      </c>
      <c r="AV78" s="352" t="n">
        <f aca="true">IF(AND($D78="Serviço",AV$12&lt;&gt;0,$H78&gt;0,OR(AUTOEVENTO&lt;&gt;"manual",$M78&lt;&gt;$A$15)),
        IF(Import.TipoArredondamento&lt;&gt;"TransfereGOV",
              ROUND(OFFSET($P78,0,AV$13),15-13*ORÇAMENTO!$AF$7)/$H78*OFFSET(ORÇAMENTO!$X$15,ROW(AV78)-ROW(AV$15),0),
              ROUND(ROUND(OFFSET($P78,0,AV$13),15-13*ORÇAMENTO!$AF$7)*OFFSET(ORÇAMENTO!$W$15,ROW(AV78)-ROW(AV$15),0),15-13*ORÇAMENTO!$AF$11)),
         0)</f>
        <v>2462.99</v>
      </c>
      <c r="AW78" s="352" t="n">
        <f aca="true">IF(AND($D78="Serviço",AW$12&lt;&gt;0,$H78&gt;0,OR(AUTOEVENTO&lt;&gt;"manual",$M78&lt;&gt;$A$15)),
        IF(Import.TipoArredondamento&lt;&gt;"TransfereGOV",
              ROUND(OFFSET($P78,0,AW$13),15-13*ORÇAMENTO!$AF$7)/$H78*OFFSET(ORÇAMENTO!$X$15,ROW(AW78)-ROW(AW$15),0),
              ROUND(ROUND(OFFSET($P78,0,AW$13),15-13*ORÇAMENTO!$AF$7)*OFFSET(ORÇAMENTO!$W$15,ROW(AW78)-ROW(AW$15),0),15-13*ORÇAMENTO!$AF$11)),
         0)</f>
        <v>2462.99</v>
      </c>
      <c r="AX78" s="352" t="n">
        <f aca="true">IF(AND($D78="Serviço",AX$12&lt;&gt;0,$H78&gt;0,OR(AUTOEVENTO&lt;&gt;"manual",$M78&lt;&gt;$A$15)),
        IF(Import.TipoArredondamento&lt;&gt;"TransfereGOV",
              ROUND(OFFSET($P78,0,AX$13),15-13*ORÇAMENTO!$AF$7)/$H78*OFFSET(ORÇAMENTO!$X$15,ROW(AX78)-ROW(AX$15),0),
              ROUND(ROUND(OFFSET($P78,0,AX$13),15-13*ORÇAMENTO!$AF$7)*OFFSET(ORÇAMENTO!$W$15,ROW(AX78)-ROW(AX$15),0),15-13*ORÇAMENTO!$AF$11)),
         0)</f>
        <v>2462.99</v>
      </c>
      <c r="AY78" s="352" t="n">
        <f aca="true">IF(AND($D78="Serviço",AY$12&lt;&gt;0,$H78&gt;0,OR(AUTOEVENTO&lt;&gt;"manual",$M78&lt;&gt;$A$15)),
        IF(Import.TipoArredondamento&lt;&gt;"TransfereGOV",
              ROUND(OFFSET($P78,0,AY$13),15-13*ORÇAMENTO!$AF$7)/$H78*OFFSET(ORÇAMENTO!$X$15,ROW(AY78)-ROW(AY$15),0),
              ROUND(ROUND(OFFSET($P78,0,AY$13),15-13*ORÇAMENTO!$AF$7)*OFFSET(ORÇAMENTO!$W$15,ROW(AY78)-ROW(AY$15),0),15-13*ORÇAMENTO!$AF$11)),
         0)</f>
        <v>2462.99</v>
      </c>
      <c r="AZ78" s="352" t="n">
        <f aca="true">IF(AND($D78="Serviço",AZ$12&lt;&gt;0,$H78&gt;0,OR(AUTOEVENTO&lt;&gt;"manual",$M78&lt;&gt;$A$15)),
        IF(Import.TipoArredondamento&lt;&gt;"TransfereGOV",
              ROUND(OFFSET($P78,0,AZ$13),15-13*ORÇAMENTO!$AF$7)/$H78*OFFSET(ORÇAMENTO!$X$15,ROW(AZ78)-ROW(AZ$15),0),
              ROUND(ROUND(OFFSET($P78,0,AZ$13),15-13*ORÇAMENTO!$AF$7)*OFFSET(ORÇAMENTO!$W$15,ROW(AZ78)-ROW(AZ$15),0),15-13*ORÇAMENTO!$AF$11)),
         0)</f>
        <v>2462.99</v>
      </c>
      <c r="BA78" s="352" t="n">
        <f aca="true">IF(AND($D78="Serviço",BA$12&lt;&gt;0,$H78&gt;0,OR(AUTOEVENTO&lt;&gt;"manual",$M78&lt;&gt;$A$15)),
        IF(Import.TipoArredondamento&lt;&gt;"TransfereGOV",
              ROUND(OFFSET($P78,0,BA$13),15-13*ORÇAMENTO!$AF$7)/$H78*OFFSET(ORÇAMENTO!$X$15,ROW(BA78)-ROW(BA$15),0),
              ROUND(ROUND(OFFSET($P78,0,BA$13),15-13*ORÇAMENTO!$AF$7)*OFFSET(ORÇAMENTO!$W$15,ROW(BA78)-ROW(BA$15),0),15-13*ORÇAMENTO!$AF$11)),
         0)</f>
        <v>2462.99</v>
      </c>
      <c r="BB78" s="352" t="n">
        <f aca="true">IF(AND($D78="Serviço",BB$12&lt;&gt;0,$H78&gt;0,OR(AUTOEVENTO&lt;&gt;"manual",$M78&lt;&gt;$A$15)),
        IF(Import.TipoArredondamento&lt;&gt;"TransfereGOV",
              ROUND(OFFSET($P78,0,BB$13),15-13*ORÇAMENTO!$AF$7)/$H78*OFFSET(ORÇAMENTO!$X$15,ROW(BB78)-ROW(BB$15),0),
              ROUND(ROUND(OFFSET($P78,0,BB$13),15-13*ORÇAMENTO!$AF$7)*OFFSET(ORÇAMENTO!$W$15,ROW(BB78)-ROW(BB$15),0),15-13*ORÇAMENTO!$AF$11)),
         0)</f>
        <v>2462.99</v>
      </c>
      <c r="BC78" s="352" t="n">
        <f aca="true">IF(AND($D78="Serviço",BC$12&lt;&gt;0,$H78&gt;0,OR(AUTOEVENTO&lt;&gt;"manual",$M78&lt;&gt;$A$15)),
        IF(Import.TipoArredondamento&lt;&gt;"TransfereGOV",
              ROUND(OFFSET($P78,0,BC$13),15-13*ORÇAMENTO!$AF$7)/$H78*OFFSET(ORÇAMENTO!$X$15,ROW(BC78)-ROW(BC$15),0),
              ROUND(ROUND(OFFSET($P78,0,BC$13),15-13*ORÇAMENTO!$AF$7)*OFFSET(ORÇAMENTO!$W$15,ROW(BC78)-ROW(BC$15),0),15-13*ORÇAMENTO!$AF$11)),
         0)</f>
        <v>2462.99</v>
      </c>
      <c r="BD78" s="352" t="n">
        <f aca="true">IF(AND($D78="Serviço",BD$12&lt;&gt;0,$H78&gt;0,OR(AUTOEVENTO&lt;&gt;"manual",$M78&lt;&gt;$A$15)),
        IF(Import.TipoArredondamento&lt;&gt;"TransfereGOV",
              ROUND(OFFSET($P78,0,BD$13),15-13*ORÇAMENTO!$AF$7)/$H78*OFFSET(ORÇAMENTO!$X$15,ROW(BD78)-ROW(BD$15),0),
              ROUND(ROUND(OFFSET($P78,0,BD$13),15-13*ORÇAMENTO!$AF$7)*OFFSET(ORÇAMENTO!$W$15,ROW(BD78)-ROW(BD$15),0),15-13*ORÇAMENTO!$AF$11)),
         0)</f>
        <v>2462.99</v>
      </c>
      <c r="BE78" s="352" t="n">
        <f aca="true">IF(AND($D78="Serviço",BE$12&lt;&gt;0,$H78&gt;0,OR(AUTOEVENTO&lt;&gt;"manual",$M78&lt;&gt;$A$15)),
        IF(Import.TipoArredondamento&lt;&gt;"TransfereGOV",
              ROUND(OFFSET($P78,0,BE$13),15-13*ORÇAMENTO!$AF$7)/$H78*OFFSET(ORÇAMENTO!$X$15,ROW(BE78)-ROW(BE$15),0),
              ROUND(ROUND(OFFSET($P78,0,BE$13),15-13*ORÇAMENTO!$AF$7)*OFFSET(ORÇAMENTO!$W$15,ROW(BE78)-ROW(BE$15),0),15-13*ORÇAMENTO!$AF$11)),
         0)</f>
        <v>2462.99</v>
      </c>
      <c r="BF78" s="352" t="n">
        <f aca="true">IF(AND($D78="Serviço",BF$12&lt;&gt;0,$H78&gt;0,OR(AUTOEVENTO&lt;&gt;"manual",$M78&lt;&gt;$A$15)),
        IF(Import.TipoArredondamento&lt;&gt;"TransfereGOV",
              ROUND(OFFSET($P78,0,BF$13),15-13*ORÇAMENTO!$AF$7)/$H78*OFFSET(ORÇAMENTO!$X$15,ROW(BF78)-ROW(BF$15),0),
              ROUND(ROUND(OFFSET($P78,0,BF$13),15-13*ORÇAMENTO!$AF$7)*OFFSET(ORÇAMENTO!$W$15,ROW(BF78)-ROW(BF$15),0),15-13*ORÇAMENTO!$AF$11)),
         0)</f>
        <v>2462.99</v>
      </c>
      <c r="BG78" s="352" t="n">
        <f aca="true">IF(AND($D78="Serviço",BG$12&lt;&gt;0,$H78&gt;0,OR(AUTOEVENTO&lt;&gt;"manual",$M78&lt;&gt;$A$15)),
        IF(Import.TipoArredondamento&lt;&gt;"TransfereGOV",
              ROUND(OFFSET($P78,0,BG$13),15-13*ORÇAMENTO!$AF$7)/$H78*OFFSET(ORÇAMENTO!$X$15,ROW(BG78)-ROW(BG$15),0),
              ROUND(ROUND(OFFSET($P78,0,BG$13),15-13*ORÇAMENTO!$AF$7)*OFFSET(ORÇAMENTO!$W$15,ROW(BG78)-ROW(BG$15),0),15-13*ORÇAMENTO!$AF$11)),
         0)</f>
        <v>2462.99</v>
      </c>
      <c r="BH78" s="352" t="n">
        <f aca="true">IF(AND($D78="Serviço",BH$12&lt;&gt;0,$H78&gt;0,OR(AUTOEVENTO&lt;&gt;"manual",$M78&lt;&gt;$A$15)),
        IF(Import.TipoArredondamento&lt;&gt;"TransfereGOV",
              ROUND(OFFSET($P78,0,BH$13),15-13*ORÇAMENTO!$AF$7)/$H78*OFFSET(ORÇAMENTO!$X$15,ROW(BH78)-ROW(BH$15),0),
              ROUND(ROUND(OFFSET($P78,0,BH$13),15-13*ORÇAMENTO!$AF$7)*OFFSET(ORÇAMENTO!$W$15,ROW(BH78)-ROW(BH$15),0),15-13*ORÇAMENTO!$AF$11)),
         0)</f>
        <v>2462.99</v>
      </c>
      <c r="BI78" s="352" t="n">
        <f aca="true">IF(AND($D78="Serviço",BI$12&lt;&gt;0,$H78&gt;0,OR(AUTOEVENTO&lt;&gt;"manual",$M78&lt;&gt;$A$15)),
        IF(Import.TipoArredondamento&lt;&gt;"TransfereGOV",
              ROUND(OFFSET($P78,0,BI$13),15-13*ORÇAMENTO!$AF$7)/$H78*OFFSET(ORÇAMENTO!$X$15,ROW(BI78)-ROW(BI$15),0),
              ROUND(ROUND(OFFSET($P78,0,BI$13),15-13*ORÇAMENTO!$AF$7)*OFFSET(ORÇAMENTO!$W$15,ROW(BI78)-ROW(BI$15),0),15-13*ORÇAMENTO!$AF$11)),
         0)</f>
        <v>2462.99</v>
      </c>
      <c r="BJ78" s="352" t="n">
        <f aca="true">IF(AND($D78="Serviço",BJ$12&lt;&gt;0,$H78&gt;0,OR(AUTOEVENTO&lt;&gt;"manual",$M78&lt;&gt;$A$15)),
        IF(Import.TipoArredondamento&lt;&gt;"TransfereGOV",
              ROUND(OFFSET($P78,0,BJ$13),15-13*ORÇAMENTO!$AF$7)/$H78*OFFSET(ORÇAMENTO!$X$15,ROW(BJ78)-ROW(BJ$15),0),
              ROUND(ROUND(OFFSET($P78,0,BJ$13),15-13*ORÇAMENTO!$AF$7)*OFFSET(ORÇAMENTO!$W$15,ROW(BJ78)-ROW(BJ$15),0),15-13*ORÇAMENTO!$AF$11)),
         0)</f>
        <v>2462.99</v>
      </c>
      <c r="BK78" s="352" t="n">
        <f aca="true">IF(AND($D78="Serviço",BK$12&lt;&gt;0,$H78&gt;0,OR(AUTOEVENTO&lt;&gt;"manual",$M78&lt;&gt;$A$15)),
        IF(Import.TipoArredondamento&lt;&gt;"TransfereGOV",
              ROUND(OFFSET($P78,0,BK$13),15-13*ORÇAMENTO!$AF$7)/$H78*OFFSET(ORÇAMENTO!$X$15,ROW(BK78)-ROW(BK$15),0),
              ROUND(ROUND(OFFSET($P78,0,BK$13),15-13*ORÇAMENTO!$AF$7)*OFFSET(ORÇAMENTO!$W$15,ROW(BK78)-ROW(BK$15),0),15-13*ORÇAMENTO!$AF$11)),
         0)</f>
        <v>2462.99</v>
      </c>
      <c r="BL78" s="352" t="n">
        <f aca="true">IF(AND($D78="Serviço",BL$12&lt;&gt;0,$H78&gt;0,OR(AUTOEVENTO&lt;&gt;"manual",$M78&lt;&gt;$A$15)),
        IF(Import.TipoArredondamento&lt;&gt;"TransfereGOV",
              ROUND(OFFSET($P78,0,BL$13),15-13*ORÇAMENTO!$AF$7)/$H78*OFFSET(ORÇAMENTO!$X$15,ROW(BL78)-ROW(BL$15),0),
              ROUND(ROUND(OFFSET($P78,0,BL$13),15-13*ORÇAMENTO!$AF$7)*OFFSET(ORÇAMENTO!$W$15,ROW(BL78)-ROW(BL$15),0),15-13*ORÇAMENTO!$AF$11)),
         0)</f>
        <v>2462.99</v>
      </c>
      <c r="BM78" s="352" t="n">
        <f aca="true">IF(AND($D78="Serviço",BM$12&lt;&gt;0,$H78&gt;0,OR(AUTOEVENTO&lt;&gt;"manual",$M78&lt;&gt;$A$15)),
        IF(Import.TipoArredondamento&lt;&gt;"TransfereGOV",
              ROUND(OFFSET($P78,0,BM$13),15-13*ORÇAMENTO!$AF$7)/$H78*OFFSET(ORÇAMENTO!$X$15,ROW(BM78)-ROW(BM$15),0),
              ROUND(ROUND(OFFSET($P78,0,BM$13),15-13*ORÇAMENTO!$AF$7)*OFFSET(ORÇAMENTO!$W$15,ROW(BM78)-ROW(BM$15),0),15-13*ORÇAMENTO!$AF$11)),
         0)</f>
        <v>2462.99</v>
      </c>
      <c r="BN78" s="352" t="n">
        <f aca="true">IF(AND($D78="Serviço",BN$12&lt;&gt;0,$H78&gt;0,OR(AUTOEVENTO&lt;&gt;"manual",$M78&lt;&gt;$A$15)),
        IF(Import.TipoArredondamento&lt;&gt;"TransfereGOV",
              ROUND(OFFSET($P78,0,BN$13),15-13*ORÇAMENTO!$AF$7)/$H78*OFFSET(ORÇAMENTO!$X$15,ROW(BN78)-ROW(BN$15),0),
              ROUND(ROUND(OFFSET($P78,0,BN$13),15-13*ORÇAMENTO!$AF$7)*OFFSET(ORÇAMENTO!$W$15,ROW(BN78)-ROW(BN$15),0),15-13*ORÇAMENTO!$AF$11)),
         0)</f>
        <v>2462.99</v>
      </c>
      <c r="BO78" s="352" t="n">
        <f aca="true">IF(AND($D78="Serviço",BO$12&lt;&gt;0,$H78&gt;0,OR(AUTOEVENTO&lt;&gt;"manual",$M78&lt;&gt;$A$15)),
        IF(Import.TipoArredondamento&lt;&gt;"TransfereGOV",
              ROUND(OFFSET($P78,0,BO$13),15-13*ORÇAMENTO!$AF$7)/$H78*OFFSET(ORÇAMENTO!$X$15,ROW(BO78)-ROW(BO$15),0),
              ROUND(ROUND(OFFSET($P78,0,BO$13),15-13*ORÇAMENTO!$AF$7)*OFFSET(ORÇAMENTO!$W$15,ROW(BO78)-ROW(BO$15),0),15-13*ORÇAMENTO!$AF$11)),
         0)</f>
        <v>2462.99</v>
      </c>
      <c r="BP78" s="352" t="n">
        <f aca="true">IF(AND($D78="Serviço",BP$12&lt;&gt;0,$H78&gt;0,OR(AUTOEVENTO&lt;&gt;"manual",$M78&lt;&gt;$A$15)),
        IF(Import.TipoArredondamento&lt;&gt;"TransfereGOV",
              ROUND(OFFSET($P78,0,BP$13),15-13*ORÇAMENTO!$AF$7)/$H78*OFFSET(ORÇAMENTO!$X$15,ROW(BP78)-ROW(BP$15),0),
              ROUND(ROUND(OFFSET($P78,0,BP$13),15-13*ORÇAMENTO!$AF$7)*OFFSET(ORÇAMENTO!$W$15,ROW(BP78)-ROW(BP$15),0),15-13*ORÇAMENTO!$AF$11)),
         0)</f>
        <v>2462.99</v>
      </c>
      <c r="BQ78" s="352" t="n">
        <f aca="true">IF(AND($D78="Serviço",BQ$12&lt;&gt;0,$H78&gt;0,OR(AUTOEVENTO&lt;&gt;"manual",$M78&lt;&gt;$A$15)),
        IF(Import.TipoArredondamento&lt;&gt;"TransfereGOV",
              ROUND(OFFSET($P78,0,BQ$13),15-13*ORÇAMENTO!$AF$7)/$H78*OFFSET(ORÇAMENTO!$X$15,ROW(BQ78)-ROW(BQ$15),0),
              ROUND(ROUND(OFFSET($P78,0,BQ$13),15-13*ORÇAMENTO!$AF$7)*OFFSET(ORÇAMENTO!$W$15,ROW(BQ78)-ROW(BQ$15),0),15-13*ORÇAMENTO!$AF$11)),
         0)</f>
        <v>0</v>
      </c>
      <c r="BS78" s="353" t="n">
        <f aca="true">IF(OR($D78&lt;&gt;"Serviço",AND(AUTOEVENTO="Manual",$M78=$A$15)),0,
         IF(OFFSET(CRONOPLE!$F$15,$M78-$A$15,BS$13)=0,10^12,OFFSET(CRONOPLE!$F$15,$M78-$A$15,BS$13)))</f>
        <v>1</v>
      </c>
      <c r="BT78" s="353" t="n">
        <f aca="true">IF(OR($D78&lt;&gt;"Serviço",AND(AUTOEVENTO="Manual",$M78=$A$15)),0,
         IF(OFFSET(CRONOPLE!$F$15,$M78-$A$15,BT$13)=0,10^12,OFFSET(CRONOPLE!$F$15,$M78-$A$15,BT$13)))</f>
        <v>2</v>
      </c>
      <c r="BU78" s="353" t="n">
        <f aca="true">IF(OR($D78&lt;&gt;"Serviço",AND(AUTOEVENTO="Manual",$M78=$A$15)),0,
         IF(OFFSET(CRONOPLE!$F$15,$M78-$A$15,BU$13)=0,10^12,OFFSET(CRONOPLE!$F$15,$M78-$A$15,BU$13)))</f>
        <v>3</v>
      </c>
      <c r="BV78" s="353" t="n">
        <f aca="true">IF(OR($D78&lt;&gt;"Serviço",AND(AUTOEVENTO="Manual",$M78=$A$15)),0,
         IF(OFFSET(CRONOPLE!$F$15,$M78-$A$15,BV$13)=0,10^12,OFFSET(CRONOPLE!$F$15,$M78-$A$15,BV$13)))</f>
        <v>4</v>
      </c>
      <c r="BW78" s="353" t="n">
        <f aca="true">IF(OR($D78&lt;&gt;"Serviço",AND(AUTOEVENTO="Manual",$M78=$A$15)),0,
         IF(OFFSET(CRONOPLE!$F$15,$M78-$A$15,BW$13)=0,10^12,OFFSET(CRONOPLE!$F$15,$M78-$A$15,BW$13)))</f>
        <v>5</v>
      </c>
      <c r="BX78" s="353" t="n">
        <f aca="true">IF(OR($D78&lt;&gt;"Serviço",AND(AUTOEVENTO="Manual",$M78=$A$15)),0,
         IF(OFFSET(CRONOPLE!$F$15,$M78-$A$15,BX$13)=0,10^12,OFFSET(CRONOPLE!$F$15,$M78-$A$15,BX$13)))</f>
        <v>6</v>
      </c>
      <c r="BY78" s="353" t="n">
        <f aca="true">IF(OR($D78&lt;&gt;"Serviço",AND(AUTOEVENTO="Manual",$M78=$A$15)),0,
         IF(OFFSET(CRONOPLE!$F$15,$M78-$A$15,BY$13)=0,10^12,OFFSET(CRONOPLE!$F$15,$M78-$A$15,BY$13)))</f>
        <v>7</v>
      </c>
      <c r="BZ78" s="353" t="n">
        <f aca="true">IF(OR($D78&lt;&gt;"Serviço",AND(AUTOEVENTO="Manual",$M78=$A$15)),0,
         IF(OFFSET(CRONOPLE!$F$15,$M78-$A$15,BZ$13)=0,10^12,OFFSET(CRONOPLE!$F$15,$M78-$A$15,BZ$13)))</f>
        <v>8</v>
      </c>
      <c r="CA78" s="353" t="n">
        <f aca="true">IF(OR($D78&lt;&gt;"Serviço",AND(AUTOEVENTO="Manual",$M78=$A$15)),0,
         IF(OFFSET(CRONOPLE!$F$15,$M78-$A$15,CA$13)=0,10^12,OFFSET(CRONOPLE!$F$15,$M78-$A$15,CA$13)))</f>
        <v>9</v>
      </c>
      <c r="CB78" s="353" t="n">
        <f aca="true">IF(OR($D78&lt;&gt;"Serviço",AND(AUTOEVENTO="Manual",$M78=$A$15)),0,
         IF(OFFSET(CRONOPLE!$F$15,$M78-$A$15,CB$13)=0,10^12,OFFSET(CRONOPLE!$F$15,$M78-$A$15,CB$13)))</f>
        <v>10</v>
      </c>
      <c r="CC78" s="353" t="n">
        <f aca="true">IF(OR($D78&lt;&gt;"Serviço",AND(AUTOEVENTO="Manual",$M78=$A$15)),0,
         IF(OFFSET(CRONOPLE!$F$15,$M78-$A$15,CC$13)=0,10^12,OFFSET(CRONOPLE!$F$15,$M78-$A$15,CC$13)))</f>
        <v>11</v>
      </c>
      <c r="CD78" s="353" t="n">
        <f aca="true">IF(OR($D78&lt;&gt;"Serviço",AND(AUTOEVENTO="Manual",$M78=$A$15)),0,
         IF(OFFSET(CRONOPLE!$F$15,$M78-$A$15,CD$13)=0,10^12,OFFSET(CRONOPLE!$F$15,$M78-$A$15,CD$13)))</f>
        <v>12</v>
      </c>
      <c r="CE78" s="353" t="n">
        <f aca="true">IF(OR($D78&lt;&gt;"Serviço",AND(AUTOEVENTO="Manual",$M78=$A$15)),0,
         IF(OFFSET(CRONOPLE!$F$15,$M78-$A$15,CE$13)=0,10^12,OFFSET(CRONOPLE!$F$15,$M78-$A$15,CE$13)))</f>
        <v>13</v>
      </c>
      <c r="CF78" s="353" t="n">
        <f aca="true">IF(OR($D78&lt;&gt;"Serviço",AND(AUTOEVENTO="Manual",$M78=$A$15)),0,
         IF(OFFSET(CRONOPLE!$F$15,$M78-$A$15,CF$13)=0,10^12,OFFSET(CRONOPLE!$F$15,$M78-$A$15,CF$13)))</f>
        <v>14</v>
      </c>
      <c r="CG78" s="353" t="n">
        <f aca="true">IF(OR($D78&lt;&gt;"Serviço",AND(AUTOEVENTO="Manual",$M78=$A$15)),0,
         IF(OFFSET(CRONOPLE!$F$15,$M78-$A$15,CG$13)=0,10^12,OFFSET(CRONOPLE!$F$15,$M78-$A$15,CG$13)))</f>
        <v>15</v>
      </c>
      <c r="CH78" s="353" t="n">
        <f aca="true">IF(OR($D78&lt;&gt;"Serviço",AND(AUTOEVENTO="Manual",$M78=$A$15)),0,
         IF(OFFSET(CRONOPLE!$F$15,$M78-$A$15,CH$13)=0,10^12,OFFSET(CRONOPLE!$F$15,$M78-$A$15,CH$13)))</f>
        <v>16</v>
      </c>
      <c r="CI78" s="353" t="n">
        <f aca="true">IF(OR($D78&lt;&gt;"Serviço",AND(AUTOEVENTO="Manual",$M78=$A$15)),0,
         IF(OFFSET(CRONOPLE!$F$15,$M78-$A$15,CI$13)=0,10^12,OFFSET(CRONOPLE!$F$15,$M78-$A$15,CI$13)))</f>
        <v>17</v>
      </c>
      <c r="CJ78" s="353" t="n">
        <f aca="true">IF(OR($D78&lt;&gt;"Serviço",AND(AUTOEVENTO="Manual",$M78=$A$15)),0,
         IF(OFFSET(CRONOPLE!$F$15,$M78-$A$15,CJ$13)=0,10^12,OFFSET(CRONOPLE!$F$15,$M78-$A$15,CJ$13)))</f>
        <v>18</v>
      </c>
      <c r="CK78" s="353" t="n">
        <f aca="true">IF(OR($D78&lt;&gt;"Serviço",AND(AUTOEVENTO="Manual",$M78=$A$15)),0,
         IF(OFFSET(CRONOPLE!$F$15,$M78-$A$15,CK$13)=0,10^12,OFFSET(CRONOPLE!$F$15,$M78-$A$15,CK$13)))</f>
        <v>19</v>
      </c>
      <c r="CL78" s="353" t="n">
        <f aca="true">IF(OR($D78&lt;&gt;"Serviço",AND(AUTOEVENTO="Manual",$M78=$A$15)),0,
         IF(OFFSET(CRONOPLE!$F$15,$M78-$A$15,CL$13)=0,10^12,OFFSET(CRONOPLE!$F$15,$M78-$A$15,CL$13)))</f>
        <v>20</v>
      </c>
      <c r="CM78" s="353" t="n">
        <f aca="true">IF(OR($D78&lt;&gt;"Serviço",AND(AUTOEVENTO="Manual",$M78=$A$15)),0,
         IF(OFFSET(CRONOPLE!$F$15,$M78-$A$15,CM$13)=0,10^12,OFFSET(CRONOPLE!$F$15,$M78-$A$15,CM$13)))</f>
        <v>21</v>
      </c>
      <c r="CN78" s="353" t="n">
        <f aca="true">IF(OR($D78&lt;&gt;"Serviço",AND(AUTOEVENTO="Manual",$M78=$A$15)),0,
         IF(OFFSET(CRONOPLE!$F$15,$M78-$A$15,CN$13)=0,10^12,OFFSET(CRONOPLE!$F$15,$M78-$A$15,CN$13)))</f>
        <v>22</v>
      </c>
      <c r="CO78" s="353" t="n">
        <f aca="true">IF(OR($D78&lt;&gt;"Serviço",AND(AUTOEVENTO="Manual",$M78=$A$15)),0,
         IF(OFFSET(CRONOPLE!$F$15,$M78-$A$15,CO$13)=0,10^12,OFFSET(CRONOPLE!$F$15,$M78-$A$15,CO$13)))</f>
        <v>23</v>
      </c>
      <c r="CP78" s="353" t="n">
        <f aca="true">IF(OR($D78&lt;&gt;"Serviço",AND(AUTOEVENTO="Manual",$M78=$A$15)),0,
         IF(OFFSET(CRONOPLE!$F$15,$M78-$A$15,CP$13)=0,10^12,OFFSET(CRONOPLE!$F$15,$M78-$A$15,CP$13)))</f>
        <v>24</v>
      </c>
      <c r="CQ78" s="353" t="n">
        <f aca="true">IF(OR($D78&lt;&gt;"Serviço",AND(AUTOEVENTO="Manual",$M78=$A$15)),0,
         IF(OFFSET(CRONOPLE!$F$15,$M78-$A$15,CQ$13)=0,10^12,OFFSET(CRONOPLE!$F$15,$M78-$A$15,CQ$13)))</f>
        <v>25</v>
      </c>
      <c r="CR78" s="353" t="n">
        <f aca="true">IF(OR($D78&lt;&gt;"Serviço",AND(AUTOEVENTO="Manual",$M78=$A$15)),0,
         IF(OFFSET(CRONOPLE!$F$15,$M78-$A$15,CR$13)=0,10^12,OFFSET(CRONOPLE!$F$15,$M78-$A$15,CR$13)))</f>
        <v>1000000000000</v>
      </c>
      <c r="CT78" s="354" t="n">
        <f aca="true">IF(OR($D78&lt;&gt;"Serviço",AND(AUTOEVENTO="Manual",$M78=$A$15),$M78&gt;(ROW(PLE.lastrow)-ROW(PLE.firstrow))),0,
           IF(OFFSET(PLE!$G$15,$M78-$A$15,CT$13)="",10^12,OFFSET(PLE!$G$15,$M78-$A$15,CT$13)))</f>
        <v>1000000000000</v>
      </c>
      <c r="CU78" s="354" t="n">
        <f aca="true">IF(OR($D78&lt;&gt;"Serviço",AND(AUTOEVENTO="Manual",$M78=$A$15),$M78&gt;(ROW(PLE.lastrow)-ROW(PLE.firstrow))),0,
           IF(OFFSET(PLE!$G$15,$M78-$A$15,CU$13)="",10^12,OFFSET(PLE!$G$15,$M78-$A$15,CU$13)))</f>
        <v>1000000000000</v>
      </c>
      <c r="CV78" s="354" t="n">
        <f aca="true">IF(OR($D78&lt;&gt;"Serviço",AND(AUTOEVENTO="Manual",$M78=$A$15),$M78&gt;(ROW(PLE.lastrow)-ROW(PLE.firstrow))),0,
           IF(OFFSET(PLE!$G$15,$M78-$A$15,CV$13)="",10^12,OFFSET(PLE!$G$15,$M78-$A$15,CV$13)))</f>
        <v>1000000000000</v>
      </c>
      <c r="CW78" s="354" t="n">
        <f aca="true">IF(OR($D78&lt;&gt;"Serviço",AND(AUTOEVENTO="Manual",$M78=$A$15),$M78&gt;(ROW(PLE.lastrow)-ROW(PLE.firstrow))),0,
           IF(OFFSET(PLE!$G$15,$M78-$A$15,CW$13)="",10^12,OFFSET(PLE!$G$15,$M78-$A$15,CW$13)))</f>
        <v>1000000000000</v>
      </c>
      <c r="CX78" s="354" t="n">
        <f aca="true">IF(OR($D78&lt;&gt;"Serviço",AND(AUTOEVENTO="Manual",$M78=$A$15),$M78&gt;(ROW(PLE.lastrow)-ROW(PLE.firstrow))),0,
           IF(OFFSET(PLE!$G$15,$M78-$A$15,CX$13)="",10^12,OFFSET(PLE!$G$15,$M78-$A$15,CX$13)))</f>
        <v>1000000000000</v>
      </c>
      <c r="CY78" s="354" t="n">
        <f aca="true">IF(OR($D78&lt;&gt;"Serviço",AND(AUTOEVENTO="Manual",$M78=$A$15),$M78&gt;(ROW(PLE.lastrow)-ROW(PLE.firstrow))),0,
           IF(OFFSET(PLE!$G$15,$M78-$A$15,CY$13)="",10^12,OFFSET(PLE!$G$15,$M78-$A$15,CY$13)))</f>
        <v>1000000000000</v>
      </c>
      <c r="CZ78" s="354" t="n">
        <f aca="true">IF(OR($D78&lt;&gt;"Serviço",AND(AUTOEVENTO="Manual",$M78=$A$15),$M78&gt;(ROW(PLE.lastrow)-ROW(PLE.firstrow))),0,
           IF(OFFSET(PLE!$G$15,$M78-$A$15,CZ$13)="",10^12,OFFSET(PLE!$G$15,$M78-$A$15,CZ$13)))</f>
        <v>1000000000000</v>
      </c>
      <c r="DA78" s="354" t="n">
        <f aca="true">IF(OR($D78&lt;&gt;"Serviço",AND(AUTOEVENTO="Manual",$M78=$A$15),$M78&gt;(ROW(PLE.lastrow)-ROW(PLE.firstrow))),0,
           IF(OFFSET(PLE!$G$15,$M78-$A$15,DA$13)="",10^12,OFFSET(PLE!$G$15,$M78-$A$15,DA$13)))</f>
        <v>1000000000000</v>
      </c>
      <c r="DB78" s="354" t="n">
        <f aca="true">IF(OR($D78&lt;&gt;"Serviço",AND(AUTOEVENTO="Manual",$M78=$A$15),$M78&gt;(ROW(PLE.lastrow)-ROW(PLE.firstrow))),0,
           IF(OFFSET(PLE!$G$15,$M78-$A$15,DB$13)="",10^12,OFFSET(PLE!$G$15,$M78-$A$15,DB$13)))</f>
        <v>1000000000000</v>
      </c>
      <c r="DC78" s="354" t="n">
        <f aca="true">IF(OR($D78&lt;&gt;"Serviço",AND(AUTOEVENTO="Manual",$M78=$A$15),$M78&gt;(ROW(PLE.lastrow)-ROW(PLE.firstrow))),0,
           IF(OFFSET(PLE!$G$15,$M78-$A$15,DC$13)="",10^12,OFFSET(PLE!$G$15,$M78-$A$15,DC$13)))</f>
        <v>1000000000000</v>
      </c>
      <c r="DD78" s="354" t="n">
        <f aca="true">IF(OR($D78&lt;&gt;"Serviço",AND(AUTOEVENTO="Manual",$M78=$A$15),$M78&gt;(ROW(PLE.lastrow)-ROW(PLE.firstrow))),0,
           IF(OFFSET(PLE!$G$15,$M78-$A$15,DD$13)="",10^12,OFFSET(PLE!$G$15,$M78-$A$15,DD$13)))</f>
        <v>1000000000000</v>
      </c>
      <c r="DE78" s="354" t="n">
        <f aca="true">IF(OR($D78&lt;&gt;"Serviço",AND(AUTOEVENTO="Manual",$M78=$A$15),$M78&gt;(ROW(PLE.lastrow)-ROW(PLE.firstrow))),0,
           IF(OFFSET(PLE!$G$15,$M78-$A$15,DE$13)="",10^12,OFFSET(PLE!$G$15,$M78-$A$15,DE$13)))</f>
        <v>1000000000000</v>
      </c>
      <c r="DF78" s="354" t="n">
        <f aca="true">IF(OR($D78&lt;&gt;"Serviço",AND(AUTOEVENTO="Manual",$M78=$A$15),$M78&gt;(ROW(PLE.lastrow)-ROW(PLE.firstrow))),0,
           IF(OFFSET(PLE!$G$15,$M78-$A$15,DF$13)="",10^12,OFFSET(PLE!$G$15,$M78-$A$15,DF$13)))</f>
        <v>1000000000000</v>
      </c>
      <c r="DG78" s="354" t="n">
        <f aca="true">IF(OR($D78&lt;&gt;"Serviço",AND(AUTOEVENTO="Manual",$M78=$A$15),$M78&gt;(ROW(PLE.lastrow)-ROW(PLE.firstrow))),0,
           IF(OFFSET(PLE!$G$15,$M78-$A$15,DG$13)="",10^12,OFFSET(PLE!$G$15,$M78-$A$15,DG$13)))</f>
        <v>1000000000000</v>
      </c>
      <c r="DH78" s="354" t="n">
        <f aca="true">IF(OR($D78&lt;&gt;"Serviço",AND(AUTOEVENTO="Manual",$M78=$A$15),$M78&gt;(ROW(PLE.lastrow)-ROW(PLE.firstrow))),0,
           IF(OFFSET(PLE!$G$15,$M78-$A$15,DH$13)="",10^12,OFFSET(PLE!$G$15,$M78-$A$15,DH$13)))</f>
        <v>1000000000000</v>
      </c>
      <c r="DI78" s="354" t="n">
        <f aca="true">IF(OR($D78&lt;&gt;"Serviço",AND(AUTOEVENTO="Manual",$M78=$A$15),$M78&gt;(ROW(PLE.lastrow)-ROW(PLE.firstrow))),0,
           IF(OFFSET(PLE!$G$15,$M78-$A$15,DI$13)="",10^12,OFFSET(PLE!$G$15,$M78-$A$15,DI$13)))</f>
        <v>1000000000000</v>
      </c>
      <c r="DJ78" s="354" t="n">
        <f aca="true">IF(OR($D78&lt;&gt;"Serviço",AND(AUTOEVENTO="Manual",$M78=$A$15),$M78&gt;(ROW(PLE.lastrow)-ROW(PLE.firstrow))),0,
           IF(OFFSET(PLE!$G$15,$M78-$A$15,DJ$13)="",10^12,OFFSET(PLE!$G$15,$M78-$A$15,DJ$13)))</f>
        <v>1000000000000</v>
      </c>
      <c r="DK78" s="354" t="n">
        <f aca="true">IF(OR($D78&lt;&gt;"Serviço",AND(AUTOEVENTO="Manual",$M78=$A$15),$M78&gt;(ROW(PLE.lastrow)-ROW(PLE.firstrow))),0,
           IF(OFFSET(PLE!$G$15,$M78-$A$15,DK$13)="",10^12,OFFSET(PLE!$G$15,$M78-$A$15,DK$13)))</f>
        <v>1000000000000</v>
      </c>
      <c r="DL78" s="354" t="n">
        <f aca="true">IF(OR($D78&lt;&gt;"Serviço",AND(AUTOEVENTO="Manual",$M78=$A$15),$M78&gt;(ROW(PLE.lastrow)-ROW(PLE.firstrow))),0,
           IF(OFFSET(PLE!$G$15,$M78-$A$15,DL$13)="",10^12,OFFSET(PLE!$G$15,$M78-$A$15,DL$13)))</f>
        <v>1000000000000</v>
      </c>
      <c r="DM78" s="354" t="n">
        <f aca="true">IF(OR($D78&lt;&gt;"Serviço",AND(AUTOEVENTO="Manual",$M78=$A$15),$M78&gt;(ROW(PLE.lastrow)-ROW(PLE.firstrow))),0,
           IF(OFFSET(PLE!$G$15,$M78-$A$15,DM$13)="",10^12,OFFSET(PLE!$G$15,$M78-$A$15,DM$13)))</f>
        <v>1000000000000</v>
      </c>
      <c r="DN78" s="354" t="n">
        <f aca="true">IF(OR($D78&lt;&gt;"Serviço",AND(AUTOEVENTO="Manual",$M78=$A$15),$M78&gt;(ROW(PLE.lastrow)-ROW(PLE.firstrow))),0,
           IF(OFFSET(PLE!$G$15,$M78-$A$15,DN$13)="",10^12,OFFSET(PLE!$G$15,$M78-$A$15,DN$13)))</f>
        <v>1000000000000</v>
      </c>
      <c r="DO78" s="354" t="n">
        <f aca="true">IF(OR($D78&lt;&gt;"Serviço",AND(AUTOEVENTO="Manual",$M78=$A$15),$M78&gt;(ROW(PLE.lastrow)-ROW(PLE.firstrow))),0,
           IF(OFFSET(PLE!$G$15,$M78-$A$15,DO$13)="",10^12,OFFSET(PLE!$G$15,$M78-$A$15,DO$13)))</f>
        <v>1000000000000</v>
      </c>
      <c r="DP78" s="354" t="n">
        <f aca="true">IF(OR($D78&lt;&gt;"Serviço",AND(AUTOEVENTO="Manual",$M78=$A$15),$M78&gt;(ROW(PLE.lastrow)-ROW(PLE.firstrow))),0,
           IF(OFFSET(PLE!$G$15,$M78-$A$15,DP$13)="",10^12,OFFSET(PLE!$G$15,$M78-$A$15,DP$13)))</f>
        <v>1000000000000</v>
      </c>
      <c r="DQ78" s="354" t="n">
        <f aca="true">IF(OR($D78&lt;&gt;"Serviço",AND(AUTOEVENTO="Manual",$M78=$A$15),$M78&gt;(ROW(PLE.lastrow)-ROW(PLE.firstrow))),0,
           IF(OFFSET(PLE!$G$15,$M78-$A$15,DQ$13)="",10^12,OFFSET(PLE!$G$15,$M78-$A$15,DQ$13)))</f>
        <v>1000000000000</v>
      </c>
      <c r="DR78" s="354" t="n">
        <f aca="true">IF(OR($D78&lt;&gt;"Serviço",AND(AUTOEVENTO="Manual",$M78=$A$15),$M78&gt;(ROW(PLE.lastrow)-ROW(PLE.firstrow))),0,
           IF(OFFSET(PLE!$G$15,$M78-$A$15,DR$13)="",10^12,OFFSET(PLE!$G$15,$M78-$A$15,DR$13)))</f>
        <v>1000000000000</v>
      </c>
      <c r="DS78" s="354" t="n">
        <f aca="true">IF(OR($D78&lt;&gt;"Serviço",AND(AUTOEVENTO="Manual",$M78=$A$15),$M78&gt;(ROW(PLE.lastrow)-ROW(PLE.firstrow))),0,
           IF(OFFSET(PLE!$G$15,$M78-$A$15,DS$13)="",10^12,OFFSET(PLE!$G$15,$M78-$A$15,DS$13)))</f>
        <v>1000000000000</v>
      </c>
    </row>
    <row r="79" customFormat="false" ht="35.05" hidden="false" customHeight="false" outlineLevel="0" collapsed="false">
      <c r="A79" s="50" t="str">
        <f aca="true">IFERROR(IF(AUTOEVENTO="Manual",IF(K79&lt;&gt;"",MIN(VALUE(LEFT(K79,FIND(".",K79)-1)),COUNTA(EVENTOS.Lista)),0),IF(OR($B79&gt;AUTOEVENTO,$B79="S",$B79=0),SUBSTITUTE(OFFSET($A79,-1,0),IF($D79="Serviço",".",""),""),ROW(A79)-ROW($A$15)&amp;".")),0)</f>
        <v>62</v>
      </c>
      <c r="B79" s="50" t="str">
        <f aca="true">OFFSET(ORÇAMENTO!C$15,ROW(B79)-ROW(B$15),0)</f>
        <v>S</v>
      </c>
      <c r="C79" s="50" t="str">
        <f aca="true">OFFSET(ORÇAMENTO!L$15,ROW(C79)-ROW(C$15),0)</f>
        <v>F</v>
      </c>
      <c r="D79" s="201" t="str">
        <f aca="true">OFFSET(ORÇAMENTO!N$15,ROW(D79)-ROW(D$15),0)</f>
        <v>Serviço</v>
      </c>
      <c r="E79" s="202" t="str">
        <f aca="true">OFFSET(ORÇAMENTO!O$15,ROW(E79)-ROW(E$15),0)</f>
        <v>1.18.2.</v>
      </c>
      <c r="F79" s="341" t="str">
        <f aca="true">OFFSET(ORÇAMENTO!R$15,ROW(F79)-ROW(F$15),0)</f>
        <v>APLICAÇÃO MANUAL DE GESSO DESEMPENADO (SEM TALISCAS) EM TETO DE AMBIENTES DE ÁREA MAIOR QUE 10M², ESPESSURA DE 0,5CM. AF_03/20</v>
      </c>
      <c r="G79" s="342" t="str">
        <f aca="true">IF($D79&lt;&gt;"Serviço","",OFFSET(ORÇAMENTO!S$15,ROW(G79)-ROW(G$15),0))</f>
        <v>M2</v>
      </c>
      <c r="H79" s="207" t="n">
        <f aca="true">IF($D79&lt;&gt;"Serviço",0,IF(ACOMPANHAMENTO="BM",ROUND(OFFSET(ORÇAMENTO!AJ$15,ROW(H79)-ROW(H$15),0),15-13*ORÇAMENTO!$AF$7),SUMPRODUCT(($Q$1:$AQ$1=1)*ROUND($Q79:$AQ79,15-13*ORÇAMENTO!$AF$7))))</f>
        <v>1164</v>
      </c>
      <c r="I79" s="343" t="s">
        <v>954</v>
      </c>
      <c r="J79" s="344" t="e">
        <f aca="false">IF(OR(B79&lt;&gt;"S",CÁLCULO.FrentesPreenchidas=0),"",IF(AND(ACOMPANHAMENTO="PLE",AUTOEVENTO="Manual",OR(H79&gt;0,ORÇAMENTO!AC79="QUANT."),OR(K79="",M79=0,N79="")),"►",IF(AND(ACOMPANHAMENTO="PLE",ORÇAMENTO!AC79="QUANT."),"►►",IF(AND(COUNTIF($P$11:$AQ$11,"▼")=0,H79&gt;0,I79=""),"◄",""))))</f>
        <v>#NAME?</v>
      </c>
      <c r="K79" s="345"/>
      <c r="L79" s="346" t="s">
        <v>876</v>
      </c>
      <c r="M79" s="347" t="n">
        <f aca="true">IF($D79&lt;&gt;"Serviço","",
          IF(AUTOEVENTO="manual",$A79,
                IF(ISERROR(MATCH($A79,$A$15:OFFSET($A79,-1,0),0)),MAX($M$15:OFFSET(M79,-1,0))+1,
                      INDEX($M$15:OFFSET(M79,-1,0),MATCH($A79,$A$15:OFFSET($A79,-1,0),0)))))</f>
        <v>12</v>
      </c>
      <c r="N79" s="348" t="str">
        <f aca="true">IF($D79&lt;&gt;"Serviço","",
         IF(AUTOEVENTO="Manual",
                IF($A79=0,"&lt;-- defina o número do agrupador",
                       OFFSET(EVENTOS!$D$15,$A79-$A$15,0)),
                OFFSET($F$15,$A79,0)))</f>
        <v>REVESTIMENTOS INTERNOS</v>
      </c>
      <c r="O79" s="349"/>
      <c r="Q79" s="349" t="n">
        <v>46.56</v>
      </c>
      <c r="R79" s="350" t="n">
        <f aca="false">Q79</f>
        <v>46.56</v>
      </c>
      <c r="S79" s="350" t="n">
        <f aca="false">R79</f>
        <v>46.56</v>
      </c>
      <c r="T79" s="350" t="n">
        <f aca="false">S79</f>
        <v>46.56</v>
      </c>
      <c r="U79" s="350" t="n">
        <f aca="false">T79</f>
        <v>46.56</v>
      </c>
      <c r="V79" s="350" t="n">
        <f aca="false">U79</f>
        <v>46.56</v>
      </c>
      <c r="W79" s="350" t="n">
        <f aca="false">V79</f>
        <v>46.56</v>
      </c>
      <c r="X79" s="350" t="n">
        <f aca="false">W79</f>
        <v>46.56</v>
      </c>
      <c r="Y79" s="350" t="n">
        <f aca="false">X79</f>
        <v>46.56</v>
      </c>
      <c r="Z79" s="351" t="n">
        <f aca="false">Y79</f>
        <v>46.56</v>
      </c>
      <c r="AA79" s="350" t="n">
        <f aca="false">Z79</f>
        <v>46.56</v>
      </c>
      <c r="AB79" s="350" t="n">
        <f aca="false">AA79</f>
        <v>46.56</v>
      </c>
      <c r="AC79" s="350" t="n">
        <f aca="false">AB79</f>
        <v>46.56</v>
      </c>
      <c r="AD79" s="350" t="n">
        <f aca="false">AC79</f>
        <v>46.56</v>
      </c>
      <c r="AE79" s="350" t="n">
        <f aca="false">AD79</f>
        <v>46.56</v>
      </c>
      <c r="AF79" s="350" t="n">
        <f aca="false">AE79</f>
        <v>46.56</v>
      </c>
      <c r="AG79" s="350" t="n">
        <f aca="false">AF79</f>
        <v>46.56</v>
      </c>
      <c r="AH79" s="351" t="n">
        <f aca="false">AG79</f>
        <v>46.56</v>
      </c>
      <c r="AI79" s="350" t="n">
        <f aca="false">AH79</f>
        <v>46.56</v>
      </c>
      <c r="AJ79" s="350" t="n">
        <f aca="false">AI79</f>
        <v>46.56</v>
      </c>
      <c r="AK79" s="350" t="n">
        <f aca="false">AJ79</f>
        <v>46.56</v>
      </c>
      <c r="AL79" s="350" t="n">
        <f aca="false">AK79</f>
        <v>46.56</v>
      </c>
      <c r="AM79" s="350" t="n">
        <f aca="false">AL79</f>
        <v>46.56</v>
      </c>
      <c r="AN79" s="350" t="n">
        <f aca="false">AM79</f>
        <v>46.56</v>
      </c>
      <c r="AO79" s="350" t="n">
        <f aca="false">AN79</f>
        <v>46.56</v>
      </c>
      <c r="AP79" s="351"/>
      <c r="AR79" s="352" t="n">
        <f aca="true">IF(AND($D79="Serviço",AR$12&lt;&gt;0,$H79&gt;0,OR(AUTOEVENTO&lt;&gt;"manual",$M79&lt;&gt;$A$15)),
        IF(Import.TipoArredondamento&lt;&gt;"TransfereGOV",
              ROUND(OFFSET($P79,0,AR$13),15-13*ORÇAMENTO!$AF$7)/$H79*OFFSET(ORÇAMENTO!$X$15,ROW(AR79)-ROW(AR$15),0),
              ROUND(ROUND(OFFSET($P79,0,AR$13),15-13*ORÇAMENTO!$AF$7)*OFFSET(ORÇAMENTO!$W$15,ROW(AR79)-ROW(AR$15),0),15-13*ORÇAMENTO!$AF$11)),
         0)</f>
        <v>1025.72</v>
      </c>
      <c r="AS79" s="352" t="n">
        <f aca="true">IF(AND($D79="Serviço",AS$12&lt;&gt;0,$H79&gt;0,OR(AUTOEVENTO&lt;&gt;"manual",$M79&lt;&gt;$A$15)),
        IF(Import.TipoArredondamento&lt;&gt;"TransfereGOV",
              ROUND(OFFSET($P79,0,AS$13),15-13*ORÇAMENTO!$AF$7)/$H79*OFFSET(ORÇAMENTO!$X$15,ROW(AS79)-ROW(AS$15),0),
              ROUND(ROUND(OFFSET($P79,0,AS$13),15-13*ORÇAMENTO!$AF$7)*OFFSET(ORÇAMENTO!$W$15,ROW(AS79)-ROW(AS$15),0),15-13*ORÇAMENTO!$AF$11)),
         0)</f>
        <v>1025.72</v>
      </c>
      <c r="AT79" s="352" t="n">
        <f aca="true">IF(AND($D79="Serviço",AT$12&lt;&gt;0,$H79&gt;0,OR(AUTOEVENTO&lt;&gt;"manual",$M79&lt;&gt;$A$15)),
        IF(Import.TipoArredondamento&lt;&gt;"TransfereGOV",
              ROUND(OFFSET($P79,0,AT$13),15-13*ORÇAMENTO!$AF$7)/$H79*OFFSET(ORÇAMENTO!$X$15,ROW(AT79)-ROW(AT$15),0),
              ROUND(ROUND(OFFSET($P79,0,AT$13),15-13*ORÇAMENTO!$AF$7)*OFFSET(ORÇAMENTO!$W$15,ROW(AT79)-ROW(AT$15),0),15-13*ORÇAMENTO!$AF$11)),
         0)</f>
        <v>1025.72</v>
      </c>
      <c r="AU79" s="352" t="n">
        <f aca="true">IF(AND($D79="Serviço",AU$12&lt;&gt;0,$H79&gt;0,OR(AUTOEVENTO&lt;&gt;"manual",$M79&lt;&gt;$A$15)),
        IF(Import.TipoArredondamento&lt;&gt;"TransfereGOV",
              ROUND(OFFSET($P79,0,AU$13),15-13*ORÇAMENTO!$AF$7)/$H79*OFFSET(ORÇAMENTO!$X$15,ROW(AU79)-ROW(AU$15),0),
              ROUND(ROUND(OFFSET($P79,0,AU$13),15-13*ORÇAMENTO!$AF$7)*OFFSET(ORÇAMENTO!$W$15,ROW(AU79)-ROW(AU$15),0),15-13*ORÇAMENTO!$AF$11)),
         0)</f>
        <v>1025.72</v>
      </c>
      <c r="AV79" s="352" t="n">
        <f aca="true">IF(AND($D79="Serviço",AV$12&lt;&gt;0,$H79&gt;0,OR(AUTOEVENTO&lt;&gt;"manual",$M79&lt;&gt;$A$15)),
        IF(Import.TipoArredondamento&lt;&gt;"TransfereGOV",
              ROUND(OFFSET($P79,0,AV$13),15-13*ORÇAMENTO!$AF$7)/$H79*OFFSET(ORÇAMENTO!$X$15,ROW(AV79)-ROW(AV$15),0),
              ROUND(ROUND(OFFSET($P79,0,AV$13),15-13*ORÇAMENTO!$AF$7)*OFFSET(ORÇAMENTO!$W$15,ROW(AV79)-ROW(AV$15),0),15-13*ORÇAMENTO!$AF$11)),
         0)</f>
        <v>1025.72</v>
      </c>
      <c r="AW79" s="352" t="n">
        <f aca="true">IF(AND($D79="Serviço",AW$12&lt;&gt;0,$H79&gt;0,OR(AUTOEVENTO&lt;&gt;"manual",$M79&lt;&gt;$A$15)),
        IF(Import.TipoArredondamento&lt;&gt;"TransfereGOV",
              ROUND(OFFSET($P79,0,AW$13),15-13*ORÇAMENTO!$AF$7)/$H79*OFFSET(ORÇAMENTO!$X$15,ROW(AW79)-ROW(AW$15),0),
              ROUND(ROUND(OFFSET($P79,0,AW$13),15-13*ORÇAMENTO!$AF$7)*OFFSET(ORÇAMENTO!$W$15,ROW(AW79)-ROW(AW$15),0),15-13*ORÇAMENTO!$AF$11)),
         0)</f>
        <v>1025.72</v>
      </c>
      <c r="AX79" s="352" t="n">
        <f aca="true">IF(AND($D79="Serviço",AX$12&lt;&gt;0,$H79&gt;0,OR(AUTOEVENTO&lt;&gt;"manual",$M79&lt;&gt;$A$15)),
        IF(Import.TipoArredondamento&lt;&gt;"TransfereGOV",
              ROUND(OFFSET($P79,0,AX$13),15-13*ORÇAMENTO!$AF$7)/$H79*OFFSET(ORÇAMENTO!$X$15,ROW(AX79)-ROW(AX$15),0),
              ROUND(ROUND(OFFSET($P79,0,AX$13),15-13*ORÇAMENTO!$AF$7)*OFFSET(ORÇAMENTO!$W$15,ROW(AX79)-ROW(AX$15),0),15-13*ORÇAMENTO!$AF$11)),
         0)</f>
        <v>1025.72</v>
      </c>
      <c r="AY79" s="352" t="n">
        <f aca="true">IF(AND($D79="Serviço",AY$12&lt;&gt;0,$H79&gt;0,OR(AUTOEVENTO&lt;&gt;"manual",$M79&lt;&gt;$A$15)),
        IF(Import.TipoArredondamento&lt;&gt;"TransfereGOV",
              ROUND(OFFSET($P79,0,AY$13),15-13*ORÇAMENTO!$AF$7)/$H79*OFFSET(ORÇAMENTO!$X$15,ROW(AY79)-ROW(AY$15),0),
              ROUND(ROUND(OFFSET($P79,0,AY$13),15-13*ORÇAMENTO!$AF$7)*OFFSET(ORÇAMENTO!$W$15,ROW(AY79)-ROW(AY$15),0),15-13*ORÇAMENTO!$AF$11)),
         0)</f>
        <v>1025.72</v>
      </c>
      <c r="AZ79" s="352" t="n">
        <f aca="true">IF(AND($D79="Serviço",AZ$12&lt;&gt;0,$H79&gt;0,OR(AUTOEVENTO&lt;&gt;"manual",$M79&lt;&gt;$A$15)),
        IF(Import.TipoArredondamento&lt;&gt;"TransfereGOV",
              ROUND(OFFSET($P79,0,AZ$13),15-13*ORÇAMENTO!$AF$7)/$H79*OFFSET(ORÇAMENTO!$X$15,ROW(AZ79)-ROW(AZ$15),0),
              ROUND(ROUND(OFFSET($P79,0,AZ$13),15-13*ORÇAMENTO!$AF$7)*OFFSET(ORÇAMENTO!$W$15,ROW(AZ79)-ROW(AZ$15),0),15-13*ORÇAMENTO!$AF$11)),
         0)</f>
        <v>1025.72</v>
      </c>
      <c r="BA79" s="352" t="n">
        <f aca="true">IF(AND($D79="Serviço",BA$12&lt;&gt;0,$H79&gt;0,OR(AUTOEVENTO&lt;&gt;"manual",$M79&lt;&gt;$A$15)),
        IF(Import.TipoArredondamento&lt;&gt;"TransfereGOV",
              ROUND(OFFSET($P79,0,BA$13),15-13*ORÇAMENTO!$AF$7)/$H79*OFFSET(ORÇAMENTO!$X$15,ROW(BA79)-ROW(BA$15),0),
              ROUND(ROUND(OFFSET($P79,0,BA$13),15-13*ORÇAMENTO!$AF$7)*OFFSET(ORÇAMENTO!$W$15,ROW(BA79)-ROW(BA$15),0),15-13*ORÇAMENTO!$AF$11)),
         0)</f>
        <v>1025.72</v>
      </c>
      <c r="BB79" s="352" t="n">
        <f aca="true">IF(AND($D79="Serviço",BB$12&lt;&gt;0,$H79&gt;0,OR(AUTOEVENTO&lt;&gt;"manual",$M79&lt;&gt;$A$15)),
        IF(Import.TipoArredondamento&lt;&gt;"TransfereGOV",
              ROUND(OFFSET($P79,0,BB$13),15-13*ORÇAMENTO!$AF$7)/$H79*OFFSET(ORÇAMENTO!$X$15,ROW(BB79)-ROW(BB$15),0),
              ROUND(ROUND(OFFSET($P79,0,BB$13),15-13*ORÇAMENTO!$AF$7)*OFFSET(ORÇAMENTO!$W$15,ROW(BB79)-ROW(BB$15),0),15-13*ORÇAMENTO!$AF$11)),
         0)</f>
        <v>1025.72</v>
      </c>
      <c r="BC79" s="352" t="n">
        <f aca="true">IF(AND($D79="Serviço",BC$12&lt;&gt;0,$H79&gt;0,OR(AUTOEVENTO&lt;&gt;"manual",$M79&lt;&gt;$A$15)),
        IF(Import.TipoArredondamento&lt;&gt;"TransfereGOV",
              ROUND(OFFSET($P79,0,BC$13),15-13*ORÇAMENTO!$AF$7)/$H79*OFFSET(ORÇAMENTO!$X$15,ROW(BC79)-ROW(BC$15),0),
              ROUND(ROUND(OFFSET($P79,0,BC$13),15-13*ORÇAMENTO!$AF$7)*OFFSET(ORÇAMENTO!$W$15,ROW(BC79)-ROW(BC$15),0),15-13*ORÇAMENTO!$AF$11)),
         0)</f>
        <v>1025.72</v>
      </c>
      <c r="BD79" s="352" t="n">
        <f aca="true">IF(AND($D79="Serviço",BD$12&lt;&gt;0,$H79&gt;0,OR(AUTOEVENTO&lt;&gt;"manual",$M79&lt;&gt;$A$15)),
        IF(Import.TipoArredondamento&lt;&gt;"TransfereGOV",
              ROUND(OFFSET($P79,0,BD$13),15-13*ORÇAMENTO!$AF$7)/$H79*OFFSET(ORÇAMENTO!$X$15,ROW(BD79)-ROW(BD$15),0),
              ROUND(ROUND(OFFSET($P79,0,BD$13),15-13*ORÇAMENTO!$AF$7)*OFFSET(ORÇAMENTO!$W$15,ROW(BD79)-ROW(BD$15),0),15-13*ORÇAMENTO!$AF$11)),
         0)</f>
        <v>1025.72</v>
      </c>
      <c r="BE79" s="352" t="n">
        <f aca="true">IF(AND($D79="Serviço",BE$12&lt;&gt;0,$H79&gt;0,OR(AUTOEVENTO&lt;&gt;"manual",$M79&lt;&gt;$A$15)),
        IF(Import.TipoArredondamento&lt;&gt;"TransfereGOV",
              ROUND(OFFSET($P79,0,BE$13),15-13*ORÇAMENTO!$AF$7)/$H79*OFFSET(ORÇAMENTO!$X$15,ROW(BE79)-ROW(BE$15),0),
              ROUND(ROUND(OFFSET($P79,0,BE$13),15-13*ORÇAMENTO!$AF$7)*OFFSET(ORÇAMENTO!$W$15,ROW(BE79)-ROW(BE$15),0),15-13*ORÇAMENTO!$AF$11)),
         0)</f>
        <v>1025.72</v>
      </c>
      <c r="BF79" s="352" t="n">
        <f aca="true">IF(AND($D79="Serviço",BF$12&lt;&gt;0,$H79&gt;0,OR(AUTOEVENTO&lt;&gt;"manual",$M79&lt;&gt;$A$15)),
        IF(Import.TipoArredondamento&lt;&gt;"TransfereGOV",
              ROUND(OFFSET($P79,0,BF$13),15-13*ORÇAMENTO!$AF$7)/$H79*OFFSET(ORÇAMENTO!$X$15,ROW(BF79)-ROW(BF$15),0),
              ROUND(ROUND(OFFSET($P79,0,BF$13),15-13*ORÇAMENTO!$AF$7)*OFFSET(ORÇAMENTO!$W$15,ROW(BF79)-ROW(BF$15),0),15-13*ORÇAMENTO!$AF$11)),
         0)</f>
        <v>1025.72</v>
      </c>
      <c r="BG79" s="352" t="n">
        <f aca="true">IF(AND($D79="Serviço",BG$12&lt;&gt;0,$H79&gt;0,OR(AUTOEVENTO&lt;&gt;"manual",$M79&lt;&gt;$A$15)),
        IF(Import.TipoArredondamento&lt;&gt;"TransfereGOV",
              ROUND(OFFSET($P79,0,BG$13),15-13*ORÇAMENTO!$AF$7)/$H79*OFFSET(ORÇAMENTO!$X$15,ROW(BG79)-ROW(BG$15),0),
              ROUND(ROUND(OFFSET($P79,0,BG$13),15-13*ORÇAMENTO!$AF$7)*OFFSET(ORÇAMENTO!$W$15,ROW(BG79)-ROW(BG$15),0),15-13*ORÇAMENTO!$AF$11)),
         0)</f>
        <v>1025.72</v>
      </c>
      <c r="BH79" s="352" t="n">
        <f aca="true">IF(AND($D79="Serviço",BH$12&lt;&gt;0,$H79&gt;0,OR(AUTOEVENTO&lt;&gt;"manual",$M79&lt;&gt;$A$15)),
        IF(Import.TipoArredondamento&lt;&gt;"TransfereGOV",
              ROUND(OFFSET($P79,0,BH$13),15-13*ORÇAMENTO!$AF$7)/$H79*OFFSET(ORÇAMENTO!$X$15,ROW(BH79)-ROW(BH$15),0),
              ROUND(ROUND(OFFSET($P79,0,BH$13),15-13*ORÇAMENTO!$AF$7)*OFFSET(ORÇAMENTO!$W$15,ROW(BH79)-ROW(BH$15),0),15-13*ORÇAMENTO!$AF$11)),
         0)</f>
        <v>1025.72</v>
      </c>
      <c r="BI79" s="352" t="n">
        <f aca="true">IF(AND($D79="Serviço",BI$12&lt;&gt;0,$H79&gt;0,OR(AUTOEVENTO&lt;&gt;"manual",$M79&lt;&gt;$A$15)),
        IF(Import.TipoArredondamento&lt;&gt;"TransfereGOV",
              ROUND(OFFSET($P79,0,BI$13),15-13*ORÇAMENTO!$AF$7)/$H79*OFFSET(ORÇAMENTO!$X$15,ROW(BI79)-ROW(BI$15),0),
              ROUND(ROUND(OFFSET($P79,0,BI$13),15-13*ORÇAMENTO!$AF$7)*OFFSET(ORÇAMENTO!$W$15,ROW(BI79)-ROW(BI$15),0),15-13*ORÇAMENTO!$AF$11)),
         0)</f>
        <v>1025.72</v>
      </c>
      <c r="BJ79" s="352" t="n">
        <f aca="true">IF(AND($D79="Serviço",BJ$12&lt;&gt;0,$H79&gt;0,OR(AUTOEVENTO&lt;&gt;"manual",$M79&lt;&gt;$A$15)),
        IF(Import.TipoArredondamento&lt;&gt;"TransfereGOV",
              ROUND(OFFSET($P79,0,BJ$13),15-13*ORÇAMENTO!$AF$7)/$H79*OFFSET(ORÇAMENTO!$X$15,ROW(BJ79)-ROW(BJ$15),0),
              ROUND(ROUND(OFFSET($P79,0,BJ$13),15-13*ORÇAMENTO!$AF$7)*OFFSET(ORÇAMENTO!$W$15,ROW(BJ79)-ROW(BJ$15),0),15-13*ORÇAMENTO!$AF$11)),
         0)</f>
        <v>1025.72</v>
      </c>
      <c r="BK79" s="352" t="n">
        <f aca="true">IF(AND($D79="Serviço",BK$12&lt;&gt;0,$H79&gt;0,OR(AUTOEVENTO&lt;&gt;"manual",$M79&lt;&gt;$A$15)),
        IF(Import.TipoArredondamento&lt;&gt;"TransfereGOV",
              ROUND(OFFSET($P79,0,BK$13),15-13*ORÇAMENTO!$AF$7)/$H79*OFFSET(ORÇAMENTO!$X$15,ROW(BK79)-ROW(BK$15),0),
              ROUND(ROUND(OFFSET($P79,0,BK$13),15-13*ORÇAMENTO!$AF$7)*OFFSET(ORÇAMENTO!$W$15,ROW(BK79)-ROW(BK$15),0),15-13*ORÇAMENTO!$AF$11)),
         0)</f>
        <v>1025.72</v>
      </c>
      <c r="BL79" s="352" t="n">
        <f aca="true">IF(AND($D79="Serviço",BL$12&lt;&gt;0,$H79&gt;0,OR(AUTOEVENTO&lt;&gt;"manual",$M79&lt;&gt;$A$15)),
        IF(Import.TipoArredondamento&lt;&gt;"TransfereGOV",
              ROUND(OFFSET($P79,0,BL$13),15-13*ORÇAMENTO!$AF$7)/$H79*OFFSET(ORÇAMENTO!$X$15,ROW(BL79)-ROW(BL$15),0),
              ROUND(ROUND(OFFSET($P79,0,BL$13),15-13*ORÇAMENTO!$AF$7)*OFFSET(ORÇAMENTO!$W$15,ROW(BL79)-ROW(BL$15),0),15-13*ORÇAMENTO!$AF$11)),
         0)</f>
        <v>1025.72</v>
      </c>
      <c r="BM79" s="352" t="n">
        <f aca="true">IF(AND($D79="Serviço",BM$12&lt;&gt;0,$H79&gt;0,OR(AUTOEVENTO&lt;&gt;"manual",$M79&lt;&gt;$A$15)),
        IF(Import.TipoArredondamento&lt;&gt;"TransfereGOV",
              ROUND(OFFSET($P79,0,BM$13),15-13*ORÇAMENTO!$AF$7)/$H79*OFFSET(ORÇAMENTO!$X$15,ROW(BM79)-ROW(BM$15),0),
              ROUND(ROUND(OFFSET($P79,0,BM$13),15-13*ORÇAMENTO!$AF$7)*OFFSET(ORÇAMENTO!$W$15,ROW(BM79)-ROW(BM$15),0),15-13*ORÇAMENTO!$AF$11)),
         0)</f>
        <v>1025.72</v>
      </c>
      <c r="BN79" s="352" t="n">
        <f aca="true">IF(AND($D79="Serviço",BN$12&lt;&gt;0,$H79&gt;0,OR(AUTOEVENTO&lt;&gt;"manual",$M79&lt;&gt;$A$15)),
        IF(Import.TipoArredondamento&lt;&gt;"TransfereGOV",
              ROUND(OFFSET($P79,0,BN$13),15-13*ORÇAMENTO!$AF$7)/$H79*OFFSET(ORÇAMENTO!$X$15,ROW(BN79)-ROW(BN$15),0),
              ROUND(ROUND(OFFSET($P79,0,BN$13),15-13*ORÇAMENTO!$AF$7)*OFFSET(ORÇAMENTO!$W$15,ROW(BN79)-ROW(BN$15),0),15-13*ORÇAMENTO!$AF$11)),
         0)</f>
        <v>1025.72</v>
      </c>
      <c r="BO79" s="352" t="n">
        <f aca="true">IF(AND($D79="Serviço",BO$12&lt;&gt;0,$H79&gt;0,OR(AUTOEVENTO&lt;&gt;"manual",$M79&lt;&gt;$A$15)),
        IF(Import.TipoArredondamento&lt;&gt;"TransfereGOV",
              ROUND(OFFSET($P79,0,BO$13),15-13*ORÇAMENTO!$AF$7)/$H79*OFFSET(ORÇAMENTO!$X$15,ROW(BO79)-ROW(BO$15),0),
              ROUND(ROUND(OFFSET($P79,0,BO$13),15-13*ORÇAMENTO!$AF$7)*OFFSET(ORÇAMENTO!$W$15,ROW(BO79)-ROW(BO$15),0),15-13*ORÇAMENTO!$AF$11)),
         0)</f>
        <v>1025.72</v>
      </c>
      <c r="BP79" s="352" t="n">
        <f aca="true">IF(AND($D79="Serviço",BP$12&lt;&gt;0,$H79&gt;0,OR(AUTOEVENTO&lt;&gt;"manual",$M79&lt;&gt;$A$15)),
        IF(Import.TipoArredondamento&lt;&gt;"TransfereGOV",
              ROUND(OFFSET($P79,0,BP$13),15-13*ORÇAMENTO!$AF$7)/$H79*OFFSET(ORÇAMENTO!$X$15,ROW(BP79)-ROW(BP$15),0),
              ROUND(ROUND(OFFSET($P79,0,BP$13),15-13*ORÇAMENTO!$AF$7)*OFFSET(ORÇAMENTO!$W$15,ROW(BP79)-ROW(BP$15),0),15-13*ORÇAMENTO!$AF$11)),
         0)</f>
        <v>1025.72</v>
      </c>
      <c r="BQ79" s="352" t="n">
        <f aca="true">IF(AND($D79="Serviço",BQ$12&lt;&gt;0,$H79&gt;0,OR(AUTOEVENTO&lt;&gt;"manual",$M79&lt;&gt;$A$15)),
        IF(Import.TipoArredondamento&lt;&gt;"TransfereGOV",
              ROUND(OFFSET($P79,0,BQ$13),15-13*ORÇAMENTO!$AF$7)/$H79*OFFSET(ORÇAMENTO!$X$15,ROW(BQ79)-ROW(BQ$15),0),
              ROUND(ROUND(OFFSET($P79,0,BQ$13),15-13*ORÇAMENTO!$AF$7)*OFFSET(ORÇAMENTO!$W$15,ROW(BQ79)-ROW(BQ$15),0),15-13*ORÇAMENTO!$AF$11)),
         0)</f>
        <v>0</v>
      </c>
      <c r="BS79" s="353" t="n">
        <f aca="true">IF(OR($D79&lt;&gt;"Serviço",AND(AUTOEVENTO="Manual",$M79=$A$15)),0,
         IF(OFFSET(CRONOPLE!$F$15,$M79-$A$15,BS$13)=0,10^12,OFFSET(CRONOPLE!$F$15,$M79-$A$15,BS$13)))</f>
        <v>1</v>
      </c>
      <c r="BT79" s="353" t="n">
        <f aca="true">IF(OR($D79&lt;&gt;"Serviço",AND(AUTOEVENTO="Manual",$M79=$A$15)),0,
         IF(OFFSET(CRONOPLE!$F$15,$M79-$A$15,BT$13)=0,10^12,OFFSET(CRONOPLE!$F$15,$M79-$A$15,BT$13)))</f>
        <v>2</v>
      </c>
      <c r="BU79" s="353" t="n">
        <f aca="true">IF(OR($D79&lt;&gt;"Serviço",AND(AUTOEVENTO="Manual",$M79=$A$15)),0,
         IF(OFFSET(CRONOPLE!$F$15,$M79-$A$15,BU$13)=0,10^12,OFFSET(CRONOPLE!$F$15,$M79-$A$15,BU$13)))</f>
        <v>3</v>
      </c>
      <c r="BV79" s="353" t="n">
        <f aca="true">IF(OR($D79&lt;&gt;"Serviço",AND(AUTOEVENTO="Manual",$M79=$A$15)),0,
         IF(OFFSET(CRONOPLE!$F$15,$M79-$A$15,BV$13)=0,10^12,OFFSET(CRONOPLE!$F$15,$M79-$A$15,BV$13)))</f>
        <v>4</v>
      </c>
      <c r="BW79" s="353" t="n">
        <f aca="true">IF(OR($D79&lt;&gt;"Serviço",AND(AUTOEVENTO="Manual",$M79=$A$15)),0,
         IF(OFFSET(CRONOPLE!$F$15,$M79-$A$15,BW$13)=0,10^12,OFFSET(CRONOPLE!$F$15,$M79-$A$15,BW$13)))</f>
        <v>5</v>
      </c>
      <c r="BX79" s="353" t="n">
        <f aca="true">IF(OR($D79&lt;&gt;"Serviço",AND(AUTOEVENTO="Manual",$M79=$A$15)),0,
         IF(OFFSET(CRONOPLE!$F$15,$M79-$A$15,BX$13)=0,10^12,OFFSET(CRONOPLE!$F$15,$M79-$A$15,BX$13)))</f>
        <v>6</v>
      </c>
      <c r="BY79" s="353" t="n">
        <f aca="true">IF(OR($D79&lt;&gt;"Serviço",AND(AUTOEVENTO="Manual",$M79=$A$15)),0,
         IF(OFFSET(CRONOPLE!$F$15,$M79-$A$15,BY$13)=0,10^12,OFFSET(CRONOPLE!$F$15,$M79-$A$15,BY$13)))</f>
        <v>7</v>
      </c>
      <c r="BZ79" s="353" t="n">
        <f aca="true">IF(OR($D79&lt;&gt;"Serviço",AND(AUTOEVENTO="Manual",$M79=$A$15)),0,
         IF(OFFSET(CRONOPLE!$F$15,$M79-$A$15,BZ$13)=0,10^12,OFFSET(CRONOPLE!$F$15,$M79-$A$15,BZ$13)))</f>
        <v>8</v>
      </c>
      <c r="CA79" s="353" t="n">
        <f aca="true">IF(OR($D79&lt;&gt;"Serviço",AND(AUTOEVENTO="Manual",$M79=$A$15)),0,
         IF(OFFSET(CRONOPLE!$F$15,$M79-$A$15,CA$13)=0,10^12,OFFSET(CRONOPLE!$F$15,$M79-$A$15,CA$13)))</f>
        <v>9</v>
      </c>
      <c r="CB79" s="353" t="n">
        <f aca="true">IF(OR($D79&lt;&gt;"Serviço",AND(AUTOEVENTO="Manual",$M79=$A$15)),0,
         IF(OFFSET(CRONOPLE!$F$15,$M79-$A$15,CB$13)=0,10^12,OFFSET(CRONOPLE!$F$15,$M79-$A$15,CB$13)))</f>
        <v>10</v>
      </c>
      <c r="CC79" s="353" t="n">
        <f aca="true">IF(OR($D79&lt;&gt;"Serviço",AND(AUTOEVENTO="Manual",$M79=$A$15)),0,
         IF(OFFSET(CRONOPLE!$F$15,$M79-$A$15,CC$13)=0,10^12,OFFSET(CRONOPLE!$F$15,$M79-$A$15,CC$13)))</f>
        <v>11</v>
      </c>
      <c r="CD79" s="353" t="n">
        <f aca="true">IF(OR($D79&lt;&gt;"Serviço",AND(AUTOEVENTO="Manual",$M79=$A$15)),0,
         IF(OFFSET(CRONOPLE!$F$15,$M79-$A$15,CD$13)=0,10^12,OFFSET(CRONOPLE!$F$15,$M79-$A$15,CD$13)))</f>
        <v>12</v>
      </c>
      <c r="CE79" s="353" t="n">
        <f aca="true">IF(OR($D79&lt;&gt;"Serviço",AND(AUTOEVENTO="Manual",$M79=$A$15)),0,
         IF(OFFSET(CRONOPLE!$F$15,$M79-$A$15,CE$13)=0,10^12,OFFSET(CRONOPLE!$F$15,$M79-$A$15,CE$13)))</f>
        <v>13</v>
      </c>
      <c r="CF79" s="353" t="n">
        <f aca="true">IF(OR($D79&lt;&gt;"Serviço",AND(AUTOEVENTO="Manual",$M79=$A$15)),0,
         IF(OFFSET(CRONOPLE!$F$15,$M79-$A$15,CF$13)=0,10^12,OFFSET(CRONOPLE!$F$15,$M79-$A$15,CF$13)))</f>
        <v>14</v>
      </c>
      <c r="CG79" s="353" t="n">
        <f aca="true">IF(OR($D79&lt;&gt;"Serviço",AND(AUTOEVENTO="Manual",$M79=$A$15)),0,
         IF(OFFSET(CRONOPLE!$F$15,$M79-$A$15,CG$13)=0,10^12,OFFSET(CRONOPLE!$F$15,$M79-$A$15,CG$13)))</f>
        <v>15</v>
      </c>
      <c r="CH79" s="353" t="n">
        <f aca="true">IF(OR($D79&lt;&gt;"Serviço",AND(AUTOEVENTO="Manual",$M79=$A$15)),0,
         IF(OFFSET(CRONOPLE!$F$15,$M79-$A$15,CH$13)=0,10^12,OFFSET(CRONOPLE!$F$15,$M79-$A$15,CH$13)))</f>
        <v>16</v>
      </c>
      <c r="CI79" s="353" t="n">
        <f aca="true">IF(OR($D79&lt;&gt;"Serviço",AND(AUTOEVENTO="Manual",$M79=$A$15)),0,
         IF(OFFSET(CRONOPLE!$F$15,$M79-$A$15,CI$13)=0,10^12,OFFSET(CRONOPLE!$F$15,$M79-$A$15,CI$13)))</f>
        <v>17</v>
      </c>
      <c r="CJ79" s="353" t="n">
        <f aca="true">IF(OR($D79&lt;&gt;"Serviço",AND(AUTOEVENTO="Manual",$M79=$A$15)),0,
         IF(OFFSET(CRONOPLE!$F$15,$M79-$A$15,CJ$13)=0,10^12,OFFSET(CRONOPLE!$F$15,$M79-$A$15,CJ$13)))</f>
        <v>18</v>
      </c>
      <c r="CK79" s="353" t="n">
        <f aca="true">IF(OR($D79&lt;&gt;"Serviço",AND(AUTOEVENTO="Manual",$M79=$A$15)),0,
         IF(OFFSET(CRONOPLE!$F$15,$M79-$A$15,CK$13)=0,10^12,OFFSET(CRONOPLE!$F$15,$M79-$A$15,CK$13)))</f>
        <v>19</v>
      </c>
      <c r="CL79" s="353" t="n">
        <f aca="true">IF(OR($D79&lt;&gt;"Serviço",AND(AUTOEVENTO="Manual",$M79=$A$15)),0,
         IF(OFFSET(CRONOPLE!$F$15,$M79-$A$15,CL$13)=0,10^12,OFFSET(CRONOPLE!$F$15,$M79-$A$15,CL$13)))</f>
        <v>20</v>
      </c>
      <c r="CM79" s="353" t="n">
        <f aca="true">IF(OR($D79&lt;&gt;"Serviço",AND(AUTOEVENTO="Manual",$M79=$A$15)),0,
         IF(OFFSET(CRONOPLE!$F$15,$M79-$A$15,CM$13)=0,10^12,OFFSET(CRONOPLE!$F$15,$M79-$A$15,CM$13)))</f>
        <v>21</v>
      </c>
      <c r="CN79" s="353" t="n">
        <f aca="true">IF(OR($D79&lt;&gt;"Serviço",AND(AUTOEVENTO="Manual",$M79=$A$15)),0,
         IF(OFFSET(CRONOPLE!$F$15,$M79-$A$15,CN$13)=0,10^12,OFFSET(CRONOPLE!$F$15,$M79-$A$15,CN$13)))</f>
        <v>22</v>
      </c>
      <c r="CO79" s="353" t="n">
        <f aca="true">IF(OR($D79&lt;&gt;"Serviço",AND(AUTOEVENTO="Manual",$M79=$A$15)),0,
         IF(OFFSET(CRONOPLE!$F$15,$M79-$A$15,CO$13)=0,10^12,OFFSET(CRONOPLE!$F$15,$M79-$A$15,CO$13)))</f>
        <v>23</v>
      </c>
      <c r="CP79" s="353" t="n">
        <f aca="true">IF(OR($D79&lt;&gt;"Serviço",AND(AUTOEVENTO="Manual",$M79=$A$15)),0,
         IF(OFFSET(CRONOPLE!$F$15,$M79-$A$15,CP$13)=0,10^12,OFFSET(CRONOPLE!$F$15,$M79-$A$15,CP$13)))</f>
        <v>24</v>
      </c>
      <c r="CQ79" s="353" t="n">
        <f aca="true">IF(OR($D79&lt;&gt;"Serviço",AND(AUTOEVENTO="Manual",$M79=$A$15)),0,
         IF(OFFSET(CRONOPLE!$F$15,$M79-$A$15,CQ$13)=0,10^12,OFFSET(CRONOPLE!$F$15,$M79-$A$15,CQ$13)))</f>
        <v>25</v>
      </c>
      <c r="CR79" s="353" t="n">
        <f aca="true">IF(OR($D79&lt;&gt;"Serviço",AND(AUTOEVENTO="Manual",$M79=$A$15)),0,
         IF(OFFSET(CRONOPLE!$F$15,$M79-$A$15,CR$13)=0,10^12,OFFSET(CRONOPLE!$F$15,$M79-$A$15,CR$13)))</f>
        <v>1000000000000</v>
      </c>
      <c r="CT79" s="354" t="n">
        <f aca="true">IF(OR($D79&lt;&gt;"Serviço",AND(AUTOEVENTO="Manual",$M79=$A$15),$M79&gt;(ROW(PLE.lastrow)-ROW(PLE.firstrow))),0,
           IF(OFFSET(PLE!$G$15,$M79-$A$15,CT$13)="",10^12,OFFSET(PLE!$G$15,$M79-$A$15,CT$13)))</f>
        <v>1000000000000</v>
      </c>
      <c r="CU79" s="354" t="n">
        <f aca="true">IF(OR($D79&lt;&gt;"Serviço",AND(AUTOEVENTO="Manual",$M79=$A$15),$M79&gt;(ROW(PLE.lastrow)-ROW(PLE.firstrow))),0,
           IF(OFFSET(PLE!$G$15,$M79-$A$15,CU$13)="",10^12,OFFSET(PLE!$G$15,$M79-$A$15,CU$13)))</f>
        <v>1000000000000</v>
      </c>
      <c r="CV79" s="354" t="n">
        <f aca="true">IF(OR($D79&lt;&gt;"Serviço",AND(AUTOEVENTO="Manual",$M79=$A$15),$M79&gt;(ROW(PLE.lastrow)-ROW(PLE.firstrow))),0,
           IF(OFFSET(PLE!$G$15,$M79-$A$15,CV$13)="",10^12,OFFSET(PLE!$G$15,$M79-$A$15,CV$13)))</f>
        <v>1000000000000</v>
      </c>
      <c r="CW79" s="354" t="n">
        <f aca="true">IF(OR($D79&lt;&gt;"Serviço",AND(AUTOEVENTO="Manual",$M79=$A$15),$M79&gt;(ROW(PLE.lastrow)-ROW(PLE.firstrow))),0,
           IF(OFFSET(PLE!$G$15,$M79-$A$15,CW$13)="",10^12,OFFSET(PLE!$G$15,$M79-$A$15,CW$13)))</f>
        <v>1000000000000</v>
      </c>
      <c r="CX79" s="354" t="n">
        <f aca="true">IF(OR($D79&lt;&gt;"Serviço",AND(AUTOEVENTO="Manual",$M79=$A$15),$M79&gt;(ROW(PLE.lastrow)-ROW(PLE.firstrow))),0,
           IF(OFFSET(PLE!$G$15,$M79-$A$15,CX$13)="",10^12,OFFSET(PLE!$G$15,$M79-$A$15,CX$13)))</f>
        <v>1000000000000</v>
      </c>
      <c r="CY79" s="354" t="n">
        <f aca="true">IF(OR($D79&lt;&gt;"Serviço",AND(AUTOEVENTO="Manual",$M79=$A$15),$M79&gt;(ROW(PLE.lastrow)-ROW(PLE.firstrow))),0,
           IF(OFFSET(PLE!$G$15,$M79-$A$15,CY$13)="",10^12,OFFSET(PLE!$G$15,$M79-$A$15,CY$13)))</f>
        <v>1000000000000</v>
      </c>
      <c r="CZ79" s="354" t="n">
        <f aca="true">IF(OR($D79&lt;&gt;"Serviço",AND(AUTOEVENTO="Manual",$M79=$A$15),$M79&gt;(ROW(PLE.lastrow)-ROW(PLE.firstrow))),0,
           IF(OFFSET(PLE!$G$15,$M79-$A$15,CZ$13)="",10^12,OFFSET(PLE!$G$15,$M79-$A$15,CZ$13)))</f>
        <v>1000000000000</v>
      </c>
      <c r="DA79" s="354" t="n">
        <f aca="true">IF(OR($D79&lt;&gt;"Serviço",AND(AUTOEVENTO="Manual",$M79=$A$15),$M79&gt;(ROW(PLE.lastrow)-ROW(PLE.firstrow))),0,
           IF(OFFSET(PLE!$G$15,$M79-$A$15,DA$13)="",10^12,OFFSET(PLE!$G$15,$M79-$A$15,DA$13)))</f>
        <v>1000000000000</v>
      </c>
      <c r="DB79" s="354" t="n">
        <f aca="true">IF(OR($D79&lt;&gt;"Serviço",AND(AUTOEVENTO="Manual",$M79=$A$15),$M79&gt;(ROW(PLE.lastrow)-ROW(PLE.firstrow))),0,
           IF(OFFSET(PLE!$G$15,$M79-$A$15,DB$13)="",10^12,OFFSET(PLE!$G$15,$M79-$A$15,DB$13)))</f>
        <v>1000000000000</v>
      </c>
      <c r="DC79" s="354" t="n">
        <f aca="true">IF(OR($D79&lt;&gt;"Serviço",AND(AUTOEVENTO="Manual",$M79=$A$15),$M79&gt;(ROW(PLE.lastrow)-ROW(PLE.firstrow))),0,
           IF(OFFSET(PLE!$G$15,$M79-$A$15,DC$13)="",10^12,OFFSET(PLE!$G$15,$M79-$A$15,DC$13)))</f>
        <v>1000000000000</v>
      </c>
      <c r="DD79" s="354" t="n">
        <f aca="true">IF(OR($D79&lt;&gt;"Serviço",AND(AUTOEVENTO="Manual",$M79=$A$15),$M79&gt;(ROW(PLE.lastrow)-ROW(PLE.firstrow))),0,
           IF(OFFSET(PLE!$G$15,$M79-$A$15,DD$13)="",10^12,OFFSET(PLE!$G$15,$M79-$A$15,DD$13)))</f>
        <v>1000000000000</v>
      </c>
      <c r="DE79" s="354" t="n">
        <f aca="true">IF(OR($D79&lt;&gt;"Serviço",AND(AUTOEVENTO="Manual",$M79=$A$15),$M79&gt;(ROW(PLE.lastrow)-ROW(PLE.firstrow))),0,
           IF(OFFSET(PLE!$G$15,$M79-$A$15,DE$13)="",10^12,OFFSET(PLE!$G$15,$M79-$A$15,DE$13)))</f>
        <v>1000000000000</v>
      </c>
      <c r="DF79" s="354" t="n">
        <f aca="true">IF(OR($D79&lt;&gt;"Serviço",AND(AUTOEVENTO="Manual",$M79=$A$15),$M79&gt;(ROW(PLE.lastrow)-ROW(PLE.firstrow))),0,
           IF(OFFSET(PLE!$G$15,$M79-$A$15,DF$13)="",10^12,OFFSET(PLE!$G$15,$M79-$A$15,DF$13)))</f>
        <v>1000000000000</v>
      </c>
      <c r="DG79" s="354" t="n">
        <f aca="true">IF(OR($D79&lt;&gt;"Serviço",AND(AUTOEVENTO="Manual",$M79=$A$15),$M79&gt;(ROW(PLE.lastrow)-ROW(PLE.firstrow))),0,
           IF(OFFSET(PLE!$G$15,$M79-$A$15,DG$13)="",10^12,OFFSET(PLE!$G$15,$M79-$A$15,DG$13)))</f>
        <v>1000000000000</v>
      </c>
      <c r="DH79" s="354" t="n">
        <f aca="true">IF(OR($D79&lt;&gt;"Serviço",AND(AUTOEVENTO="Manual",$M79=$A$15),$M79&gt;(ROW(PLE.lastrow)-ROW(PLE.firstrow))),0,
           IF(OFFSET(PLE!$G$15,$M79-$A$15,DH$13)="",10^12,OFFSET(PLE!$G$15,$M79-$A$15,DH$13)))</f>
        <v>1000000000000</v>
      </c>
      <c r="DI79" s="354" t="n">
        <f aca="true">IF(OR($D79&lt;&gt;"Serviço",AND(AUTOEVENTO="Manual",$M79=$A$15),$M79&gt;(ROW(PLE.lastrow)-ROW(PLE.firstrow))),0,
           IF(OFFSET(PLE!$G$15,$M79-$A$15,DI$13)="",10^12,OFFSET(PLE!$G$15,$M79-$A$15,DI$13)))</f>
        <v>1000000000000</v>
      </c>
      <c r="DJ79" s="354" t="n">
        <f aca="true">IF(OR($D79&lt;&gt;"Serviço",AND(AUTOEVENTO="Manual",$M79=$A$15),$M79&gt;(ROW(PLE.lastrow)-ROW(PLE.firstrow))),0,
           IF(OFFSET(PLE!$G$15,$M79-$A$15,DJ$13)="",10^12,OFFSET(PLE!$G$15,$M79-$A$15,DJ$13)))</f>
        <v>1000000000000</v>
      </c>
      <c r="DK79" s="354" t="n">
        <f aca="true">IF(OR($D79&lt;&gt;"Serviço",AND(AUTOEVENTO="Manual",$M79=$A$15),$M79&gt;(ROW(PLE.lastrow)-ROW(PLE.firstrow))),0,
           IF(OFFSET(PLE!$G$15,$M79-$A$15,DK$13)="",10^12,OFFSET(PLE!$G$15,$M79-$A$15,DK$13)))</f>
        <v>1000000000000</v>
      </c>
      <c r="DL79" s="354" t="n">
        <f aca="true">IF(OR($D79&lt;&gt;"Serviço",AND(AUTOEVENTO="Manual",$M79=$A$15),$M79&gt;(ROW(PLE.lastrow)-ROW(PLE.firstrow))),0,
           IF(OFFSET(PLE!$G$15,$M79-$A$15,DL$13)="",10^12,OFFSET(PLE!$G$15,$M79-$A$15,DL$13)))</f>
        <v>1000000000000</v>
      </c>
      <c r="DM79" s="354" t="n">
        <f aca="true">IF(OR($D79&lt;&gt;"Serviço",AND(AUTOEVENTO="Manual",$M79=$A$15),$M79&gt;(ROW(PLE.lastrow)-ROW(PLE.firstrow))),0,
           IF(OFFSET(PLE!$G$15,$M79-$A$15,DM$13)="",10^12,OFFSET(PLE!$G$15,$M79-$A$15,DM$13)))</f>
        <v>1000000000000</v>
      </c>
      <c r="DN79" s="354" t="n">
        <f aca="true">IF(OR($D79&lt;&gt;"Serviço",AND(AUTOEVENTO="Manual",$M79=$A$15),$M79&gt;(ROW(PLE.lastrow)-ROW(PLE.firstrow))),0,
           IF(OFFSET(PLE!$G$15,$M79-$A$15,DN$13)="",10^12,OFFSET(PLE!$G$15,$M79-$A$15,DN$13)))</f>
        <v>1000000000000</v>
      </c>
      <c r="DO79" s="354" t="n">
        <f aca="true">IF(OR($D79&lt;&gt;"Serviço",AND(AUTOEVENTO="Manual",$M79=$A$15),$M79&gt;(ROW(PLE.lastrow)-ROW(PLE.firstrow))),0,
           IF(OFFSET(PLE!$G$15,$M79-$A$15,DO$13)="",10^12,OFFSET(PLE!$G$15,$M79-$A$15,DO$13)))</f>
        <v>1000000000000</v>
      </c>
      <c r="DP79" s="354" t="n">
        <f aca="true">IF(OR($D79&lt;&gt;"Serviço",AND(AUTOEVENTO="Manual",$M79=$A$15),$M79&gt;(ROW(PLE.lastrow)-ROW(PLE.firstrow))),0,
           IF(OFFSET(PLE!$G$15,$M79-$A$15,DP$13)="",10^12,OFFSET(PLE!$G$15,$M79-$A$15,DP$13)))</f>
        <v>1000000000000</v>
      </c>
      <c r="DQ79" s="354" t="n">
        <f aca="true">IF(OR($D79&lt;&gt;"Serviço",AND(AUTOEVENTO="Manual",$M79=$A$15),$M79&gt;(ROW(PLE.lastrow)-ROW(PLE.firstrow))),0,
           IF(OFFSET(PLE!$G$15,$M79-$A$15,DQ$13)="",10^12,OFFSET(PLE!$G$15,$M79-$A$15,DQ$13)))</f>
        <v>1000000000000</v>
      </c>
      <c r="DR79" s="354" t="n">
        <f aca="true">IF(OR($D79&lt;&gt;"Serviço",AND(AUTOEVENTO="Manual",$M79=$A$15),$M79&gt;(ROW(PLE.lastrow)-ROW(PLE.firstrow))),0,
           IF(OFFSET(PLE!$G$15,$M79-$A$15,DR$13)="",10^12,OFFSET(PLE!$G$15,$M79-$A$15,DR$13)))</f>
        <v>1000000000000</v>
      </c>
      <c r="DS79" s="354" t="n">
        <f aca="true">IF(OR($D79&lt;&gt;"Serviço",AND(AUTOEVENTO="Manual",$M79=$A$15),$M79&gt;(ROW(PLE.lastrow)-ROW(PLE.firstrow))),0,
           IF(OFFSET(PLE!$G$15,$M79-$A$15,DS$13)="",10^12,OFFSET(PLE!$G$15,$M79-$A$15,DS$13)))</f>
        <v>1000000000000</v>
      </c>
    </row>
    <row r="80" customFormat="false" ht="135.8" hidden="false" customHeight="false" outlineLevel="0" collapsed="false">
      <c r="A80" s="50" t="str">
        <f aca="true">IFERROR(IF(AUTOEVENTO="Manual",IF(K80&lt;&gt;"",MIN(VALUE(LEFT(K80,FIND(".",K80)-1)),COUNTA(EVENTOS.Lista)),0),IF(OR($B80&gt;AUTOEVENTO,$B80="S",$B80=0),SUBSTITUTE(OFFSET($A80,-1,0),IF($D80="Serviço",".",""),""),ROW(A80)-ROW($A$15)&amp;".")),0)</f>
        <v>62</v>
      </c>
      <c r="B80" s="50" t="str">
        <f aca="true">OFFSET(ORÇAMENTO!C$15,ROW(B80)-ROW(B$15),0)</f>
        <v>S</v>
      </c>
      <c r="C80" s="50" t="str">
        <f aca="true">OFFSET(ORÇAMENTO!L$15,ROW(C80)-ROW(C$15),0)</f>
        <v>F</v>
      </c>
      <c r="D80" s="201" t="str">
        <f aca="true">OFFSET(ORÇAMENTO!N$15,ROW(D80)-ROW(D$15),0)</f>
        <v>Serviço</v>
      </c>
      <c r="E80" s="202" t="str">
        <f aca="true">OFFSET(ORÇAMENTO!O$15,ROW(E80)-ROW(E$15),0)</f>
        <v>1.18.3.</v>
      </c>
      <c r="F80" s="341" t="str">
        <f aca="true">OFFSET(ORÇAMENTO!R$15,ROW(F80)-ROW(F$15),0)</f>
        <v>CHAPISCO APLICADO EM ALVENARIAS E ESTRUTURAS DE CONCRETO INTERNAS, COM COLHER DE PEDREIRO. ARGAMASSA TRAÇO 1:3 COM PREPARO MANUAL. AF_10/20</v>
      </c>
      <c r="G80" s="342" t="str">
        <f aca="true">IF($D80&lt;&gt;"Serviço","",OFFSET(ORÇAMENTO!S$15,ROW(G80)-ROW(G$15),0))</f>
        <v>M2</v>
      </c>
      <c r="H80" s="207" t="n">
        <f aca="true">IF($D80&lt;&gt;"Serviço",0,IF(ACOMPANHAMENTO="BM",ROUND(OFFSET(ORÇAMENTO!AJ$15,ROW(H80)-ROW(H$15),0),15-13*ORÇAMENTO!$AF$7),SUMPRODUCT(($Q$1:$AQ$1=1)*ROUND($Q80:$AQ80,15-13*ORÇAMENTO!$AF$7))))</f>
        <v>945.25</v>
      </c>
      <c r="I80" s="343" t="s">
        <v>955</v>
      </c>
      <c r="J80" s="344" t="e">
        <f aca="false">IF(OR(B80&lt;&gt;"S",CÁLCULO.FrentesPreenchidas=0),"",IF(AND(ACOMPANHAMENTO="PLE",AUTOEVENTO="Manual",OR(H80&gt;0,ORÇAMENTO!AC80="QUANT."),OR(K80="",M80=0,N80="")),"►",IF(AND(ACOMPANHAMENTO="PLE",ORÇAMENTO!AC80="QUANT."),"►►",IF(AND(COUNTIF($P$11:$AQ$11,"▼")=0,H80&gt;0,I80=""),"◄",""))))</f>
        <v>#NAME?</v>
      </c>
      <c r="K80" s="345"/>
      <c r="L80" s="346" t="s">
        <v>876</v>
      </c>
      <c r="M80" s="347" t="n">
        <f aca="true">IF($D80&lt;&gt;"Serviço","",
          IF(AUTOEVENTO="manual",$A80,
                IF(ISERROR(MATCH($A80,$A$15:OFFSET($A80,-1,0),0)),MAX($M$15:OFFSET(M80,-1,0))+1,
                      INDEX($M$15:OFFSET(M80,-1,0),MATCH($A80,$A$15:OFFSET($A80,-1,0),0)))))</f>
        <v>12</v>
      </c>
      <c r="N80" s="348" t="str">
        <f aca="true">IF($D80&lt;&gt;"Serviço","",
         IF(AUTOEVENTO="Manual",
                IF($A80=0,"&lt;-- defina o número do agrupador",
                       OFFSET(EVENTOS!$D$15,$A80-$A$15,0)),
                OFFSET($F$15,$A80,0)))</f>
        <v>REVESTIMENTOS INTERNOS</v>
      </c>
      <c r="O80" s="349"/>
      <c r="Q80" s="349" t="n">
        <f aca="false">Q81</f>
        <v>37.81</v>
      </c>
      <c r="R80" s="350" t="n">
        <f aca="false">Q80</f>
        <v>37.81</v>
      </c>
      <c r="S80" s="350" t="n">
        <f aca="false">R80</f>
        <v>37.81</v>
      </c>
      <c r="T80" s="350" t="n">
        <f aca="false">S80</f>
        <v>37.81</v>
      </c>
      <c r="U80" s="350" t="n">
        <f aca="false">T80</f>
        <v>37.81</v>
      </c>
      <c r="V80" s="350" t="n">
        <f aca="false">U80</f>
        <v>37.81</v>
      </c>
      <c r="W80" s="350" t="n">
        <f aca="false">V80</f>
        <v>37.81</v>
      </c>
      <c r="X80" s="350" t="n">
        <f aca="false">W80</f>
        <v>37.81</v>
      </c>
      <c r="Y80" s="350" t="n">
        <f aca="false">X80</f>
        <v>37.81</v>
      </c>
      <c r="Z80" s="351" t="n">
        <f aca="false">Y80</f>
        <v>37.81</v>
      </c>
      <c r="AA80" s="350" t="n">
        <f aca="false">Z80</f>
        <v>37.81</v>
      </c>
      <c r="AB80" s="350" t="n">
        <f aca="false">AA80</f>
        <v>37.81</v>
      </c>
      <c r="AC80" s="350" t="n">
        <f aca="false">AB80</f>
        <v>37.81</v>
      </c>
      <c r="AD80" s="350" t="n">
        <f aca="false">AC80</f>
        <v>37.81</v>
      </c>
      <c r="AE80" s="350" t="n">
        <f aca="false">AD80</f>
        <v>37.81</v>
      </c>
      <c r="AF80" s="350" t="n">
        <f aca="false">AE80</f>
        <v>37.81</v>
      </c>
      <c r="AG80" s="350" t="n">
        <f aca="false">AF80</f>
        <v>37.81</v>
      </c>
      <c r="AH80" s="351" t="n">
        <f aca="false">AG80</f>
        <v>37.81</v>
      </c>
      <c r="AI80" s="350" t="n">
        <f aca="false">AH80</f>
        <v>37.81</v>
      </c>
      <c r="AJ80" s="350" t="n">
        <f aca="false">AI80</f>
        <v>37.81</v>
      </c>
      <c r="AK80" s="350" t="n">
        <f aca="false">AJ80</f>
        <v>37.81</v>
      </c>
      <c r="AL80" s="350" t="n">
        <f aca="false">AK80</f>
        <v>37.81</v>
      </c>
      <c r="AM80" s="350" t="n">
        <f aca="false">AL80</f>
        <v>37.81</v>
      </c>
      <c r="AN80" s="350" t="n">
        <f aca="false">AM80</f>
        <v>37.81</v>
      </c>
      <c r="AO80" s="350" t="n">
        <f aca="false">AN80</f>
        <v>37.81</v>
      </c>
      <c r="AP80" s="351"/>
      <c r="AR80" s="352" t="n">
        <f aca="true">IF(AND($D80="Serviço",AR$12&lt;&gt;0,$H80&gt;0,OR(AUTOEVENTO&lt;&gt;"manual",$M80&lt;&gt;$A$15)),
        IF(Import.TipoArredondamento&lt;&gt;"TransfereGOV",
              ROUND(OFFSET($P80,0,AR$13),15-13*ORÇAMENTO!$AF$7)/$H80*OFFSET(ORÇAMENTO!$X$15,ROW(AR80)-ROW(AR$15),0),
              ROUND(ROUND(OFFSET($P80,0,AR$13),15-13*ORÇAMENTO!$AF$7)*OFFSET(ORÇAMENTO!$W$15,ROW(AR80)-ROW(AR$15),0),15-13*ORÇAMENTO!$AF$11)),
         0)</f>
        <v>248.41</v>
      </c>
      <c r="AS80" s="352" t="n">
        <f aca="true">IF(AND($D80="Serviço",AS$12&lt;&gt;0,$H80&gt;0,OR(AUTOEVENTO&lt;&gt;"manual",$M80&lt;&gt;$A$15)),
        IF(Import.TipoArredondamento&lt;&gt;"TransfereGOV",
              ROUND(OFFSET($P80,0,AS$13),15-13*ORÇAMENTO!$AF$7)/$H80*OFFSET(ORÇAMENTO!$X$15,ROW(AS80)-ROW(AS$15),0),
              ROUND(ROUND(OFFSET($P80,0,AS$13),15-13*ORÇAMENTO!$AF$7)*OFFSET(ORÇAMENTO!$W$15,ROW(AS80)-ROW(AS$15),0),15-13*ORÇAMENTO!$AF$11)),
         0)</f>
        <v>248.41</v>
      </c>
      <c r="AT80" s="352" t="n">
        <f aca="true">IF(AND($D80="Serviço",AT$12&lt;&gt;0,$H80&gt;0,OR(AUTOEVENTO&lt;&gt;"manual",$M80&lt;&gt;$A$15)),
        IF(Import.TipoArredondamento&lt;&gt;"TransfereGOV",
              ROUND(OFFSET($P80,0,AT$13),15-13*ORÇAMENTO!$AF$7)/$H80*OFFSET(ORÇAMENTO!$X$15,ROW(AT80)-ROW(AT$15),0),
              ROUND(ROUND(OFFSET($P80,0,AT$13),15-13*ORÇAMENTO!$AF$7)*OFFSET(ORÇAMENTO!$W$15,ROW(AT80)-ROW(AT$15),0),15-13*ORÇAMENTO!$AF$11)),
         0)</f>
        <v>248.41</v>
      </c>
      <c r="AU80" s="352" t="n">
        <f aca="true">IF(AND($D80="Serviço",AU$12&lt;&gt;0,$H80&gt;0,OR(AUTOEVENTO&lt;&gt;"manual",$M80&lt;&gt;$A$15)),
        IF(Import.TipoArredondamento&lt;&gt;"TransfereGOV",
              ROUND(OFFSET($P80,0,AU$13),15-13*ORÇAMENTO!$AF$7)/$H80*OFFSET(ORÇAMENTO!$X$15,ROW(AU80)-ROW(AU$15),0),
              ROUND(ROUND(OFFSET($P80,0,AU$13),15-13*ORÇAMENTO!$AF$7)*OFFSET(ORÇAMENTO!$W$15,ROW(AU80)-ROW(AU$15),0),15-13*ORÇAMENTO!$AF$11)),
         0)</f>
        <v>248.41</v>
      </c>
      <c r="AV80" s="352" t="n">
        <f aca="true">IF(AND($D80="Serviço",AV$12&lt;&gt;0,$H80&gt;0,OR(AUTOEVENTO&lt;&gt;"manual",$M80&lt;&gt;$A$15)),
        IF(Import.TipoArredondamento&lt;&gt;"TransfereGOV",
              ROUND(OFFSET($P80,0,AV$13),15-13*ORÇAMENTO!$AF$7)/$H80*OFFSET(ORÇAMENTO!$X$15,ROW(AV80)-ROW(AV$15),0),
              ROUND(ROUND(OFFSET($P80,0,AV$13),15-13*ORÇAMENTO!$AF$7)*OFFSET(ORÇAMENTO!$W$15,ROW(AV80)-ROW(AV$15),0),15-13*ORÇAMENTO!$AF$11)),
         0)</f>
        <v>248.41</v>
      </c>
      <c r="AW80" s="352" t="n">
        <f aca="true">IF(AND($D80="Serviço",AW$12&lt;&gt;0,$H80&gt;0,OR(AUTOEVENTO&lt;&gt;"manual",$M80&lt;&gt;$A$15)),
        IF(Import.TipoArredondamento&lt;&gt;"TransfereGOV",
              ROUND(OFFSET($P80,0,AW$13),15-13*ORÇAMENTO!$AF$7)/$H80*OFFSET(ORÇAMENTO!$X$15,ROW(AW80)-ROW(AW$15),0),
              ROUND(ROUND(OFFSET($P80,0,AW$13),15-13*ORÇAMENTO!$AF$7)*OFFSET(ORÇAMENTO!$W$15,ROW(AW80)-ROW(AW$15),0),15-13*ORÇAMENTO!$AF$11)),
         0)</f>
        <v>248.41</v>
      </c>
      <c r="AX80" s="352" t="n">
        <f aca="true">IF(AND($D80="Serviço",AX$12&lt;&gt;0,$H80&gt;0,OR(AUTOEVENTO&lt;&gt;"manual",$M80&lt;&gt;$A$15)),
        IF(Import.TipoArredondamento&lt;&gt;"TransfereGOV",
              ROUND(OFFSET($P80,0,AX$13),15-13*ORÇAMENTO!$AF$7)/$H80*OFFSET(ORÇAMENTO!$X$15,ROW(AX80)-ROW(AX$15),0),
              ROUND(ROUND(OFFSET($P80,0,AX$13),15-13*ORÇAMENTO!$AF$7)*OFFSET(ORÇAMENTO!$W$15,ROW(AX80)-ROW(AX$15),0),15-13*ORÇAMENTO!$AF$11)),
         0)</f>
        <v>248.41</v>
      </c>
      <c r="AY80" s="352" t="n">
        <f aca="true">IF(AND($D80="Serviço",AY$12&lt;&gt;0,$H80&gt;0,OR(AUTOEVENTO&lt;&gt;"manual",$M80&lt;&gt;$A$15)),
        IF(Import.TipoArredondamento&lt;&gt;"TransfereGOV",
              ROUND(OFFSET($P80,0,AY$13),15-13*ORÇAMENTO!$AF$7)/$H80*OFFSET(ORÇAMENTO!$X$15,ROW(AY80)-ROW(AY$15),0),
              ROUND(ROUND(OFFSET($P80,0,AY$13),15-13*ORÇAMENTO!$AF$7)*OFFSET(ORÇAMENTO!$W$15,ROW(AY80)-ROW(AY$15),0),15-13*ORÇAMENTO!$AF$11)),
         0)</f>
        <v>248.41</v>
      </c>
      <c r="AZ80" s="352" t="n">
        <f aca="true">IF(AND($D80="Serviço",AZ$12&lt;&gt;0,$H80&gt;0,OR(AUTOEVENTO&lt;&gt;"manual",$M80&lt;&gt;$A$15)),
        IF(Import.TipoArredondamento&lt;&gt;"TransfereGOV",
              ROUND(OFFSET($P80,0,AZ$13),15-13*ORÇAMENTO!$AF$7)/$H80*OFFSET(ORÇAMENTO!$X$15,ROW(AZ80)-ROW(AZ$15),0),
              ROUND(ROUND(OFFSET($P80,0,AZ$13),15-13*ORÇAMENTO!$AF$7)*OFFSET(ORÇAMENTO!$W$15,ROW(AZ80)-ROW(AZ$15),0),15-13*ORÇAMENTO!$AF$11)),
         0)</f>
        <v>248.41</v>
      </c>
      <c r="BA80" s="352" t="n">
        <f aca="true">IF(AND($D80="Serviço",BA$12&lt;&gt;0,$H80&gt;0,OR(AUTOEVENTO&lt;&gt;"manual",$M80&lt;&gt;$A$15)),
        IF(Import.TipoArredondamento&lt;&gt;"TransfereGOV",
              ROUND(OFFSET($P80,0,BA$13),15-13*ORÇAMENTO!$AF$7)/$H80*OFFSET(ORÇAMENTO!$X$15,ROW(BA80)-ROW(BA$15),0),
              ROUND(ROUND(OFFSET($P80,0,BA$13),15-13*ORÇAMENTO!$AF$7)*OFFSET(ORÇAMENTO!$W$15,ROW(BA80)-ROW(BA$15),0),15-13*ORÇAMENTO!$AF$11)),
         0)</f>
        <v>248.41</v>
      </c>
      <c r="BB80" s="352" t="n">
        <f aca="true">IF(AND($D80="Serviço",BB$12&lt;&gt;0,$H80&gt;0,OR(AUTOEVENTO&lt;&gt;"manual",$M80&lt;&gt;$A$15)),
        IF(Import.TipoArredondamento&lt;&gt;"TransfereGOV",
              ROUND(OFFSET($P80,0,BB$13),15-13*ORÇAMENTO!$AF$7)/$H80*OFFSET(ORÇAMENTO!$X$15,ROW(BB80)-ROW(BB$15),0),
              ROUND(ROUND(OFFSET($P80,0,BB$13),15-13*ORÇAMENTO!$AF$7)*OFFSET(ORÇAMENTO!$W$15,ROW(BB80)-ROW(BB$15),0),15-13*ORÇAMENTO!$AF$11)),
         0)</f>
        <v>248.41</v>
      </c>
      <c r="BC80" s="352" t="n">
        <f aca="true">IF(AND($D80="Serviço",BC$12&lt;&gt;0,$H80&gt;0,OR(AUTOEVENTO&lt;&gt;"manual",$M80&lt;&gt;$A$15)),
        IF(Import.TipoArredondamento&lt;&gt;"TransfereGOV",
              ROUND(OFFSET($P80,0,BC$13),15-13*ORÇAMENTO!$AF$7)/$H80*OFFSET(ORÇAMENTO!$X$15,ROW(BC80)-ROW(BC$15),0),
              ROUND(ROUND(OFFSET($P80,0,BC$13),15-13*ORÇAMENTO!$AF$7)*OFFSET(ORÇAMENTO!$W$15,ROW(BC80)-ROW(BC$15),0),15-13*ORÇAMENTO!$AF$11)),
         0)</f>
        <v>248.41</v>
      </c>
      <c r="BD80" s="352" t="n">
        <f aca="true">IF(AND($D80="Serviço",BD$12&lt;&gt;0,$H80&gt;0,OR(AUTOEVENTO&lt;&gt;"manual",$M80&lt;&gt;$A$15)),
        IF(Import.TipoArredondamento&lt;&gt;"TransfereGOV",
              ROUND(OFFSET($P80,0,BD$13),15-13*ORÇAMENTO!$AF$7)/$H80*OFFSET(ORÇAMENTO!$X$15,ROW(BD80)-ROW(BD$15),0),
              ROUND(ROUND(OFFSET($P80,0,BD$13),15-13*ORÇAMENTO!$AF$7)*OFFSET(ORÇAMENTO!$W$15,ROW(BD80)-ROW(BD$15),0),15-13*ORÇAMENTO!$AF$11)),
         0)</f>
        <v>248.41</v>
      </c>
      <c r="BE80" s="352" t="n">
        <f aca="true">IF(AND($D80="Serviço",BE$12&lt;&gt;0,$H80&gt;0,OR(AUTOEVENTO&lt;&gt;"manual",$M80&lt;&gt;$A$15)),
        IF(Import.TipoArredondamento&lt;&gt;"TransfereGOV",
              ROUND(OFFSET($P80,0,BE$13),15-13*ORÇAMENTO!$AF$7)/$H80*OFFSET(ORÇAMENTO!$X$15,ROW(BE80)-ROW(BE$15),0),
              ROUND(ROUND(OFFSET($P80,0,BE$13),15-13*ORÇAMENTO!$AF$7)*OFFSET(ORÇAMENTO!$W$15,ROW(BE80)-ROW(BE$15),0),15-13*ORÇAMENTO!$AF$11)),
         0)</f>
        <v>248.41</v>
      </c>
      <c r="BF80" s="352" t="n">
        <f aca="true">IF(AND($D80="Serviço",BF$12&lt;&gt;0,$H80&gt;0,OR(AUTOEVENTO&lt;&gt;"manual",$M80&lt;&gt;$A$15)),
        IF(Import.TipoArredondamento&lt;&gt;"TransfereGOV",
              ROUND(OFFSET($P80,0,BF$13),15-13*ORÇAMENTO!$AF$7)/$H80*OFFSET(ORÇAMENTO!$X$15,ROW(BF80)-ROW(BF$15),0),
              ROUND(ROUND(OFFSET($P80,0,BF$13),15-13*ORÇAMENTO!$AF$7)*OFFSET(ORÇAMENTO!$W$15,ROW(BF80)-ROW(BF$15),0),15-13*ORÇAMENTO!$AF$11)),
         0)</f>
        <v>248.41</v>
      </c>
      <c r="BG80" s="352" t="n">
        <f aca="true">IF(AND($D80="Serviço",BG$12&lt;&gt;0,$H80&gt;0,OR(AUTOEVENTO&lt;&gt;"manual",$M80&lt;&gt;$A$15)),
        IF(Import.TipoArredondamento&lt;&gt;"TransfereGOV",
              ROUND(OFFSET($P80,0,BG$13),15-13*ORÇAMENTO!$AF$7)/$H80*OFFSET(ORÇAMENTO!$X$15,ROW(BG80)-ROW(BG$15),0),
              ROUND(ROUND(OFFSET($P80,0,BG$13),15-13*ORÇAMENTO!$AF$7)*OFFSET(ORÇAMENTO!$W$15,ROW(BG80)-ROW(BG$15),0),15-13*ORÇAMENTO!$AF$11)),
         0)</f>
        <v>248.41</v>
      </c>
      <c r="BH80" s="352" t="n">
        <f aca="true">IF(AND($D80="Serviço",BH$12&lt;&gt;0,$H80&gt;0,OR(AUTOEVENTO&lt;&gt;"manual",$M80&lt;&gt;$A$15)),
        IF(Import.TipoArredondamento&lt;&gt;"TransfereGOV",
              ROUND(OFFSET($P80,0,BH$13),15-13*ORÇAMENTO!$AF$7)/$H80*OFFSET(ORÇAMENTO!$X$15,ROW(BH80)-ROW(BH$15),0),
              ROUND(ROUND(OFFSET($P80,0,BH$13),15-13*ORÇAMENTO!$AF$7)*OFFSET(ORÇAMENTO!$W$15,ROW(BH80)-ROW(BH$15),0),15-13*ORÇAMENTO!$AF$11)),
         0)</f>
        <v>248.41</v>
      </c>
      <c r="BI80" s="352" t="n">
        <f aca="true">IF(AND($D80="Serviço",BI$12&lt;&gt;0,$H80&gt;0,OR(AUTOEVENTO&lt;&gt;"manual",$M80&lt;&gt;$A$15)),
        IF(Import.TipoArredondamento&lt;&gt;"TransfereGOV",
              ROUND(OFFSET($P80,0,BI$13),15-13*ORÇAMENTO!$AF$7)/$H80*OFFSET(ORÇAMENTO!$X$15,ROW(BI80)-ROW(BI$15),0),
              ROUND(ROUND(OFFSET($P80,0,BI$13),15-13*ORÇAMENTO!$AF$7)*OFFSET(ORÇAMENTO!$W$15,ROW(BI80)-ROW(BI$15),0),15-13*ORÇAMENTO!$AF$11)),
         0)</f>
        <v>248.41</v>
      </c>
      <c r="BJ80" s="352" t="n">
        <f aca="true">IF(AND($D80="Serviço",BJ$12&lt;&gt;0,$H80&gt;0,OR(AUTOEVENTO&lt;&gt;"manual",$M80&lt;&gt;$A$15)),
        IF(Import.TipoArredondamento&lt;&gt;"TransfereGOV",
              ROUND(OFFSET($P80,0,BJ$13),15-13*ORÇAMENTO!$AF$7)/$H80*OFFSET(ORÇAMENTO!$X$15,ROW(BJ80)-ROW(BJ$15),0),
              ROUND(ROUND(OFFSET($P80,0,BJ$13),15-13*ORÇAMENTO!$AF$7)*OFFSET(ORÇAMENTO!$W$15,ROW(BJ80)-ROW(BJ$15),0),15-13*ORÇAMENTO!$AF$11)),
         0)</f>
        <v>248.41</v>
      </c>
      <c r="BK80" s="352" t="n">
        <f aca="true">IF(AND($D80="Serviço",BK$12&lt;&gt;0,$H80&gt;0,OR(AUTOEVENTO&lt;&gt;"manual",$M80&lt;&gt;$A$15)),
        IF(Import.TipoArredondamento&lt;&gt;"TransfereGOV",
              ROUND(OFFSET($P80,0,BK$13),15-13*ORÇAMENTO!$AF$7)/$H80*OFFSET(ORÇAMENTO!$X$15,ROW(BK80)-ROW(BK$15),0),
              ROUND(ROUND(OFFSET($P80,0,BK$13),15-13*ORÇAMENTO!$AF$7)*OFFSET(ORÇAMENTO!$W$15,ROW(BK80)-ROW(BK$15),0),15-13*ORÇAMENTO!$AF$11)),
         0)</f>
        <v>248.41</v>
      </c>
      <c r="BL80" s="352" t="n">
        <f aca="true">IF(AND($D80="Serviço",BL$12&lt;&gt;0,$H80&gt;0,OR(AUTOEVENTO&lt;&gt;"manual",$M80&lt;&gt;$A$15)),
        IF(Import.TipoArredondamento&lt;&gt;"TransfereGOV",
              ROUND(OFFSET($P80,0,BL$13),15-13*ORÇAMENTO!$AF$7)/$H80*OFFSET(ORÇAMENTO!$X$15,ROW(BL80)-ROW(BL$15),0),
              ROUND(ROUND(OFFSET($P80,0,BL$13),15-13*ORÇAMENTO!$AF$7)*OFFSET(ORÇAMENTO!$W$15,ROW(BL80)-ROW(BL$15),0),15-13*ORÇAMENTO!$AF$11)),
         0)</f>
        <v>248.41</v>
      </c>
      <c r="BM80" s="352" t="n">
        <f aca="true">IF(AND($D80="Serviço",BM$12&lt;&gt;0,$H80&gt;0,OR(AUTOEVENTO&lt;&gt;"manual",$M80&lt;&gt;$A$15)),
        IF(Import.TipoArredondamento&lt;&gt;"TransfereGOV",
              ROUND(OFFSET($P80,0,BM$13),15-13*ORÇAMENTO!$AF$7)/$H80*OFFSET(ORÇAMENTO!$X$15,ROW(BM80)-ROW(BM$15),0),
              ROUND(ROUND(OFFSET($P80,0,BM$13),15-13*ORÇAMENTO!$AF$7)*OFFSET(ORÇAMENTO!$W$15,ROW(BM80)-ROW(BM$15),0),15-13*ORÇAMENTO!$AF$11)),
         0)</f>
        <v>248.41</v>
      </c>
      <c r="BN80" s="352" t="n">
        <f aca="true">IF(AND($D80="Serviço",BN$12&lt;&gt;0,$H80&gt;0,OR(AUTOEVENTO&lt;&gt;"manual",$M80&lt;&gt;$A$15)),
        IF(Import.TipoArredondamento&lt;&gt;"TransfereGOV",
              ROUND(OFFSET($P80,0,BN$13),15-13*ORÇAMENTO!$AF$7)/$H80*OFFSET(ORÇAMENTO!$X$15,ROW(BN80)-ROW(BN$15),0),
              ROUND(ROUND(OFFSET($P80,0,BN$13),15-13*ORÇAMENTO!$AF$7)*OFFSET(ORÇAMENTO!$W$15,ROW(BN80)-ROW(BN$15),0),15-13*ORÇAMENTO!$AF$11)),
         0)</f>
        <v>248.41</v>
      </c>
      <c r="BO80" s="352" t="n">
        <f aca="true">IF(AND($D80="Serviço",BO$12&lt;&gt;0,$H80&gt;0,OR(AUTOEVENTO&lt;&gt;"manual",$M80&lt;&gt;$A$15)),
        IF(Import.TipoArredondamento&lt;&gt;"TransfereGOV",
              ROUND(OFFSET($P80,0,BO$13),15-13*ORÇAMENTO!$AF$7)/$H80*OFFSET(ORÇAMENTO!$X$15,ROW(BO80)-ROW(BO$15),0),
              ROUND(ROUND(OFFSET($P80,0,BO$13),15-13*ORÇAMENTO!$AF$7)*OFFSET(ORÇAMENTO!$W$15,ROW(BO80)-ROW(BO$15),0),15-13*ORÇAMENTO!$AF$11)),
         0)</f>
        <v>248.41</v>
      </c>
      <c r="BP80" s="352" t="n">
        <f aca="true">IF(AND($D80="Serviço",BP$12&lt;&gt;0,$H80&gt;0,OR(AUTOEVENTO&lt;&gt;"manual",$M80&lt;&gt;$A$15)),
        IF(Import.TipoArredondamento&lt;&gt;"TransfereGOV",
              ROUND(OFFSET($P80,0,BP$13),15-13*ORÇAMENTO!$AF$7)/$H80*OFFSET(ORÇAMENTO!$X$15,ROW(BP80)-ROW(BP$15),0),
              ROUND(ROUND(OFFSET($P80,0,BP$13),15-13*ORÇAMENTO!$AF$7)*OFFSET(ORÇAMENTO!$W$15,ROW(BP80)-ROW(BP$15),0),15-13*ORÇAMENTO!$AF$11)),
         0)</f>
        <v>248.41</v>
      </c>
      <c r="BQ80" s="352" t="n">
        <f aca="true">IF(AND($D80="Serviço",BQ$12&lt;&gt;0,$H80&gt;0,OR(AUTOEVENTO&lt;&gt;"manual",$M80&lt;&gt;$A$15)),
        IF(Import.TipoArredondamento&lt;&gt;"TransfereGOV",
              ROUND(OFFSET($P80,0,BQ$13),15-13*ORÇAMENTO!$AF$7)/$H80*OFFSET(ORÇAMENTO!$X$15,ROW(BQ80)-ROW(BQ$15),0),
              ROUND(ROUND(OFFSET($P80,0,BQ$13),15-13*ORÇAMENTO!$AF$7)*OFFSET(ORÇAMENTO!$W$15,ROW(BQ80)-ROW(BQ$15),0),15-13*ORÇAMENTO!$AF$11)),
         0)</f>
        <v>0</v>
      </c>
      <c r="BS80" s="353" t="n">
        <f aca="true">IF(OR($D80&lt;&gt;"Serviço",AND(AUTOEVENTO="Manual",$M80=$A$15)),0,
         IF(OFFSET(CRONOPLE!$F$15,$M80-$A$15,BS$13)=0,10^12,OFFSET(CRONOPLE!$F$15,$M80-$A$15,BS$13)))</f>
        <v>1</v>
      </c>
      <c r="BT80" s="353" t="n">
        <f aca="true">IF(OR($D80&lt;&gt;"Serviço",AND(AUTOEVENTO="Manual",$M80=$A$15)),0,
         IF(OFFSET(CRONOPLE!$F$15,$M80-$A$15,BT$13)=0,10^12,OFFSET(CRONOPLE!$F$15,$M80-$A$15,BT$13)))</f>
        <v>2</v>
      </c>
      <c r="BU80" s="353" t="n">
        <f aca="true">IF(OR($D80&lt;&gt;"Serviço",AND(AUTOEVENTO="Manual",$M80=$A$15)),0,
         IF(OFFSET(CRONOPLE!$F$15,$M80-$A$15,BU$13)=0,10^12,OFFSET(CRONOPLE!$F$15,$M80-$A$15,BU$13)))</f>
        <v>3</v>
      </c>
      <c r="BV80" s="353" t="n">
        <f aca="true">IF(OR($D80&lt;&gt;"Serviço",AND(AUTOEVENTO="Manual",$M80=$A$15)),0,
         IF(OFFSET(CRONOPLE!$F$15,$M80-$A$15,BV$13)=0,10^12,OFFSET(CRONOPLE!$F$15,$M80-$A$15,BV$13)))</f>
        <v>4</v>
      </c>
      <c r="BW80" s="353" t="n">
        <f aca="true">IF(OR($D80&lt;&gt;"Serviço",AND(AUTOEVENTO="Manual",$M80=$A$15)),0,
         IF(OFFSET(CRONOPLE!$F$15,$M80-$A$15,BW$13)=0,10^12,OFFSET(CRONOPLE!$F$15,$M80-$A$15,BW$13)))</f>
        <v>5</v>
      </c>
      <c r="BX80" s="353" t="n">
        <f aca="true">IF(OR($D80&lt;&gt;"Serviço",AND(AUTOEVENTO="Manual",$M80=$A$15)),0,
         IF(OFFSET(CRONOPLE!$F$15,$M80-$A$15,BX$13)=0,10^12,OFFSET(CRONOPLE!$F$15,$M80-$A$15,BX$13)))</f>
        <v>6</v>
      </c>
      <c r="BY80" s="353" t="n">
        <f aca="true">IF(OR($D80&lt;&gt;"Serviço",AND(AUTOEVENTO="Manual",$M80=$A$15)),0,
         IF(OFFSET(CRONOPLE!$F$15,$M80-$A$15,BY$13)=0,10^12,OFFSET(CRONOPLE!$F$15,$M80-$A$15,BY$13)))</f>
        <v>7</v>
      </c>
      <c r="BZ80" s="353" t="n">
        <f aca="true">IF(OR($D80&lt;&gt;"Serviço",AND(AUTOEVENTO="Manual",$M80=$A$15)),0,
         IF(OFFSET(CRONOPLE!$F$15,$M80-$A$15,BZ$13)=0,10^12,OFFSET(CRONOPLE!$F$15,$M80-$A$15,BZ$13)))</f>
        <v>8</v>
      </c>
      <c r="CA80" s="353" t="n">
        <f aca="true">IF(OR($D80&lt;&gt;"Serviço",AND(AUTOEVENTO="Manual",$M80=$A$15)),0,
         IF(OFFSET(CRONOPLE!$F$15,$M80-$A$15,CA$13)=0,10^12,OFFSET(CRONOPLE!$F$15,$M80-$A$15,CA$13)))</f>
        <v>9</v>
      </c>
      <c r="CB80" s="353" t="n">
        <f aca="true">IF(OR($D80&lt;&gt;"Serviço",AND(AUTOEVENTO="Manual",$M80=$A$15)),0,
         IF(OFFSET(CRONOPLE!$F$15,$M80-$A$15,CB$13)=0,10^12,OFFSET(CRONOPLE!$F$15,$M80-$A$15,CB$13)))</f>
        <v>10</v>
      </c>
      <c r="CC80" s="353" t="n">
        <f aca="true">IF(OR($D80&lt;&gt;"Serviço",AND(AUTOEVENTO="Manual",$M80=$A$15)),0,
         IF(OFFSET(CRONOPLE!$F$15,$M80-$A$15,CC$13)=0,10^12,OFFSET(CRONOPLE!$F$15,$M80-$A$15,CC$13)))</f>
        <v>11</v>
      </c>
      <c r="CD80" s="353" t="n">
        <f aca="true">IF(OR($D80&lt;&gt;"Serviço",AND(AUTOEVENTO="Manual",$M80=$A$15)),0,
         IF(OFFSET(CRONOPLE!$F$15,$M80-$A$15,CD$13)=0,10^12,OFFSET(CRONOPLE!$F$15,$M80-$A$15,CD$13)))</f>
        <v>12</v>
      </c>
      <c r="CE80" s="353" t="n">
        <f aca="true">IF(OR($D80&lt;&gt;"Serviço",AND(AUTOEVENTO="Manual",$M80=$A$15)),0,
         IF(OFFSET(CRONOPLE!$F$15,$M80-$A$15,CE$13)=0,10^12,OFFSET(CRONOPLE!$F$15,$M80-$A$15,CE$13)))</f>
        <v>13</v>
      </c>
      <c r="CF80" s="353" t="n">
        <f aca="true">IF(OR($D80&lt;&gt;"Serviço",AND(AUTOEVENTO="Manual",$M80=$A$15)),0,
         IF(OFFSET(CRONOPLE!$F$15,$M80-$A$15,CF$13)=0,10^12,OFFSET(CRONOPLE!$F$15,$M80-$A$15,CF$13)))</f>
        <v>14</v>
      </c>
      <c r="CG80" s="353" t="n">
        <f aca="true">IF(OR($D80&lt;&gt;"Serviço",AND(AUTOEVENTO="Manual",$M80=$A$15)),0,
         IF(OFFSET(CRONOPLE!$F$15,$M80-$A$15,CG$13)=0,10^12,OFFSET(CRONOPLE!$F$15,$M80-$A$15,CG$13)))</f>
        <v>15</v>
      </c>
      <c r="CH80" s="353" t="n">
        <f aca="true">IF(OR($D80&lt;&gt;"Serviço",AND(AUTOEVENTO="Manual",$M80=$A$15)),0,
         IF(OFFSET(CRONOPLE!$F$15,$M80-$A$15,CH$13)=0,10^12,OFFSET(CRONOPLE!$F$15,$M80-$A$15,CH$13)))</f>
        <v>16</v>
      </c>
      <c r="CI80" s="353" t="n">
        <f aca="true">IF(OR($D80&lt;&gt;"Serviço",AND(AUTOEVENTO="Manual",$M80=$A$15)),0,
         IF(OFFSET(CRONOPLE!$F$15,$M80-$A$15,CI$13)=0,10^12,OFFSET(CRONOPLE!$F$15,$M80-$A$15,CI$13)))</f>
        <v>17</v>
      </c>
      <c r="CJ80" s="353" t="n">
        <f aca="true">IF(OR($D80&lt;&gt;"Serviço",AND(AUTOEVENTO="Manual",$M80=$A$15)),0,
         IF(OFFSET(CRONOPLE!$F$15,$M80-$A$15,CJ$13)=0,10^12,OFFSET(CRONOPLE!$F$15,$M80-$A$15,CJ$13)))</f>
        <v>18</v>
      </c>
      <c r="CK80" s="353" t="n">
        <f aca="true">IF(OR($D80&lt;&gt;"Serviço",AND(AUTOEVENTO="Manual",$M80=$A$15)),0,
         IF(OFFSET(CRONOPLE!$F$15,$M80-$A$15,CK$13)=0,10^12,OFFSET(CRONOPLE!$F$15,$M80-$A$15,CK$13)))</f>
        <v>19</v>
      </c>
      <c r="CL80" s="353" t="n">
        <f aca="true">IF(OR($D80&lt;&gt;"Serviço",AND(AUTOEVENTO="Manual",$M80=$A$15)),0,
         IF(OFFSET(CRONOPLE!$F$15,$M80-$A$15,CL$13)=0,10^12,OFFSET(CRONOPLE!$F$15,$M80-$A$15,CL$13)))</f>
        <v>20</v>
      </c>
      <c r="CM80" s="353" t="n">
        <f aca="true">IF(OR($D80&lt;&gt;"Serviço",AND(AUTOEVENTO="Manual",$M80=$A$15)),0,
         IF(OFFSET(CRONOPLE!$F$15,$M80-$A$15,CM$13)=0,10^12,OFFSET(CRONOPLE!$F$15,$M80-$A$15,CM$13)))</f>
        <v>21</v>
      </c>
      <c r="CN80" s="353" t="n">
        <f aca="true">IF(OR($D80&lt;&gt;"Serviço",AND(AUTOEVENTO="Manual",$M80=$A$15)),0,
         IF(OFFSET(CRONOPLE!$F$15,$M80-$A$15,CN$13)=0,10^12,OFFSET(CRONOPLE!$F$15,$M80-$A$15,CN$13)))</f>
        <v>22</v>
      </c>
      <c r="CO80" s="353" t="n">
        <f aca="true">IF(OR($D80&lt;&gt;"Serviço",AND(AUTOEVENTO="Manual",$M80=$A$15)),0,
         IF(OFFSET(CRONOPLE!$F$15,$M80-$A$15,CO$13)=0,10^12,OFFSET(CRONOPLE!$F$15,$M80-$A$15,CO$13)))</f>
        <v>23</v>
      </c>
      <c r="CP80" s="353" t="n">
        <f aca="true">IF(OR($D80&lt;&gt;"Serviço",AND(AUTOEVENTO="Manual",$M80=$A$15)),0,
         IF(OFFSET(CRONOPLE!$F$15,$M80-$A$15,CP$13)=0,10^12,OFFSET(CRONOPLE!$F$15,$M80-$A$15,CP$13)))</f>
        <v>24</v>
      </c>
      <c r="CQ80" s="353" t="n">
        <f aca="true">IF(OR($D80&lt;&gt;"Serviço",AND(AUTOEVENTO="Manual",$M80=$A$15)),0,
         IF(OFFSET(CRONOPLE!$F$15,$M80-$A$15,CQ$13)=0,10^12,OFFSET(CRONOPLE!$F$15,$M80-$A$15,CQ$13)))</f>
        <v>25</v>
      </c>
      <c r="CR80" s="353" t="n">
        <f aca="true">IF(OR($D80&lt;&gt;"Serviço",AND(AUTOEVENTO="Manual",$M80=$A$15)),0,
         IF(OFFSET(CRONOPLE!$F$15,$M80-$A$15,CR$13)=0,10^12,OFFSET(CRONOPLE!$F$15,$M80-$A$15,CR$13)))</f>
        <v>1000000000000</v>
      </c>
      <c r="CT80" s="354" t="n">
        <f aca="true">IF(OR($D80&lt;&gt;"Serviço",AND(AUTOEVENTO="Manual",$M80=$A$15),$M80&gt;(ROW(PLE.lastrow)-ROW(PLE.firstrow))),0,
           IF(OFFSET(PLE!$G$15,$M80-$A$15,CT$13)="",10^12,OFFSET(PLE!$G$15,$M80-$A$15,CT$13)))</f>
        <v>1000000000000</v>
      </c>
      <c r="CU80" s="354" t="n">
        <f aca="true">IF(OR($D80&lt;&gt;"Serviço",AND(AUTOEVENTO="Manual",$M80=$A$15),$M80&gt;(ROW(PLE.lastrow)-ROW(PLE.firstrow))),0,
           IF(OFFSET(PLE!$G$15,$M80-$A$15,CU$13)="",10^12,OFFSET(PLE!$G$15,$M80-$A$15,CU$13)))</f>
        <v>1000000000000</v>
      </c>
      <c r="CV80" s="354" t="n">
        <f aca="true">IF(OR($D80&lt;&gt;"Serviço",AND(AUTOEVENTO="Manual",$M80=$A$15),$M80&gt;(ROW(PLE.lastrow)-ROW(PLE.firstrow))),0,
           IF(OFFSET(PLE!$G$15,$M80-$A$15,CV$13)="",10^12,OFFSET(PLE!$G$15,$M80-$A$15,CV$13)))</f>
        <v>1000000000000</v>
      </c>
      <c r="CW80" s="354" t="n">
        <f aca="true">IF(OR($D80&lt;&gt;"Serviço",AND(AUTOEVENTO="Manual",$M80=$A$15),$M80&gt;(ROW(PLE.lastrow)-ROW(PLE.firstrow))),0,
           IF(OFFSET(PLE!$G$15,$M80-$A$15,CW$13)="",10^12,OFFSET(PLE!$G$15,$M80-$A$15,CW$13)))</f>
        <v>1000000000000</v>
      </c>
      <c r="CX80" s="354" t="n">
        <f aca="true">IF(OR($D80&lt;&gt;"Serviço",AND(AUTOEVENTO="Manual",$M80=$A$15),$M80&gt;(ROW(PLE.lastrow)-ROW(PLE.firstrow))),0,
           IF(OFFSET(PLE!$G$15,$M80-$A$15,CX$13)="",10^12,OFFSET(PLE!$G$15,$M80-$A$15,CX$13)))</f>
        <v>1000000000000</v>
      </c>
      <c r="CY80" s="354" t="n">
        <f aca="true">IF(OR($D80&lt;&gt;"Serviço",AND(AUTOEVENTO="Manual",$M80=$A$15),$M80&gt;(ROW(PLE.lastrow)-ROW(PLE.firstrow))),0,
           IF(OFFSET(PLE!$G$15,$M80-$A$15,CY$13)="",10^12,OFFSET(PLE!$G$15,$M80-$A$15,CY$13)))</f>
        <v>1000000000000</v>
      </c>
      <c r="CZ80" s="354" t="n">
        <f aca="true">IF(OR($D80&lt;&gt;"Serviço",AND(AUTOEVENTO="Manual",$M80=$A$15),$M80&gt;(ROW(PLE.lastrow)-ROW(PLE.firstrow))),0,
           IF(OFFSET(PLE!$G$15,$M80-$A$15,CZ$13)="",10^12,OFFSET(PLE!$G$15,$M80-$A$15,CZ$13)))</f>
        <v>1000000000000</v>
      </c>
      <c r="DA80" s="354" t="n">
        <f aca="true">IF(OR($D80&lt;&gt;"Serviço",AND(AUTOEVENTO="Manual",$M80=$A$15),$M80&gt;(ROW(PLE.lastrow)-ROW(PLE.firstrow))),0,
           IF(OFFSET(PLE!$G$15,$M80-$A$15,DA$13)="",10^12,OFFSET(PLE!$G$15,$M80-$A$15,DA$13)))</f>
        <v>1000000000000</v>
      </c>
      <c r="DB80" s="354" t="n">
        <f aca="true">IF(OR($D80&lt;&gt;"Serviço",AND(AUTOEVENTO="Manual",$M80=$A$15),$M80&gt;(ROW(PLE.lastrow)-ROW(PLE.firstrow))),0,
           IF(OFFSET(PLE!$G$15,$M80-$A$15,DB$13)="",10^12,OFFSET(PLE!$G$15,$M80-$A$15,DB$13)))</f>
        <v>1000000000000</v>
      </c>
      <c r="DC80" s="354" t="n">
        <f aca="true">IF(OR($D80&lt;&gt;"Serviço",AND(AUTOEVENTO="Manual",$M80=$A$15),$M80&gt;(ROW(PLE.lastrow)-ROW(PLE.firstrow))),0,
           IF(OFFSET(PLE!$G$15,$M80-$A$15,DC$13)="",10^12,OFFSET(PLE!$G$15,$M80-$A$15,DC$13)))</f>
        <v>1000000000000</v>
      </c>
      <c r="DD80" s="354" t="n">
        <f aca="true">IF(OR($D80&lt;&gt;"Serviço",AND(AUTOEVENTO="Manual",$M80=$A$15),$M80&gt;(ROW(PLE.lastrow)-ROW(PLE.firstrow))),0,
           IF(OFFSET(PLE!$G$15,$M80-$A$15,DD$13)="",10^12,OFFSET(PLE!$G$15,$M80-$A$15,DD$13)))</f>
        <v>1000000000000</v>
      </c>
      <c r="DE80" s="354" t="n">
        <f aca="true">IF(OR($D80&lt;&gt;"Serviço",AND(AUTOEVENTO="Manual",$M80=$A$15),$M80&gt;(ROW(PLE.lastrow)-ROW(PLE.firstrow))),0,
           IF(OFFSET(PLE!$G$15,$M80-$A$15,DE$13)="",10^12,OFFSET(PLE!$G$15,$M80-$A$15,DE$13)))</f>
        <v>1000000000000</v>
      </c>
      <c r="DF80" s="354" t="n">
        <f aca="true">IF(OR($D80&lt;&gt;"Serviço",AND(AUTOEVENTO="Manual",$M80=$A$15),$M80&gt;(ROW(PLE.lastrow)-ROW(PLE.firstrow))),0,
           IF(OFFSET(PLE!$G$15,$M80-$A$15,DF$13)="",10^12,OFFSET(PLE!$G$15,$M80-$A$15,DF$13)))</f>
        <v>1000000000000</v>
      </c>
      <c r="DG80" s="354" t="n">
        <f aca="true">IF(OR($D80&lt;&gt;"Serviço",AND(AUTOEVENTO="Manual",$M80=$A$15),$M80&gt;(ROW(PLE.lastrow)-ROW(PLE.firstrow))),0,
           IF(OFFSET(PLE!$G$15,$M80-$A$15,DG$13)="",10^12,OFFSET(PLE!$G$15,$M80-$A$15,DG$13)))</f>
        <v>1000000000000</v>
      </c>
      <c r="DH80" s="354" t="n">
        <f aca="true">IF(OR($D80&lt;&gt;"Serviço",AND(AUTOEVENTO="Manual",$M80=$A$15),$M80&gt;(ROW(PLE.lastrow)-ROW(PLE.firstrow))),0,
           IF(OFFSET(PLE!$G$15,$M80-$A$15,DH$13)="",10^12,OFFSET(PLE!$G$15,$M80-$A$15,DH$13)))</f>
        <v>1000000000000</v>
      </c>
      <c r="DI80" s="354" t="n">
        <f aca="true">IF(OR($D80&lt;&gt;"Serviço",AND(AUTOEVENTO="Manual",$M80=$A$15),$M80&gt;(ROW(PLE.lastrow)-ROW(PLE.firstrow))),0,
           IF(OFFSET(PLE!$G$15,$M80-$A$15,DI$13)="",10^12,OFFSET(PLE!$G$15,$M80-$A$15,DI$13)))</f>
        <v>1000000000000</v>
      </c>
      <c r="DJ80" s="354" t="n">
        <f aca="true">IF(OR($D80&lt;&gt;"Serviço",AND(AUTOEVENTO="Manual",$M80=$A$15),$M80&gt;(ROW(PLE.lastrow)-ROW(PLE.firstrow))),0,
           IF(OFFSET(PLE!$G$15,$M80-$A$15,DJ$13)="",10^12,OFFSET(PLE!$G$15,$M80-$A$15,DJ$13)))</f>
        <v>1000000000000</v>
      </c>
      <c r="DK80" s="354" t="n">
        <f aca="true">IF(OR($D80&lt;&gt;"Serviço",AND(AUTOEVENTO="Manual",$M80=$A$15),$M80&gt;(ROW(PLE.lastrow)-ROW(PLE.firstrow))),0,
           IF(OFFSET(PLE!$G$15,$M80-$A$15,DK$13)="",10^12,OFFSET(PLE!$G$15,$M80-$A$15,DK$13)))</f>
        <v>1000000000000</v>
      </c>
      <c r="DL80" s="354" t="n">
        <f aca="true">IF(OR($D80&lt;&gt;"Serviço",AND(AUTOEVENTO="Manual",$M80=$A$15),$M80&gt;(ROW(PLE.lastrow)-ROW(PLE.firstrow))),0,
           IF(OFFSET(PLE!$G$15,$M80-$A$15,DL$13)="",10^12,OFFSET(PLE!$G$15,$M80-$A$15,DL$13)))</f>
        <v>1000000000000</v>
      </c>
      <c r="DM80" s="354" t="n">
        <f aca="true">IF(OR($D80&lt;&gt;"Serviço",AND(AUTOEVENTO="Manual",$M80=$A$15),$M80&gt;(ROW(PLE.lastrow)-ROW(PLE.firstrow))),0,
           IF(OFFSET(PLE!$G$15,$M80-$A$15,DM$13)="",10^12,OFFSET(PLE!$G$15,$M80-$A$15,DM$13)))</f>
        <v>1000000000000</v>
      </c>
      <c r="DN80" s="354" t="n">
        <f aca="true">IF(OR($D80&lt;&gt;"Serviço",AND(AUTOEVENTO="Manual",$M80=$A$15),$M80&gt;(ROW(PLE.lastrow)-ROW(PLE.firstrow))),0,
           IF(OFFSET(PLE!$G$15,$M80-$A$15,DN$13)="",10^12,OFFSET(PLE!$G$15,$M80-$A$15,DN$13)))</f>
        <v>1000000000000</v>
      </c>
      <c r="DO80" s="354" t="n">
        <f aca="true">IF(OR($D80&lt;&gt;"Serviço",AND(AUTOEVENTO="Manual",$M80=$A$15),$M80&gt;(ROW(PLE.lastrow)-ROW(PLE.firstrow))),0,
           IF(OFFSET(PLE!$G$15,$M80-$A$15,DO$13)="",10^12,OFFSET(PLE!$G$15,$M80-$A$15,DO$13)))</f>
        <v>1000000000000</v>
      </c>
      <c r="DP80" s="354" t="n">
        <f aca="true">IF(OR($D80&lt;&gt;"Serviço",AND(AUTOEVENTO="Manual",$M80=$A$15),$M80&gt;(ROW(PLE.lastrow)-ROW(PLE.firstrow))),0,
           IF(OFFSET(PLE!$G$15,$M80-$A$15,DP$13)="",10^12,OFFSET(PLE!$G$15,$M80-$A$15,DP$13)))</f>
        <v>1000000000000</v>
      </c>
      <c r="DQ80" s="354" t="n">
        <f aca="true">IF(OR($D80&lt;&gt;"Serviço",AND(AUTOEVENTO="Manual",$M80=$A$15),$M80&gt;(ROW(PLE.lastrow)-ROW(PLE.firstrow))),0,
           IF(OFFSET(PLE!$G$15,$M80-$A$15,DQ$13)="",10^12,OFFSET(PLE!$G$15,$M80-$A$15,DQ$13)))</f>
        <v>1000000000000</v>
      </c>
      <c r="DR80" s="354" t="n">
        <f aca="true">IF(OR($D80&lt;&gt;"Serviço",AND(AUTOEVENTO="Manual",$M80=$A$15),$M80&gt;(ROW(PLE.lastrow)-ROW(PLE.firstrow))),0,
           IF(OFFSET(PLE!$G$15,$M80-$A$15,DR$13)="",10^12,OFFSET(PLE!$G$15,$M80-$A$15,DR$13)))</f>
        <v>1000000000000</v>
      </c>
      <c r="DS80" s="354" t="n">
        <f aca="true">IF(OR($D80&lt;&gt;"Serviço",AND(AUTOEVENTO="Manual",$M80=$A$15),$M80&gt;(ROW(PLE.lastrow)-ROW(PLE.firstrow))),0,
           IF(OFFSET(PLE!$G$15,$M80-$A$15,DS$13)="",10^12,OFFSET(PLE!$G$15,$M80-$A$15,DS$13)))</f>
        <v>1000000000000</v>
      </c>
    </row>
    <row r="81" customFormat="false" ht="135.8" hidden="false" customHeight="false" outlineLevel="0" collapsed="false">
      <c r="A81" s="50" t="str">
        <f aca="true">IFERROR(IF(AUTOEVENTO="Manual",IF(K81&lt;&gt;"",MIN(VALUE(LEFT(K81,FIND(".",K81)-1)),COUNTA(EVENTOS.Lista)),0),IF(OR($B81&gt;AUTOEVENTO,$B81="S",$B81=0),SUBSTITUTE(OFFSET($A81,-1,0),IF($D81="Serviço",".",""),""),ROW(A81)-ROW($A$15)&amp;".")),0)</f>
        <v>62</v>
      </c>
      <c r="B81" s="50" t="str">
        <f aca="true">OFFSET(ORÇAMENTO!C$15,ROW(B81)-ROW(B$15),0)</f>
        <v>S</v>
      </c>
      <c r="C81" s="50" t="str">
        <f aca="true">OFFSET(ORÇAMENTO!L$15,ROW(C81)-ROW(C$15),0)</f>
        <v>F</v>
      </c>
      <c r="D81" s="201" t="str">
        <f aca="true">OFFSET(ORÇAMENTO!N$15,ROW(D81)-ROW(D$15),0)</f>
        <v>Serviço</v>
      </c>
      <c r="E81" s="202" t="str">
        <f aca="true">OFFSET(ORÇAMENTO!O$15,ROW(E81)-ROW(E$15),0)</f>
        <v>1.18.4.</v>
      </c>
      <c r="F81" s="341" t="str">
        <f aca="true">OFFSET(ORÇAMENTO!R$15,ROW(F81)-ROW(F$15),0)</f>
        <v>EMBOÇO COM ARGAMASSA, TRAÇO 1:6 (CIMENTO E AREIA), ESP.
20MM, APLICAÇÃO MANUAL, INCLUSIVE ARGAMASSA COM
PREPARO MECANIZADO, EXCLUSIVE CHAPISCO</v>
      </c>
      <c r="G81" s="342" t="str">
        <f aca="true">IF($D81&lt;&gt;"Serviço","",OFFSET(ORÇAMENTO!S$15,ROW(G81)-ROW(G$15),0))</f>
        <v>M2</v>
      </c>
      <c r="H81" s="207" t="n">
        <f aca="true">IF($D81&lt;&gt;"Serviço",0,IF(ACOMPANHAMENTO="BM",ROUND(OFFSET(ORÇAMENTO!AJ$15,ROW(H81)-ROW(H$15),0),15-13*ORÇAMENTO!$AF$7),SUMPRODUCT(($Q$1:$AQ$1=1)*ROUND($Q81:$AQ81,15-13*ORÇAMENTO!$AF$7))))</f>
        <v>945.25</v>
      </c>
      <c r="I81" s="343" t="s">
        <v>955</v>
      </c>
      <c r="J81" s="344" t="e">
        <f aca="false">IF(OR(B81&lt;&gt;"S",CÁLCULO.FrentesPreenchidas=0),"",IF(AND(ACOMPANHAMENTO="PLE",AUTOEVENTO="Manual",OR(H81&gt;0,ORÇAMENTO!AC81="QUANT."),OR(K81="",M81=0,N81="")),"►",IF(AND(ACOMPANHAMENTO="PLE",ORÇAMENTO!AC81="QUANT."),"►►",IF(AND(COUNTIF($P$11:$AQ$11,"▼")=0,H81&gt;0,I81=""),"◄",""))))</f>
        <v>#NAME?</v>
      </c>
      <c r="K81" s="345"/>
      <c r="L81" s="346" t="s">
        <v>876</v>
      </c>
      <c r="M81" s="347" t="n">
        <f aca="true">IF($D81&lt;&gt;"Serviço","",
          IF(AUTOEVENTO="manual",$A81,
                IF(ISERROR(MATCH($A81,$A$15:OFFSET($A81,-1,0),0)),MAX($M$15:OFFSET(M81,-1,0))+1,
                      INDEX($M$15:OFFSET(M81,-1,0),MATCH($A81,$A$15:OFFSET($A81,-1,0),0)))))</f>
        <v>12</v>
      </c>
      <c r="N81" s="348" t="str">
        <f aca="true">IF($D81&lt;&gt;"Serviço","",
         IF(AUTOEVENTO="Manual",
                IF($A81=0,"&lt;-- defina o número do agrupador",
                       OFFSET(EVENTOS!$D$15,$A81-$A$15,0)),
                OFFSET($F$15,$A81,0)))</f>
        <v>REVESTIMENTOS INTERNOS</v>
      </c>
      <c r="O81" s="349"/>
      <c r="Q81" s="349" t="n">
        <f aca="false">Q83</f>
        <v>37.81</v>
      </c>
      <c r="R81" s="350" t="n">
        <f aca="false">Q81</f>
        <v>37.81</v>
      </c>
      <c r="S81" s="350" t="n">
        <f aca="false">R81</f>
        <v>37.81</v>
      </c>
      <c r="T81" s="350" t="n">
        <f aca="false">S81</f>
        <v>37.81</v>
      </c>
      <c r="U81" s="350" t="n">
        <f aca="false">T81</f>
        <v>37.81</v>
      </c>
      <c r="V81" s="350" t="n">
        <f aca="false">U81</f>
        <v>37.81</v>
      </c>
      <c r="W81" s="350" t="n">
        <f aca="false">V81</f>
        <v>37.81</v>
      </c>
      <c r="X81" s="350" t="n">
        <f aca="false">W81</f>
        <v>37.81</v>
      </c>
      <c r="Y81" s="350" t="n">
        <f aca="false">X81</f>
        <v>37.81</v>
      </c>
      <c r="Z81" s="351" t="n">
        <f aca="false">Y81</f>
        <v>37.81</v>
      </c>
      <c r="AA81" s="350" t="n">
        <f aca="false">Z81</f>
        <v>37.81</v>
      </c>
      <c r="AB81" s="350" t="n">
        <f aca="false">AA81</f>
        <v>37.81</v>
      </c>
      <c r="AC81" s="350" t="n">
        <f aca="false">AB81</f>
        <v>37.81</v>
      </c>
      <c r="AD81" s="350" t="n">
        <f aca="false">AC81</f>
        <v>37.81</v>
      </c>
      <c r="AE81" s="350" t="n">
        <f aca="false">AD81</f>
        <v>37.81</v>
      </c>
      <c r="AF81" s="350" t="n">
        <f aca="false">AE81</f>
        <v>37.81</v>
      </c>
      <c r="AG81" s="350" t="n">
        <f aca="false">AF81</f>
        <v>37.81</v>
      </c>
      <c r="AH81" s="351" t="n">
        <f aca="false">AG81</f>
        <v>37.81</v>
      </c>
      <c r="AI81" s="350" t="n">
        <f aca="false">AH81</f>
        <v>37.81</v>
      </c>
      <c r="AJ81" s="350" t="n">
        <f aca="false">AI81</f>
        <v>37.81</v>
      </c>
      <c r="AK81" s="350" t="n">
        <f aca="false">AJ81</f>
        <v>37.81</v>
      </c>
      <c r="AL81" s="350" t="n">
        <f aca="false">AK81</f>
        <v>37.81</v>
      </c>
      <c r="AM81" s="350" t="n">
        <f aca="false">AL81</f>
        <v>37.81</v>
      </c>
      <c r="AN81" s="350" t="n">
        <f aca="false">AM81</f>
        <v>37.81</v>
      </c>
      <c r="AO81" s="350" t="n">
        <f aca="false">AN81</f>
        <v>37.81</v>
      </c>
      <c r="AP81" s="351"/>
      <c r="AR81" s="352" t="n">
        <f aca="true">IF(AND($D81="Serviço",AR$12&lt;&gt;0,$H81&gt;0,OR(AUTOEVENTO&lt;&gt;"manual",$M81&lt;&gt;$A$15)),
        IF(Import.TipoArredondamento&lt;&gt;"TransfereGOV",
              ROUND(OFFSET($P81,0,AR$13),15-13*ORÇAMENTO!$AF$7)/$H81*OFFSET(ORÇAMENTO!$X$15,ROW(AR81)-ROW(AR$15),0),
              ROUND(ROUND(OFFSET($P81,0,AR$13),15-13*ORÇAMENTO!$AF$7)*OFFSET(ORÇAMENTO!$W$15,ROW(AR81)-ROW(AR$15),0),15-13*ORÇAMENTO!$AF$11)),
         0)</f>
        <v>1684.81</v>
      </c>
      <c r="AS81" s="352" t="n">
        <f aca="true">IF(AND($D81="Serviço",AS$12&lt;&gt;0,$H81&gt;0,OR(AUTOEVENTO&lt;&gt;"manual",$M81&lt;&gt;$A$15)),
        IF(Import.TipoArredondamento&lt;&gt;"TransfereGOV",
              ROUND(OFFSET($P81,0,AS$13),15-13*ORÇAMENTO!$AF$7)/$H81*OFFSET(ORÇAMENTO!$X$15,ROW(AS81)-ROW(AS$15),0),
              ROUND(ROUND(OFFSET($P81,0,AS$13),15-13*ORÇAMENTO!$AF$7)*OFFSET(ORÇAMENTO!$W$15,ROW(AS81)-ROW(AS$15),0),15-13*ORÇAMENTO!$AF$11)),
         0)</f>
        <v>1684.81</v>
      </c>
      <c r="AT81" s="352" t="n">
        <f aca="true">IF(AND($D81="Serviço",AT$12&lt;&gt;0,$H81&gt;0,OR(AUTOEVENTO&lt;&gt;"manual",$M81&lt;&gt;$A$15)),
        IF(Import.TipoArredondamento&lt;&gt;"TransfereGOV",
              ROUND(OFFSET($P81,0,AT$13),15-13*ORÇAMENTO!$AF$7)/$H81*OFFSET(ORÇAMENTO!$X$15,ROW(AT81)-ROW(AT$15),0),
              ROUND(ROUND(OFFSET($P81,0,AT$13),15-13*ORÇAMENTO!$AF$7)*OFFSET(ORÇAMENTO!$W$15,ROW(AT81)-ROW(AT$15),0),15-13*ORÇAMENTO!$AF$11)),
         0)</f>
        <v>1684.81</v>
      </c>
      <c r="AU81" s="352" t="n">
        <f aca="true">IF(AND($D81="Serviço",AU$12&lt;&gt;0,$H81&gt;0,OR(AUTOEVENTO&lt;&gt;"manual",$M81&lt;&gt;$A$15)),
        IF(Import.TipoArredondamento&lt;&gt;"TransfereGOV",
              ROUND(OFFSET($P81,0,AU$13),15-13*ORÇAMENTO!$AF$7)/$H81*OFFSET(ORÇAMENTO!$X$15,ROW(AU81)-ROW(AU$15),0),
              ROUND(ROUND(OFFSET($P81,0,AU$13),15-13*ORÇAMENTO!$AF$7)*OFFSET(ORÇAMENTO!$W$15,ROW(AU81)-ROW(AU$15),0),15-13*ORÇAMENTO!$AF$11)),
         0)</f>
        <v>1684.81</v>
      </c>
      <c r="AV81" s="352" t="n">
        <f aca="true">IF(AND($D81="Serviço",AV$12&lt;&gt;0,$H81&gt;0,OR(AUTOEVENTO&lt;&gt;"manual",$M81&lt;&gt;$A$15)),
        IF(Import.TipoArredondamento&lt;&gt;"TransfereGOV",
              ROUND(OFFSET($P81,0,AV$13),15-13*ORÇAMENTO!$AF$7)/$H81*OFFSET(ORÇAMENTO!$X$15,ROW(AV81)-ROW(AV$15),0),
              ROUND(ROUND(OFFSET($P81,0,AV$13),15-13*ORÇAMENTO!$AF$7)*OFFSET(ORÇAMENTO!$W$15,ROW(AV81)-ROW(AV$15),0),15-13*ORÇAMENTO!$AF$11)),
         0)</f>
        <v>1684.81</v>
      </c>
      <c r="AW81" s="352" t="n">
        <f aca="true">IF(AND($D81="Serviço",AW$12&lt;&gt;0,$H81&gt;0,OR(AUTOEVENTO&lt;&gt;"manual",$M81&lt;&gt;$A$15)),
        IF(Import.TipoArredondamento&lt;&gt;"TransfereGOV",
              ROUND(OFFSET($P81,0,AW$13),15-13*ORÇAMENTO!$AF$7)/$H81*OFFSET(ORÇAMENTO!$X$15,ROW(AW81)-ROW(AW$15),0),
              ROUND(ROUND(OFFSET($P81,0,AW$13),15-13*ORÇAMENTO!$AF$7)*OFFSET(ORÇAMENTO!$W$15,ROW(AW81)-ROW(AW$15),0),15-13*ORÇAMENTO!$AF$11)),
         0)</f>
        <v>1684.81</v>
      </c>
      <c r="AX81" s="352" t="n">
        <f aca="true">IF(AND($D81="Serviço",AX$12&lt;&gt;0,$H81&gt;0,OR(AUTOEVENTO&lt;&gt;"manual",$M81&lt;&gt;$A$15)),
        IF(Import.TipoArredondamento&lt;&gt;"TransfereGOV",
              ROUND(OFFSET($P81,0,AX$13),15-13*ORÇAMENTO!$AF$7)/$H81*OFFSET(ORÇAMENTO!$X$15,ROW(AX81)-ROW(AX$15),0),
              ROUND(ROUND(OFFSET($P81,0,AX$13),15-13*ORÇAMENTO!$AF$7)*OFFSET(ORÇAMENTO!$W$15,ROW(AX81)-ROW(AX$15),0),15-13*ORÇAMENTO!$AF$11)),
         0)</f>
        <v>1684.81</v>
      </c>
      <c r="AY81" s="352" t="n">
        <f aca="true">IF(AND($D81="Serviço",AY$12&lt;&gt;0,$H81&gt;0,OR(AUTOEVENTO&lt;&gt;"manual",$M81&lt;&gt;$A$15)),
        IF(Import.TipoArredondamento&lt;&gt;"TransfereGOV",
              ROUND(OFFSET($P81,0,AY$13),15-13*ORÇAMENTO!$AF$7)/$H81*OFFSET(ORÇAMENTO!$X$15,ROW(AY81)-ROW(AY$15),0),
              ROUND(ROUND(OFFSET($P81,0,AY$13),15-13*ORÇAMENTO!$AF$7)*OFFSET(ORÇAMENTO!$W$15,ROW(AY81)-ROW(AY$15),0),15-13*ORÇAMENTO!$AF$11)),
         0)</f>
        <v>1684.81</v>
      </c>
      <c r="AZ81" s="352" t="n">
        <f aca="true">IF(AND($D81="Serviço",AZ$12&lt;&gt;0,$H81&gt;0,OR(AUTOEVENTO&lt;&gt;"manual",$M81&lt;&gt;$A$15)),
        IF(Import.TipoArredondamento&lt;&gt;"TransfereGOV",
              ROUND(OFFSET($P81,0,AZ$13),15-13*ORÇAMENTO!$AF$7)/$H81*OFFSET(ORÇAMENTO!$X$15,ROW(AZ81)-ROW(AZ$15),0),
              ROUND(ROUND(OFFSET($P81,0,AZ$13),15-13*ORÇAMENTO!$AF$7)*OFFSET(ORÇAMENTO!$W$15,ROW(AZ81)-ROW(AZ$15),0),15-13*ORÇAMENTO!$AF$11)),
         0)</f>
        <v>1684.81</v>
      </c>
      <c r="BA81" s="352" t="n">
        <f aca="true">IF(AND($D81="Serviço",BA$12&lt;&gt;0,$H81&gt;0,OR(AUTOEVENTO&lt;&gt;"manual",$M81&lt;&gt;$A$15)),
        IF(Import.TipoArredondamento&lt;&gt;"TransfereGOV",
              ROUND(OFFSET($P81,0,BA$13),15-13*ORÇAMENTO!$AF$7)/$H81*OFFSET(ORÇAMENTO!$X$15,ROW(BA81)-ROW(BA$15),0),
              ROUND(ROUND(OFFSET($P81,0,BA$13),15-13*ORÇAMENTO!$AF$7)*OFFSET(ORÇAMENTO!$W$15,ROW(BA81)-ROW(BA$15),0),15-13*ORÇAMENTO!$AF$11)),
         0)</f>
        <v>1684.81</v>
      </c>
      <c r="BB81" s="352" t="n">
        <f aca="true">IF(AND($D81="Serviço",BB$12&lt;&gt;0,$H81&gt;0,OR(AUTOEVENTO&lt;&gt;"manual",$M81&lt;&gt;$A$15)),
        IF(Import.TipoArredondamento&lt;&gt;"TransfereGOV",
              ROUND(OFFSET($P81,0,BB$13),15-13*ORÇAMENTO!$AF$7)/$H81*OFFSET(ORÇAMENTO!$X$15,ROW(BB81)-ROW(BB$15),0),
              ROUND(ROUND(OFFSET($P81,0,BB$13),15-13*ORÇAMENTO!$AF$7)*OFFSET(ORÇAMENTO!$W$15,ROW(BB81)-ROW(BB$15),0),15-13*ORÇAMENTO!$AF$11)),
         0)</f>
        <v>1684.81</v>
      </c>
      <c r="BC81" s="352" t="n">
        <f aca="true">IF(AND($D81="Serviço",BC$12&lt;&gt;0,$H81&gt;0,OR(AUTOEVENTO&lt;&gt;"manual",$M81&lt;&gt;$A$15)),
        IF(Import.TipoArredondamento&lt;&gt;"TransfereGOV",
              ROUND(OFFSET($P81,0,BC$13),15-13*ORÇAMENTO!$AF$7)/$H81*OFFSET(ORÇAMENTO!$X$15,ROW(BC81)-ROW(BC$15),0),
              ROUND(ROUND(OFFSET($P81,0,BC$13),15-13*ORÇAMENTO!$AF$7)*OFFSET(ORÇAMENTO!$W$15,ROW(BC81)-ROW(BC$15),0),15-13*ORÇAMENTO!$AF$11)),
         0)</f>
        <v>1684.81</v>
      </c>
      <c r="BD81" s="352" t="n">
        <f aca="true">IF(AND($D81="Serviço",BD$12&lt;&gt;0,$H81&gt;0,OR(AUTOEVENTO&lt;&gt;"manual",$M81&lt;&gt;$A$15)),
        IF(Import.TipoArredondamento&lt;&gt;"TransfereGOV",
              ROUND(OFFSET($P81,0,BD$13),15-13*ORÇAMENTO!$AF$7)/$H81*OFFSET(ORÇAMENTO!$X$15,ROW(BD81)-ROW(BD$15),0),
              ROUND(ROUND(OFFSET($P81,0,BD$13),15-13*ORÇAMENTO!$AF$7)*OFFSET(ORÇAMENTO!$W$15,ROW(BD81)-ROW(BD$15),0),15-13*ORÇAMENTO!$AF$11)),
         0)</f>
        <v>1684.81</v>
      </c>
      <c r="BE81" s="352" t="n">
        <f aca="true">IF(AND($D81="Serviço",BE$12&lt;&gt;0,$H81&gt;0,OR(AUTOEVENTO&lt;&gt;"manual",$M81&lt;&gt;$A$15)),
        IF(Import.TipoArredondamento&lt;&gt;"TransfereGOV",
              ROUND(OFFSET($P81,0,BE$13),15-13*ORÇAMENTO!$AF$7)/$H81*OFFSET(ORÇAMENTO!$X$15,ROW(BE81)-ROW(BE$15),0),
              ROUND(ROUND(OFFSET($P81,0,BE$13),15-13*ORÇAMENTO!$AF$7)*OFFSET(ORÇAMENTO!$W$15,ROW(BE81)-ROW(BE$15),0),15-13*ORÇAMENTO!$AF$11)),
         0)</f>
        <v>1684.81</v>
      </c>
      <c r="BF81" s="352" t="n">
        <f aca="true">IF(AND($D81="Serviço",BF$12&lt;&gt;0,$H81&gt;0,OR(AUTOEVENTO&lt;&gt;"manual",$M81&lt;&gt;$A$15)),
        IF(Import.TipoArredondamento&lt;&gt;"TransfereGOV",
              ROUND(OFFSET($P81,0,BF$13),15-13*ORÇAMENTO!$AF$7)/$H81*OFFSET(ORÇAMENTO!$X$15,ROW(BF81)-ROW(BF$15),0),
              ROUND(ROUND(OFFSET($P81,0,BF$13),15-13*ORÇAMENTO!$AF$7)*OFFSET(ORÇAMENTO!$W$15,ROW(BF81)-ROW(BF$15),0),15-13*ORÇAMENTO!$AF$11)),
         0)</f>
        <v>1684.81</v>
      </c>
      <c r="BG81" s="352" t="n">
        <f aca="true">IF(AND($D81="Serviço",BG$12&lt;&gt;0,$H81&gt;0,OR(AUTOEVENTO&lt;&gt;"manual",$M81&lt;&gt;$A$15)),
        IF(Import.TipoArredondamento&lt;&gt;"TransfereGOV",
              ROUND(OFFSET($P81,0,BG$13),15-13*ORÇAMENTO!$AF$7)/$H81*OFFSET(ORÇAMENTO!$X$15,ROW(BG81)-ROW(BG$15),0),
              ROUND(ROUND(OFFSET($P81,0,BG$13),15-13*ORÇAMENTO!$AF$7)*OFFSET(ORÇAMENTO!$W$15,ROW(BG81)-ROW(BG$15),0),15-13*ORÇAMENTO!$AF$11)),
         0)</f>
        <v>1684.81</v>
      </c>
      <c r="BH81" s="352" t="n">
        <f aca="true">IF(AND($D81="Serviço",BH$12&lt;&gt;0,$H81&gt;0,OR(AUTOEVENTO&lt;&gt;"manual",$M81&lt;&gt;$A$15)),
        IF(Import.TipoArredondamento&lt;&gt;"TransfereGOV",
              ROUND(OFFSET($P81,0,BH$13),15-13*ORÇAMENTO!$AF$7)/$H81*OFFSET(ORÇAMENTO!$X$15,ROW(BH81)-ROW(BH$15),0),
              ROUND(ROUND(OFFSET($P81,0,BH$13),15-13*ORÇAMENTO!$AF$7)*OFFSET(ORÇAMENTO!$W$15,ROW(BH81)-ROW(BH$15),0),15-13*ORÇAMENTO!$AF$11)),
         0)</f>
        <v>1684.81</v>
      </c>
      <c r="BI81" s="352" t="n">
        <f aca="true">IF(AND($D81="Serviço",BI$12&lt;&gt;0,$H81&gt;0,OR(AUTOEVENTO&lt;&gt;"manual",$M81&lt;&gt;$A$15)),
        IF(Import.TipoArredondamento&lt;&gt;"TransfereGOV",
              ROUND(OFFSET($P81,0,BI$13),15-13*ORÇAMENTO!$AF$7)/$H81*OFFSET(ORÇAMENTO!$X$15,ROW(BI81)-ROW(BI$15),0),
              ROUND(ROUND(OFFSET($P81,0,BI$13),15-13*ORÇAMENTO!$AF$7)*OFFSET(ORÇAMENTO!$W$15,ROW(BI81)-ROW(BI$15),0),15-13*ORÇAMENTO!$AF$11)),
         0)</f>
        <v>1684.81</v>
      </c>
      <c r="BJ81" s="352" t="n">
        <f aca="true">IF(AND($D81="Serviço",BJ$12&lt;&gt;0,$H81&gt;0,OR(AUTOEVENTO&lt;&gt;"manual",$M81&lt;&gt;$A$15)),
        IF(Import.TipoArredondamento&lt;&gt;"TransfereGOV",
              ROUND(OFFSET($P81,0,BJ$13),15-13*ORÇAMENTO!$AF$7)/$H81*OFFSET(ORÇAMENTO!$X$15,ROW(BJ81)-ROW(BJ$15),0),
              ROUND(ROUND(OFFSET($P81,0,BJ$13),15-13*ORÇAMENTO!$AF$7)*OFFSET(ORÇAMENTO!$W$15,ROW(BJ81)-ROW(BJ$15),0),15-13*ORÇAMENTO!$AF$11)),
         0)</f>
        <v>1684.81</v>
      </c>
      <c r="BK81" s="352" t="n">
        <f aca="true">IF(AND($D81="Serviço",BK$12&lt;&gt;0,$H81&gt;0,OR(AUTOEVENTO&lt;&gt;"manual",$M81&lt;&gt;$A$15)),
        IF(Import.TipoArredondamento&lt;&gt;"TransfereGOV",
              ROUND(OFFSET($P81,0,BK$13),15-13*ORÇAMENTO!$AF$7)/$H81*OFFSET(ORÇAMENTO!$X$15,ROW(BK81)-ROW(BK$15),0),
              ROUND(ROUND(OFFSET($P81,0,BK$13),15-13*ORÇAMENTO!$AF$7)*OFFSET(ORÇAMENTO!$W$15,ROW(BK81)-ROW(BK$15),0),15-13*ORÇAMENTO!$AF$11)),
         0)</f>
        <v>1684.81</v>
      </c>
      <c r="BL81" s="352" t="n">
        <f aca="true">IF(AND($D81="Serviço",BL$12&lt;&gt;0,$H81&gt;0,OR(AUTOEVENTO&lt;&gt;"manual",$M81&lt;&gt;$A$15)),
        IF(Import.TipoArredondamento&lt;&gt;"TransfereGOV",
              ROUND(OFFSET($P81,0,BL$13),15-13*ORÇAMENTO!$AF$7)/$H81*OFFSET(ORÇAMENTO!$X$15,ROW(BL81)-ROW(BL$15),0),
              ROUND(ROUND(OFFSET($P81,0,BL$13),15-13*ORÇAMENTO!$AF$7)*OFFSET(ORÇAMENTO!$W$15,ROW(BL81)-ROW(BL$15),0),15-13*ORÇAMENTO!$AF$11)),
         0)</f>
        <v>1684.81</v>
      </c>
      <c r="BM81" s="352" t="n">
        <f aca="true">IF(AND($D81="Serviço",BM$12&lt;&gt;0,$H81&gt;0,OR(AUTOEVENTO&lt;&gt;"manual",$M81&lt;&gt;$A$15)),
        IF(Import.TipoArredondamento&lt;&gt;"TransfereGOV",
              ROUND(OFFSET($P81,0,BM$13),15-13*ORÇAMENTO!$AF$7)/$H81*OFFSET(ORÇAMENTO!$X$15,ROW(BM81)-ROW(BM$15),0),
              ROUND(ROUND(OFFSET($P81,0,BM$13),15-13*ORÇAMENTO!$AF$7)*OFFSET(ORÇAMENTO!$W$15,ROW(BM81)-ROW(BM$15),0),15-13*ORÇAMENTO!$AF$11)),
         0)</f>
        <v>1684.81</v>
      </c>
      <c r="BN81" s="352" t="n">
        <f aca="true">IF(AND($D81="Serviço",BN$12&lt;&gt;0,$H81&gt;0,OR(AUTOEVENTO&lt;&gt;"manual",$M81&lt;&gt;$A$15)),
        IF(Import.TipoArredondamento&lt;&gt;"TransfereGOV",
              ROUND(OFFSET($P81,0,BN$13),15-13*ORÇAMENTO!$AF$7)/$H81*OFFSET(ORÇAMENTO!$X$15,ROW(BN81)-ROW(BN$15),0),
              ROUND(ROUND(OFFSET($P81,0,BN$13),15-13*ORÇAMENTO!$AF$7)*OFFSET(ORÇAMENTO!$W$15,ROW(BN81)-ROW(BN$15),0),15-13*ORÇAMENTO!$AF$11)),
         0)</f>
        <v>1684.81</v>
      </c>
      <c r="BO81" s="352" t="n">
        <f aca="true">IF(AND($D81="Serviço",BO$12&lt;&gt;0,$H81&gt;0,OR(AUTOEVENTO&lt;&gt;"manual",$M81&lt;&gt;$A$15)),
        IF(Import.TipoArredondamento&lt;&gt;"TransfereGOV",
              ROUND(OFFSET($P81,0,BO$13),15-13*ORÇAMENTO!$AF$7)/$H81*OFFSET(ORÇAMENTO!$X$15,ROW(BO81)-ROW(BO$15),0),
              ROUND(ROUND(OFFSET($P81,0,BO$13),15-13*ORÇAMENTO!$AF$7)*OFFSET(ORÇAMENTO!$W$15,ROW(BO81)-ROW(BO$15),0),15-13*ORÇAMENTO!$AF$11)),
         0)</f>
        <v>1684.81</v>
      </c>
      <c r="BP81" s="352" t="n">
        <f aca="true">IF(AND($D81="Serviço",BP$12&lt;&gt;0,$H81&gt;0,OR(AUTOEVENTO&lt;&gt;"manual",$M81&lt;&gt;$A$15)),
        IF(Import.TipoArredondamento&lt;&gt;"TransfereGOV",
              ROUND(OFFSET($P81,0,BP$13),15-13*ORÇAMENTO!$AF$7)/$H81*OFFSET(ORÇAMENTO!$X$15,ROW(BP81)-ROW(BP$15),0),
              ROUND(ROUND(OFFSET($P81,0,BP$13),15-13*ORÇAMENTO!$AF$7)*OFFSET(ORÇAMENTO!$W$15,ROW(BP81)-ROW(BP$15),0),15-13*ORÇAMENTO!$AF$11)),
         0)</f>
        <v>1684.81</v>
      </c>
      <c r="BQ81" s="352" t="n">
        <f aca="true">IF(AND($D81="Serviço",BQ$12&lt;&gt;0,$H81&gt;0,OR(AUTOEVENTO&lt;&gt;"manual",$M81&lt;&gt;$A$15)),
        IF(Import.TipoArredondamento&lt;&gt;"TransfereGOV",
              ROUND(OFFSET($P81,0,BQ$13),15-13*ORÇAMENTO!$AF$7)/$H81*OFFSET(ORÇAMENTO!$X$15,ROW(BQ81)-ROW(BQ$15),0),
              ROUND(ROUND(OFFSET($P81,0,BQ$13),15-13*ORÇAMENTO!$AF$7)*OFFSET(ORÇAMENTO!$W$15,ROW(BQ81)-ROW(BQ$15),0),15-13*ORÇAMENTO!$AF$11)),
         0)</f>
        <v>0</v>
      </c>
      <c r="BS81" s="353" t="n">
        <f aca="true">IF(OR($D81&lt;&gt;"Serviço",AND(AUTOEVENTO="Manual",$M81=$A$15)),0,
         IF(OFFSET(CRONOPLE!$F$15,$M81-$A$15,BS$13)=0,10^12,OFFSET(CRONOPLE!$F$15,$M81-$A$15,BS$13)))</f>
        <v>1</v>
      </c>
      <c r="BT81" s="353" t="n">
        <f aca="true">IF(OR($D81&lt;&gt;"Serviço",AND(AUTOEVENTO="Manual",$M81=$A$15)),0,
         IF(OFFSET(CRONOPLE!$F$15,$M81-$A$15,BT$13)=0,10^12,OFFSET(CRONOPLE!$F$15,$M81-$A$15,BT$13)))</f>
        <v>2</v>
      </c>
      <c r="BU81" s="353" t="n">
        <f aca="true">IF(OR($D81&lt;&gt;"Serviço",AND(AUTOEVENTO="Manual",$M81=$A$15)),0,
         IF(OFFSET(CRONOPLE!$F$15,$M81-$A$15,BU$13)=0,10^12,OFFSET(CRONOPLE!$F$15,$M81-$A$15,BU$13)))</f>
        <v>3</v>
      </c>
      <c r="BV81" s="353" t="n">
        <f aca="true">IF(OR($D81&lt;&gt;"Serviço",AND(AUTOEVENTO="Manual",$M81=$A$15)),0,
         IF(OFFSET(CRONOPLE!$F$15,$M81-$A$15,BV$13)=0,10^12,OFFSET(CRONOPLE!$F$15,$M81-$A$15,BV$13)))</f>
        <v>4</v>
      </c>
      <c r="BW81" s="353" t="n">
        <f aca="true">IF(OR($D81&lt;&gt;"Serviço",AND(AUTOEVENTO="Manual",$M81=$A$15)),0,
         IF(OFFSET(CRONOPLE!$F$15,$M81-$A$15,BW$13)=0,10^12,OFFSET(CRONOPLE!$F$15,$M81-$A$15,BW$13)))</f>
        <v>5</v>
      </c>
      <c r="BX81" s="353" t="n">
        <f aca="true">IF(OR($D81&lt;&gt;"Serviço",AND(AUTOEVENTO="Manual",$M81=$A$15)),0,
         IF(OFFSET(CRONOPLE!$F$15,$M81-$A$15,BX$13)=0,10^12,OFFSET(CRONOPLE!$F$15,$M81-$A$15,BX$13)))</f>
        <v>6</v>
      </c>
      <c r="BY81" s="353" t="n">
        <f aca="true">IF(OR($D81&lt;&gt;"Serviço",AND(AUTOEVENTO="Manual",$M81=$A$15)),0,
         IF(OFFSET(CRONOPLE!$F$15,$M81-$A$15,BY$13)=0,10^12,OFFSET(CRONOPLE!$F$15,$M81-$A$15,BY$13)))</f>
        <v>7</v>
      </c>
      <c r="BZ81" s="353" t="n">
        <f aca="true">IF(OR($D81&lt;&gt;"Serviço",AND(AUTOEVENTO="Manual",$M81=$A$15)),0,
         IF(OFFSET(CRONOPLE!$F$15,$M81-$A$15,BZ$13)=0,10^12,OFFSET(CRONOPLE!$F$15,$M81-$A$15,BZ$13)))</f>
        <v>8</v>
      </c>
      <c r="CA81" s="353" t="n">
        <f aca="true">IF(OR($D81&lt;&gt;"Serviço",AND(AUTOEVENTO="Manual",$M81=$A$15)),0,
         IF(OFFSET(CRONOPLE!$F$15,$M81-$A$15,CA$13)=0,10^12,OFFSET(CRONOPLE!$F$15,$M81-$A$15,CA$13)))</f>
        <v>9</v>
      </c>
      <c r="CB81" s="353" t="n">
        <f aca="true">IF(OR($D81&lt;&gt;"Serviço",AND(AUTOEVENTO="Manual",$M81=$A$15)),0,
         IF(OFFSET(CRONOPLE!$F$15,$M81-$A$15,CB$13)=0,10^12,OFFSET(CRONOPLE!$F$15,$M81-$A$15,CB$13)))</f>
        <v>10</v>
      </c>
      <c r="CC81" s="353" t="n">
        <f aca="true">IF(OR($D81&lt;&gt;"Serviço",AND(AUTOEVENTO="Manual",$M81=$A$15)),0,
         IF(OFFSET(CRONOPLE!$F$15,$M81-$A$15,CC$13)=0,10^12,OFFSET(CRONOPLE!$F$15,$M81-$A$15,CC$13)))</f>
        <v>11</v>
      </c>
      <c r="CD81" s="353" t="n">
        <f aca="true">IF(OR($D81&lt;&gt;"Serviço",AND(AUTOEVENTO="Manual",$M81=$A$15)),0,
         IF(OFFSET(CRONOPLE!$F$15,$M81-$A$15,CD$13)=0,10^12,OFFSET(CRONOPLE!$F$15,$M81-$A$15,CD$13)))</f>
        <v>12</v>
      </c>
      <c r="CE81" s="353" t="n">
        <f aca="true">IF(OR($D81&lt;&gt;"Serviço",AND(AUTOEVENTO="Manual",$M81=$A$15)),0,
         IF(OFFSET(CRONOPLE!$F$15,$M81-$A$15,CE$13)=0,10^12,OFFSET(CRONOPLE!$F$15,$M81-$A$15,CE$13)))</f>
        <v>13</v>
      </c>
      <c r="CF81" s="353" t="n">
        <f aca="true">IF(OR($D81&lt;&gt;"Serviço",AND(AUTOEVENTO="Manual",$M81=$A$15)),0,
         IF(OFFSET(CRONOPLE!$F$15,$M81-$A$15,CF$13)=0,10^12,OFFSET(CRONOPLE!$F$15,$M81-$A$15,CF$13)))</f>
        <v>14</v>
      </c>
      <c r="CG81" s="353" t="n">
        <f aca="true">IF(OR($D81&lt;&gt;"Serviço",AND(AUTOEVENTO="Manual",$M81=$A$15)),0,
         IF(OFFSET(CRONOPLE!$F$15,$M81-$A$15,CG$13)=0,10^12,OFFSET(CRONOPLE!$F$15,$M81-$A$15,CG$13)))</f>
        <v>15</v>
      </c>
      <c r="CH81" s="353" t="n">
        <f aca="true">IF(OR($D81&lt;&gt;"Serviço",AND(AUTOEVENTO="Manual",$M81=$A$15)),0,
         IF(OFFSET(CRONOPLE!$F$15,$M81-$A$15,CH$13)=0,10^12,OFFSET(CRONOPLE!$F$15,$M81-$A$15,CH$13)))</f>
        <v>16</v>
      </c>
      <c r="CI81" s="353" t="n">
        <f aca="true">IF(OR($D81&lt;&gt;"Serviço",AND(AUTOEVENTO="Manual",$M81=$A$15)),0,
         IF(OFFSET(CRONOPLE!$F$15,$M81-$A$15,CI$13)=0,10^12,OFFSET(CRONOPLE!$F$15,$M81-$A$15,CI$13)))</f>
        <v>17</v>
      </c>
      <c r="CJ81" s="353" t="n">
        <f aca="true">IF(OR($D81&lt;&gt;"Serviço",AND(AUTOEVENTO="Manual",$M81=$A$15)),0,
         IF(OFFSET(CRONOPLE!$F$15,$M81-$A$15,CJ$13)=0,10^12,OFFSET(CRONOPLE!$F$15,$M81-$A$15,CJ$13)))</f>
        <v>18</v>
      </c>
      <c r="CK81" s="353" t="n">
        <f aca="true">IF(OR($D81&lt;&gt;"Serviço",AND(AUTOEVENTO="Manual",$M81=$A$15)),0,
         IF(OFFSET(CRONOPLE!$F$15,$M81-$A$15,CK$13)=0,10^12,OFFSET(CRONOPLE!$F$15,$M81-$A$15,CK$13)))</f>
        <v>19</v>
      </c>
      <c r="CL81" s="353" t="n">
        <f aca="true">IF(OR($D81&lt;&gt;"Serviço",AND(AUTOEVENTO="Manual",$M81=$A$15)),0,
         IF(OFFSET(CRONOPLE!$F$15,$M81-$A$15,CL$13)=0,10^12,OFFSET(CRONOPLE!$F$15,$M81-$A$15,CL$13)))</f>
        <v>20</v>
      </c>
      <c r="CM81" s="353" t="n">
        <f aca="true">IF(OR($D81&lt;&gt;"Serviço",AND(AUTOEVENTO="Manual",$M81=$A$15)),0,
         IF(OFFSET(CRONOPLE!$F$15,$M81-$A$15,CM$13)=0,10^12,OFFSET(CRONOPLE!$F$15,$M81-$A$15,CM$13)))</f>
        <v>21</v>
      </c>
      <c r="CN81" s="353" t="n">
        <f aca="true">IF(OR($D81&lt;&gt;"Serviço",AND(AUTOEVENTO="Manual",$M81=$A$15)),0,
         IF(OFFSET(CRONOPLE!$F$15,$M81-$A$15,CN$13)=0,10^12,OFFSET(CRONOPLE!$F$15,$M81-$A$15,CN$13)))</f>
        <v>22</v>
      </c>
      <c r="CO81" s="353" t="n">
        <f aca="true">IF(OR($D81&lt;&gt;"Serviço",AND(AUTOEVENTO="Manual",$M81=$A$15)),0,
         IF(OFFSET(CRONOPLE!$F$15,$M81-$A$15,CO$13)=0,10^12,OFFSET(CRONOPLE!$F$15,$M81-$A$15,CO$13)))</f>
        <v>23</v>
      </c>
      <c r="CP81" s="353" t="n">
        <f aca="true">IF(OR($D81&lt;&gt;"Serviço",AND(AUTOEVENTO="Manual",$M81=$A$15)),0,
         IF(OFFSET(CRONOPLE!$F$15,$M81-$A$15,CP$13)=0,10^12,OFFSET(CRONOPLE!$F$15,$M81-$A$15,CP$13)))</f>
        <v>24</v>
      </c>
      <c r="CQ81" s="353" t="n">
        <f aca="true">IF(OR($D81&lt;&gt;"Serviço",AND(AUTOEVENTO="Manual",$M81=$A$15)),0,
         IF(OFFSET(CRONOPLE!$F$15,$M81-$A$15,CQ$13)=0,10^12,OFFSET(CRONOPLE!$F$15,$M81-$A$15,CQ$13)))</f>
        <v>25</v>
      </c>
      <c r="CR81" s="353" t="n">
        <f aca="true">IF(OR($D81&lt;&gt;"Serviço",AND(AUTOEVENTO="Manual",$M81=$A$15)),0,
         IF(OFFSET(CRONOPLE!$F$15,$M81-$A$15,CR$13)=0,10^12,OFFSET(CRONOPLE!$F$15,$M81-$A$15,CR$13)))</f>
        <v>1000000000000</v>
      </c>
      <c r="CT81" s="354" t="n">
        <f aca="true">IF(OR($D81&lt;&gt;"Serviço",AND(AUTOEVENTO="Manual",$M81=$A$15),$M81&gt;(ROW(PLE.lastrow)-ROW(PLE.firstrow))),0,
           IF(OFFSET(PLE!$G$15,$M81-$A$15,CT$13)="",10^12,OFFSET(PLE!$G$15,$M81-$A$15,CT$13)))</f>
        <v>1000000000000</v>
      </c>
      <c r="CU81" s="354" t="n">
        <f aca="true">IF(OR($D81&lt;&gt;"Serviço",AND(AUTOEVENTO="Manual",$M81=$A$15),$M81&gt;(ROW(PLE.lastrow)-ROW(PLE.firstrow))),0,
           IF(OFFSET(PLE!$G$15,$M81-$A$15,CU$13)="",10^12,OFFSET(PLE!$G$15,$M81-$A$15,CU$13)))</f>
        <v>1000000000000</v>
      </c>
      <c r="CV81" s="354" t="n">
        <f aca="true">IF(OR($D81&lt;&gt;"Serviço",AND(AUTOEVENTO="Manual",$M81=$A$15),$M81&gt;(ROW(PLE.lastrow)-ROW(PLE.firstrow))),0,
           IF(OFFSET(PLE!$G$15,$M81-$A$15,CV$13)="",10^12,OFFSET(PLE!$G$15,$M81-$A$15,CV$13)))</f>
        <v>1000000000000</v>
      </c>
      <c r="CW81" s="354" t="n">
        <f aca="true">IF(OR($D81&lt;&gt;"Serviço",AND(AUTOEVENTO="Manual",$M81=$A$15),$M81&gt;(ROW(PLE.lastrow)-ROW(PLE.firstrow))),0,
           IF(OFFSET(PLE!$G$15,$M81-$A$15,CW$13)="",10^12,OFFSET(PLE!$G$15,$M81-$A$15,CW$13)))</f>
        <v>1000000000000</v>
      </c>
      <c r="CX81" s="354" t="n">
        <f aca="true">IF(OR($D81&lt;&gt;"Serviço",AND(AUTOEVENTO="Manual",$M81=$A$15),$M81&gt;(ROW(PLE.lastrow)-ROW(PLE.firstrow))),0,
           IF(OFFSET(PLE!$G$15,$M81-$A$15,CX$13)="",10^12,OFFSET(PLE!$G$15,$M81-$A$15,CX$13)))</f>
        <v>1000000000000</v>
      </c>
      <c r="CY81" s="354" t="n">
        <f aca="true">IF(OR($D81&lt;&gt;"Serviço",AND(AUTOEVENTO="Manual",$M81=$A$15),$M81&gt;(ROW(PLE.lastrow)-ROW(PLE.firstrow))),0,
           IF(OFFSET(PLE!$G$15,$M81-$A$15,CY$13)="",10^12,OFFSET(PLE!$G$15,$M81-$A$15,CY$13)))</f>
        <v>1000000000000</v>
      </c>
      <c r="CZ81" s="354" t="n">
        <f aca="true">IF(OR($D81&lt;&gt;"Serviço",AND(AUTOEVENTO="Manual",$M81=$A$15),$M81&gt;(ROW(PLE.lastrow)-ROW(PLE.firstrow))),0,
           IF(OFFSET(PLE!$G$15,$M81-$A$15,CZ$13)="",10^12,OFFSET(PLE!$G$15,$M81-$A$15,CZ$13)))</f>
        <v>1000000000000</v>
      </c>
      <c r="DA81" s="354" t="n">
        <f aca="true">IF(OR($D81&lt;&gt;"Serviço",AND(AUTOEVENTO="Manual",$M81=$A$15),$M81&gt;(ROW(PLE.lastrow)-ROW(PLE.firstrow))),0,
           IF(OFFSET(PLE!$G$15,$M81-$A$15,DA$13)="",10^12,OFFSET(PLE!$G$15,$M81-$A$15,DA$13)))</f>
        <v>1000000000000</v>
      </c>
      <c r="DB81" s="354" t="n">
        <f aca="true">IF(OR($D81&lt;&gt;"Serviço",AND(AUTOEVENTO="Manual",$M81=$A$15),$M81&gt;(ROW(PLE.lastrow)-ROW(PLE.firstrow))),0,
           IF(OFFSET(PLE!$G$15,$M81-$A$15,DB$13)="",10^12,OFFSET(PLE!$G$15,$M81-$A$15,DB$13)))</f>
        <v>1000000000000</v>
      </c>
      <c r="DC81" s="354" t="n">
        <f aca="true">IF(OR($D81&lt;&gt;"Serviço",AND(AUTOEVENTO="Manual",$M81=$A$15),$M81&gt;(ROW(PLE.lastrow)-ROW(PLE.firstrow))),0,
           IF(OFFSET(PLE!$G$15,$M81-$A$15,DC$13)="",10^12,OFFSET(PLE!$G$15,$M81-$A$15,DC$13)))</f>
        <v>1000000000000</v>
      </c>
      <c r="DD81" s="354" t="n">
        <f aca="true">IF(OR($D81&lt;&gt;"Serviço",AND(AUTOEVENTO="Manual",$M81=$A$15),$M81&gt;(ROW(PLE.lastrow)-ROW(PLE.firstrow))),0,
           IF(OFFSET(PLE!$G$15,$M81-$A$15,DD$13)="",10^12,OFFSET(PLE!$G$15,$M81-$A$15,DD$13)))</f>
        <v>1000000000000</v>
      </c>
      <c r="DE81" s="354" t="n">
        <f aca="true">IF(OR($D81&lt;&gt;"Serviço",AND(AUTOEVENTO="Manual",$M81=$A$15),$M81&gt;(ROW(PLE.lastrow)-ROW(PLE.firstrow))),0,
           IF(OFFSET(PLE!$G$15,$M81-$A$15,DE$13)="",10^12,OFFSET(PLE!$G$15,$M81-$A$15,DE$13)))</f>
        <v>1000000000000</v>
      </c>
      <c r="DF81" s="354" t="n">
        <f aca="true">IF(OR($D81&lt;&gt;"Serviço",AND(AUTOEVENTO="Manual",$M81=$A$15),$M81&gt;(ROW(PLE.lastrow)-ROW(PLE.firstrow))),0,
           IF(OFFSET(PLE!$G$15,$M81-$A$15,DF$13)="",10^12,OFFSET(PLE!$G$15,$M81-$A$15,DF$13)))</f>
        <v>1000000000000</v>
      </c>
      <c r="DG81" s="354" t="n">
        <f aca="true">IF(OR($D81&lt;&gt;"Serviço",AND(AUTOEVENTO="Manual",$M81=$A$15),$M81&gt;(ROW(PLE.lastrow)-ROW(PLE.firstrow))),0,
           IF(OFFSET(PLE!$G$15,$M81-$A$15,DG$13)="",10^12,OFFSET(PLE!$G$15,$M81-$A$15,DG$13)))</f>
        <v>1000000000000</v>
      </c>
      <c r="DH81" s="354" t="n">
        <f aca="true">IF(OR($D81&lt;&gt;"Serviço",AND(AUTOEVENTO="Manual",$M81=$A$15),$M81&gt;(ROW(PLE.lastrow)-ROW(PLE.firstrow))),0,
           IF(OFFSET(PLE!$G$15,$M81-$A$15,DH$13)="",10^12,OFFSET(PLE!$G$15,$M81-$A$15,DH$13)))</f>
        <v>1000000000000</v>
      </c>
      <c r="DI81" s="354" t="n">
        <f aca="true">IF(OR($D81&lt;&gt;"Serviço",AND(AUTOEVENTO="Manual",$M81=$A$15),$M81&gt;(ROW(PLE.lastrow)-ROW(PLE.firstrow))),0,
           IF(OFFSET(PLE!$G$15,$M81-$A$15,DI$13)="",10^12,OFFSET(PLE!$G$15,$M81-$A$15,DI$13)))</f>
        <v>1000000000000</v>
      </c>
      <c r="DJ81" s="354" t="n">
        <f aca="true">IF(OR($D81&lt;&gt;"Serviço",AND(AUTOEVENTO="Manual",$M81=$A$15),$M81&gt;(ROW(PLE.lastrow)-ROW(PLE.firstrow))),0,
           IF(OFFSET(PLE!$G$15,$M81-$A$15,DJ$13)="",10^12,OFFSET(PLE!$G$15,$M81-$A$15,DJ$13)))</f>
        <v>1000000000000</v>
      </c>
      <c r="DK81" s="354" t="n">
        <f aca="true">IF(OR($D81&lt;&gt;"Serviço",AND(AUTOEVENTO="Manual",$M81=$A$15),$M81&gt;(ROW(PLE.lastrow)-ROW(PLE.firstrow))),0,
           IF(OFFSET(PLE!$G$15,$M81-$A$15,DK$13)="",10^12,OFFSET(PLE!$G$15,$M81-$A$15,DK$13)))</f>
        <v>1000000000000</v>
      </c>
      <c r="DL81" s="354" t="n">
        <f aca="true">IF(OR($D81&lt;&gt;"Serviço",AND(AUTOEVENTO="Manual",$M81=$A$15),$M81&gt;(ROW(PLE.lastrow)-ROW(PLE.firstrow))),0,
           IF(OFFSET(PLE!$G$15,$M81-$A$15,DL$13)="",10^12,OFFSET(PLE!$G$15,$M81-$A$15,DL$13)))</f>
        <v>1000000000000</v>
      </c>
      <c r="DM81" s="354" t="n">
        <f aca="true">IF(OR($D81&lt;&gt;"Serviço",AND(AUTOEVENTO="Manual",$M81=$A$15),$M81&gt;(ROW(PLE.lastrow)-ROW(PLE.firstrow))),0,
           IF(OFFSET(PLE!$G$15,$M81-$A$15,DM$13)="",10^12,OFFSET(PLE!$G$15,$M81-$A$15,DM$13)))</f>
        <v>1000000000000</v>
      </c>
      <c r="DN81" s="354" t="n">
        <f aca="true">IF(OR($D81&lt;&gt;"Serviço",AND(AUTOEVENTO="Manual",$M81=$A$15),$M81&gt;(ROW(PLE.lastrow)-ROW(PLE.firstrow))),0,
           IF(OFFSET(PLE!$G$15,$M81-$A$15,DN$13)="",10^12,OFFSET(PLE!$G$15,$M81-$A$15,DN$13)))</f>
        <v>1000000000000</v>
      </c>
      <c r="DO81" s="354" t="n">
        <f aca="true">IF(OR($D81&lt;&gt;"Serviço",AND(AUTOEVENTO="Manual",$M81=$A$15),$M81&gt;(ROW(PLE.lastrow)-ROW(PLE.firstrow))),0,
           IF(OFFSET(PLE!$G$15,$M81-$A$15,DO$13)="",10^12,OFFSET(PLE!$G$15,$M81-$A$15,DO$13)))</f>
        <v>1000000000000</v>
      </c>
      <c r="DP81" s="354" t="n">
        <f aca="true">IF(OR($D81&lt;&gt;"Serviço",AND(AUTOEVENTO="Manual",$M81=$A$15),$M81&gt;(ROW(PLE.lastrow)-ROW(PLE.firstrow))),0,
           IF(OFFSET(PLE!$G$15,$M81-$A$15,DP$13)="",10^12,OFFSET(PLE!$G$15,$M81-$A$15,DP$13)))</f>
        <v>1000000000000</v>
      </c>
      <c r="DQ81" s="354" t="n">
        <f aca="true">IF(OR($D81&lt;&gt;"Serviço",AND(AUTOEVENTO="Manual",$M81=$A$15),$M81&gt;(ROW(PLE.lastrow)-ROW(PLE.firstrow))),0,
           IF(OFFSET(PLE!$G$15,$M81-$A$15,DQ$13)="",10^12,OFFSET(PLE!$G$15,$M81-$A$15,DQ$13)))</f>
        <v>1000000000000</v>
      </c>
      <c r="DR81" s="354" t="n">
        <f aca="true">IF(OR($D81&lt;&gt;"Serviço",AND(AUTOEVENTO="Manual",$M81=$A$15),$M81&gt;(ROW(PLE.lastrow)-ROW(PLE.firstrow))),0,
           IF(OFFSET(PLE!$G$15,$M81-$A$15,DR$13)="",10^12,OFFSET(PLE!$G$15,$M81-$A$15,DR$13)))</f>
        <v>1000000000000</v>
      </c>
      <c r="DS81" s="354" t="n">
        <f aca="true">IF(OR($D81&lt;&gt;"Serviço",AND(AUTOEVENTO="Manual",$M81=$A$15),$M81&gt;(ROW(PLE.lastrow)-ROW(PLE.firstrow))),0,
           IF(OFFSET(PLE!$G$15,$M81-$A$15,DS$13)="",10^12,OFFSET(PLE!$G$15,$M81-$A$15,DS$13)))</f>
        <v>1000000000000</v>
      </c>
    </row>
    <row r="82" customFormat="false" ht="12.75" hidden="false" customHeight="false" outlineLevel="0" collapsed="false">
      <c r="A82" s="50" t="str">
        <f aca="true">IFERROR(IF(AUTOEVENTO="Manual",IF(K82&lt;&gt;"",MIN(VALUE(LEFT(K82,FIND(".",K82)-1)),COUNTA(EVENTOS.Lista)),0),IF(OR($B82&gt;AUTOEVENTO,$B82="S",$B82=0),SUBSTITUTE(OFFSET($A82,-1,0),IF($D82="Serviço",".",""),""),ROW(A82)-ROW($A$15)&amp;".")),0)</f>
        <v>67.</v>
      </c>
      <c r="B82" s="50" t="n">
        <f aca="true">OFFSET(ORÇAMENTO!C$15,ROW(B82)-ROW(B$15),0)</f>
        <v>2</v>
      </c>
      <c r="C82" s="50" t="str">
        <f aca="true">OFFSET(ORÇAMENTO!L$15,ROW(C82)-ROW(C$15),0)</f>
        <v>F</v>
      </c>
      <c r="D82" s="201" t="str">
        <f aca="true">OFFSET(ORÇAMENTO!N$15,ROW(D82)-ROW(D$15),0)</f>
        <v>Nível 2</v>
      </c>
      <c r="E82" s="202" t="str">
        <f aca="true">OFFSET(ORÇAMENTO!O$15,ROW(E82)-ROW(E$15),0)</f>
        <v>1.19.</v>
      </c>
      <c r="F82" s="341" t="str">
        <f aca="true">OFFSET(ORÇAMENTO!R$15,ROW(F82)-ROW(F$15),0)</f>
        <v>REVESTIMENTOS CERÂMICOS</v>
      </c>
      <c r="G82" s="342" t="str">
        <f aca="true">IF($D82&lt;&gt;"Serviço","",OFFSET(ORÇAMENTO!S$15,ROW(G82)-ROW(G$15),0))</f>
        <v/>
      </c>
      <c r="H82" s="207" t="n">
        <f aca="true">IF($D82&lt;&gt;"Serviço",0,IF(ACOMPANHAMENTO="BM",ROUND(OFFSET(ORÇAMENTO!AJ$15,ROW(H82)-ROW(H$15),0),15-13*ORÇAMENTO!$AF$7),SUMPRODUCT(($Q$1:$AQ$1=1)*ROUND($Q82:$AQ82,15-13*ORÇAMENTO!$AF$7))))</f>
        <v>0</v>
      </c>
      <c r="I82" s="343"/>
      <c r="J82" s="344" t="str">
        <f aca="false">IF(OR(B82&lt;&gt;"S",CÁLCULO.FrentesPreenchidas=0),"",IF(AND(ACOMPANHAMENTO="PLE",AUTOEVENTO="Manual",OR(H82&gt;0,ORÇAMENTO!AC82="QUANT."),OR(K82="",M82=0,N82="")),"►",IF(AND(ACOMPANHAMENTO="PLE",ORÇAMENTO!AC82="QUANT."),"►►",IF(AND(COUNTIF($P$11:$AQ$11,"▼")=0,H82&gt;0,I82=""),"◄",""))))</f>
        <v/>
      </c>
      <c r="K82" s="345"/>
      <c r="L82" s="346" t="s">
        <v>876</v>
      </c>
      <c r="M82" s="347" t="str">
        <f aca="true">IF($D82&lt;&gt;"Serviço","",
          IF(AUTOEVENTO="manual",$A82,
                IF(ISERROR(MATCH($A82,$A$15:OFFSET($A82,-1,0),0)),MAX($M$15:OFFSET(M82,-1,0))+1,
                      INDEX($M$15:OFFSET(M82,-1,0),MATCH($A82,$A$15:OFFSET($A82,-1,0),0)))))</f>
        <v/>
      </c>
      <c r="N82" s="348" t="str">
        <f aca="true">IF($D82&lt;&gt;"Serviço","",
         IF(AUTOEVENTO="Manual",
                IF($A82=0,"&lt;-- defina o número do agrupador",
                       OFFSET(EVENTOS!$D$15,$A82-$A$15,0)),
                OFFSET($F$15,$A82,0)))</f>
        <v/>
      </c>
      <c r="O82" s="349"/>
      <c r="Q82" s="349"/>
      <c r="R82" s="350"/>
      <c r="S82" s="350"/>
      <c r="T82" s="350"/>
      <c r="U82" s="350"/>
      <c r="V82" s="350"/>
      <c r="W82" s="350"/>
      <c r="X82" s="350"/>
      <c r="Y82" s="350"/>
      <c r="Z82" s="351"/>
      <c r="AA82" s="350"/>
      <c r="AB82" s="350"/>
      <c r="AC82" s="350"/>
      <c r="AD82" s="350"/>
      <c r="AE82" s="350"/>
      <c r="AF82" s="350"/>
      <c r="AG82" s="350"/>
      <c r="AH82" s="351"/>
      <c r="AI82" s="350"/>
      <c r="AJ82" s="350"/>
      <c r="AK82" s="350"/>
      <c r="AL82" s="350"/>
      <c r="AM82" s="350"/>
      <c r="AN82" s="350"/>
      <c r="AO82" s="350"/>
      <c r="AP82" s="351"/>
      <c r="AR82" s="352" t="n">
        <f aca="true">IF(AND($D82="Serviço",AR$12&lt;&gt;0,$H82&gt;0,OR(AUTOEVENTO&lt;&gt;"manual",$M82&lt;&gt;$A$15)),
        IF(Import.TipoArredondamento&lt;&gt;"TransfereGOV",
              ROUND(OFFSET($P82,0,AR$13),15-13*ORÇAMENTO!$AF$7)/$H82*OFFSET(ORÇAMENTO!$X$15,ROW(AR82)-ROW(AR$15),0),
              ROUND(ROUND(OFFSET($P82,0,AR$13),15-13*ORÇAMENTO!$AF$7)*OFFSET(ORÇAMENTO!$W$15,ROW(AR82)-ROW(AR$15),0),15-13*ORÇAMENTO!$AF$11)),
         0)</f>
        <v>0</v>
      </c>
      <c r="AS82" s="352" t="n">
        <f aca="true">IF(AND($D82="Serviço",AS$12&lt;&gt;0,$H82&gt;0,OR(AUTOEVENTO&lt;&gt;"manual",$M82&lt;&gt;$A$15)),
        IF(Import.TipoArredondamento&lt;&gt;"TransfereGOV",
              ROUND(OFFSET($P82,0,AS$13),15-13*ORÇAMENTO!$AF$7)/$H82*OFFSET(ORÇAMENTO!$X$15,ROW(AS82)-ROW(AS$15),0),
              ROUND(ROUND(OFFSET($P82,0,AS$13),15-13*ORÇAMENTO!$AF$7)*OFFSET(ORÇAMENTO!$W$15,ROW(AS82)-ROW(AS$15),0),15-13*ORÇAMENTO!$AF$11)),
         0)</f>
        <v>0</v>
      </c>
      <c r="AT82" s="352" t="n">
        <f aca="true">IF(AND($D82="Serviço",AT$12&lt;&gt;0,$H82&gt;0,OR(AUTOEVENTO&lt;&gt;"manual",$M82&lt;&gt;$A$15)),
        IF(Import.TipoArredondamento&lt;&gt;"TransfereGOV",
              ROUND(OFFSET($P82,0,AT$13),15-13*ORÇAMENTO!$AF$7)/$H82*OFFSET(ORÇAMENTO!$X$15,ROW(AT82)-ROW(AT$15),0),
              ROUND(ROUND(OFFSET($P82,0,AT$13),15-13*ORÇAMENTO!$AF$7)*OFFSET(ORÇAMENTO!$W$15,ROW(AT82)-ROW(AT$15),0),15-13*ORÇAMENTO!$AF$11)),
         0)</f>
        <v>0</v>
      </c>
      <c r="AU82" s="352" t="n">
        <f aca="true">IF(AND($D82="Serviço",AU$12&lt;&gt;0,$H82&gt;0,OR(AUTOEVENTO&lt;&gt;"manual",$M82&lt;&gt;$A$15)),
        IF(Import.TipoArredondamento&lt;&gt;"TransfereGOV",
              ROUND(OFFSET($P82,0,AU$13),15-13*ORÇAMENTO!$AF$7)/$H82*OFFSET(ORÇAMENTO!$X$15,ROW(AU82)-ROW(AU$15),0),
              ROUND(ROUND(OFFSET($P82,0,AU$13),15-13*ORÇAMENTO!$AF$7)*OFFSET(ORÇAMENTO!$W$15,ROW(AU82)-ROW(AU$15),0),15-13*ORÇAMENTO!$AF$11)),
         0)</f>
        <v>0</v>
      </c>
      <c r="AV82" s="352" t="n">
        <f aca="true">IF(AND($D82="Serviço",AV$12&lt;&gt;0,$H82&gt;0,OR(AUTOEVENTO&lt;&gt;"manual",$M82&lt;&gt;$A$15)),
        IF(Import.TipoArredondamento&lt;&gt;"TransfereGOV",
              ROUND(OFFSET($P82,0,AV$13),15-13*ORÇAMENTO!$AF$7)/$H82*OFFSET(ORÇAMENTO!$X$15,ROW(AV82)-ROW(AV$15),0),
              ROUND(ROUND(OFFSET($P82,0,AV$13),15-13*ORÇAMENTO!$AF$7)*OFFSET(ORÇAMENTO!$W$15,ROW(AV82)-ROW(AV$15),0),15-13*ORÇAMENTO!$AF$11)),
         0)</f>
        <v>0</v>
      </c>
      <c r="AW82" s="352" t="n">
        <f aca="true">IF(AND($D82="Serviço",AW$12&lt;&gt;0,$H82&gt;0,OR(AUTOEVENTO&lt;&gt;"manual",$M82&lt;&gt;$A$15)),
        IF(Import.TipoArredondamento&lt;&gt;"TransfereGOV",
              ROUND(OFFSET($P82,0,AW$13),15-13*ORÇAMENTO!$AF$7)/$H82*OFFSET(ORÇAMENTO!$X$15,ROW(AW82)-ROW(AW$15),0),
              ROUND(ROUND(OFFSET($P82,0,AW$13),15-13*ORÇAMENTO!$AF$7)*OFFSET(ORÇAMENTO!$W$15,ROW(AW82)-ROW(AW$15),0),15-13*ORÇAMENTO!$AF$11)),
         0)</f>
        <v>0</v>
      </c>
      <c r="AX82" s="352" t="n">
        <f aca="true">IF(AND($D82="Serviço",AX$12&lt;&gt;0,$H82&gt;0,OR(AUTOEVENTO&lt;&gt;"manual",$M82&lt;&gt;$A$15)),
        IF(Import.TipoArredondamento&lt;&gt;"TransfereGOV",
              ROUND(OFFSET($P82,0,AX$13),15-13*ORÇAMENTO!$AF$7)/$H82*OFFSET(ORÇAMENTO!$X$15,ROW(AX82)-ROW(AX$15),0),
              ROUND(ROUND(OFFSET($P82,0,AX$13),15-13*ORÇAMENTO!$AF$7)*OFFSET(ORÇAMENTO!$W$15,ROW(AX82)-ROW(AX$15),0),15-13*ORÇAMENTO!$AF$11)),
         0)</f>
        <v>0</v>
      </c>
      <c r="AY82" s="352" t="n">
        <f aca="true">IF(AND($D82="Serviço",AY$12&lt;&gt;0,$H82&gt;0,OR(AUTOEVENTO&lt;&gt;"manual",$M82&lt;&gt;$A$15)),
        IF(Import.TipoArredondamento&lt;&gt;"TransfereGOV",
              ROUND(OFFSET($P82,0,AY$13),15-13*ORÇAMENTO!$AF$7)/$H82*OFFSET(ORÇAMENTO!$X$15,ROW(AY82)-ROW(AY$15),0),
              ROUND(ROUND(OFFSET($P82,0,AY$13),15-13*ORÇAMENTO!$AF$7)*OFFSET(ORÇAMENTO!$W$15,ROW(AY82)-ROW(AY$15),0),15-13*ORÇAMENTO!$AF$11)),
         0)</f>
        <v>0</v>
      </c>
      <c r="AZ82" s="352" t="n">
        <f aca="true">IF(AND($D82="Serviço",AZ$12&lt;&gt;0,$H82&gt;0,OR(AUTOEVENTO&lt;&gt;"manual",$M82&lt;&gt;$A$15)),
        IF(Import.TipoArredondamento&lt;&gt;"TransfereGOV",
              ROUND(OFFSET($P82,0,AZ$13),15-13*ORÇAMENTO!$AF$7)/$H82*OFFSET(ORÇAMENTO!$X$15,ROW(AZ82)-ROW(AZ$15),0),
              ROUND(ROUND(OFFSET($P82,0,AZ$13),15-13*ORÇAMENTO!$AF$7)*OFFSET(ORÇAMENTO!$W$15,ROW(AZ82)-ROW(AZ$15),0),15-13*ORÇAMENTO!$AF$11)),
         0)</f>
        <v>0</v>
      </c>
      <c r="BA82" s="352" t="n">
        <f aca="true">IF(AND($D82="Serviço",BA$12&lt;&gt;0,$H82&gt;0,OR(AUTOEVENTO&lt;&gt;"manual",$M82&lt;&gt;$A$15)),
        IF(Import.TipoArredondamento&lt;&gt;"TransfereGOV",
              ROUND(OFFSET($P82,0,BA$13),15-13*ORÇAMENTO!$AF$7)/$H82*OFFSET(ORÇAMENTO!$X$15,ROW(BA82)-ROW(BA$15),0),
              ROUND(ROUND(OFFSET($P82,0,BA$13),15-13*ORÇAMENTO!$AF$7)*OFFSET(ORÇAMENTO!$W$15,ROW(BA82)-ROW(BA$15),0),15-13*ORÇAMENTO!$AF$11)),
         0)</f>
        <v>0</v>
      </c>
      <c r="BB82" s="352" t="n">
        <f aca="true">IF(AND($D82="Serviço",BB$12&lt;&gt;0,$H82&gt;0,OR(AUTOEVENTO&lt;&gt;"manual",$M82&lt;&gt;$A$15)),
        IF(Import.TipoArredondamento&lt;&gt;"TransfereGOV",
              ROUND(OFFSET($P82,0,BB$13),15-13*ORÇAMENTO!$AF$7)/$H82*OFFSET(ORÇAMENTO!$X$15,ROW(BB82)-ROW(BB$15),0),
              ROUND(ROUND(OFFSET($P82,0,BB$13),15-13*ORÇAMENTO!$AF$7)*OFFSET(ORÇAMENTO!$W$15,ROW(BB82)-ROW(BB$15),0),15-13*ORÇAMENTO!$AF$11)),
         0)</f>
        <v>0</v>
      </c>
      <c r="BC82" s="352" t="n">
        <f aca="true">IF(AND($D82="Serviço",BC$12&lt;&gt;0,$H82&gt;0,OR(AUTOEVENTO&lt;&gt;"manual",$M82&lt;&gt;$A$15)),
        IF(Import.TipoArredondamento&lt;&gt;"TransfereGOV",
              ROUND(OFFSET($P82,0,BC$13),15-13*ORÇAMENTO!$AF$7)/$H82*OFFSET(ORÇAMENTO!$X$15,ROW(BC82)-ROW(BC$15),0),
              ROUND(ROUND(OFFSET($P82,0,BC$13),15-13*ORÇAMENTO!$AF$7)*OFFSET(ORÇAMENTO!$W$15,ROW(BC82)-ROW(BC$15),0),15-13*ORÇAMENTO!$AF$11)),
         0)</f>
        <v>0</v>
      </c>
      <c r="BD82" s="352" t="n">
        <f aca="true">IF(AND($D82="Serviço",BD$12&lt;&gt;0,$H82&gt;0,OR(AUTOEVENTO&lt;&gt;"manual",$M82&lt;&gt;$A$15)),
        IF(Import.TipoArredondamento&lt;&gt;"TransfereGOV",
              ROUND(OFFSET($P82,0,BD$13),15-13*ORÇAMENTO!$AF$7)/$H82*OFFSET(ORÇAMENTO!$X$15,ROW(BD82)-ROW(BD$15),0),
              ROUND(ROUND(OFFSET($P82,0,BD$13),15-13*ORÇAMENTO!$AF$7)*OFFSET(ORÇAMENTO!$W$15,ROW(BD82)-ROW(BD$15),0),15-13*ORÇAMENTO!$AF$11)),
         0)</f>
        <v>0</v>
      </c>
      <c r="BE82" s="352" t="n">
        <f aca="true">IF(AND($D82="Serviço",BE$12&lt;&gt;0,$H82&gt;0,OR(AUTOEVENTO&lt;&gt;"manual",$M82&lt;&gt;$A$15)),
        IF(Import.TipoArredondamento&lt;&gt;"TransfereGOV",
              ROUND(OFFSET($P82,0,BE$13),15-13*ORÇAMENTO!$AF$7)/$H82*OFFSET(ORÇAMENTO!$X$15,ROW(BE82)-ROW(BE$15),0),
              ROUND(ROUND(OFFSET($P82,0,BE$13),15-13*ORÇAMENTO!$AF$7)*OFFSET(ORÇAMENTO!$W$15,ROW(BE82)-ROW(BE$15),0),15-13*ORÇAMENTO!$AF$11)),
         0)</f>
        <v>0</v>
      </c>
      <c r="BF82" s="352" t="n">
        <f aca="true">IF(AND($D82="Serviço",BF$12&lt;&gt;0,$H82&gt;0,OR(AUTOEVENTO&lt;&gt;"manual",$M82&lt;&gt;$A$15)),
        IF(Import.TipoArredondamento&lt;&gt;"TransfereGOV",
              ROUND(OFFSET($P82,0,BF$13),15-13*ORÇAMENTO!$AF$7)/$H82*OFFSET(ORÇAMENTO!$X$15,ROW(BF82)-ROW(BF$15),0),
              ROUND(ROUND(OFFSET($P82,0,BF$13),15-13*ORÇAMENTO!$AF$7)*OFFSET(ORÇAMENTO!$W$15,ROW(BF82)-ROW(BF$15),0),15-13*ORÇAMENTO!$AF$11)),
         0)</f>
        <v>0</v>
      </c>
      <c r="BG82" s="352" t="n">
        <f aca="true">IF(AND($D82="Serviço",BG$12&lt;&gt;0,$H82&gt;0,OR(AUTOEVENTO&lt;&gt;"manual",$M82&lt;&gt;$A$15)),
        IF(Import.TipoArredondamento&lt;&gt;"TransfereGOV",
              ROUND(OFFSET($P82,0,BG$13),15-13*ORÇAMENTO!$AF$7)/$H82*OFFSET(ORÇAMENTO!$X$15,ROW(BG82)-ROW(BG$15),0),
              ROUND(ROUND(OFFSET($P82,0,BG$13),15-13*ORÇAMENTO!$AF$7)*OFFSET(ORÇAMENTO!$W$15,ROW(BG82)-ROW(BG$15),0),15-13*ORÇAMENTO!$AF$11)),
         0)</f>
        <v>0</v>
      </c>
      <c r="BH82" s="352" t="n">
        <f aca="true">IF(AND($D82="Serviço",BH$12&lt;&gt;0,$H82&gt;0,OR(AUTOEVENTO&lt;&gt;"manual",$M82&lt;&gt;$A$15)),
        IF(Import.TipoArredondamento&lt;&gt;"TransfereGOV",
              ROUND(OFFSET($P82,0,BH$13),15-13*ORÇAMENTO!$AF$7)/$H82*OFFSET(ORÇAMENTO!$X$15,ROW(BH82)-ROW(BH$15),0),
              ROUND(ROUND(OFFSET($P82,0,BH$13),15-13*ORÇAMENTO!$AF$7)*OFFSET(ORÇAMENTO!$W$15,ROW(BH82)-ROW(BH$15),0),15-13*ORÇAMENTO!$AF$11)),
         0)</f>
        <v>0</v>
      </c>
      <c r="BI82" s="352" t="n">
        <f aca="true">IF(AND($D82="Serviço",BI$12&lt;&gt;0,$H82&gt;0,OR(AUTOEVENTO&lt;&gt;"manual",$M82&lt;&gt;$A$15)),
        IF(Import.TipoArredondamento&lt;&gt;"TransfereGOV",
              ROUND(OFFSET($P82,0,BI$13),15-13*ORÇAMENTO!$AF$7)/$H82*OFFSET(ORÇAMENTO!$X$15,ROW(BI82)-ROW(BI$15),0),
              ROUND(ROUND(OFFSET($P82,0,BI$13),15-13*ORÇAMENTO!$AF$7)*OFFSET(ORÇAMENTO!$W$15,ROW(BI82)-ROW(BI$15),0),15-13*ORÇAMENTO!$AF$11)),
         0)</f>
        <v>0</v>
      </c>
      <c r="BJ82" s="352" t="n">
        <f aca="true">IF(AND($D82="Serviço",BJ$12&lt;&gt;0,$H82&gt;0,OR(AUTOEVENTO&lt;&gt;"manual",$M82&lt;&gt;$A$15)),
        IF(Import.TipoArredondamento&lt;&gt;"TransfereGOV",
              ROUND(OFFSET($P82,0,BJ$13),15-13*ORÇAMENTO!$AF$7)/$H82*OFFSET(ORÇAMENTO!$X$15,ROW(BJ82)-ROW(BJ$15),0),
              ROUND(ROUND(OFFSET($P82,0,BJ$13),15-13*ORÇAMENTO!$AF$7)*OFFSET(ORÇAMENTO!$W$15,ROW(BJ82)-ROW(BJ$15),0),15-13*ORÇAMENTO!$AF$11)),
         0)</f>
        <v>0</v>
      </c>
      <c r="BK82" s="352" t="n">
        <f aca="true">IF(AND($D82="Serviço",BK$12&lt;&gt;0,$H82&gt;0,OR(AUTOEVENTO&lt;&gt;"manual",$M82&lt;&gt;$A$15)),
        IF(Import.TipoArredondamento&lt;&gt;"TransfereGOV",
              ROUND(OFFSET($P82,0,BK$13),15-13*ORÇAMENTO!$AF$7)/$H82*OFFSET(ORÇAMENTO!$X$15,ROW(BK82)-ROW(BK$15),0),
              ROUND(ROUND(OFFSET($P82,0,BK$13),15-13*ORÇAMENTO!$AF$7)*OFFSET(ORÇAMENTO!$W$15,ROW(BK82)-ROW(BK$15),0),15-13*ORÇAMENTO!$AF$11)),
         0)</f>
        <v>0</v>
      </c>
      <c r="BL82" s="352" t="n">
        <f aca="true">IF(AND($D82="Serviço",BL$12&lt;&gt;0,$H82&gt;0,OR(AUTOEVENTO&lt;&gt;"manual",$M82&lt;&gt;$A$15)),
        IF(Import.TipoArredondamento&lt;&gt;"TransfereGOV",
              ROUND(OFFSET($P82,0,BL$13),15-13*ORÇAMENTO!$AF$7)/$H82*OFFSET(ORÇAMENTO!$X$15,ROW(BL82)-ROW(BL$15),0),
              ROUND(ROUND(OFFSET($P82,0,BL$13),15-13*ORÇAMENTO!$AF$7)*OFFSET(ORÇAMENTO!$W$15,ROW(BL82)-ROW(BL$15),0),15-13*ORÇAMENTO!$AF$11)),
         0)</f>
        <v>0</v>
      </c>
      <c r="BM82" s="352" t="n">
        <f aca="true">IF(AND($D82="Serviço",BM$12&lt;&gt;0,$H82&gt;0,OR(AUTOEVENTO&lt;&gt;"manual",$M82&lt;&gt;$A$15)),
        IF(Import.TipoArredondamento&lt;&gt;"TransfereGOV",
              ROUND(OFFSET($P82,0,BM$13),15-13*ORÇAMENTO!$AF$7)/$H82*OFFSET(ORÇAMENTO!$X$15,ROW(BM82)-ROW(BM$15),0),
              ROUND(ROUND(OFFSET($P82,0,BM$13),15-13*ORÇAMENTO!$AF$7)*OFFSET(ORÇAMENTO!$W$15,ROW(BM82)-ROW(BM$15),0),15-13*ORÇAMENTO!$AF$11)),
         0)</f>
        <v>0</v>
      </c>
      <c r="BN82" s="352" t="n">
        <f aca="true">IF(AND($D82="Serviço",BN$12&lt;&gt;0,$H82&gt;0,OR(AUTOEVENTO&lt;&gt;"manual",$M82&lt;&gt;$A$15)),
        IF(Import.TipoArredondamento&lt;&gt;"TransfereGOV",
              ROUND(OFFSET($P82,0,BN$13),15-13*ORÇAMENTO!$AF$7)/$H82*OFFSET(ORÇAMENTO!$X$15,ROW(BN82)-ROW(BN$15),0),
              ROUND(ROUND(OFFSET($P82,0,BN$13),15-13*ORÇAMENTO!$AF$7)*OFFSET(ORÇAMENTO!$W$15,ROW(BN82)-ROW(BN$15),0),15-13*ORÇAMENTO!$AF$11)),
         0)</f>
        <v>0</v>
      </c>
      <c r="BO82" s="352" t="n">
        <f aca="true">IF(AND($D82="Serviço",BO$12&lt;&gt;0,$H82&gt;0,OR(AUTOEVENTO&lt;&gt;"manual",$M82&lt;&gt;$A$15)),
        IF(Import.TipoArredondamento&lt;&gt;"TransfereGOV",
              ROUND(OFFSET($P82,0,BO$13),15-13*ORÇAMENTO!$AF$7)/$H82*OFFSET(ORÇAMENTO!$X$15,ROW(BO82)-ROW(BO$15),0),
              ROUND(ROUND(OFFSET($P82,0,BO$13),15-13*ORÇAMENTO!$AF$7)*OFFSET(ORÇAMENTO!$W$15,ROW(BO82)-ROW(BO$15),0),15-13*ORÇAMENTO!$AF$11)),
         0)</f>
        <v>0</v>
      </c>
      <c r="BP82" s="352" t="n">
        <f aca="true">IF(AND($D82="Serviço",BP$12&lt;&gt;0,$H82&gt;0,OR(AUTOEVENTO&lt;&gt;"manual",$M82&lt;&gt;$A$15)),
        IF(Import.TipoArredondamento&lt;&gt;"TransfereGOV",
              ROUND(OFFSET($P82,0,BP$13),15-13*ORÇAMENTO!$AF$7)/$H82*OFFSET(ORÇAMENTO!$X$15,ROW(BP82)-ROW(BP$15),0),
              ROUND(ROUND(OFFSET($P82,0,BP$13),15-13*ORÇAMENTO!$AF$7)*OFFSET(ORÇAMENTO!$W$15,ROW(BP82)-ROW(BP$15),0),15-13*ORÇAMENTO!$AF$11)),
         0)</f>
        <v>0</v>
      </c>
      <c r="BQ82" s="352" t="n">
        <f aca="true">IF(AND($D82="Serviço",BQ$12&lt;&gt;0,$H82&gt;0,OR(AUTOEVENTO&lt;&gt;"manual",$M82&lt;&gt;$A$15)),
        IF(Import.TipoArredondamento&lt;&gt;"TransfereGOV",
              ROUND(OFFSET($P82,0,BQ$13),15-13*ORÇAMENTO!$AF$7)/$H82*OFFSET(ORÇAMENTO!$X$15,ROW(BQ82)-ROW(BQ$15),0),
              ROUND(ROUND(OFFSET($P82,0,BQ$13),15-13*ORÇAMENTO!$AF$7)*OFFSET(ORÇAMENTO!$W$15,ROW(BQ82)-ROW(BQ$15),0),15-13*ORÇAMENTO!$AF$11)),
         0)</f>
        <v>0</v>
      </c>
      <c r="BS82" s="353" t="n">
        <f aca="true">IF(OR($D82&lt;&gt;"Serviço",AND(AUTOEVENTO="Manual",$M82=$A$15)),0,
         IF(OFFSET(CRONOPLE!$F$15,$M82-$A$15,BS$13)=0,10^12,OFFSET(CRONOPLE!$F$15,$M82-$A$15,BS$13)))</f>
        <v>0</v>
      </c>
      <c r="BT82" s="353" t="n">
        <f aca="true">IF(OR($D82&lt;&gt;"Serviço",AND(AUTOEVENTO="Manual",$M82=$A$15)),0,
         IF(OFFSET(CRONOPLE!$F$15,$M82-$A$15,BT$13)=0,10^12,OFFSET(CRONOPLE!$F$15,$M82-$A$15,BT$13)))</f>
        <v>0</v>
      </c>
      <c r="BU82" s="353" t="n">
        <f aca="true">IF(OR($D82&lt;&gt;"Serviço",AND(AUTOEVENTO="Manual",$M82=$A$15)),0,
         IF(OFFSET(CRONOPLE!$F$15,$M82-$A$15,BU$13)=0,10^12,OFFSET(CRONOPLE!$F$15,$M82-$A$15,BU$13)))</f>
        <v>0</v>
      </c>
      <c r="BV82" s="353" t="n">
        <f aca="true">IF(OR($D82&lt;&gt;"Serviço",AND(AUTOEVENTO="Manual",$M82=$A$15)),0,
         IF(OFFSET(CRONOPLE!$F$15,$M82-$A$15,BV$13)=0,10^12,OFFSET(CRONOPLE!$F$15,$M82-$A$15,BV$13)))</f>
        <v>0</v>
      </c>
      <c r="BW82" s="353" t="n">
        <f aca="true">IF(OR($D82&lt;&gt;"Serviço",AND(AUTOEVENTO="Manual",$M82=$A$15)),0,
         IF(OFFSET(CRONOPLE!$F$15,$M82-$A$15,BW$13)=0,10^12,OFFSET(CRONOPLE!$F$15,$M82-$A$15,BW$13)))</f>
        <v>0</v>
      </c>
      <c r="BX82" s="353" t="n">
        <f aca="true">IF(OR($D82&lt;&gt;"Serviço",AND(AUTOEVENTO="Manual",$M82=$A$15)),0,
         IF(OFFSET(CRONOPLE!$F$15,$M82-$A$15,BX$13)=0,10^12,OFFSET(CRONOPLE!$F$15,$M82-$A$15,BX$13)))</f>
        <v>0</v>
      </c>
      <c r="BY82" s="353" t="n">
        <f aca="true">IF(OR($D82&lt;&gt;"Serviço",AND(AUTOEVENTO="Manual",$M82=$A$15)),0,
         IF(OFFSET(CRONOPLE!$F$15,$M82-$A$15,BY$13)=0,10^12,OFFSET(CRONOPLE!$F$15,$M82-$A$15,BY$13)))</f>
        <v>0</v>
      </c>
      <c r="BZ82" s="353" t="n">
        <f aca="true">IF(OR($D82&lt;&gt;"Serviço",AND(AUTOEVENTO="Manual",$M82=$A$15)),0,
         IF(OFFSET(CRONOPLE!$F$15,$M82-$A$15,BZ$13)=0,10^12,OFFSET(CRONOPLE!$F$15,$M82-$A$15,BZ$13)))</f>
        <v>0</v>
      </c>
      <c r="CA82" s="353" t="n">
        <f aca="true">IF(OR($D82&lt;&gt;"Serviço",AND(AUTOEVENTO="Manual",$M82=$A$15)),0,
         IF(OFFSET(CRONOPLE!$F$15,$M82-$A$15,CA$13)=0,10^12,OFFSET(CRONOPLE!$F$15,$M82-$A$15,CA$13)))</f>
        <v>0</v>
      </c>
      <c r="CB82" s="353" t="n">
        <f aca="true">IF(OR($D82&lt;&gt;"Serviço",AND(AUTOEVENTO="Manual",$M82=$A$15)),0,
         IF(OFFSET(CRONOPLE!$F$15,$M82-$A$15,CB$13)=0,10^12,OFFSET(CRONOPLE!$F$15,$M82-$A$15,CB$13)))</f>
        <v>0</v>
      </c>
      <c r="CC82" s="353" t="n">
        <f aca="true">IF(OR($D82&lt;&gt;"Serviço",AND(AUTOEVENTO="Manual",$M82=$A$15)),0,
         IF(OFFSET(CRONOPLE!$F$15,$M82-$A$15,CC$13)=0,10^12,OFFSET(CRONOPLE!$F$15,$M82-$A$15,CC$13)))</f>
        <v>0</v>
      </c>
      <c r="CD82" s="353" t="n">
        <f aca="true">IF(OR($D82&lt;&gt;"Serviço",AND(AUTOEVENTO="Manual",$M82=$A$15)),0,
         IF(OFFSET(CRONOPLE!$F$15,$M82-$A$15,CD$13)=0,10^12,OFFSET(CRONOPLE!$F$15,$M82-$A$15,CD$13)))</f>
        <v>0</v>
      </c>
      <c r="CE82" s="353" t="n">
        <f aca="true">IF(OR($D82&lt;&gt;"Serviço",AND(AUTOEVENTO="Manual",$M82=$A$15)),0,
         IF(OFFSET(CRONOPLE!$F$15,$M82-$A$15,CE$13)=0,10^12,OFFSET(CRONOPLE!$F$15,$M82-$A$15,CE$13)))</f>
        <v>0</v>
      </c>
      <c r="CF82" s="353" t="n">
        <f aca="true">IF(OR($D82&lt;&gt;"Serviço",AND(AUTOEVENTO="Manual",$M82=$A$15)),0,
         IF(OFFSET(CRONOPLE!$F$15,$M82-$A$15,CF$13)=0,10^12,OFFSET(CRONOPLE!$F$15,$M82-$A$15,CF$13)))</f>
        <v>0</v>
      </c>
      <c r="CG82" s="353" t="n">
        <f aca="true">IF(OR($D82&lt;&gt;"Serviço",AND(AUTOEVENTO="Manual",$M82=$A$15)),0,
         IF(OFFSET(CRONOPLE!$F$15,$M82-$A$15,CG$13)=0,10^12,OFFSET(CRONOPLE!$F$15,$M82-$A$15,CG$13)))</f>
        <v>0</v>
      </c>
      <c r="CH82" s="353" t="n">
        <f aca="true">IF(OR($D82&lt;&gt;"Serviço",AND(AUTOEVENTO="Manual",$M82=$A$15)),0,
         IF(OFFSET(CRONOPLE!$F$15,$M82-$A$15,CH$13)=0,10^12,OFFSET(CRONOPLE!$F$15,$M82-$A$15,CH$13)))</f>
        <v>0</v>
      </c>
      <c r="CI82" s="353" t="n">
        <f aca="true">IF(OR($D82&lt;&gt;"Serviço",AND(AUTOEVENTO="Manual",$M82=$A$15)),0,
         IF(OFFSET(CRONOPLE!$F$15,$M82-$A$15,CI$13)=0,10^12,OFFSET(CRONOPLE!$F$15,$M82-$A$15,CI$13)))</f>
        <v>0</v>
      </c>
      <c r="CJ82" s="353" t="n">
        <f aca="true">IF(OR($D82&lt;&gt;"Serviço",AND(AUTOEVENTO="Manual",$M82=$A$15)),0,
         IF(OFFSET(CRONOPLE!$F$15,$M82-$A$15,CJ$13)=0,10^12,OFFSET(CRONOPLE!$F$15,$M82-$A$15,CJ$13)))</f>
        <v>0</v>
      </c>
      <c r="CK82" s="353" t="n">
        <f aca="true">IF(OR($D82&lt;&gt;"Serviço",AND(AUTOEVENTO="Manual",$M82=$A$15)),0,
         IF(OFFSET(CRONOPLE!$F$15,$M82-$A$15,CK$13)=0,10^12,OFFSET(CRONOPLE!$F$15,$M82-$A$15,CK$13)))</f>
        <v>0</v>
      </c>
      <c r="CL82" s="353" t="n">
        <f aca="true">IF(OR($D82&lt;&gt;"Serviço",AND(AUTOEVENTO="Manual",$M82=$A$15)),0,
         IF(OFFSET(CRONOPLE!$F$15,$M82-$A$15,CL$13)=0,10^12,OFFSET(CRONOPLE!$F$15,$M82-$A$15,CL$13)))</f>
        <v>0</v>
      </c>
      <c r="CM82" s="353" t="n">
        <f aca="true">IF(OR($D82&lt;&gt;"Serviço",AND(AUTOEVENTO="Manual",$M82=$A$15)),0,
         IF(OFFSET(CRONOPLE!$F$15,$M82-$A$15,CM$13)=0,10^12,OFFSET(CRONOPLE!$F$15,$M82-$A$15,CM$13)))</f>
        <v>0</v>
      </c>
      <c r="CN82" s="353" t="n">
        <f aca="true">IF(OR($D82&lt;&gt;"Serviço",AND(AUTOEVENTO="Manual",$M82=$A$15)),0,
         IF(OFFSET(CRONOPLE!$F$15,$M82-$A$15,CN$13)=0,10^12,OFFSET(CRONOPLE!$F$15,$M82-$A$15,CN$13)))</f>
        <v>0</v>
      </c>
      <c r="CO82" s="353" t="n">
        <f aca="true">IF(OR($D82&lt;&gt;"Serviço",AND(AUTOEVENTO="Manual",$M82=$A$15)),0,
         IF(OFFSET(CRONOPLE!$F$15,$M82-$A$15,CO$13)=0,10^12,OFFSET(CRONOPLE!$F$15,$M82-$A$15,CO$13)))</f>
        <v>0</v>
      </c>
      <c r="CP82" s="353" t="n">
        <f aca="true">IF(OR($D82&lt;&gt;"Serviço",AND(AUTOEVENTO="Manual",$M82=$A$15)),0,
         IF(OFFSET(CRONOPLE!$F$15,$M82-$A$15,CP$13)=0,10^12,OFFSET(CRONOPLE!$F$15,$M82-$A$15,CP$13)))</f>
        <v>0</v>
      </c>
      <c r="CQ82" s="353" t="n">
        <f aca="true">IF(OR($D82&lt;&gt;"Serviço",AND(AUTOEVENTO="Manual",$M82=$A$15)),0,
         IF(OFFSET(CRONOPLE!$F$15,$M82-$A$15,CQ$13)=0,10^12,OFFSET(CRONOPLE!$F$15,$M82-$A$15,CQ$13)))</f>
        <v>0</v>
      </c>
      <c r="CR82" s="353" t="n">
        <f aca="true">IF(OR($D82&lt;&gt;"Serviço",AND(AUTOEVENTO="Manual",$M82=$A$15)),0,
         IF(OFFSET(CRONOPLE!$F$15,$M82-$A$15,CR$13)=0,10^12,OFFSET(CRONOPLE!$F$15,$M82-$A$15,CR$13)))</f>
        <v>0</v>
      </c>
      <c r="CT82" s="354" t="n">
        <f aca="true">IF(OR($D82&lt;&gt;"Serviço",AND(AUTOEVENTO="Manual",$M82=$A$15),$M82&gt;(ROW(PLE.lastrow)-ROW(PLE.firstrow))),0,
           IF(OFFSET(PLE!$G$15,$M82-$A$15,CT$13)="",10^12,OFFSET(PLE!$G$15,$M82-$A$15,CT$13)))</f>
        <v>0</v>
      </c>
      <c r="CU82" s="354" t="n">
        <f aca="true">IF(OR($D82&lt;&gt;"Serviço",AND(AUTOEVENTO="Manual",$M82=$A$15),$M82&gt;(ROW(PLE.lastrow)-ROW(PLE.firstrow))),0,
           IF(OFFSET(PLE!$G$15,$M82-$A$15,CU$13)="",10^12,OFFSET(PLE!$G$15,$M82-$A$15,CU$13)))</f>
        <v>0</v>
      </c>
      <c r="CV82" s="354" t="n">
        <f aca="true">IF(OR($D82&lt;&gt;"Serviço",AND(AUTOEVENTO="Manual",$M82=$A$15),$M82&gt;(ROW(PLE.lastrow)-ROW(PLE.firstrow))),0,
           IF(OFFSET(PLE!$G$15,$M82-$A$15,CV$13)="",10^12,OFFSET(PLE!$G$15,$M82-$A$15,CV$13)))</f>
        <v>0</v>
      </c>
      <c r="CW82" s="354" t="n">
        <f aca="true">IF(OR($D82&lt;&gt;"Serviço",AND(AUTOEVENTO="Manual",$M82=$A$15),$M82&gt;(ROW(PLE.lastrow)-ROW(PLE.firstrow))),0,
           IF(OFFSET(PLE!$G$15,$M82-$A$15,CW$13)="",10^12,OFFSET(PLE!$G$15,$M82-$A$15,CW$13)))</f>
        <v>0</v>
      </c>
      <c r="CX82" s="354" t="n">
        <f aca="true">IF(OR($D82&lt;&gt;"Serviço",AND(AUTOEVENTO="Manual",$M82=$A$15),$M82&gt;(ROW(PLE.lastrow)-ROW(PLE.firstrow))),0,
           IF(OFFSET(PLE!$G$15,$M82-$A$15,CX$13)="",10^12,OFFSET(PLE!$G$15,$M82-$A$15,CX$13)))</f>
        <v>0</v>
      </c>
      <c r="CY82" s="354" t="n">
        <f aca="true">IF(OR($D82&lt;&gt;"Serviço",AND(AUTOEVENTO="Manual",$M82=$A$15),$M82&gt;(ROW(PLE.lastrow)-ROW(PLE.firstrow))),0,
           IF(OFFSET(PLE!$G$15,$M82-$A$15,CY$13)="",10^12,OFFSET(PLE!$G$15,$M82-$A$15,CY$13)))</f>
        <v>0</v>
      </c>
      <c r="CZ82" s="354" t="n">
        <f aca="true">IF(OR($D82&lt;&gt;"Serviço",AND(AUTOEVENTO="Manual",$M82=$A$15),$M82&gt;(ROW(PLE.lastrow)-ROW(PLE.firstrow))),0,
           IF(OFFSET(PLE!$G$15,$M82-$A$15,CZ$13)="",10^12,OFFSET(PLE!$G$15,$M82-$A$15,CZ$13)))</f>
        <v>0</v>
      </c>
      <c r="DA82" s="354" t="n">
        <f aca="true">IF(OR($D82&lt;&gt;"Serviço",AND(AUTOEVENTO="Manual",$M82=$A$15),$M82&gt;(ROW(PLE.lastrow)-ROW(PLE.firstrow))),0,
           IF(OFFSET(PLE!$G$15,$M82-$A$15,DA$13)="",10^12,OFFSET(PLE!$G$15,$M82-$A$15,DA$13)))</f>
        <v>0</v>
      </c>
      <c r="DB82" s="354" t="n">
        <f aca="true">IF(OR($D82&lt;&gt;"Serviço",AND(AUTOEVENTO="Manual",$M82=$A$15),$M82&gt;(ROW(PLE.lastrow)-ROW(PLE.firstrow))),0,
           IF(OFFSET(PLE!$G$15,$M82-$A$15,DB$13)="",10^12,OFFSET(PLE!$G$15,$M82-$A$15,DB$13)))</f>
        <v>0</v>
      </c>
      <c r="DC82" s="354" t="n">
        <f aca="true">IF(OR($D82&lt;&gt;"Serviço",AND(AUTOEVENTO="Manual",$M82=$A$15),$M82&gt;(ROW(PLE.lastrow)-ROW(PLE.firstrow))),0,
           IF(OFFSET(PLE!$G$15,$M82-$A$15,DC$13)="",10^12,OFFSET(PLE!$G$15,$M82-$A$15,DC$13)))</f>
        <v>0</v>
      </c>
      <c r="DD82" s="354" t="n">
        <f aca="true">IF(OR($D82&lt;&gt;"Serviço",AND(AUTOEVENTO="Manual",$M82=$A$15),$M82&gt;(ROW(PLE.lastrow)-ROW(PLE.firstrow))),0,
           IF(OFFSET(PLE!$G$15,$M82-$A$15,DD$13)="",10^12,OFFSET(PLE!$G$15,$M82-$A$15,DD$13)))</f>
        <v>0</v>
      </c>
      <c r="DE82" s="354" t="n">
        <f aca="true">IF(OR($D82&lt;&gt;"Serviço",AND(AUTOEVENTO="Manual",$M82=$A$15),$M82&gt;(ROW(PLE.lastrow)-ROW(PLE.firstrow))),0,
           IF(OFFSET(PLE!$G$15,$M82-$A$15,DE$13)="",10^12,OFFSET(PLE!$G$15,$M82-$A$15,DE$13)))</f>
        <v>0</v>
      </c>
      <c r="DF82" s="354" t="n">
        <f aca="true">IF(OR($D82&lt;&gt;"Serviço",AND(AUTOEVENTO="Manual",$M82=$A$15),$M82&gt;(ROW(PLE.lastrow)-ROW(PLE.firstrow))),0,
           IF(OFFSET(PLE!$G$15,$M82-$A$15,DF$13)="",10^12,OFFSET(PLE!$G$15,$M82-$A$15,DF$13)))</f>
        <v>0</v>
      </c>
      <c r="DG82" s="354" t="n">
        <f aca="true">IF(OR($D82&lt;&gt;"Serviço",AND(AUTOEVENTO="Manual",$M82=$A$15),$M82&gt;(ROW(PLE.lastrow)-ROW(PLE.firstrow))),0,
           IF(OFFSET(PLE!$G$15,$M82-$A$15,DG$13)="",10^12,OFFSET(PLE!$G$15,$M82-$A$15,DG$13)))</f>
        <v>0</v>
      </c>
      <c r="DH82" s="354" t="n">
        <f aca="true">IF(OR($D82&lt;&gt;"Serviço",AND(AUTOEVENTO="Manual",$M82=$A$15),$M82&gt;(ROW(PLE.lastrow)-ROW(PLE.firstrow))),0,
           IF(OFFSET(PLE!$G$15,$M82-$A$15,DH$13)="",10^12,OFFSET(PLE!$G$15,$M82-$A$15,DH$13)))</f>
        <v>0</v>
      </c>
      <c r="DI82" s="354" t="n">
        <f aca="true">IF(OR($D82&lt;&gt;"Serviço",AND(AUTOEVENTO="Manual",$M82=$A$15),$M82&gt;(ROW(PLE.lastrow)-ROW(PLE.firstrow))),0,
           IF(OFFSET(PLE!$G$15,$M82-$A$15,DI$13)="",10^12,OFFSET(PLE!$G$15,$M82-$A$15,DI$13)))</f>
        <v>0</v>
      </c>
      <c r="DJ82" s="354" t="n">
        <f aca="true">IF(OR($D82&lt;&gt;"Serviço",AND(AUTOEVENTO="Manual",$M82=$A$15),$M82&gt;(ROW(PLE.lastrow)-ROW(PLE.firstrow))),0,
           IF(OFFSET(PLE!$G$15,$M82-$A$15,DJ$13)="",10^12,OFFSET(PLE!$G$15,$M82-$A$15,DJ$13)))</f>
        <v>0</v>
      </c>
      <c r="DK82" s="354" t="n">
        <f aca="true">IF(OR($D82&lt;&gt;"Serviço",AND(AUTOEVENTO="Manual",$M82=$A$15),$M82&gt;(ROW(PLE.lastrow)-ROW(PLE.firstrow))),0,
           IF(OFFSET(PLE!$G$15,$M82-$A$15,DK$13)="",10^12,OFFSET(PLE!$G$15,$M82-$A$15,DK$13)))</f>
        <v>0</v>
      </c>
      <c r="DL82" s="354" t="n">
        <f aca="true">IF(OR($D82&lt;&gt;"Serviço",AND(AUTOEVENTO="Manual",$M82=$A$15),$M82&gt;(ROW(PLE.lastrow)-ROW(PLE.firstrow))),0,
           IF(OFFSET(PLE!$G$15,$M82-$A$15,DL$13)="",10^12,OFFSET(PLE!$G$15,$M82-$A$15,DL$13)))</f>
        <v>0</v>
      </c>
      <c r="DM82" s="354" t="n">
        <f aca="true">IF(OR($D82&lt;&gt;"Serviço",AND(AUTOEVENTO="Manual",$M82=$A$15),$M82&gt;(ROW(PLE.lastrow)-ROW(PLE.firstrow))),0,
           IF(OFFSET(PLE!$G$15,$M82-$A$15,DM$13)="",10^12,OFFSET(PLE!$G$15,$M82-$A$15,DM$13)))</f>
        <v>0</v>
      </c>
      <c r="DN82" s="354" t="n">
        <f aca="true">IF(OR($D82&lt;&gt;"Serviço",AND(AUTOEVENTO="Manual",$M82=$A$15),$M82&gt;(ROW(PLE.lastrow)-ROW(PLE.firstrow))),0,
           IF(OFFSET(PLE!$G$15,$M82-$A$15,DN$13)="",10^12,OFFSET(PLE!$G$15,$M82-$A$15,DN$13)))</f>
        <v>0</v>
      </c>
      <c r="DO82" s="354" t="n">
        <f aca="true">IF(OR($D82&lt;&gt;"Serviço",AND(AUTOEVENTO="Manual",$M82=$A$15),$M82&gt;(ROW(PLE.lastrow)-ROW(PLE.firstrow))),0,
           IF(OFFSET(PLE!$G$15,$M82-$A$15,DO$13)="",10^12,OFFSET(PLE!$G$15,$M82-$A$15,DO$13)))</f>
        <v>0</v>
      </c>
      <c r="DP82" s="354" t="n">
        <f aca="true">IF(OR($D82&lt;&gt;"Serviço",AND(AUTOEVENTO="Manual",$M82=$A$15),$M82&gt;(ROW(PLE.lastrow)-ROW(PLE.firstrow))),0,
           IF(OFFSET(PLE!$G$15,$M82-$A$15,DP$13)="",10^12,OFFSET(PLE!$G$15,$M82-$A$15,DP$13)))</f>
        <v>0</v>
      </c>
      <c r="DQ82" s="354" t="n">
        <f aca="true">IF(OR($D82&lt;&gt;"Serviço",AND(AUTOEVENTO="Manual",$M82=$A$15),$M82&gt;(ROW(PLE.lastrow)-ROW(PLE.firstrow))),0,
           IF(OFFSET(PLE!$G$15,$M82-$A$15,DQ$13)="",10^12,OFFSET(PLE!$G$15,$M82-$A$15,DQ$13)))</f>
        <v>0</v>
      </c>
      <c r="DR82" s="354" t="n">
        <f aca="true">IF(OR($D82&lt;&gt;"Serviço",AND(AUTOEVENTO="Manual",$M82=$A$15),$M82&gt;(ROW(PLE.lastrow)-ROW(PLE.firstrow))),0,
           IF(OFFSET(PLE!$G$15,$M82-$A$15,DR$13)="",10^12,OFFSET(PLE!$G$15,$M82-$A$15,DR$13)))</f>
        <v>0</v>
      </c>
      <c r="DS82" s="354" t="n">
        <f aca="true">IF(OR($D82&lt;&gt;"Serviço",AND(AUTOEVENTO="Manual",$M82=$A$15),$M82&gt;(ROW(PLE.lastrow)-ROW(PLE.firstrow))),0,
           IF(OFFSET(PLE!$G$15,$M82-$A$15,DS$13)="",10^12,OFFSET(PLE!$G$15,$M82-$A$15,DS$13)))</f>
        <v>0</v>
      </c>
    </row>
    <row r="83" customFormat="false" ht="135.8" hidden="false" customHeight="false" outlineLevel="0" collapsed="false">
      <c r="A83" s="50" t="str">
        <f aca="true">IFERROR(IF(AUTOEVENTO="Manual",IF(K83&lt;&gt;"",MIN(VALUE(LEFT(K83,FIND(".",K83)-1)),COUNTA(EVENTOS.Lista)),0),IF(OR($B83&gt;AUTOEVENTO,$B83="S",$B83=0),SUBSTITUTE(OFFSET($A83,-1,0),IF($D83="Serviço",".",""),""),ROW(A83)-ROW($A$15)&amp;".")),0)</f>
        <v>67</v>
      </c>
      <c r="B83" s="50" t="str">
        <f aca="true">OFFSET(ORÇAMENTO!C$15,ROW(B83)-ROW(B$15),0)</f>
        <v>S</v>
      </c>
      <c r="C83" s="50" t="str">
        <f aca="true">OFFSET(ORÇAMENTO!L$15,ROW(C83)-ROW(C$15),0)</f>
        <v>F</v>
      </c>
      <c r="D83" s="201" t="str">
        <f aca="true">OFFSET(ORÇAMENTO!N$15,ROW(D83)-ROW(D$15),0)</f>
        <v>Serviço</v>
      </c>
      <c r="E83" s="202" t="str">
        <f aca="true">OFFSET(ORÇAMENTO!O$15,ROW(E83)-ROW(E$15),0)</f>
        <v>1.19.1.</v>
      </c>
      <c r="F83" s="341" t="str">
        <f aca="true">OFFSET(ORÇAMENTO!R$15,ROW(F83)-ROW(F$15),0)</f>
        <v>REVESTIMENTO CERÂMICO PARA PAREDES INTERNAS COM PLACAS TIPO ESMALTADA DE DIMENSÕES 33X45 CM APLICADAS NA ALTURA INTEIRA DAS PAREDES.</v>
      </c>
      <c r="G83" s="342" t="str">
        <f aca="true">IF($D83&lt;&gt;"Serviço","",OFFSET(ORÇAMENTO!S$15,ROW(G83)-ROW(G$15),0))</f>
        <v>M2</v>
      </c>
      <c r="H83" s="207" t="n">
        <f aca="true">IF($D83&lt;&gt;"Serviço",0,IF(ACOMPANHAMENTO="BM",ROUND(OFFSET(ORÇAMENTO!AJ$15,ROW(H83)-ROW(H$15),0),15-13*ORÇAMENTO!$AF$7),SUMPRODUCT(($Q$1:$AQ$1=1)*ROUND($Q83:$AQ83,15-13*ORÇAMENTO!$AF$7))))</f>
        <v>945.25</v>
      </c>
      <c r="I83" s="343" t="s">
        <v>955</v>
      </c>
      <c r="J83" s="344" t="e">
        <f aca="false">IF(OR(B83&lt;&gt;"S",CÁLCULO.FrentesPreenchidas=0),"",IF(AND(ACOMPANHAMENTO="PLE",AUTOEVENTO="Manual",OR(H83&gt;0,ORÇAMENTO!AC83="QUANT."),OR(K83="",M83=0,N83="")),"►",IF(AND(ACOMPANHAMENTO="PLE",ORÇAMENTO!AC83="QUANT."),"►►",IF(AND(COUNTIF($P$11:$AQ$11,"▼")=0,H83&gt;0,I83=""),"◄",""))))</f>
        <v>#NAME?</v>
      </c>
      <c r="K83" s="345"/>
      <c r="L83" s="346" t="s">
        <v>876</v>
      </c>
      <c r="M83" s="347" t="n">
        <f aca="true">IF($D83&lt;&gt;"Serviço","",
          IF(AUTOEVENTO="manual",$A83,
                IF(ISERROR(MATCH($A83,$A$15:OFFSET($A83,-1,0),0)),MAX($M$15:OFFSET(M83,-1,0))+1,
                      INDEX($M$15:OFFSET(M83,-1,0),MATCH($A83,$A$15:OFFSET($A83,-1,0),0)))))</f>
        <v>13</v>
      </c>
      <c r="N83" s="348" t="str">
        <f aca="true">IF($D83&lt;&gt;"Serviço","",
         IF(AUTOEVENTO="Manual",
                IF($A83=0,"&lt;-- defina o número do agrupador",
                       OFFSET(EVENTOS!$D$15,$A83-$A$15,0)),
                OFFSET($F$15,$A83,0)))</f>
        <v>REVESTIMENTOS CERÂMICOS</v>
      </c>
      <c r="O83" s="349"/>
      <c r="Q83" s="349" t="n">
        <f aca="false">37.81</f>
        <v>37.81</v>
      </c>
      <c r="R83" s="350" t="n">
        <f aca="false">R81</f>
        <v>37.81</v>
      </c>
      <c r="S83" s="350" t="n">
        <f aca="false">S81</f>
        <v>37.81</v>
      </c>
      <c r="T83" s="350" t="n">
        <f aca="false">T81</f>
        <v>37.81</v>
      </c>
      <c r="U83" s="350" t="n">
        <f aca="false">U81</f>
        <v>37.81</v>
      </c>
      <c r="V83" s="350" t="n">
        <f aca="false">V81</f>
        <v>37.81</v>
      </c>
      <c r="W83" s="350" t="n">
        <f aca="false">W81</f>
        <v>37.81</v>
      </c>
      <c r="X83" s="350" t="n">
        <f aca="false">X81</f>
        <v>37.81</v>
      </c>
      <c r="Y83" s="350" t="n">
        <f aca="false">Y81</f>
        <v>37.81</v>
      </c>
      <c r="Z83" s="351" t="n">
        <f aca="false">Z81</f>
        <v>37.81</v>
      </c>
      <c r="AA83" s="350" t="n">
        <f aca="false">AA81</f>
        <v>37.81</v>
      </c>
      <c r="AB83" s="350" t="n">
        <f aca="false">AB81</f>
        <v>37.81</v>
      </c>
      <c r="AC83" s="350" t="n">
        <f aca="false">AC81</f>
        <v>37.81</v>
      </c>
      <c r="AD83" s="350" t="n">
        <f aca="false">AD81</f>
        <v>37.81</v>
      </c>
      <c r="AE83" s="350" t="n">
        <f aca="false">AE81</f>
        <v>37.81</v>
      </c>
      <c r="AF83" s="350" t="n">
        <f aca="false">AF81</f>
        <v>37.81</v>
      </c>
      <c r="AG83" s="350" t="n">
        <f aca="false">AG81</f>
        <v>37.81</v>
      </c>
      <c r="AH83" s="351" t="n">
        <f aca="false">AH81</f>
        <v>37.81</v>
      </c>
      <c r="AI83" s="350" t="n">
        <f aca="false">AI81</f>
        <v>37.81</v>
      </c>
      <c r="AJ83" s="350" t="n">
        <f aca="false">AJ81</f>
        <v>37.81</v>
      </c>
      <c r="AK83" s="350" t="n">
        <f aca="false">AK81</f>
        <v>37.81</v>
      </c>
      <c r="AL83" s="350" t="n">
        <f aca="false">AL81</f>
        <v>37.81</v>
      </c>
      <c r="AM83" s="350" t="n">
        <f aca="false">AM81</f>
        <v>37.81</v>
      </c>
      <c r="AN83" s="350" t="n">
        <f aca="false">AN81</f>
        <v>37.81</v>
      </c>
      <c r="AO83" s="350" t="n">
        <f aca="false">AO81</f>
        <v>37.81</v>
      </c>
      <c r="AP83" s="351"/>
      <c r="AR83" s="352" t="n">
        <f aca="true">IF(AND($D83="Serviço",AR$12&lt;&gt;0,$H83&gt;0,OR(AUTOEVENTO&lt;&gt;"manual",$M83&lt;&gt;$A$15)),
        IF(Import.TipoArredondamento&lt;&gt;"TransfereGOV",
              ROUND(OFFSET($P83,0,AR$13),15-13*ORÇAMENTO!$AF$7)/$H83*OFFSET(ORÇAMENTO!$X$15,ROW(AR83)-ROW(AR$15),0),
              ROUND(ROUND(OFFSET($P83,0,AR$13),15-13*ORÇAMENTO!$AF$7)*OFFSET(ORÇAMENTO!$W$15,ROW(AR83)-ROW(AR$15),0),15-13*ORÇAMENTO!$AF$11)),
         0)</f>
        <v>3177.55</v>
      </c>
      <c r="AS83" s="352" t="n">
        <f aca="true">IF(AND($D83="Serviço",AS$12&lt;&gt;0,$H83&gt;0,OR(AUTOEVENTO&lt;&gt;"manual",$M83&lt;&gt;$A$15)),
        IF(Import.TipoArredondamento&lt;&gt;"TransfereGOV",
              ROUND(OFFSET($P83,0,AS$13),15-13*ORÇAMENTO!$AF$7)/$H83*OFFSET(ORÇAMENTO!$X$15,ROW(AS83)-ROW(AS$15),0),
              ROUND(ROUND(OFFSET($P83,0,AS$13),15-13*ORÇAMENTO!$AF$7)*OFFSET(ORÇAMENTO!$W$15,ROW(AS83)-ROW(AS$15),0),15-13*ORÇAMENTO!$AF$11)),
         0)</f>
        <v>3177.55</v>
      </c>
      <c r="AT83" s="352" t="n">
        <f aca="true">IF(AND($D83="Serviço",AT$12&lt;&gt;0,$H83&gt;0,OR(AUTOEVENTO&lt;&gt;"manual",$M83&lt;&gt;$A$15)),
        IF(Import.TipoArredondamento&lt;&gt;"TransfereGOV",
              ROUND(OFFSET($P83,0,AT$13),15-13*ORÇAMENTO!$AF$7)/$H83*OFFSET(ORÇAMENTO!$X$15,ROW(AT83)-ROW(AT$15),0),
              ROUND(ROUND(OFFSET($P83,0,AT$13),15-13*ORÇAMENTO!$AF$7)*OFFSET(ORÇAMENTO!$W$15,ROW(AT83)-ROW(AT$15),0),15-13*ORÇAMENTO!$AF$11)),
         0)</f>
        <v>3177.55</v>
      </c>
      <c r="AU83" s="352" t="n">
        <f aca="true">IF(AND($D83="Serviço",AU$12&lt;&gt;0,$H83&gt;0,OR(AUTOEVENTO&lt;&gt;"manual",$M83&lt;&gt;$A$15)),
        IF(Import.TipoArredondamento&lt;&gt;"TransfereGOV",
              ROUND(OFFSET($P83,0,AU$13),15-13*ORÇAMENTO!$AF$7)/$H83*OFFSET(ORÇAMENTO!$X$15,ROW(AU83)-ROW(AU$15),0),
              ROUND(ROUND(OFFSET($P83,0,AU$13),15-13*ORÇAMENTO!$AF$7)*OFFSET(ORÇAMENTO!$W$15,ROW(AU83)-ROW(AU$15),0),15-13*ORÇAMENTO!$AF$11)),
         0)</f>
        <v>3177.55</v>
      </c>
      <c r="AV83" s="352" t="n">
        <f aca="true">IF(AND($D83="Serviço",AV$12&lt;&gt;0,$H83&gt;0,OR(AUTOEVENTO&lt;&gt;"manual",$M83&lt;&gt;$A$15)),
        IF(Import.TipoArredondamento&lt;&gt;"TransfereGOV",
              ROUND(OFFSET($P83,0,AV$13),15-13*ORÇAMENTO!$AF$7)/$H83*OFFSET(ORÇAMENTO!$X$15,ROW(AV83)-ROW(AV$15),0),
              ROUND(ROUND(OFFSET($P83,0,AV$13),15-13*ORÇAMENTO!$AF$7)*OFFSET(ORÇAMENTO!$W$15,ROW(AV83)-ROW(AV$15),0),15-13*ORÇAMENTO!$AF$11)),
         0)</f>
        <v>3177.55</v>
      </c>
      <c r="AW83" s="352" t="n">
        <f aca="true">IF(AND($D83="Serviço",AW$12&lt;&gt;0,$H83&gt;0,OR(AUTOEVENTO&lt;&gt;"manual",$M83&lt;&gt;$A$15)),
        IF(Import.TipoArredondamento&lt;&gt;"TransfereGOV",
              ROUND(OFFSET($P83,0,AW$13),15-13*ORÇAMENTO!$AF$7)/$H83*OFFSET(ORÇAMENTO!$X$15,ROW(AW83)-ROW(AW$15),0),
              ROUND(ROUND(OFFSET($P83,0,AW$13),15-13*ORÇAMENTO!$AF$7)*OFFSET(ORÇAMENTO!$W$15,ROW(AW83)-ROW(AW$15),0),15-13*ORÇAMENTO!$AF$11)),
         0)</f>
        <v>3177.55</v>
      </c>
      <c r="AX83" s="352" t="n">
        <f aca="true">IF(AND($D83="Serviço",AX$12&lt;&gt;0,$H83&gt;0,OR(AUTOEVENTO&lt;&gt;"manual",$M83&lt;&gt;$A$15)),
        IF(Import.TipoArredondamento&lt;&gt;"TransfereGOV",
              ROUND(OFFSET($P83,0,AX$13),15-13*ORÇAMENTO!$AF$7)/$H83*OFFSET(ORÇAMENTO!$X$15,ROW(AX83)-ROW(AX$15),0),
              ROUND(ROUND(OFFSET($P83,0,AX$13),15-13*ORÇAMENTO!$AF$7)*OFFSET(ORÇAMENTO!$W$15,ROW(AX83)-ROW(AX$15),0),15-13*ORÇAMENTO!$AF$11)),
         0)</f>
        <v>3177.55</v>
      </c>
      <c r="AY83" s="352" t="n">
        <f aca="true">IF(AND($D83="Serviço",AY$12&lt;&gt;0,$H83&gt;0,OR(AUTOEVENTO&lt;&gt;"manual",$M83&lt;&gt;$A$15)),
        IF(Import.TipoArredondamento&lt;&gt;"TransfereGOV",
              ROUND(OFFSET($P83,0,AY$13),15-13*ORÇAMENTO!$AF$7)/$H83*OFFSET(ORÇAMENTO!$X$15,ROW(AY83)-ROW(AY$15),0),
              ROUND(ROUND(OFFSET($P83,0,AY$13),15-13*ORÇAMENTO!$AF$7)*OFFSET(ORÇAMENTO!$W$15,ROW(AY83)-ROW(AY$15),0),15-13*ORÇAMENTO!$AF$11)),
         0)</f>
        <v>3177.55</v>
      </c>
      <c r="AZ83" s="352" t="n">
        <f aca="true">IF(AND($D83="Serviço",AZ$12&lt;&gt;0,$H83&gt;0,OR(AUTOEVENTO&lt;&gt;"manual",$M83&lt;&gt;$A$15)),
        IF(Import.TipoArredondamento&lt;&gt;"TransfereGOV",
              ROUND(OFFSET($P83,0,AZ$13),15-13*ORÇAMENTO!$AF$7)/$H83*OFFSET(ORÇAMENTO!$X$15,ROW(AZ83)-ROW(AZ$15),0),
              ROUND(ROUND(OFFSET($P83,0,AZ$13),15-13*ORÇAMENTO!$AF$7)*OFFSET(ORÇAMENTO!$W$15,ROW(AZ83)-ROW(AZ$15),0),15-13*ORÇAMENTO!$AF$11)),
         0)</f>
        <v>3177.55</v>
      </c>
      <c r="BA83" s="352" t="n">
        <f aca="true">IF(AND($D83="Serviço",BA$12&lt;&gt;0,$H83&gt;0,OR(AUTOEVENTO&lt;&gt;"manual",$M83&lt;&gt;$A$15)),
        IF(Import.TipoArredondamento&lt;&gt;"TransfereGOV",
              ROUND(OFFSET($P83,0,BA$13),15-13*ORÇAMENTO!$AF$7)/$H83*OFFSET(ORÇAMENTO!$X$15,ROW(BA83)-ROW(BA$15),0),
              ROUND(ROUND(OFFSET($P83,0,BA$13),15-13*ORÇAMENTO!$AF$7)*OFFSET(ORÇAMENTO!$W$15,ROW(BA83)-ROW(BA$15),0),15-13*ORÇAMENTO!$AF$11)),
         0)</f>
        <v>3177.55</v>
      </c>
      <c r="BB83" s="352" t="n">
        <f aca="true">IF(AND($D83="Serviço",BB$12&lt;&gt;0,$H83&gt;0,OR(AUTOEVENTO&lt;&gt;"manual",$M83&lt;&gt;$A$15)),
        IF(Import.TipoArredondamento&lt;&gt;"TransfereGOV",
              ROUND(OFFSET($P83,0,BB$13),15-13*ORÇAMENTO!$AF$7)/$H83*OFFSET(ORÇAMENTO!$X$15,ROW(BB83)-ROW(BB$15),0),
              ROUND(ROUND(OFFSET($P83,0,BB$13),15-13*ORÇAMENTO!$AF$7)*OFFSET(ORÇAMENTO!$W$15,ROW(BB83)-ROW(BB$15),0),15-13*ORÇAMENTO!$AF$11)),
         0)</f>
        <v>3177.55</v>
      </c>
      <c r="BC83" s="352" t="n">
        <f aca="true">IF(AND($D83="Serviço",BC$12&lt;&gt;0,$H83&gt;0,OR(AUTOEVENTO&lt;&gt;"manual",$M83&lt;&gt;$A$15)),
        IF(Import.TipoArredondamento&lt;&gt;"TransfereGOV",
              ROUND(OFFSET($P83,0,BC$13),15-13*ORÇAMENTO!$AF$7)/$H83*OFFSET(ORÇAMENTO!$X$15,ROW(BC83)-ROW(BC$15),0),
              ROUND(ROUND(OFFSET($P83,0,BC$13),15-13*ORÇAMENTO!$AF$7)*OFFSET(ORÇAMENTO!$W$15,ROW(BC83)-ROW(BC$15),0),15-13*ORÇAMENTO!$AF$11)),
         0)</f>
        <v>3177.55</v>
      </c>
      <c r="BD83" s="352" t="n">
        <f aca="true">IF(AND($D83="Serviço",BD$12&lt;&gt;0,$H83&gt;0,OR(AUTOEVENTO&lt;&gt;"manual",$M83&lt;&gt;$A$15)),
        IF(Import.TipoArredondamento&lt;&gt;"TransfereGOV",
              ROUND(OFFSET($P83,0,BD$13),15-13*ORÇAMENTO!$AF$7)/$H83*OFFSET(ORÇAMENTO!$X$15,ROW(BD83)-ROW(BD$15),0),
              ROUND(ROUND(OFFSET($P83,0,BD$13),15-13*ORÇAMENTO!$AF$7)*OFFSET(ORÇAMENTO!$W$15,ROW(BD83)-ROW(BD$15),0),15-13*ORÇAMENTO!$AF$11)),
         0)</f>
        <v>3177.55</v>
      </c>
      <c r="BE83" s="352" t="n">
        <f aca="true">IF(AND($D83="Serviço",BE$12&lt;&gt;0,$H83&gt;0,OR(AUTOEVENTO&lt;&gt;"manual",$M83&lt;&gt;$A$15)),
        IF(Import.TipoArredondamento&lt;&gt;"TransfereGOV",
              ROUND(OFFSET($P83,0,BE$13),15-13*ORÇAMENTO!$AF$7)/$H83*OFFSET(ORÇAMENTO!$X$15,ROW(BE83)-ROW(BE$15),0),
              ROUND(ROUND(OFFSET($P83,0,BE$13),15-13*ORÇAMENTO!$AF$7)*OFFSET(ORÇAMENTO!$W$15,ROW(BE83)-ROW(BE$15),0),15-13*ORÇAMENTO!$AF$11)),
         0)</f>
        <v>3177.55</v>
      </c>
      <c r="BF83" s="352" t="n">
        <f aca="true">IF(AND($D83="Serviço",BF$12&lt;&gt;0,$H83&gt;0,OR(AUTOEVENTO&lt;&gt;"manual",$M83&lt;&gt;$A$15)),
        IF(Import.TipoArredondamento&lt;&gt;"TransfereGOV",
              ROUND(OFFSET($P83,0,BF$13),15-13*ORÇAMENTO!$AF$7)/$H83*OFFSET(ORÇAMENTO!$X$15,ROW(BF83)-ROW(BF$15),0),
              ROUND(ROUND(OFFSET($P83,0,BF$13),15-13*ORÇAMENTO!$AF$7)*OFFSET(ORÇAMENTO!$W$15,ROW(BF83)-ROW(BF$15),0),15-13*ORÇAMENTO!$AF$11)),
         0)</f>
        <v>3177.55</v>
      </c>
      <c r="BG83" s="352" t="n">
        <f aca="true">IF(AND($D83="Serviço",BG$12&lt;&gt;0,$H83&gt;0,OR(AUTOEVENTO&lt;&gt;"manual",$M83&lt;&gt;$A$15)),
        IF(Import.TipoArredondamento&lt;&gt;"TransfereGOV",
              ROUND(OFFSET($P83,0,BG$13),15-13*ORÇAMENTO!$AF$7)/$H83*OFFSET(ORÇAMENTO!$X$15,ROW(BG83)-ROW(BG$15),0),
              ROUND(ROUND(OFFSET($P83,0,BG$13),15-13*ORÇAMENTO!$AF$7)*OFFSET(ORÇAMENTO!$W$15,ROW(BG83)-ROW(BG$15),0),15-13*ORÇAMENTO!$AF$11)),
         0)</f>
        <v>3177.55</v>
      </c>
      <c r="BH83" s="352" t="n">
        <f aca="true">IF(AND($D83="Serviço",BH$12&lt;&gt;0,$H83&gt;0,OR(AUTOEVENTO&lt;&gt;"manual",$M83&lt;&gt;$A$15)),
        IF(Import.TipoArredondamento&lt;&gt;"TransfereGOV",
              ROUND(OFFSET($P83,0,BH$13),15-13*ORÇAMENTO!$AF$7)/$H83*OFFSET(ORÇAMENTO!$X$15,ROW(BH83)-ROW(BH$15),0),
              ROUND(ROUND(OFFSET($P83,0,BH$13),15-13*ORÇAMENTO!$AF$7)*OFFSET(ORÇAMENTO!$W$15,ROW(BH83)-ROW(BH$15),0),15-13*ORÇAMENTO!$AF$11)),
         0)</f>
        <v>3177.55</v>
      </c>
      <c r="BI83" s="352" t="n">
        <f aca="true">IF(AND($D83="Serviço",BI$12&lt;&gt;0,$H83&gt;0,OR(AUTOEVENTO&lt;&gt;"manual",$M83&lt;&gt;$A$15)),
        IF(Import.TipoArredondamento&lt;&gt;"TransfereGOV",
              ROUND(OFFSET($P83,0,BI$13),15-13*ORÇAMENTO!$AF$7)/$H83*OFFSET(ORÇAMENTO!$X$15,ROW(BI83)-ROW(BI$15),0),
              ROUND(ROUND(OFFSET($P83,0,BI$13),15-13*ORÇAMENTO!$AF$7)*OFFSET(ORÇAMENTO!$W$15,ROW(BI83)-ROW(BI$15),0),15-13*ORÇAMENTO!$AF$11)),
         0)</f>
        <v>3177.55</v>
      </c>
      <c r="BJ83" s="352" t="n">
        <f aca="true">IF(AND($D83="Serviço",BJ$12&lt;&gt;0,$H83&gt;0,OR(AUTOEVENTO&lt;&gt;"manual",$M83&lt;&gt;$A$15)),
        IF(Import.TipoArredondamento&lt;&gt;"TransfereGOV",
              ROUND(OFFSET($P83,0,BJ$13),15-13*ORÇAMENTO!$AF$7)/$H83*OFFSET(ORÇAMENTO!$X$15,ROW(BJ83)-ROW(BJ$15),0),
              ROUND(ROUND(OFFSET($P83,0,BJ$13),15-13*ORÇAMENTO!$AF$7)*OFFSET(ORÇAMENTO!$W$15,ROW(BJ83)-ROW(BJ$15),0),15-13*ORÇAMENTO!$AF$11)),
         0)</f>
        <v>3177.55</v>
      </c>
      <c r="BK83" s="352" t="n">
        <f aca="true">IF(AND($D83="Serviço",BK$12&lt;&gt;0,$H83&gt;0,OR(AUTOEVENTO&lt;&gt;"manual",$M83&lt;&gt;$A$15)),
        IF(Import.TipoArredondamento&lt;&gt;"TransfereGOV",
              ROUND(OFFSET($P83,0,BK$13),15-13*ORÇAMENTO!$AF$7)/$H83*OFFSET(ORÇAMENTO!$X$15,ROW(BK83)-ROW(BK$15),0),
              ROUND(ROUND(OFFSET($P83,0,BK$13),15-13*ORÇAMENTO!$AF$7)*OFFSET(ORÇAMENTO!$W$15,ROW(BK83)-ROW(BK$15),0),15-13*ORÇAMENTO!$AF$11)),
         0)</f>
        <v>3177.55</v>
      </c>
      <c r="BL83" s="352" t="n">
        <f aca="true">IF(AND($D83="Serviço",BL$12&lt;&gt;0,$H83&gt;0,OR(AUTOEVENTO&lt;&gt;"manual",$M83&lt;&gt;$A$15)),
        IF(Import.TipoArredondamento&lt;&gt;"TransfereGOV",
              ROUND(OFFSET($P83,0,BL$13),15-13*ORÇAMENTO!$AF$7)/$H83*OFFSET(ORÇAMENTO!$X$15,ROW(BL83)-ROW(BL$15),0),
              ROUND(ROUND(OFFSET($P83,0,BL$13),15-13*ORÇAMENTO!$AF$7)*OFFSET(ORÇAMENTO!$W$15,ROW(BL83)-ROW(BL$15),0),15-13*ORÇAMENTO!$AF$11)),
         0)</f>
        <v>3177.55</v>
      </c>
      <c r="BM83" s="352" t="n">
        <f aca="true">IF(AND($D83="Serviço",BM$12&lt;&gt;0,$H83&gt;0,OR(AUTOEVENTO&lt;&gt;"manual",$M83&lt;&gt;$A$15)),
        IF(Import.TipoArredondamento&lt;&gt;"TransfereGOV",
              ROUND(OFFSET($P83,0,BM$13),15-13*ORÇAMENTO!$AF$7)/$H83*OFFSET(ORÇAMENTO!$X$15,ROW(BM83)-ROW(BM$15),0),
              ROUND(ROUND(OFFSET($P83,0,BM$13),15-13*ORÇAMENTO!$AF$7)*OFFSET(ORÇAMENTO!$W$15,ROW(BM83)-ROW(BM$15),0),15-13*ORÇAMENTO!$AF$11)),
         0)</f>
        <v>3177.55</v>
      </c>
      <c r="BN83" s="352" t="n">
        <f aca="true">IF(AND($D83="Serviço",BN$12&lt;&gt;0,$H83&gt;0,OR(AUTOEVENTO&lt;&gt;"manual",$M83&lt;&gt;$A$15)),
        IF(Import.TipoArredondamento&lt;&gt;"TransfereGOV",
              ROUND(OFFSET($P83,0,BN$13),15-13*ORÇAMENTO!$AF$7)/$H83*OFFSET(ORÇAMENTO!$X$15,ROW(BN83)-ROW(BN$15),0),
              ROUND(ROUND(OFFSET($P83,0,BN$13),15-13*ORÇAMENTO!$AF$7)*OFFSET(ORÇAMENTO!$W$15,ROW(BN83)-ROW(BN$15),0),15-13*ORÇAMENTO!$AF$11)),
         0)</f>
        <v>3177.55</v>
      </c>
      <c r="BO83" s="352" t="n">
        <f aca="true">IF(AND($D83="Serviço",BO$12&lt;&gt;0,$H83&gt;0,OR(AUTOEVENTO&lt;&gt;"manual",$M83&lt;&gt;$A$15)),
        IF(Import.TipoArredondamento&lt;&gt;"TransfereGOV",
              ROUND(OFFSET($P83,0,BO$13),15-13*ORÇAMENTO!$AF$7)/$H83*OFFSET(ORÇAMENTO!$X$15,ROW(BO83)-ROW(BO$15),0),
              ROUND(ROUND(OFFSET($P83,0,BO$13),15-13*ORÇAMENTO!$AF$7)*OFFSET(ORÇAMENTO!$W$15,ROW(BO83)-ROW(BO$15),0),15-13*ORÇAMENTO!$AF$11)),
         0)</f>
        <v>3177.55</v>
      </c>
      <c r="BP83" s="352" t="n">
        <f aca="true">IF(AND($D83="Serviço",BP$12&lt;&gt;0,$H83&gt;0,OR(AUTOEVENTO&lt;&gt;"manual",$M83&lt;&gt;$A$15)),
        IF(Import.TipoArredondamento&lt;&gt;"TransfereGOV",
              ROUND(OFFSET($P83,0,BP$13),15-13*ORÇAMENTO!$AF$7)/$H83*OFFSET(ORÇAMENTO!$X$15,ROW(BP83)-ROW(BP$15),0),
              ROUND(ROUND(OFFSET($P83,0,BP$13),15-13*ORÇAMENTO!$AF$7)*OFFSET(ORÇAMENTO!$W$15,ROW(BP83)-ROW(BP$15),0),15-13*ORÇAMENTO!$AF$11)),
         0)</f>
        <v>3177.55</v>
      </c>
      <c r="BQ83" s="352" t="n">
        <f aca="true">IF(AND($D83="Serviço",BQ$12&lt;&gt;0,$H83&gt;0,OR(AUTOEVENTO&lt;&gt;"manual",$M83&lt;&gt;$A$15)),
        IF(Import.TipoArredondamento&lt;&gt;"TransfereGOV",
              ROUND(OFFSET($P83,0,BQ$13),15-13*ORÇAMENTO!$AF$7)/$H83*OFFSET(ORÇAMENTO!$X$15,ROW(BQ83)-ROW(BQ$15),0),
              ROUND(ROUND(OFFSET($P83,0,BQ$13),15-13*ORÇAMENTO!$AF$7)*OFFSET(ORÇAMENTO!$W$15,ROW(BQ83)-ROW(BQ$15),0),15-13*ORÇAMENTO!$AF$11)),
         0)</f>
        <v>0</v>
      </c>
      <c r="BS83" s="353" t="n">
        <f aca="true">IF(OR($D83&lt;&gt;"Serviço",AND(AUTOEVENTO="Manual",$M83=$A$15)),0,
         IF(OFFSET(CRONOPLE!$F$15,$M83-$A$15,BS$13)=0,10^12,OFFSET(CRONOPLE!$F$15,$M83-$A$15,BS$13)))</f>
        <v>1</v>
      </c>
      <c r="BT83" s="353" t="n">
        <f aca="true">IF(OR($D83&lt;&gt;"Serviço",AND(AUTOEVENTO="Manual",$M83=$A$15)),0,
         IF(OFFSET(CRONOPLE!$F$15,$M83-$A$15,BT$13)=0,10^12,OFFSET(CRONOPLE!$F$15,$M83-$A$15,BT$13)))</f>
        <v>2</v>
      </c>
      <c r="BU83" s="353" t="n">
        <f aca="true">IF(OR($D83&lt;&gt;"Serviço",AND(AUTOEVENTO="Manual",$M83=$A$15)),0,
         IF(OFFSET(CRONOPLE!$F$15,$M83-$A$15,BU$13)=0,10^12,OFFSET(CRONOPLE!$F$15,$M83-$A$15,BU$13)))</f>
        <v>3</v>
      </c>
      <c r="BV83" s="353" t="n">
        <f aca="true">IF(OR($D83&lt;&gt;"Serviço",AND(AUTOEVENTO="Manual",$M83=$A$15)),0,
         IF(OFFSET(CRONOPLE!$F$15,$M83-$A$15,BV$13)=0,10^12,OFFSET(CRONOPLE!$F$15,$M83-$A$15,BV$13)))</f>
        <v>4</v>
      </c>
      <c r="BW83" s="353" t="n">
        <f aca="true">IF(OR($D83&lt;&gt;"Serviço",AND(AUTOEVENTO="Manual",$M83=$A$15)),0,
         IF(OFFSET(CRONOPLE!$F$15,$M83-$A$15,BW$13)=0,10^12,OFFSET(CRONOPLE!$F$15,$M83-$A$15,BW$13)))</f>
        <v>5</v>
      </c>
      <c r="BX83" s="353" t="n">
        <f aca="true">IF(OR($D83&lt;&gt;"Serviço",AND(AUTOEVENTO="Manual",$M83=$A$15)),0,
         IF(OFFSET(CRONOPLE!$F$15,$M83-$A$15,BX$13)=0,10^12,OFFSET(CRONOPLE!$F$15,$M83-$A$15,BX$13)))</f>
        <v>6</v>
      </c>
      <c r="BY83" s="353" t="n">
        <f aca="true">IF(OR($D83&lt;&gt;"Serviço",AND(AUTOEVENTO="Manual",$M83=$A$15)),0,
         IF(OFFSET(CRONOPLE!$F$15,$M83-$A$15,BY$13)=0,10^12,OFFSET(CRONOPLE!$F$15,$M83-$A$15,BY$13)))</f>
        <v>7</v>
      </c>
      <c r="BZ83" s="353" t="n">
        <f aca="true">IF(OR($D83&lt;&gt;"Serviço",AND(AUTOEVENTO="Manual",$M83=$A$15)),0,
         IF(OFFSET(CRONOPLE!$F$15,$M83-$A$15,BZ$13)=0,10^12,OFFSET(CRONOPLE!$F$15,$M83-$A$15,BZ$13)))</f>
        <v>8</v>
      </c>
      <c r="CA83" s="353" t="n">
        <f aca="true">IF(OR($D83&lt;&gt;"Serviço",AND(AUTOEVENTO="Manual",$M83=$A$15)),0,
         IF(OFFSET(CRONOPLE!$F$15,$M83-$A$15,CA$13)=0,10^12,OFFSET(CRONOPLE!$F$15,$M83-$A$15,CA$13)))</f>
        <v>9</v>
      </c>
      <c r="CB83" s="353" t="n">
        <f aca="true">IF(OR($D83&lt;&gt;"Serviço",AND(AUTOEVENTO="Manual",$M83=$A$15)),0,
         IF(OFFSET(CRONOPLE!$F$15,$M83-$A$15,CB$13)=0,10^12,OFFSET(CRONOPLE!$F$15,$M83-$A$15,CB$13)))</f>
        <v>10</v>
      </c>
      <c r="CC83" s="353" t="n">
        <f aca="true">IF(OR($D83&lt;&gt;"Serviço",AND(AUTOEVENTO="Manual",$M83=$A$15)),0,
         IF(OFFSET(CRONOPLE!$F$15,$M83-$A$15,CC$13)=0,10^12,OFFSET(CRONOPLE!$F$15,$M83-$A$15,CC$13)))</f>
        <v>11</v>
      </c>
      <c r="CD83" s="353" t="n">
        <f aca="true">IF(OR($D83&lt;&gt;"Serviço",AND(AUTOEVENTO="Manual",$M83=$A$15)),0,
         IF(OFFSET(CRONOPLE!$F$15,$M83-$A$15,CD$13)=0,10^12,OFFSET(CRONOPLE!$F$15,$M83-$A$15,CD$13)))</f>
        <v>12</v>
      </c>
      <c r="CE83" s="353" t="n">
        <f aca="true">IF(OR($D83&lt;&gt;"Serviço",AND(AUTOEVENTO="Manual",$M83=$A$15)),0,
         IF(OFFSET(CRONOPLE!$F$15,$M83-$A$15,CE$13)=0,10^12,OFFSET(CRONOPLE!$F$15,$M83-$A$15,CE$13)))</f>
        <v>13</v>
      </c>
      <c r="CF83" s="353" t="n">
        <f aca="true">IF(OR($D83&lt;&gt;"Serviço",AND(AUTOEVENTO="Manual",$M83=$A$15)),0,
         IF(OFFSET(CRONOPLE!$F$15,$M83-$A$15,CF$13)=0,10^12,OFFSET(CRONOPLE!$F$15,$M83-$A$15,CF$13)))</f>
        <v>14</v>
      </c>
      <c r="CG83" s="353" t="n">
        <f aca="true">IF(OR($D83&lt;&gt;"Serviço",AND(AUTOEVENTO="Manual",$M83=$A$15)),0,
         IF(OFFSET(CRONOPLE!$F$15,$M83-$A$15,CG$13)=0,10^12,OFFSET(CRONOPLE!$F$15,$M83-$A$15,CG$13)))</f>
        <v>15</v>
      </c>
      <c r="CH83" s="353" t="n">
        <f aca="true">IF(OR($D83&lt;&gt;"Serviço",AND(AUTOEVENTO="Manual",$M83=$A$15)),0,
         IF(OFFSET(CRONOPLE!$F$15,$M83-$A$15,CH$13)=0,10^12,OFFSET(CRONOPLE!$F$15,$M83-$A$15,CH$13)))</f>
        <v>16</v>
      </c>
      <c r="CI83" s="353" t="n">
        <f aca="true">IF(OR($D83&lt;&gt;"Serviço",AND(AUTOEVENTO="Manual",$M83=$A$15)),0,
         IF(OFFSET(CRONOPLE!$F$15,$M83-$A$15,CI$13)=0,10^12,OFFSET(CRONOPLE!$F$15,$M83-$A$15,CI$13)))</f>
        <v>17</v>
      </c>
      <c r="CJ83" s="353" t="n">
        <f aca="true">IF(OR($D83&lt;&gt;"Serviço",AND(AUTOEVENTO="Manual",$M83=$A$15)),0,
         IF(OFFSET(CRONOPLE!$F$15,$M83-$A$15,CJ$13)=0,10^12,OFFSET(CRONOPLE!$F$15,$M83-$A$15,CJ$13)))</f>
        <v>18</v>
      </c>
      <c r="CK83" s="353" t="n">
        <f aca="true">IF(OR($D83&lt;&gt;"Serviço",AND(AUTOEVENTO="Manual",$M83=$A$15)),0,
         IF(OFFSET(CRONOPLE!$F$15,$M83-$A$15,CK$13)=0,10^12,OFFSET(CRONOPLE!$F$15,$M83-$A$15,CK$13)))</f>
        <v>19</v>
      </c>
      <c r="CL83" s="353" t="n">
        <f aca="true">IF(OR($D83&lt;&gt;"Serviço",AND(AUTOEVENTO="Manual",$M83=$A$15)),0,
         IF(OFFSET(CRONOPLE!$F$15,$M83-$A$15,CL$13)=0,10^12,OFFSET(CRONOPLE!$F$15,$M83-$A$15,CL$13)))</f>
        <v>20</v>
      </c>
      <c r="CM83" s="353" t="n">
        <f aca="true">IF(OR($D83&lt;&gt;"Serviço",AND(AUTOEVENTO="Manual",$M83=$A$15)),0,
         IF(OFFSET(CRONOPLE!$F$15,$M83-$A$15,CM$13)=0,10^12,OFFSET(CRONOPLE!$F$15,$M83-$A$15,CM$13)))</f>
        <v>21</v>
      </c>
      <c r="CN83" s="353" t="n">
        <f aca="true">IF(OR($D83&lt;&gt;"Serviço",AND(AUTOEVENTO="Manual",$M83=$A$15)),0,
         IF(OFFSET(CRONOPLE!$F$15,$M83-$A$15,CN$13)=0,10^12,OFFSET(CRONOPLE!$F$15,$M83-$A$15,CN$13)))</f>
        <v>22</v>
      </c>
      <c r="CO83" s="353" t="n">
        <f aca="true">IF(OR($D83&lt;&gt;"Serviço",AND(AUTOEVENTO="Manual",$M83=$A$15)),0,
         IF(OFFSET(CRONOPLE!$F$15,$M83-$A$15,CO$13)=0,10^12,OFFSET(CRONOPLE!$F$15,$M83-$A$15,CO$13)))</f>
        <v>23</v>
      </c>
      <c r="CP83" s="353" t="n">
        <f aca="true">IF(OR($D83&lt;&gt;"Serviço",AND(AUTOEVENTO="Manual",$M83=$A$15)),0,
         IF(OFFSET(CRONOPLE!$F$15,$M83-$A$15,CP$13)=0,10^12,OFFSET(CRONOPLE!$F$15,$M83-$A$15,CP$13)))</f>
        <v>24</v>
      </c>
      <c r="CQ83" s="353" t="n">
        <f aca="true">IF(OR($D83&lt;&gt;"Serviço",AND(AUTOEVENTO="Manual",$M83=$A$15)),0,
         IF(OFFSET(CRONOPLE!$F$15,$M83-$A$15,CQ$13)=0,10^12,OFFSET(CRONOPLE!$F$15,$M83-$A$15,CQ$13)))</f>
        <v>25</v>
      </c>
      <c r="CR83" s="353" t="n">
        <f aca="true">IF(OR($D83&lt;&gt;"Serviço",AND(AUTOEVENTO="Manual",$M83=$A$15)),0,
         IF(OFFSET(CRONOPLE!$F$15,$M83-$A$15,CR$13)=0,10^12,OFFSET(CRONOPLE!$F$15,$M83-$A$15,CR$13)))</f>
        <v>1000000000000</v>
      </c>
      <c r="CT83" s="354" t="n">
        <f aca="true">IF(OR($D83&lt;&gt;"Serviço",AND(AUTOEVENTO="Manual",$M83=$A$15),$M83&gt;(ROW(PLE.lastrow)-ROW(PLE.firstrow))),0,
           IF(OFFSET(PLE!$G$15,$M83-$A$15,CT$13)="",10^12,OFFSET(PLE!$G$15,$M83-$A$15,CT$13)))</f>
        <v>1000000000000</v>
      </c>
      <c r="CU83" s="354" t="n">
        <f aca="true">IF(OR($D83&lt;&gt;"Serviço",AND(AUTOEVENTO="Manual",$M83=$A$15),$M83&gt;(ROW(PLE.lastrow)-ROW(PLE.firstrow))),0,
           IF(OFFSET(PLE!$G$15,$M83-$A$15,CU$13)="",10^12,OFFSET(PLE!$G$15,$M83-$A$15,CU$13)))</f>
        <v>1000000000000</v>
      </c>
      <c r="CV83" s="354" t="n">
        <f aca="true">IF(OR($D83&lt;&gt;"Serviço",AND(AUTOEVENTO="Manual",$M83=$A$15),$M83&gt;(ROW(PLE.lastrow)-ROW(PLE.firstrow))),0,
           IF(OFFSET(PLE!$G$15,$M83-$A$15,CV$13)="",10^12,OFFSET(PLE!$G$15,$M83-$A$15,CV$13)))</f>
        <v>1000000000000</v>
      </c>
      <c r="CW83" s="354" t="n">
        <f aca="true">IF(OR($D83&lt;&gt;"Serviço",AND(AUTOEVENTO="Manual",$M83=$A$15),$M83&gt;(ROW(PLE.lastrow)-ROW(PLE.firstrow))),0,
           IF(OFFSET(PLE!$G$15,$M83-$A$15,CW$13)="",10^12,OFFSET(PLE!$G$15,$M83-$A$15,CW$13)))</f>
        <v>1000000000000</v>
      </c>
      <c r="CX83" s="354" t="n">
        <f aca="true">IF(OR($D83&lt;&gt;"Serviço",AND(AUTOEVENTO="Manual",$M83=$A$15),$M83&gt;(ROW(PLE.lastrow)-ROW(PLE.firstrow))),0,
           IF(OFFSET(PLE!$G$15,$M83-$A$15,CX$13)="",10^12,OFFSET(PLE!$G$15,$M83-$A$15,CX$13)))</f>
        <v>1000000000000</v>
      </c>
      <c r="CY83" s="354" t="n">
        <f aca="true">IF(OR($D83&lt;&gt;"Serviço",AND(AUTOEVENTO="Manual",$M83=$A$15),$M83&gt;(ROW(PLE.lastrow)-ROW(PLE.firstrow))),0,
           IF(OFFSET(PLE!$G$15,$M83-$A$15,CY$13)="",10^12,OFFSET(PLE!$G$15,$M83-$A$15,CY$13)))</f>
        <v>1000000000000</v>
      </c>
      <c r="CZ83" s="354" t="n">
        <f aca="true">IF(OR($D83&lt;&gt;"Serviço",AND(AUTOEVENTO="Manual",$M83=$A$15),$M83&gt;(ROW(PLE.lastrow)-ROW(PLE.firstrow))),0,
           IF(OFFSET(PLE!$G$15,$M83-$A$15,CZ$13)="",10^12,OFFSET(PLE!$G$15,$M83-$A$15,CZ$13)))</f>
        <v>1000000000000</v>
      </c>
      <c r="DA83" s="354" t="n">
        <f aca="true">IF(OR($D83&lt;&gt;"Serviço",AND(AUTOEVENTO="Manual",$M83=$A$15),$M83&gt;(ROW(PLE.lastrow)-ROW(PLE.firstrow))),0,
           IF(OFFSET(PLE!$G$15,$M83-$A$15,DA$13)="",10^12,OFFSET(PLE!$G$15,$M83-$A$15,DA$13)))</f>
        <v>1000000000000</v>
      </c>
      <c r="DB83" s="354" t="n">
        <f aca="true">IF(OR($D83&lt;&gt;"Serviço",AND(AUTOEVENTO="Manual",$M83=$A$15),$M83&gt;(ROW(PLE.lastrow)-ROW(PLE.firstrow))),0,
           IF(OFFSET(PLE!$G$15,$M83-$A$15,DB$13)="",10^12,OFFSET(PLE!$G$15,$M83-$A$15,DB$13)))</f>
        <v>1000000000000</v>
      </c>
      <c r="DC83" s="354" t="n">
        <f aca="true">IF(OR($D83&lt;&gt;"Serviço",AND(AUTOEVENTO="Manual",$M83=$A$15),$M83&gt;(ROW(PLE.lastrow)-ROW(PLE.firstrow))),0,
           IF(OFFSET(PLE!$G$15,$M83-$A$15,DC$13)="",10^12,OFFSET(PLE!$G$15,$M83-$A$15,DC$13)))</f>
        <v>1000000000000</v>
      </c>
      <c r="DD83" s="354" t="n">
        <f aca="true">IF(OR($D83&lt;&gt;"Serviço",AND(AUTOEVENTO="Manual",$M83=$A$15),$M83&gt;(ROW(PLE.lastrow)-ROW(PLE.firstrow))),0,
           IF(OFFSET(PLE!$G$15,$M83-$A$15,DD$13)="",10^12,OFFSET(PLE!$G$15,$M83-$A$15,DD$13)))</f>
        <v>1000000000000</v>
      </c>
      <c r="DE83" s="354" t="n">
        <f aca="true">IF(OR($D83&lt;&gt;"Serviço",AND(AUTOEVENTO="Manual",$M83=$A$15),$M83&gt;(ROW(PLE.lastrow)-ROW(PLE.firstrow))),0,
           IF(OFFSET(PLE!$G$15,$M83-$A$15,DE$13)="",10^12,OFFSET(PLE!$G$15,$M83-$A$15,DE$13)))</f>
        <v>1000000000000</v>
      </c>
      <c r="DF83" s="354" t="n">
        <f aca="true">IF(OR($D83&lt;&gt;"Serviço",AND(AUTOEVENTO="Manual",$M83=$A$15),$M83&gt;(ROW(PLE.lastrow)-ROW(PLE.firstrow))),0,
           IF(OFFSET(PLE!$G$15,$M83-$A$15,DF$13)="",10^12,OFFSET(PLE!$G$15,$M83-$A$15,DF$13)))</f>
        <v>1000000000000</v>
      </c>
      <c r="DG83" s="354" t="n">
        <f aca="true">IF(OR($D83&lt;&gt;"Serviço",AND(AUTOEVENTO="Manual",$M83=$A$15),$M83&gt;(ROW(PLE.lastrow)-ROW(PLE.firstrow))),0,
           IF(OFFSET(PLE!$G$15,$M83-$A$15,DG$13)="",10^12,OFFSET(PLE!$G$15,$M83-$A$15,DG$13)))</f>
        <v>1000000000000</v>
      </c>
      <c r="DH83" s="354" t="n">
        <f aca="true">IF(OR($D83&lt;&gt;"Serviço",AND(AUTOEVENTO="Manual",$M83=$A$15),$M83&gt;(ROW(PLE.lastrow)-ROW(PLE.firstrow))),0,
           IF(OFFSET(PLE!$G$15,$M83-$A$15,DH$13)="",10^12,OFFSET(PLE!$G$15,$M83-$A$15,DH$13)))</f>
        <v>1000000000000</v>
      </c>
      <c r="DI83" s="354" t="n">
        <f aca="true">IF(OR($D83&lt;&gt;"Serviço",AND(AUTOEVENTO="Manual",$M83=$A$15),$M83&gt;(ROW(PLE.lastrow)-ROW(PLE.firstrow))),0,
           IF(OFFSET(PLE!$G$15,$M83-$A$15,DI$13)="",10^12,OFFSET(PLE!$G$15,$M83-$A$15,DI$13)))</f>
        <v>1000000000000</v>
      </c>
      <c r="DJ83" s="354" t="n">
        <f aca="true">IF(OR($D83&lt;&gt;"Serviço",AND(AUTOEVENTO="Manual",$M83=$A$15),$M83&gt;(ROW(PLE.lastrow)-ROW(PLE.firstrow))),0,
           IF(OFFSET(PLE!$G$15,$M83-$A$15,DJ$13)="",10^12,OFFSET(PLE!$G$15,$M83-$A$15,DJ$13)))</f>
        <v>1000000000000</v>
      </c>
      <c r="DK83" s="354" t="n">
        <f aca="true">IF(OR($D83&lt;&gt;"Serviço",AND(AUTOEVENTO="Manual",$M83=$A$15),$M83&gt;(ROW(PLE.lastrow)-ROW(PLE.firstrow))),0,
           IF(OFFSET(PLE!$G$15,$M83-$A$15,DK$13)="",10^12,OFFSET(PLE!$G$15,$M83-$A$15,DK$13)))</f>
        <v>1000000000000</v>
      </c>
      <c r="DL83" s="354" t="n">
        <f aca="true">IF(OR($D83&lt;&gt;"Serviço",AND(AUTOEVENTO="Manual",$M83=$A$15),$M83&gt;(ROW(PLE.lastrow)-ROW(PLE.firstrow))),0,
           IF(OFFSET(PLE!$G$15,$M83-$A$15,DL$13)="",10^12,OFFSET(PLE!$G$15,$M83-$A$15,DL$13)))</f>
        <v>1000000000000</v>
      </c>
      <c r="DM83" s="354" t="n">
        <f aca="true">IF(OR($D83&lt;&gt;"Serviço",AND(AUTOEVENTO="Manual",$M83=$A$15),$M83&gt;(ROW(PLE.lastrow)-ROW(PLE.firstrow))),0,
           IF(OFFSET(PLE!$G$15,$M83-$A$15,DM$13)="",10^12,OFFSET(PLE!$G$15,$M83-$A$15,DM$13)))</f>
        <v>1000000000000</v>
      </c>
      <c r="DN83" s="354" t="n">
        <f aca="true">IF(OR($D83&lt;&gt;"Serviço",AND(AUTOEVENTO="Manual",$M83=$A$15),$M83&gt;(ROW(PLE.lastrow)-ROW(PLE.firstrow))),0,
           IF(OFFSET(PLE!$G$15,$M83-$A$15,DN$13)="",10^12,OFFSET(PLE!$G$15,$M83-$A$15,DN$13)))</f>
        <v>1000000000000</v>
      </c>
      <c r="DO83" s="354" t="n">
        <f aca="true">IF(OR($D83&lt;&gt;"Serviço",AND(AUTOEVENTO="Manual",$M83=$A$15),$M83&gt;(ROW(PLE.lastrow)-ROW(PLE.firstrow))),0,
           IF(OFFSET(PLE!$G$15,$M83-$A$15,DO$13)="",10^12,OFFSET(PLE!$G$15,$M83-$A$15,DO$13)))</f>
        <v>1000000000000</v>
      </c>
      <c r="DP83" s="354" t="n">
        <f aca="true">IF(OR($D83&lt;&gt;"Serviço",AND(AUTOEVENTO="Manual",$M83=$A$15),$M83&gt;(ROW(PLE.lastrow)-ROW(PLE.firstrow))),0,
           IF(OFFSET(PLE!$G$15,$M83-$A$15,DP$13)="",10^12,OFFSET(PLE!$G$15,$M83-$A$15,DP$13)))</f>
        <v>1000000000000</v>
      </c>
      <c r="DQ83" s="354" t="n">
        <f aca="true">IF(OR($D83&lt;&gt;"Serviço",AND(AUTOEVENTO="Manual",$M83=$A$15),$M83&gt;(ROW(PLE.lastrow)-ROW(PLE.firstrow))),0,
           IF(OFFSET(PLE!$G$15,$M83-$A$15,DQ$13)="",10^12,OFFSET(PLE!$G$15,$M83-$A$15,DQ$13)))</f>
        <v>1000000000000</v>
      </c>
      <c r="DR83" s="354" t="n">
        <f aca="true">IF(OR($D83&lt;&gt;"Serviço",AND(AUTOEVENTO="Manual",$M83=$A$15),$M83&gt;(ROW(PLE.lastrow)-ROW(PLE.firstrow))),0,
           IF(OFFSET(PLE!$G$15,$M83-$A$15,DR$13)="",10^12,OFFSET(PLE!$G$15,$M83-$A$15,DR$13)))</f>
        <v>1000000000000</v>
      </c>
      <c r="DS83" s="354" t="n">
        <f aca="true">IF(OR($D83&lt;&gt;"Serviço",AND(AUTOEVENTO="Manual",$M83=$A$15),$M83&gt;(ROW(PLE.lastrow)-ROW(PLE.firstrow))),0,
           IF(OFFSET(PLE!$G$15,$M83-$A$15,DS$13)="",10^12,OFFSET(PLE!$G$15,$M83-$A$15,DS$13)))</f>
        <v>1000000000000</v>
      </c>
    </row>
    <row r="84" customFormat="false" ht="12.75" hidden="false" customHeight="false" outlineLevel="0" collapsed="false">
      <c r="A84" s="50" t="str">
        <f aca="true">IFERROR(IF(AUTOEVENTO="Manual",IF(K84&lt;&gt;"",MIN(VALUE(LEFT(K84,FIND(".",K84)-1)),COUNTA(EVENTOS.Lista)),0),IF(OR($B84&gt;AUTOEVENTO,$B84="S",$B84=0),SUBSTITUTE(OFFSET($A84,-1,0),IF($D84="Serviço",".",""),""),ROW(A84)-ROW($A$15)&amp;".")),0)</f>
        <v>69.</v>
      </c>
      <c r="B84" s="50" t="n">
        <f aca="true">OFFSET(ORÇAMENTO!C$15,ROW(B84)-ROW(B$15),0)</f>
        <v>2</v>
      </c>
      <c r="C84" s="50" t="str">
        <f aca="true">OFFSET(ORÇAMENTO!L$15,ROW(C84)-ROW(C$15),0)</f>
        <v>F</v>
      </c>
      <c r="D84" s="201" t="str">
        <f aca="true">OFFSET(ORÇAMENTO!N$15,ROW(D84)-ROW(D$15),0)</f>
        <v>Nível 2</v>
      </c>
      <c r="E84" s="202" t="str">
        <f aca="true">OFFSET(ORÇAMENTO!O$15,ROW(E84)-ROW(E$15),0)</f>
        <v>1.20.</v>
      </c>
      <c r="F84" s="341" t="str">
        <f aca="true">OFFSET(ORÇAMENTO!R$15,ROW(F84)-ROW(F$15),0)</f>
        <v>REVESTIMENTOS EXTERNOS</v>
      </c>
      <c r="G84" s="342" t="str">
        <f aca="true">IF($D84&lt;&gt;"Serviço","",OFFSET(ORÇAMENTO!S$15,ROW(G84)-ROW(G$15),0))</f>
        <v/>
      </c>
      <c r="H84" s="207" t="n">
        <f aca="true">IF($D84&lt;&gt;"Serviço",0,IF(ACOMPANHAMENTO="BM",ROUND(OFFSET(ORÇAMENTO!AJ$15,ROW(H84)-ROW(H$15),0),15-13*ORÇAMENTO!$AF$7),SUMPRODUCT(($Q$1:$AQ$1=1)*ROUND($Q84:$AQ84,15-13*ORÇAMENTO!$AF$7))))</f>
        <v>0</v>
      </c>
      <c r="I84" s="343"/>
      <c r="J84" s="344" t="str">
        <f aca="false">IF(OR(B84&lt;&gt;"S",CÁLCULO.FrentesPreenchidas=0),"",IF(AND(ACOMPANHAMENTO="PLE",AUTOEVENTO="Manual",OR(H84&gt;0,ORÇAMENTO!AC84="QUANT."),OR(K84="",M84=0,N84="")),"►",IF(AND(ACOMPANHAMENTO="PLE",ORÇAMENTO!AC84="QUANT."),"►►",IF(AND(COUNTIF($P$11:$AQ$11,"▼")=0,H84&gt;0,I84=""),"◄",""))))</f>
        <v/>
      </c>
      <c r="K84" s="345"/>
      <c r="L84" s="346" t="s">
        <v>876</v>
      </c>
      <c r="M84" s="347" t="str">
        <f aca="true">IF($D84&lt;&gt;"Serviço","",
          IF(AUTOEVENTO="manual",$A84,
                IF(ISERROR(MATCH($A84,$A$15:OFFSET($A84,-1,0),0)),MAX($M$15:OFFSET(M84,-1,0))+1,
                      INDEX($M$15:OFFSET(M84,-1,0),MATCH($A84,$A$15:OFFSET($A84,-1,0),0)))))</f>
        <v/>
      </c>
      <c r="N84" s="348" t="str">
        <f aca="true">IF($D84&lt;&gt;"Serviço","",
         IF(AUTOEVENTO="Manual",
                IF($A84=0,"&lt;-- defina o número do agrupador",
                       OFFSET(EVENTOS!$D$15,$A84-$A$15,0)),
                OFFSET($F$15,$A84,0)))</f>
        <v/>
      </c>
      <c r="O84" s="349"/>
      <c r="Q84" s="349" t="n">
        <v>6</v>
      </c>
      <c r="R84" s="350" t="n">
        <v>6</v>
      </c>
      <c r="S84" s="350" t="n">
        <v>6</v>
      </c>
      <c r="T84" s="350" t="n">
        <v>6</v>
      </c>
      <c r="U84" s="350" t="n">
        <v>6</v>
      </c>
      <c r="V84" s="350" t="n">
        <v>6</v>
      </c>
      <c r="W84" s="350" t="n">
        <v>6</v>
      </c>
      <c r="X84" s="350" t="n">
        <v>6</v>
      </c>
      <c r="Y84" s="350" t="n">
        <v>6</v>
      </c>
      <c r="Z84" s="351" t="n">
        <v>6</v>
      </c>
      <c r="AA84" s="350" t="n">
        <v>6</v>
      </c>
      <c r="AB84" s="350" t="n">
        <v>6</v>
      </c>
      <c r="AC84" s="350" t="n">
        <v>6</v>
      </c>
      <c r="AD84" s="350" t="n">
        <v>6</v>
      </c>
      <c r="AE84" s="350" t="n">
        <v>6</v>
      </c>
      <c r="AF84" s="350" t="n">
        <v>6</v>
      </c>
      <c r="AG84" s="350" t="n">
        <v>6</v>
      </c>
      <c r="AH84" s="351" t="n">
        <v>6</v>
      </c>
      <c r="AI84" s="350" t="n">
        <v>6</v>
      </c>
      <c r="AJ84" s="350" t="n">
        <v>6</v>
      </c>
      <c r="AK84" s="350" t="n">
        <v>6</v>
      </c>
      <c r="AL84" s="350" t="n">
        <v>6</v>
      </c>
      <c r="AM84" s="350" t="n">
        <v>6</v>
      </c>
      <c r="AN84" s="350" t="n">
        <v>6</v>
      </c>
      <c r="AO84" s="350" t="n">
        <v>6</v>
      </c>
      <c r="AP84" s="351"/>
      <c r="AR84" s="352" t="n">
        <f aca="true">IF(AND($D84="Serviço",AR$12&lt;&gt;0,$H84&gt;0,OR(AUTOEVENTO&lt;&gt;"manual",$M84&lt;&gt;$A$15)),
        IF(Import.TipoArredondamento&lt;&gt;"TransfereGOV",
              ROUND(OFFSET($P84,0,AR$13),15-13*ORÇAMENTO!$AF$7)/$H84*OFFSET(ORÇAMENTO!$X$15,ROW(AR84)-ROW(AR$15),0),
              ROUND(ROUND(OFFSET($P84,0,AR$13),15-13*ORÇAMENTO!$AF$7)*OFFSET(ORÇAMENTO!$W$15,ROW(AR84)-ROW(AR$15),0),15-13*ORÇAMENTO!$AF$11)),
         0)</f>
        <v>0</v>
      </c>
      <c r="AS84" s="352" t="n">
        <f aca="true">IF(AND($D84="Serviço",AS$12&lt;&gt;0,$H84&gt;0,OR(AUTOEVENTO&lt;&gt;"manual",$M84&lt;&gt;$A$15)),
        IF(Import.TipoArredondamento&lt;&gt;"TransfereGOV",
              ROUND(OFFSET($P84,0,AS$13),15-13*ORÇAMENTO!$AF$7)/$H84*OFFSET(ORÇAMENTO!$X$15,ROW(AS84)-ROW(AS$15),0),
              ROUND(ROUND(OFFSET($P84,0,AS$13),15-13*ORÇAMENTO!$AF$7)*OFFSET(ORÇAMENTO!$W$15,ROW(AS84)-ROW(AS$15),0),15-13*ORÇAMENTO!$AF$11)),
         0)</f>
        <v>0</v>
      </c>
      <c r="AT84" s="352" t="n">
        <f aca="true">IF(AND($D84="Serviço",AT$12&lt;&gt;0,$H84&gt;0,OR(AUTOEVENTO&lt;&gt;"manual",$M84&lt;&gt;$A$15)),
        IF(Import.TipoArredondamento&lt;&gt;"TransfereGOV",
              ROUND(OFFSET($P84,0,AT$13),15-13*ORÇAMENTO!$AF$7)/$H84*OFFSET(ORÇAMENTO!$X$15,ROW(AT84)-ROW(AT$15),0),
              ROUND(ROUND(OFFSET($P84,0,AT$13),15-13*ORÇAMENTO!$AF$7)*OFFSET(ORÇAMENTO!$W$15,ROW(AT84)-ROW(AT$15),0),15-13*ORÇAMENTO!$AF$11)),
         0)</f>
        <v>0</v>
      </c>
      <c r="AU84" s="352" t="n">
        <f aca="true">IF(AND($D84="Serviço",AU$12&lt;&gt;0,$H84&gt;0,OR(AUTOEVENTO&lt;&gt;"manual",$M84&lt;&gt;$A$15)),
        IF(Import.TipoArredondamento&lt;&gt;"TransfereGOV",
              ROUND(OFFSET($P84,0,AU$13),15-13*ORÇAMENTO!$AF$7)/$H84*OFFSET(ORÇAMENTO!$X$15,ROW(AU84)-ROW(AU$15),0),
              ROUND(ROUND(OFFSET($P84,0,AU$13),15-13*ORÇAMENTO!$AF$7)*OFFSET(ORÇAMENTO!$W$15,ROW(AU84)-ROW(AU$15),0),15-13*ORÇAMENTO!$AF$11)),
         0)</f>
        <v>0</v>
      </c>
      <c r="AV84" s="352" t="n">
        <f aca="true">IF(AND($D84="Serviço",AV$12&lt;&gt;0,$H84&gt;0,OR(AUTOEVENTO&lt;&gt;"manual",$M84&lt;&gt;$A$15)),
        IF(Import.TipoArredondamento&lt;&gt;"TransfereGOV",
              ROUND(OFFSET($P84,0,AV$13),15-13*ORÇAMENTO!$AF$7)/$H84*OFFSET(ORÇAMENTO!$X$15,ROW(AV84)-ROW(AV$15),0),
              ROUND(ROUND(OFFSET($P84,0,AV$13),15-13*ORÇAMENTO!$AF$7)*OFFSET(ORÇAMENTO!$W$15,ROW(AV84)-ROW(AV$15),0),15-13*ORÇAMENTO!$AF$11)),
         0)</f>
        <v>0</v>
      </c>
      <c r="AW84" s="352" t="n">
        <f aca="true">IF(AND($D84="Serviço",AW$12&lt;&gt;0,$H84&gt;0,OR(AUTOEVENTO&lt;&gt;"manual",$M84&lt;&gt;$A$15)),
        IF(Import.TipoArredondamento&lt;&gt;"TransfereGOV",
              ROUND(OFFSET($P84,0,AW$13),15-13*ORÇAMENTO!$AF$7)/$H84*OFFSET(ORÇAMENTO!$X$15,ROW(AW84)-ROW(AW$15),0),
              ROUND(ROUND(OFFSET($P84,0,AW$13),15-13*ORÇAMENTO!$AF$7)*OFFSET(ORÇAMENTO!$W$15,ROW(AW84)-ROW(AW$15),0),15-13*ORÇAMENTO!$AF$11)),
         0)</f>
        <v>0</v>
      </c>
      <c r="AX84" s="352" t="n">
        <f aca="true">IF(AND($D84="Serviço",AX$12&lt;&gt;0,$H84&gt;0,OR(AUTOEVENTO&lt;&gt;"manual",$M84&lt;&gt;$A$15)),
        IF(Import.TipoArredondamento&lt;&gt;"TransfereGOV",
              ROUND(OFFSET($P84,0,AX$13),15-13*ORÇAMENTO!$AF$7)/$H84*OFFSET(ORÇAMENTO!$X$15,ROW(AX84)-ROW(AX$15),0),
              ROUND(ROUND(OFFSET($P84,0,AX$13),15-13*ORÇAMENTO!$AF$7)*OFFSET(ORÇAMENTO!$W$15,ROW(AX84)-ROW(AX$15),0),15-13*ORÇAMENTO!$AF$11)),
         0)</f>
        <v>0</v>
      </c>
      <c r="AY84" s="352" t="n">
        <f aca="true">IF(AND($D84="Serviço",AY$12&lt;&gt;0,$H84&gt;0,OR(AUTOEVENTO&lt;&gt;"manual",$M84&lt;&gt;$A$15)),
        IF(Import.TipoArredondamento&lt;&gt;"TransfereGOV",
              ROUND(OFFSET($P84,0,AY$13),15-13*ORÇAMENTO!$AF$7)/$H84*OFFSET(ORÇAMENTO!$X$15,ROW(AY84)-ROW(AY$15),0),
              ROUND(ROUND(OFFSET($P84,0,AY$13),15-13*ORÇAMENTO!$AF$7)*OFFSET(ORÇAMENTO!$W$15,ROW(AY84)-ROW(AY$15),0),15-13*ORÇAMENTO!$AF$11)),
         0)</f>
        <v>0</v>
      </c>
      <c r="AZ84" s="352" t="n">
        <f aca="true">IF(AND($D84="Serviço",AZ$12&lt;&gt;0,$H84&gt;0,OR(AUTOEVENTO&lt;&gt;"manual",$M84&lt;&gt;$A$15)),
        IF(Import.TipoArredondamento&lt;&gt;"TransfereGOV",
              ROUND(OFFSET($P84,0,AZ$13),15-13*ORÇAMENTO!$AF$7)/$H84*OFFSET(ORÇAMENTO!$X$15,ROW(AZ84)-ROW(AZ$15),0),
              ROUND(ROUND(OFFSET($P84,0,AZ$13),15-13*ORÇAMENTO!$AF$7)*OFFSET(ORÇAMENTO!$W$15,ROW(AZ84)-ROW(AZ$15),0),15-13*ORÇAMENTO!$AF$11)),
         0)</f>
        <v>0</v>
      </c>
      <c r="BA84" s="352" t="n">
        <f aca="true">IF(AND($D84="Serviço",BA$12&lt;&gt;0,$H84&gt;0,OR(AUTOEVENTO&lt;&gt;"manual",$M84&lt;&gt;$A$15)),
        IF(Import.TipoArredondamento&lt;&gt;"TransfereGOV",
              ROUND(OFFSET($P84,0,BA$13),15-13*ORÇAMENTO!$AF$7)/$H84*OFFSET(ORÇAMENTO!$X$15,ROW(BA84)-ROW(BA$15),0),
              ROUND(ROUND(OFFSET($P84,0,BA$13),15-13*ORÇAMENTO!$AF$7)*OFFSET(ORÇAMENTO!$W$15,ROW(BA84)-ROW(BA$15),0),15-13*ORÇAMENTO!$AF$11)),
         0)</f>
        <v>0</v>
      </c>
      <c r="BB84" s="352" t="n">
        <f aca="true">IF(AND($D84="Serviço",BB$12&lt;&gt;0,$H84&gt;0,OR(AUTOEVENTO&lt;&gt;"manual",$M84&lt;&gt;$A$15)),
        IF(Import.TipoArredondamento&lt;&gt;"TransfereGOV",
              ROUND(OFFSET($P84,0,BB$13),15-13*ORÇAMENTO!$AF$7)/$H84*OFFSET(ORÇAMENTO!$X$15,ROW(BB84)-ROW(BB$15),0),
              ROUND(ROUND(OFFSET($P84,0,BB$13),15-13*ORÇAMENTO!$AF$7)*OFFSET(ORÇAMENTO!$W$15,ROW(BB84)-ROW(BB$15),0),15-13*ORÇAMENTO!$AF$11)),
         0)</f>
        <v>0</v>
      </c>
      <c r="BC84" s="352" t="n">
        <f aca="true">IF(AND($D84="Serviço",BC$12&lt;&gt;0,$H84&gt;0,OR(AUTOEVENTO&lt;&gt;"manual",$M84&lt;&gt;$A$15)),
        IF(Import.TipoArredondamento&lt;&gt;"TransfereGOV",
              ROUND(OFFSET($P84,0,BC$13),15-13*ORÇAMENTO!$AF$7)/$H84*OFFSET(ORÇAMENTO!$X$15,ROW(BC84)-ROW(BC$15),0),
              ROUND(ROUND(OFFSET($P84,0,BC$13),15-13*ORÇAMENTO!$AF$7)*OFFSET(ORÇAMENTO!$W$15,ROW(BC84)-ROW(BC$15),0),15-13*ORÇAMENTO!$AF$11)),
         0)</f>
        <v>0</v>
      </c>
      <c r="BD84" s="352" t="n">
        <f aca="true">IF(AND($D84="Serviço",BD$12&lt;&gt;0,$H84&gt;0,OR(AUTOEVENTO&lt;&gt;"manual",$M84&lt;&gt;$A$15)),
        IF(Import.TipoArredondamento&lt;&gt;"TransfereGOV",
              ROUND(OFFSET($P84,0,BD$13),15-13*ORÇAMENTO!$AF$7)/$H84*OFFSET(ORÇAMENTO!$X$15,ROW(BD84)-ROW(BD$15),0),
              ROUND(ROUND(OFFSET($P84,0,BD$13),15-13*ORÇAMENTO!$AF$7)*OFFSET(ORÇAMENTO!$W$15,ROW(BD84)-ROW(BD$15),0),15-13*ORÇAMENTO!$AF$11)),
         0)</f>
        <v>0</v>
      </c>
      <c r="BE84" s="352" t="n">
        <f aca="true">IF(AND($D84="Serviço",BE$12&lt;&gt;0,$H84&gt;0,OR(AUTOEVENTO&lt;&gt;"manual",$M84&lt;&gt;$A$15)),
        IF(Import.TipoArredondamento&lt;&gt;"TransfereGOV",
              ROUND(OFFSET($P84,0,BE$13),15-13*ORÇAMENTO!$AF$7)/$H84*OFFSET(ORÇAMENTO!$X$15,ROW(BE84)-ROW(BE$15),0),
              ROUND(ROUND(OFFSET($P84,0,BE$13),15-13*ORÇAMENTO!$AF$7)*OFFSET(ORÇAMENTO!$W$15,ROW(BE84)-ROW(BE$15),0),15-13*ORÇAMENTO!$AF$11)),
         0)</f>
        <v>0</v>
      </c>
      <c r="BF84" s="352" t="n">
        <f aca="true">IF(AND($D84="Serviço",BF$12&lt;&gt;0,$H84&gt;0,OR(AUTOEVENTO&lt;&gt;"manual",$M84&lt;&gt;$A$15)),
        IF(Import.TipoArredondamento&lt;&gt;"TransfereGOV",
              ROUND(OFFSET($P84,0,BF$13),15-13*ORÇAMENTO!$AF$7)/$H84*OFFSET(ORÇAMENTO!$X$15,ROW(BF84)-ROW(BF$15),0),
              ROUND(ROUND(OFFSET($P84,0,BF$13),15-13*ORÇAMENTO!$AF$7)*OFFSET(ORÇAMENTO!$W$15,ROW(BF84)-ROW(BF$15),0),15-13*ORÇAMENTO!$AF$11)),
         0)</f>
        <v>0</v>
      </c>
      <c r="BG84" s="352" t="n">
        <f aca="true">IF(AND($D84="Serviço",BG$12&lt;&gt;0,$H84&gt;0,OR(AUTOEVENTO&lt;&gt;"manual",$M84&lt;&gt;$A$15)),
        IF(Import.TipoArredondamento&lt;&gt;"TransfereGOV",
              ROUND(OFFSET($P84,0,BG$13),15-13*ORÇAMENTO!$AF$7)/$H84*OFFSET(ORÇAMENTO!$X$15,ROW(BG84)-ROW(BG$15),0),
              ROUND(ROUND(OFFSET($P84,0,BG$13),15-13*ORÇAMENTO!$AF$7)*OFFSET(ORÇAMENTO!$W$15,ROW(BG84)-ROW(BG$15),0),15-13*ORÇAMENTO!$AF$11)),
         0)</f>
        <v>0</v>
      </c>
      <c r="BH84" s="352" t="n">
        <f aca="true">IF(AND($D84="Serviço",BH$12&lt;&gt;0,$H84&gt;0,OR(AUTOEVENTO&lt;&gt;"manual",$M84&lt;&gt;$A$15)),
        IF(Import.TipoArredondamento&lt;&gt;"TransfereGOV",
              ROUND(OFFSET($P84,0,BH$13),15-13*ORÇAMENTO!$AF$7)/$H84*OFFSET(ORÇAMENTO!$X$15,ROW(BH84)-ROW(BH$15),0),
              ROUND(ROUND(OFFSET($P84,0,BH$13),15-13*ORÇAMENTO!$AF$7)*OFFSET(ORÇAMENTO!$W$15,ROW(BH84)-ROW(BH$15),0),15-13*ORÇAMENTO!$AF$11)),
         0)</f>
        <v>0</v>
      </c>
      <c r="BI84" s="352" t="n">
        <f aca="true">IF(AND($D84="Serviço",BI$12&lt;&gt;0,$H84&gt;0,OR(AUTOEVENTO&lt;&gt;"manual",$M84&lt;&gt;$A$15)),
        IF(Import.TipoArredondamento&lt;&gt;"TransfereGOV",
              ROUND(OFFSET($P84,0,BI$13),15-13*ORÇAMENTO!$AF$7)/$H84*OFFSET(ORÇAMENTO!$X$15,ROW(BI84)-ROW(BI$15),0),
              ROUND(ROUND(OFFSET($P84,0,BI$13),15-13*ORÇAMENTO!$AF$7)*OFFSET(ORÇAMENTO!$W$15,ROW(BI84)-ROW(BI$15),0),15-13*ORÇAMENTO!$AF$11)),
         0)</f>
        <v>0</v>
      </c>
      <c r="BJ84" s="352" t="n">
        <f aca="true">IF(AND($D84="Serviço",BJ$12&lt;&gt;0,$H84&gt;0,OR(AUTOEVENTO&lt;&gt;"manual",$M84&lt;&gt;$A$15)),
        IF(Import.TipoArredondamento&lt;&gt;"TransfereGOV",
              ROUND(OFFSET($P84,0,BJ$13),15-13*ORÇAMENTO!$AF$7)/$H84*OFFSET(ORÇAMENTO!$X$15,ROW(BJ84)-ROW(BJ$15),0),
              ROUND(ROUND(OFFSET($P84,0,BJ$13),15-13*ORÇAMENTO!$AF$7)*OFFSET(ORÇAMENTO!$W$15,ROW(BJ84)-ROW(BJ$15),0),15-13*ORÇAMENTO!$AF$11)),
         0)</f>
        <v>0</v>
      </c>
      <c r="BK84" s="352" t="n">
        <f aca="true">IF(AND($D84="Serviço",BK$12&lt;&gt;0,$H84&gt;0,OR(AUTOEVENTO&lt;&gt;"manual",$M84&lt;&gt;$A$15)),
        IF(Import.TipoArredondamento&lt;&gt;"TransfereGOV",
              ROUND(OFFSET($P84,0,BK$13),15-13*ORÇAMENTO!$AF$7)/$H84*OFFSET(ORÇAMENTO!$X$15,ROW(BK84)-ROW(BK$15),0),
              ROUND(ROUND(OFFSET($P84,0,BK$13),15-13*ORÇAMENTO!$AF$7)*OFFSET(ORÇAMENTO!$W$15,ROW(BK84)-ROW(BK$15),0),15-13*ORÇAMENTO!$AF$11)),
         0)</f>
        <v>0</v>
      </c>
      <c r="BL84" s="352" t="n">
        <f aca="true">IF(AND($D84="Serviço",BL$12&lt;&gt;0,$H84&gt;0,OR(AUTOEVENTO&lt;&gt;"manual",$M84&lt;&gt;$A$15)),
        IF(Import.TipoArredondamento&lt;&gt;"TransfereGOV",
              ROUND(OFFSET($P84,0,BL$13),15-13*ORÇAMENTO!$AF$7)/$H84*OFFSET(ORÇAMENTO!$X$15,ROW(BL84)-ROW(BL$15),0),
              ROUND(ROUND(OFFSET($P84,0,BL$13),15-13*ORÇAMENTO!$AF$7)*OFFSET(ORÇAMENTO!$W$15,ROW(BL84)-ROW(BL$15),0),15-13*ORÇAMENTO!$AF$11)),
         0)</f>
        <v>0</v>
      </c>
      <c r="BM84" s="352" t="n">
        <f aca="true">IF(AND($D84="Serviço",BM$12&lt;&gt;0,$H84&gt;0,OR(AUTOEVENTO&lt;&gt;"manual",$M84&lt;&gt;$A$15)),
        IF(Import.TipoArredondamento&lt;&gt;"TransfereGOV",
              ROUND(OFFSET($P84,0,BM$13),15-13*ORÇAMENTO!$AF$7)/$H84*OFFSET(ORÇAMENTO!$X$15,ROW(BM84)-ROW(BM$15),0),
              ROUND(ROUND(OFFSET($P84,0,BM$13),15-13*ORÇAMENTO!$AF$7)*OFFSET(ORÇAMENTO!$W$15,ROW(BM84)-ROW(BM$15),0),15-13*ORÇAMENTO!$AF$11)),
         0)</f>
        <v>0</v>
      </c>
      <c r="BN84" s="352" t="n">
        <f aca="true">IF(AND($D84="Serviço",BN$12&lt;&gt;0,$H84&gt;0,OR(AUTOEVENTO&lt;&gt;"manual",$M84&lt;&gt;$A$15)),
        IF(Import.TipoArredondamento&lt;&gt;"TransfereGOV",
              ROUND(OFFSET($P84,0,BN$13),15-13*ORÇAMENTO!$AF$7)/$H84*OFFSET(ORÇAMENTO!$X$15,ROW(BN84)-ROW(BN$15),0),
              ROUND(ROUND(OFFSET($P84,0,BN$13),15-13*ORÇAMENTO!$AF$7)*OFFSET(ORÇAMENTO!$W$15,ROW(BN84)-ROW(BN$15),0),15-13*ORÇAMENTO!$AF$11)),
         0)</f>
        <v>0</v>
      </c>
      <c r="BO84" s="352" t="n">
        <f aca="true">IF(AND($D84="Serviço",BO$12&lt;&gt;0,$H84&gt;0,OR(AUTOEVENTO&lt;&gt;"manual",$M84&lt;&gt;$A$15)),
        IF(Import.TipoArredondamento&lt;&gt;"TransfereGOV",
              ROUND(OFFSET($P84,0,BO$13),15-13*ORÇAMENTO!$AF$7)/$H84*OFFSET(ORÇAMENTO!$X$15,ROW(BO84)-ROW(BO$15),0),
              ROUND(ROUND(OFFSET($P84,0,BO$13),15-13*ORÇAMENTO!$AF$7)*OFFSET(ORÇAMENTO!$W$15,ROW(BO84)-ROW(BO$15),0),15-13*ORÇAMENTO!$AF$11)),
         0)</f>
        <v>0</v>
      </c>
      <c r="BP84" s="352" t="n">
        <f aca="true">IF(AND($D84="Serviço",BP$12&lt;&gt;0,$H84&gt;0,OR(AUTOEVENTO&lt;&gt;"manual",$M84&lt;&gt;$A$15)),
        IF(Import.TipoArredondamento&lt;&gt;"TransfereGOV",
              ROUND(OFFSET($P84,0,BP$13),15-13*ORÇAMENTO!$AF$7)/$H84*OFFSET(ORÇAMENTO!$X$15,ROW(BP84)-ROW(BP$15),0),
              ROUND(ROUND(OFFSET($P84,0,BP$13),15-13*ORÇAMENTO!$AF$7)*OFFSET(ORÇAMENTO!$W$15,ROW(BP84)-ROW(BP$15),0),15-13*ORÇAMENTO!$AF$11)),
         0)</f>
        <v>0</v>
      </c>
      <c r="BQ84" s="352" t="n">
        <f aca="true">IF(AND($D84="Serviço",BQ$12&lt;&gt;0,$H84&gt;0,OR(AUTOEVENTO&lt;&gt;"manual",$M84&lt;&gt;$A$15)),
        IF(Import.TipoArredondamento&lt;&gt;"TransfereGOV",
              ROUND(OFFSET($P84,0,BQ$13),15-13*ORÇAMENTO!$AF$7)/$H84*OFFSET(ORÇAMENTO!$X$15,ROW(BQ84)-ROW(BQ$15),0),
              ROUND(ROUND(OFFSET($P84,0,BQ$13),15-13*ORÇAMENTO!$AF$7)*OFFSET(ORÇAMENTO!$W$15,ROW(BQ84)-ROW(BQ$15),0),15-13*ORÇAMENTO!$AF$11)),
         0)</f>
        <v>0</v>
      </c>
      <c r="BS84" s="353" t="n">
        <f aca="true">IF(OR($D84&lt;&gt;"Serviço",AND(AUTOEVENTO="Manual",$M84=$A$15)),0,
         IF(OFFSET(CRONOPLE!$F$15,$M84-$A$15,BS$13)=0,10^12,OFFSET(CRONOPLE!$F$15,$M84-$A$15,BS$13)))</f>
        <v>0</v>
      </c>
      <c r="BT84" s="353" t="n">
        <f aca="true">IF(OR($D84&lt;&gt;"Serviço",AND(AUTOEVENTO="Manual",$M84=$A$15)),0,
         IF(OFFSET(CRONOPLE!$F$15,$M84-$A$15,BT$13)=0,10^12,OFFSET(CRONOPLE!$F$15,$M84-$A$15,BT$13)))</f>
        <v>0</v>
      </c>
      <c r="BU84" s="353" t="n">
        <f aca="true">IF(OR($D84&lt;&gt;"Serviço",AND(AUTOEVENTO="Manual",$M84=$A$15)),0,
         IF(OFFSET(CRONOPLE!$F$15,$M84-$A$15,BU$13)=0,10^12,OFFSET(CRONOPLE!$F$15,$M84-$A$15,BU$13)))</f>
        <v>0</v>
      </c>
      <c r="BV84" s="353" t="n">
        <f aca="true">IF(OR($D84&lt;&gt;"Serviço",AND(AUTOEVENTO="Manual",$M84=$A$15)),0,
         IF(OFFSET(CRONOPLE!$F$15,$M84-$A$15,BV$13)=0,10^12,OFFSET(CRONOPLE!$F$15,$M84-$A$15,BV$13)))</f>
        <v>0</v>
      </c>
      <c r="BW84" s="353" t="n">
        <f aca="true">IF(OR($D84&lt;&gt;"Serviço",AND(AUTOEVENTO="Manual",$M84=$A$15)),0,
         IF(OFFSET(CRONOPLE!$F$15,$M84-$A$15,BW$13)=0,10^12,OFFSET(CRONOPLE!$F$15,$M84-$A$15,BW$13)))</f>
        <v>0</v>
      </c>
      <c r="BX84" s="353" t="n">
        <f aca="true">IF(OR($D84&lt;&gt;"Serviço",AND(AUTOEVENTO="Manual",$M84=$A$15)),0,
         IF(OFFSET(CRONOPLE!$F$15,$M84-$A$15,BX$13)=0,10^12,OFFSET(CRONOPLE!$F$15,$M84-$A$15,BX$13)))</f>
        <v>0</v>
      </c>
      <c r="BY84" s="353" t="n">
        <f aca="true">IF(OR($D84&lt;&gt;"Serviço",AND(AUTOEVENTO="Manual",$M84=$A$15)),0,
         IF(OFFSET(CRONOPLE!$F$15,$M84-$A$15,BY$13)=0,10^12,OFFSET(CRONOPLE!$F$15,$M84-$A$15,BY$13)))</f>
        <v>0</v>
      </c>
      <c r="BZ84" s="353" t="n">
        <f aca="true">IF(OR($D84&lt;&gt;"Serviço",AND(AUTOEVENTO="Manual",$M84=$A$15)),0,
         IF(OFFSET(CRONOPLE!$F$15,$M84-$A$15,BZ$13)=0,10^12,OFFSET(CRONOPLE!$F$15,$M84-$A$15,BZ$13)))</f>
        <v>0</v>
      </c>
      <c r="CA84" s="353" t="n">
        <f aca="true">IF(OR($D84&lt;&gt;"Serviço",AND(AUTOEVENTO="Manual",$M84=$A$15)),0,
         IF(OFFSET(CRONOPLE!$F$15,$M84-$A$15,CA$13)=0,10^12,OFFSET(CRONOPLE!$F$15,$M84-$A$15,CA$13)))</f>
        <v>0</v>
      </c>
      <c r="CB84" s="353" t="n">
        <f aca="true">IF(OR($D84&lt;&gt;"Serviço",AND(AUTOEVENTO="Manual",$M84=$A$15)),0,
         IF(OFFSET(CRONOPLE!$F$15,$M84-$A$15,CB$13)=0,10^12,OFFSET(CRONOPLE!$F$15,$M84-$A$15,CB$13)))</f>
        <v>0</v>
      </c>
      <c r="CC84" s="353" t="n">
        <f aca="true">IF(OR($D84&lt;&gt;"Serviço",AND(AUTOEVENTO="Manual",$M84=$A$15)),0,
         IF(OFFSET(CRONOPLE!$F$15,$M84-$A$15,CC$13)=0,10^12,OFFSET(CRONOPLE!$F$15,$M84-$A$15,CC$13)))</f>
        <v>0</v>
      </c>
      <c r="CD84" s="353" t="n">
        <f aca="true">IF(OR($D84&lt;&gt;"Serviço",AND(AUTOEVENTO="Manual",$M84=$A$15)),0,
         IF(OFFSET(CRONOPLE!$F$15,$M84-$A$15,CD$13)=0,10^12,OFFSET(CRONOPLE!$F$15,$M84-$A$15,CD$13)))</f>
        <v>0</v>
      </c>
      <c r="CE84" s="353" t="n">
        <f aca="true">IF(OR($D84&lt;&gt;"Serviço",AND(AUTOEVENTO="Manual",$M84=$A$15)),0,
         IF(OFFSET(CRONOPLE!$F$15,$M84-$A$15,CE$13)=0,10^12,OFFSET(CRONOPLE!$F$15,$M84-$A$15,CE$13)))</f>
        <v>0</v>
      </c>
      <c r="CF84" s="353" t="n">
        <f aca="true">IF(OR($D84&lt;&gt;"Serviço",AND(AUTOEVENTO="Manual",$M84=$A$15)),0,
         IF(OFFSET(CRONOPLE!$F$15,$M84-$A$15,CF$13)=0,10^12,OFFSET(CRONOPLE!$F$15,$M84-$A$15,CF$13)))</f>
        <v>0</v>
      </c>
      <c r="CG84" s="353" t="n">
        <f aca="true">IF(OR($D84&lt;&gt;"Serviço",AND(AUTOEVENTO="Manual",$M84=$A$15)),0,
         IF(OFFSET(CRONOPLE!$F$15,$M84-$A$15,CG$13)=0,10^12,OFFSET(CRONOPLE!$F$15,$M84-$A$15,CG$13)))</f>
        <v>0</v>
      </c>
      <c r="CH84" s="353" t="n">
        <f aca="true">IF(OR($D84&lt;&gt;"Serviço",AND(AUTOEVENTO="Manual",$M84=$A$15)),0,
         IF(OFFSET(CRONOPLE!$F$15,$M84-$A$15,CH$13)=0,10^12,OFFSET(CRONOPLE!$F$15,$M84-$A$15,CH$13)))</f>
        <v>0</v>
      </c>
      <c r="CI84" s="353" t="n">
        <f aca="true">IF(OR($D84&lt;&gt;"Serviço",AND(AUTOEVENTO="Manual",$M84=$A$15)),0,
         IF(OFFSET(CRONOPLE!$F$15,$M84-$A$15,CI$13)=0,10^12,OFFSET(CRONOPLE!$F$15,$M84-$A$15,CI$13)))</f>
        <v>0</v>
      </c>
      <c r="CJ84" s="353" t="n">
        <f aca="true">IF(OR($D84&lt;&gt;"Serviço",AND(AUTOEVENTO="Manual",$M84=$A$15)),0,
         IF(OFFSET(CRONOPLE!$F$15,$M84-$A$15,CJ$13)=0,10^12,OFFSET(CRONOPLE!$F$15,$M84-$A$15,CJ$13)))</f>
        <v>0</v>
      </c>
      <c r="CK84" s="353" t="n">
        <f aca="true">IF(OR($D84&lt;&gt;"Serviço",AND(AUTOEVENTO="Manual",$M84=$A$15)),0,
         IF(OFFSET(CRONOPLE!$F$15,$M84-$A$15,CK$13)=0,10^12,OFFSET(CRONOPLE!$F$15,$M84-$A$15,CK$13)))</f>
        <v>0</v>
      </c>
      <c r="CL84" s="353" t="n">
        <f aca="true">IF(OR($D84&lt;&gt;"Serviço",AND(AUTOEVENTO="Manual",$M84=$A$15)),0,
         IF(OFFSET(CRONOPLE!$F$15,$M84-$A$15,CL$13)=0,10^12,OFFSET(CRONOPLE!$F$15,$M84-$A$15,CL$13)))</f>
        <v>0</v>
      </c>
      <c r="CM84" s="353" t="n">
        <f aca="true">IF(OR($D84&lt;&gt;"Serviço",AND(AUTOEVENTO="Manual",$M84=$A$15)),0,
         IF(OFFSET(CRONOPLE!$F$15,$M84-$A$15,CM$13)=0,10^12,OFFSET(CRONOPLE!$F$15,$M84-$A$15,CM$13)))</f>
        <v>0</v>
      </c>
      <c r="CN84" s="353" t="n">
        <f aca="true">IF(OR($D84&lt;&gt;"Serviço",AND(AUTOEVENTO="Manual",$M84=$A$15)),0,
         IF(OFFSET(CRONOPLE!$F$15,$M84-$A$15,CN$13)=0,10^12,OFFSET(CRONOPLE!$F$15,$M84-$A$15,CN$13)))</f>
        <v>0</v>
      </c>
      <c r="CO84" s="353" t="n">
        <f aca="true">IF(OR($D84&lt;&gt;"Serviço",AND(AUTOEVENTO="Manual",$M84=$A$15)),0,
         IF(OFFSET(CRONOPLE!$F$15,$M84-$A$15,CO$13)=0,10^12,OFFSET(CRONOPLE!$F$15,$M84-$A$15,CO$13)))</f>
        <v>0</v>
      </c>
      <c r="CP84" s="353" t="n">
        <f aca="true">IF(OR($D84&lt;&gt;"Serviço",AND(AUTOEVENTO="Manual",$M84=$A$15)),0,
         IF(OFFSET(CRONOPLE!$F$15,$M84-$A$15,CP$13)=0,10^12,OFFSET(CRONOPLE!$F$15,$M84-$A$15,CP$13)))</f>
        <v>0</v>
      </c>
      <c r="CQ84" s="353" t="n">
        <f aca="true">IF(OR($D84&lt;&gt;"Serviço",AND(AUTOEVENTO="Manual",$M84=$A$15)),0,
         IF(OFFSET(CRONOPLE!$F$15,$M84-$A$15,CQ$13)=0,10^12,OFFSET(CRONOPLE!$F$15,$M84-$A$15,CQ$13)))</f>
        <v>0</v>
      </c>
      <c r="CR84" s="353" t="n">
        <f aca="true">IF(OR($D84&lt;&gt;"Serviço",AND(AUTOEVENTO="Manual",$M84=$A$15)),0,
         IF(OFFSET(CRONOPLE!$F$15,$M84-$A$15,CR$13)=0,10^12,OFFSET(CRONOPLE!$F$15,$M84-$A$15,CR$13)))</f>
        <v>0</v>
      </c>
      <c r="CT84" s="354" t="n">
        <f aca="true">IF(OR($D84&lt;&gt;"Serviço",AND(AUTOEVENTO="Manual",$M84=$A$15),$M84&gt;(ROW(PLE.lastrow)-ROW(PLE.firstrow))),0,
           IF(OFFSET(PLE!$G$15,$M84-$A$15,CT$13)="",10^12,OFFSET(PLE!$G$15,$M84-$A$15,CT$13)))</f>
        <v>0</v>
      </c>
      <c r="CU84" s="354" t="n">
        <f aca="true">IF(OR($D84&lt;&gt;"Serviço",AND(AUTOEVENTO="Manual",$M84=$A$15),$M84&gt;(ROW(PLE.lastrow)-ROW(PLE.firstrow))),0,
           IF(OFFSET(PLE!$G$15,$M84-$A$15,CU$13)="",10^12,OFFSET(PLE!$G$15,$M84-$A$15,CU$13)))</f>
        <v>0</v>
      </c>
      <c r="CV84" s="354" t="n">
        <f aca="true">IF(OR($D84&lt;&gt;"Serviço",AND(AUTOEVENTO="Manual",$M84=$A$15),$M84&gt;(ROW(PLE.lastrow)-ROW(PLE.firstrow))),0,
           IF(OFFSET(PLE!$G$15,$M84-$A$15,CV$13)="",10^12,OFFSET(PLE!$G$15,$M84-$A$15,CV$13)))</f>
        <v>0</v>
      </c>
      <c r="CW84" s="354" t="n">
        <f aca="true">IF(OR($D84&lt;&gt;"Serviço",AND(AUTOEVENTO="Manual",$M84=$A$15),$M84&gt;(ROW(PLE.lastrow)-ROW(PLE.firstrow))),0,
           IF(OFFSET(PLE!$G$15,$M84-$A$15,CW$13)="",10^12,OFFSET(PLE!$G$15,$M84-$A$15,CW$13)))</f>
        <v>0</v>
      </c>
      <c r="CX84" s="354" t="n">
        <f aca="true">IF(OR($D84&lt;&gt;"Serviço",AND(AUTOEVENTO="Manual",$M84=$A$15),$M84&gt;(ROW(PLE.lastrow)-ROW(PLE.firstrow))),0,
           IF(OFFSET(PLE!$G$15,$M84-$A$15,CX$13)="",10^12,OFFSET(PLE!$G$15,$M84-$A$15,CX$13)))</f>
        <v>0</v>
      </c>
      <c r="CY84" s="354" t="n">
        <f aca="true">IF(OR($D84&lt;&gt;"Serviço",AND(AUTOEVENTO="Manual",$M84=$A$15),$M84&gt;(ROW(PLE.lastrow)-ROW(PLE.firstrow))),0,
           IF(OFFSET(PLE!$G$15,$M84-$A$15,CY$13)="",10^12,OFFSET(PLE!$G$15,$M84-$A$15,CY$13)))</f>
        <v>0</v>
      </c>
      <c r="CZ84" s="354" t="n">
        <f aca="true">IF(OR($D84&lt;&gt;"Serviço",AND(AUTOEVENTO="Manual",$M84=$A$15),$M84&gt;(ROW(PLE.lastrow)-ROW(PLE.firstrow))),0,
           IF(OFFSET(PLE!$G$15,$M84-$A$15,CZ$13)="",10^12,OFFSET(PLE!$G$15,$M84-$A$15,CZ$13)))</f>
        <v>0</v>
      </c>
      <c r="DA84" s="354" t="n">
        <f aca="true">IF(OR($D84&lt;&gt;"Serviço",AND(AUTOEVENTO="Manual",$M84=$A$15),$M84&gt;(ROW(PLE.lastrow)-ROW(PLE.firstrow))),0,
           IF(OFFSET(PLE!$G$15,$M84-$A$15,DA$13)="",10^12,OFFSET(PLE!$G$15,$M84-$A$15,DA$13)))</f>
        <v>0</v>
      </c>
      <c r="DB84" s="354" t="n">
        <f aca="true">IF(OR($D84&lt;&gt;"Serviço",AND(AUTOEVENTO="Manual",$M84=$A$15),$M84&gt;(ROW(PLE.lastrow)-ROW(PLE.firstrow))),0,
           IF(OFFSET(PLE!$G$15,$M84-$A$15,DB$13)="",10^12,OFFSET(PLE!$G$15,$M84-$A$15,DB$13)))</f>
        <v>0</v>
      </c>
      <c r="DC84" s="354" t="n">
        <f aca="true">IF(OR($D84&lt;&gt;"Serviço",AND(AUTOEVENTO="Manual",$M84=$A$15),$M84&gt;(ROW(PLE.lastrow)-ROW(PLE.firstrow))),0,
           IF(OFFSET(PLE!$G$15,$M84-$A$15,DC$13)="",10^12,OFFSET(PLE!$G$15,$M84-$A$15,DC$13)))</f>
        <v>0</v>
      </c>
      <c r="DD84" s="354" t="n">
        <f aca="true">IF(OR($D84&lt;&gt;"Serviço",AND(AUTOEVENTO="Manual",$M84=$A$15),$M84&gt;(ROW(PLE.lastrow)-ROW(PLE.firstrow))),0,
           IF(OFFSET(PLE!$G$15,$M84-$A$15,DD$13)="",10^12,OFFSET(PLE!$G$15,$M84-$A$15,DD$13)))</f>
        <v>0</v>
      </c>
      <c r="DE84" s="354" t="n">
        <f aca="true">IF(OR($D84&lt;&gt;"Serviço",AND(AUTOEVENTO="Manual",$M84=$A$15),$M84&gt;(ROW(PLE.lastrow)-ROW(PLE.firstrow))),0,
           IF(OFFSET(PLE!$G$15,$M84-$A$15,DE$13)="",10^12,OFFSET(PLE!$G$15,$M84-$A$15,DE$13)))</f>
        <v>0</v>
      </c>
      <c r="DF84" s="354" t="n">
        <f aca="true">IF(OR($D84&lt;&gt;"Serviço",AND(AUTOEVENTO="Manual",$M84=$A$15),$M84&gt;(ROW(PLE.lastrow)-ROW(PLE.firstrow))),0,
           IF(OFFSET(PLE!$G$15,$M84-$A$15,DF$13)="",10^12,OFFSET(PLE!$G$15,$M84-$A$15,DF$13)))</f>
        <v>0</v>
      </c>
      <c r="DG84" s="354" t="n">
        <f aca="true">IF(OR($D84&lt;&gt;"Serviço",AND(AUTOEVENTO="Manual",$M84=$A$15),$M84&gt;(ROW(PLE.lastrow)-ROW(PLE.firstrow))),0,
           IF(OFFSET(PLE!$G$15,$M84-$A$15,DG$13)="",10^12,OFFSET(PLE!$G$15,$M84-$A$15,DG$13)))</f>
        <v>0</v>
      </c>
      <c r="DH84" s="354" t="n">
        <f aca="true">IF(OR($D84&lt;&gt;"Serviço",AND(AUTOEVENTO="Manual",$M84=$A$15),$M84&gt;(ROW(PLE.lastrow)-ROW(PLE.firstrow))),0,
           IF(OFFSET(PLE!$G$15,$M84-$A$15,DH$13)="",10^12,OFFSET(PLE!$G$15,$M84-$A$15,DH$13)))</f>
        <v>0</v>
      </c>
      <c r="DI84" s="354" t="n">
        <f aca="true">IF(OR($D84&lt;&gt;"Serviço",AND(AUTOEVENTO="Manual",$M84=$A$15),$M84&gt;(ROW(PLE.lastrow)-ROW(PLE.firstrow))),0,
           IF(OFFSET(PLE!$G$15,$M84-$A$15,DI$13)="",10^12,OFFSET(PLE!$G$15,$M84-$A$15,DI$13)))</f>
        <v>0</v>
      </c>
      <c r="DJ84" s="354" t="n">
        <f aca="true">IF(OR($D84&lt;&gt;"Serviço",AND(AUTOEVENTO="Manual",$M84=$A$15),$M84&gt;(ROW(PLE.lastrow)-ROW(PLE.firstrow))),0,
           IF(OFFSET(PLE!$G$15,$M84-$A$15,DJ$13)="",10^12,OFFSET(PLE!$G$15,$M84-$A$15,DJ$13)))</f>
        <v>0</v>
      </c>
      <c r="DK84" s="354" t="n">
        <f aca="true">IF(OR($D84&lt;&gt;"Serviço",AND(AUTOEVENTO="Manual",$M84=$A$15),$M84&gt;(ROW(PLE.lastrow)-ROW(PLE.firstrow))),0,
           IF(OFFSET(PLE!$G$15,$M84-$A$15,DK$13)="",10^12,OFFSET(PLE!$G$15,$M84-$A$15,DK$13)))</f>
        <v>0</v>
      </c>
      <c r="DL84" s="354" t="n">
        <f aca="true">IF(OR($D84&lt;&gt;"Serviço",AND(AUTOEVENTO="Manual",$M84=$A$15),$M84&gt;(ROW(PLE.lastrow)-ROW(PLE.firstrow))),0,
           IF(OFFSET(PLE!$G$15,$M84-$A$15,DL$13)="",10^12,OFFSET(PLE!$G$15,$M84-$A$15,DL$13)))</f>
        <v>0</v>
      </c>
      <c r="DM84" s="354" t="n">
        <f aca="true">IF(OR($D84&lt;&gt;"Serviço",AND(AUTOEVENTO="Manual",$M84=$A$15),$M84&gt;(ROW(PLE.lastrow)-ROW(PLE.firstrow))),0,
           IF(OFFSET(PLE!$G$15,$M84-$A$15,DM$13)="",10^12,OFFSET(PLE!$G$15,$M84-$A$15,DM$13)))</f>
        <v>0</v>
      </c>
      <c r="DN84" s="354" t="n">
        <f aca="true">IF(OR($D84&lt;&gt;"Serviço",AND(AUTOEVENTO="Manual",$M84=$A$15),$M84&gt;(ROW(PLE.lastrow)-ROW(PLE.firstrow))),0,
           IF(OFFSET(PLE!$G$15,$M84-$A$15,DN$13)="",10^12,OFFSET(PLE!$G$15,$M84-$A$15,DN$13)))</f>
        <v>0</v>
      </c>
      <c r="DO84" s="354" t="n">
        <f aca="true">IF(OR($D84&lt;&gt;"Serviço",AND(AUTOEVENTO="Manual",$M84=$A$15),$M84&gt;(ROW(PLE.lastrow)-ROW(PLE.firstrow))),0,
           IF(OFFSET(PLE!$G$15,$M84-$A$15,DO$13)="",10^12,OFFSET(PLE!$G$15,$M84-$A$15,DO$13)))</f>
        <v>0</v>
      </c>
      <c r="DP84" s="354" t="n">
        <f aca="true">IF(OR($D84&lt;&gt;"Serviço",AND(AUTOEVENTO="Manual",$M84=$A$15),$M84&gt;(ROW(PLE.lastrow)-ROW(PLE.firstrow))),0,
           IF(OFFSET(PLE!$G$15,$M84-$A$15,DP$13)="",10^12,OFFSET(PLE!$G$15,$M84-$A$15,DP$13)))</f>
        <v>0</v>
      </c>
      <c r="DQ84" s="354" t="n">
        <f aca="true">IF(OR($D84&lt;&gt;"Serviço",AND(AUTOEVENTO="Manual",$M84=$A$15),$M84&gt;(ROW(PLE.lastrow)-ROW(PLE.firstrow))),0,
           IF(OFFSET(PLE!$G$15,$M84-$A$15,DQ$13)="",10^12,OFFSET(PLE!$G$15,$M84-$A$15,DQ$13)))</f>
        <v>0</v>
      </c>
      <c r="DR84" s="354" t="n">
        <f aca="true">IF(OR($D84&lt;&gt;"Serviço",AND(AUTOEVENTO="Manual",$M84=$A$15),$M84&gt;(ROW(PLE.lastrow)-ROW(PLE.firstrow))),0,
           IF(OFFSET(PLE!$G$15,$M84-$A$15,DR$13)="",10^12,OFFSET(PLE!$G$15,$M84-$A$15,DR$13)))</f>
        <v>0</v>
      </c>
      <c r="DS84" s="354" t="n">
        <f aca="true">IF(OR($D84&lt;&gt;"Serviço",AND(AUTOEVENTO="Manual",$M84=$A$15),$M84&gt;(ROW(PLE.lastrow)-ROW(PLE.firstrow))),0,
           IF(OFFSET(PLE!$G$15,$M84-$A$15,DS$13)="",10^12,OFFSET(PLE!$G$15,$M84-$A$15,DS$13)))</f>
        <v>0</v>
      </c>
    </row>
    <row r="85" customFormat="false" ht="35.05" hidden="false" customHeight="false" outlineLevel="0" collapsed="false">
      <c r="A85" s="50" t="str">
        <f aca="true">IFERROR(IF(AUTOEVENTO="Manual",IF(K85&lt;&gt;"",MIN(VALUE(LEFT(K85,FIND(".",K85)-1)),COUNTA(EVENTOS.Lista)),0),IF(OR($B85&gt;AUTOEVENTO,$B85="S",$B85=0),SUBSTITUTE(OFFSET($A85,-1,0),IF($D85="Serviço",".",""),""),ROW(A85)-ROW($A$15)&amp;".")),0)</f>
        <v>69</v>
      </c>
      <c r="B85" s="50" t="str">
        <f aca="true">OFFSET(ORÇAMENTO!C$15,ROW(B85)-ROW(B$15),0)</f>
        <v>S</v>
      </c>
      <c r="C85" s="50" t="str">
        <f aca="true">OFFSET(ORÇAMENTO!L$15,ROW(C85)-ROW(C$15),0)</f>
        <v>F</v>
      </c>
      <c r="D85" s="201" t="str">
        <f aca="true">OFFSET(ORÇAMENTO!N$15,ROW(D85)-ROW(D$15),0)</f>
        <v>Serviço</v>
      </c>
      <c r="E85" s="202" t="str">
        <f aca="true">OFFSET(ORÇAMENTO!O$15,ROW(E85)-ROW(E$15),0)</f>
        <v>1.20.1.</v>
      </c>
      <c r="F85" s="341" t="str">
        <f aca="true">OFFSET(ORÇAMENTO!R$15,ROW(F85)-ROW(F$15),0)</f>
        <v>CHAPISCO APLICADO EM ALVENARIA (COM PRESENÇA DE VÃOS) E ESTRUTURAS DE CONCRETO DE FACHADA, COM COLHER DE PEDREIRO. ARGAMASSA TRAÇO 1:3 COM PREPARO EM BETONEIRA 400L. AF_10/2022</v>
      </c>
      <c r="G85" s="342" t="str">
        <f aca="true">IF($D85&lt;&gt;"Serviço","",OFFSET(ORÇAMENTO!S$15,ROW(G85)-ROW(G$15),0))</f>
        <v>M2</v>
      </c>
      <c r="H85" s="207" t="n">
        <f aca="true">IF($D85&lt;&gt;"Serviço",0,IF(ACOMPANHAMENTO="BM",ROUND(OFFSET(ORÇAMENTO!AJ$15,ROW(H85)-ROW(H$15),0),15-13*ORÇAMENTO!$AF$7),SUMPRODUCT(($Q$1:$AQ$1=1)*ROUND($Q85:$AQ85,15-13*ORÇAMENTO!$AF$7))))</f>
        <v>3307.25</v>
      </c>
      <c r="I85" s="343" t="s">
        <v>956</v>
      </c>
      <c r="J85" s="344" t="e">
        <f aca="false">IF(OR(B85&lt;&gt;"S",CÁLCULO.FrentesPreenchidas=0),"",IF(AND(ACOMPANHAMENTO="PLE",AUTOEVENTO="Manual",OR(H85&gt;0,ORÇAMENTO!AC85="QUANT."),OR(K85="",M85=0,N85="")),"►",IF(AND(ACOMPANHAMENTO="PLE",ORÇAMENTO!AC85="QUANT."),"►►",IF(AND(COUNTIF($P$11:$AQ$11,"▼")=0,H85&gt;0,I85=""),"◄",""))))</f>
        <v>#NAME?</v>
      </c>
      <c r="K85" s="345"/>
      <c r="L85" s="346" t="s">
        <v>876</v>
      </c>
      <c r="M85" s="347" t="n">
        <f aca="true">IF($D85&lt;&gt;"Serviço","",
          IF(AUTOEVENTO="manual",$A85,
                IF(ISERROR(MATCH($A85,$A$15:OFFSET($A85,-1,0),0)),MAX($M$15:OFFSET(M85,-1,0))+1,
                      INDEX($M$15:OFFSET(M85,-1,0),MATCH($A85,$A$15:OFFSET($A85,-1,0),0)))))</f>
        <v>14</v>
      </c>
      <c r="N85" s="348" t="str">
        <f aca="true">IF($D85&lt;&gt;"Serviço","",
         IF(AUTOEVENTO="Manual",
                IF($A85=0,"&lt;-- defina o número do agrupador",
                       OFFSET(EVENTOS!$D$15,$A85-$A$15,0)),
                OFFSET($F$15,$A85,0)))</f>
        <v>REVESTIMENTOS EXTERNOS</v>
      </c>
      <c r="O85" s="349"/>
      <c r="Q85" s="349" t="n">
        <v>132.29</v>
      </c>
      <c r="R85" s="350" t="n">
        <f aca="false">Q85</f>
        <v>132.29</v>
      </c>
      <c r="S85" s="350" t="n">
        <f aca="false">R85</f>
        <v>132.29</v>
      </c>
      <c r="T85" s="350" t="n">
        <f aca="false">S85</f>
        <v>132.29</v>
      </c>
      <c r="U85" s="350" t="n">
        <f aca="false">T85</f>
        <v>132.29</v>
      </c>
      <c r="V85" s="350" t="n">
        <f aca="false">U85</f>
        <v>132.29</v>
      </c>
      <c r="W85" s="350" t="n">
        <f aca="false">V85</f>
        <v>132.29</v>
      </c>
      <c r="X85" s="350" t="n">
        <f aca="false">W85</f>
        <v>132.29</v>
      </c>
      <c r="Y85" s="350" t="n">
        <f aca="false">X85</f>
        <v>132.29</v>
      </c>
      <c r="Z85" s="351" t="n">
        <f aca="false">Y85</f>
        <v>132.29</v>
      </c>
      <c r="AA85" s="350" t="n">
        <f aca="false">Z85</f>
        <v>132.29</v>
      </c>
      <c r="AB85" s="350" t="n">
        <f aca="false">AA85</f>
        <v>132.29</v>
      </c>
      <c r="AC85" s="350" t="n">
        <f aca="false">AB85</f>
        <v>132.29</v>
      </c>
      <c r="AD85" s="350" t="n">
        <f aca="false">AC85</f>
        <v>132.29</v>
      </c>
      <c r="AE85" s="350" t="n">
        <f aca="false">AD85</f>
        <v>132.29</v>
      </c>
      <c r="AF85" s="350" t="n">
        <f aca="false">AE85</f>
        <v>132.29</v>
      </c>
      <c r="AG85" s="350" t="n">
        <f aca="false">AF85</f>
        <v>132.29</v>
      </c>
      <c r="AH85" s="351" t="n">
        <f aca="false">AG85</f>
        <v>132.29</v>
      </c>
      <c r="AI85" s="350" t="n">
        <f aca="false">AH85</f>
        <v>132.29</v>
      </c>
      <c r="AJ85" s="350" t="n">
        <f aca="false">AI85</f>
        <v>132.29</v>
      </c>
      <c r="AK85" s="350" t="n">
        <f aca="false">AJ85</f>
        <v>132.29</v>
      </c>
      <c r="AL85" s="350" t="n">
        <f aca="false">AK85</f>
        <v>132.29</v>
      </c>
      <c r="AM85" s="350" t="n">
        <f aca="false">AL85</f>
        <v>132.29</v>
      </c>
      <c r="AN85" s="350" t="n">
        <f aca="false">AM85</f>
        <v>132.29</v>
      </c>
      <c r="AO85" s="350" t="n">
        <f aca="false">AN85</f>
        <v>132.29</v>
      </c>
      <c r="AP85" s="351"/>
      <c r="AR85" s="352" t="n">
        <f aca="true">IF(AND($D85="Serviço",AR$12&lt;&gt;0,$H85&gt;0,OR(AUTOEVENTO&lt;&gt;"manual",$M85&lt;&gt;$A$15)),
        IF(Import.TipoArredondamento&lt;&gt;"TransfereGOV",
              ROUND(OFFSET($P85,0,AR$13),15-13*ORÇAMENTO!$AF$7)/$H85*OFFSET(ORÇAMENTO!$X$15,ROW(AR85)-ROW(AR$15),0),
              ROUND(ROUND(OFFSET($P85,0,AR$13),15-13*ORÇAMENTO!$AF$7)*OFFSET(ORÇAMENTO!$W$15,ROW(AR85)-ROW(AR$15),0),15-13*ORÇAMENTO!$AF$11)),
         0)</f>
        <v>1422.12</v>
      </c>
      <c r="AS85" s="352" t="n">
        <f aca="true">IF(AND($D85="Serviço",AS$12&lt;&gt;0,$H85&gt;0,OR(AUTOEVENTO&lt;&gt;"manual",$M85&lt;&gt;$A$15)),
        IF(Import.TipoArredondamento&lt;&gt;"TransfereGOV",
              ROUND(OFFSET($P85,0,AS$13),15-13*ORÇAMENTO!$AF$7)/$H85*OFFSET(ORÇAMENTO!$X$15,ROW(AS85)-ROW(AS$15),0),
              ROUND(ROUND(OFFSET($P85,0,AS$13),15-13*ORÇAMENTO!$AF$7)*OFFSET(ORÇAMENTO!$W$15,ROW(AS85)-ROW(AS$15),0),15-13*ORÇAMENTO!$AF$11)),
         0)</f>
        <v>1422.12</v>
      </c>
      <c r="AT85" s="352" t="n">
        <f aca="true">IF(AND($D85="Serviço",AT$12&lt;&gt;0,$H85&gt;0,OR(AUTOEVENTO&lt;&gt;"manual",$M85&lt;&gt;$A$15)),
        IF(Import.TipoArredondamento&lt;&gt;"TransfereGOV",
              ROUND(OFFSET($P85,0,AT$13),15-13*ORÇAMENTO!$AF$7)/$H85*OFFSET(ORÇAMENTO!$X$15,ROW(AT85)-ROW(AT$15),0),
              ROUND(ROUND(OFFSET($P85,0,AT$13),15-13*ORÇAMENTO!$AF$7)*OFFSET(ORÇAMENTO!$W$15,ROW(AT85)-ROW(AT$15),0),15-13*ORÇAMENTO!$AF$11)),
         0)</f>
        <v>1422.12</v>
      </c>
      <c r="AU85" s="352" t="n">
        <f aca="true">IF(AND($D85="Serviço",AU$12&lt;&gt;0,$H85&gt;0,OR(AUTOEVENTO&lt;&gt;"manual",$M85&lt;&gt;$A$15)),
        IF(Import.TipoArredondamento&lt;&gt;"TransfereGOV",
              ROUND(OFFSET($P85,0,AU$13),15-13*ORÇAMENTO!$AF$7)/$H85*OFFSET(ORÇAMENTO!$X$15,ROW(AU85)-ROW(AU$15),0),
              ROUND(ROUND(OFFSET($P85,0,AU$13),15-13*ORÇAMENTO!$AF$7)*OFFSET(ORÇAMENTO!$W$15,ROW(AU85)-ROW(AU$15),0),15-13*ORÇAMENTO!$AF$11)),
         0)</f>
        <v>1422.12</v>
      </c>
      <c r="AV85" s="352" t="n">
        <f aca="true">IF(AND($D85="Serviço",AV$12&lt;&gt;0,$H85&gt;0,OR(AUTOEVENTO&lt;&gt;"manual",$M85&lt;&gt;$A$15)),
        IF(Import.TipoArredondamento&lt;&gt;"TransfereGOV",
              ROUND(OFFSET($P85,0,AV$13),15-13*ORÇAMENTO!$AF$7)/$H85*OFFSET(ORÇAMENTO!$X$15,ROW(AV85)-ROW(AV$15),0),
              ROUND(ROUND(OFFSET($P85,0,AV$13),15-13*ORÇAMENTO!$AF$7)*OFFSET(ORÇAMENTO!$W$15,ROW(AV85)-ROW(AV$15),0),15-13*ORÇAMENTO!$AF$11)),
         0)</f>
        <v>1422.12</v>
      </c>
      <c r="AW85" s="352" t="n">
        <f aca="true">IF(AND($D85="Serviço",AW$12&lt;&gt;0,$H85&gt;0,OR(AUTOEVENTO&lt;&gt;"manual",$M85&lt;&gt;$A$15)),
        IF(Import.TipoArredondamento&lt;&gt;"TransfereGOV",
              ROUND(OFFSET($P85,0,AW$13),15-13*ORÇAMENTO!$AF$7)/$H85*OFFSET(ORÇAMENTO!$X$15,ROW(AW85)-ROW(AW$15),0),
              ROUND(ROUND(OFFSET($P85,0,AW$13),15-13*ORÇAMENTO!$AF$7)*OFFSET(ORÇAMENTO!$W$15,ROW(AW85)-ROW(AW$15),0),15-13*ORÇAMENTO!$AF$11)),
         0)</f>
        <v>1422.12</v>
      </c>
      <c r="AX85" s="352" t="n">
        <f aca="true">IF(AND($D85="Serviço",AX$12&lt;&gt;0,$H85&gt;0,OR(AUTOEVENTO&lt;&gt;"manual",$M85&lt;&gt;$A$15)),
        IF(Import.TipoArredondamento&lt;&gt;"TransfereGOV",
              ROUND(OFFSET($P85,0,AX$13),15-13*ORÇAMENTO!$AF$7)/$H85*OFFSET(ORÇAMENTO!$X$15,ROW(AX85)-ROW(AX$15),0),
              ROUND(ROUND(OFFSET($P85,0,AX$13),15-13*ORÇAMENTO!$AF$7)*OFFSET(ORÇAMENTO!$W$15,ROW(AX85)-ROW(AX$15),0),15-13*ORÇAMENTO!$AF$11)),
         0)</f>
        <v>1422.12</v>
      </c>
      <c r="AY85" s="352" t="n">
        <f aca="true">IF(AND($D85="Serviço",AY$12&lt;&gt;0,$H85&gt;0,OR(AUTOEVENTO&lt;&gt;"manual",$M85&lt;&gt;$A$15)),
        IF(Import.TipoArredondamento&lt;&gt;"TransfereGOV",
              ROUND(OFFSET($P85,0,AY$13),15-13*ORÇAMENTO!$AF$7)/$H85*OFFSET(ORÇAMENTO!$X$15,ROW(AY85)-ROW(AY$15),0),
              ROUND(ROUND(OFFSET($P85,0,AY$13),15-13*ORÇAMENTO!$AF$7)*OFFSET(ORÇAMENTO!$W$15,ROW(AY85)-ROW(AY$15),0),15-13*ORÇAMENTO!$AF$11)),
         0)</f>
        <v>1422.12</v>
      </c>
      <c r="AZ85" s="352" t="n">
        <f aca="true">IF(AND($D85="Serviço",AZ$12&lt;&gt;0,$H85&gt;0,OR(AUTOEVENTO&lt;&gt;"manual",$M85&lt;&gt;$A$15)),
        IF(Import.TipoArredondamento&lt;&gt;"TransfereGOV",
              ROUND(OFFSET($P85,0,AZ$13),15-13*ORÇAMENTO!$AF$7)/$H85*OFFSET(ORÇAMENTO!$X$15,ROW(AZ85)-ROW(AZ$15),0),
              ROUND(ROUND(OFFSET($P85,0,AZ$13),15-13*ORÇAMENTO!$AF$7)*OFFSET(ORÇAMENTO!$W$15,ROW(AZ85)-ROW(AZ$15),0),15-13*ORÇAMENTO!$AF$11)),
         0)</f>
        <v>1422.12</v>
      </c>
      <c r="BA85" s="352" t="n">
        <f aca="true">IF(AND($D85="Serviço",BA$12&lt;&gt;0,$H85&gt;0,OR(AUTOEVENTO&lt;&gt;"manual",$M85&lt;&gt;$A$15)),
        IF(Import.TipoArredondamento&lt;&gt;"TransfereGOV",
              ROUND(OFFSET($P85,0,BA$13),15-13*ORÇAMENTO!$AF$7)/$H85*OFFSET(ORÇAMENTO!$X$15,ROW(BA85)-ROW(BA$15),0),
              ROUND(ROUND(OFFSET($P85,0,BA$13),15-13*ORÇAMENTO!$AF$7)*OFFSET(ORÇAMENTO!$W$15,ROW(BA85)-ROW(BA$15),0),15-13*ORÇAMENTO!$AF$11)),
         0)</f>
        <v>1422.12</v>
      </c>
      <c r="BB85" s="352" t="n">
        <f aca="true">IF(AND($D85="Serviço",BB$12&lt;&gt;0,$H85&gt;0,OR(AUTOEVENTO&lt;&gt;"manual",$M85&lt;&gt;$A$15)),
        IF(Import.TipoArredondamento&lt;&gt;"TransfereGOV",
              ROUND(OFFSET($P85,0,BB$13),15-13*ORÇAMENTO!$AF$7)/$H85*OFFSET(ORÇAMENTO!$X$15,ROW(BB85)-ROW(BB$15),0),
              ROUND(ROUND(OFFSET($P85,0,BB$13),15-13*ORÇAMENTO!$AF$7)*OFFSET(ORÇAMENTO!$W$15,ROW(BB85)-ROW(BB$15),0),15-13*ORÇAMENTO!$AF$11)),
         0)</f>
        <v>1422.12</v>
      </c>
      <c r="BC85" s="352" t="n">
        <f aca="true">IF(AND($D85="Serviço",BC$12&lt;&gt;0,$H85&gt;0,OR(AUTOEVENTO&lt;&gt;"manual",$M85&lt;&gt;$A$15)),
        IF(Import.TipoArredondamento&lt;&gt;"TransfereGOV",
              ROUND(OFFSET($P85,0,BC$13),15-13*ORÇAMENTO!$AF$7)/$H85*OFFSET(ORÇAMENTO!$X$15,ROW(BC85)-ROW(BC$15),0),
              ROUND(ROUND(OFFSET($P85,0,BC$13),15-13*ORÇAMENTO!$AF$7)*OFFSET(ORÇAMENTO!$W$15,ROW(BC85)-ROW(BC$15),0),15-13*ORÇAMENTO!$AF$11)),
         0)</f>
        <v>1422.12</v>
      </c>
      <c r="BD85" s="352" t="n">
        <f aca="true">IF(AND($D85="Serviço",BD$12&lt;&gt;0,$H85&gt;0,OR(AUTOEVENTO&lt;&gt;"manual",$M85&lt;&gt;$A$15)),
        IF(Import.TipoArredondamento&lt;&gt;"TransfereGOV",
              ROUND(OFFSET($P85,0,BD$13),15-13*ORÇAMENTO!$AF$7)/$H85*OFFSET(ORÇAMENTO!$X$15,ROW(BD85)-ROW(BD$15),0),
              ROUND(ROUND(OFFSET($P85,0,BD$13),15-13*ORÇAMENTO!$AF$7)*OFFSET(ORÇAMENTO!$W$15,ROW(BD85)-ROW(BD$15),0),15-13*ORÇAMENTO!$AF$11)),
         0)</f>
        <v>1422.12</v>
      </c>
      <c r="BE85" s="352" t="n">
        <f aca="true">IF(AND($D85="Serviço",BE$12&lt;&gt;0,$H85&gt;0,OR(AUTOEVENTO&lt;&gt;"manual",$M85&lt;&gt;$A$15)),
        IF(Import.TipoArredondamento&lt;&gt;"TransfereGOV",
              ROUND(OFFSET($P85,0,BE$13),15-13*ORÇAMENTO!$AF$7)/$H85*OFFSET(ORÇAMENTO!$X$15,ROW(BE85)-ROW(BE$15),0),
              ROUND(ROUND(OFFSET($P85,0,BE$13),15-13*ORÇAMENTO!$AF$7)*OFFSET(ORÇAMENTO!$W$15,ROW(BE85)-ROW(BE$15),0),15-13*ORÇAMENTO!$AF$11)),
         0)</f>
        <v>1422.12</v>
      </c>
      <c r="BF85" s="352" t="n">
        <f aca="true">IF(AND($D85="Serviço",BF$12&lt;&gt;0,$H85&gt;0,OR(AUTOEVENTO&lt;&gt;"manual",$M85&lt;&gt;$A$15)),
        IF(Import.TipoArredondamento&lt;&gt;"TransfereGOV",
              ROUND(OFFSET($P85,0,BF$13),15-13*ORÇAMENTO!$AF$7)/$H85*OFFSET(ORÇAMENTO!$X$15,ROW(BF85)-ROW(BF$15),0),
              ROUND(ROUND(OFFSET($P85,0,BF$13),15-13*ORÇAMENTO!$AF$7)*OFFSET(ORÇAMENTO!$W$15,ROW(BF85)-ROW(BF$15),0),15-13*ORÇAMENTO!$AF$11)),
         0)</f>
        <v>1422.12</v>
      </c>
      <c r="BG85" s="352" t="n">
        <f aca="true">IF(AND($D85="Serviço",BG$12&lt;&gt;0,$H85&gt;0,OR(AUTOEVENTO&lt;&gt;"manual",$M85&lt;&gt;$A$15)),
        IF(Import.TipoArredondamento&lt;&gt;"TransfereGOV",
              ROUND(OFFSET($P85,0,BG$13),15-13*ORÇAMENTO!$AF$7)/$H85*OFFSET(ORÇAMENTO!$X$15,ROW(BG85)-ROW(BG$15),0),
              ROUND(ROUND(OFFSET($P85,0,BG$13),15-13*ORÇAMENTO!$AF$7)*OFFSET(ORÇAMENTO!$W$15,ROW(BG85)-ROW(BG$15),0),15-13*ORÇAMENTO!$AF$11)),
         0)</f>
        <v>1422.12</v>
      </c>
      <c r="BH85" s="352" t="n">
        <f aca="true">IF(AND($D85="Serviço",BH$12&lt;&gt;0,$H85&gt;0,OR(AUTOEVENTO&lt;&gt;"manual",$M85&lt;&gt;$A$15)),
        IF(Import.TipoArredondamento&lt;&gt;"TransfereGOV",
              ROUND(OFFSET($P85,0,BH$13),15-13*ORÇAMENTO!$AF$7)/$H85*OFFSET(ORÇAMENTO!$X$15,ROW(BH85)-ROW(BH$15),0),
              ROUND(ROUND(OFFSET($P85,0,BH$13),15-13*ORÇAMENTO!$AF$7)*OFFSET(ORÇAMENTO!$W$15,ROW(BH85)-ROW(BH$15),0),15-13*ORÇAMENTO!$AF$11)),
         0)</f>
        <v>1422.12</v>
      </c>
      <c r="BI85" s="352" t="n">
        <f aca="true">IF(AND($D85="Serviço",BI$12&lt;&gt;0,$H85&gt;0,OR(AUTOEVENTO&lt;&gt;"manual",$M85&lt;&gt;$A$15)),
        IF(Import.TipoArredondamento&lt;&gt;"TransfereGOV",
              ROUND(OFFSET($P85,0,BI$13),15-13*ORÇAMENTO!$AF$7)/$H85*OFFSET(ORÇAMENTO!$X$15,ROW(BI85)-ROW(BI$15),0),
              ROUND(ROUND(OFFSET($P85,0,BI$13),15-13*ORÇAMENTO!$AF$7)*OFFSET(ORÇAMENTO!$W$15,ROW(BI85)-ROW(BI$15),0),15-13*ORÇAMENTO!$AF$11)),
         0)</f>
        <v>1422.12</v>
      </c>
      <c r="BJ85" s="352" t="n">
        <f aca="true">IF(AND($D85="Serviço",BJ$12&lt;&gt;0,$H85&gt;0,OR(AUTOEVENTO&lt;&gt;"manual",$M85&lt;&gt;$A$15)),
        IF(Import.TipoArredondamento&lt;&gt;"TransfereGOV",
              ROUND(OFFSET($P85,0,BJ$13),15-13*ORÇAMENTO!$AF$7)/$H85*OFFSET(ORÇAMENTO!$X$15,ROW(BJ85)-ROW(BJ$15),0),
              ROUND(ROUND(OFFSET($P85,0,BJ$13),15-13*ORÇAMENTO!$AF$7)*OFFSET(ORÇAMENTO!$W$15,ROW(BJ85)-ROW(BJ$15),0),15-13*ORÇAMENTO!$AF$11)),
         0)</f>
        <v>1422.12</v>
      </c>
      <c r="BK85" s="352" t="n">
        <f aca="true">IF(AND($D85="Serviço",BK$12&lt;&gt;0,$H85&gt;0,OR(AUTOEVENTO&lt;&gt;"manual",$M85&lt;&gt;$A$15)),
        IF(Import.TipoArredondamento&lt;&gt;"TransfereGOV",
              ROUND(OFFSET($P85,0,BK$13),15-13*ORÇAMENTO!$AF$7)/$H85*OFFSET(ORÇAMENTO!$X$15,ROW(BK85)-ROW(BK$15),0),
              ROUND(ROUND(OFFSET($P85,0,BK$13),15-13*ORÇAMENTO!$AF$7)*OFFSET(ORÇAMENTO!$W$15,ROW(BK85)-ROW(BK$15),0),15-13*ORÇAMENTO!$AF$11)),
         0)</f>
        <v>1422.12</v>
      </c>
      <c r="BL85" s="352" t="n">
        <f aca="true">IF(AND($D85="Serviço",BL$12&lt;&gt;0,$H85&gt;0,OR(AUTOEVENTO&lt;&gt;"manual",$M85&lt;&gt;$A$15)),
        IF(Import.TipoArredondamento&lt;&gt;"TransfereGOV",
              ROUND(OFFSET($P85,0,BL$13),15-13*ORÇAMENTO!$AF$7)/$H85*OFFSET(ORÇAMENTO!$X$15,ROW(BL85)-ROW(BL$15),0),
              ROUND(ROUND(OFFSET($P85,0,BL$13),15-13*ORÇAMENTO!$AF$7)*OFFSET(ORÇAMENTO!$W$15,ROW(BL85)-ROW(BL$15),0),15-13*ORÇAMENTO!$AF$11)),
         0)</f>
        <v>1422.12</v>
      </c>
      <c r="BM85" s="352" t="n">
        <f aca="true">IF(AND($D85="Serviço",BM$12&lt;&gt;0,$H85&gt;0,OR(AUTOEVENTO&lt;&gt;"manual",$M85&lt;&gt;$A$15)),
        IF(Import.TipoArredondamento&lt;&gt;"TransfereGOV",
              ROUND(OFFSET($P85,0,BM$13),15-13*ORÇAMENTO!$AF$7)/$H85*OFFSET(ORÇAMENTO!$X$15,ROW(BM85)-ROW(BM$15),0),
              ROUND(ROUND(OFFSET($P85,0,BM$13),15-13*ORÇAMENTO!$AF$7)*OFFSET(ORÇAMENTO!$W$15,ROW(BM85)-ROW(BM$15),0),15-13*ORÇAMENTO!$AF$11)),
         0)</f>
        <v>1422.12</v>
      </c>
      <c r="BN85" s="352" t="n">
        <f aca="true">IF(AND($D85="Serviço",BN$12&lt;&gt;0,$H85&gt;0,OR(AUTOEVENTO&lt;&gt;"manual",$M85&lt;&gt;$A$15)),
        IF(Import.TipoArredondamento&lt;&gt;"TransfereGOV",
              ROUND(OFFSET($P85,0,BN$13),15-13*ORÇAMENTO!$AF$7)/$H85*OFFSET(ORÇAMENTO!$X$15,ROW(BN85)-ROW(BN$15),0),
              ROUND(ROUND(OFFSET($P85,0,BN$13),15-13*ORÇAMENTO!$AF$7)*OFFSET(ORÇAMENTO!$W$15,ROW(BN85)-ROW(BN$15),0),15-13*ORÇAMENTO!$AF$11)),
         0)</f>
        <v>1422.12</v>
      </c>
      <c r="BO85" s="352" t="n">
        <f aca="true">IF(AND($D85="Serviço",BO$12&lt;&gt;0,$H85&gt;0,OR(AUTOEVENTO&lt;&gt;"manual",$M85&lt;&gt;$A$15)),
        IF(Import.TipoArredondamento&lt;&gt;"TransfereGOV",
              ROUND(OFFSET($P85,0,BO$13),15-13*ORÇAMENTO!$AF$7)/$H85*OFFSET(ORÇAMENTO!$X$15,ROW(BO85)-ROW(BO$15),0),
              ROUND(ROUND(OFFSET($P85,0,BO$13),15-13*ORÇAMENTO!$AF$7)*OFFSET(ORÇAMENTO!$W$15,ROW(BO85)-ROW(BO$15),0),15-13*ORÇAMENTO!$AF$11)),
         0)</f>
        <v>1422.12</v>
      </c>
      <c r="BP85" s="352" t="n">
        <f aca="true">IF(AND($D85="Serviço",BP$12&lt;&gt;0,$H85&gt;0,OR(AUTOEVENTO&lt;&gt;"manual",$M85&lt;&gt;$A$15)),
        IF(Import.TipoArredondamento&lt;&gt;"TransfereGOV",
              ROUND(OFFSET($P85,0,BP$13),15-13*ORÇAMENTO!$AF$7)/$H85*OFFSET(ORÇAMENTO!$X$15,ROW(BP85)-ROW(BP$15),0),
              ROUND(ROUND(OFFSET($P85,0,BP$13),15-13*ORÇAMENTO!$AF$7)*OFFSET(ORÇAMENTO!$W$15,ROW(BP85)-ROW(BP$15),0),15-13*ORÇAMENTO!$AF$11)),
         0)</f>
        <v>1422.12</v>
      </c>
      <c r="BQ85" s="352" t="n">
        <f aca="true">IF(AND($D85="Serviço",BQ$12&lt;&gt;0,$H85&gt;0,OR(AUTOEVENTO&lt;&gt;"manual",$M85&lt;&gt;$A$15)),
        IF(Import.TipoArredondamento&lt;&gt;"TransfereGOV",
              ROUND(OFFSET($P85,0,BQ$13),15-13*ORÇAMENTO!$AF$7)/$H85*OFFSET(ORÇAMENTO!$X$15,ROW(BQ85)-ROW(BQ$15),0),
              ROUND(ROUND(OFFSET($P85,0,BQ$13),15-13*ORÇAMENTO!$AF$7)*OFFSET(ORÇAMENTO!$W$15,ROW(BQ85)-ROW(BQ$15),0),15-13*ORÇAMENTO!$AF$11)),
         0)</f>
        <v>0</v>
      </c>
      <c r="BS85" s="353" t="n">
        <f aca="true">IF(OR($D85&lt;&gt;"Serviço",AND(AUTOEVENTO="Manual",$M85=$A$15)),0,
         IF(OFFSET(CRONOPLE!$F$15,$M85-$A$15,BS$13)=0,10^12,OFFSET(CRONOPLE!$F$15,$M85-$A$15,BS$13)))</f>
        <v>1</v>
      </c>
      <c r="BT85" s="353" t="n">
        <f aca="true">IF(OR($D85&lt;&gt;"Serviço",AND(AUTOEVENTO="Manual",$M85=$A$15)),0,
         IF(OFFSET(CRONOPLE!$F$15,$M85-$A$15,BT$13)=0,10^12,OFFSET(CRONOPLE!$F$15,$M85-$A$15,BT$13)))</f>
        <v>2</v>
      </c>
      <c r="BU85" s="353" t="n">
        <f aca="true">IF(OR($D85&lt;&gt;"Serviço",AND(AUTOEVENTO="Manual",$M85=$A$15)),0,
         IF(OFFSET(CRONOPLE!$F$15,$M85-$A$15,BU$13)=0,10^12,OFFSET(CRONOPLE!$F$15,$M85-$A$15,BU$13)))</f>
        <v>3</v>
      </c>
      <c r="BV85" s="353" t="n">
        <f aca="true">IF(OR($D85&lt;&gt;"Serviço",AND(AUTOEVENTO="Manual",$M85=$A$15)),0,
         IF(OFFSET(CRONOPLE!$F$15,$M85-$A$15,BV$13)=0,10^12,OFFSET(CRONOPLE!$F$15,$M85-$A$15,BV$13)))</f>
        <v>4</v>
      </c>
      <c r="BW85" s="353" t="n">
        <f aca="true">IF(OR($D85&lt;&gt;"Serviço",AND(AUTOEVENTO="Manual",$M85=$A$15)),0,
         IF(OFFSET(CRONOPLE!$F$15,$M85-$A$15,BW$13)=0,10^12,OFFSET(CRONOPLE!$F$15,$M85-$A$15,BW$13)))</f>
        <v>5</v>
      </c>
      <c r="BX85" s="353" t="n">
        <f aca="true">IF(OR($D85&lt;&gt;"Serviço",AND(AUTOEVENTO="Manual",$M85=$A$15)),0,
         IF(OFFSET(CRONOPLE!$F$15,$M85-$A$15,BX$13)=0,10^12,OFFSET(CRONOPLE!$F$15,$M85-$A$15,BX$13)))</f>
        <v>6</v>
      </c>
      <c r="BY85" s="353" t="n">
        <f aca="true">IF(OR($D85&lt;&gt;"Serviço",AND(AUTOEVENTO="Manual",$M85=$A$15)),0,
         IF(OFFSET(CRONOPLE!$F$15,$M85-$A$15,BY$13)=0,10^12,OFFSET(CRONOPLE!$F$15,$M85-$A$15,BY$13)))</f>
        <v>7</v>
      </c>
      <c r="BZ85" s="353" t="n">
        <f aca="true">IF(OR($D85&lt;&gt;"Serviço",AND(AUTOEVENTO="Manual",$M85=$A$15)),0,
         IF(OFFSET(CRONOPLE!$F$15,$M85-$A$15,BZ$13)=0,10^12,OFFSET(CRONOPLE!$F$15,$M85-$A$15,BZ$13)))</f>
        <v>8</v>
      </c>
      <c r="CA85" s="353" t="n">
        <f aca="true">IF(OR($D85&lt;&gt;"Serviço",AND(AUTOEVENTO="Manual",$M85=$A$15)),0,
         IF(OFFSET(CRONOPLE!$F$15,$M85-$A$15,CA$13)=0,10^12,OFFSET(CRONOPLE!$F$15,$M85-$A$15,CA$13)))</f>
        <v>9</v>
      </c>
      <c r="CB85" s="353" t="n">
        <f aca="true">IF(OR($D85&lt;&gt;"Serviço",AND(AUTOEVENTO="Manual",$M85=$A$15)),0,
         IF(OFFSET(CRONOPLE!$F$15,$M85-$A$15,CB$13)=0,10^12,OFFSET(CRONOPLE!$F$15,$M85-$A$15,CB$13)))</f>
        <v>10</v>
      </c>
      <c r="CC85" s="353" t="n">
        <f aca="true">IF(OR($D85&lt;&gt;"Serviço",AND(AUTOEVENTO="Manual",$M85=$A$15)),0,
         IF(OFFSET(CRONOPLE!$F$15,$M85-$A$15,CC$13)=0,10^12,OFFSET(CRONOPLE!$F$15,$M85-$A$15,CC$13)))</f>
        <v>11</v>
      </c>
      <c r="CD85" s="353" t="n">
        <f aca="true">IF(OR($D85&lt;&gt;"Serviço",AND(AUTOEVENTO="Manual",$M85=$A$15)),0,
         IF(OFFSET(CRONOPLE!$F$15,$M85-$A$15,CD$13)=0,10^12,OFFSET(CRONOPLE!$F$15,$M85-$A$15,CD$13)))</f>
        <v>12</v>
      </c>
      <c r="CE85" s="353" t="n">
        <f aca="true">IF(OR($D85&lt;&gt;"Serviço",AND(AUTOEVENTO="Manual",$M85=$A$15)),0,
         IF(OFFSET(CRONOPLE!$F$15,$M85-$A$15,CE$13)=0,10^12,OFFSET(CRONOPLE!$F$15,$M85-$A$15,CE$13)))</f>
        <v>13</v>
      </c>
      <c r="CF85" s="353" t="n">
        <f aca="true">IF(OR($D85&lt;&gt;"Serviço",AND(AUTOEVENTO="Manual",$M85=$A$15)),0,
         IF(OFFSET(CRONOPLE!$F$15,$M85-$A$15,CF$13)=0,10^12,OFFSET(CRONOPLE!$F$15,$M85-$A$15,CF$13)))</f>
        <v>14</v>
      </c>
      <c r="CG85" s="353" t="n">
        <f aca="true">IF(OR($D85&lt;&gt;"Serviço",AND(AUTOEVENTO="Manual",$M85=$A$15)),0,
         IF(OFFSET(CRONOPLE!$F$15,$M85-$A$15,CG$13)=0,10^12,OFFSET(CRONOPLE!$F$15,$M85-$A$15,CG$13)))</f>
        <v>15</v>
      </c>
      <c r="CH85" s="353" t="n">
        <f aca="true">IF(OR($D85&lt;&gt;"Serviço",AND(AUTOEVENTO="Manual",$M85=$A$15)),0,
         IF(OFFSET(CRONOPLE!$F$15,$M85-$A$15,CH$13)=0,10^12,OFFSET(CRONOPLE!$F$15,$M85-$A$15,CH$13)))</f>
        <v>16</v>
      </c>
      <c r="CI85" s="353" t="n">
        <f aca="true">IF(OR($D85&lt;&gt;"Serviço",AND(AUTOEVENTO="Manual",$M85=$A$15)),0,
         IF(OFFSET(CRONOPLE!$F$15,$M85-$A$15,CI$13)=0,10^12,OFFSET(CRONOPLE!$F$15,$M85-$A$15,CI$13)))</f>
        <v>17</v>
      </c>
      <c r="CJ85" s="353" t="n">
        <f aca="true">IF(OR($D85&lt;&gt;"Serviço",AND(AUTOEVENTO="Manual",$M85=$A$15)),0,
         IF(OFFSET(CRONOPLE!$F$15,$M85-$A$15,CJ$13)=0,10^12,OFFSET(CRONOPLE!$F$15,$M85-$A$15,CJ$13)))</f>
        <v>18</v>
      </c>
      <c r="CK85" s="353" t="n">
        <f aca="true">IF(OR($D85&lt;&gt;"Serviço",AND(AUTOEVENTO="Manual",$M85=$A$15)),0,
         IF(OFFSET(CRONOPLE!$F$15,$M85-$A$15,CK$13)=0,10^12,OFFSET(CRONOPLE!$F$15,$M85-$A$15,CK$13)))</f>
        <v>19</v>
      </c>
      <c r="CL85" s="353" t="n">
        <f aca="true">IF(OR($D85&lt;&gt;"Serviço",AND(AUTOEVENTO="Manual",$M85=$A$15)),0,
         IF(OFFSET(CRONOPLE!$F$15,$M85-$A$15,CL$13)=0,10^12,OFFSET(CRONOPLE!$F$15,$M85-$A$15,CL$13)))</f>
        <v>20</v>
      </c>
      <c r="CM85" s="353" t="n">
        <f aca="true">IF(OR($D85&lt;&gt;"Serviço",AND(AUTOEVENTO="Manual",$M85=$A$15)),0,
         IF(OFFSET(CRONOPLE!$F$15,$M85-$A$15,CM$13)=0,10^12,OFFSET(CRONOPLE!$F$15,$M85-$A$15,CM$13)))</f>
        <v>21</v>
      </c>
      <c r="CN85" s="353" t="n">
        <f aca="true">IF(OR($D85&lt;&gt;"Serviço",AND(AUTOEVENTO="Manual",$M85=$A$15)),0,
         IF(OFFSET(CRONOPLE!$F$15,$M85-$A$15,CN$13)=0,10^12,OFFSET(CRONOPLE!$F$15,$M85-$A$15,CN$13)))</f>
        <v>22</v>
      </c>
      <c r="CO85" s="353" t="n">
        <f aca="true">IF(OR($D85&lt;&gt;"Serviço",AND(AUTOEVENTO="Manual",$M85=$A$15)),0,
         IF(OFFSET(CRONOPLE!$F$15,$M85-$A$15,CO$13)=0,10^12,OFFSET(CRONOPLE!$F$15,$M85-$A$15,CO$13)))</f>
        <v>23</v>
      </c>
      <c r="CP85" s="353" t="n">
        <f aca="true">IF(OR($D85&lt;&gt;"Serviço",AND(AUTOEVENTO="Manual",$M85=$A$15)),0,
         IF(OFFSET(CRONOPLE!$F$15,$M85-$A$15,CP$13)=0,10^12,OFFSET(CRONOPLE!$F$15,$M85-$A$15,CP$13)))</f>
        <v>24</v>
      </c>
      <c r="CQ85" s="353" t="n">
        <f aca="true">IF(OR($D85&lt;&gt;"Serviço",AND(AUTOEVENTO="Manual",$M85=$A$15)),0,
         IF(OFFSET(CRONOPLE!$F$15,$M85-$A$15,CQ$13)=0,10^12,OFFSET(CRONOPLE!$F$15,$M85-$A$15,CQ$13)))</f>
        <v>25</v>
      </c>
      <c r="CR85" s="353" t="n">
        <f aca="true">IF(OR($D85&lt;&gt;"Serviço",AND(AUTOEVENTO="Manual",$M85=$A$15)),0,
         IF(OFFSET(CRONOPLE!$F$15,$M85-$A$15,CR$13)=0,10^12,OFFSET(CRONOPLE!$F$15,$M85-$A$15,CR$13)))</f>
        <v>1000000000000</v>
      </c>
      <c r="CT85" s="354" t="n">
        <f aca="true">IF(OR($D85&lt;&gt;"Serviço",AND(AUTOEVENTO="Manual",$M85=$A$15),$M85&gt;(ROW(PLE.lastrow)-ROW(PLE.firstrow))),0,
           IF(OFFSET(PLE!$G$15,$M85-$A$15,CT$13)="",10^12,OFFSET(PLE!$G$15,$M85-$A$15,CT$13)))</f>
        <v>1000000000000</v>
      </c>
      <c r="CU85" s="354" t="n">
        <f aca="true">IF(OR($D85&lt;&gt;"Serviço",AND(AUTOEVENTO="Manual",$M85=$A$15),$M85&gt;(ROW(PLE.lastrow)-ROW(PLE.firstrow))),0,
           IF(OFFSET(PLE!$G$15,$M85-$A$15,CU$13)="",10^12,OFFSET(PLE!$G$15,$M85-$A$15,CU$13)))</f>
        <v>1000000000000</v>
      </c>
      <c r="CV85" s="354" t="n">
        <f aca="true">IF(OR($D85&lt;&gt;"Serviço",AND(AUTOEVENTO="Manual",$M85=$A$15),$M85&gt;(ROW(PLE.lastrow)-ROW(PLE.firstrow))),0,
           IF(OFFSET(PLE!$G$15,$M85-$A$15,CV$13)="",10^12,OFFSET(PLE!$G$15,$M85-$A$15,CV$13)))</f>
        <v>1000000000000</v>
      </c>
      <c r="CW85" s="354" t="n">
        <f aca="true">IF(OR($D85&lt;&gt;"Serviço",AND(AUTOEVENTO="Manual",$M85=$A$15),$M85&gt;(ROW(PLE.lastrow)-ROW(PLE.firstrow))),0,
           IF(OFFSET(PLE!$G$15,$M85-$A$15,CW$13)="",10^12,OFFSET(PLE!$G$15,$M85-$A$15,CW$13)))</f>
        <v>1000000000000</v>
      </c>
      <c r="CX85" s="354" t="n">
        <f aca="true">IF(OR($D85&lt;&gt;"Serviço",AND(AUTOEVENTO="Manual",$M85=$A$15),$M85&gt;(ROW(PLE.lastrow)-ROW(PLE.firstrow))),0,
           IF(OFFSET(PLE!$G$15,$M85-$A$15,CX$13)="",10^12,OFFSET(PLE!$G$15,$M85-$A$15,CX$13)))</f>
        <v>1000000000000</v>
      </c>
      <c r="CY85" s="354" t="n">
        <f aca="true">IF(OR($D85&lt;&gt;"Serviço",AND(AUTOEVENTO="Manual",$M85=$A$15),$M85&gt;(ROW(PLE.lastrow)-ROW(PLE.firstrow))),0,
           IF(OFFSET(PLE!$G$15,$M85-$A$15,CY$13)="",10^12,OFFSET(PLE!$G$15,$M85-$A$15,CY$13)))</f>
        <v>1000000000000</v>
      </c>
      <c r="CZ85" s="354" t="n">
        <f aca="true">IF(OR($D85&lt;&gt;"Serviço",AND(AUTOEVENTO="Manual",$M85=$A$15),$M85&gt;(ROW(PLE.lastrow)-ROW(PLE.firstrow))),0,
           IF(OFFSET(PLE!$G$15,$M85-$A$15,CZ$13)="",10^12,OFFSET(PLE!$G$15,$M85-$A$15,CZ$13)))</f>
        <v>1000000000000</v>
      </c>
      <c r="DA85" s="354" t="n">
        <f aca="true">IF(OR($D85&lt;&gt;"Serviço",AND(AUTOEVENTO="Manual",$M85=$A$15),$M85&gt;(ROW(PLE.lastrow)-ROW(PLE.firstrow))),0,
           IF(OFFSET(PLE!$G$15,$M85-$A$15,DA$13)="",10^12,OFFSET(PLE!$G$15,$M85-$A$15,DA$13)))</f>
        <v>1000000000000</v>
      </c>
      <c r="DB85" s="354" t="n">
        <f aca="true">IF(OR($D85&lt;&gt;"Serviço",AND(AUTOEVENTO="Manual",$M85=$A$15),$M85&gt;(ROW(PLE.lastrow)-ROW(PLE.firstrow))),0,
           IF(OFFSET(PLE!$G$15,$M85-$A$15,DB$13)="",10^12,OFFSET(PLE!$G$15,$M85-$A$15,DB$13)))</f>
        <v>1000000000000</v>
      </c>
      <c r="DC85" s="354" t="n">
        <f aca="true">IF(OR($D85&lt;&gt;"Serviço",AND(AUTOEVENTO="Manual",$M85=$A$15),$M85&gt;(ROW(PLE.lastrow)-ROW(PLE.firstrow))),0,
           IF(OFFSET(PLE!$G$15,$M85-$A$15,DC$13)="",10^12,OFFSET(PLE!$G$15,$M85-$A$15,DC$13)))</f>
        <v>1000000000000</v>
      </c>
      <c r="DD85" s="354" t="n">
        <f aca="true">IF(OR($D85&lt;&gt;"Serviço",AND(AUTOEVENTO="Manual",$M85=$A$15),$M85&gt;(ROW(PLE.lastrow)-ROW(PLE.firstrow))),0,
           IF(OFFSET(PLE!$G$15,$M85-$A$15,DD$13)="",10^12,OFFSET(PLE!$G$15,$M85-$A$15,DD$13)))</f>
        <v>1000000000000</v>
      </c>
      <c r="DE85" s="354" t="n">
        <f aca="true">IF(OR($D85&lt;&gt;"Serviço",AND(AUTOEVENTO="Manual",$M85=$A$15),$M85&gt;(ROW(PLE.lastrow)-ROW(PLE.firstrow))),0,
           IF(OFFSET(PLE!$G$15,$M85-$A$15,DE$13)="",10^12,OFFSET(PLE!$G$15,$M85-$A$15,DE$13)))</f>
        <v>1000000000000</v>
      </c>
      <c r="DF85" s="354" t="n">
        <f aca="true">IF(OR($D85&lt;&gt;"Serviço",AND(AUTOEVENTO="Manual",$M85=$A$15),$M85&gt;(ROW(PLE.lastrow)-ROW(PLE.firstrow))),0,
           IF(OFFSET(PLE!$G$15,$M85-$A$15,DF$13)="",10^12,OFFSET(PLE!$G$15,$M85-$A$15,DF$13)))</f>
        <v>1000000000000</v>
      </c>
      <c r="DG85" s="354" t="n">
        <f aca="true">IF(OR($D85&lt;&gt;"Serviço",AND(AUTOEVENTO="Manual",$M85=$A$15),$M85&gt;(ROW(PLE.lastrow)-ROW(PLE.firstrow))),0,
           IF(OFFSET(PLE!$G$15,$M85-$A$15,DG$13)="",10^12,OFFSET(PLE!$G$15,$M85-$A$15,DG$13)))</f>
        <v>1000000000000</v>
      </c>
      <c r="DH85" s="354" t="n">
        <f aca="true">IF(OR($D85&lt;&gt;"Serviço",AND(AUTOEVENTO="Manual",$M85=$A$15),$M85&gt;(ROW(PLE.lastrow)-ROW(PLE.firstrow))),0,
           IF(OFFSET(PLE!$G$15,$M85-$A$15,DH$13)="",10^12,OFFSET(PLE!$G$15,$M85-$A$15,DH$13)))</f>
        <v>1000000000000</v>
      </c>
      <c r="DI85" s="354" t="n">
        <f aca="true">IF(OR($D85&lt;&gt;"Serviço",AND(AUTOEVENTO="Manual",$M85=$A$15),$M85&gt;(ROW(PLE.lastrow)-ROW(PLE.firstrow))),0,
           IF(OFFSET(PLE!$G$15,$M85-$A$15,DI$13)="",10^12,OFFSET(PLE!$G$15,$M85-$A$15,DI$13)))</f>
        <v>1000000000000</v>
      </c>
      <c r="DJ85" s="354" t="n">
        <f aca="true">IF(OR($D85&lt;&gt;"Serviço",AND(AUTOEVENTO="Manual",$M85=$A$15),$M85&gt;(ROW(PLE.lastrow)-ROW(PLE.firstrow))),0,
           IF(OFFSET(PLE!$G$15,$M85-$A$15,DJ$13)="",10^12,OFFSET(PLE!$G$15,$M85-$A$15,DJ$13)))</f>
        <v>1000000000000</v>
      </c>
      <c r="DK85" s="354" t="n">
        <f aca="true">IF(OR($D85&lt;&gt;"Serviço",AND(AUTOEVENTO="Manual",$M85=$A$15),$M85&gt;(ROW(PLE.lastrow)-ROW(PLE.firstrow))),0,
           IF(OFFSET(PLE!$G$15,$M85-$A$15,DK$13)="",10^12,OFFSET(PLE!$G$15,$M85-$A$15,DK$13)))</f>
        <v>1000000000000</v>
      </c>
      <c r="DL85" s="354" t="n">
        <f aca="true">IF(OR($D85&lt;&gt;"Serviço",AND(AUTOEVENTO="Manual",$M85=$A$15),$M85&gt;(ROW(PLE.lastrow)-ROW(PLE.firstrow))),0,
           IF(OFFSET(PLE!$G$15,$M85-$A$15,DL$13)="",10^12,OFFSET(PLE!$G$15,$M85-$A$15,DL$13)))</f>
        <v>1000000000000</v>
      </c>
      <c r="DM85" s="354" t="n">
        <f aca="true">IF(OR($D85&lt;&gt;"Serviço",AND(AUTOEVENTO="Manual",$M85=$A$15),$M85&gt;(ROW(PLE.lastrow)-ROW(PLE.firstrow))),0,
           IF(OFFSET(PLE!$G$15,$M85-$A$15,DM$13)="",10^12,OFFSET(PLE!$G$15,$M85-$A$15,DM$13)))</f>
        <v>1000000000000</v>
      </c>
      <c r="DN85" s="354" t="n">
        <f aca="true">IF(OR($D85&lt;&gt;"Serviço",AND(AUTOEVENTO="Manual",$M85=$A$15),$M85&gt;(ROW(PLE.lastrow)-ROW(PLE.firstrow))),0,
           IF(OFFSET(PLE!$G$15,$M85-$A$15,DN$13)="",10^12,OFFSET(PLE!$G$15,$M85-$A$15,DN$13)))</f>
        <v>1000000000000</v>
      </c>
      <c r="DO85" s="354" t="n">
        <f aca="true">IF(OR($D85&lt;&gt;"Serviço",AND(AUTOEVENTO="Manual",$M85=$A$15),$M85&gt;(ROW(PLE.lastrow)-ROW(PLE.firstrow))),0,
           IF(OFFSET(PLE!$G$15,$M85-$A$15,DO$13)="",10^12,OFFSET(PLE!$G$15,$M85-$A$15,DO$13)))</f>
        <v>1000000000000</v>
      </c>
      <c r="DP85" s="354" t="n">
        <f aca="true">IF(OR($D85&lt;&gt;"Serviço",AND(AUTOEVENTO="Manual",$M85=$A$15),$M85&gt;(ROW(PLE.lastrow)-ROW(PLE.firstrow))),0,
           IF(OFFSET(PLE!$G$15,$M85-$A$15,DP$13)="",10^12,OFFSET(PLE!$G$15,$M85-$A$15,DP$13)))</f>
        <v>1000000000000</v>
      </c>
      <c r="DQ85" s="354" t="n">
        <f aca="true">IF(OR($D85&lt;&gt;"Serviço",AND(AUTOEVENTO="Manual",$M85=$A$15),$M85&gt;(ROW(PLE.lastrow)-ROW(PLE.firstrow))),0,
           IF(OFFSET(PLE!$G$15,$M85-$A$15,DQ$13)="",10^12,OFFSET(PLE!$G$15,$M85-$A$15,DQ$13)))</f>
        <v>1000000000000</v>
      </c>
      <c r="DR85" s="354" t="n">
        <f aca="true">IF(OR($D85&lt;&gt;"Serviço",AND(AUTOEVENTO="Manual",$M85=$A$15),$M85&gt;(ROW(PLE.lastrow)-ROW(PLE.firstrow))),0,
           IF(OFFSET(PLE!$G$15,$M85-$A$15,DR$13)="",10^12,OFFSET(PLE!$G$15,$M85-$A$15,DR$13)))</f>
        <v>1000000000000</v>
      </c>
      <c r="DS85" s="354" t="n">
        <f aca="true">IF(OR($D85&lt;&gt;"Serviço",AND(AUTOEVENTO="Manual",$M85=$A$15),$M85&gt;(ROW(PLE.lastrow)-ROW(PLE.firstrow))),0,
           IF(OFFSET(PLE!$G$15,$M85-$A$15,DS$13)="",10^12,OFFSET(PLE!$G$15,$M85-$A$15,DS$13)))</f>
        <v>1000000000000</v>
      </c>
    </row>
    <row r="86" customFormat="false" ht="35.05" hidden="false" customHeight="false" outlineLevel="0" collapsed="false">
      <c r="A86" s="50" t="str">
        <f aca="true">IFERROR(IF(AUTOEVENTO="Manual",IF(K86&lt;&gt;"",MIN(VALUE(LEFT(K86,FIND(".",K86)-1)),COUNTA(EVENTOS.Lista)),0),IF(OR($B86&gt;AUTOEVENTO,$B86="S",$B86=0),SUBSTITUTE(OFFSET($A86,-1,0),IF($D86="Serviço",".",""),""),ROW(A86)-ROW($A$15)&amp;".")),0)</f>
        <v>69</v>
      </c>
      <c r="B86" s="50" t="str">
        <f aca="true">OFFSET(ORÇAMENTO!C$15,ROW(B86)-ROW(B$15),0)</f>
        <v>S</v>
      </c>
      <c r="C86" s="50" t="str">
        <f aca="true">OFFSET(ORÇAMENTO!L$15,ROW(C86)-ROW(C$15),0)</f>
        <v>F</v>
      </c>
      <c r="D86" s="201" t="str">
        <f aca="true">OFFSET(ORÇAMENTO!N$15,ROW(D86)-ROW(D$15),0)</f>
        <v>Serviço</v>
      </c>
      <c r="E86" s="202" t="str">
        <f aca="true">OFFSET(ORÇAMENTO!O$15,ROW(E86)-ROW(E$15),0)</f>
        <v>1.20.2.</v>
      </c>
      <c r="F86" s="341" t="str">
        <f aca="true">OFFSET(ORÇAMENTO!R$15,ROW(F86)-ROW(F$15),0)</f>
        <v>REBOCO COM ARGAMASSA, TRAÇO 1:2:8 (CIMENTO, CAL E AREIA)
, ESP. 20MM, APLICAÇÃO MANUAL, INCLUSIVE ARGAMASSA COM
PREPARO MECANIZADO, EXCLUSIVE CHAPISCO</v>
      </c>
      <c r="G86" s="342" t="str">
        <f aca="true">IF($D86&lt;&gt;"Serviço","",OFFSET(ORÇAMENTO!S$15,ROW(G86)-ROW(G$15),0))</f>
        <v>M2</v>
      </c>
      <c r="H86" s="207" t="n">
        <f aca="true">IF($D86&lt;&gt;"Serviço",0,IF(ACOMPANHAMENTO="BM",ROUND(OFFSET(ORÇAMENTO!AJ$15,ROW(H86)-ROW(H$15),0),15-13*ORÇAMENTO!$AF$7),SUMPRODUCT(($Q$1:$AQ$1=1)*ROUND($Q86:$AQ86,15-13*ORÇAMENTO!$AF$7))))</f>
        <v>3307.25</v>
      </c>
      <c r="I86" s="343" t="s">
        <v>957</v>
      </c>
      <c r="J86" s="344" t="e">
        <f aca="false">IF(OR(B86&lt;&gt;"S",CÁLCULO.FrentesPreenchidas=0),"",IF(AND(ACOMPANHAMENTO="PLE",AUTOEVENTO="Manual",OR(H86&gt;0,ORÇAMENTO!AC86="QUANT."),OR(K86="",M86=0,N86="")),"►",IF(AND(ACOMPANHAMENTO="PLE",ORÇAMENTO!AC86="QUANT."),"►►",IF(AND(COUNTIF($P$11:$AQ$11,"▼")=0,H86&gt;0,I86=""),"◄",""))))</f>
        <v>#NAME?</v>
      </c>
      <c r="K86" s="345"/>
      <c r="L86" s="346" t="s">
        <v>876</v>
      </c>
      <c r="M86" s="347" t="n">
        <f aca="true">IF($D86&lt;&gt;"Serviço","",
          IF(AUTOEVENTO="manual",$A86,
                IF(ISERROR(MATCH($A86,$A$15:OFFSET($A86,-1,0),0)),MAX($M$15:OFFSET(M86,-1,0))+1,
                      INDEX($M$15:OFFSET(M86,-1,0),MATCH($A86,$A$15:OFFSET($A86,-1,0),0)))))</f>
        <v>14</v>
      </c>
      <c r="N86" s="348" t="str">
        <f aca="true">IF($D86&lt;&gt;"Serviço","",
         IF(AUTOEVENTO="Manual",
                IF($A86=0,"&lt;-- defina o número do agrupador",
                       OFFSET(EVENTOS!$D$15,$A86-$A$15,0)),
                OFFSET($F$15,$A86,0)))</f>
        <v>REVESTIMENTOS EXTERNOS</v>
      </c>
      <c r="O86" s="349"/>
      <c r="Q86" s="349" t="n">
        <f aca="false">Q85</f>
        <v>132.29</v>
      </c>
      <c r="R86" s="350" t="n">
        <f aca="false">Q86</f>
        <v>132.29</v>
      </c>
      <c r="S86" s="350" t="n">
        <f aca="false">R86</f>
        <v>132.29</v>
      </c>
      <c r="T86" s="350" t="n">
        <f aca="false">S86</f>
        <v>132.29</v>
      </c>
      <c r="U86" s="350" t="n">
        <f aca="false">T86</f>
        <v>132.29</v>
      </c>
      <c r="V86" s="350" t="n">
        <f aca="false">U86</f>
        <v>132.29</v>
      </c>
      <c r="W86" s="350" t="n">
        <f aca="false">V86</f>
        <v>132.29</v>
      </c>
      <c r="X86" s="350" t="n">
        <f aca="false">W86</f>
        <v>132.29</v>
      </c>
      <c r="Y86" s="350" t="n">
        <f aca="false">X86</f>
        <v>132.29</v>
      </c>
      <c r="Z86" s="351" t="n">
        <f aca="false">Y86</f>
        <v>132.29</v>
      </c>
      <c r="AA86" s="350" t="n">
        <f aca="false">Z86</f>
        <v>132.29</v>
      </c>
      <c r="AB86" s="350" t="n">
        <f aca="false">AA86</f>
        <v>132.29</v>
      </c>
      <c r="AC86" s="350" t="n">
        <f aca="false">AB86</f>
        <v>132.29</v>
      </c>
      <c r="AD86" s="350" t="n">
        <f aca="false">AC86</f>
        <v>132.29</v>
      </c>
      <c r="AE86" s="350" t="n">
        <f aca="false">AD86</f>
        <v>132.29</v>
      </c>
      <c r="AF86" s="350" t="n">
        <f aca="false">AE86</f>
        <v>132.29</v>
      </c>
      <c r="AG86" s="350" t="n">
        <f aca="false">AF86</f>
        <v>132.29</v>
      </c>
      <c r="AH86" s="351" t="n">
        <f aca="false">AG86</f>
        <v>132.29</v>
      </c>
      <c r="AI86" s="350" t="n">
        <f aca="false">AH86</f>
        <v>132.29</v>
      </c>
      <c r="AJ86" s="350" t="n">
        <f aca="false">AI86</f>
        <v>132.29</v>
      </c>
      <c r="AK86" s="350" t="n">
        <f aca="false">AJ86</f>
        <v>132.29</v>
      </c>
      <c r="AL86" s="350" t="n">
        <f aca="false">AK86</f>
        <v>132.29</v>
      </c>
      <c r="AM86" s="350" t="n">
        <f aca="false">AL86</f>
        <v>132.29</v>
      </c>
      <c r="AN86" s="350" t="n">
        <f aca="false">AM86</f>
        <v>132.29</v>
      </c>
      <c r="AO86" s="350" t="n">
        <f aca="false">AN86</f>
        <v>132.29</v>
      </c>
      <c r="AP86" s="351"/>
      <c r="AR86" s="352" t="n">
        <f aca="true">IF(AND($D86="Serviço",AR$12&lt;&gt;0,$H86&gt;0,OR(AUTOEVENTO&lt;&gt;"manual",$M86&lt;&gt;$A$15)),
        IF(Import.TipoArredondamento&lt;&gt;"TransfereGOV",
              ROUND(OFFSET($P86,0,AR$13),15-13*ORÇAMENTO!$AF$7)/$H86*OFFSET(ORÇAMENTO!$X$15,ROW(AR86)-ROW(AR$15),0),
              ROUND(ROUND(OFFSET($P86,0,AR$13),15-13*ORÇAMENTO!$AF$7)*OFFSET(ORÇAMENTO!$W$15,ROW(AR86)-ROW(AR$15),0),15-13*ORÇAMENTO!$AF$11)),
         0)</f>
        <v>6246.73</v>
      </c>
      <c r="AS86" s="352" t="n">
        <f aca="true">IF(AND($D86="Serviço",AS$12&lt;&gt;0,$H86&gt;0,OR(AUTOEVENTO&lt;&gt;"manual",$M86&lt;&gt;$A$15)),
        IF(Import.TipoArredondamento&lt;&gt;"TransfereGOV",
              ROUND(OFFSET($P86,0,AS$13),15-13*ORÇAMENTO!$AF$7)/$H86*OFFSET(ORÇAMENTO!$X$15,ROW(AS86)-ROW(AS$15),0),
              ROUND(ROUND(OFFSET($P86,0,AS$13),15-13*ORÇAMENTO!$AF$7)*OFFSET(ORÇAMENTO!$W$15,ROW(AS86)-ROW(AS$15),0),15-13*ORÇAMENTO!$AF$11)),
         0)</f>
        <v>6246.73</v>
      </c>
      <c r="AT86" s="352" t="n">
        <f aca="true">IF(AND($D86="Serviço",AT$12&lt;&gt;0,$H86&gt;0,OR(AUTOEVENTO&lt;&gt;"manual",$M86&lt;&gt;$A$15)),
        IF(Import.TipoArredondamento&lt;&gt;"TransfereGOV",
              ROUND(OFFSET($P86,0,AT$13),15-13*ORÇAMENTO!$AF$7)/$H86*OFFSET(ORÇAMENTO!$X$15,ROW(AT86)-ROW(AT$15),0),
              ROUND(ROUND(OFFSET($P86,0,AT$13),15-13*ORÇAMENTO!$AF$7)*OFFSET(ORÇAMENTO!$W$15,ROW(AT86)-ROW(AT$15),0),15-13*ORÇAMENTO!$AF$11)),
         0)</f>
        <v>6246.73</v>
      </c>
      <c r="AU86" s="352" t="n">
        <f aca="true">IF(AND($D86="Serviço",AU$12&lt;&gt;0,$H86&gt;0,OR(AUTOEVENTO&lt;&gt;"manual",$M86&lt;&gt;$A$15)),
        IF(Import.TipoArredondamento&lt;&gt;"TransfereGOV",
              ROUND(OFFSET($P86,0,AU$13),15-13*ORÇAMENTO!$AF$7)/$H86*OFFSET(ORÇAMENTO!$X$15,ROW(AU86)-ROW(AU$15),0),
              ROUND(ROUND(OFFSET($P86,0,AU$13),15-13*ORÇAMENTO!$AF$7)*OFFSET(ORÇAMENTO!$W$15,ROW(AU86)-ROW(AU$15),0),15-13*ORÇAMENTO!$AF$11)),
         0)</f>
        <v>6246.73</v>
      </c>
      <c r="AV86" s="352" t="n">
        <f aca="true">IF(AND($D86="Serviço",AV$12&lt;&gt;0,$H86&gt;0,OR(AUTOEVENTO&lt;&gt;"manual",$M86&lt;&gt;$A$15)),
        IF(Import.TipoArredondamento&lt;&gt;"TransfereGOV",
              ROUND(OFFSET($P86,0,AV$13),15-13*ORÇAMENTO!$AF$7)/$H86*OFFSET(ORÇAMENTO!$X$15,ROW(AV86)-ROW(AV$15),0),
              ROUND(ROUND(OFFSET($P86,0,AV$13),15-13*ORÇAMENTO!$AF$7)*OFFSET(ORÇAMENTO!$W$15,ROW(AV86)-ROW(AV$15),0),15-13*ORÇAMENTO!$AF$11)),
         0)</f>
        <v>6246.73</v>
      </c>
      <c r="AW86" s="352" t="n">
        <f aca="true">IF(AND($D86="Serviço",AW$12&lt;&gt;0,$H86&gt;0,OR(AUTOEVENTO&lt;&gt;"manual",$M86&lt;&gt;$A$15)),
        IF(Import.TipoArredondamento&lt;&gt;"TransfereGOV",
              ROUND(OFFSET($P86,0,AW$13),15-13*ORÇAMENTO!$AF$7)/$H86*OFFSET(ORÇAMENTO!$X$15,ROW(AW86)-ROW(AW$15),0),
              ROUND(ROUND(OFFSET($P86,0,AW$13),15-13*ORÇAMENTO!$AF$7)*OFFSET(ORÇAMENTO!$W$15,ROW(AW86)-ROW(AW$15),0),15-13*ORÇAMENTO!$AF$11)),
         0)</f>
        <v>6246.73</v>
      </c>
      <c r="AX86" s="352" t="n">
        <f aca="true">IF(AND($D86="Serviço",AX$12&lt;&gt;0,$H86&gt;0,OR(AUTOEVENTO&lt;&gt;"manual",$M86&lt;&gt;$A$15)),
        IF(Import.TipoArredondamento&lt;&gt;"TransfereGOV",
              ROUND(OFFSET($P86,0,AX$13),15-13*ORÇAMENTO!$AF$7)/$H86*OFFSET(ORÇAMENTO!$X$15,ROW(AX86)-ROW(AX$15),0),
              ROUND(ROUND(OFFSET($P86,0,AX$13),15-13*ORÇAMENTO!$AF$7)*OFFSET(ORÇAMENTO!$W$15,ROW(AX86)-ROW(AX$15),0),15-13*ORÇAMENTO!$AF$11)),
         0)</f>
        <v>6246.73</v>
      </c>
      <c r="AY86" s="352" t="n">
        <f aca="true">IF(AND($D86="Serviço",AY$12&lt;&gt;0,$H86&gt;0,OR(AUTOEVENTO&lt;&gt;"manual",$M86&lt;&gt;$A$15)),
        IF(Import.TipoArredondamento&lt;&gt;"TransfereGOV",
              ROUND(OFFSET($P86,0,AY$13),15-13*ORÇAMENTO!$AF$7)/$H86*OFFSET(ORÇAMENTO!$X$15,ROW(AY86)-ROW(AY$15),0),
              ROUND(ROUND(OFFSET($P86,0,AY$13),15-13*ORÇAMENTO!$AF$7)*OFFSET(ORÇAMENTO!$W$15,ROW(AY86)-ROW(AY$15),0),15-13*ORÇAMENTO!$AF$11)),
         0)</f>
        <v>6246.73</v>
      </c>
      <c r="AZ86" s="352" t="n">
        <f aca="true">IF(AND($D86="Serviço",AZ$12&lt;&gt;0,$H86&gt;0,OR(AUTOEVENTO&lt;&gt;"manual",$M86&lt;&gt;$A$15)),
        IF(Import.TipoArredondamento&lt;&gt;"TransfereGOV",
              ROUND(OFFSET($P86,0,AZ$13),15-13*ORÇAMENTO!$AF$7)/$H86*OFFSET(ORÇAMENTO!$X$15,ROW(AZ86)-ROW(AZ$15),0),
              ROUND(ROUND(OFFSET($P86,0,AZ$13),15-13*ORÇAMENTO!$AF$7)*OFFSET(ORÇAMENTO!$W$15,ROW(AZ86)-ROW(AZ$15),0),15-13*ORÇAMENTO!$AF$11)),
         0)</f>
        <v>6246.73</v>
      </c>
      <c r="BA86" s="352" t="n">
        <f aca="true">IF(AND($D86="Serviço",BA$12&lt;&gt;0,$H86&gt;0,OR(AUTOEVENTO&lt;&gt;"manual",$M86&lt;&gt;$A$15)),
        IF(Import.TipoArredondamento&lt;&gt;"TransfereGOV",
              ROUND(OFFSET($P86,0,BA$13),15-13*ORÇAMENTO!$AF$7)/$H86*OFFSET(ORÇAMENTO!$X$15,ROW(BA86)-ROW(BA$15),0),
              ROUND(ROUND(OFFSET($P86,0,BA$13),15-13*ORÇAMENTO!$AF$7)*OFFSET(ORÇAMENTO!$W$15,ROW(BA86)-ROW(BA$15),0),15-13*ORÇAMENTO!$AF$11)),
         0)</f>
        <v>6246.73</v>
      </c>
      <c r="BB86" s="352" t="n">
        <f aca="true">IF(AND($D86="Serviço",BB$12&lt;&gt;0,$H86&gt;0,OR(AUTOEVENTO&lt;&gt;"manual",$M86&lt;&gt;$A$15)),
        IF(Import.TipoArredondamento&lt;&gt;"TransfereGOV",
              ROUND(OFFSET($P86,0,BB$13),15-13*ORÇAMENTO!$AF$7)/$H86*OFFSET(ORÇAMENTO!$X$15,ROW(BB86)-ROW(BB$15),0),
              ROUND(ROUND(OFFSET($P86,0,BB$13),15-13*ORÇAMENTO!$AF$7)*OFFSET(ORÇAMENTO!$W$15,ROW(BB86)-ROW(BB$15),0),15-13*ORÇAMENTO!$AF$11)),
         0)</f>
        <v>6246.73</v>
      </c>
      <c r="BC86" s="352" t="n">
        <f aca="true">IF(AND($D86="Serviço",BC$12&lt;&gt;0,$H86&gt;0,OR(AUTOEVENTO&lt;&gt;"manual",$M86&lt;&gt;$A$15)),
        IF(Import.TipoArredondamento&lt;&gt;"TransfereGOV",
              ROUND(OFFSET($P86,0,BC$13),15-13*ORÇAMENTO!$AF$7)/$H86*OFFSET(ORÇAMENTO!$X$15,ROW(BC86)-ROW(BC$15),0),
              ROUND(ROUND(OFFSET($P86,0,BC$13),15-13*ORÇAMENTO!$AF$7)*OFFSET(ORÇAMENTO!$W$15,ROW(BC86)-ROW(BC$15),0),15-13*ORÇAMENTO!$AF$11)),
         0)</f>
        <v>6246.73</v>
      </c>
      <c r="BD86" s="352" t="n">
        <f aca="true">IF(AND($D86="Serviço",BD$12&lt;&gt;0,$H86&gt;0,OR(AUTOEVENTO&lt;&gt;"manual",$M86&lt;&gt;$A$15)),
        IF(Import.TipoArredondamento&lt;&gt;"TransfereGOV",
              ROUND(OFFSET($P86,0,BD$13),15-13*ORÇAMENTO!$AF$7)/$H86*OFFSET(ORÇAMENTO!$X$15,ROW(BD86)-ROW(BD$15),0),
              ROUND(ROUND(OFFSET($P86,0,BD$13),15-13*ORÇAMENTO!$AF$7)*OFFSET(ORÇAMENTO!$W$15,ROW(BD86)-ROW(BD$15),0),15-13*ORÇAMENTO!$AF$11)),
         0)</f>
        <v>6246.73</v>
      </c>
      <c r="BE86" s="352" t="n">
        <f aca="true">IF(AND($D86="Serviço",BE$12&lt;&gt;0,$H86&gt;0,OR(AUTOEVENTO&lt;&gt;"manual",$M86&lt;&gt;$A$15)),
        IF(Import.TipoArredondamento&lt;&gt;"TransfereGOV",
              ROUND(OFFSET($P86,0,BE$13),15-13*ORÇAMENTO!$AF$7)/$H86*OFFSET(ORÇAMENTO!$X$15,ROW(BE86)-ROW(BE$15),0),
              ROUND(ROUND(OFFSET($P86,0,BE$13),15-13*ORÇAMENTO!$AF$7)*OFFSET(ORÇAMENTO!$W$15,ROW(BE86)-ROW(BE$15),0),15-13*ORÇAMENTO!$AF$11)),
         0)</f>
        <v>6246.73</v>
      </c>
      <c r="BF86" s="352" t="n">
        <f aca="true">IF(AND($D86="Serviço",BF$12&lt;&gt;0,$H86&gt;0,OR(AUTOEVENTO&lt;&gt;"manual",$M86&lt;&gt;$A$15)),
        IF(Import.TipoArredondamento&lt;&gt;"TransfereGOV",
              ROUND(OFFSET($P86,0,BF$13),15-13*ORÇAMENTO!$AF$7)/$H86*OFFSET(ORÇAMENTO!$X$15,ROW(BF86)-ROW(BF$15),0),
              ROUND(ROUND(OFFSET($P86,0,BF$13),15-13*ORÇAMENTO!$AF$7)*OFFSET(ORÇAMENTO!$W$15,ROW(BF86)-ROW(BF$15),0),15-13*ORÇAMENTO!$AF$11)),
         0)</f>
        <v>6246.73</v>
      </c>
      <c r="BG86" s="352" t="n">
        <f aca="true">IF(AND($D86="Serviço",BG$12&lt;&gt;0,$H86&gt;0,OR(AUTOEVENTO&lt;&gt;"manual",$M86&lt;&gt;$A$15)),
        IF(Import.TipoArredondamento&lt;&gt;"TransfereGOV",
              ROUND(OFFSET($P86,0,BG$13),15-13*ORÇAMENTO!$AF$7)/$H86*OFFSET(ORÇAMENTO!$X$15,ROW(BG86)-ROW(BG$15),0),
              ROUND(ROUND(OFFSET($P86,0,BG$13),15-13*ORÇAMENTO!$AF$7)*OFFSET(ORÇAMENTO!$W$15,ROW(BG86)-ROW(BG$15),0),15-13*ORÇAMENTO!$AF$11)),
         0)</f>
        <v>6246.73</v>
      </c>
      <c r="BH86" s="352" t="n">
        <f aca="true">IF(AND($D86="Serviço",BH$12&lt;&gt;0,$H86&gt;0,OR(AUTOEVENTO&lt;&gt;"manual",$M86&lt;&gt;$A$15)),
        IF(Import.TipoArredondamento&lt;&gt;"TransfereGOV",
              ROUND(OFFSET($P86,0,BH$13),15-13*ORÇAMENTO!$AF$7)/$H86*OFFSET(ORÇAMENTO!$X$15,ROW(BH86)-ROW(BH$15),0),
              ROUND(ROUND(OFFSET($P86,0,BH$13),15-13*ORÇAMENTO!$AF$7)*OFFSET(ORÇAMENTO!$W$15,ROW(BH86)-ROW(BH$15),0),15-13*ORÇAMENTO!$AF$11)),
         0)</f>
        <v>6246.73</v>
      </c>
      <c r="BI86" s="352" t="n">
        <f aca="true">IF(AND($D86="Serviço",BI$12&lt;&gt;0,$H86&gt;0,OR(AUTOEVENTO&lt;&gt;"manual",$M86&lt;&gt;$A$15)),
        IF(Import.TipoArredondamento&lt;&gt;"TransfereGOV",
              ROUND(OFFSET($P86,0,BI$13),15-13*ORÇAMENTO!$AF$7)/$H86*OFFSET(ORÇAMENTO!$X$15,ROW(BI86)-ROW(BI$15),0),
              ROUND(ROUND(OFFSET($P86,0,BI$13),15-13*ORÇAMENTO!$AF$7)*OFFSET(ORÇAMENTO!$W$15,ROW(BI86)-ROW(BI$15),0),15-13*ORÇAMENTO!$AF$11)),
         0)</f>
        <v>6246.73</v>
      </c>
      <c r="BJ86" s="352" t="n">
        <f aca="true">IF(AND($D86="Serviço",BJ$12&lt;&gt;0,$H86&gt;0,OR(AUTOEVENTO&lt;&gt;"manual",$M86&lt;&gt;$A$15)),
        IF(Import.TipoArredondamento&lt;&gt;"TransfereGOV",
              ROUND(OFFSET($P86,0,BJ$13),15-13*ORÇAMENTO!$AF$7)/$H86*OFFSET(ORÇAMENTO!$X$15,ROW(BJ86)-ROW(BJ$15),0),
              ROUND(ROUND(OFFSET($P86,0,BJ$13),15-13*ORÇAMENTO!$AF$7)*OFFSET(ORÇAMENTO!$W$15,ROW(BJ86)-ROW(BJ$15),0),15-13*ORÇAMENTO!$AF$11)),
         0)</f>
        <v>6246.73</v>
      </c>
      <c r="BK86" s="352" t="n">
        <f aca="true">IF(AND($D86="Serviço",BK$12&lt;&gt;0,$H86&gt;0,OR(AUTOEVENTO&lt;&gt;"manual",$M86&lt;&gt;$A$15)),
        IF(Import.TipoArredondamento&lt;&gt;"TransfereGOV",
              ROUND(OFFSET($P86,0,BK$13),15-13*ORÇAMENTO!$AF$7)/$H86*OFFSET(ORÇAMENTO!$X$15,ROW(BK86)-ROW(BK$15),0),
              ROUND(ROUND(OFFSET($P86,0,BK$13),15-13*ORÇAMENTO!$AF$7)*OFFSET(ORÇAMENTO!$W$15,ROW(BK86)-ROW(BK$15),0),15-13*ORÇAMENTO!$AF$11)),
         0)</f>
        <v>6246.73</v>
      </c>
      <c r="BL86" s="352" t="n">
        <f aca="true">IF(AND($D86="Serviço",BL$12&lt;&gt;0,$H86&gt;0,OR(AUTOEVENTO&lt;&gt;"manual",$M86&lt;&gt;$A$15)),
        IF(Import.TipoArredondamento&lt;&gt;"TransfereGOV",
              ROUND(OFFSET($P86,0,BL$13),15-13*ORÇAMENTO!$AF$7)/$H86*OFFSET(ORÇAMENTO!$X$15,ROW(BL86)-ROW(BL$15),0),
              ROUND(ROUND(OFFSET($P86,0,BL$13),15-13*ORÇAMENTO!$AF$7)*OFFSET(ORÇAMENTO!$W$15,ROW(BL86)-ROW(BL$15),0),15-13*ORÇAMENTO!$AF$11)),
         0)</f>
        <v>6246.73</v>
      </c>
      <c r="BM86" s="352" t="n">
        <f aca="true">IF(AND($D86="Serviço",BM$12&lt;&gt;0,$H86&gt;0,OR(AUTOEVENTO&lt;&gt;"manual",$M86&lt;&gt;$A$15)),
        IF(Import.TipoArredondamento&lt;&gt;"TransfereGOV",
              ROUND(OFFSET($P86,0,BM$13),15-13*ORÇAMENTO!$AF$7)/$H86*OFFSET(ORÇAMENTO!$X$15,ROW(BM86)-ROW(BM$15),0),
              ROUND(ROUND(OFFSET($P86,0,BM$13),15-13*ORÇAMENTO!$AF$7)*OFFSET(ORÇAMENTO!$W$15,ROW(BM86)-ROW(BM$15),0),15-13*ORÇAMENTO!$AF$11)),
         0)</f>
        <v>6246.73</v>
      </c>
      <c r="BN86" s="352" t="n">
        <f aca="true">IF(AND($D86="Serviço",BN$12&lt;&gt;0,$H86&gt;0,OR(AUTOEVENTO&lt;&gt;"manual",$M86&lt;&gt;$A$15)),
        IF(Import.TipoArredondamento&lt;&gt;"TransfereGOV",
              ROUND(OFFSET($P86,0,BN$13),15-13*ORÇAMENTO!$AF$7)/$H86*OFFSET(ORÇAMENTO!$X$15,ROW(BN86)-ROW(BN$15),0),
              ROUND(ROUND(OFFSET($P86,0,BN$13),15-13*ORÇAMENTO!$AF$7)*OFFSET(ORÇAMENTO!$W$15,ROW(BN86)-ROW(BN$15),0),15-13*ORÇAMENTO!$AF$11)),
         0)</f>
        <v>6246.73</v>
      </c>
      <c r="BO86" s="352" t="n">
        <f aca="true">IF(AND($D86="Serviço",BO$12&lt;&gt;0,$H86&gt;0,OR(AUTOEVENTO&lt;&gt;"manual",$M86&lt;&gt;$A$15)),
        IF(Import.TipoArredondamento&lt;&gt;"TransfereGOV",
              ROUND(OFFSET($P86,0,BO$13),15-13*ORÇAMENTO!$AF$7)/$H86*OFFSET(ORÇAMENTO!$X$15,ROW(BO86)-ROW(BO$15),0),
              ROUND(ROUND(OFFSET($P86,0,BO$13),15-13*ORÇAMENTO!$AF$7)*OFFSET(ORÇAMENTO!$W$15,ROW(BO86)-ROW(BO$15),0),15-13*ORÇAMENTO!$AF$11)),
         0)</f>
        <v>6246.73</v>
      </c>
      <c r="BP86" s="352" t="n">
        <f aca="true">IF(AND($D86="Serviço",BP$12&lt;&gt;0,$H86&gt;0,OR(AUTOEVENTO&lt;&gt;"manual",$M86&lt;&gt;$A$15)),
        IF(Import.TipoArredondamento&lt;&gt;"TransfereGOV",
              ROUND(OFFSET($P86,0,BP$13),15-13*ORÇAMENTO!$AF$7)/$H86*OFFSET(ORÇAMENTO!$X$15,ROW(BP86)-ROW(BP$15),0),
              ROUND(ROUND(OFFSET($P86,0,BP$13),15-13*ORÇAMENTO!$AF$7)*OFFSET(ORÇAMENTO!$W$15,ROW(BP86)-ROW(BP$15),0),15-13*ORÇAMENTO!$AF$11)),
         0)</f>
        <v>6246.73</v>
      </c>
      <c r="BQ86" s="352" t="n">
        <f aca="true">IF(AND($D86="Serviço",BQ$12&lt;&gt;0,$H86&gt;0,OR(AUTOEVENTO&lt;&gt;"manual",$M86&lt;&gt;$A$15)),
        IF(Import.TipoArredondamento&lt;&gt;"TransfereGOV",
              ROUND(OFFSET($P86,0,BQ$13),15-13*ORÇAMENTO!$AF$7)/$H86*OFFSET(ORÇAMENTO!$X$15,ROW(BQ86)-ROW(BQ$15),0),
              ROUND(ROUND(OFFSET($P86,0,BQ$13),15-13*ORÇAMENTO!$AF$7)*OFFSET(ORÇAMENTO!$W$15,ROW(BQ86)-ROW(BQ$15),0),15-13*ORÇAMENTO!$AF$11)),
         0)</f>
        <v>0</v>
      </c>
      <c r="BS86" s="353" t="n">
        <f aca="true">IF(OR($D86&lt;&gt;"Serviço",AND(AUTOEVENTO="Manual",$M86=$A$15)),0,
         IF(OFFSET(CRONOPLE!$F$15,$M86-$A$15,BS$13)=0,10^12,OFFSET(CRONOPLE!$F$15,$M86-$A$15,BS$13)))</f>
        <v>1</v>
      </c>
      <c r="BT86" s="353" t="n">
        <f aca="true">IF(OR($D86&lt;&gt;"Serviço",AND(AUTOEVENTO="Manual",$M86=$A$15)),0,
         IF(OFFSET(CRONOPLE!$F$15,$M86-$A$15,BT$13)=0,10^12,OFFSET(CRONOPLE!$F$15,$M86-$A$15,BT$13)))</f>
        <v>2</v>
      </c>
      <c r="BU86" s="353" t="n">
        <f aca="true">IF(OR($D86&lt;&gt;"Serviço",AND(AUTOEVENTO="Manual",$M86=$A$15)),0,
         IF(OFFSET(CRONOPLE!$F$15,$M86-$A$15,BU$13)=0,10^12,OFFSET(CRONOPLE!$F$15,$M86-$A$15,BU$13)))</f>
        <v>3</v>
      </c>
      <c r="BV86" s="353" t="n">
        <f aca="true">IF(OR($D86&lt;&gt;"Serviço",AND(AUTOEVENTO="Manual",$M86=$A$15)),0,
         IF(OFFSET(CRONOPLE!$F$15,$M86-$A$15,BV$13)=0,10^12,OFFSET(CRONOPLE!$F$15,$M86-$A$15,BV$13)))</f>
        <v>4</v>
      </c>
      <c r="BW86" s="353" t="n">
        <f aca="true">IF(OR($D86&lt;&gt;"Serviço",AND(AUTOEVENTO="Manual",$M86=$A$15)),0,
         IF(OFFSET(CRONOPLE!$F$15,$M86-$A$15,BW$13)=0,10^12,OFFSET(CRONOPLE!$F$15,$M86-$A$15,BW$13)))</f>
        <v>5</v>
      </c>
      <c r="BX86" s="353" t="n">
        <f aca="true">IF(OR($D86&lt;&gt;"Serviço",AND(AUTOEVENTO="Manual",$M86=$A$15)),0,
         IF(OFFSET(CRONOPLE!$F$15,$M86-$A$15,BX$13)=0,10^12,OFFSET(CRONOPLE!$F$15,$M86-$A$15,BX$13)))</f>
        <v>6</v>
      </c>
      <c r="BY86" s="353" t="n">
        <f aca="true">IF(OR($D86&lt;&gt;"Serviço",AND(AUTOEVENTO="Manual",$M86=$A$15)),0,
         IF(OFFSET(CRONOPLE!$F$15,$M86-$A$15,BY$13)=0,10^12,OFFSET(CRONOPLE!$F$15,$M86-$A$15,BY$13)))</f>
        <v>7</v>
      </c>
      <c r="BZ86" s="353" t="n">
        <f aca="true">IF(OR($D86&lt;&gt;"Serviço",AND(AUTOEVENTO="Manual",$M86=$A$15)),0,
         IF(OFFSET(CRONOPLE!$F$15,$M86-$A$15,BZ$13)=0,10^12,OFFSET(CRONOPLE!$F$15,$M86-$A$15,BZ$13)))</f>
        <v>8</v>
      </c>
      <c r="CA86" s="353" t="n">
        <f aca="true">IF(OR($D86&lt;&gt;"Serviço",AND(AUTOEVENTO="Manual",$M86=$A$15)),0,
         IF(OFFSET(CRONOPLE!$F$15,$M86-$A$15,CA$13)=0,10^12,OFFSET(CRONOPLE!$F$15,$M86-$A$15,CA$13)))</f>
        <v>9</v>
      </c>
      <c r="CB86" s="353" t="n">
        <f aca="true">IF(OR($D86&lt;&gt;"Serviço",AND(AUTOEVENTO="Manual",$M86=$A$15)),0,
         IF(OFFSET(CRONOPLE!$F$15,$M86-$A$15,CB$13)=0,10^12,OFFSET(CRONOPLE!$F$15,$M86-$A$15,CB$13)))</f>
        <v>10</v>
      </c>
      <c r="CC86" s="353" t="n">
        <f aca="true">IF(OR($D86&lt;&gt;"Serviço",AND(AUTOEVENTO="Manual",$M86=$A$15)),0,
         IF(OFFSET(CRONOPLE!$F$15,$M86-$A$15,CC$13)=0,10^12,OFFSET(CRONOPLE!$F$15,$M86-$A$15,CC$13)))</f>
        <v>11</v>
      </c>
      <c r="CD86" s="353" t="n">
        <f aca="true">IF(OR($D86&lt;&gt;"Serviço",AND(AUTOEVENTO="Manual",$M86=$A$15)),0,
         IF(OFFSET(CRONOPLE!$F$15,$M86-$A$15,CD$13)=0,10^12,OFFSET(CRONOPLE!$F$15,$M86-$A$15,CD$13)))</f>
        <v>12</v>
      </c>
      <c r="CE86" s="353" t="n">
        <f aca="true">IF(OR($D86&lt;&gt;"Serviço",AND(AUTOEVENTO="Manual",$M86=$A$15)),0,
         IF(OFFSET(CRONOPLE!$F$15,$M86-$A$15,CE$13)=0,10^12,OFFSET(CRONOPLE!$F$15,$M86-$A$15,CE$13)))</f>
        <v>13</v>
      </c>
      <c r="CF86" s="353" t="n">
        <f aca="true">IF(OR($D86&lt;&gt;"Serviço",AND(AUTOEVENTO="Manual",$M86=$A$15)),0,
         IF(OFFSET(CRONOPLE!$F$15,$M86-$A$15,CF$13)=0,10^12,OFFSET(CRONOPLE!$F$15,$M86-$A$15,CF$13)))</f>
        <v>14</v>
      </c>
      <c r="CG86" s="353" t="n">
        <f aca="true">IF(OR($D86&lt;&gt;"Serviço",AND(AUTOEVENTO="Manual",$M86=$A$15)),0,
         IF(OFFSET(CRONOPLE!$F$15,$M86-$A$15,CG$13)=0,10^12,OFFSET(CRONOPLE!$F$15,$M86-$A$15,CG$13)))</f>
        <v>15</v>
      </c>
      <c r="CH86" s="353" t="n">
        <f aca="true">IF(OR($D86&lt;&gt;"Serviço",AND(AUTOEVENTO="Manual",$M86=$A$15)),0,
         IF(OFFSET(CRONOPLE!$F$15,$M86-$A$15,CH$13)=0,10^12,OFFSET(CRONOPLE!$F$15,$M86-$A$15,CH$13)))</f>
        <v>16</v>
      </c>
      <c r="CI86" s="353" t="n">
        <f aca="true">IF(OR($D86&lt;&gt;"Serviço",AND(AUTOEVENTO="Manual",$M86=$A$15)),0,
         IF(OFFSET(CRONOPLE!$F$15,$M86-$A$15,CI$13)=0,10^12,OFFSET(CRONOPLE!$F$15,$M86-$A$15,CI$13)))</f>
        <v>17</v>
      </c>
      <c r="CJ86" s="353" t="n">
        <f aca="true">IF(OR($D86&lt;&gt;"Serviço",AND(AUTOEVENTO="Manual",$M86=$A$15)),0,
         IF(OFFSET(CRONOPLE!$F$15,$M86-$A$15,CJ$13)=0,10^12,OFFSET(CRONOPLE!$F$15,$M86-$A$15,CJ$13)))</f>
        <v>18</v>
      </c>
      <c r="CK86" s="353" t="n">
        <f aca="true">IF(OR($D86&lt;&gt;"Serviço",AND(AUTOEVENTO="Manual",$M86=$A$15)),0,
         IF(OFFSET(CRONOPLE!$F$15,$M86-$A$15,CK$13)=0,10^12,OFFSET(CRONOPLE!$F$15,$M86-$A$15,CK$13)))</f>
        <v>19</v>
      </c>
      <c r="CL86" s="353" t="n">
        <f aca="true">IF(OR($D86&lt;&gt;"Serviço",AND(AUTOEVENTO="Manual",$M86=$A$15)),0,
         IF(OFFSET(CRONOPLE!$F$15,$M86-$A$15,CL$13)=0,10^12,OFFSET(CRONOPLE!$F$15,$M86-$A$15,CL$13)))</f>
        <v>20</v>
      </c>
      <c r="CM86" s="353" t="n">
        <f aca="true">IF(OR($D86&lt;&gt;"Serviço",AND(AUTOEVENTO="Manual",$M86=$A$15)),0,
         IF(OFFSET(CRONOPLE!$F$15,$M86-$A$15,CM$13)=0,10^12,OFFSET(CRONOPLE!$F$15,$M86-$A$15,CM$13)))</f>
        <v>21</v>
      </c>
      <c r="CN86" s="353" t="n">
        <f aca="true">IF(OR($D86&lt;&gt;"Serviço",AND(AUTOEVENTO="Manual",$M86=$A$15)),0,
         IF(OFFSET(CRONOPLE!$F$15,$M86-$A$15,CN$13)=0,10^12,OFFSET(CRONOPLE!$F$15,$M86-$A$15,CN$13)))</f>
        <v>22</v>
      </c>
      <c r="CO86" s="353" t="n">
        <f aca="true">IF(OR($D86&lt;&gt;"Serviço",AND(AUTOEVENTO="Manual",$M86=$A$15)),0,
         IF(OFFSET(CRONOPLE!$F$15,$M86-$A$15,CO$13)=0,10^12,OFFSET(CRONOPLE!$F$15,$M86-$A$15,CO$13)))</f>
        <v>23</v>
      </c>
      <c r="CP86" s="353" t="n">
        <f aca="true">IF(OR($D86&lt;&gt;"Serviço",AND(AUTOEVENTO="Manual",$M86=$A$15)),0,
         IF(OFFSET(CRONOPLE!$F$15,$M86-$A$15,CP$13)=0,10^12,OFFSET(CRONOPLE!$F$15,$M86-$A$15,CP$13)))</f>
        <v>24</v>
      </c>
      <c r="CQ86" s="353" t="n">
        <f aca="true">IF(OR($D86&lt;&gt;"Serviço",AND(AUTOEVENTO="Manual",$M86=$A$15)),0,
         IF(OFFSET(CRONOPLE!$F$15,$M86-$A$15,CQ$13)=0,10^12,OFFSET(CRONOPLE!$F$15,$M86-$A$15,CQ$13)))</f>
        <v>25</v>
      </c>
      <c r="CR86" s="353" t="n">
        <f aca="true">IF(OR($D86&lt;&gt;"Serviço",AND(AUTOEVENTO="Manual",$M86=$A$15)),0,
         IF(OFFSET(CRONOPLE!$F$15,$M86-$A$15,CR$13)=0,10^12,OFFSET(CRONOPLE!$F$15,$M86-$A$15,CR$13)))</f>
        <v>1000000000000</v>
      </c>
      <c r="CT86" s="354" t="n">
        <f aca="true">IF(OR($D86&lt;&gt;"Serviço",AND(AUTOEVENTO="Manual",$M86=$A$15),$M86&gt;(ROW(PLE.lastrow)-ROW(PLE.firstrow))),0,
           IF(OFFSET(PLE!$G$15,$M86-$A$15,CT$13)="",10^12,OFFSET(PLE!$G$15,$M86-$A$15,CT$13)))</f>
        <v>1000000000000</v>
      </c>
      <c r="CU86" s="354" t="n">
        <f aca="true">IF(OR($D86&lt;&gt;"Serviço",AND(AUTOEVENTO="Manual",$M86=$A$15),$M86&gt;(ROW(PLE.lastrow)-ROW(PLE.firstrow))),0,
           IF(OFFSET(PLE!$G$15,$M86-$A$15,CU$13)="",10^12,OFFSET(PLE!$G$15,$M86-$A$15,CU$13)))</f>
        <v>1000000000000</v>
      </c>
      <c r="CV86" s="354" t="n">
        <f aca="true">IF(OR($D86&lt;&gt;"Serviço",AND(AUTOEVENTO="Manual",$M86=$A$15),$M86&gt;(ROW(PLE.lastrow)-ROW(PLE.firstrow))),0,
           IF(OFFSET(PLE!$G$15,$M86-$A$15,CV$13)="",10^12,OFFSET(PLE!$G$15,$M86-$A$15,CV$13)))</f>
        <v>1000000000000</v>
      </c>
      <c r="CW86" s="354" t="n">
        <f aca="true">IF(OR($D86&lt;&gt;"Serviço",AND(AUTOEVENTO="Manual",$M86=$A$15),$M86&gt;(ROW(PLE.lastrow)-ROW(PLE.firstrow))),0,
           IF(OFFSET(PLE!$G$15,$M86-$A$15,CW$13)="",10^12,OFFSET(PLE!$G$15,$M86-$A$15,CW$13)))</f>
        <v>1000000000000</v>
      </c>
      <c r="CX86" s="354" t="n">
        <f aca="true">IF(OR($D86&lt;&gt;"Serviço",AND(AUTOEVENTO="Manual",$M86=$A$15),$M86&gt;(ROW(PLE.lastrow)-ROW(PLE.firstrow))),0,
           IF(OFFSET(PLE!$G$15,$M86-$A$15,CX$13)="",10^12,OFFSET(PLE!$G$15,$M86-$A$15,CX$13)))</f>
        <v>1000000000000</v>
      </c>
      <c r="CY86" s="354" t="n">
        <f aca="true">IF(OR($D86&lt;&gt;"Serviço",AND(AUTOEVENTO="Manual",$M86=$A$15),$M86&gt;(ROW(PLE.lastrow)-ROW(PLE.firstrow))),0,
           IF(OFFSET(PLE!$G$15,$M86-$A$15,CY$13)="",10^12,OFFSET(PLE!$G$15,$M86-$A$15,CY$13)))</f>
        <v>1000000000000</v>
      </c>
      <c r="CZ86" s="354" t="n">
        <f aca="true">IF(OR($D86&lt;&gt;"Serviço",AND(AUTOEVENTO="Manual",$M86=$A$15),$M86&gt;(ROW(PLE.lastrow)-ROW(PLE.firstrow))),0,
           IF(OFFSET(PLE!$G$15,$M86-$A$15,CZ$13)="",10^12,OFFSET(PLE!$G$15,$M86-$A$15,CZ$13)))</f>
        <v>1000000000000</v>
      </c>
      <c r="DA86" s="354" t="n">
        <f aca="true">IF(OR($D86&lt;&gt;"Serviço",AND(AUTOEVENTO="Manual",$M86=$A$15),$M86&gt;(ROW(PLE.lastrow)-ROW(PLE.firstrow))),0,
           IF(OFFSET(PLE!$G$15,$M86-$A$15,DA$13)="",10^12,OFFSET(PLE!$G$15,$M86-$A$15,DA$13)))</f>
        <v>1000000000000</v>
      </c>
      <c r="DB86" s="354" t="n">
        <f aca="true">IF(OR($D86&lt;&gt;"Serviço",AND(AUTOEVENTO="Manual",$M86=$A$15),$M86&gt;(ROW(PLE.lastrow)-ROW(PLE.firstrow))),0,
           IF(OFFSET(PLE!$G$15,$M86-$A$15,DB$13)="",10^12,OFFSET(PLE!$G$15,$M86-$A$15,DB$13)))</f>
        <v>1000000000000</v>
      </c>
      <c r="DC86" s="354" t="n">
        <f aca="true">IF(OR($D86&lt;&gt;"Serviço",AND(AUTOEVENTO="Manual",$M86=$A$15),$M86&gt;(ROW(PLE.lastrow)-ROW(PLE.firstrow))),0,
           IF(OFFSET(PLE!$G$15,$M86-$A$15,DC$13)="",10^12,OFFSET(PLE!$G$15,$M86-$A$15,DC$13)))</f>
        <v>1000000000000</v>
      </c>
      <c r="DD86" s="354" t="n">
        <f aca="true">IF(OR($D86&lt;&gt;"Serviço",AND(AUTOEVENTO="Manual",$M86=$A$15),$M86&gt;(ROW(PLE.lastrow)-ROW(PLE.firstrow))),0,
           IF(OFFSET(PLE!$G$15,$M86-$A$15,DD$13)="",10^12,OFFSET(PLE!$G$15,$M86-$A$15,DD$13)))</f>
        <v>1000000000000</v>
      </c>
      <c r="DE86" s="354" t="n">
        <f aca="true">IF(OR($D86&lt;&gt;"Serviço",AND(AUTOEVENTO="Manual",$M86=$A$15),$M86&gt;(ROW(PLE.lastrow)-ROW(PLE.firstrow))),0,
           IF(OFFSET(PLE!$G$15,$M86-$A$15,DE$13)="",10^12,OFFSET(PLE!$G$15,$M86-$A$15,DE$13)))</f>
        <v>1000000000000</v>
      </c>
      <c r="DF86" s="354" t="n">
        <f aca="true">IF(OR($D86&lt;&gt;"Serviço",AND(AUTOEVENTO="Manual",$M86=$A$15),$M86&gt;(ROW(PLE.lastrow)-ROW(PLE.firstrow))),0,
           IF(OFFSET(PLE!$G$15,$M86-$A$15,DF$13)="",10^12,OFFSET(PLE!$G$15,$M86-$A$15,DF$13)))</f>
        <v>1000000000000</v>
      </c>
      <c r="DG86" s="354" t="n">
        <f aca="true">IF(OR($D86&lt;&gt;"Serviço",AND(AUTOEVENTO="Manual",$M86=$A$15),$M86&gt;(ROW(PLE.lastrow)-ROW(PLE.firstrow))),0,
           IF(OFFSET(PLE!$G$15,$M86-$A$15,DG$13)="",10^12,OFFSET(PLE!$G$15,$M86-$A$15,DG$13)))</f>
        <v>1000000000000</v>
      </c>
      <c r="DH86" s="354" t="n">
        <f aca="true">IF(OR($D86&lt;&gt;"Serviço",AND(AUTOEVENTO="Manual",$M86=$A$15),$M86&gt;(ROW(PLE.lastrow)-ROW(PLE.firstrow))),0,
           IF(OFFSET(PLE!$G$15,$M86-$A$15,DH$13)="",10^12,OFFSET(PLE!$G$15,$M86-$A$15,DH$13)))</f>
        <v>1000000000000</v>
      </c>
      <c r="DI86" s="354" t="n">
        <f aca="true">IF(OR($D86&lt;&gt;"Serviço",AND(AUTOEVENTO="Manual",$M86=$A$15),$M86&gt;(ROW(PLE.lastrow)-ROW(PLE.firstrow))),0,
           IF(OFFSET(PLE!$G$15,$M86-$A$15,DI$13)="",10^12,OFFSET(PLE!$G$15,$M86-$A$15,DI$13)))</f>
        <v>1000000000000</v>
      </c>
      <c r="DJ86" s="354" t="n">
        <f aca="true">IF(OR($D86&lt;&gt;"Serviço",AND(AUTOEVENTO="Manual",$M86=$A$15),$M86&gt;(ROW(PLE.lastrow)-ROW(PLE.firstrow))),0,
           IF(OFFSET(PLE!$G$15,$M86-$A$15,DJ$13)="",10^12,OFFSET(PLE!$G$15,$M86-$A$15,DJ$13)))</f>
        <v>1000000000000</v>
      </c>
      <c r="DK86" s="354" t="n">
        <f aca="true">IF(OR($D86&lt;&gt;"Serviço",AND(AUTOEVENTO="Manual",$M86=$A$15),$M86&gt;(ROW(PLE.lastrow)-ROW(PLE.firstrow))),0,
           IF(OFFSET(PLE!$G$15,$M86-$A$15,DK$13)="",10^12,OFFSET(PLE!$G$15,$M86-$A$15,DK$13)))</f>
        <v>1000000000000</v>
      </c>
      <c r="DL86" s="354" t="n">
        <f aca="true">IF(OR($D86&lt;&gt;"Serviço",AND(AUTOEVENTO="Manual",$M86=$A$15),$M86&gt;(ROW(PLE.lastrow)-ROW(PLE.firstrow))),0,
           IF(OFFSET(PLE!$G$15,$M86-$A$15,DL$13)="",10^12,OFFSET(PLE!$G$15,$M86-$A$15,DL$13)))</f>
        <v>1000000000000</v>
      </c>
      <c r="DM86" s="354" t="n">
        <f aca="true">IF(OR($D86&lt;&gt;"Serviço",AND(AUTOEVENTO="Manual",$M86=$A$15),$M86&gt;(ROW(PLE.lastrow)-ROW(PLE.firstrow))),0,
           IF(OFFSET(PLE!$G$15,$M86-$A$15,DM$13)="",10^12,OFFSET(PLE!$G$15,$M86-$A$15,DM$13)))</f>
        <v>1000000000000</v>
      </c>
      <c r="DN86" s="354" t="n">
        <f aca="true">IF(OR($D86&lt;&gt;"Serviço",AND(AUTOEVENTO="Manual",$M86=$A$15),$M86&gt;(ROW(PLE.lastrow)-ROW(PLE.firstrow))),0,
           IF(OFFSET(PLE!$G$15,$M86-$A$15,DN$13)="",10^12,OFFSET(PLE!$G$15,$M86-$A$15,DN$13)))</f>
        <v>1000000000000</v>
      </c>
      <c r="DO86" s="354" t="n">
        <f aca="true">IF(OR($D86&lt;&gt;"Serviço",AND(AUTOEVENTO="Manual",$M86=$A$15),$M86&gt;(ROW(PLE.lastrow)-ROW(PLE.firstrow))),0,
           IF(OFFSET(PLE!$G$15,$M86-$A$15,DO$13)="",10^12,OFFSET(PLE!$G$15,$M86-$A$15,DO$13)))</f>
        <v>1000000000000</v>
      </c>
      <c r="DP86" s="354" t="n">
        <f aca="true">IF(OR($D86&lt;&gt;"Serviço",AND(AUTOEVENTO="Manual",$M86=$A$15),$M86&gt;(ROW(PLE.lastrow)-ROW(PLE.firstrow))),0,
           IF(OFFSET(PLE!$G$15,$M86-$A$15,DP$13)="",10^12,OFFSET(PLE!$G$15,$M86-$A$15,DP$13)))</f>
        <v>1000000000000</v>
      </c>
      <c r="DQ86" s="354" t="n">
        <f aca="true">IF(OR($D86&lt;&gt;"Serviço",AND(AUTOEVENTO="Manual",$M86=$A$15),$M86&gt;(ROW(PLE.lastrow)-ROW(PLE.firstrow))),0,
           IF(OFFSET(PLE!$G$15,$M86-$A$15,DQ$13)="",10^12,OFFSET(PLE!$G$15,$M86-$A$15,DQ$13)))</f>
        <v>1000000000000</v>
      </c>
      <c r="DR86" s="354" t="n">
        <f aca="true">IF(OR($D86&lt;&gt;"Serviço",AND(AUTOEVENTO="Manual",$M86=$A$15),$M86&gt;(ROW(PLE.lastrow)-ROW(PLE.firstrow))),0,
           IF(OFFSET(PLE!$G$15,$M86-$A$15,DR$13)="",10^12,OFFSET(PLE!$G$15,$M86-$A$15,DR$13)))</f>
        <v>1000000000000</v>
      </c>
      <c r="DS86" s="354" t="n">
        <f aca="true">IF(OR($D86&lt;&gt;"Serviço",AND(AUTOEVENTO="Manual",$M86=$A$15),$M86&gt;(ROW(PLE.lastrow)-ROW(PLE.firstrow))),0,
           IF(OFFSET(PLE!$G$15,$M86-$A$15,DS$13)="",10^12,OFFSET(PLE!$G$15,$M86-$A$15,DS$13)))</f>
        <v>1000000000000</v>
      </c>
    </row>
    <row r="87" customFormat="false" ht="12.75" hidden="false" customHeight="false" outlineLevel="0" collapsed="false">
      <c r="A87" s="50" t="str">
        <f aca="true">IFERROR(IF(AUTOEVENTO="Manual",IF(K87&lt;&gt;"",MIN(VALUE(LEFT(K87,FIND(".",K87)-1)),COUNTA(EVENTOS.Lista)),0),IF(OR($B87&gt;AUTOEVENTO,$B87="S",$B87=0),SUBSTITUTE(OFFSET($A87,-1,0),IF($D87="Serviço",".",""),""),ROW(A87)-ROW($A$15)&amp;".")),0)</f>
        <v>72.</v>
      </c>
      <c r="B87" s="50" t="n">
        <f aca="true">OFFSET(ORÇAMENTO!C$15,ROW(B87)-ROW(B$15),0)</f>
        <v>2</v>
      </c>
      <c r="C87" s="50" t="str">
        <f aca="true">OFFSET(ORÇAMENTO!L$15,ROW(C87)-ROW(C$15),0)</f>
        <v>F</v>
      </c>
      <c r="D87" s="201" t="str">
        <f aca="true">OFFSET(ORÇAMENTO!N$15,ROW(D87)-ROW(D$15),0)</f>
        <v>Nível 2</v>
      </c>
      <c r="E87" s="202" t="str">
        <f aca="true">OFFSET(ORÇAMENTO!O$15,ROW(E87)-ROW(E$15),0)</f>
        <v>1.21.</v>
      </c>
      <c r="F87" s="341" t="str">
        <f aca="true">OFFSET(ORÇAMENTO!R$15,ROW(F87)-ROW(F$15),0)</f>
        <v>FORROS</v>
      </c>
      <c r="G87" s="342" t="str">
        <f aca="true">IF($D87&lt;&gt;"Serviço","",OFFSET(ORÇAMENTO!S$15,ROW(G87)-ROW(G$15),0))</f>
        <v/>
      </c>
      <c r="H87" s="207" t="n">
        <f aca="true">IF($D87&lt;&gt;"Serviço",0,IF(ACOMPANHAMENTO="BM",ROUND(OFFSET(ORÇAMENTO!AJ$15,ROW(H87)-ROW(H$15),0),15-13*ORÇAMENTO!$AF$7),SUMPRODUCT(($Q$1:$AQ$1=1)*ROUND($Q87:$AQ87,15-13*ORÇAMENTO!$AF$7))))</f>
        <v>0</v>
      </c>
      <c r="I87" s="343"/>
      <c r="J87" s="344" t="str">
        <f aca="false">IF(OR(B87&lt;&gt;"S",CÁLCULO.FrentesPreenchidas=0),"",IF(AND(ACOMPANHAMENTO="PLE",AUTOEVENTO="Manual",OR(H87&gt;0,ORÇAMENTO!AC87="QUANT."),OR(K87="",M87=0,N87="")),"►",IF(AND(ACOMPANHAMENTO="PLE",ORÇAMENTO!AC87="QUANT."),"►►",IF(AND(COUNTIF($P$11:$AQ$11,"▼")=0,H87&gt;0,I87=""),"◄",""))))</f>
        <v/>
      </c>
      <c r="K87" s="345"/>
      <c r="L87" s="346" t="s">
        <v>876</v>
      </c>
      <c r="M87" s="347" t="str">
        <f aca="true">IF($D87&lt;&gt;"Serviço","",
          IF(AUTOEVENTO="manual",$A87,
                IF(ISERROR(MATCH($A87,$A$15:OFFSET($A87,-1,0),0)),MAX($M$15:OFFSET(M87,-1,0))+1,
                      INDEX($M$15:OFFSET(M87,-1,0),MATCH($A87,$A$15:OFFSET($A87,-1,0),0)))))</f>
        <v/>
      </c>
      <c r="N87" s="348" t="str">
        <f aca="true">IF($D87&lt;&gt;"Serviço","",
         IF(AUTOEVENTO="Manual",
                IF($A87=0,"&lt;-- defina o número do agrupador",
                       OFFSET(EVENTOS!$D$15,$A87-$A$15,0)),
                OFFSET($F$15,$A87,0)))</f>
        <v/>
      </c>
      <c r="O87" s="349"/>
      <c r="Q87" s="349" t="n">
        <v>1</v>
      </c>
      <c r="R87" s="350" t="n">
        <v>1</v>
      </c>
      <c r="S87" s="350" t="n">
        <v>1</v>
      </c>
      <c r="T87" s="350" t="n">
        <v>1</v>
      </c>
      <c r="U87" s="350" t="n">
        <v>1</v>
      </c>
      <c r="V87" s="350" t="n">
        <v>1</v>
      </c>
      <c r="W87" s="350" t="n">
        <v>1</v>
      </c>
      <c r="X87" s="350" t="n">
        <v>1</v>
      </c>
      <c r="Y87" s="350" t="n">
        <v>1</v>
      </c>
      <c r="Z87" s="351" t="n">
        <v>1</v>
      </c>
      <c r="AA87" s="350" t="n">
        <v>1</v>
      </c>
      <c r="AB87" s="350" t="n">
        <v>1</v>
      </c>
      <c r="AC87" s="350" t="n">
        <v>1</v>
      </c>
      <c r="AD87" s="350" t="n">
        <v>1</v>
      </c>
      <c r="AE87" s="350" t="n">
        <v>1</v>
      </c>
      <c r="AF87" s="350" t="n">
        <v>1</v>
      </c>
      <c r="AG87" s="350" t="n">
        <v>1</v>
      </c>
      <c r="AH87" s="351" t="n">
        <v>1</v>
      </c>
      <c r="AI87" s="350" t="n">
        <v>1</v>
      </c>
      <c r="AJ87" s="350" t="n">
        <v>1</v>
      </c>
      <c r="AK87" s="350" t="n">
        <v>1</v>
      </c>
      <c r="AL87" s="350" t="n">
        <v>1</v>
      </c>
      <c r="AM87" s="350" t="n">
        <v>1</v>
      </c>
      <c r="AN87" s="350" t="n">
        <v>1</v>
      </c>
      <c r="AO87" s="350" t="n">
        <v>1</v>
      </c>
      <c r="AP87" s="351"/>
      <c r="AR87" s="352" t="n">
        <f aca="true">IF(AND($D87="Serviço",AR$12&lt;&gt;0,$H87&gt;0,OR(AUTOEVENTO&lt;&gt;"manual",$M87&lt;&gt;$A$15)),
        IF(Import.TipoArredondamento&lt;&gt;"TransfereGOV",
              ROUND(OFFSET($P87,0,AR$13),15-13*ORÇAMENTO!$AF$7)/$H87*OFFSET(ORÇAMENTO!$X$15,ROW(AR87)-ROW(AR$15),0),
              ROUND(ROUND(OFFSET($P87,0,AR$13),15-13*ORÇAMENTO!$AF$7)*OFFSET(ORÇAMENTO!$W$15,ROW(AR87)-ROW(AR$15),0),15-13*ORÇAMENTO!$AF$11)),
         0)</f>
        <v>0</v>
      </c>
      <c r="AS87" s="352" t="n">
        <f aca="true">IF(AND($D87="Serviço",AS$12&lt;&gt;0,$H87&gt;0,OR(AUTOEVENTO&lt;&gt;"manual",$M87&lt;&gt;$A$15)),
        IF(Import.TipoArredondamento&lt;&gt;"TransfereGOV",
              ROUND(OFFSET($P87,0,AS$13),15-13*ORÇAMENTO!$AF$7)/$H87*OFFSET(ORÇAMENTO!$X$15,ROW(AS87)-ROW(AS$15),0),
              ROUND(ROUND(OFFSET($P87,0,AS$13),15-13*ORÇAMENTO!$AF$7)*OFFSET(ORÇAMENTO!$W$15,ROW(AS87)-ROW(AS$15),0),15-13*ORÇAMENTO!$AF$11)),
         0)</f>
        <v>0</v>
      </c>
      <c r="AT87" s="352" t="n">
        <f aca="true">IF(AND($D87="Serviço",AT$12&lt;&gt;0,$H87&gt;0,OR(AUTOEVENTO&lt;&gt;"manual",$M87&lt;&gt;$A$15)),
        IF(Import.TipoArredondamento&lt;&gt;"TransfereGOV",
              ROUND(OFFSET($P87,0,AT$13),15-13*ORÇAMENTO!$AF$7)/$H87*OFFSET(ORÇAMENTO!$X$15,ROW(AT87)-ROW(AT$15),0),
              ROUND(ROUND(OFFSET($P87,0,AT$13),15-13*ORÇAMENTO!$AF$7)*OFFSET(ORÇAMENTO!$W$15,ROW(AT87)-ROW(AT$15),0),15-13*ORÇAMENTO!$AF$11)),
         0)</f>
        <v>0</v>
      </c>
      <c r="AU87" s="352" t="n">
        <f aca="true">IF(AND($D87="Serviço",AU$12&lt;&gt;0,$H87&gt;0,OR(AUTOEVENTO&lt;&gt;"manual",$M87&lt;&gt;$A$15)),
        IF(Import.TipoArredondamento&lt;&gt;"TransfereGOV",
              ROUND(OFFSET($P87,0,AU$13),15-13*ORÇAMENTO!$AF$7)/$H87*OFFSET(ORÇAMENTO!$X$15,ROW(AU87)-ROW(AU$15),0),
              ROUND(ROUND(OFFSET($P87,0,AU$13),15-13*ORÇAMENTO!$AF$7)*OFFSET(ORÇAMENTO!$W$15,ROW(AU87)-ROW(AU$15),0),15-13*ORÇAMENTO!$AF$11)),
         0)</f>
        <v>0</v>
      </c>
      <c r="AV87" s="352" t="n">
        <f aca="true">IF(AND($D87="Serviço",AV$12&lt;&gt;0,$H87&gt;0,OR(AUTOEVENTO&lt;&gt;"manual",$M87&lt;&gt;$A$15)),
        IF(Import.TipoArredondamento&lt;&gt;"TransfereGOV",
              ROUND(OFFSET($P87,0,AV$13),15-13*ORÇAMENTO!$AF$7)/$H87*OFFSET(ORÇAMENTO!$X$15,ROW(AV87)-ROW(AV$15),0),
              ROUND(ROUND(OFFSET($P87,0,AV$13),15-13*ORÇAMENTO!$AF$7)*OFFSET(ORÇAMENTO!$W$15,ROW(AV87)-ROW(AV$15),0),15-13*ORÇAMENTO!$AF$11)),
         0)</f>
        <v>0</v>
      </c>
      <c r="AW87" s="352" t="n">
        <f aca="true">IF(AND($D87="Serviço",AW$12&lt;&gt;0,$H87&gt;0,OR(AUTOEVENTO&lt;&gt;"manual",$M87&lt;&gt;$A$15)),
        IF(Import.TipoArredondamento&lt;&gt;"TransfereGOV",
              ROUND(OFFSET($P87,0,AW$13),15-13*ORÇAMENTO!$AF$7)/$H87*OFFSET(ORÇAMENTO!$X$15,ROW(AW87)-ROW(AW$15),0),
              ROUND(ROUND(OFFSET($P87,0,AW$13),15-13*ORÇAMENTO!$AF$7)*OFFSET(ORÇAMENTO!$W$15,ROW(AW87)-ROW(AW$15),0),15-13*ORÇAMENTO!$AF$11)),
         0)</f>
        <v>0</v>
      </c>
      <c r="AX87" s="352" t="n">
        <f aca="true">IF(AND($D87="Serviço",AX$12&lt;&gt;0,$H87&gt;0,OR(AUTOEVENTO&lt;&gt;"manual",$M87&lt;&gt;$A$15)),
        IF(Import.TipoArredondamento&lt;&gt;"TransfereGOV",
              ROUND(OFFSET($P87,0,AX$13),15-13*ORÇAMENTO!$AF$7)/$H87*OFFSET(ORÇAMENTO!$X$15,ROW(AX87)-ROW(AX$15),0),
              ROUND(ROUND(OFFSET($P87,0,AX$13),15-13*ORÇAMENTO!$AF$7)*OFFSET(ORÇAMENTO!$W$15,ROW(AX87)-ROW(AX$15),0),15-13*ORÇAMENTO!$AF$11)),
         0)</f>
        <v>0</v>
      </c>
      <c r="AY87" s="352" t="n">
        <f aca="true">IF(AND($D87="Serviço",AY$12&lt;&gt;0,$H87&gt;0,OR(AUTOEVENTO&lt;&gt;"manual",$M87&lt;&gt;$A$15)),
        IF(Import.TipoArredondamento&lt;&gt;"TransfereGOV",
              ROUND(OFFSET($P87,0,AY$13),15-13*ORÇAMENTO!$AF$7)/$H87*OFFSET(ORÇAMENTO!$X$15,ROW(AY87)-ROW(AY$15),0),
              ROUND(ROUND(OFFSET($P87,0,AY$13),15-13*ORÇAMENTO!$AF$7)*OFFSET(ORÇAMENTO!$W$15,ROW(AY87)-ROW(AY$15),0),15-13*ORÇAMENTO!$AF$11)),
         0)</f>
        <v>0</v>
      </c>
      <c r="AZ87" s="352" t="n">
        <f aca="true">IF(AND($D87="Serviço",AZ$12&lt;&gt;0,$H87&gt;0,OR(AUTOEVENTO&lt;&gt;"manual",$M87&lt;&gt;$A$15)),
        IF(Import.TipoArredondamento&lt;&gt;"TransfereGOV",
              ROUND(OFFSET($P87,0,AZ$13),15-13*ORÇAMENTO!$AF$7)/$H87*OFFSET(ORÇAMENTO!$X$15,ROW(AZ87)-ROW(AZ$15),0),
              ROUND(ROUND(OFFSET($P87,0,AZ$13),15-13*ORÇAMENTO!$AF$7)*OFFSET(ORÇAMENTO!$W$15,ROW(AZ87)-ROW(AZ$15),0),15-13*ORÇAMENTO!$AF$11)),
         0)</f>
        <v>0</v>
      </c>
      <c r="BA87" s="352" t="n">
        <f aca="true">IF(AND($D87="Serviço",BA$12&lt;&gt;0,$H87&gt;0,OR(AUTOEVENTO&lt;&gt;"manual",$M87&lt;&gt;$A$15)),
        IF(Import.TipoArredondamento&lt;&gt;"TransfereGOV",
              ROUND(OFFSET($P87,0,BA$13),15-13*ORÇAMENTO!$AF$7)/$H87*OFFSET(ORÇAMENTO!$X$15,ROW(BA87)-ROW(BA$15),0),
              ROUND(ROUND(OFFSET($P87,0,BA$13),15-13*ORÇAMENTO!$AF$7)*OFFSET(ORÇAMENTO!$W$15,ROW(BA87)-ROW(BA$15),0),15-13*ORÇAMENTO!$AF$11)),
         0)</f>
        <v>0</v>
      </c>
      <c r="BB87" s="352" t="n">
        <f aca="true">IF(AND($D87="Serviço",BB$12&lt;&gt;0,$H87&gt;0,OR(AUTOEVENTO&lt;&gt;"manual",$M87&lt;&gt;$A$15)),
        IF(Import.TipoArredondamento&lt;&gt;"TransfereGOV",
              ROUND(OFFSET($P87,0,BB$13),15-13*ORÇAMENTO!$AF$7)/$H87*OFFSET(ORÇAMENTO!$X$15,ROW(BB87)-ROW(BB$15),0),
              ROUND(ROUND(OFFSET($P87,0,BB$13),15-13*ORÇAMENTO!$AF$7)*OFFSET(ORÇAMENTO!$W$15,ROW(BB87)-ROW(BB$15),0),15-13*ORÇAMENTO!$AF$11)),
         0)</f>
        <v>0</v>
      </c>
      <c r="BC87" s="352" t="n">
        <f aca="true">IF(AND($D87="Serviço",BC$12&lt;&gt;0,$H87&gt;0,OR(AUTOEVENTO&lt;&gt;"manual",$M87&lt;&gt;$A$15)),
        IF(Import.TipoArredondamento&lt;&gt;"TransfereGOV",
              ROUND(OFFSET($P87,0,BC$13),15-13*ORÇAMENTO!$AF$7)/$H87*OFFSET(ORÇAMENTO!$X$15,ROW(BC87)-ROW(BC$15),0),
              ROUND(ROUND(OFFSET($P87,0,BC$13),15-13*ORÇAMENTO!$AF$7)*OFFSET(ORÇAMENTO!$W$15,ROW(BC87)-ROW(BC$15),0),15-13*ORÇAMENTO!$AF$11)),
         0)</f>
        <v>0</v>
      </c>
      <c r="BD87" s="352" t="n">
        <f aca="true">IF(AND($D87="Serviço",BD$12&lt;&gt;0,$H87&gt;0,OR(AUTOEVENTO&lt;&gt;"manual",$M87&lt;&gt;$A$15)),
        IF(Import.TipoArredondamento&lt;&gt;"TransfereGOV",
              ROUND(OFFSET($P87,0,BD$13),15-13*ORÇAMENTO!$AF$7)/$H87*OFFSET(ORÇAMENTO!$X$15,ROW(BD87)-ROW(BD$15),0),
              ROUND(ROUND(OFFSET($P87,0,BD$13),15-13*ORÇAMENTO!$AF$7)*OFFSET(ORÇAMENTO!$W$15,ROW(BD87)-ROW(BD$15),0),15-13*ORÇAMENTO!$AF$11)),
         0)</f>
        <v>0</v>
      </c>
      <c r="BE87" s="352" t="n">
        <f aca="true">IF(AND($D87="Serviço",BE$12&lt;&gt;0,$H87&gt;0,OR(AUTOEVENTO&lt;&gt;"manual",$M87&lt;&gt;$A$15)),
        IF(Import.TipoArredondamento&lt;&gt;"TransfereGOV",
              ROUND(OFFSET($P87,0,BE$13),15-13*ORÇAMENTO!$AF$7)/$H87*OFFSET(ORÇAMENTO!$X$15,ROW(BE87)-ROW(BE$15),0),
              ROUND(ROUND(OFFSET($P87,0,BE$13),15-13*ORÇAMENTO!$AF$7)*OFFSET(ORÇAMENTO!$W$15,ROW(BE87)-ROW(BE$15),0),15-13*ORÇAMENTO!$AF$11)),
         0)</f>
        <v>0</v>
      </c>
      <c r="BF87" s="352" t="n">
        <f aca="true">IF(AND($D87="Serviço",BF$12&lt;&gt;0,$H87&gt;0,OR(AUTOEVENTO&lt;&gt;"manual",$M87&lt;&gt;$A$15)),
        IF(Import.TipoArredondamento&lt;&gt;"TransfereGOV",
              ROUND(OFFSET($P87,0,BF$13),15-13*ORÇAMENTO!$AF$7)/$H87*OFFSET(ORÇAMENTO!$X$15,ROW(BF87)-ROW(BF$15),0),
              ROUND(ROUND(OFFSET($P87,0,BF$13),15-13*ORÇAMENTO!$AF$7)*OFFSET(ORÇAMENTO!$W$15,ROW(BF87)-ROW(BF$15),0),15-13*ORÇAMENTO!$AF$11)),
         0)</f>
        <v>0</v>
      </c>
      <c r="BG87" s="352" t="n">
        <f aca="true">IF(AND($D87="Serviço",BG$12&lt;&gt;0,$H87&gt;0,OR(AUTOEVENTO&lt;&gt;"manual",$M87&lt;&gt;$A$15)),
        IF(Import.TipoArredondamento&lt;&gt;"TransfereGOV",
              ROUND(OFFSET($P87,0,BG$13),15-13*ORÇAMENTO!$AF$7)/$H87*OFFSET(ORÇAMENTO!$X$15,ROW(BG87)-ROW(BG$15),0),
              ROUND(ROUND(OFFSET($P87,0,BG$13),15-13*ORÇAMENTO!$AF$7)*OFFSET(ORÇAMENTO!$W$15,ROW(BG87)-ROW(BG$15),0),15-13*ORÇAMENTO!$AF$11)),
         0)</f>
        <v>0</v>
      </c>
      <c r="BH87" s="352" t="n">
        <f aca="true">IF(AND($D87="Serviço",BH$12&lt;&gt;0,$H87&gt;0,OR(AUTOEVENTO&lt;&gt;"manual",$M87&lt;&gt;$A$15)),
        IF(Import.TipoArredondamento&lt;&gt;"TransfereGOV",
              ROUND(OFFSET($P87,0,BH$13),15-13*ORÇAMENTO!$AF$7)/$H87*OFFSET(ORÇAMENTO!$X$15,ROW(BH87)-ROW(BH$15),0),
              ROUND(ROUND(OFFSET($P87,0,BH$13),15-13*ORÇAMENTO!$AF$7)*OFFSET(ORÇAMENTO!$W$15,ROW(BH87)-ROW(BH$15),0),15-13*ORÇAMENTO!$AF$11)),
         0)</f>
        <v>0</v>
      </c>
      <c r="BI87" s="352" t="n">
        <f aca="true">IF(AND($D87="Serviço",BI$12&lt;&gt;0,$H87&gt;0,OR(AUTOEVENTO&lt;&gt;"manual",$M87&lt;&gt;$A$15)),
        IF(Import.TipoArredondamento&lt;&gt;"TransfereGOV",
              ROUND(OFFSET($P87,0,BI$13),15-13*ORÇAMENTO!$AF$7)/$H87*OFFSET(ORÇAMENTO!$X$15,ROW(BI87)-ROW(BI$15),0),
              ROUND(ROUND(OFFSET($P87,0,BI$13),15-13*ORÇAMENTO!$AF$7)*OFFSET(ORÇAMENTO!$W$15,ROW(BI87)-ROW(BI$15),0),15-13*ORÇAMENTO!$AF$11)),
         0)</f>
        <v>0</v>
      </c>
      <c r="BJ87" s="352" t="n">
        <f aca="true">IF(AND($D87="Serviço",BJ$12&lt;&gt;0,$H87&gt;0,OR(AUTOEVENTO&lt;&gt;"manual",$M87&lt;&gt;$A$15)),
        IF(Import.TipoArredondamento&lt;&gt;"TransfereGOV",
              ROUND(OFFSET($P87,0,BJ$13),15-13*ORÇAMENTO!$AF$7)/$H87*OFFSET(ORÇAMENTO!$X$15,ROW(BJ87)-ROW(BJ$15),0),
              ROUND(ROUND(OFFSET($P87,0,BJ$13),15-13*ORÇAMENTO!$AF$7)*OFFSET(ORÇAMENTO!$W$15,ROW(BJ87)-ROW(BJ$15),0),15-13*ORÇAMENTO!$AF$11)),
         0)</f>
        <v>0</v>
      </c>
      <c r="BK87" s="352" t="n">
        <f aca="true">IF(AND($D87="Serviço",BK$12&lt;&gt;0,$H87&gt;0,OR(AUTOEVENTO&lt;&gt;"manual",$M87&lt;&gt;$A$15)),
        IF(Import.TipoArredondamento&lt;&gt;"TransfereGOV",
              ROUND(OFFSET($P87,0,BK$13),15-13*ORÇAMENTO!$AF$7)/$H87*OFFSET(ORÇAMENTO!$X$15,ROW(BK87)-ROW(BK$15),0),
              ROUND(ROUND(OFFSET($P87,0,BK$13),15-13*ORÇAMENTO!$AF$7)*OFFSET(ORÇAMENTO!$W$15,ROW(BK87)-ROW(BK$15),0),15-13*ORÇAMENTO!$AF$11)),
         0)</f>
        <v>0</v>
      </c>
      <c r="BL87" s="352" t="n">
        <f aca="true">IF(AND($D87="Serviço",BL$12&lt;&gt;0,$H87&gt;0,OR(AUTOEVENTO&lt;&gt;"manual",$M87&lt;&gt;$A$15)),
        IF(Import.TipoArredondamento&lt;&gt;"TransfereGOV",
              ROUND(OFFSET($P87,0,BL$13),15-13*ORÇAMENTO!$AF$7)/$H87*OFFSET(ORÇAMENTO!$X$15,ROW(BL87)-ROW(BL$15),0),
              ROUND(ROUND(OFFSET($P87,0,BL$13),15-13*ORÇAMENTO!$AF$7)*OFFSET(ORÇAMENTO!$W$15,ROW(BL87)-ROW(BL$15),0),15-13*ORÇAMENTO!$AF$11)),
         0)</f>
        <v>0</v>
      </c>
      <c r="BM87" s="352" t="n">
        <f aca="true">IF(AND($D87="Serviço",BM$12&lt;&gt;0,$H87&gt;0,OR(AUTOEVENTO&lt;&gt;"manual",$M87&lt;&gt;$A$15)),
        IF(Import.TipoArredondamento&lt;&gt;"TransfereGOV",
              ROUND(OFFSET($P87,0,BM$13),15-13*ORÇAMENTO!$AF$7)/$H87*OFFSET(ORÇAMENTO!$X$15,ROW(BM87)-ROW(BM$15),0),
              ROUND(ROUND(OFFSET($P87,0,BM$13),15-13*ORÇAMENTO!$AF$7)*OFFSET(ORÇAMENTO!$W$15,ROW(BM87)-ROW(BM$15),0),15-13*ORÇAMENTO!$AF$11)),
         0)</f>
        <v>0</v>
      </c>
      <c r="BN87" s="352" t="n">
        <f aca="true">IF(AND($D87="Serviço",BN$12&lt;&gt;0,$H87&gt;0,OR(AUTOEVENTO&lt;&gt;"manual",$M87&lt;&gt;$A$15)),
        IF(Import.TipoArredondamento&lt;&gt;"TransfereGOV",
              ROUND(OFFSET($P87,0,BN$13),15-13*ORÇAMENTO!$AF$7)/$H87*OFFSET(ORÇAMENTO!$X$15,ROW(BN87)-ROW(BN$15),0),
              ROUND(ROUND(OFFSET($P87,0,BN$13),15-13*ORÇAMENTO!$AF$7)*OFFSET(ORÇAMENTO!$W$15,ROW(BN87)-ROW(BN$15),0),15-13*ORÇAMENTO!$AF$11)),
         0)</f>
        <v>0</v>
      </c>
      <c r="BO87" s="352" t="n">
        <f aca="true">IF(AND($D87="Serviço",BO$12&lt;&gt;0,$H87&gt;0,OR(AUTOEVENTO&lt;&gt;"manual",$M87&lt;&gt;$A$15)),
        IF(Import.TipoArredondamento&lt;&gt;"TransfereGOV",
              ROUND(OFFSET($P87,0,BO$13),15-13*ORÇAMENTO!$AF$7)/$H87*OFFSET(ORÇAMENTO!$X$15,ROW(BO87)-ROW(BO$15),0),
              ROUND(ROUND(OFFSET($P87,0,BO$13),15-13*ORÇAMENTO!$AF$7)*OFFSET(ORÇAMENTO!$W$15,ROW(BO87)-ROW(BO$15),0),15-13*ORÇAMENTO!$AF$11)),
         0)</f>
        <v>0</v>
      </c>
      <c r="BP87" s="352" t="n">
        <f aca="true">IF(AND($D87="Serviço",BP$12&lt;&gt;0,$H87&gt;0,OR(AUTOEVENTO&lt;&gt;"manual",$M87&lt;&gt;$A$15)),
        IF(Import.TipoArredondamento&lt;&gt;"TransfereGOV",
              ROUND(OFFSET($P87,0,BP$13),15-13*ORÇAMENTO!$AF$7)/$H87*OFFSET(ORÇAMENTO!$X$15,ROW(BP87)-ROW(BP$15),0),
              ROUND(ROUND(OFFSET($P87,0,BP$13),15-13*ORÇAMENTO!$AF$7)*OFFSET(ORÇAMENTO!$W$15,ROW(BP87)-ROW(BP$15),0),15-13*ORÇAMENTO!$AF$11)),
         0)</f>
        <v>0</v>
      </c>
      <c r="BQ87" s="352" t="n">
        <f aca="true">IF(AND($D87="Serviço",BQ$12&lt;&gt;0,$H87&gt;0,OR(AUTOEVENTO&lt;&gt;"manual",$M87&lt;&gt;$A$15)),
        IF(Import.TipoArredondamento&lt;&gt;"TransfereGOV",
              ROUND(OFFSET($P87,0,BQ$13),15-13*ORÇAMENTO!$AF$7)/$H87*OFFSET(ORÇAMENTO!$X$15,ROW(BQ87)-ROW(BQ$15),0),
              ROUND(ROUND(OFFSET($P87,0,BQ$13),15-13*ORÇAMENTO!$AF$7)*OFFSET(ORÇAMENTO!$W$15,ROW(BQ87)-ROW(BQ$15),0),15-13*ORÇAMENTO!$AF$11)),
         0)</f>
        <v>0</v>
      </c>
      <c r="BS87" s="353" t="n">
        <f aca="true">IF(OR($D87&lt;&gt;"Serviço",AND(AUTOEVENTO="Manual",$M87=$A$15)),0,
         IF(OFFSET(CRONOPLE!$F$15,$M87-$A$15,BS$13)=0,10^12,OFFSET(CRONOPLE!$F$15,$M87-$A$15,BS$13)))</f>
        <v>0</v>
      </c>
      <c r="BT87" s="353" t="n">
        <f aca="true">IF(OR($D87&lt;&gt;"Serviço",AND(AUTOEVENTO="Manual",$M87=$A$15)),0,
         IF(OFFSET(CRONOPLE!$F$15,$M87-$A$15,BT$13)=0,10^12,OFFSET(CRONOPLE!$F$15,$M87-$A$15,BT$13)))</f>
        <v>0</v>
      </c>
      <c r="BU87" s="353" t="n">
        <f aca="true">IF(OR($D87&lt;&gt;"Serviço",AND(AUTOEVENTO="Manual",$M87=$A$15)),0,
         IF(OFFSET(CRONOPLE!$F$15,$M87-$A$15,BU$13)=0,10^12,OFFSET(CRONOPLE!$F$15,$M87-$A$15,BU$13)))</f>
        <v>0</v>
      </c>
      <c r="BV87" s="353" t="n">
        <f aca="true">IF(OR($D87&lt;&gt;"Serviço",AND(AUTOEVENTO="Manual",$M87=$A$15)),0,
         IF(OFFSET(CRONOPLE!$F$15,$M87-$A$15,BV$13)=0,10^12,OFFSET(CRONOPLE!$F$15,$M87-$A$15,BV$13)))</f>
        <v>0</v>
      </c>
      <c r="BW87" s="353" t="n">
        <f aca="true">IF(OR($D87&lt;&gt;"Serviço",AND(AUTOEVENTO="Manual",$M87=$A$15)),0,
         IF(OFFSET(CRONOPLE!$F$15,$M87-$A$15,BW$13)=0,10^12,OFFSET(CRONOPLE!$F$15,$M87-$A$15,BW$13)))</f>
        <v>0</v>
      </c>
      <c r="BX87" s="353" t="n">
        <f aca="true">IF(OR($D87&lt;&gt;"Serviço",AND(AUTOEVENTO="Manual",$M87=$A$15)),0,
         IF(OFFSET(CRONOPLE!$F$15,$M87-$A$15,BX$13)=0,10^12,OFFSET(CRONOPLE!$F$15,$M87-$A$15,BX$13)))</f>
        <v>0</v>
      </c>
      <c r="BY87" s="353" t="n">
        <f aca="true">IF(OR($D87&lt;&gt;"Serviço",AND(AUTOEVENTO="Manual",$M87=$A$15)),0,
         IF(OFFSET(CRONOPLE!$F$15,$M87-$A$15,BY$13)=0,10^12,OFFSET(CRONOPLE!$F$15,$M87-$A$15,BY$13)))</f>
        <v>0</v>
      </c>
      <c r="BZ87" s="353" t="n">
        <f aca="true">IF(OR($D87&lt;&gt;"Serviço",AND(AUTOEVENTO="Manual",$M87=$A$15)),0,
         IF(OFFSET(CRONOPLE!$F$15,$M87-$A$15,BZ$13)=0,10^12,OFFSET(CRONOPLE!$F$15,$M87-$A$15,BZ$13)))</f>
        <v>0</v>
      </c>
      <c r="CA87" s="353" t="n">
        <f aca="true">IF(OR($D87&lt;&gt;"Serviço",AND(AUTOEVENTO="Manual",$M87=$A$15)),0,
         IF(OFFSET(CRONOPLE!$F$15,$M87-$A$15,CA$13)=0,10^12,OFFSET(CRONOPLE!$F$15,$M87-$A$15,CA$13)))</f>
        <v>0</v>
      </c>
      <c r="CB87" s="353" t="n">
        <f aca="true">IF(OR($D87&lt;&gt;"Serviço",AND(AUTOEVENTO="Manual",$M87=$A$15)),0,
         IF(OFFSET(CRONOPLE!$F$15,$M87-$A$15,CB$13)=0,10^12,OFFSET(CRONOPLE!$F$15,$M87-$A$15,CB$13)))</f>
        <v>0</v>
      </c>
      <c r="CC87" s="353" t="n">
        <f aca="true">IF(OR($D87&lt;&gt;"Serviço",AND(AUTOEVENTO="Manual",$M87=$A$15)),0,
         IF(OFFSET(CRONOPLE!$F$15,$M87-$A$15,CC$13)=0,10^12,OFFSET(CRONOPLE!$F$15,$M87-$A$15,CC$13)))</f>
        <v>0</v>
      </c>
      <c r="CD87" s="353" t="n">
        <f aca="true">IF(OR($D87&lt;&gt;"Serviço",AND(AUTOEVENTO="Manual",$M87=$A$15)),0,
         IF(OFFSET(CRONOPLE!$F$15,$M87-$A$15,CD$13)=0,10^12,OFFSET(CRONOPLE!$F$15,$M87-$A$15,CD$13)))</f>
        <v>0</v>
      </c>
      <c r="CE87" s="353" t="n">
        <f aca="true">IF(OR($D87&lt;&gt;"Serviço",AND(AUTOEVENTO="Manual",$M87=$A$15)),0,
         IF(OFFSET(CRONOPLE!$F$15,$M87-$A$15,CE$13)=0,10^12,OFFSET(CRONOPLE!$F$15,$M87-$A$15,CE$13)))</f>
        <v>0</v>
      </c>
      <c r="CF87" s="353" t="n">
        <f aca="true">IF(OR($D87&lt;&gt;"Serviço",AND(AUTOEVENTO="Manual",$M87=$A$15)),0,
         IF(OFFSET(CRONOPLE!$F$15,$M87-$A$15,CF$13)=0,10^12,OFFSET(CRONOPLE!$F$15,$M87-$A$15,CF$13)))</f>
        <v>0</v>
      </c>
      <c r="CG87" s="353" t="n">
        <f aca="true">IF(OR($D87&lt;&gt;"Serviço",AND(AUTOEVENTO="Manual",$M87=$A$15)),0,
         IF(OFFSET(CRONOPLE!$F$15,$M87-$A$15,CG$13)=0,10^12,OFFSET(CRONOPLE!$F$15,$M87-$A$15,CG$13)))</f>
        <v>0</v>
      </c>
      <c r="CH87" s="353" t="n">
        <f aca="true">IF(OR($D87&lt;&gt;"Serviço",AND(AUTOEVENTO="Manual",$M87=$A$15)),0,
         IF(OFFSET(CRONOPLE!$F$15,$M87-$A$15,CH$13)=0,10^12,OFFSET(CRONOPLE!$F$15,$M87-$A$15,CH$13)))</f>
        <v>0</v>
      </c>
      <c r="CI87" s="353" t="n">
        <f aca="true">IF(OR($D87&lt;&gt;"Serviço",AND(AUTOEVENTO="Manual",$M87=$A$15)),0,
         IF(OFFSET(CRONOPLE!$F$15,$M87-$A$15,CI$13)=0,10^12,OFFSET(CRONOPLE!$F$15,$M87-$A$15,CI$13)))</f>
        <v>0</v>
      </c>
      <c r="CJ87" s="353" t="n">
        <f aca="true">IF(OR($D87&lt;&gt;"Serviço",AND(AUTOEVENTO="Manual",$M87=$A$15)),0,
         IF(OFFSET(CRONOPLE!$F$15,$M87-$A$15,CJ$13)=0,10^12,OFFSET(CRONOPLE!$F$15,$M87-$A$15,CJ$13)))</f>
        <v>0</v>
      </c>
      <c r="CK87" s="353" t="n">
        <f aca="true">IF(OR($D87&lt;&gt;"Serviço",AND(AUTOEVENTO="Manual",$M87=$A$15)),0,
         IF(OFFSET(CRONOPLE!$F$15,$M87-$A$15,CK$13)=0,10^12,OFFSET(CRONOPLE!$F$15,$M87-$A$15,CK$13)))</f>
        <v>0</v>
      </c>
      <c r="CL87" s="353" t="n">
        <f aca="true">IF(OR($D87&lt;&gt;"Serviço",AND(AUTOEVENTO="Manual",$M87=$A$15)),0,
         IF(OFFSET(CRONOPLE!$F$15,$M87-$A$15,CL$13)=0,10^12,OFFSET(CRONOPLE!$F$15,$M87-$A$15,CL$13)))</f>
        <v>0</v>
      </c>
      <c r="CM87" s="353" t="n">
        <f aca="true">IF(OR($D87&lt;&gt;"Serviço",AND(AUTOEVENTO="Manual",$M87=$A$15)),0,
         IF(OFFSET(CRONOPLE!$F$15,$M87-$A$15,CM$13)=0,10^12,OFFSET(CRONOPLE!$F$15,$M87-$A$15,CM$13)))</f>
        <v>0</v>
      </c>
      <c r="CN87" s="353" t="n">
        <f aca="true">IF(OR($D87&lt;&gt;"Serviço",AND(AUTOEVENTO="Manual",$M87=$A$15)),0,
         IF(OFFSET(CRONOPLE!$F$15,$M87-$A$15,CN$13)=0,10^12,OFFSET(CRONOPLE!$F$15,$M87-$A$15,CN$13)))</f>
        <v>0</v>
      </c>
      <c r="CO87" s="353" t="n">
        <f aca="true">IF(OR($D87&lt;&gt;"Serviço",AND(AUTOEVENTO="Manual",$M87=$A$15)),0,
         IF(OFFSET(CRONOPLE!$F$15,$M87-$A$15,CO$13)=0,10^12,OFFSET(CRONOPLE!$F$15,$M87-$A$15,CO$13)))</f>
        <v>0</v>
      </c>
      <c r="CP87" s="353" t="n">
        <f aca="true">IF(OR($D87&lt;&gt;"Serviço",AND(AUTOEVENTO="Manual",$M87=$A$15)),0,
         IF(OFFSET(CRONOPLE!$F$15,$M87-$A$15,CP$13)=0,10^12,OFFSET(CRONOPLE!$F$15,$M87-$A$15,CP$13)))</f>
        <v>0</v>
      </c>
      <c r="CQ87" s="353" t="n">
        <f aca="true">IF(OR($D87&lt;&gt;"Serviço",AND(AUTOEVENTO="Manual",$M87=$A$15)),0,
         IF(OFFSET(CRONOPLE!$F$15,$M87-$A$15,CQ$13)=0,10^12,OFFSET(CRONOPLE!$F$15,$M87-$A$15,CQ$13)))</f>
        <v>0</v>
      </c>
      <c r="CR87" s="353" t="n">
        <f aca="true">IF(OR($D87&lt;&gt;"Serviço",AND(AUTOEVENTO="Manual",$M87=$A$15)),0,
         IF(OFFSET(CRONOPLE!$F$15,$M87-$A$15,CR$13)=0,10^12,OFFSET(CRONOPLE!$F$15,$M87-$A$15,CR$13)))</f>
        <v>0</v>
      </c>
      <c r="CT87" s="354" t="n">
        <f aca="true">IF(OR($D87&lt;&gt;"Serviço",AND(AUTOEVENTO="Manual",$M87=$A$15),$M87&gt;(ROW(PLE.lastrow)-ROW(PLE.firstrow))),0,
           IF(OFFSET(PLE!$G$15,$M87-$A$15,CT$13)="",10^12,OFFSET(PLE!$G$15,$M87-$A$15,CT$13)))</f>
        <v>0</v>
      </c>
      <c r="CU87" s="354" t="n">
        <f aca="true">IF(OR($D87&lt;&gt;"Serviço",AND(AUTOEVENTO="Manual",$M87=$A$15),$M87&gt;(ROW(PLE.lastrow)-ROW(PLE.firstrow))),0,
           IF(OFFSET(PLE!$G$15,$M87-$A$15,CU$13)="",10^12,OFFSET(PLE!$G$15,$M87-$A$15,CU$13)))</f>
        <v>0</v>
      </c>
      <c r="CV87" s="354" t="n">
        <f aca="true">IF(OR($D87&lt;&gt;"Serviço",AND(AUTOEVENTO="Manual",$M87=$A$15),$M87&gt;(ROW(PLE.lastrow)-ROW(PLE.firstrow))),0,
           IF(OFFSET(PLE!$G$15,$M87-$A$15,CV$13)="",10^12,OFFSET(PLE!$G$15,$M87-$A$15,CV$13)))</f>
        <v>0</v>
      </c>
      <c r="CW87" s="354" t="n">
        <f aca="true">IF(OR($D87&lt;&gt;"Serviço",AND(AUTOEVENTO="Manual",$M87=$A$15),$M87&gt;(ROW(PLE.lastrow)-ROW(PLE.firstrow))),0,
           IF(OFFSET(PLE!$G$15,$M87-$A$15,CW$13)="",10^12,OFFSET(PLE!$G$15,$M87-$A$15,CW$13)))</f>
        <v>0</v>
      </c>
      <c r="CX87" s="354" t="n">
        <f aca="true">IF(OR($D87&lt;&gt;"Serviço",AND(AUTOEVENTO="Manual",$M87=$A$15),$M87&gt;(ROW(PLE.lastrow)-ROW(PLE.firstrow))),0,
           IF(OFFSET(PLE!$G$15,$M87-$A$15,CX$13)="",10^12,OFFSET(PLE!$G$15,$M87-$A$15,CX$13)))</f>
        <v>0</v>
      </c>
      <c r="CY87" s="354" t="n">
        <f aca="true">IF(OR($D87&lt;&gt;"Serviço",AND(AUTOEVENTO="Manual",$M87=$A$15),$M87&gt;(ROW(PLE.lastrow)-ROW(PLE.firstrow))),0,
           IF(OFFSET(PLE!$G$15,$M87-$A$15,CY$13)="",10^12,OFFSET(PLE!$G$15,$M87-$A$15,CY$13)))</f>
        <v>0</v>
      </c>
      <c r="CZ87" s="354" t="n">
        <f aca="true">IF(OR($D87&lt;&gt;"Serviço",AND(AUTOEVENTO="Manual",$M87=$A$15),$M87&gt;(ROW(PLE.lastrow)-ROW(PLE.firstrow))),0,
           IF(OFFSET(PLE!$G$15,$M87-$A$15,CZ$13)="",10^12,OFFSET(PLE!$G$15,$M87-$A$15,CZ$13)))</f>
        <v>0</v>
      </c>
      <c r="DA87" s="354" t="n">
        <f aca="true">IF(OR($D87&lt;&gt;"Serviço",AND(AUTOEVENTO="Manual",$M87=$A$15),$M87&gt;(ROW(PLE.lastrow)-ROW(PLE.firstrow))),0,
           IF(OFFSET(PLE!$G$15,$M87-$A$15,DA$13)="",10^12,OFFSET(PLE!$G$15,$M87-$A$15,DA$13)))</f>
        <v>0</v>
      </c>
      <c r="DB87" s="354" t="n">
        <f aca="true">IF(OR($D87&lt;&gt;"Serviço",AND(AUTOEVENTO="Manual",$M87=$A$15),$M87&gt;(ROW(PLE.lastrow)-ROW(PLE.firstrow))),0,
           IF(OFFSET(PLE!$G$15,$M87-$A$15,DB$13)="",10^12,OFFSET(PLE!$G$15,$M87-$A$15,DB$13)))</f>
        <v>0</v>
      </c>
      <c r="DC87" s="354" t="n">
        <f aca="true">IF(OR($D87&lt;&gt;"Serviço",AND(AUTOEVENTO="Manual",$M87=$A$15),$M87&gt;(ROW(PLE.lastrow)-ROW(PLE.firstrow))),0,
           IF(OFFSET(PLE!$G$15,$M87-$A$15,DC$13)="",10^12,OFFSET(PLE!$G$15,$M87-$A$15,DC$13)))</f>
        <v>0</v>
      </c>
      <c r="DD87" s="354" t="n">
        <f aca="true">IF(OR($D87&lt;&gt;"Serviço",AND(AUTOEVENTO="Manual",$M87=$A$15),$M87&gt;(ROW(PLE.lastrow)-ROW(PLE.firstrow))),0,
           IF(OFFSET(PLE!$G$15,$M87-$A$15,DD$13)="",10^12,OFFSET(PLE!$G$15,$M87-$A$15,DD$13)))</f>
        <v>0</v>
      </c>
      <c r="DE87" s="354" t="n">
        <f aca="true">IF(OR($D87&lt;&gt;"Serviço",AND(AUTOEVENTO="Manual",$M87=$A$15),$M87&gt;(ROW(PLE.lastrow)-ROW(PLE.firstrow))),0,
           IF(OFFSET(PLE!$G$15,$M87-$A$15,DE$13)="",10^12,OFFSET(PLE!$G$15,$M87-$A$15,DE$13)))</f>
        <v>0</v>
      </c>
      <c r="DF87" s="354" t="n">
        <f aca="true">IF(OR($D87&lt;&gt;"Serviço",AND(AUTOEVENTO="Manual",$M87=$A$15),$M87&gt;(ROW(PLE.lastrow)-ROW(PLE.firstrow))),0,
           IF(OFFSET(PLE!$G$15,$M87-$A$15,DF$13)="",10^12,OFFSET(PLE!$G$15,$M87-$A$15,DF$13)))</f>
        <v>0</v>
      </c>
      <c r="DG87" s="354" t="n">
        <f aca="true">IF(OR($D87&lt;&gt;"Serviço",AND(AUTOEVENTO="Manual",$M87=$A$15),$M87&gt;(ROW(PLE.lastrow)-ROW(PLE.firstrow))),0,
           IF(OFFSET(PLE!$G$15,$M87-$A$15,DG$13)="",10^12,OFFSET(PLE!$G$15,$M87-$A$15,DG$13)))</f>
        <v>0</v>
      </c>
      <c r="DH87" s="354" t="n">
        <f aca="true">IF(OR($D87&lt;&gt;"Serviço",AND(AUTOEVENTO="Manual",$M87=$A$15),$M87&gt;(ROW(PLE.lastrow)-ROW(PLE.firstrow))),0,
           IF(OFFSET(PLE!$G$15,$M87-$A$15,DH$13)="",10^12,OFFSET(PLE!$G$15,$M87-$A$15,DH$13)))</f>
        <v>0</v>
      </c>
      <c r="DI87" s="354" t="n">
        <f aca="true">IF(OR($D87&lt;&gt;"Serviço",AND(AUTOEVENTO="Manual",$M87=$A$15),$M87&gt;(ROW(PLE.lastrow)-ROW(PLE.firstrow))),0,
           IF(OFFSET(PLE!$G$15,$M87-$A$15,DI$13)="",10^12,OFFSET(PLE!$G$15,$M87-$A$15,DI$13)))</f>
        <v>0</v>
      </c>
      <c r="DJ87" s="354" t="n">
        <f aca="true">IF(OR($D87&lt;&gt;"Serviço",AND(AUTOEVENTO="Manual",$M87=$A$15),$M87&gt;(ROW(PLE.lastrow)-ROW(PLE.firstrow))),0,
           IF(OFFSET(PLE!$G$15,$M87-$A$15,DJ$13)="",10^12,OFFSET(PLE!$G$15,$M87-$A$15,DJ$13)))</f>
        <v>0</v>
      </c>
      <c r="DK87" s="354" t="n">
        <f aca="true">IF(OR($D87&lt;&gt;"Serviço",AND(AUTOEVENTO="Manual",$M87=$A$15),$M87&gt;(ROW(PLE.lastrow)-ROW(PLE.firstrow))),0,
           IF(OFFSET(PLE!$G$15,$M87-$A$15,DK$13)="",10^12,OFFSET(PLE!$G$15,$M87-$A$15,DK$13)))</f>
        <v>0</v>
      </c>
      <c r="DL87" s="354" t="n">
        <f aca="true">IF(OR($D87&lt;&gt;"Serviço",AND(AUTOEVENTO="Manual",$M87=$A$15),$M87&gt;(ROW(PLE.lastrow)-ROW(PLE.firstrow))),0,
           IF(OFFSET(PLE!$G$15,$M87-$A$15,DL$13)="",10^12,OFFSET(PLE!$G$15,$M87-$A$15,DL$13)))</f>
        <v>0</v>
      </c>
      <c r="DM87" s="354" t="n">
        <f aca="true">IF(OR($D87&lt;&gt;"Serviço",AND(AUTOEVENTO="Manual",$M87=$A$15),$M87&gt;(ROW(PLE.lastrow)-ROW(PLE.firstrow))),0,
           IF(OFFSET(PLE!$G$15,$M87-$A$15,DM$13)="",10^12,OFFSET(PLE!$G$15,$M87-$A$15,DM$13)))</f>
        <v>0</v>
      </c>
      <c r="DN87" s="354" t="n">
        <f aca="true">IF(OR($D87&lt;&gt;"Serviço",AND(AUTOEVENTO="Manual",$M87=$A$15),$M87&gt;(ROW(PLE.lastrow)-ROW(PLE.firstrow))),0,
           IF(OFFSET(PLE!$G$15,$M87-$A$15,DN$13)="",10^12,OFFSET(PLE!$G$15,$M87-$A$15,DN$13)))</f>
        <v>0</v>
      </c>
      <c r="DO87" s="354" t="n">
        <f aca="true">IF(OR($D87&lt;&gt;"Serviço",AND(AUTOEVENTO="Manual",$M87=$A$15),$M87&gt;(ROW(PLE.lastrow)-ROW(PLE.firstrow))),0,
           IF(OFFSET(PLE!$G$15,$M87-$A$15,DO$13)="",10^12,OFFSET(PLE!$G$15,$M87-$A$15,DO$13)))</f>
        <v>0</v>
      </c>
      <c r="DP87" s="354" t="n">
        <f aca="true">IF(OR($D87&lt;&gt;"Serviço",AND(AUTOEVENTO="Manual",$M87=$A$15),$M87&gt;(ROW(PLE.lastrow)-ROW(PLE.firstrow))),0,
           IF(OFFSET(PLE!$G$15,$M87-$A$15,DP$13)="",10^12,OFFSET(PLE!$G$15,$M87-$A$15,DP$13)))</f>
        <v>0</v>
      </c>
      <c r="DQ87" s="354" t="n">
        <f aca="true">IF(OR($D87&lt;&gt;"Serviço",AND(AUTOEVENTO="Manual",$M87=$A$15),$M87&gt;(ROW(PLE.lastrow)-ROW(PLE.firstrow))),0,
           IF(OFFSET(PLE!$G$15,$M87-$A$15,DQ$13)="",10^12,OFFSET(PLE!$G$15,$M87-$A$15,DQ$13)))</f>
        <v>0</v>
      </c>
      <c r="DR87" s="354" t="n">
        <f aca="true">IF(OR($D87&lt;&gt;"Serviço",AND(AUTOEVENTO="Manual",$M87=$A$15),$M87&gt;(ROW(PLE.lastrow)-ROW(PLE.firstrow))),0,
           IF(OFFSET(PLE!$G$15,$M87-$A$15,DR$13)="",10^12,OFFSET(PLE!$G$15,$M87-$A$15,DR$13)))</f>
        <v>0</v>
      </c>
      <c r="DS87" s="354" t="n">
        <f aca="true">IF(OR($D87&lt;&gt;"Serviço",AND(AUTOEVENTO="Manual",$M87=$A$15),$M87&gt;(ROW(PLE.lastrow)-ROW(PLE.firstrow))),0,
           IF(OFFSET(PLE!$G$15,$M87-$A$15,DS$13)="",10^12,OFFSET(PLE!$G$15,$M87-$A$15,DS$13)))</f>
        <v>0</v>
      </c>
    </row>
    <row r="88" customFormat="false" ht="12.75" hidden="false" customHeight="false" outlineLevel="0" collapsed="false">
      <c r="A88" s="50" t="str">
        <f aca="true">IFERROR(IF(AUTOEVENTO="Manual",IF(K88&lt;&gt;"",MIN(VALUE(LEFT(K88,FIND(".",K88)-1)),COUNTA(EVENTOS.Lista)),0),IF(OR($B88&gt;AUTOEVENTO,$B88="S",$B88=0),SUBSTITUTE(OFFSET($A88,-1,0),IF($D88="Serviço",".",""),""),ROW(A88)-ROW($A$15)&amp;".")),0)</f>
        <v>73.</v>
      </c>
      <c r="B88" s="50" t="n">
        <f aca="true">OFFSET(ORÇAMENTO!C$15,ROW(B88)-ROW(B$15),0)</f>
        <v>2</v>
      </c>
      <c r="C88" s="50" t="str">
        <f aca="true">OFFSET(ORÇAMENTO!L$15,ROW(C88)-ROW(C$15),0)</f>
        <v>F</v>
      </c>
      <c r="D88" s="201" t="str">
        <f aca="true">OFFSET(ORÇAMENTO!N$15,ROW(D88)-ROW(D$15),0)</f>
        <v>Nível 2</v>
      </c>
      <c r="E88" s="202" t="str">
        <f aca="true">OFFSET(ORÇAMENTO!O$15,ROW(E88)-ROW(E$15),0)</f>
        <v>1.22.</v>
      </c>
      <c r="F88" s="341" t="str">
        <f aca="true">OFFSET(ORÇAMENTO!R$15,ROW(F88)-ROW(F$15),0)</f>
        <v>PINTURA</v>
      </c>
      <c r="G88" s="342" t="str">
        <f aca="true">IF($D88&lt;&gt;"Serviço","",OFFSET(ORÇAMENTO!S$15,ROW(G88)-ROW(G$15),0))</f>
        <v/>
      </c>
      <c r="H88" s="207" t="n">
        <f aca="true">IF($D88&lt;&gt;"Serviço",0,IF(ACOMPANHAMENTO="BM",ROUND(OFFSET(ORÇAMENTO!AJ$15,ROW(H88)-ROW(H$15),0),15-13*ORÇAMENTO!$AF$7),SUMPRODUCT(($Q$1:$AQ$1=1)*ROUND($Q88:$AQ88,15-13*ORÇAMENTO!$AF$7))))</f>
        <v>0</v>
      </c>
      <c r="I88" s="343"/>
      <c r="J88" s="344" t="str">
        <f aca="false">IF(OR(B88&lt;&gt;"S",CÁLCULO.FrentesPreenchidas=0),"",IF(AND(ACOMPANHAMENTO="PLE",AUTOEVENTO="Manual",OR(H88&gt;0,ORÇAMENTO!AC88="QUANT."),OR(K88="",M88=0,N88="")),"►",IF(AND(ACOMPANHAMENTO="PLE",ORÇAMENTO!AC88="QUANT."),"►►",IF(AND(COUNTIF($P$11:$AQ$11,"▼")=0,H88&gt;0,I88=""),"◄",""))))</f>
        <v/>
      </c>
      <c r="K88" s="345"/>
      <c r="L88" s="346" t="s">
        <v>876</v>
      </c>
      <c r="M88" s="347" t="str">
        <f aca="true">IF($D88&lt;&gt;"Serviço","",
          IF(AUTOEVENTO="manual",$A88,
                IF(ISERROR(MATCH($A88,$A$15:OFFSET($A88,-1,0),0)),MAX($M$15:OFFSET(M88,-1,0))+1,
                      INDEX($M$15:OFFSET(M88,-1,0),MATCH($A88,$A$15:OFFSET($A88,-1,0),0)))))</f>
        <v/>
      </c>
      <c r="N88" s="348" t="str">
        <f aca="true">IF($D88&lt;&gt;"Serviço","",
         IF(AUTOEVENTO="Manual",
                IF($A88=0,"&lt;-- defina o número do agrupador",
                       OFFSET(EVENTOS!$D$15,$A88-$A$15,0)),
                OFFSET($F$15,$A88,0)))</f>
        <v/>
      </c>
      <c r="O88" s="349"/>
      <c r="Q88" s="349" t="n">
        <v>1</v>
      </c>
      <c r="R88" s="350" t="n">
        <v>1</v>
      </c>
      <c r="S88" s="350" t="n">
        <v>1</v>
      </c>
      <c r="T88" s="350" t="n">
        <v>1</v>
      </c>
      <c r="U88" s="350" t="n">
        <v>1</v>
      </c>
      <c r="V88" s="350" t="n">
        <v>1</v>
      </c>
      <c r="W88" s="350" t="n">
        <v>1</v>
      </c>
      <c r="X88" s="350" t="n">
        <v>1</v>
      </c>
      <c r="Y88" s="350" t="n">
        <v>1</v>
      </c>
      <c r="Z88" s="351" t="n">
        <v>1</v>
      </c>
      <c r="AA88" s="350" t="n">
        <v>1</v>
      </c>
      <c r="AB88" s="350" t="n">
        <v>1</v>
      </c>
      <c r="AC88" s="350" t="n">
        <v>1</v>
      </c>
      <c r="AD88" s="350" t="n">
        <v>1</v>
      </c>
      <c r="AE88" s="350" t="n">
        <v>1</v>
      </c>
      <c r="AF88" s="350" t="n">
        <v>1</v>
      </c>
      <c r="AG88" s="350" t="n">
        <v>1</v>
      </c>
      <c r="AH88" s="351" t="n">
        <v>1</v>
      </c>
      <c r="AI88" s="350" t="n">
        <v>1</v>
      </c>
      <c r="AJ88" s="350" t="n">
        <v>1</v>
      </c>
      <c r="AK88" s="350" t="n">
        <v>1</v>
      </c>
      <c r="AL88" s="350" t="n">
        <v>1</v>
      </c>
      <c r="AM88" s="350" t="n">
        <v>1</v>
      </c>
      <c r="AN88" s="350" t="n">
        <v>1</v>
      </c>
      <c r="AO88" s="350" t="n">
        <v>1</v>
      </c>
      <c r="AP88" s="351"/>
      <c r="AR88" s="352" t="n">
        <f aca="true">IF(AND($D88="Serviço",AR$12&lt;&gt;0,$H88&gt;0,OR(AUTOEVENTO&lt;&gt;"manual",$M88&lt;&gt;$A$15)),
        IF(Import.TipoArredondamento&lt;&gt;"TransfereGOV",
              ROUND(OFFSET($P88,0,AR$13),15-13*ORÇAMENTO!$AF$7)/$H88*OFFSET(ORÇAMENTO!$X$15,ROW(AR88)-ROW(AR$15),0),
              ROUND(ROUND(OFFSET($P88,0,AR$13),15-13*ORÇAMENTO!$AF$7)*OFFSET(ORÇAMENTO!$W$15,ROW(AR88)-ROW(AR$15),0),15-13*ORÇAMENTO!$AF$11)),
         0)</f>
        <v>0</v>
      </c>
      <c r="AS88" s="352" t="n">
        <f aca="true">IF(AND($D88="Serviço",AS$12&lt;&gt;0,$H88&gt;0,OR(AUTOEVENTO&lt;&gt;"manual",$M88&lt;&gt;$A$15)),
        IF(Import.TipoArredondamento&lt;&gt;"TransfereGOV",
              ROUND(OFFSET($P88,0,AS$13),15-13*ORÇAMENTO!$AF$7)/$H88*OFFSET(ORÇAMENTO!$X$15,ROW(AS88)-ROW(AS$15),0),
              ROUND(ROUND(OFFSET($P88,0,AS$13),15-13*ORÇAMENTO!$AF$7)*OFFSET(ORÇAMENTO!$W$15,ROW(AS88)-ROW(AS$15),0),15-13*ORÇAMENTO!$AF$11)),
         0)</f>
        <v>0</v>
      </c>
      <c r="AT88" s="352" t="n">
        <f aca="true">IF(AND($D88="Serviço",AT$12&lt;&gt;0,$H88&gt;0,OR(AUTOEVENTO&lt;&gt;"manual",$M88&lt;&gt;$A$15)),
        IF(Import.TipoArredondamento&lt;&gt;"TransfereGOV",
              ROUND(OFFSET($P88,0,AT$13),15-13*ORÇAMENTO!$AF$7)/$H88*OFFSET(ORÇAMENTO!$X$15,ROW(AT88)-ROW(AT$15),0),
              ROUND(ROUND(OFFSET($P88,0,AT$13),15-13*ORÇAMENTO!$AF$7)*OFFSET(ORÇAMENTO!$W$15,ROW(AT88)-ROW(AT$15),0),15-13*ORÇAMENTO!$AF$11)),
         0)</f>
        <v>0</v>
      </c>
      <c r="AU88" s="352" t="n">
        <f aca="true">IF(AND($D88="Serviço",AU$12&lt;&gt;0,$H88&gt;0,OR(AUTOEVENTO&lt;&gt;"manual",$M88&lt;&gt;$A$15)),
        IF(Import.TipoArredondamento&lt;&gt;"TransfereGOV",
              ROUND(OFFSET($P88,0,AU$13),15-13*ORÇAMENTO!$AF$7)/$H88*OFFSET(ORÇAMENTO!$X$15,ROW(AU88)-ROW(AU$15),0),
              ROUND(ROUND(OFFSET($P88,0,AU$13),15-13*ORÇAMENTO!$AF$7)*OFFSET(ORÇAMENTO!$W$15,ROW(AU88)-ROW(AU$15),0),15-13*ORÇAMENTO!$AF$11)),
         0)</f>
        <v>0</v>
      </c>
      <c r="AV88" s="352" t="n">
        <f aca="true">IF(AND($D88="Serviço",AV$12&lt;&gt;0,$H88&gt;0,OR(AUTOEVENTO&lt;&gt;"manual",$M88&lt;&gt;$A$15)),
        IF(Import.TipoArredondamento&lt;&gt;"TransfereGOV",
              ROUND(OFFSET($P88,0,AV$13),15-13*ORÇAMENTO!$AF$7)/$H88*OFFSET(ORÇAMENTO!$X$15,ROW(AV88)-ROW(AV$15),0),
              ROUND(ROUND(OFFSET($P88,0,AV$13),15-13*ORÇAMENTO!$AF$7)*OFFSET(ORÇAMENTO!$W$15,ROW(AV88)-ROW(AV$15),0),15-13*ORÇAMENTO!$AF$11)),
         0)</f>
        <v>0</v>
      </c>
      <c r="AW88" s="352" t="n">
        <f aca="true">IF(AND($D88="Serviço",AW$12&lt;&gt;0,$H88&gt;0,OR(AUTOEVENTO&lt;&gt;"manual",$M88&lt;&gt;$A$15)),
        IF(Import.TipoArredondamento&lt;&gt;"TransfereGOV",
              ROUND(OFFSET($P88,0,AW$13),15-13*ORÇAMENTO!$AF$7)/$H88*OFFSET(ORÇAMENTO!$X$15,ROW(AW88)-ROW(AW$15),0),
              ROUND(ROUND(OFFSET($P88,0,AW$13),15-13*ORÇAMENTO!$AF$7)*OFFSET(ORÇAMENTO!$W$15,ROW(AW88)-ROW(AW$15),0),15-13*ORÇAMENTO!$AF$11)),
         0)</f>
        <v>0</v>
      </c>
      <c r="AX88" s="352" t="n">
        <f aca="true">IF(AND($D88="Serviço",AX$12&lt;&gt;0,$H88&gt;0,OR(AUTOEVENTO&lt;&gt;"manual",$M88&lt;&gt;$A$15)),
        IF(Import.TipoArredondamento&lt;&gt;"TransfereGOV",
              ROUND(OFFSET($P88,0,AX$13),15-13*ORÇAMENTO!$AF$7)/$H88*OFFSET(ORÇAMENTO!$X$15,ROW(AX88)-ROW(AX$15),0),
              ROUND(ROUND(OFFSET($P88,0,AX$13),15-13*ORÇAMENTO!$AF$7)*OFFSET(ORÇAMENTO!$W$15,ROW(AX88)-ROW(AX$15),0),15-13*ORÇAMENTO!$AF$11)),
         0)</f>
        <v>0</v>
      </c>
      <c r="AY88" s="352" t="n">
        <f aca="true">IF(AND($D88="Serviço",AY$12&lt;&gt;0,$H88&gt;0,OR(AUTOEVENTO&lt;&gt;"manual",$M88&lt;&gt;$A$15)),
        IF(Import.TipoArredondamento&lt;&gt;"TransfereGOV",
              ROUND(OFFSET($P88,0,AY$13),15-13*ORÇAMENTO!$AF$7)/$H88*OFFSET(ORÇAMENTO!$X$15,ROW(AY88)-ROW(AY$15),0),
              ROUND(ROUND(OFFSET($P88,0,AY$13),15-13*ORÇAMENTO!$AF$7)*OFFSET(ORÇAMENTO!$W$15,ROW(AY88)-ROW(AY$15),0),15-13*ORÇAMENTO!$AF$11)),
         0)</f>
        <v>0</v>
      </c>
      <c r="AZ88" s="352" t="n">
        <f aca="true">IF(AND($D88="Serviço",AZ$12&lt;&gt;0,$H88&gt;0,OR(AUTOEVENTO&lt;&gt;"manual",$M88&lt;&gt;$A$15)),
        IF(Import.TipoArredondamento&lt;&gt;"TransfereGOV",
              ROUND(OFFSET($P88,0,AZ$13),15-13*ORÇAMENTO!$AF$7)/$H88*OFFSET(ORÇAMENTO!$X$15,ROW(AZ88)-ROW(AZ$15),0),
              ROUND(ROUND(OFFSET($P88,0,AZ$13),15-13*ORÇAMENTO!$AF$7)*OFFSET(ORÇAMENTO!$W$15,ROW(AZ88)-ROW(AZ$15),0),15-13*ORÇAMENTO!$AF$11)),
         0)</f>
        <v>0</v>
      </c>
      <c r="BA88" s="352" t="n">
        <f aca="true">IF(AND($D88="Serviço",BA$12&lt;&gt;0,$H88&gt;0,OR(AUTOEVENTO&lt;&gt;"manual",$M88&lt;&gt;$A$15)),
        IF(Import.TipoArredondamento&lt;&gt;"TransfereGOV",
              ROUND(OFFSET($P88,0,BA$13),15-13*ORÇAMENTO!$AF$7)/$H88*OFFSET(ORÇAMENTO!$X$15,ROW(BA88)-ROW(BA$15),0),
              ROUND(ROUND(OFFSET($P88,0,BA$13),15-13*ORÇAMENTO!$AF$7)*OFFSET(ORÇAMENTO!$W$15,ROW(BA88)-ROW(BA$15),0),15-13*ORÇAMENTO!$AF$11)),
         0)</f>
        <v>0</v>
      </c>
      <c r="BB88" s="352" t="n">
        <f aca="true">IF(AND($D88="Serviço",BB$12&lt;&gt;0,$H88&gt;0,OR(AUTOEVENTO&lt;&gt;"manual",$M88&lt;&gt;$A$15)),
        IF(Import.TipoArredondamento&lt;&gt;"TransfereGOV",
              ROUND(OFFSET($P88,0,BB$13),15-13*ORÇAMENTO!$AF$7)/$H88*OFFSET(ORÇAMENTO!$X$15,ROW(BB88)-ROW(BB$15),0),
              ROUND(ROUND(OFFSET($P88,0,BB$13),15-13*ORÇAMENTO!$AF$7)*OFFSET(ORÇAMENTO!$W$15,ROW(BB88)-ROW(BB$15),0),15-13*ORÇAMENTO!$AF$11)),
         0)</f>
        <v>0</v>
      </c>
      <c r="BC88" s="352" t="n">
        <f aca="true">IF(AND($D88="Serviço",BC$12&lt;&gt;0,$H88&gt;0,OR(AUTOEVENTO&lt;&gt;"manual",$M88&lt;&gt;$A$15)),
        IF(Import.TipoArredondamento&lt;&gt;"TransfereGOV",
              ROUND(OFFSET($P88,0,BC$13),15-13*ORÇAMENTO!$AF$7)/$H88*OFFSET(ORÇAMENTO!$X$15,ROW(BC88)-ROW(BC$15),0),
              ROUND(ROUND(OFFSET($P88,0,BC$13),15-13*ORÇAMENTO!$AF$7)*OFFSET(ORÇAMENTO!$W$15,ROW(BC88)-ROW(BC$15),0),15-13*ORÇAMENTO!$AF$11)),
         0)</f>
        <v>0</v>
      </c>
      <c r="BD88" s="352" t="n">
        <f aca="true">IF(AND($D88="Serviço",BD$12&lt;&gt;0,$H88&gt;0,OR(AUTOEVENTO&lt;&gt;"manual",$M88&lt;&gt;$A$15)),
        IF(Import.TipoArredondamento&lt;&gt;"TransfereGOV",
              ROUND(OFFSET($P88,0,BD$13),15-13*ORÇAMENTO!$AF$7)/$H88*OFFSET(ORÇAMENTO!$X$15,ROW(BD88)-ROW(BD$15),0),
              ROUND(ROUND(OFFSET($P88,0,BD$13),15-13*ORÇAMENTO!$AF$7)*OFFSET(ORÇAMENTO!$W$15,ROW(BD88)-ROW(BD$15),0),15-13*ORÇAMENTO!$AF$11)),
         0)</f>
        <v>0</v>
      </c>
      <c r="BE88" s="352" t="n">
        <f aca="true">IF(AND($D88="Serviço",BE$12&lt;&gt;0,$H88&gt;0,OR(AUTOEVENTO&lt;&gt;"manual",$M88&lt;&gt;$A$15)),
        IF(Import.TipoArredondamento&lt;&gt;"TransfereGOV",
              ROUND(OFFSET($P88,0,BE$13),15-13*ORÇAMENTO!$AF$7)/$H88*OFFSET(ORÇAMENTO!$X$15,ROW(BE88)-ROW(BE$15),0),
              ROUND(ROUND(OFFSET($P88,0,BE$13),15-13*ORÇAMENTO!$AF$7)*OFFSET(ORÇAMENTO!$W$15,ROW(BE88)-ROW(BE$15),0),15-13*ORÇAMENTO!$AF$11)),
         0)</f>
        <v>0</v>
      </c>
      <c r="BF88" s="352" t="n">
        <f aca="true">IF(AND($D88="Serviço",BF$12&lt;&gt;0,$H88&gt;0,OR(AUTOEVENTO&lt;&gt;"manual",$M88&lt;&gt;$A$15)),
        IF(Import.TipoArredondamento&lt;&gt;"TransfereGOV",
              ROUND(OFFSET($P88,0,BF$13),15-13*ORÇAMENTO!$AF$7)/$H88*OFFSET(ORÇAMENTO!$X$15,ROW(BF88)-ROW(BF$15),0),
              ROUND(ROUND(OFFSET($P88,0,BF$13),15-13*ORÇAMENTO!$AF$7)*OFFSET(ORÇAMENTO!$W$15,ROW(BF88)-ROW(BF$15),0),15-13*ORÇAMENTO!$AF$11)),
         0)</f>
        <v>0</v>
      </c>
      <c r="BG88" s="352" t="n">
        <f aca="true">IF(AND($D88="Serviço",BG$12&lt;&gt;0,$H88&gt;0,OR(AUTOEVENTO&lt;&gt;"manual",$M88&lt;&gt;$A$15)),
        IF(Import.TipoArredondamento&lt;&gt;"TransfereGOV",
              ROUND(OFFSET($P88,0,BG$13),15-13*ORÇAMENTO!$AF$7)/$H88*OFFSET(ORÇAMENTO!$X$15,ROW(BG88)-ROW(BG$15),0),
              ROUND(ROUND(OFFSET($P88,0,BG$13),15-13*ORÇAMENTO!$AF$7)*OFFSET(ORÇAMENTO!$W$15,ROW(BG88)-ROW(BG$15),0),15-13*ORÇAMENTO!$AF$11)),
         0)</f>
        <v>0</v>
      </c>
      <c r="BH88" s="352" t="n">
        <f aca="true">IF(AND($D88="Serviço",BH$12&lt;&gt;0,$H88&gt;0,OR(AUTOEVENTO&lt;&gt;"manual",$M88&lt;&gt;$A$15)),
        IF(Import.TipoArredondamento&lt;&gt;"TransfereGOV",
              ROUND(OFFSET($P88,0,BH$13),15-13*ORÇAMENTO!$AF$7)/$H88*OFFSET(ORÇAMENTO!$X$15,ROW(BH88)-ROW(BH$15),0),
              ROUND(ROUND(OFFSET($P88,0,BH$13),15-13*ORÇAMENTO!$AF$7)*OFFSET(ORÇAMENTO!$W$15,ROW(BH88)-ROW(BH$15),0),15-13*ORÇAMENTO!$AF$11)),
         0)</f>
        <v>0</v>
      </c>
      <c r="BI88" s="352" t="n">
        <f aca="true">IF(AND($D88="Serviço",BI$12&lt;&gt;0,$H88&gt;0,OR(AUTOEVENTO&lt;&gt;"manual",$M88&lt;&gt;$A$15)),
        IF(Import.TipoArredondamento&lt;&gt;"TransfereGOV",
              ROUND(OFFSET($P88,0,BI$13),15-13*ORÇAMENTO!$AF$7)/$H88*OFFSET(ORÇAMENTO!$X$15,ROW(BI88)-ROW(BI$15),0),
              ROUND(ROUND(OFFSET($P88,0,BI$13),15-13*ORÇAMENTO!$AF$7)*OFFSET(ORÇAMENTO!$W$15,ROW(BI88)-ROW(BI$15),0),15-13*ORÇAMENTO!$AF$11)),
         0)</f>
        <v>0</v>
      </c>
      <c r="BJ88" s="352" t="n">
        <f aca="true">IF(AND($D88="Serviço",BJ$12&lt;&gt;0,$H88&gt;0,OR(AUTOEVENTO&lt;&gt;"manual",$M88&lt;&gt;$A$15)),
        IF(Import.TipoArredondamento&lt;&gt;"TransfereGOV",
              ROUND(OFFSET($P88,0,BJ$13),15-13*ORÇAMENTO!$AF$7)/$H88*OFFSET(ORÇAMENTO!$X$15,ROW(BJ88)-ROW(BJ$15),0),
              ROUND(ROUND(OFFSET($P88,0,BJ$13),15-13*ORÇAMENTO!$AF$7)*OFFSET(ORÇAMENTO!$W$15,ROW(BJ88)-ROW(BJ$15),0),15-13*ORÇAMENTO!$AF$11)),
         0)</f>
        <v>0</v>
      </c>
      <c r="BK88" s="352" t="n">
        <f aca="true">IF(AND($D88="Serviço",BK$12&lt;&gt;0,$H88&gt;0,OR(AUTOEVENTO&lt;&gt;"manual",$M88&lt;&gt;$A$15)),
        IF(Import.TipoArredondamento&lt;&gt;"TransfereGOV",
              ROUND(OFFSET($P88,0,BK$13),15-13*ORÇAMENTO!$AF$7)/$H88*OFFSET(ORÇAMENTO!$X$15,ROW(BK88)-ROW(BK$15),0),
              ROUND(ROUND(OFFSET($P88,0,BK$13),15-13*ORÇAMENTO!$AF$7)*OFFSET(ORÇAMENTO!$W$15,ROW(BK88)-ROW(BK$15),0),15-13*ORÇAMENTO!$AF$11)),
         0)</f>
        <v>0</v>
      </c>
      <c r="BL88" s="352" t="n">
        <f aca="true">IF(AND($D88="Serviço",BL$12&lt;&gt;0,$H88&gt;0,OR(AUTOEVENTO&lt;&gt;"manual",$M88&lt;&gt;$A$15)),
        IF(Import.TipoArredondamento&lt;&gt;"TransfereGOV",
              ROUND(OFFSET($P88,0,BL$13),15-13*ORÇAMENTO!$AF$7)/$H88*OFFSET(ORÇAMENTO!$X$15,ROW(BL88)-ROW(BL$15),0),
              ROUND(ROUND(OFFSET($P88,0,BL$13),15-13*ORÇAMENTO!$AF$7)*OFFSET(ORÇAMENTO!$W$15,ROW(BL88)-ROW(BL$15),0),15-13*ORÇAMENTO!$AF$11)),
         0)</f>
        <v>0</v>
      </c>
      <c r="BM88" s="352" t="n">
        <f aca="true">IF(AND($D88="Serviço",BM$12&lt;&gt;0,$H88&gt;0,OR(AUTOEVENTO&lt;&gt;"manual",$M88&lt;&gt;$A$15)),
        IF(Import.TipoArredondamento&lt;&gt;"TransfereGOV",
              ROUND(OFFSET($P88,0,BM$13),15-13*ORÇAMENTO!$AF$7)/$H88*OFFSET(ORÇAMENTO!$X$15,ROW(BM88)-ROW(BM$15),0),
              ROUND(ROUND(OFFSET($P88,0,BM$13),15-13*ORÇAMENTO!$AF$7)*OFFSET(ORÇAMENTO!$W$15,ROW(BM88)-ROW(BM$15),0),15-13*ORÇAMENTO!$AF$11)),
         0)</f>
        <v>0</v>
      </c>
      <c r="BN88" s="352" t="n">
        <f aca="true">IF(AND($D88="Serviço",BN$12&lt;&gt;0,$H88&gt;0,OR(AUTOEVENTO&lt;&gt;"manual",$M88&lt;&gt;$A$15)),
        IF(Import.TipoArredondamento&lt;&gt;"TransfereGOV",
              ROUND(OFFSET($P88,0,BN$13),15-13*ORÇAMENTO!$AF$7)/$H88*OFFSET(ORÇAMENTO!$X$15,ROW(BN88)-ROW(BN$15),0),
              ROUND(ROUND(OFFSET($P88,0,BN$13),15-13*ORÇAMENTO!$AF$7)*OFFSET(ORÇAMENTO!$W$15,ROW(BN88)-ROW(BN$15),0),15-13*ORÇAMENTO!$AF$11)),
         0)</f>
        <v>0</v>
      </c>
      <c r="BO88" s="352" t="n">
        <f aca="true">IF(AND($D88="Serviço",BO$12&lt;&gt;0,$H88&gt;0,OR(AUTOEVENTO&lt;&gt;"manual",$M88&lt;&gt;$A$15)),
        IF(Import.TipoArredondamento&lt;&gt;"TransfereGOV",
              ROUND(OFFSET($P88,0,BO$13),15-13*ORÇAMENTO!$AF$7)/$H88*OFFSET(ORÇAMENTO!$X$15,ROW(BO88)-ROW(BO$15),0),
              ROUND(ROUND(OFFSET($P88,0,BO$13),15-13*ORÇAMENTO!$AF$7)*OFFSET(ORÇAMENTO!$W$15,ROW(BO88)-ROW(BO$15),0),15-13*ORÇAMENTO!$AF$11)),
         0)</f>
        <v>0</v>
      </c>
      <c r="BP88" s="352" t="n">
        <f aca="true">IF(AND($D88="Serviço",BP$12&lt;&gt;0,$H88&gt;0,OR(AUTOEVENTO&lt;&gt;"manual",$M88&lt;&gt;$A$15)),
        IF(Import.TipoArredondamento&lt;&gt;"TransfereGOV",
              ROUND(OFFSET($P88,0,BP$13),15-13*ORÇAMENTO!$AF$7)/$H88*OFFSET(ORÇAMENTO!$X$15,ROW(BP88)-ROW(BP$15),0),
              ROUND(ROUND(OFFSET($P88,0,BP$13),15-13*ORÇAMENTO!$AF$7)*OFFSET(ORÇAMENTO!$W$15,ROW(BP88)-ROW(BP$15),0),15-13*ORÇAMENTO!$AF$11)),
         0)</f>
        <v>0</v>
      </c>
      <c r="BQ88" s="352" t="n">
        <f aca="true">IF(AND($D88="Serviço",BQ$12&lt;&gt;0,$H88&gt;0,OR(AUTOEVENTO&lt;&gt;"manual",$M88&lt;&gt;$A$15)),
        IF(Import.TipoArredondamento&lt;&gt;"TransfereGOV",
              ROUND(OFFSET($P88,0,BQ$13),15-13*ORÇAMENTO!$AF$7)/$H88*OFFSET(ORÇAMENTO!$X$15,ROW(BQ88)-ROW(BQ$15),0),
              ROUND(ROUND(OFFSET($P88,0,BQ$13),15-13*ORÇAMENTO!$AF$7)*OFFSET(ORÇAMENTO!$W$15,ROW(BQ88)-ROW(BQ$15),0),15-13*ORÇAMENTO!$AF$11)),
         0)</f>
        <v>0</v>
      </c>
      <c r="BS88" s="353" t="n">
        <f aca="true">IF(OR($D88&lt;&gt;"Serviço",AND(AUTOEVENTO="Manual",$M88=$A$15)),0,
         IF(OFFSET(CRONOPLE!$F$15,$M88-$A$15,BS$13)=0,10^12,OFFSET(CRONOPLE!$F$15,$M88-$A$15,BS$13)))</f>
        <v>0</v>
      </c>
      <c r="BT88" s="353" t="n">
        <f aca="true">IF(OR($D88&lt;&gt;"Serviço",AND(AUTOEVENTO="Manual",$M88=$A$15)),0,
         IF(OFFSET(CRONOPLE!$F$15,$M88-$A$15,BT$13)=0,10^12,OFFSET(CRONOPLE!$F$15,$M88-$A$15,BT$13)))</f>
        <v>0</v>
      </c>
      <c r="BU88" s="353" t="n">
        <f aca="true">IF(OR($D88&lt;&gt;"Serviço",AND(AUTOEVENTO="Manual",$M88=$A$15)),0,
         IF(OFFSET(CRONOPLE!$F$15,$M88-$A$15,BU$13)=0,10^12,OFFSET(CRONOPLE!$F$15,$M88-$A$15,BU$13)))</f>
        <v>0</v>
      </c>
      <c r="BV88" s="353" t="n">
        <f aca="true">IF(OR($D88&lt;&gt;"Serviço",AND(AUTOEVENTO="Manual",$M88=$A$15)),0,
         IF(OFFSET(CRONOPLE!$F$15,$M88-$A$15,BV$13)=0,10^12,OFFSET(CRONOPLE!$F$15,$M88-$A$15,BV$13)))</f>
        <v>0</v>
      </c>
      <c r="BW88" s="353" t="n">
        <f aca="true">IF(OR($D88&lt;&gt;"Serviço",AND(AUTOEVENTO="Manual",$M88=$A$15)),0,
         IF(OFFSET(CRONOPLE!$F$15,$M88-$A$15,BW$13)=0,10^12,OFFSET(CRONOPLE!$F$15,$M88-$A$15,BW$13)))</f>
        <v>0</v>
      </c>
      <c r="BX88" s="353" t="n">
        <f aca="true">IF(OR($D88&lt;&gt;"Serviço",AND(AUTOEVENTO="Manual",$M88=$A$15)),0,
         IF(OFFSET(CRONOPLE!$F$15,$M88-$A$15,BX$13)=0,10^12,OFFSET(CRONOPLE!$F$15,$M88-$A$15,BX$13)))</f>
        <v>0</v>
      </c>
      <c r="BY88" s="353" t="n">
        <f aca="true">IF(OR($D88&lt;&gt;"Serviço",AND(AUTOEVENTO="Manual",$M88=$A$15)),0,
         IF(OFFSET(CRONOPLE!$F$15,$M88-$A$15,BY$13)=0,10^12,OFFSET(CRONOPLE!$F$15,$M88-$A$15,BY$13)))</f>
        <v>0</v>
      </c>
      <c r="BZ88" s="353" t="n">
        <f aca="true">IF(OR($D88&lt;&gt;"Serviço",AND(AUTOEVENTO="Manual",$M88=$A$15)),0,
         IF(OFFSET(CRONOPLE!$F$15,$M88-$A$15,BZ$13)=0,10^12,OFFSET(CRONOPLE!$F$15,$M88-$A$15,BZ$13)))</f>
        <v>0</v>
      </c>
      <c r="CA88" s="353" t="n">
        <f aca="true">IF(OR($D88&lt;&gt;"Serviço",AND(AUTOEVENTO="Manual",$M88=$A$15)),0,
         IF(OFFSET(CRONOPLE!$F$15,$M88-$A$15,CA$13)=0,10^12,OFFSET(CRONOPLE!$F$15,$M88-$A$15,CA$13)))</f>
        <v>0</v>
      </c>
      <c r="CB88" s="353" t="n">
        <f aca="true">IF(OR($D88&lt;&gt;"Serviço",AND(AUTOEVENTO="Manual",$M88=$A$15)),0,
         IF(OFFSET(CRONOPLE!$F$15,$M88-$A$15,CB$13)=0,10^12,OFFSET(CRONOPLE!$F$15,$M88-$A$15,CB$13)))</f>
        <v>0</v>
      </c>
      <c r="CC88" s="353" t="n">
        <f aca="true">IF(OR($D88&lt;&gt;"Serviço",AND(AUTOEVENTO="Manual",$M88=$A$15)),0,
         IF(OFFSET(CRONOPLE!$F$15,$M88-$A$15,CC$13)=0,10^12,OFFSET(CRONOPLE!$F$15,$M88-$A$15,CC$13)))</f>
        <v>0</v>
      </c>
      <c r="CD88" s="353" t="n">
        <f aca="true">IF(OR($D88&lt;&gt;"Serviço",AND(AUTOEVENTO="Manual",$M88=$A$15)),0,
         IF(OFFSET(CRONOPLE!$F$15,$M88-$A$15,CD$13)=0,10^12,OFFSET(CRONOPLE!$F$15,$M88-$A$15,CD$13)))</f>
        <v>0</v>
      </c>
      <c r="CE88" s="353" t="n">
        <f aca="true">IF(OR($D88&lt;&gt;"Serviço",AND(AUTOEVENTO="Manual",$M88=$A$15)),0,
         IF(OFFSET(CRONOPLE!$F$15,$M88-$A$15,CE$13)=0,10^12,OFFSET(CRONOPLE!$F$15,$M88-$A$15,CE$13)))</f>
        <v>0</v>
      </c>
      <c r="CF88" s="353" t="n">
        <f aca="true">IF(OR($D88&lt;&gt;"Serviço",AND(AUTOEVENTO="Manual",$M88=$A$15)),0,
         IF(OFFSET(CRONOPLE!$F$15,$M88-$A$15,CF$13)=0,10^12,OFFSET(CRONOPLE!$F$15,$M88-$A$15,CF$13)))</f>
        <v>0</v>
      </c>
      <c r="CG88" s="353" t="n">
        <f aca="true">IF(OR($D88&lt;&gt;"Serviço",AND(AUTOEVENTO="Manual",$M88=$A$15)),0,
         IF(OFFSET(CRONOPLE!$F$15,$M88-$A$15,CG$13)=0,10^12,OFFSET(CRONOPLE!$F$15,$M88-$A$15,CG$13)))</f>
        <v>0</v>
      </c>
      <c r="CH88" s="353" t="n">
        <f aca="true">IF(OR($D88&lt;&gt;"Serviço",AND(AUTOEVENTO="Manual",$M88=$A$15)),0,
         IF(OFFSET(CRONOPLE!$F$15,$M88-$A$15,CH$13)=0,10^12,OFFSET(CRONOPLE!$F$15,$M88-$A$15,CH$13)))</f>
        <v>0</v>
      </c>
      <c r="CI88" s="353" t="n">
        <f aca="true">IF(OR($D88&lt;&gt;"Serviço",AND(AUTOEVENTO="Manual",$M88=$A$15)),0,
         IF(OFFSET(CRONOPLE!$F$15,$M88-$A$15,CI$13)=0,10^12,OFFSET(CRONOPLE!$F$15,$M88-$A$15,CI$13)))</f>
        <v>0</v>
      </c>
      <c r="CJ88" s="353" t="n">
        <f aca="true">IF(OR($D88&lt;&gt;"Serviço",AND(AUTOEVENTO="Manual",$M88=$A$15)),0,
         IF(OFFSET(CRONOPLE!$F$15,$M88-$A$15,CJ$13)=0,10^12,OFFSET(CRONOPLE!$F$15,$M88-$A$15,CJ$13)))</f>
        <v>0</v>
      </c>
      <c r="CK88" s="353" t="n">
        <f aca="true">IF(OR($D88&lt;&gt;"Serviço",AND(AUTOEVENTO="Manual",$M88=$A$15)),0,
         IF(OFFSET(CRONOPLE!$F$15,$M88-$A$15,CK$13)=0,10^12,OFFSET(CRONOPLE!$F$15,$M88-$A$15,CK$13)))</f>
        <v>0</v>
      </c>
      <c r="CL88" s="353" t="n">
        <f aca="true">IF(OR($D88&lt;&gt;"Serviço",AND(AUTOEVENTO="Manual",$M88=$A$15)),0,
         IF(OFFSET(CRONOPLE!$F$15,$M88-$A$15,CL$13)=0,10^12,OFFSET(CRONOPLE!$F$15,$M88-$A$15,CL$13)))</f>
        <v>0</v>
      </c>
      <c r="CM88" s="353" t="n">
        <f aca="true">IF(OR($D88&lt;&gt;"Serviço",AND(AUTOEVENTO="Manual",$M88=$A$15)),0,
         IF(OFFSET(CRONOPLE!$F$15,$M88-$A$15,CM$13)=0,10^12,OFFSET(CRONOPLE!$F$15,$M88-$A$15,CM$13)))</f>
        <v>0</v>
      </c>
      <c r="CN88" s="353" t="n">
        <f aca="true">IF(OR($D88&lt;&gt;"Serviço",AND(AUTOEVENTO="Manual",$M88=$A$15)),0,
         IF(OFFSET(CRONOPLE!$F$15,$M88-$A$15,CN$13)=0,10^12,OFFSET(CRONOPLE!$F$15,$M88-$A$15,CN$13)))</f>
        <v>0</v>
      </c>
      <c r="CO88" s="353" t="n">
        <f aca="true">IF(OR($D88&lt;&gt;"Serviço",AND(AUTOEVENTO="Manual",$M88=$A$15)),0,
         IF(OFFSET(CRONOPLE!$F$15,$M88-$A$15,CO$13)=0,10^12,OFFSET(CRONOPLE!$F$15,$M88-$A$15,CO$13)))</f>
        <v>0</v>
      </c>
      <c r="CP88" s="353" t="n">
        <f aca="true">IF(OR($D88&lt;&gt;"Serviço",AND(AUTOEVENTO="Manual",$M88=$A$15)),0,
         IF(OFFSET(CRONOPLE!$F$15,$M88-$A$15,CP$13)=0,10^12,OFFSET(CRONOPLE!$F$15,$M88-$A$15,CP$13)))</f>
        <v>0</v>
      </c>
      <c r="CQ88" s="353" t="n">
        <f aca="true">IF(OR($D88&lt;&gt;"Serviço",AND(AUTOEVENTO="Manual",$M88=$A$15)),0,
         IF(OFFSET(CRONOPLE!$F$15,$M88-$A$15,CQ$13)=0,10^12,OFFSET(CRONOPLE!$F$15,$M88-$A$15,CQ$13)))</f>
        <v>0</v>
      </c>
      <c r="CR88" s="353" t="n">
        <f aca="true">IF(OR($D88&lt;&gt;"Serviço",AND(AUTOEVENTO="Manual",$M88=$A$15)),0,
         IF(OFFSET(CRONOPLE!$F$15,$M88-$A$15,CR$13)=0,10^12,OFFSET(CRONOPLE!$F$15,$M88-$A$15,CR$13)))</f>
        <v>0</v>
      </c>
      <c r="CT88" s="354" t="n">
        <f aca="true">IF(OR($D88&lt;&gt;"Serviço",AND(AUTOEVENTO="Manual",$M88=$A$15),$M88&gt;(ROW(PLE.lastrow)-ROW(PLE.firstrow))),0,
           IF(OFFSET(PLE!$G$15,$M88-$A$15,CT$13)="",10^12,OFFSET(PLE!$G$15,$M88-$A$15,CT$13)))</f>
        <v>0</v>
      </c>
      <c r="CU88" s="354" t="n">
        <f aca="true">IF(OR($D88&lt;&gt;"Serviço",AND(AUTOEVENTO="Manual",$M88=$A$15),$M88&gt;(ROW(PLE.lastrow)-ROW(PLE.firstrow))),0,
           IF(OFFSET(PLE!$G$15,$M88-$A$15,CU$13)="",10^12,OFFSET(PLE!$G$15,$M88-$A$15,CU$13)))</f>
        <v>0</v>
      </c>
      <c r="CV88" s="354" t="n">
        <f aca="true">IF(OR($D88&lt;&gt;"Serviço",AND(AUTOEVENTO="Manual",$M88=$A$15),$M88&gt;(ROW(PLE.lastrow)-ROW(PLE.firstrow))),0,
           IF(OFFSET(PLE!$G$15,$M88-$A$15,CV$13)="",10^12,OFFSET(PLE!$G$15,$M88-$A$15,CV$13)))</f>
        <v>0</v>
      </c>
      <c r="CW88" s="354" t="n">
        <f aca="true">IF(OR($D88&lt;&gt;"Serviço",AND(AUTOEVENTO="Manual",$M88=$A$15),$M88&gt;(ROW(PLE.lastrow)-ROW(PLE.firstrow))),0,
           IF(OFFSET(PLE!$G$15,$M88-$A$15,CW$13)="",10^12,OFFSET(PLE!$G$15,$M88-$A$15,CW$13)))</f>
        <v>0</v>
      </c>
      <c r="CX88" s="354" t="n">
        <f aca="true">IF(OR($D88&lt;&gt;"Serviço",AND(AUTOEVENTO="Manual",$M88=$A$15),$M88&gt;(ROW(PLE.lastrow)-ROW(PLE.firstrow))),0,
           IF(OFFSET(PLE!$G$15,$M88-$A$15,CX$13)="",10^12,OFFSET(PLE!$G$15,$M88-$A$15,CX$13)))</f>
        <v>0</v>
      </c>
      <c r="CY88" s="354" t="n">
        <f aca="true">IF(OR($D88&lt;&gt;"Serviço",AND(AUTOEVENTO="Manual",$M88=$A$15),$M88&gt;(ROW(PLE.lastrow)-ROW(PLE.firstrow))),0,
           IF(OFFSET(PLE!$G$15,$M88-$A$15,CY$13)="",10^12,OFFSET(PLE!$G$15,$M88-$A$15,CY$13)))</f>
        <v>0</v>
      </c>
      <c r="CZ88" s="354" t="n">
        <f aca="true">IF(OR($D88&lt;&gt;"Serviço",AND(AUTOEVENTO="Manual",$M88=$A$15),$M88&gt;(ROW(PLE.lastrow)-ROW(PLE.firstrow))),0,
           IF(OFFSET(PLE!$G$15,$M88-$A$15,CZ$13)="",10^12,OFFSET(PLE!$G$15,$M88-$A$15,CZ$13)))</f>
        <v>0</v>
      </c>
      <c r="DA88" s="354" t="n">
        <f aca="true">IF(OR($D88&lt;&gt;"Serviço",AND(AUTOEVENTO="Manual",$M88=$A$15),$M88&gt;(ROW(PLE.lastrow)-ROW(PLE.firstrow))),0,
           IF(OFFSET(PLE!$G$15,$M88-$A$15,DA$13)="",10^12,OFFSET(PLE!$G$15,$M88-$A$15,DA$13)))</f>
        <v>0</v>
      </c>
      <c r="DB88" s="354" t="n">
        <f aca="true">IF(OR($D88&lt;&gt;"Serviço",AND(AUTOEVENTO="Manual",$M88=$A$15),$M88&gt;(ROW(PLE.lastrow)-ROW(PLE.firstrow))),0,
           IF(OFFSET(PLE!$G$15,$M88-$A$15,DB$13)="",10^12,OFFSET(PLE!$G$15,$M88-$A$15,DB$13)))</f>
        <v>0</v>
      </c>
      <c r="DC88" s="354" t="n">
        <f aca="true">IF(OR($D88&lt;&gt;"Serviço",AND(AUTOEVENTO="Manual",$M88=$A$15),$M88&gt;(ROW(PLE.lastrow)-ROW(PLE.firstrow))),0,
           IF(OFFSET(PLE!$G$15,$M88-$A$15,DC$13)="",10^12,OFFSET(PLE!$G$15,$M88-$A$15,DC$13)))</f>
        <v>0</v>
      </c>
      <c r="DD88" s="354" t="n">
        <f aca="true">IF(OR($D88&lt;&gt;"Serviço",AND(AUTOEVENTO="Manual",$M88=$A$15),$M88&gt;(ROW(PLE.lastrow)-ROW(PLE.firstrow))),0,
           IF(OFFSET(PLE!$G$15,$M88-$A$15,DD$13)="",10^12,OFFSET(PLE!$G$15,$M88-$A$15,DD$13)))</f>
        <v>0</v>
      </c>
      <c r="DE88" s="354" t="n">
        <f aca="true">IF(OR($D88&lt;&gt;"Serviço",AND(AUTOEVENTO="Manual",$M88=$A$15),$M88&gt;(ROW(PLE.lastrow)-ROW(PLE.firstrow))),0,
           IF(OFFSET(PLE!$G$15,$M88-$A$15,DE$13)="",10^12,OFFSET(PLE!$G$15,$M88-$A$15,DE$13)))</f>
        <v>0</v>
      </c>
      <c r="DF88" s="354" t="n">
        <f aca="true">IF(OR($D88&lt;&gt;"Serviço",AND(AUTOEVENTO="Manual",$M88=$A$15),$M88&gt;(ROW(PLE.lastrow)-ROW(PLE.firstrow))),0,
           IF(OFFSET(PLE!$G$15,$M88-$A$15,DF$13)="",10^12,OFFSET(PLE!$G$15,$M88-$A$15,DF$13)))</f>
        <v>0</v>
      </c>
      <c r="DG88" s="354" t="n">
        <f aca="true">IF(OR($D88&lt;&gt;"Serviço",AND(AUTOEVENTO="Manual",$M88=$A$15),$M88&gt;(ROW(PLE.lastrow)-ROW(PLE.firstrow))),0,
           IF(OFFSET(PLE!$G$15,$M88-$A$15,DG$13)="",10^12,OFFSET(PLE!$G$15,$M88-$A$15,DG$13)))</f>
        <v>0</v>
      </c>
      <c r="DH88" s="354" t="n">
        <f aca="true">IF(OR($D88&lt;&gt;"Serviço",AND(AUTOEVENTO="Manual",$M88=$A$15),$M88&gt;(ROW(PLE.lastrow)-ROW(PLE.firstrow))),0,
           IF(OFFSET(PLE!$G$15,$M88-$A$15,DH$13)="",10^12,OFFSET(PLE!$G$15,$M88-$A$15,DH$13)))</f>
        <v>0</v>
      </c>
      <c r="DI88" s="354" t="n">
        <f aca="true">IF(OR($D88&lt;&gt;"Serviço",AND(AUTOEVENTO="Manual",$M88=$A$15),$M88&gt;(ROW(PLE.lastrow)-ROW(PLE.firstrow))),0,
           IF(OFFSET(PLE!$G$15,$M88-$A$15,DI$13)="",10^12,OFFSET(PLE!$G$15,$M88-$A$15,DI$13)))</f>
        <v>0</v>
      </c>
      <c r="DJ88" s="354" t="n">
        <f aca="true">IF(OR($D88&lt;&gt;"Serviço",AND(AUTOEVENTO="Manual",$M88=$A$15),$M88&gt;(ROW(PLE.lastrow)-ROW(PLE.firstrow))),0,
           IF(OFFSET(PLE!$G$15,$M88-$A$15,DJ$13)="",10^12,OFFSET(PLE!$G$15,$M88-$A$15,DJ$13)))</f>
        <v>0</v>
      </c>
      <c r="DK88" s="354" t="n">
        <f aca="true">IF(OR($D88&lt;&gt;"Serviço",AND(AUTOEVENTO="Manual",$M88=$A$15),$M88&gt;(ROW(PLE.lastrow)-ROW(PLE.firstrow))),0,
           IF(OFFSET(PLE!$G$15,$M88-$A$15,DK$13)="",10^12,OFFSET(PLE!$G$15,$M88-$A$15,DK$13)))</f>
        <v>0</v>
      </c>
      <c r="DL88" s="354" t="n">
        <f aca="true">IF(OR($D88&lt;&gt;"Serviço",AND(AUTOEVENTO="Manual",$M88=$A$15),$M88&gt;(ROW(PLE.lastrow)-ROW(PLE.firstrow))),0,
           IF(OFFSET(PLE!$G$15,$M88-$A$15,DL$13)="",10^12,OFFSET(PLE!$G$15,$M88-$A$15,DL$13)))</f>
        <v>0</v>
      </c>
      <c r="DM88" s="354" t="n">
        <f aca="true">IF(OR($D88&lt;&gt;"Serviço",AND(AUTOEVENTO="Manual",$M88=$A$15),$M88&gt;(ROW(PLE.lastrow)-ROW(PLE.firstrow))),0,
           IF(OFFSET(PLE!$G$15,$M88-$A$15,DM$13)="",10^12,OFFSET(PLE!$G$15,$M88-$A$15,DM$13)))</f>
        <v>0</v>
      </c>
      <c r="DN88" s="354" t="n">
        <f aca="true">IF(OR($D88&lt;&gt;"Serviço",AND(AUTOEVENTO="Manual",$M88=$A$15),$M88&gt;(ROW(PLE.lastrow)-ROW(PLE.firstrow))),0,
           IF(OFFSET(PLE!$G$15,$M88-$A$15,DN$13)="",10^12,OFFSET(PLE!$G$15,$M88-$A$15,DN$13)))</f>
        <v>0</v>
      </c>
      <c r="DO88" s="354" t="n">
        <f aca="true">IF(OR($D88&lt;&gt;"Serviço",AND(AUTOEVENTO="Manual",$M88=$A$15),$M88&gt;(ROW(PLE.lastrow)-ROW(PLE.firstrow))),0,
           IF(OFFSET(PLE!$G$15,$M88-$A$15,DO$13)="",10^12,OFFSET(PLE!$G$15,$M88-$A$15,DO$13)))</f>
        <v>0</v>
      </c>
      <c r="DP88" s="354" t="n">
        <f aca="true">IF(OR($D88&lt;&gt;"Serviço",AND(AUTOEVENTO="Manual",$M88=$A$15),$M88&gt;(ROW(PLE.lastrow)-ROW(PLE.firstrow))),0,
           IF(OFFSET(PLE!$G$15,$M88-$A$15,DP$13)="",10^12,OFFSET(PLE!$G$15,$M88-$A$15,DP$13)))</f>
        <v>0</v>
      </c>
      <c r="DQ88" s="354" t="n">
        <f aca="true">IF(OR($D88&lt;&gt;"Serviço",AND(AUTOEVENTO="Manual",$M88=$A$15),$M88&gt;(ROW(PLE.lastrow)-ROW(PLE.firstrow))),0,
           IF(OFFSET(PLE!$G$15,$M88-$A$15,DQ$13)="",10^12,OFFSET(PLE!$G$15,$M88-$A$15,DQ$13)))</f>
        <v>0</v>
      </c>
      <c r="DR88" s="354" t="n">
        <f aca="true">IF(OR($D88&lt;&gt;"Serviço",AND(AUTOEVENTO="Manual",$M88=$A$15),$M88&gt;(ROW(PLE.lastrow)-ROW(PLE.firstrow))),0,
           IF(OFFSET(PLE!$G$15,$M88-$A$15,DR$13)="",10^12,OFFSET(PLE!$G$15,$M88-$A$15,DR$13)))</f>
        <v>0</v>
      </c>
      <c r="DS88" s="354" t="n">
        <f aca="true">IF(OR($D88&lt;&gt;"Serviço",AND(AUTOEVENTO="Manual",$M88=$A$15),$M88&gt;(ROW(PLE.lastrow)-ROW(PLE.firstrow))),0,
           IF(OFFSET(PLE!$G$15,$M88-$A$15,DS$13)="",10^12,OFFSET(PLE!$G$15,$M88-$A$15,DS$13)))</f>
        <v>0</v>
      </c>
    </row>
    <row r="89" customFormat="false" ht="12.75" hidden="false" customHeight="false" outlineLevel="0" collapsed="false">
      <c r="A89" s="50" t="str">
        <f aca="true">IFERROR(IF(AUTOEVENTO="Manual",IF(K89&lt;&gt;"",MIN(VALUE(LEFT(K89,FIND(".",K89)-1)),COUNTA(EVENTOS.Lista)),0),IF(OR($B89&gt;AUTOEVENTO,$B89="S",$B89=0),SUBSTITUTE(OFFSET($A89,-1,0),IF($D89="Serviço",".",""),""),ROW(A89)-ROW($A$15)&amp;".")),0)</f>
        <v>74.</v>
      </c>
      <c r="B89" s="50" t="n">
        <f aca="true">OFFSET(ORÇAMENTO!C$15,ROW(B89)-ROW(B$15),0)</f>
        <v>2</v>
      </c>
      <c r="C89" s="50" t="str">
        <f aca="true">OFFSET(ORÇAMENTO!L$15,ROW(C89)-ROW(C$15),0)</f>
        <v>F</v>
      </c>
      <c r="D89" s="201" t="str">
        <f aca="true">OFFSET(ORÇAMENTO!N$15,ROW(D89)-ROW(D$15),0)</f>
        <v>Nível 2</v>
      </c>
      <c r="E89" s="202" t="str">
        <f aca="true">OFFSET(ORÇAMENTO!O$15,ROW(E89)-ROW(E$15),0)</f>
        <v>1.23.</v>
      </c>
      <c r="F89" s="341" t="str">
        <f aca="true">OFFSET(ORÇAMENTO!R$15,ROW(F89)-ROW(F$15),0)</f>
        <v>PINTURAS INTERNAS</v>
      </c>
      <c r="G89" s="342" t="str">
        <f aca="true">IF($D89&lt;&gt;"Serviço","",OFFSET(ORÇAMENTO!S$15,ROW(G89)-ROW(G$15),0))</f>
        <v/>
      </c>
      <c r="H89" s="207" t="n">
        <f aca="true">IF($D89&lt;&gt;"Serviço",0,IF(ACOMPANHAMENTO="BM",ROUND(OFFSET(ORÇAMENTO!AJ$15,ROW(H89)-ROW(H$15),0),15-13*ORÇAMENTO!$AF$7),SUMPRODUCT(($Q$1:$AQ$1=1)*ROUND($Q89:$AQ89,15-13*ORÇAMENTO!$AF$7))))</f>
        <v>0</v>
      </c>
      <c r="I89" s="343"/>
      <c r="J89" s="344" t="str">
        <f aca="false">IF(OR(B89&lt;&gt;"S",CÁLCULO.FrentesPreenchidas=0),"",IF(AND(ACOMPANHAMENTO="PLE",AUTOEVENTO="Manual",OR(H89&gt;0,ORÇAMENTO!AC89="QUANT."),OR(K89="",M89=0,N89="")),"►",IF(AND(ACOMPANHAMENTO="PLE",ORÇAMENTO!AC89="QUANT."),"►►",IF(AND(COUNTIF($P$11:$AQ$11,"▼")=0,H89&gt;0,I89=""),"◄",""))))</f>
        <v/>
      </c>
      <c r="K89" s="345"/>
      <c r="L89" s="346" t="s">
        <v>876</v>
      </c>
      <c r="M89" s="347" t="str">
        <f aca="true">IF($D89&lt;&gt;"Serviço","",
          IF(AUTOEVENTO="manual",$A89,
                IF(ISERROR(MATCH($A89,$A$15:OFFSET($A89,-1,0),0)),MAX($M$15:OFFSET(M89,-1,0))+1,
                      INDEX($M$15:OFFSET(M89,-1,0),MATCH($A89,$A$15:OFFSET($A89,-1,0),0)))))</f>
        <v/>
      </c>
      <c r="N89" s="348" t="str">
        <f aca="true">IF($D89&lt;&gt;"Serviço","",
         IF(AUTOEVENTO="Manual",
                IF($A89=0,"&lt;-- defina o número do agrupador",
                       OFFSET(EVENTOS!$D$15,$A89-$A$15,0)),
                OFFSET($F$15,$A89,0)))</f>
        <v/>
      </c>
      <c r="O89" s="349"/>
      <c r="Q89" s="349" t="n">
        <v>1</v>
      </c>
      <c r="R89" s="350" t="n">
        <v>1</v>
      </c>
      <c r="S89" s="350" t="n">
        <v>1</v>
      </c>
      <c r="T89" s="350" t="n">
        <v>1</v>
      </c>
      <c r="U89" s="350" t="n">
        <v>1</v>
      </c>
      <c r="V89" s="350" t="n">
        <v>1</v>
      </c>
      <c r="W89" s="350" t="n">
        <v>1</v>
      </c>
      <c r="X89" s="350" t="n">
        <v>1</v>
      </c>
      <c r="Y89" s="350" t="n">
        <v>1</v>
      </c>
      <c r="Z89" s="351" t="n">
        <v>1</v>
      </c>
      <c r="AA89" s="350" t="n">
        <v>1</v>
      </c>
      <c r="AB89" s="350" t="n">
        <v>1</v>
      </c>
      <c r="AC89" s="350" t="n">
        <v>1</v>
      </c>
      <c r="AD89" s="350" t="n">
        <v>1</v>
      </c>
      <c r="AE89" s="350" t="n">
        <v>1</v>
      </c>
      <c r="AF89" s="350" t="n">
        <v>1</v>
      </c>
      <c r="AG89" s="350" t="n">
        <v>1</v>
      </c>
      <c r="AH89" s="351" t="n">
        <v>1</v>
      </c>
      <c r="AI89" s="350" t="n">
        <v>1</v>
      </c>
      <c r="AJ89" s="350" t="n">
        <v>1</v>
      </c>
      <c r="AK89" s="350" t="n">
        <v>1</v>
      </c>
      <c r="AL89" s="350" t="n">
        <v>1</v>
      </c>
      <c r="AM89" s="350" t="n">
        <v>1</v>
      </c>
      <c r="AN89" s="350" t="n">
        <v>1</v>
      </c>
      <c r="AO89" s="350" t="n">
        <v>1</v>
      </c>
      <c r="AP89" s="351"/>
      <c r="AR89" s="352" t="n">
        <f aca="true">IF(AND($D89="Serviço",AR$12&lt;&gt;0,$H89&gt;0,OR(AUTOEVENTO&lt;&gt;"manual",$M89&lt;&gt;$A$15)),
        IF(Import.TipoArredondamento&lt;&gt;"TransfereGOV",
              ROUND(OFFSET($P89,0,AR$13),15-13*ORÇAMENTO!$AF$7)/$H89*OFFSET(ORÇAMENTO!$X$15,ROW(AR89)-ROW(AR$15),0),
              ROUND(ROUND(OFFSET($P89,0,AR$13),15-13*ORÇAMENTO!$AF$7)*OFFSET(ORÇAMENTO!$W$15,ROW(AR89)-ROW(AR$15),0),15-13*ORÇAMENTO!$AF$11)),
         0)</f>
        <v>0</v>
      </c>
      <c r="AS89" s="352" t="n">
        <f aca="true">IF(AND($D89="Serviço",AS$12&lt;&gt;0,$H89&gt;0,OR(AUTOEVENTO&lt;&gt;"manual",$M89&lt;&gt;$A$15)),
        IF(Import.TipoArredondamento&lt;&gt;"TransfereGOV",
              ROUND(OFFSET($P89,0,AS$13),15-13*ORÇAMENTO!$AF$7)/$H89*OFFSET(ORÇAMENTO!$X$15,ROW(AS89)-ROW(AS$15),0),
              ROUND(ROUND(OFFSET($P89,0,AS$13),15-13*ORÇAMENTO!$AF$7)*OFFSET(ORÇAMENTO!$W$15,ROW(AS89)-ROW(AS$15),0),15-13*ORÇAMENTO!$AF$11)),
         0)</f>
        <v>0</v>
      </c>
      <c r="AT89" s="352" t="n">
        <f aca="true">IF(AND($D89="Serviço",AT$12&lt;&gt;0,$H89&gt;0,OR(AUTOEVENTO&lt;&gt;"manual",$M89&lt;&gt;$A$15)),
        IF(Import.TipoArredondamento&lt;&gt;"TransfereGOV",
              ROUND(OFFSET($P89,0,AT$13),15-13*ORÇAMENTO!$AF$7)/$H89*OFFSET(ORÇAMENTO!$X$15,ROW(AT89)-ROW(AT$15),0),
              ROUND(ROUND(OFFSET($P89,0,AT$13),15-13*ORÇAMENTO!$AF$7)*OFFSET(ORÇAMENTO!$W$15,ROW(AT89)-ROW(AT$15),0),15-13*ORÇAMENTO!$AF$11)),
         0)</f>
        <v>0</v>
      </c>
      <c r="AU89" s="352" t="n">
        <f aca="true">IF(AND($D89="Serviço",AU$12&lt;&gt;0,$H89&gt;0,OR(AUTOEVENTO&lt;&gt;"manual",$M89&lt;&gt;$A$15)),
        IF(Import.TipoArredondamento&lt;&gt;"TransfereGOV",
              ROUND(OFFSET($P89,0,AU$13),15-13*ORÇAMENTO!$AF$7)/$H89*OFFSET(ORÇAMENTO!$X$15,ROW(AU89)-ROW(AU$15),0),
              ROUND(ROUND(OFFSET($P89,0,AU$13),15-13*ORÇAMENTO!$AF$7)*OFFSET(ORÇAMENTO!$W$15,ROW(AU89)-ROW(AU$15),0),15-13*ORÇAMENTO!$AF$11)),
         0)</f>
        <v>0</v>
      </c>
      <c r="AV89" s="352" t="n">
        <f aca="true">IF(AND($D89="Serviço",AV$12&lt;&gt;0,$H89&gt;0,OR(AUTOEVENTO&lt;&gt;"manual",$M89&lt;&gt;$A$15)),
        IF(Import.TipoArredondamento&lt;&gt;"TransfereGOV",
              ROUND(OFFSET($P89,0,AV$13),15-13*ORÇAMENTO!$AF$7)/$H89*OFFSET(ORÇAMENTO!$X$15,ROW(AV89)-ROW(AV$15),0),
              ROUND(ROUND(OFFSET($P89,0,AV$13),15-13*ORÇAMENTO!$AF$7)*OFFSET(ORÇAMENTO!$W$15,ROW(AV89)-ROW(AV$15),0),15-13*ORÇAMENTO!$AF$11)),
         0)</f>
        <v>0</v>
      </c>
      <c r="AW89" s="352" t="n">
        <f aca="true">IF(AND($D89="Serviço",AW$12&lt;&gt;0,$H89&gt;0,OR(AUTOEVENTO&lt;&gt;"manual",$M89&lt;&gt;$A$15)),
        IF(Import.TipoArredondamento&lt;&gt;"TransfereGOV",
              ROUND(OFFSET($P89,0,AW$13),15-13*ORÇAMENTO!$AF$7)/$H89*OFFSET(ORÇAMENTO!$X$15,ROW(AW89)-ROW(AW$15),0),
              ROUND(ROUND(OFFSET($P89,0,AW$13),15-13*ORÇAMENTO!$AF$7)*OFFSET(ORÇAMENTO!$W$15,ROW(AW89)-ROW(AW$15),0),15-13*ORÇAMENTO!$AF$11)),
         0)</f>
        <v>0</v>
      </c>
      <c r="AX89" s="352" t="n">
        <f aca="true">IF(AND($D89="Serviço",AX$12&lt;&gt;0,$H89&gt;0,OR(AUTOEVENTO&lt;&gt;"manual",$M89&lt;&gt;$A$15)),
        IF(Import.TipoArredondamento&lt;&gt;"TransfereGOV",
              ROUND(OFFSET($P89,0,AX$13),15-13*ORÇAMENTO!$AF$7)/$H89*OFFSET(ORÇAMENTO!$X$15,ROW(AX89)-ROW(AX$15),0),
              ROUND(ROUND(OFFSET($P89,0,AX$13),15-13*ORÇAMENTO!$AF$7)*OFFSET(ORÇAMENTO!$W$15,ROW(AX89)-ROW(AX$15),0),15-13*ORÇAMENTO!$AF$11)),
         0)</f>
        <v>0</v>
      </c>
      <c r="AY89" s="352" t="n">
        <f aca="true">IF(AND($D89="Serviço",AY$12&lt;&gt;0,$H89&gt;0,OR(AUTOEVENTO&lt;&gt;"manual",$M89&lt;&gt;$A$15)),
        IF(Import.TipoArredondamento&lt;&gt;"TransfereGOV",
              ROUND(OFFSET($P89,0,AY$13),15-13*ORÇAMENTO!$AF$7)/$H89*OFFSET(ORÇAMENTO!$X$15,ROW(AY89)-ROW(AY$15),0),
              ROUND(ROUND(OFFSET($P89,0,AY$13),15-13*ORÇAMENTO!$AF$7)*OFFSET(ORÇAMENTO!$W$15,ROW(AY89)-ROW(AY$15),0),15-13*ORÇAMENTO!$AF$11)),
         0)</f>
        <v>0</v>
      </c>
      <c r="AZ89" s="352" t="n">
        <f aca="true">IF(AND($D89="Serviço",AZ$12&lt;&gt;0,$H89&gt;0,OR(AUTOEVENTO&lt;&gt;"manual",$M89&lt;&gt;$A$15)),
        IF(Import.TipoArredondamento&lt;&gt;"TransfereGOV",
              ROUND(OFFSET($P89,0,AZ$13),15-13*ORÇAMENTO!$AF$7)/$H89*OFFSET(ORÇAMENTO!$X$15,ROW(AZ89)-ROW(AZ$15),0),
              ROUND(ROUND(OFFSET($P89,0,AZ$13),15-13*ORÇAMENTO!$AF$7)*OFFSET(ORÇAMENTO!$W$15,ROW(AZ89)-ROW(AZ$15),0),15-13*ORÇAMENTO!$AF$11)),
         0)</f>
        <v>0</v>
      </c>
      <c r="BA89" s="352" t="n">
        <f aca="true">IF(AND($D89="Serviço",BA$12&lt;&gt;0,$H89&gt;0,OR(AUTOEVENTO&lt;&gt;"manual",$M89&lt;&gt;$A$15)),
        IF(Import.TipoArredondamento&lt;&gt;"TransfereGOV",
              ROUND(OFFSET($P89,0,BA$13),15-13*ORÇAMENTO!$AF$7)/$H89*OFFSET(ORÇAMENTO!$X$15,ROW(BA89)-ROW(BA$15),0),
              ROUND(ROUND(OFFSET($P89,0,BA$13),15-13*ORÇAMENTO!$AF$7)*OFFSET(ORÇAMENTO!$W$15,ROW(BA89)-ROW(BA$15),0),15-13*ORÇAMENTO!$AF$11)),
         0)</f>
        <v>0</v>
      </c>
      <c r="BB89" s="352" t="n">
        <f aca="true">IF(AND($D89="Serviço",BB$12&lt;&gt;0,$H89&gt;0,OR(AUTOEVENTO&lt;&gt;"manual",$M89&lt;&gt;$A$15)),
        IF(Import.TipoArredondamento&lt;&gt;"TransfereGOV",
              ROUND(OFFSET($P89,0,BB$13),15-13*ORÇAMENTO!$AF$7)/$H89*OFFSET(ORÇAMENTO!$X$15,ROW(BB89)-ROW(BB$15),0),
              ROUND(ROUND(OFFSET($P89,0,BB$13),15-13*ORÇAMENTO!$AF$7)*OFFSET(ORÇAMENTO!$W$15,ROW(BB89)-ROW(BB$15),0),15-13*ORÇAMENTO!$AF$11)),
         0)</f>
        <v>0</v>
      </c>
      <c r="BC89" s="352" t="n">
        <f aca="true">IF(AND($D89="Serviço",BC$12&lt;&gt;0,$H89&gt;0,OR(AUTOEVENTO&lt;&gt;"manual",$M89&lt;&gt;$A$15)),
        IF(Import.TipoArredondamento&lt;&gt;"TransfereGOV",
              ROUND(OFFSET($P89,0,BC$13),15-13*ORÇAMENTO!$AF$7)/$H89*OFFSET(ORÇAMENTO!$X$15,ROW(BC89)-ROW(BC$15),0),
              ROUND(ROUND(OFFSET($P89,0,BC$13),15-13*ORÇAMENTO!$AF$7)*OFFSET(ORÇAMENTO!$W$15,ROW(BC89)-ROW(BC$15),0),15-13*ORÇAMENTO!$AF$11)),
         0)</f>
        <v>0</v>
      </c>
      <c r="BD89" s="352" t="n">
        <f aca="true">IF(AND($D89="Serviço",BD$12&lt;&gt;0,$H89&gt;0,OR(AUTOEVENTO&lt;&gt;"manual",$M89&lt;&gt;$A$15)),
        IF(Import.TipoArredondamento&lt;&gt;"TransfereGOV",
              ROUND(OFFSET($P89,0,BD$13),15-13*ORÇAMENTO!$AF$7)/$H89*OFFSET(ORÇAMENTO!$X$15,ROW(BD89)-ROW(BD$15),0),
              ROUND(ROUND(OFFSET($P89,0,BD$13),15-13*ORÇAMENTO!$AF$7)*OFFSET(ORÇAMENTO!$W$15,ROW(BD89)-ROW(BD$15),0),15-13*ORÇAMENTO!$AF$11)),
         0)</f>
        <v>0</v>
      </c>
      <c r="BE89" s="352" t="n">
        <f aca="true">IF(AND($D89="Serviço",BE$12&lt;&gt;0,$H89&gt;0,OR(AUTOEVENTO&lt;&gt;"manual",$M89&lt;&gt;$A$15)),
        IF(Import.TipoArredondamento&lt;&gt;"TransfereGOV",
              ROUND(OFFSET($P89,0,BE$13),15-13*ORÇAMENTO!$AF$7)/$H89*OFFSET(ORÇAMENTO!$X$15,ROW(BE89)-ROW(BE$15),0),
              ROUND(ROUND(OFFSET($P89,0,BE$13),15-13*ORÇAMENTO!$AF$7)*OFFSET(ORÇAMENTO!$W$15,ROW(BE89)-ROW(BE$15),0),15-13*ORÇAMENTO!$AF$11)),
         0)</f>
        <v>0</v>
      </c>
      <c r="BF89" s="352" t="n">
        <f aca="true">IF(AND($D89="Serviço",BF$12&lt;&gt;0,$H89&gt;0,OR(AUTOEVENTO&lt;&gt;"manual",$M89&lt;&gt;$A$15)),
        IF(Import.TipoArredondamento&lt;&gt;"TransfereGOV",
              ROUND(OFFSET($P89,0,BF$13),15-13*ORÇAMENTO!$AF$7)/$H89*OFFSET(ORÇAMENTO!$X$15,ROW(BF89)-ROW(BF$15),0),
              ROUND(ROUND(OFFSET($P89,0,BF$13),15-13*ORÇAMENTO!$AF$7)*OFFSET(ORÇAMENTO!$W$15,ROW(BF89)-ROW(BF$15),0),15-13*ORÇAMENTO!$AF$11)),
         0)</f>
        <v>0</v>
      </c>
      <c r="BG89" s="352" t="n">
        <f aca="true">IF(AND($D89="Serviço",BG$12&lt;&gt;0,$H89&gt;0,OR(AUTOEVENTO&lt;&gt;"manual",$M89&lt;&gt;$A$15)),
        IF(Import.TipoArredondamento&lt;&gt;"TransfereGOV",
              ROUND(OFFSET($P89,0,BG$13),15-13*ORÇAMENTO!$AF$7)/$H89*OFFSET(ORÇAMENTO!$X$15,ROW(BG89)-ROW(BG$15),0),
              ROUND(ROUND(OFFSET($P89,0,BG$13),15-13*ORÇAMENTO!$AF$7)*OFFSET(ORÇAMENTO!$W$15,ROW(BG89)-ROW(BG$15),0),15-13*ORÇAMENTO!$AF$11)),
         0)</f>
        <v>0</v>
      </c>
      <c r="BH89" s="352" t="n">
        <f aca="true">IF(AND($D89="Serviço",BH$12&lt;&gt;0,$H89&gt;0,OR(AUTOEVENTO&lt;&gt;"manual",$M89&lt;&gt;$A$15)),
        IF(Import.TipoArredondamento&lt;&gt;"TransfereGOV",
              ROUND(OFFSET($P89,0,BH$13),15-13*ORÇAMENTO!$AF$7)/$H89*OFFSET(ORÇAMENTO!$X$15,ROW(BH89)-ROW(BH$15),0),
              ROUND(ROUND(OFFSET($P89,0,BH$13),15-13*ORÇAMENTO!$AF$7)*OFFSET(ORÇAMENTO!$W$15,ROW(BH89)-ROW(BH$15),0),15-13*ORÇAMENTO!$AF$11)),
         0)</f>
        <v>0</v>
      </c>
      <c r="BI89" s="352" t="n">
        <f aca="true">IF(AND($D89="Serviço",BI$12&lt;&gt;0,$H89&gt;0,OR(AUTOEVENTO&lt;&gt;"manual",$M89&lt;&gt;$A$15)),
        IF(Import.TipoArredondamento&lt;&gt;"TransfereGOV",
              ROUND(OFFSET($P89,0,BI$13),15-13*ORÇAMENTO!$AF$7)/$H89*OFFSET(ORÇAMENTO!$X$15,ROW(BI89)-ROW(BI$15),0),
              ROUND(ROUND(OFFSET($P89,0,BI$13),15-13*ORÇAMENTO!$AF$7)*OFFSET(ORÇAMENTO!$W$15,ROW(BI89)-ROW(BI$15),0),15-13*ORÇAMENTO!$AF$11)),
         0)</f>
        <v>0</v>
      </c>
      <c r="BJ89" s="352" t="n">
        <f aca="true">IF(AND($D89="Serviço",BJ$12&lt;&gt;0,$H89&gt;0,OR(AUTOEVENTO&lt;&gt;"manual",$M89&lt;&gt;$A$15)),
        IF(Import.TipoArredondamento&lt;&gt;"TransfereGOV",
              ROUND(OFFSET($P89,0,BJ$13),15-13*ORÇAMENTO!$AF$7)/$H89*OFFSET(ORÇAMENTO!$X$15,ROW(BJ89)-ROW(BJ$15),0),
              ROUND(ROUND(OFFSET($P89,0,BJ$13),15-13*ORÇAMENTO!$AF$7)*OFFSET(ORÇAMENTO!$W$15,ROW(BJ89)-ROW(BJ$15),0),15-13*ORÇAMENTO!$AF$11)),
         0)</f>
        <v>0</v>
      </c>
      <c r="BK89" s="352" t="n">
        <f aca="true">IF(AND($D89="Serviço",BK$12&lt;&gt;0,$H89&gt;0,OR(AUTOEVENTO&lt;&gt;"manual",$M89&lt;&gt;$A$15)),
        IF(Import.TipoArredondamento&lt;&gt;"TransfereGOV",
              ROUND(OFFSET($P89,0,BK$13),15-13*ORÇAMENTO!$AF$7)/$H89*OFFSET(ORÇAMENTO!$X$15,ROW(BK89)-ROW(BK$15),0),
              ROUND(ROUND(OFFSET($P89,0,BK$13),15-13*ORÇAMENTO!$AF$7)*OFFSET(ORÇAMENTO!$W$15,ROW(BK89)-ROW(BK$15),0),15-13*ORÇAMENTO!$AF$11)),
         0)</f>
        <v>0</v>
      </c>
      <c r="BL89" s="352" t="n">
        <f aca="true">IF(AND($D89="Serviço",BL$12&lt;&gt;0,$H89&gt;0,OR(AUTOEVENTO&lt;&gt;"manual",$M89&lt;&gt;$A$15)),
        IF(Import.TipoArredondamento&lt;&gt;"TransfereGOV",
              ROUND(OFFSET($P89,0,BL$13),15-13*ORÇAMENTO!$AF$7)/$H89*OFFSET(ORÇAMENTO!$X$15,ROW(BL89)-ROW(BL$15),0),
              ROUND(ROUND(OFFSET($P89,0,BL$13),15-13*ORÇAMENTO!$AF$7)*OFFSET(ORÇAMENTO!$W$15,ROW(BL89)-ROW(BL$15),0),15-13*ORÇAMENTO!$AF$11)),
         0)</f>
        <v>0</v>
      </c>
      <c r="BM89" s="352" t="n">
        <f aca="true">IF(AND($D89="Serviço",BM$12&lt;&gt;0,$H89&gt;0,OR(AUTOEVENTO&lt;&gt;"manual",$M89&lt;&gt;$A$15)),
        IF(Import.TipoArredondamento&lt;&gt;"TransfereGOV",
              ROUND(OFFSET($P89,0,BM$13),15-13*ORÇAMENTO!$AF$7)/$H89*OFFSET(ORÇAMENTO!$X$15,ROW(BM89)-ROW(BM$15),0),
              ROUND(ROUND(OFFSET($P89,0,BM$13),15-13*ORÇAMENTO!$AF$7)*OFFSET(ORÇAMENTO!$W$15,ROW(BM89)-ROW(BM$15),0),15-13*ORÇAMENTO!$AF$11)),
         0)</f>
        <v>0</v>
      </c>
      <c r="BN89" s="352" t="n">
        <f aca="true">IF(AND($D89="Serviço",BN$12&lt;&gt;0,$H89&gt;0,OR(AUTOEVENTO&lt;&gt;"manual",$M89&lt;&gt;$A$15)),
        IF(Import.TipoArredondamento&lt;&gt;"TransfereGOV",
              ROUND(OFFSET($P89,0,BN$13),15-13*ORÇAMENTO!$AF$7)/$H89*OFFSET(ORÇAMENTO!$X$15,ROW(BN89)-ROW(BN$15),0),
              ROUND(ROUND(OFFSET($P89,0,BN$13),15-13*ORÇAMENTO!$AF$7)*OFFSET(ORÇAMENTO!$W$15,ROW(BN89)-ROW(BN$15),0),15-13*ORÇAMENTO!$AF$11)),
         0)</f>
        <v>0</v>
      </c>
      <c r="BO89" s="352" t="n">
        <f aca="true">IF(AND($D89="Serviço",BO$12&lt;&gt;0,$H89&gt;0,OR(AUTOEVENTO&lt;&gt;"manual",$M89&lt;&gt;$A$15)),
        IF(Import.TipoArredondamento&lt;&gt;"TransfereGOV",
              ROUND(OFFSET($P89,0,BO$13),15-13*ORÇAMENTO!$AF$7)/$H89*OFFSET(ORÇAMENTO!$X$15,ROW(BO89)-ROW(BO$15),0),
              ROUND(ROUND(OFFSET($P89,0,BO$13),15-13*ORÇAMENTO!$AF$7)*OFFSET(ORÇAMENTO!$W$15,ROW(BO89)-ROW(BO$15),0),15-13*ORÇAMENTO!$AF$11)),
         0)</f>
        <v>0</v>
      </c>
      <c r="BP89" s="352" t="n">
        <f aca="true">IF(AND($D89="Serviço",BP$12&lt;&gt;0,$H89&gt;0,OR(AUTOEVENTO&lt;&gt;"manual",$M89&lt;&gt;$A$15)),
        IF(Import.TipoArredondamento&lt;&gt;"TransfereGOV",
              ROUND(OFFSET($P89,0,BP$13),15-13*ORÇAMENTO!$AF$7)/$H89*OFFSET(ORÇAMENTO!$X$15,ROW(BP89)-ROW(BP$15),0),
              ROUND(ROUND(OFFSET($P89,0,BP$13),15-13*ORÇAMENTO!$AF$7)*OFFSET(ORÇAMENTO!$W$15,ROW(BP89)-ROW(BP$15),0),15-13*ORÇAMENTO!$AF$11)),
         0)</f>
        <v>0</v>
      </c>
      <c r="BQ89" s="352" t="n">
        <f aca="true">IF(AND($D89="Serviço",BQ$12&lt;&gt;0,$H89&gt;0,OR(AUTOEVENTO&lt;&gt;"manual",$M89&lt;&gt;$A$15)),
        IF(Import.TipoArredondamento&lt;&gt;"TransfereGOV",
              ROUND(OFFSET($P89,0,BQ$13),15-13*ORÇAMENTO!$AF$7)/$H89*OFFSET(ORÇAMENTO!$X$15,ROW(BQ89)-ROW(BQ$15),0),
              ROUND(ROUND(OFFSET($P89,0,BQ$13),15-13*ORÇAMENTO!$AF$7)*OFFSET(ORÇAMENTO!$W$15,ROW(BQ89)-ROW(BQ$15),0),15-13*ORÇAMENTO!$AF$11)),
         0)</f>
        <v>0</v>
      </c>
      <c r="BS89" s="353" t="n">
        <f aca="true">IF(OR($D89&lt;&gt;"Serviço",AND(AUTOEVENTO="Manual",$M89=$A$15)),0,
         IF(OFFSET(CRONOPLE!$F$15,$M89-$A$15,BS$13)=0,10^12,OFFSET(CRONOPLE!$F$15,$M89-$A$15,BS$13)))</f>
        <v>0</v>
      </c>
      <c r="BT89" s="353" t="n">
        <f aca="true">IF(OR($D89&lt;&gt;"Serviço",AND(AUTOEVENTO="Manual",$M89=$A$15)),0,
         IF(OFFSET(CRONOPLE!$F$15,$M89-$A$15,BT$13)=0,10^12,OFFSET(CRONOPLE!$F$15,$M89-$A$15,BT$13)))</f>
        <v>0</v>
      </c>
      <c r="BU89" s="353" t="n">
        <f aca="true">IF(OR($D89&lt;&gt;"Serviço",AND(AUTOEVENTO="Manual",$M89=$A$15)),0,
         IF(OFFSET(CRONOPLE!$F$15,$M89-$A$15,BU$13)=0,10^12,OFFSET(CRONOPLE!$F$15,$M89-$A$15,BU$13)))</f>
        <v>0</v>
      </c>
      <c r="BV89" s="353" t="n">
        <f aca="true">IF(OR($D89&lt;&gt;"Serviço",AND(AUTOEVENTO="Manual",$M89=$A$15)),0,
         IF(OFFSET(CRONOPLE!$F$15,$M89-$A$15,BV$13)=0,10^12,OFFSET(CRONOPLE!$F$15,$M89-$A$15,BV$13)))</f>
        <v>0</v>
      </c>
      <c r="BW89" s="353" t="n">
        <f aca="true">IF(OR($D89&lt;&gt;"Serviço",AND(AUTOEVENTO="Manual",$M89=$A$15)),0,
         IF(OFFSET(CRONOPLE!$F$15,$M89-$A$15,BW$13)=0,10^12,OFFSET(CRONOPLE!$F$15,$M89-$A$15,BW$13)))</f>
        <v>0</v>
      </c>
      <c r="BX89" s="353" t="n">
        <f aca="true">IF(OR($D89&lt;&gt;"Serviço",AND(AUTOEVENTO="Manual",$M89=$A$15)),0,
         IF(OFFSET(CRONOPLE!$F$15,$M89-$A$15,BX$13)=0,10^12,OFFSET(CRONOPLE!$F$15,$M89-$A$15,BX$13)))</f>
        <v>0</v>
      </c>
      <c r="BY89" s="353" t="n">
        <f aca="true">IF(OR($D89&lt;&gt;"Serviço",AND(AUTOEVENTO="Manual",$M89=$A$15)),0,
         IF(OFFSET(CRONOPLE!$F$15,$M89-$A$15,BY$13)=0,10^12,OFFSET(CRONOPLE!$F$15,$M89-$A$15,BY$13)))</f>
        <v>0</v>
      </c>
      <c r="BZ89" s="353" t="n">
        <f aca="true">IF(OR($D89&lt;&gt;"Serviço",AND(AUTOEVENTO="Manual",$M89=$A$15)),0,
         IF(OFFSET(CRONOPLE!$F$15,$M89-$A$15,BZ$13)=0,10^12,OFFSET(CRONOPLE!$F$15,$M89-$A$15,BZ$13)))</f>
        <v>0</v>
      </c>
      <c r="CA89" s="353" t="n">
        <f aca="true">IF(OR($D89&lt;&gt;"Serviço",AND(AUTOEVENTO="Manual",$M89=$A$15)),0,
         IF(OFFSET(CRONOPLE!$F$15,$M89-$A$15,CA$13)=0,10^12,OFFSET(CRONOPLE!$F$15,$M89-$A$15,CA$13)))</f>
        <v>0</v>
      </c>
      <c r="CB89" s="353" t="n">
        <f aca="true">IF(OR($D89&lt;&gt;"Serviço",AND(AUTOEVENTO="Manual",$M89=$A$15)),0,
         IF(OFFSET(CRONOPLE!$F$15,$M89-$A$15,CB$13)=0,10^12,OFFSET(CRONOPLE!$F$15,$M89-$A$15,CB$13)))</f>
        <v>0</v>
      </c>
      <c r="CC89" s="353" t="n">
        <f aca="true">IF(OR($D89&lt;&gt;"Serviço",AND(AUTOEVENTO="Manual",$M89=$A$15)),0,
         IF(OFFSET(CRONOPLE!$F$15,$M89-$A$15,CC$13)=0,10^12,OFFSET(CRONOPLE!$F$15,$M89-$A$15,CC$13)))</f>
        <v>0</v>
      </c>
      <c r="CD89" s="353" t="n">
        <f aca="true">IF(OR($D89&lt;&gt;"Serviço",AND(AUTOEVENTO="Manual",$M89=$A$15)),0,
         IF(OFFSET(CRONOPLE!$F$15,$M89-$A$15,CD$13)=0,10^12,OFFSET(CRONOPLE!$F$15,$M89-$A$15,CD$13)))</f>
        <v>0</v>
      </c>
      <c r="CE89" s="353" t="n">
        <f aca="true">IF(OR($D89&lt;&gt;"Serviço",AND(AUTOEVENTO="Manual",$M89=$A$15)),0,
         IF(OFFSET(CRONOPLE!$F$15,$M89-$A$15,CE$13)=0,10^12,OFFSET(CRONOPLE!$F$15,$M89-$A$15,CE$13)))</f>
        <v>0</v>
      </c>
      <c r="CF89" s="353" t="n">
        <f aca="true">IF(OR($D89&lt;&gt;"Serviço",AND(AUTOEVENTO="Manual",$M89=$A$15)),0,
         IF(OFFSET(CRONOPLE!$F$15,$M89-$A$15,CF$13)=0,10^12,OFFSET(CRONOPLE!$F$15,$M89-$A$15,CF$13)))</f>
        <v>0</v>
      </c>
      <c r="CG89" s="353" t="n">
        <f aca="true">IF(OR($D89&lt;&gt;"Serviço",AND(AUTOEVENTO="Manual",$M89=$A$15)),0,
         IF(OFFSET(CRONOPLE!$F$15,$M89-$A$15,CG$13)=0,10^12,OFFSET(CRONOPLE!$F$15,$M89-$A$15,CG$13)))</f>
        <v>0</v>
      </c>
      <c r="CH89" s="353" t="n">
        <f aca="true">IF(OR($D89&lt;&gt;"Serviço",AND(AUTOEVENTO="Manual",$M89=$A$15)),0,
         IF(OFFSET(CRONOPLE!$F$15,$M89-$A$15,CH$13)=0,10^12,OFFSET(CRONOPLE!$F$15,$M89-$A$15,CH$13)))</f>
        <v>0</v>
      </c>
      <c r="CI89" s="353" t="n">
        <f aca="true">IF(OR($D89&lt;&gt;"Serviço",AND(AUTOEVENTO="Manual",$M89=$A$15)),0,
         IF(OFFSET(CRONOPLE!$F$15,$M89-$A$15,CI$13)=0,10^12,OFFSET(CRONOPLE!$F$15,$M89-$A$15,CI$13)))</f>
        <v>0</v>
      </c>
      <c r="CJ89" s="353" t="n">
        <f aca="true">IF(OR($D89&lt;&gt;"Serviço",AND(AUTOEVENTO="Manual",$M89=$A$15)),0,
         IF(OFFSET(CRONOPLE!$F$15,$M89-$A$15,CJ$13)=0,10^12,OFFSET(CRONOPLE!$F$15,$M89-$A$15,CJ$13)))</f>
        <v>0</v>
      </c>
      <c r="CK89" s="353" t="n">
        <f aca="true">IF(OR($D89&lt;&gt;"Serviço",AND(AUTOEVENTO="Manual",$M89=$A$15)),0,
         IF(OFFSET(CRONOPLE!$F$15,$M89-$A$15,CK$13)=0,10^12,OFFSET(CRONOPLE!$F$15,$M89-$A$15,CK$13)))</f>
        <v>0</v>
      </c>
      <c r="CL89" s="353" t="n">
        <f aca="true">IF(OR($D89&lt;&gt;"Serviço",AND(AUTOEVENTO="Manual",$M89=$A$15)),0,
         IF(OFFSET(CRONOPLE!$F$15,$M89-$A$15,CL$13)=0,10^12,OFFSET(CRONOPLE!$F$15,$M89-$A$15,CL$13)))</f>
        <v>0</v>
      </c>
      <c r="CM89" s="353" t="n">
        <f aca="true">IF(OR($D89&lt;&gt;"Serviço",AND(AUTOEVENTO="Manual",$M89=$A$15)),0,
         IF(OFFSET(CRONOPLE!$F$15,$M89-$A$15,CM$13)=0,10^12,OFFSET(CRONOPLE!$F$15,$M89-$A$15,CM$13)))</f>
        <v>0</v>
      </c>
      <c r="CN89" s="353" t="n">
        <f aca="true">IF(OR($D89&lt;&gt;"Serviço",AND(AUTOEVENTO="Manual",$M89=$A$15)),0,
         IF(OFFSET(CRONOPLE!$F$15,$M89-$A$15,CN$13)=0,10^12,OFFSET(CRONOPLE!$F$15,$M89-$A$15,CN$13)))</f>
        <v>0</v>
      </c>
      <c r="CO89" s="353" t="n">
        <f aca="true">IF(OR($D89&lt;&gt;"Serviço",AND(AUTOEVENTO="Manual",$M89=$A$15)),0,
         IF(OFFSET(CRONOPLE!$F$15,$M89-$A$15,CO$13)=0,10^12,OFFSET(CRONOPLE!$F$15,$M89-$A$15,CO$13)))</f>
        <v>0</v>
      </c>
      <c r="CP89" s="353" t="n">
        <f aca="true">IF(OR($D89&lt;&gt;"Serviço",AND(AUTOEVENTO="Manual",$M89=$A$15)),0,
         IF(OFFSET(CRONOPLE!$F$15,$M89-$A$15,CP$13)=0,10^12,OFFSET(CRONOPLE!$F$15,$M89-$A$15,CP$13)))</f>
        <v>0</v>
      </c>
      <c r="CQ89" s="353" t="n">
        <f aca="true">IF(OR($D89&lt;&gt;"Serviço",AND(AUTOEVENTO="Manual",$M89=$A$15)),0,
         IF(OFFSET(CRONOPLE!$F$15,$M89-$A$15,CQ$13)=0,10^12,OFFSET(CRONOPLE!$F$15,$M89-$A$15,CQ$13)))</f>
        <v>0</v>
      </c>
      <c r="CR89" s="353" t="n">
        <f aca="true">IF(OR($D89&lt;&gt;"Serviço",AND(AUTOEVENTO="Manual",$M89=$A$15)),0,
         IF(OFFSET(CRONOPLE!$F$15,$M89-$A$15,CR$13)=0,10^12,OFFSET(CRONOPLE!$F$15,$M89-$A$15,CR$13)))</f>
        <v>0</v>
      </c>
      <c r="CT89" s="354" t="n">
        <f aca="true">IF(OR($D89&lt;&gt;"Serviço",AND(AUTOEVENTO="Manual",$M89=$A$15),$M89&gt;(ROW(PLE.lastrow)-ROW(PLE.firstrow))),0,
           IF(OFFSET(PLE!$G$15,$M89-$A$15,CT$13)="",10^12,OFFSET(PLE!$G$15,$M89-$A$15,CT$13)))</f>
        <v>0</v>
      </c>
      <c r="CU89" s="354" t="n">
        <f aca="true">IF(OR($D89&lt;&gt;"Serviço",AND(AUTOEVENTO="Manual",$M89=$A$15),$M89&gt;(ROW(PLE.lastrow)-ROW(PLE.firstrow))),0,
           IF(OFFSET(PLE!$G$15,$M89-$A$15,CU$13)="",10^12,OFFSET(PLE!$G$15,$M89-$A$15,CU$13)))</f>
        <v>0</v>
      </c>
      <c r="CV89" s="354" t="n">
        <f aca="true">IF(OR($D89&lt;&gt;"Serviço",AND(AUTOEVENTO="Manual",$M89=$A$15),$M89&gt;(ROW(PLE.lastrow)-ROW(PLE.firstrow))),0,
           IF(OFFSET(PLE!$G$15,$M89-$A$15,CV$13)="",10^12,OFFSET(PLE!$G$15,$M89-$A$15,CV$13)))</f>
        <v>0</v>
      </c>
      <c r="CW89" s="354" t="n">
        <f aca="true">IF(OR($D89&lt;&gt;"Serviço",AND(AUTOEVENTO="Manual",$M89=$A$15),$M89&gt;(ROW(PLE.lastrow)-ROW(PLE.firstrow))),0,
           IF(OFFSET(PLE!$G$15,$M89-$A$15,CW$13)="",10^12,OFFSET(PLE!$G$15,$M89-$A$15,CW$13)))</f>
        <v>0</v>
      </c>
      <c r="CX89" s="354" t="n">
        <f aca="true">IF(OR($D89&lt;&gt;"Serviço",AND(AUTOEVENTO="Manual",$M89=$A$15),$M89&gt;(ROW(PLE.lastrow)-ROW(PLE.firstrow))),0,
           IF(OFFSET(PLE!$G$15,$M89-$A$15,CX$13)="",10^12,OFFSET(PLE!$G$15,$M89-$A$15,CX$13)))</f>
        <v>0</v>
      </c>
      <c r="CY89" s="354" t="n">
        <f aca="true">IF(OR($D89&lt;&gt;"Serviço",AND(AUTOEVENTO="Manual",$M89=$A$15),$M89&gt;(ROW(PLE.lastrow)-ROW(PLE.firstrow))),0,
           IF(OFFSET(PLE!$G$15,$M89-$A$15,CY$13)="",10^12,OFFSET(PLE!$G$15,$M89-$A$15,CY$13)))</f>
        <v>0</v>
      </c>
      <c r="CZ89" s="354" t="n">
        <f aca="true">IF(OR($D89&lt;&gt;"Serviço",AND(AUTOEVENTO="Manual",$M89=$A$15),$M89&gt;(ROW(PLE.lastrow)-ROW(PLE.firstrow))),0,
           IF(OFFSET(PLE!$G$15,$M89-$A$15,CZ$13)="",10^12,OFFSET(PLE!$G$15,$M89-$A$15,CZ$13)))</f>
        <v>0</v>
      </c>
      <c r="DA89" s="354" t="n">
        <f aca="true">IF(OR($D89&lt;&gt;"Serviço",AND(AUTOEVENTO="Manual",$M89=$A$15),$M89&gt;(ROW(PLE.lastrow)-ROW(PLE.firstrow))),0,
           IF(OFFSET(PLE!$G$15,$M89-$A$15,DA$13)="",10^12,OFFSET(PLE!$G$15,$M89-$A$15,DA$13)))</f>
        <v>0</v>
      </c>
      <c r="DB89" s="354" t="n">
        <f aca="true">IF(OR($D89&lt;&gt;"Serviço",AND(AUTOEVENTO="Manual",$M89=$A$15),$M89&gt;(ROW(PLE.lastrow)-ROW(PLE.firstrow))),0,
           IF(OFFSET(PLE!$G$15,$M89-$A$15,DB$13)="",10^12,OFFSET(PLE!$G$15,$M89-$A$15,DB$13)))</f>
        <v>0</v>
      </c>
      <c r="DC89" s="354" t="n">
        <f aca="true">IF(OR($D89&lt;&gt;"Serviço",AND(AUTOEVENTO="Manual",$M89=$A$15),$M89&gt;(ROW(PLE.lastrow)-ROW(PLE.firstrow))),0,
           IF(OFFSET(PLE!$G$15,$M89-$A$15,DC$13)="",10^12,OFFSET(PLE!$G$15,$M89-$A$15,DC$13)))</f>
        <v>0</v>
      </c>
      <c r="DD89" s="354" t="n">
        <f aca="true">IF(OR($D89&lt;&gt;"Serviço",AND(AUTOEVENTO="Manual",$M89=$A$15),$M89&gt;(ROW(PLE.lastrow)-ROW(PLE.firstrow))),0,
           IF(OFFSET(PLE!$G$15,$M89-$A$15,DD$13)="",10^12,OFFSET(PLE!$G$15,$M89-$A$15,DD$13)))</f>
        <v>0</v>
      </c>
      <c r="DE89" s="354" t="n">
        <f aca="true">IF(OR($D89&lt;&gt;"Serviço",AND(AUTOEVENTO="Manual",$M89=$A$15),$M89&gt;(ROW(PLE.lastrow)-ROW(PLE.firstrow))),0,
           IF(OFFSET(PLE!$G$15,$M89-$A$15,DE$13)="",10^12,OFFSET(PLE!$G$15,$M89-$A$15,DE$13)))</f>
        <v>0</v>
      </c>
      <c r="DF89" s="354" t="n">
        <f aca="true">IF(OR($D89&lt;&gt;"Serviço",AND(AUTOEVENTO="Manual",$M89=$A$15),$M89&gt;(ROW(PLE.lastrow)-ROW(PLE.firstrow))),0,
           IF(OFFSET(PLE!$G$15,$M89-$A$15,DF$13)="",10^12,OFFSET(PLE!$G$15,$M89-$A$15,DF$13)))</f>
        <v>0</v>
      </c>
      <c r="DG89" s="354" t="n">
        <f aca="true">IF(OR($D89&lt;&gt;"Serviço",AND(AUTOEVENTO="Manual",$M89=$A$15),$M89&gt;(ROW(PLE.lastrow)-ROW(PLE.firstrow))),0,
           IF(OFFSET(PLE!$G$15,$M89-$A$15,DG$13)="",10^12,OFFSET(PLE!$G$15,$M89-$A$15,DG$13)))</f>
        <v>0</v>
      </c>
      <c r="DH89" s="354" t="n">
        <f aca="true">IF(OR($D89&lt;&gt;"Serviço",AND(AUTOEVENTO="Manual",$M89=$A$15),$M89&gt;(ROW(PLE.lastrow)-ROW(PLE.firstrow))),0,
           IF(OFFSET(PLE!$G$15,$M89-$A$15,DH$13)="",10^12,OFFSET(PLE!$G$15,$M89-$A$15,DH$13)))</f>
        <v>0</v>
      </c>
      <c r="DI89" s="354" t="n">
        <f aca="true">IF(OR($D89&lt;&gt;"Serviço",AND(AUTOEVENTO="Manual",$M89=$A$15),$M89&gt;(ROW(PLE.lastrow)-ROW(PLE.firstrow))),0,
           IF(OFFSET(PLE!$G$15,$M89-$A$15,DI$13)="",10^12,OFFSET(PLE!$G$15,$M89-$A$15,DI$13)))</f>
        <v>0</v>
      </c>
      <c r="DJ89" s="354" t="n">
        <f aca="true">IF(OR($D89&lt;&gt;"Serviço",AND(AUTOEVENTO="Manual",$M89=$A$15),$M89&gt;(ROW(PLE.lastrow)-ROW(PLE.firstrow))),0,
           IF(OFFSET(PLE!$G$15,$M89-$A$15,DJ$13)="",10^12,OFFSET(PLE!$G$15,$M89-$A$15,DJ$13)))</f>
        <v>0</v>
      </c>
      <c r="DK89" s="354" t="n">
        <f aca="true">IF(OR($D89&lt;&gt;"Serviço",AND(AUTOEVENTO="Manual",$M89=$A$15),$M89&gt;(ROW(PLE.lastrow)-ROW(PLE.firstrow))),0,
           IF(OFFSET(PLE!$G$15,$M89-$A$15,DK$13)="",10^12,OFFSET(PLE!$G$15,$M89-$A$15,DK$13)))</f>
        <v>0</v>
      </c>
      <c r="DL89" s="354" t="n">
        <f aca="true">IF(OR($D89&lt;&gt;"Serviço",AND(AUTOEVENTO="Manual",$M89=$A$15),$M89&gt;(ROW(PLE.lastrow)-ROW(PLE.firstrow))),0,
           IF(OFFSET(PLE!$G$15,$M89-$A$15,DL$13)="",10^12,OFFSET(PLE!$G$15,$M89-$A$15,DL$13)))</f>
        <v>0</v>
      </c>
      <c r="DM89" s="354" t="n">
        <f aca="true">IF(OR($D89&lt;&gt;"Serviço",AND(AUTOEVENTO="Manual",$M89=$A$15),$M89&gt;(ROW(PLE.lastrow)-ROW(PLE.firstrow))),0,
           IF(OFFSET(PLE!$G$15,$M89-$A$15,DM$13)="",10^12,OFFSET(PLE!$G$15,$M89-$A$15,DM$13)))</f>
        <v>0</v>
      </c>
      <c r="DN89" s="354" t="n">
        <f aca="true">IF(OR($D89&lt;&gt;"Serviço",AND(AUTOEVENTO="Manual",$M89=$A$15),$M89&gt;(ROW(PLE.lastrow)-ROW(PLE.firstrow))),0,
           IF(OFFSET(PLE!$G$15,$M89-$A$15,DN$13)="",10^12,OFFSET(PLE!$G$15,$M89-$A$15,DN$13)))</f>
        <v>0</v>
      </c>
      <c r="DO89" s="354" t="n">
        <f aca="true">IF(OR($D89&lt;&gt;"Serviço",AND(AUTOEVENTO="Manual",$M89=$A$15),$M89&gt;(ROW(PLE.lastrow)-ROW(PLE.firstrow))),0,
           IF(OFFSET(PLE!$G$15,$M89-$A$15,DO$13)="",10^12,OFFSET(PLE!$G$15,$M89-$A$15,DO$13)))</f>
        <v>0</v>
      </c>
      <c r="DP89" s="354" t="n">
        <f aca="true">IF(OR($D89&lt;&gt;"Serviço",AND(AUTOEVENTO="Manual",$M89=$A$15),$M89&gt;(ROW(PLE.lastrow)-ROW(PLE.firstrow))),0,
           IF(OFFSET(PLE!$G$15,$M89-$A$15,DP$13)="",10^12,OFFSET(PLE!$G$15,$M89-$A$15,DP$13)))</f>
        <v>0</v>
      </c>
      <c r="DQ89" s="354" t="n">
        <f aca="true">IF(OR($D89&lt;&gt;"Serviço",AND(AUTOEVENTO="Manual",$M89=$A$15),$M89&gt;(ROW(PLE.lastrow)-ROW(PLE.firstrow))),0,
           IF(OFFSET(PLE!$G$15,$M89-$A$15,DQ$13)="",10^12,OFFSET(PLE!$G$15,$M89-$A$15,DQ$13)))</f>
        <v>0</v>
      </c>
      <c r="DR89" s="354" t="n">
        <f aca="true">IF(OR($D89&lt;&gt;"Serviço",AND(AUTOEVENTO="Manual",$M89=$A$15),$M89&gt;(ROW(PLE.lastrow)-ROW(PLE.firstrow))),0,
           IF(OFFSET(PLE!$G$15,$M89-$A$15,DR$13)="",10^12,OFFSET(PLE!$G$15,$M89-$A$15,DR$13)))</f>
        <v>0</v>
      </c>
      <c r="DS89" s="354" t="n">
        <f aca="true">IF(OR($D89&lt;&gt;"Serviço",AND(AUTOEVENTO="Manual",$M89=$A$15),$M89&gt;(ROW(PLE.lastrow)-ROW(PLE.firstrow))),0,
           IF(OFFSET(PLE!$G$15,$M89-$A$15,DS$13)="",10^12,OFFSET(PLE!$G$15,$M89-$A$15,DS$13)))</f>
        <v>0</v>
      </c>
    </row>
    <row r="90" customFormat="false" ht="23.85" hidden="false" customHeight="false" outlineLevel="0" collapsed="false">
      <c r="A90" s="50" t="str">
        <f aca="true">IFERROR(IF(AUTOEVENTO="Manual",IF(K90&lt;&gt;"",MIN(VALUE(LEFT(K90,FIND(".",K90)-1)),COUNTA(EVENTOS.Lista)),0),IF(OR($B90&gt;AUTOEVENTO,$B90="S",$B90=0),SUBSTITUTE(OFFSET($A90,-1,0),IF($D90="Serviço",".",""),""),ROW(A90)-ROW($A$15)&amp;".")),0)</f>
        <v>74</v>
      </c>
      <c r="B90" s="50" t="str">
        <f aca="true">OFFSET(ORÇAMENTO!C$15,ROW(B90)-ROW(B$15),0)</f>
        <v>S</v>
      </c>
      <c r="C90" s="50" t="str">
        <f aca="true">OFFSET(ORÇAMENTO!L$15,ROW(C90)-ROW(C$15),0)</f>
        <v>F</v>
      </c>
      <c r="D90" s="201" t="str">
        <f aca="true">OFFSET(ORÇAMENTO!N$15,ROW(D90)-ROW(D$15),0)</f>
        <v>Serviço</v>
      </c>
      <c r="E90" s="202" t="str">
        <f aca="true">OFFSET(ORÇAMENTO!O$15,ROW(E90)-ROW(E$15),0)</f>
        <v>1.23.1.</v>
      </c>
      <c r="F90" s="341" t="str">
        <f aca="true">OFFSET(ORÇAMENTO!R$15,ROW(F90)-ROW(F$15),0)</f>
        <v>FUNDO SELADOR ACRÍLICO, APLICAÇÃO MANUAL EM PAREDE, UMA DEMÃO. AF_04/2023</v>
      </c>
      <c r="G90" s="342" t="str">
        <f aca="true">IF($D90&lt;&gt;"Serviço","",OFFSET(ORÇAMENTO!S$15,ROW(G90)-ROW(G$15),0))</f>
        <v>M2</v>
      </c>
      <c r="H90" s="207" t="n">
        <f aca="true">IF($D90&lt;&gt;"Serviço",0,IF(ACOMPANHAMENTO="BM",ROUND(OFFSET(ORÇAMENTO!AJ$15,ROW(H90)-ROW(H$15),0),15-13*ORÇAMENTO!$AF$7),SUMPRODUCT(($Q$1:$AQ$1=1)*ROUND($Q90:$AQ90,15-13*ORÇAMENTO!$AF$7))))</f>
        <v>2413.75</v>
      </c>
      <c r="I90" s="343" t="s">
        <v>958</v>
      </c>
      <c r="J90" s="344" t="e">
        <f aca="false">IF(OR(B90&lt;&gt;"S",CÁLCULO.FrentesPreenchidas=0),"",IF(AND(ACOMPANHAMENTO="PLE",AUTOEVENTO="Manual",OR(H90&gt;0,ORÇAMENTO!AC90="QUANT."),OR(K90="",M90=0,N90="")),"►",IF(AND(ACOMPANHAMENTO="PLE",ORÇAMENTO!AC90="QUANT."),"►►",IF(AND(COUNTIF($P$11:$AQ$11,"▼")=0,H90&gt;0,I90=""),"◄",""))))</f>
        <v>#NAME?</v>
      </c>
      <c r="K90" s="345"/>
      <c r="L90" s="346" t="s">
        <v>876</v>
      </c>
      <c r="M90" s="347" t="n">
        <f aca="true">IF($D90&lt;&gt;"Serviço","",
          IF(AUTOEVENTO="manual",$A90,
                IF(ISERROR(MATCH($A90,$A$15:OFFSET($A90,-1,0),0)),MAX($M$15:OFFSET(M90,-1,0))+1,
                      INDEX($M$15:OFFSET(M90,-1,0),MATCH($A90,$A$15:OFFSET($A90,-1,0),0)))))</f>
        <v>15</v>
      </c>
      <c r="N90" s="348" t="str">
        <f aca="true">IF($D90&lt;&gt;"Serviço","",
         IF(AUTOEVENTO="Manual",
                IF($A90=0,"&lt;-- defina o número do agrupador",
                       OFFSET(EVENTOS!$D$15,$A90-$A$15,0)),
                OFFSET($F$15,$A90,0)))</f>
        <v>PINTURAS INTERNAS</v>
      </c>
      <c r="O90" s="349"/>
      <c r="Q90" s="349" t="n">
        <f aca="false">Q78</f>
        <v>96.55</v>
      </c>
      <c r="R90" s="350" t="n">
        <f aca="false">Q90</f>
        <v>96.55</v>
      </c>
      <c r="S90" s="350" t="n">
        <f aca="false">R90</f>
        <v>96.55</v>
      </c>
      <c r="T90" s="350" t="n">
        <f aca="false">S90</f>
        <v>96.55</v>
      </c>
      <c r="U90" s="350" t="n">
        <f aca="false">T90</f>
        <v>96.55</v>
      </c>
      <c r="V90" s="350" t="n">
        <f aca="false">U90</f>
        <v>96.55</v>
      </c>
      <c r="W90" s="350" t="n">
        <f aca="false">V90</f>
        <v>96.55</v>
      </c>
      <c r="X90" s="350" t="n">
        <f aca="false">W90</f>
        <v>96.55</v>
      </c>
      <c r="Y90" s="350" t="n">
        <f aca="false">X90</f>
        <v>96.55</v>
      </c>
      <c r="Z90" s="351" t="n">
        <f aca="false">Y90</f>
        <v>96.55</v>
      </c>
      <c r="AA90" s="350" t="n">
        <f aca="false">Z90</f>
        <v>96.55</v>
      </c>
      <c r="AB90" s="350" t="n">
        <f aca="false">AA90</f>
        <v>96.55</v>
      </c>
      <c r="AC90" s="350" t="n">
        <f aca="false">AB90</f>
        <v>96.55</v>
      </c>
      <c r="AD90" s="350" t="n">
        <f aca="false">AC90</f>
        <v>96.55</v>
      </c>
      <c r="AE90" s="350" t="n">
        <f aca="false">AD90</f>
        <v>96.55</v>
      </c>
      <c r="AF90" s="350" t="n">
        <f aca="false">AE90</f>
        <v>96.55</v>
      </c>
      <c r="AG90" s="350" t="n">
        <f aca="false">AF90</f>
        <v>96.55</v>
      </c>
      <c r="AH90" s="351" t="n">
        <f aca="false">AG90</f>
        <v>96.55</v>
      </c>
      <c r="AI90" s="350" t="n">
        <f aca="false">AH90</f>
        <v>96.55</v>
      </c>
      <c r="AJ90" s="350" t="n">
        <f aca="false">AI90</f>
        <v>96.55</v>
      </c>
      <c r="AK90" s="350" t="n">
        <f aca="false">AJ90</f>
        <v>96.55</v>
      </c>
      <c r="AL90" s="350" t="n">
        <f aca="false">AK90</f>
        <v>96.55</v>
      </c>
      <c r="AM90" s="350" t="n">
        <f aca="false">AL90</f>
        <v>96.55</v>
      </c>
      <c r="AN90" s="350" t="n">
        <f aca="false">AM90</f>
        <v>96.55</v>
      </c>
      <c r="AO90" s="350" t="n">
        <f aca="false">AN90</f>
        <v>96.55</v>
      </c>
      <c r="AP90" s="351"/>
      <c r="AR90" s="352" t="n">
        <f aca="true">IF(AND($D90="Serviço",AR$12&lt;&gt;0,$H90&gt;0,OR(AUTOEVENTO&lt;&gt;"manual",$M90&lt;&gt;$A$15)),
        IF(Import.TipoArredondamento&lt;&gt;"TransfereGOV",
              ROUND(OFFSET($P90,0,AR$13),15-13*ORÇAMENTO!$AF$7)/$H90*OFFSET(ORÇAMENTO!$X$15,ROW(AR90)-ROW(AR$15),0),
              ROUND(ROUND(OFFSET($P90,0,AR$13),15-13*ORÇAMENTO!$AF$7)*OFFSET(ORÇAMENTO!$W$15,ROW(AR90)-ROW(AR$15),0),15-13*ORÇAMENTO!$AF$11)),
         0)</f>
        <v>564.82</v>
      </c>
      <c r="AS90" s="352" t="n">
        <f aca="true">IF(AND($D90="Serviço",AS$12&lt;&gt;0,$H90&gt;0,OR(AUTOEVENTO&lt;&gt;"manual",$M90&lt;&gt;$A$15)),
        IF(Import.TipoArredondamento&lt;&gt;"TransfereGOV",
              ROUND(OFFSET($P90,0,AS$13),15-13*ORÇAMENTO!$AF$7)/$H90*OFFSET(ORÇAMENTO!$X$15,ROW(AS90)-ROW(AS$15),0),
              ROUND(ROUND(OFFSET($P90,0,AS$13),15-13*ORÇAMENTO!$AF$7)*OFFSET(ORÇAMENTO!$W$15,ROW(AS90)-ROW(AS$15),0),15-13*ORÇAMENTO!$AF$11)),
         0)</f>
        <v>564.82</v>
      </c>
      <c r="AT90" s="352" t="n">
        <f aca="true">IF(AND($D90="Serviço",AT$12&lt;&gt;0,$H90&gt;0,OR(AUTOEVENTO&lt;&gt;"manual",$M90&lt;&gt;$A$15)),
        IF(Import.TipoArredondamento&lt;&gt;"TransfereGOV",
              ROUND(OFFSET($P90,0,AT$13),15-13*ORÇAMENTO!$AF$7)/$H90*OFFSET(ORÇAMENTO!$X$15,ROW(AT90)-ROW(AT$15),0),
              ROUND(ROUND(OFFSET($P90,0,AT$13),15-13*ORÇAMENTO!$AF$7)*OFFSET(ORÇAMENTO!$W$15,ROW(AT90)-ROW(AT$15),0),15-13*ORÇAMENTO!$AF$11)),
         0)</f>
        <v>564.82</v>
      </c>
      <c r="AU90" s="352" t="n">
        <f aca="true">IF(AND($D90="Serviço",AU$12&lt;&gt;0,$H90&gt;0,OR(AUTOEVENTO&lt;&gt;"manual",$M90&lt;&gt;$A$15)),
        IF(Import.TipoArredondamento&lt;&gt;"TransfereGOV",
              ROUND(OFFSET($P90,0,AU$13),15-13*ORÇAMENTO!$AF$7)/$H90*OFFSET(ORÇAMENTO!$X$15,ROW(AU90)-ROW(AU$15),0),
              ROUND(ROUND(OFFSET($P90,0,AU$13),15-13*ORÇAMENTO!$AF$7)*OFFSET(ORÇAMENTO!$W$15,ROW(AU90)-ROW(AU$15),0),15-13*ORÇAMENTO!$AF$11)),
         0)</f>
        <v>564.82</v>
      </c>
      <c r="AV90" s="352" t="n">
        <f aca="true">IF(AND($D90="Serviço",AV$12&lt;&gt;0,$H90&gt;0,OR(AUTOEVENTO&lt;&gt;"manual",$M90&lt;&gt;$A$15)),
        IF(Import.TipoArredondamento&lt;&gt;"TransfereGOV",
              ROUND(OFFSET($P90,0,AV$13),15-13*ORÇAMENTO!$AF$7)/$H90*OFFSET(ORÇAMENTO!$X$15,ROW(AV90)-ROW(AV$15),0),
              ROUND(ROUND(OFFSET($P90,0,AV$13),15-13*ORÇAMENTO!$AF$7)*OFFSET(ORÇAMENTO!$W$15,ROW(AV90)-ROW(AV$15),0),15-13*ORÇAMENTO!$AF$11)),
         0)</f>
        <v>564.82</v>
      </c>
      <c r="AW90" s="352" t="n">
        <f aca="true">IF(AND($D90="Serviço",AW$12&lt;&gt;0,$H90&gt;0,OR(AUTOEVENTO&lt;&gt;"manual",$M90&lt;&gt;$A$15)),
        IF(Import.TipoArredondamento&lt;&gt;"TransfereGOV",
              ROUND(OFFSET($P90,0,AW$13),15-13*ORÇAMENTO!$AF$7)/$H90*OFFSET(ORÇAMENTO!$X$15,ROW(AW90)-ROW(AW$15),0),
              ROUND(ROUND(OFFSET($P90,0,AW$13),15-13*ORÇAMENTO!$AF$7)*OFFSET(ORÇAMENTO!$W$15,ROW(AW90)-ROW(AW$15),0),15-13*ORÇAMENTO!$AF$11)),
         0)</f>
        <v>564.82</v>
      </c>
      <c r="AX90" s="352" t="n">
        <f aca="true">IF(AND($D90="Serviço",AX$12&lt;&gt;0,$H90&gt;0,OR(AUTOEVENTO&lt;&gt;"manual",$M90&lt;&gt;$A$15)),
        IF(Import.TipoArredondamento&lt;&gt;"TransfereGOV",
              ROUND(OFFSET($P90,0,AX$13),15-13*ORÇAMENTO!$AF$7)/$H90*OFFSET(ORÇAMENTO!$X$15,ROW(AX90)-ROW(AX$15),0),
              ROUND(ROUND(OFFSET($P90,0,AX$13),15-13*ORÇAMENTO!$AF$7)*OFFSET(ORÇAMENTO!$W$15,ROW(AX90)-ROW(AX$15),0),15-13*ORÇAMENTO!$AF$11)),
         0)</f>
        <v>564.82</v>
      </c>
      <c r="AY90" s="352" t="n">
        <f aca="true">IF(AND($D90="Serviço",AY$12&lt;&gt;0,$H90&gt;0,OR(AUTOEVENTO&lt;&gt;"manual",$M90&lt;&gt;$A$15)),
        IF(Import.TipoArredondamento&lt;&gt;"TransfereGOV",
              ROUND(OFFSET($P90,0,AY$13),15-13*ORÇAMENTO!$AF$7)/$H90*OFFSET(ORÇAMENTO!$X$15,ROW(AY90)-ROW(AY$15),0),
              ROUND(ROUND(OFFSET($P90,0,AY$13),15-13*ORÇAMENTO!$AF$7)*OFFSET(ORÇAMENTO!$W$15,ROW(AY90)-ROW(AY$15),0),15-13*ORÇAMENTO!$AF$11)),
         0)</f>
        <v>564.82</v>
      </c>
      <c r="AZ90" s="352" t="n">
        <f aca="true">IF(AND($D90="Serviço",AZ$12&lt;&gt;0,$H90&gt;0,OR(AUTOEVENTO&lt;&gt;"manual",$M90&lt;&gt;$A$15)),
        IF(Import.TipoArredondamento&lt;&gt;"TransfereGOV",
              ROUND(OFFSET($P90,0,AZ$13),15-13*ORÇAMENTO!$AF$7)/$H90*OFFSET(ORÇAMENTO!$X$15,ROW(AZ90)-ROW(AZ$15),0),
              ROUND(ROUND(OFFSET($P90,0,AZ$13),15-13*ORÇAMENTO!$AF$7)*OFFSET(ORÇAMENTO!$W$15,ROW(AZ90)-ROW(AZ$15),0),15-13*ORÇAMENTO!$AF$11)),
         0)</f>
        <v>564.82</v>
      </c>
      <c r="BA90" s="352" t="n">
        <f aca="true">IF(AND($D90="Serviço",BA$12&lt;&gt;0,$H90&gt;0,OR(AUTOEVENTO&lt;&gt;"manual",$M90&lt;&gt;$A$15)),
        IF(Import.TipoArredondamento&lt;&gt;"TransfereGOV",
              ROUND(OFFSET($P90,0,BA$13),15-13*ORÇAMENTO!$AF$7)/$H90*OFFSET(ORÇAMENTO!$X$15,ROW(BA90)-ROW(BA$15),0),
              ROUND(ROUND(OFFSET($P90,0,BA$13),15-13*ORÇAMENTO!$AF$7)*OFFSET(ORÇAMENTO!$W$15,ROW(BA90)-ROW(BA$15),0),15-13*ORÇAMENTO!$AF$11)),
         0)</f>
        <v>564.82</v>
      </c>
      <c r="BB90" s="352" t="n">
        <f aca="true">IF(AND($D90="Serviço",BB$12&lt;&gt;0,$H90&gt;0,OR(AUTOEVENTO&lt;&gt;"manual",$M90&lt;&gt;$A$15)),
        IF(Import.TipoArredondamento&lt;&gt;"TransfereGOV",
              ROUND(OFFSET($P90,0,BB$13),15-13*ORÇAMENTO!$AF$7)/$H90*OFFSET(ORÇAMENTO!$X$15,ROW(BB90)-ROW(BB$15),0),
              ROUND(ROUND(OFFSET($P90,0,BB$13),15-13*ORÇAMENTO!$AF$7)*OFFSET(ORÇAMENTO!$W$15,ROW(BB90)-ROW(BB$15),0),15-13*ORÇAMENTO!$AF$11)),
         0)</f>
        <v>564.82</v>
      </c>
      <c r="BC90" s="352" t="n">
        <f aca="true">IF(AND($D90="Serviço",BC$12&lt;&gt;0,$H90&gt;0,OR(AUTOEVENTO&lt;&gt;"manual",$M90&lt;&gt;$A$15)),
        IF(Import.TipoArredondamento&lt;&gt;"TransfereGOV",
              ROUND(OFFSET($P90,0,BC$13),15-13*ORÇAMENTO!$AF$7)/$H90*OFFSET(ORÇAMENTO!$X$15,ROW(BC90)-ROW(BC$15),0),
              ROUND(ROUND(OFFSET($P90,0,BC$13),15-13*ORÇAMENTO!$AF$7)*OFFSET(ORÇAMENTO!$W$15,ROW(BC90)-ROW(BC$15),0),15-13*ORÇAMENTO!$AF$11)),
         0)</f>
        <v>564.82</v>
      </c>
      <c r="BD90" s="352" t="n">
        <f aca="true">IF(AND($D90="Serviço",BD$12&lt;&gt;0,$H90&gt;0,OR(AUTOEVENTO&lt;&gt;"manual",$M90&lt;&gt;$A$15)),
        IF(Import.TipoArredondamento&lt;&gt;"TransfereGOV",
              ROUND(OFFSET($P90,0,BD$13),15-13*ORÇAMENTO!$AF$7)/$H90*OFFSET(ORÇAMENTO!$X$15,ROW(BD90)-ROW(BD$15),0),
              ROUND(ROUND(OFFSET($P90,0,BD$13),15-13*ORÇAMENTO!$AF$7)*OFFSET(ORÇAMENTO!$W$15,ROW(BD90)-ROW(BD$15),0),15-13*ORÇAMENTO!$AF$11)),
         0)</f>
        <v>564.82</v>
      </c>
      <c r="BE90" s="352" t="n">
        <f aca="true">IF(AND($D90="Serviço",BE$12&lt;&gt;0,$H90&gt;0,OR(AUTOEVENTO&lt;&gt;"manual",$M90&lt;&gt;$A$15)),
        IF(Import.TipoArredondamento&lt;&gt;"TransfereGOV",
              ROUND(OFFSET($P90,0,BE$13),15-13*ORÇAMENTO!$AF$7)/$H90*OFFSET(ORÇAMENTO!$X$15,ROW(BE90)-ROW(BE$15),0),
              ROUND(ROUND(OFFSET($P90,0,BE$13),15-13*ORÇAMENTO!$AF$7)*OFFSET(ORÇAMENTO!$W$15,ROW(BE90)-ROW(BE$15),0),15-13*ORÇAMENTO!$AF$11)),
         0)</f>
        <v>564.82</v>
      </c>
      <c r="BF90" s="352" t="n">
        <f aca="true">IF(AND($D90="Serviço",BF$12&lt;&gt;0,$H90&gt;0,OR(AUTOEVENTO&lt;&gt;"manual",$M90&lt;&gt;$A$15)),
        IF(Import.TipoArredondamento&lt;&gt;"TransfereGOV",
              ROUND(OFFSET($P90,0,BF$13),15-13*ORÇAMENTO!$AF$7)/$H90*OFFSET(ORÇAMENTO!$X$15,ROW(BF90)-ROW(BF$15),0),
              ROUND(ROUND(OFFSET($P90,0,BF$13),15-13*ORÇAMENTO!$AF$7)*OFFSET(ORÇAMENTO!$W$15,ROW(BF90)-ROW(BF$15),0),15-13*ORÇAMENTO!$AF$11)),
         0)</f>
        <v>564.82</v>
      </c>
      <c r="BG90" s="352" t="n">
        <f aca="true">IF(AND($D90="Serviço",BG$12&lt;&gt;0,$H90&gt;0,OR(AUTOEVENTO&lt;&gt;"manual",$M90&lt;&gt;$A$15)),
        IF(Import.TipoArredondamento&lt;&gt;"TransfereGOV",
              ROUND(OFFSET($P90,0,BG$13),15-13*ORÇAMENTO!$AF$7)/$H90*OFFSET(ORÇAMENTO!$X$15,ROW(BG90)-ROW(BG$15),0),
              ROUND(ROUND(OFFSET($P90,0,BG$13),15-13*ORÇAMENTO!$AF$7)*OFFSET(ORÇAMENTO!$W$15,ROW(BG90)-ROW(BG$15),0),15-13*ORÇAMENTO!$AF$11)),
         0)</f>
        <v>564.82</v>
      </c>
      <c r="BH90" s="352" t="n">
        <f aca="true">IF(AND($D90="Serviço",BH$12&lt;&gt;0,$H90&gt;0,OR(AUTOEVENTO&lt;&gt;"manual",$M90&lt;&gt;$A$15)),
        IF(Import.TipoArredondamento&lt;&gt;"TransfereGOV",
              ROUND(OFFSET($P90,0,BH$13),15-13*ORÇAMENTO!$AF$7)/$H90*OFFSET(ORÇAMENTO!$X$15,ROW(BH90)-ROW(BH$15),0),
              ROUND(ROUND(OFFSET($P90,0,BH$13),15-13*ORÇAMENTO!$AF$7)*OFFSET(ORÇAMENTO!$W$15,ROW(BH90)-ROW(BH$15),0),15-13*ORÇAMENTO!$AF$11)),
         0)</f>
        <v>564.82</v>
      </c>
      <c r="BI90" s="352" t="n">
        <f aca="true">IF(AND($D90="Serviço",BI$12&lt;&gt;0,$H90&gt;0,OR(AUTOEVENTO&lt;&gt;"manual",$M90&lt;&gt;$A$15)),
        IF(Import.TipoArredondamento&lt;&gt;"TransfereGOV",
              ROUND(OFFSET($P90,0,BI$13),15-13*ORÇAMENTO!$AF$7)/$H90*OFFSET(ORÇAMENTO!$X$15,ROW(BI90)-ROW(BI$15),0),
              ROUND(ROUND(OFFSET($P90,0,BI$13),15-13*ORÇAMENTO!$AF$7)*OFFSET(ORÇAMENTO!$W$15,ROW(BI90)-ROW(BI$15),0),15-13*ORÇAMENTO!$AF$11)),
         0)</f>
        <v>564.82</v>
      </c>
      <c r="BJ90" s="352" t="n">
        <f aca="true">IF(AND($D90="Serviço",BJ$12&lt;&gt;0,$H90&gt;0,OR(AUTOEVENTO&lt;&gt;"manual",$M90&lt;&gt;$A$15)),
        IF(Import.TipoArredondamento&lt;&gt;"TransfereGOV",
              ROUND(OFFSET($P90,0,BJ$13),15-13*ORÇAMENTO!$AF$7)/$H90*OFFSET(ORÇAMENTO!$X$15,ROW(BJ90)-ROW(BJ$15),0),
              ROUND(ROUND(OFFSET($P90,0,BJ$13),15-13*ORÇAMENTO!$AF$7)*OFFSET(ORÇAMENTO!$W$15,ROW(BJ90)-ROW(BJ$15),0),15-13*ORÇAMENTO!$AF$11)),
         0)</f>
        <v>564.82</v>
      </c>
      <c r="BK90" s="352" t="n">
        <f aca="true">IF(AND($D90="Serviço",BK$12&lt;&gt;0,$H90&gt;0,OR(AUTOEVENTO&lt;&gt;"manual",$M90&lt;&gt;$A$15)),
        IF(Import.TipoArredondamento&lt;&gt;"TransfereGOV",
              ROUND(OFFSET($P90,0,BK$13),15-13*ORÇAMENTO!$AF$7)/$H90*OFFSET(ORÇAMENTO!$X$15,ROW(BK90)-ROW(BK$15),0),
              ROUND(ROUND(OFFSET($P90,0,BK$13),15-13*ORÇAMENTO!$AF$7)*OFFSET(ORÇAMENTO!$W$15,ROW(BK90)-ROW(BK$15),0),15-13*ORÇAMENTO!$AF$11)),
         0)</f>
        <v>564.82</v>
      </c>
      <c r="BL90" s="352" t="n">
        <f aca="true">IF(AND($D90="Serviço",BL$12&lt;&gt;0,$H90&gt;0,OR(AUTOEVENTO&lt;&gt;"manual",$M90&lt;&gt;$A$15)),
        IF(Import.TipoArredondamento&lt;&gt;"TransfereGOV",
              ROUND(OFFSET($P90,0,BL$13),15-13*ORÇAMENTO!$AF$7)/$H90*OFFSET(ORÇAMENTO!$X$15,ROW(BL90)-ROW(BL$15),0),
              ROUND(ROUND(OFFSET($P90,0,BL$13),15-13*ORÇAMENTO!$AF$7)*OFFSET(ORÇAMENTO!$W$15,ROW(BL90)-ROW(BL$15),0),15-13*ORÇAMENTO!$AF$11)),
         0)</f>
        <v>564.82</v>
      </c>
      <c r="BM90" s="352" t="n">
        <f aca="true">IF(AND($D90="Serviço",BM$12&lt;&gt;0,$H90&gt;0,OR(AUTOEVENTO&lt;&gt;"manual",$M90&lt;&gt;$A$15)),
        IF(Import.TipoArredondamento&lt;&gt;"TransfereGOV",
              ROUND(OFFSET($P90,0,BM$13),15-13*ORÇAMENTO!$AF$7)/$H90*OFFSET(ORÇAMENTO!$X$15,ROW(BM90)-ROW(BM$15),0),
              ROUND(ROUND(OFFSET($P90,0,BM$13),15-13*ORÇAMENTO!$AF$7)*OFFSET(ORÇAMENTO!$W$15,ROW(BM90)-ROW(BM$15),0),15-13*ORÇAMENTO!$AF$11)),
         0)</f>
        <v>564.82</v>
      </c>
      <c r="BN90" s="352" t="n">
        <f aca="true">IF(AND($D90="Serviço",BN$12&lt;&gt;0,$H90&gt;0,OR(AUTOEVENTO&lt;&gt;"manual",$M90&lt;&gt;$A$15)),
        IF(Import.TipoArredondamento&lt;&gt;"TransfereGOV",
              ROUND(OFFSET($P90,0,BN$13),15-13*ORÇAMENTO!$AF$7)/$H90*OFFSET(ORÇAMENTO!$X$15,ROW(BN90)-ROW(BN$15),0),
              ROUND(ROUND(OFFSET($P90,0,BN$13),15-13*ORÇAMENTO!$AF$7)*OFFSET(ORÇAMENTO!$W$15,ROW(BN90)-ROW(BN$15),0),15-13*ORÇAMENTO!$AF$11)),
         0)</f>
        <v>564.82</v>
      </c>
      <c r="BO90" s="352" t="n">
        <f aca="true">IF(AND($D90="Serviço",BO$12&lt;&gt;0,$H90&gt;0,OR(AUTOEVENTO&lt;&gt;"manual",$M90&lt;&gt;$A$15)),
        IF(Import.TipoArredondamento&lt;&gt;"TransfereGOV",
              ROUND(OFFSET($P90,0,BO$13),15-13*ORÇAMENTO!$AF$7)/$H90*OFFSET(ORÇAMENTO!$X$15,ROW(BO90)-ROW(BO$15),0),
              ROUND(ROUND(OFFSET($P90,0,BO$13),15-13*ORÇAMENTO!$AF$7)*OFFSET(ORÇAMENTO!$W$15,ROW(BO90)-ROW(BO$15),0),15-13*ORÇAMENTO!$AF$11)),
         0)</f>
        <v>564.82</v>
      </c>
      <c r="BP90" s="352" t="n">
        <f aca="true">IF(AND($D90="Serviço",BP$12&lt;&gt;0,$H90&gt;0,OR(AUTOEVENTO&lt;&gt;"manual",$M90&lt;&gt;$A$15)),
        IF(Import.TipoArredondamento&lt;&gt;"TransfereGOV",
              ROUND(OFFSET($P90,0,BP$13),15-13*ORÇAMENTO!$AF$7)/$H90*OFFSET(ORÇAMENTO!$X$15,ROW(BP90)-ROW(BP$15),0),
              ROUND(ROUND(OFFSET($P90,0,BP$13),15-13*ORÇAMENTO!$AF$7)*OFFSET(ORÇAMENTO!$W$15,ROW(BP90)-ROW(BP$15),0),15-13*ORÇAMENTO!$AF$11)),
         0)</f>
        <v>564.82</v>
      </c>
      <c r="BQ90" s="352" t="n">
        <f aca="true">IF(AND($D90="Serviço",BQ$12&lt;&gt;0,$H90&gt;0,OR(AUTOEVENTO&lt;&gt;"manual",$M90&lt;&gt;$A$15)),
        IF(Import.TipoArredondamento&lt;&gt;"TransfereGOV",
              ROUND(OFFSET($P90,0,BQ$13),15-13*ORÇAMENTO!$AF$7)/$H90*OFFSET(ORÇAMENTO!$X$15,ROW(BQ90)-ROW(BQ$15),0),
              ROUND(ROUND(OFFSET($P90,0,BQ$13),15-13*ORÇAMENTO!$AF$7)*OFFSET(ORÇAMENTO!$W$15,ROW(BQ90)-ROW(BQ$15),0),15-13*ORÇAMENTO!$AF$11)),
         0)</f>
        <v>0</v>
      </c>
      <c r="BS90" s="353" t="n">
        <f aca="true">IF(OR($D90&lt;&gt;"Serviço",AND(AUTOEVENTO="Manual",$M90=$A$15)),0,
         IF(OFFSET(CRONOPLE!$F$15,$M90-$A$15,BS$13)=0,10^12,OFFSET(CRONOPLE!$F$15,$M90-$A$15,BS$13)))</f>
        <v>1</v>
      </c>
      <c r="BT90" s="353" t="n">
        <f aca="true">IF(OR($D90&lt;&gt;"Serviço",AND(AUTOEVENTO="Manual",$M90=$A$15)),0,
         IF(OFFSET(CRONOPLE!$F$15,$M90-$A$15,BT$13)=0,10^12,OFFSET(CRONOPLE!$F$15,$M90-$A$15,BT$13)))</f>
        <v>2</v>
      </c>
      <c r="BU90" s="353" t="n">
        <f aca="true">IF(OR($D90&lt;&gt;"Serviço",AND(AUTOEVENTO="Manual",$M90=$A$15)),0,
         IF(OFFSET(CRONOPLE!$F$15,$M90-$A$15,BU$13)=0,10^12,OFFSET(CRONOPLE!$F$15,$M90-$A$15,BU$13)))</f>
        <v>3</v>
      </c>
      <c r="BV90" s="353" t="n">
        <f aca="true">IF(OR($D90&lt;&gt;"Serviço",AND(AUTOEVENTO="Manual",$M90=$A$15)),0,
         IF(OFFSET(CRONOPLE!$F$15,$M90-$A$15,BV$13)=0,10^12,OFFSET(CRONOPLE!$F$15,$M90-$A$15,BV$13)))</f>
        <v>4</v>
      </c>
      <c r="BW90" s="353" t="n">
        <f aca="true">IF(OR($D90&lt;&gt;"Serviço",AND(AUTOEVENTO="Manual",$M90=$A$15)),0,
         IF(OFFSET(CRONOPLE!$F$15,$M90-$A$15,BW$13)=0,10^12,OFFSET(CRONOPLE!$F$15,$M90-$A$15,BW$13)))</f>
        <v>5</v>
      </c>
      <c r="BX90" s="353" t="n">
        <f aca="true">IF(OR($D90&lt;&gt;"Serviço",AND(AUTOEVENTO="Manual",$M90=$A$15)),0,
         IF(OFFSET(CRONOPLE!$F$15,$M90-$A$15,BX$13)=0,10^12,OFFSET(CRONOPLE!$F$15,$M90-$A$15,BX$13)))</f>
        <v>6</v>
      </c>
      <c r="BY90" s="353" t="n">
        <f aca="true">IF(OR($D90&lt;&gt;"Serviço",AND(AUTOEVENTO="Manual",$M90=$A$15)),0,
         IF(OFFSET(CRONOPLE!$F$15,$M90-$A$15,BY$13)=0,10^12,OFFSET(CRONOPLE!$F$15,$M90-$A$15,BY$13)))</f>
        <v>7</v>
      </c>
      <c r="BZ90" s="353" t="n">
        <f aca="true">IF(OR($D90&lt;&gt;"Serviço",AND(AUTOEVENTO="Manual",$M90=$A$15)),0,
         IF(OFFSET(CRONOPLE!$F$15,$M90-$A$15,BZ$13)=0,10^12,OFFSET(CRONOPLE!$F$15,$M90-$A$15,BZ$13)))</f>
        <v>8</v>
      </c>
      <c r="CA90" s="353" t="n">
        <f aca="true">IF(OR($D90&lt;&gt;"Serviço",AND(AUTOEVENTO="Manual",$M90=$A$15)),0,
         IF(OFFSET(CRONOPLE!$F$15,$M90-$A$15,CA$13)=0,10^12,OFFSET(CRONOPLE!$F$15,$M90-$A$15,CA$13)))</f>
        <v>9</v>
      </c>
      <c r="CB90" s="353" t="n">
        <f aca="true">IF(OR($D90&lt;&gt;"Serviço",AND(AUTOEVENTO="Manual",$M90=$A$15)),0,
         IF(OFFSET(CRONOPLE!$F$15,$M90-$A$15,CB$13)=0,10^12,OFFSET(CRONOPLE!$F$15,$M90-$A$15,CB$13)))</f>
        <v>10</v>
      </c>
      <c r="CC90" s="353" t="n">
        <f aca="true">IF(OR($D90&lt;&gt;"Serviço",AND(AUTOEVENTO="Manual",$M90=$A$15)),0,
         IF(OFFSET(CRONOPLE!$F$15,$M90-$A$15,CC$13)=0,10^12,OFFSET(CRONOPLE!$F$15,$M90-$A$15,CC$13)))</f>
        <v>11</v>
      </c>
      <c r="CD90" s="353" t="n">
        <f aca="true">IF(OR($D90&lt;&gt;"Serviço",AND(AUTOEVENTO="Manual",$M90=$A$15)),0,
         IF(OFFSET(CRONOPLE!$F$15,$M90-$A$15,CD$13)=0,10^12,OFFSET(CRONOPLE!$F$15,$M90-$A$15,CD$13)))</f>
        <v>12</v>
      </c>
      <c r="CE90" s="353" t="n">
        <f aca="true">IF(OR($D90&lt;&gt;"Serviço",AND(AUTOEVENTO="Manual",$M90=$A$15)),0,
         IF(OFFSET(CRONOPLE!$F$15,$M90-$A$15,CE$13)=0,10^12,OFFSET(CRONOPLE!$F$15,$M90-$A$15,CE$13)))</f>
        <v>13</v>
      </c>
      <c r="CF90" s="353" t="n">
        <f aca="true">IF(OR($D90&lt;&gt;"Serviço",AND(AUTOEVENTO="Manual",$M90=$A$15)),0,
         IF(OFFSET(CRONOPLE!$F$15,$M90-$A$15,CF$13)=0,10^12,OFFSET(CRONOPLE!$F$15,$M90-$A$15,CF$13)))</f>
        <v>14</v>
      </c>
      <c r="CG90" s="353" t="n">
        <f aca="true">IF(OR($D90&lt;&gt;"Serviço",AND(AUTOEVENTO="Manual",$M90=$A$15)),0,
         IF(OFFSET(CRONOPLE!$F$15,$M90-$A$15,CG$13)=0,10^12,OFFSET(CRONOPLE!$F$15,$M90-$A$15,CG$13)))</f>
        <v>15</v>
      </c>
      <c r="CH90" s="353" t="n">
        <f aca="true">IF(OR($D90&lt;&gt;"Serviço",AND(AUTOEVENTO="Manual",$M90=$A$15)),0,
         IF(OFFSET(CRONOPLE!$F$15,$M90-$A$15,CH$13)=0,10^12,OFFSET(CRONOPLE!$F$15,$M90-$A$15,CH$13)))</f>
        <v>16</v>
      </c>
      <c r="CI90" s="353" t="n">
        <f aca="true">IF(OR($D90&lt;&gt;"Serviço",AND(AUTOEVENTO="Manual",$M90=$A$15)),0,
         IF(OFFSET(CRONOPLE!$F$15,$M90-$A$15,CI$13)=0,10^12,OFFSET(CRONOPLE!$F$15,$M90-$A$15,CI$13)))</f>
        <v>17</v>
      </c>
      <c r="CJ90" s="353" t="n">
        <f aca="true">IF(OR($D90&lt;&gt;"Serviço",AND(AUTOEVENTO="Manual",$M90=$A$15)),0,
         IF(OFFSET(CRONOPLE!$F$15,$M90-$A$15,CJ$13)=0,10^12,OFFSET(CRONOPLE!$F$15,$M90-$A$15,CJ$13)))</f>
        <v>18</v>
      </c>
      <c r="CK90" s="353" t="n">
        <f aca="true">IF(OR($D90&lt;&gt;"Serviço",AND(AUTOEVENTO="Manual",$M90=$A$15)),0,
         IF(OFFSET(CRONOPLE!$F$15,$M90-$A$15,CK$13)=0,10^12,OFFSET(CRONOPLE!$F$15,$M90-$A$15,CK$13)))</f>
        <v>19</v>
      </c>
      <c r="CL90" s="353" t="n">
        <f aca="true">IF(OR($D90&lt;&gt;"Serviço",AND(AUTOEVENTO="Manual",$M90=$A$15)),0,
         IF(OFFSET(CRONOPLE!$F$15,$M90-$A$15,CL$13)=0,10^12,OFFSET(CRONOPLE!$F$15,$M90-$A$15,CL$13)))</f>
        <v>20</v>
      </c>
      <c r="CM90" s="353" t="n">
        <f aca="true">IF(OR($D90&lt;&gt;"Serviço",AND(AUTOEVENTO="Manual",$M90=$A$15)),0,
         IF(OFFSET(CRONOPLE!$F$15,$M90-$A$15,CM$13)=0,10^12,OFFSET(CRONOPLE!$F$15,$M90-$A$15,CM$13)))</f>
        <v>21</v>
      </c>
      <c r="CN90" s="353" t="n">
        <f aca="true">IF(OR($D90&lt;&gt;"Serviço",AND(AUTOEVENTO="Manual",$M90=$A$15)),0,
         IF(OFFSET(CRONOPLE!$F$15,$M90-$A$15,CN$13)=0,10^12,OFFSET(CRONOPLE!$F$15,$M90-$A$15,CN$13)))</f>
        <v>22</v>
      </c>
      <c r="CO90" s="353" t="n">
        <f aca="true">IF(OR($D90&lt;&gt;"Serviço",AND(AUTOEVENTO="Manual",$M90=$A$15)),0,
         IF(OFFSET(CRONOPLE!$F$15,$M90-$A$15,CO$13)=0,10^12,OFFSET(CRONOPLE!$F$15,$M90-$A$15,CO$13)))</f>
        <v>23</v>
      </c>
      <c r="CP90" s="353" t="n">
        <f aca="true">IF(OR($D90&lt;&gt;"Serviço",AND(AUTOEVENTO="Manual",$M90=$A$15)),0,
         IF(OFFSET(CRONOPLE!$F$15,$M90-$A$15,CP$13)=0,10^12,OFFSET(CRONOPLE!$F$15,$M90-$A$15,CP$13)))</f>
        <v>24</v>
      </c>
      <c r="CQ90" s="353" t="n">
        <f aca="true">IF(OR($D90&lt;&gt;"Serviço",AND(AUTOEVENTO="Manual",$M90=$A$15)),0,
         IF(OFFSET(CRONOPLE!$F$15,$M90-$A$15,CQ$13)=0,10^12,OFFSET(CRONOPLE!$F$15,$M90-$A$15,CQ$13)))</f>
        <v>25</v>
      </c>
      <c r="CR90" s="353" t="n">
        <f aca="true">IF(OR($D90&lt;&gt;"Serviço",AND(AUTOEVENTO="Manual",$M90=$A$15)),0,
         IF(OFFSET(CRONOPLE!$F$15,$M90-$A$15,CR$13)=0,10^12,OFFSET(CRONOPLE!$F$15,$M90-$A$15,CR$13)))</f>
        <v>1000000000000</v>
      </c>
      <c r="CT90" s="354" t="n">
        <f aca="true">IF(OR($D90&lt;&gt;"Serviço",AND(AUTOEVENTO="Manual",$M90=$A$15),$M90&gt;(ROW(PLE.lastrow)-ROW(PLE.firstrow))),0,
           IF(OFFSET(PLE!$G$15,$M90-$A$15,CT$13)="",10^12,OFFSET(PLE!$G$15,$M90-$A$15,CT$13)))</f>
        <v>1000000000000</v>
      </c>
      <c r="CU90" s="354" t="n">
        <f aca="true">IF(OR($D90&lt;&gt;"Serviço",AND(AUTOEVENTO="Manual",$M90=$A$15),$M90&gt;(ROW(PLE.lastrow)-ROW(PLE.firstrow))),0,
           IF(OFFSET(PLE!$G$15,$M90-$A$15,CU$13)="",10^12,OFFSET(PLE!$G$15,$M90-$A$15,CU$13)))</f>
        <v>1000000000000</v>
      </c>
      <c r="CV90" s="354" t="n">
        <f aca="true">IF(OR($D90&lt;&gt;"Serviço",AND(AUTOEVENTO="Manual",$M90=$A$15),$M90&gt;(ROW(PLE.lastrow)-ROW(PLE.firstrow))),0,
           IF(OFFSET(PLE!$G$15,$M90-$A$15,CV$13)="",10^12,OFFSET(PLE!$G$15,$M90-$A$15,CV$13)))</f>
        <v>1000000000000</v>
      </c>
      <c r="CW90" s="354" t="n">
        <f aca="true">IF(OR($D90&lt;&gt;"Serviço",AND(AUTOEVENTO="Manual",$M90=$A$15),$M90&gt;(ROW(PLE.lastrow)-ROW(PLE.firstrow))),0,
           IF(OFFSET(PLE!$G$15,$M90-$A$15,CW$13)="",10^12,OFFSET(PLE!$G$15,$M90-$A$15,CW$13)))</f>
        <v>1000000000000</v>
      </c>
      <c r="CX90" s="354" t="n">
        <f aca="true">IF(OR($D90&lt;&gt;"Serviço",AND(AUTOEVENTO="Manual",$M90=$A$15),$M90&gt;(ROW(PLE.lastrow)-ROW(PLE.firstrow))),0,
           IF(OFFSET(PLE!$G$15,$M90-$A$15,CX$13)="",10^12,OFFSET(PLE!$G$15,$M90-$A$15,CX$13)))</f>
        <v>1000000000000</v>
      </c>
      <c r="CY90" s="354" t="n">
        <f aca="true">IF(OR($D90&lt;&gt;"Serviço",AND(AUTOEVENTO="Manual",$M90=$A$15),$M90&gt;(ROW(PLE.lastrow)-ROW(PLE.firstrow))),0,
           IF(OFFSET(PLE!$G$15,$M90-$A$15,CY$13)="",10^12,OFFSET(PLE!$G$15,$M90-$A$15,CY$13)))</f>
        <v>1000000000000</v>
      </c>
      <c r="CZ90" s="354" t="n">
        <f aca="true">IF(OR($D90&lt;&gt;"Serviço",AND(AUTOEVENTO="Manual",$M90=$A$15),$M90&gt;(ROW(PLE.lastrow)-ROW(PLE.firstrow))),0,
           IF(OFFSET(PLE!$G$15,$M90-$A$15,CZ$13)="",10^12,OFFSET(PLE!$G$15,$M90-$A$15,CZ$13)))</f>
        <v>1000000000000</v>
      </c>
      <c r="DA90" s="354" t="n">
        <f aca="true">IF(OR($D90&lt;&gt;"Serviço",AND(AUTOEVENTO="Manual",$M90=$A$15),$M90&gt;(ROW(PLE.lastrow)-ROW(PLE.firstrow))),0,
           IF(OFFSET(PLE!$G$15,$M90-$A$15,DA$13)="",10^12,OFFSET(PLE!$G$15,$M90-$A$15,DA$13)))</f>
        <v>1000000000000</v>
      </c>
      <c r="DB90" s="354" t="n">
        <f aca="true">IF(OR($D90&lt;&gt;"Serviço",AND(AUTOEVENTO="Manual",$M90=$A$15),$M90&gt;(ROW(PLE.lastrow)-ROW(PLE.firstrow))),0,
           IF(OFFSET(PLE!$G$15,$M90-$A$15,DB$13)="",10^12,OFFSET(PLE!$G$15,$M90-$A$15,DB$13)))</f>
        <v>1000000000000</v>
      </c>
      <c r="DC90" s="354" t="n">
        <f aca="true">IF(OR($D90&lt;&gt;"Serviço",AND(AUTOEVENTO="Manual",$M90=$A$15),$M90&gt;(ROW(PLE.lastrow)-ROW(PLE.firstrow))),0,
           IF(OFFSET(PLE!$G$15,$M90-$A$15,DC$13)="",10^12,OFFSET(PLE!$G$15,$M90-$A$15,DC$13)))</f>
        <v>1000000000000</v>
      </c>
      <c r="DD90" s="354" t="n">
        <f aca="true">IF(OR($D90&lt;&gt;"Serviço",AND(AUTOEVENTO="Manual",$M90=$A$15),$M90&gt;(ROW(PLE.lastrow)-ROW(PLE.firstrow))),0,
           IF(OFFSET(PLE!$G$15,$M90-$A$15,DD$13)="",10^12,OFFSET(PLE!$G$15,$M90-$A$15,DD$13)))</f>
        <v>1000000000000</v>
      </c>
      <c r="DE90" s="354" t="n">
        <f aca="true">IF(OR($D90&lt;&gt;"Serviço",AND(AUTOEVENTO="Manual",$M90=$A$15),$M90&gt;(ROW(PLE.lastrow)-ROW(PLE.firstrow))),0,
           IF(OFFSET(PLE!$G$15,$M90-$A$15,DE$13)="",10^12,OFFSET(PLE!$G$15,$M90-$A$15,DE$13)))</f>
        <v>1000000000000</v>
      </c>
      <c r="DF90" s="354" t="n">
        <f aca="true">IF(OR($D90&lt;&gt;"Serviço",AND(AUTOEVENTO="Manual",$M90=$A$15),$M90&gt;(ROW(PLE.lastrow)-ROW(PLE.firstrow))),0,
           IF(OFFSET(PLE!$G$15,$M90-$A$15,DF$13)="",10^12,OFFSET(PLE!$G$15,$M90-$A$15,DF$13)))</f>
        <v>1000000000000</v>
      </c>
      <c r="DG90" s="354" t="n">
        <f aca="true">IF(OR($D90&lt;&gt;"Serviço",AND(AUTOEVENTO="Manual",$M90=$A$15),$M90&gt;(ROW(PLE.lastrow)-ROW(PLE.firstrow))),0,
           IF(OFFSET(PLE!$G$15,$M90-$A$15,DG$13)="",10^12,OFFSET(PLE!$G$15,$M90-$A$15,DG$13)))</f>
        <v>1000000000000</v>
      </c>
      <c r="DH90" s="354" t="n">
        <f aca="true">IF(OR($D90&lt;&gt;"Serviço",AND(AUTOEVENTO="Manual",$M90=$A$15),$M90&gt;(ROW(PLE.lastrow)-ROW(PLE.firstrow))),0,
           IF(OFFSET(PLE!$G$15,$M90-$A$15,DH$13)="",10^12,OFFSET(PLE!$G$15,$M90-$A$15,DH$13)))</f>
        <v>1000000000000</v>
      </c>
      <c r="DI90" s="354" t="n">
        <f aca="true">IF(OR($D90&lt;&gt;"Serviço",AND(AUTOEVENTO="Manual",$M90=$A$15),$M90&gt;(ROW(PLE.lastrow)-ROW(PLE.firstrow))),0,
           IF(OFFSET(PLE!$G$15,$M90-$A$15,DI$13)="",10^12,OFFSET(PLE!$G$15,$M90-$A$15,DI$13)))</f>
        <v>1000000000000</v>
      </c>
      <c r="DJ90" s="354" t="n">
        <f aca="true">IF(OR($D90&lt;&gt;"Serviço",AND(AUTOEVENTO="Manual",$M90=$A$15),$M90&gt;(ROW(PLE.lastrow)-ROW(PLE.firstrow))),0,
           IF(OFFSET(PLE!$G$15,$M90-$A$15,DJ$13)="",10^12,OFFSET(PLE!$G$15,$M90-$A$15,DJ$13)))</f>
        <v>1000000000000</v>
      </c>
      <c r="DK90" s="354" t="n">
        <f aca="true">IF(OR($D90&lt;&gt;"Serviço",AND(AUTOEVENTO="Manual",$M90=$A$15),$M90&gt;(ROW(PLE.lastrow)-ROW(PLE.firstrow))),0,
           IF(OFFSET(PLE!$G$15,$M90-$A$15,DK$13)="",10^12,OFFSET(PLE!$G$15,$M90-$A$15,DK$13)))</f>
        <v>1000000000000</v>
      </c>
      <c r="DL90" s="354" t="n">
        <f aca="true">IF(OR($D90&lt;&gt;"Serviço",AND(AUTOEVENTO="Manual",$M90=$A$15),$M90&gt;(ROW(PLE.lastrow)-ROW(PLE.firstrow))),0,
           IF(OFFSET(PLE!$G$15,$M90-$A$15,DL$13)="",10^12,OFFSET(PLE!$G$15,$M90-$A$15,DL$13)))</f>
        <v>1000000000000</v>
      </c>
      <c r="DM90" s="354" t="n">
        <f aca="true">IF(OR($D90&lt;&gt;"Serviço",AND(AUTOEVENTO="Manual",$M90=$A$15),$M90&gt;(ROW(PLE.lastrow)-ROW(PLE.firstrow))),0,
           IF(OFFSET(PLE!$G$15,$M90-$A$15,DM$13)="",10^12,OFFSET(PLE!$G$15,$M90-$A$15,DM$13)))</f>
        <v>1000000000000</v>
      </c>
      <c r="DN90" s="354" t="n">
        <f aca="true">IF(OR($D90&lt;&gt;"Serviço",AND(AUTOEVENTO="Manual",$M90=$A$15),$M90&gt;(ROW(PLE.lastrow)-ROW(PLE.firstrow))),0,
           IF(OFFSET(PLE!$G$15,$M90-$A$15,DN$13)="",10^12,OFFSET(PLE!$G$15,$M90-$A$15,DN$13)))</f>
        <v>1000000000000</v>
      </c>
      <c r="DO90" s="354" t="n">
        <f aca="true">IF(OR($D90&lt;&gt;"Serviço",AND(AUTOEVENTO="Manual",$M90=$A$15),$M90&gt;(ROW(PLE.lastrow)-ROW(PLE.firstrow))),0,
           IF(OFFSET(PLE!$G$15,$M90-$A$15,DO$13)="",10^12,OFFSET(PLE!$G$15,$M90-$A$15,DO$13)))</f>
        <v>1000000000000</v>
      </c>
      <c r="DP90" s="354" t="n">
        <f aca="true">IF(OR($D90&lt;&gt;"Serviço",AND(AUTOEVENTO="Manual",$M90=$A$15),$M90&gt;(ROW(PLE.lastrow)-ROW(PLE.firstrow))),0,
           IF(OFFSET(PLE!$G$15,$M90-$A$15,DP$13)="",10^12,OFFSET(PLE!$G$15,$M90-$A$15,DP$13)))</f>
        <v>1000000000000</v>
      </c>
      <c r="DQ90" s="354" t="n">
        <f aca="true">IF(OR($D90&lt;&gt;"Serviço",AND(AUTOEVENTO="Manual",$M90=$A$15),$M90&gt;(ROW(PLE.lastrow)-ROW(PLE.firstrow))),0,
           IF(OFFSET(PLE!$G$15,$M90-$A$15,DQ$13)="",10^12,OFFSET(PLE!$G$15,$M90-$A$15,DQ$13)))</f>
        <v>1000000000000</v>
      </c>
      <c r="DR90" s="354" t="n">
        <f aca="true">IF(OR($D90&lt;&gt;"Serviço",AND(AUTOEVENTO="Manual",$M90=$A$15),$M90&gt;(ROW(PLE.lastrow)-ROW(PLE.firstrow))),0,
           IF(OFFSET(PLE!$G$15,$M90-$A$15,DR$13)="",10^12,OFFSET(PLE!$G$15,$M90-$A$15,DR$13)))</f>
        <v>1000000000000</v>
      </c>
      <c r="DS90" s="354" t="n">
        <f aca="true">IF(OR($D90&lt;&gt;"Serviço",AND(AUTOEVENTO="Manual",$M90=$A$15),$M90&gt;(ROW(PLE.lastrow)-ROW(PLE.firstrow))),0,
           IF(OFFSET(PLE!$G$15,$M90-$A$15,DS$13)="",10^12,OFFSET(PLE!$G$15,$M90-$A$15,DS$13)))</f>
        <v>1000000000000</v>
      </c>
    </row>
    <row r="91" customFormat="false" ht="23.85" hidden="false" customHeight="false" outlineLevel="0" collapsed="false">
      <c r="A91" s="50" t="str">
        <f aca="true">IFERROR(IF(AUTOEVENTO="Manual",IF(K91&lt;&gt;"",MIN(VALUE(LEFT(K91,FIND(".",K91)-1)),COUNTA(EVENTOS.Lista)),0),IF(OR($B91&gt;AUTOEVENTO,$B91="S",$B91=0),SUBSTITUTE(OFFSET($A91,-1,0),IF($D91="Serviço",".",""),""),ROW(A91)-ROW($A$15)&amp;".")),0)</f>
        <v>74</v>
      </c>
      <c r="B91" s="50" t="str">
        <f aca="true">OFFSET(ORÇAMENTO!C$15,ROW(B91)-ROW(B$15),0)</f>
        <v>S</v>
      </c>
      <c r="C91" s="50" t="str">
        <f aca="true">OFFSET(ORÇAMENTO!L$15,ROW(C91)-ROW(C$15),0)</f>
        <v>F</v>
      </c>
      <c r="D91" s="201" t="str">
        <f aca="true">OFFSET(ORÇAMENTO!N$15,ROW(D91)-ROW(D$15),0)</f>
        <v>Serviço</v>
      </c>
      <c r="E91" s="202" t="str">
        <f aca="true">OFFSET(ORÇAMENTO!O$15,ROW(E91)-ROW(E$15),0)</f>
        <v>1.23.2.</v>
      </c>
      <c r="F91" s="341" t="str">
        <f aca="true">OFFSET(ORÇAMENTO!R$15,ROW(F91)-ROW(F$15),0)</f>
        <v>FUNDO SELADOR ACRÍLICO, APLICAÇÃO MANUAL EM TETO, UMA DEMÃO. AF_04/2023</v>
      </c>
      <c r="G91" s="342" t="str">
        <f aca="true">IF($D91&lt;&gt;"Serviço","",OFFSET(ORÇAMENTO!S$15,ROW(G91)-ROW(G$15),0))</f>
        <v>M2</v>
      </c>
      <c r="H91" s="207" t="n">
        <f aca="true">IF($D91&lt;&gt;"Serviço",0,IF(ACOMPANHAMENTO="BM",ROUND(OFFSET(ORÇAMENTO!AJ$15,ROW(H91)-ROW(H$15),0),15-13*ORÇAMENTO!$AF$7),SUMPRODUCT(($Q$1:$AQ$1=1)*ROUND($Q91:$AQ91,15-13*ORÇAMENTO!$AF$7))))</f>
        <v>1164</v>
      </c>
      <c r="I91" s="343" t="s">
        <v>954</v>
      </c>
      <c r="J91" s="344" t="e">
        <f aca="false">IF(OR(B91&lt;&gt;"S",CÁLCULO.FrentesPreenchidas=0),"",IF(AND(ACOMPANHAMENTO="PLE",AUTOEVENTO="Manual",OR(H91&gt;0,ORÇAMENTO!AC91="QUANT."),OR(K91="",M91=0,N91="")),"►",IF(AND(ACOMPANHAMENTO="PLE",ORÇAMENTO!AC91="QUANT."),"►►",IF(AND(COUNTIF($P$11:$AQ$11,"▼")=0,H91&gt;0,I91=""),"◄",""))))</f>
        <v>#NAME?</v>
      </c>
      <c r="K91" s="345"/>
      <c r="L91" s="346" t="s">
        <v>876</v>
      </c>
      <c r="M91" s="347" t="n">
        <f aca="true">IF($D91&lt;&gt;"Serviço","",
          IF(AUTOEVENTO="manual",$A91,
                IF(ISERROR(MATCH($A91,$A$15:OFFSET($A91,-1,0),0)),MAX($M$15:OFFSET(M91,-1,0))+1,
                      INDEX($M$15:OFFSET(M91,-1,0),MATCH($A91,$A$15:OFFSET($A91,-1,0),0)))))</f>
        <v>15</v>
      </c>
      <c r="N91" s="348" t="str">
        <f aca="true">IF($D91&lt;&gt;"Serviço","",
         IF(AUTOEVENTO="Manual",
                IF($A91=0,"&lt;-- defina o número do agrupador",
                       OFFSET(EVENTOS!$D$15,$A91-$A$15,0)),
                OFFSET($F$15,$A91,0)))</f>
        <v>PINTURAS INTERNAS</v>
      </c>
      <c r="O91" s="349"/>
      <c r="Q91" s="349" t="n">
        <f aca="false">Q79</f>
        <v>46.56</v>
      </c>
      <c r="R91" s="350" t="n">
        <f aca="false">Q91</f>
        <v>46.56</v>
      </c>
      <c r="S91" s="350" t="n">
        <f aca="false">R91</f>
        <v>46.56</v>
      </c>
      <c r="T91" s="350" t="n">
        <f aca="false">S91</f>
        <v>46.56</v>
      </c>
      <c r="U91" s="350" t="n">
        <f aca="false">T91</f>
        <v>46.56</v>
      </c>
      <c r="V91" s="350" t="n">
        <f aca="false">U91</f>
        <v>46.56</v>
      </c>
      <c r="W91" s="350" t="n">
        <f aca="false">V91</f>
        <v>46.56</v>
      </c>
      <c r="X91" s="350" t="n">
        <f aca="false">W91</f>
        <v>46.56</v>
      </c>
      <c r="Y91" s="350" t="n">
        <f aca="false">X91</f>
        <v>46.56</v>
      </c>
      <c r="Z91" s="351" t="n">
        <f aca="false">Y91</f>
        <v>46.56</v>
      </c>
      <c r="AA91" s="350" t="n">
        <f aca="false">Z91</f>
        <v>46.56</v>
      </c>
      <c r="AB91" s="350" t="n">
        <f aca="false">AA91</f>
        <v>46.56</v>
      </c>
      <c r="AC91" s="350" t="n">
        <f aca="false">AB91</f>
        <v>46.56</v>
      </c>
      <c r="AD91" s="350" t="n">
        <f aca="false">AC91</f>
        <v>46.56</v>
      </c>
      <c r="AE91" s="350" t="n">
        <f aca="false">AD91</f>
        <v>46.56</v>
      </c>
      <c r="AF91" s="350" t="n">
        <f aca="false">AE91</f>
        <v>46.56</v>
      </c>
      <c r="AG91" s="350" t="n">
        <f aca="false">AF91</f>
        <v>46.56</v>
      </c>
      <c r="AH91" s="351" t="n">
        <f aca="false">AG91</f>
        <v>46.56</v>
      </c>
      <c r="AI91" s="350" t="n">
        <f aca="false">AH91</f>
        <v>46.56</v>
      </c>
      <c r="AJ91" s="350" t="n">
        <f aca="false">AI91</f>
        <v>46.56</v>
      </c>
      <c r="AK91" s="350" t="n">
        <f aca="false">AJ91</f>
        <v>46.56</v>
      </c>
      <c r="AL91" s="350" t="n">
        <f aca="false">AK91</f>
        <v>46.56</v>
      </c>
      <c r="AM91" s="350" t="n">
        <f aca="false">AL91</f>
        <v>46.56</v>
      </c>
      <c r="AN91" s="350" t="n">
        <f aca="false">AM91</f>
        <v>46.56</v>
      </c>
      <c r="AO91" s="350" t="n">
        <f aca="false">AN91</f>
        <v>46.56</v>
      </c>
      <c r="AP91" s="351"/>
      <c r="AR91" s="352" t="n">
        <f aca="true">IF(AND($D91="Serviço",AR$12&lt;&gt;0,$H91&gt;0,OR(AUTOEVENTO&lt;&gt;"manual",$M91&lt;&gt;$A$15)),
        IF(Import.TipoArredondamento&lt;&gt;"TransfereGOV",
              ROUND(OFFSET($P91,0,AR$13),15-13*ORÇAMENTO!$AF$7)/$H91*OFFSET(ORÇAMENTO!$X$15,ROW(AR91)-ROW(AR$15),0),
              ROUND(ROUND(OFFSET($P91,0,AR$13),15-13*ORÇAMENTO!$AF$7)*OFFSET(ORÇAMENTO!$W$15,ROW(AR91)-ROW(AR$15),0),15-13*ORÇAMENTO!$AF$11)),
         0)</f>
        <v>330.58</v>
      </c>
      <c r="AS91" s="352" t="n">
        <f aca="true">IF(AND($D91="Serviço",AS$12&lt;&gt;0,$H91&gt;0,OR(AUTOEVENTO&lt;&gt;"manual",$M91&lt;&gt;$A$15)),
        IF(Import.TipoArredondamento&lt;&gt;"TransfereGOV",
              ROUND(OFFSET($P91,0,AS$13),15-13*ORÇAMENTO!$AF$7)/$H91*OFFSET(ORÇAMENTO!$X$15,ROW(AS91)-ROW(AS$15),0),
              ROUND(ROUND(OFFSET($P91,0,AS$13),15-13*ORÇAMENTO!$AF$7)*OFFSET(ORÇAMENTO!$W$15,ROW(AS91)-ROW(AS$15),0),15-13*ORÇAMENTO!$AF$11)),
         0)</f>
        <v>330.58</v>
      </c>
      <c r="AT91" s="352" t="n">
        <f aca="true">IF(AND($D91="Serviço",AT$12&lt;&gt;0,$H91&gt;0,OR(AUTOEVENTO&lt;&gt;"manual",$M91&lt;&gt;$A$15)),
        IF(Import.TipoArredondamento&lt;&gt;"TransfereGOV",
              ROUND(OFFSET($P91,0,AT$13),15-13*ORÇAMENTO!$AF$7)/$H91*OFFSET(ORÇAMENTO!$X$15,ROW(AT91)-ROW(AT$15),0),
              ROUND(ROUND(OFFSET($P91,0,AT$13),15-13*ORÇAMENTO!$AF$7)*OFFSET(ORÇAMENTO!$W$15,ROW(AT91)-ROW(AT$15),0),15-13*ORÇAMENTO!$AF$11)),
         0)</f>
        <v>330.58</v>
      </c>
      <c r="AU91" s="352" t="n">
        <f aca="true">IF(AND($D91="Serviço",AU$12&lt;&gt;0,$H91&gt;0,OR(AUTOEVENTO&lt;&gt;"manual",$M91&lt;&gt;$A$15)),
        IF(Import.TipoArredondamento&lt;&gt;"TransfereGOV",
              ROUND(OFFSET($P91,0,AU$13),15-13*ORÇAMENTO!$AF$7)/$H91*OFFSET(ORÇAMENTO!$X$15,ROW(AU91)-ROW(AU$15),0),
              ROUND(ROUND(OFFSET($P91,0,AU$13),15-13*ORÇAMENTO!$AF$7)*OFFSET(ORÇAMENTO!$W$15,ROW(AU91)-ROW(AU$15),0),15-13*ORÇAMENTO!$AF$11)),
         0)</f>
        <v>330.58</v>
      </c>
      <c r="AV91" s="352" t="n">
        <f aca="true">IF(AND($D91="Serviço",AV$12&lt;&gt;0,$H91&gt;0,OR(AUTOEVENTO&lt;&gt;"manual",$M91&lt;&gt;$A$15)),
        IF(Import.TipoArredondamento&lt;&gt;"TransfereGOV",
              ROUND(OFFSET($P91,0,AV$13),15-13*ORÇAMENTO!$AF$7)/$H91*OFFSET(ORÇAMENTO!$X$15,ROW(AV91)-ROW(AV$15),0),
              ROUND(ROUND(OFFSET($P91,0,AV$13),15-13*ORÇAMENTO!$AF$7)*OFFSET(ORÇAMENTO!$W$15,ROW(AV91)-ROW(AV$15),0),15-13*ORÇAMENTO!$AF$11)),
         0)</f>
        <v>330.58</v>
      </c>
      <c r="AW91" s="352" t="n">
        <f aca="true">IF(AND($D91="Serviço",AW$12&lt;&gt;0,$H91&gt;0,OR(AUTOEVENTO&lt;&gt;"manual",$M91&lt;&gt;$A$15)),
        IF(Import.TipoArredondamento&lt;&gt;"TransfereGOV",
              ROUND(OFFSET($P91,0,AW$13),15-13*ORÇAMENTO!$AF$7)/$H91*OFFSET(ORÇAMENTO!$X$15,ROW(AW91)-ROW(AW$15),0),
              ROUND(ROUND(OFFSET($P91,0,AW$13),15-13*ORÇAMENTO!$AF$7)*OFFSET(ORÇAMENTO!$W$15,ROW(AW91)-ROW(AW$15),0),15-13*ORÇAMENTO!$AF$11)),
         0)</f>
        <v>330.58</v>
      </c>
      <c r="AX91" s="352" t="n">
        <f aca="true">IF(AND($D91="Serviço",AX$12&lt;&gt;0,$H91&gt;0,OR(AUTOEVENTO&lt;&gt;"manual",$M91&lt;&gt;$A$15)),
        IF(Import.TipoArredondamento&lt;&gt;"TransfereGOV",
              ROUND(OFFSET($P91,0,AX$13),15-13*ORÇAMENTO!$AF$7)/$H91*OFFSET(ORÇAMENTO!$X$15,ROW(AX91)-ROW(AX$15),0),
              ROUND(ROUND(OFFSET($P91,0,AX$13),15-13*ORÇAMENTO!$AF$7)*OFFSET(ORÇAMENTO!$W$15,ROW(AX91)-ROW(AX$15),0),15-13*ORÇAMENTO!$AF$11)),
         0)</f>
        <v>330.58</v>
      </c>
      <c r="AY91" s="352" t="n">
        <f aca="true">IF(AND($D91="Serviço",AY$12&lt;&gt;0,$H91&gt;0,OR(AUTOEVENTO&lt;&gt;"manual",$M91&lt;&gt;$A$15)),
        IF(Import.TipoArredondamento&lt;&gt;"TransfereGOV",
              ROUND(OFFSET($P91,0,AY$13),15-13*ORÇAMENTO!$AF$7)/$H91*OFFSET(ORÇAMENTO!$X$15,ROW(AY91)-ROW(AY$15),0),
              ROUND(ROUND(OFFSET($P91,0,AY$13),15-13*ORÇAMENTO!$AF$7)*OFFSET(ORÇAMENTO!$W$15,ROW(AY91)-ROW(AY$15),0),15-13*ORÇAMENTO!$AF$11)),
         0)</f>
        <v>330.58</v>
      </c>
      <c r="AZ91" s="352" t="n">
        <f aca="true">IF(AND($D91="Serviço",AZ$12&lt;&gt;0,$H91&gt;0,OR(AUTOEVENTO&lt;&gt;"manual",$M91&lt;&gt;$A$15)),
        IF(Import.TipoArredondamento&lt;&gt;"TransfereGOV",
              ROUND(OFFSET($P91,0,AZ$13),15-13*ORÇAMENTO!$AF$7)/$H91*OFFSET(ORÇAMENTO!$X$15,ROW(AZ91)-ROW(AZ$15),0),
              ROUND(ROUND(OFFSET($P91,0,AZ$13),15-13*ORÇAMENTO!$AF$7)*OFFSET(ORÇAMENTO!$W$15,ROW(AZ91)-ROW(AZ$15),0),15-13*ORÇAMENTO!$AF$11)),
         0)</f>
        <v>330.58</v>
      </c>
      <c r="BA91" s="352" t="n">
        <f aca="true">IF(AND($D91="Serviço",BA$12&lt;&gt;0,$H91&gt;0,OR(AUTOEVENTO&lt;&gt;"manual",$M91&lt;&gt;$A$15)),
        IF(Import.TipoArredondamento&lt;&gt;"TransfereGOV",
              ROUND(OFFSET($P91,0,BA$13),15-13*ORÇAMENTO!$AF$7)/$H91*OFFSET(ORÇAMENTO!$X$15,ROW(BA91)-ROW(BA$15),0),
              ROUND(ROUND(OFFSET($P91,0,BA$13),15-13*ORÇAMENTO!$AF$7)*OFFSET(ORÇAMENTO!$W$15,ROW(BA91)-ROW(BA$15),0),15-13*ORÇAMENTO!$AF$11)),
         0)</f>
        <v>330.58</v>
      </c>
      <c r="BB91" s="352" t="n">
        <f aca="true">IF(AND($D91="Serviço",BB$12&lt;&gt;0,$H91&gt;0,OR(AUTOEVENTO&lt;&gt;"manual",$M91&lt;&gt;$A$15)),
        IF(Import.TipoArredondamento&lt;&gt;"TransfereGOV",
              ROUND(OFFSET($P91,0,BB$13),15-13*ORÇAMENTO!$AF$7)/$H91*OFFSET(ORÇAMENTO!$X$15,ROW(BB91)-ROW(BB$15),0),
              ROUND(ROUND(OFFSET($P91,0,BB$13),15-13*ORÇAMENTO!$AF$7)*OFFSET(ORÇAMENTO!$W$15,ROW(BB91)-ROW(BB$15),0),15-13*ORÇAMENTO!$AF$11)),
         0)</f>
        <v>330.58</v>
      </c>
      <c r="BC91" s="352" t="n">
        <f aca="true">IF(AND($D91="Serviço",BC$12&lt;&gt;0,$H91&gt;0,OR(AUTOEVENTO&lt;&gt;"manual",$M91&lt;&gt;$A$15)),
        IF(Import.TipoArredondamento&lt;&gt;"TransfereGOV",
              ROUND(OFFSET($P91,0,BC$13),15-13*ORÇAMENTO!$AF$7)/$H91*OFFSET(ORÇAMENTO!$X$15,ROW(BC91)-ROW(BC$15),0),
              ROUND(ROUND(OFFSET($P91,0,BC$13),15-13*ORÇAMENTO!$AF$7)*OFFSET(ORÇAMENTO!$W$15,ROW(BC91)-ROW(BC$15),0),15-13*ORÇAMENTO!$AF$11)),
         0)</f>
        <v>330.58</v>
      </c>
      <c r="BD91" s="352" t="n">
        <f aca="true">IF(AND($D91="Serviço",BD$12&lt;&gt;0,$H91&gt;0,OR(AUTOEVENTO&lt;&gt;"manual",$M91&lt;&gt;$A$15)),
        IF(Import.TipoArredondamento&lt;&gt;"TransfereGOV",
              ROUND(OFFSET($P91,0,BD$13),15-13*ORÇAMENTO!$AF$7)/$H91*OFFSET(ORÇAMENTO!$X$15,ROW(BD91)-ROW(BD$15),0),
              ROUND(ROUND(OFFSET($P91,0,BD$13),15-13*ORÇAMENTO!$AF$7)*OFFSET(ORÇAMENTO!$W$15,ROW(BD91)-ROW(BD$15),0),15-13*ORÇAMENTO!$AF$11)),
         0)</f>
        <v>330.58</v>
      </c>
      <c r="BE91" s="352" t="n">
        <f aca="true">IF(AND($D91="Serviço",BE$12&lt;&gt;0,$H91&gt;0,OR(AUTOEVENTO&lt;&gt;"manual",$M91&lt;&gt;$A$15)),
        IF(Import.TipoArredondamento&lt;&gt;"TransfereGOV",
              ROUND(OFFSET($P91,0,BE$13),15-13*ORÇAMENTO!$AF$7)/$H91*OFFSET(ORÇAMENTO!$X$15,ROW(BE91)-ROW(BE$15),0),
              ROUND(ROUND(OFFSET($P91,0,BE$13),15-13*ORÇAMENTO!$AF$7)*OFFSET(ORÇAMENTO!$W$15,ROW(BE91)-ROW(BE$15),0),15-13*ORÇAMENTO!$AF$11)),
         0)</f>
        <v>330.58</v>
      </c>
      <c r="BF91" s="352" t="n">
        <f aca="true">IF(AND($D91="Serviço",BF$12&lt;&gt;0,$H91&gt;0,OR(AUTOEVENTO&lt;&gt;"manual",$M91&lt;&gt;$A$15)),
        IF(Import.TipoArredondamento&lt;&gt;"TransfereGOV",
              ROUND(OFFSET($P91,0,BF$13),15-13*ORÇAMENTO!$AF$7)/$H91*OFFSET(ORÇAMENTO!$X$15,ROW(BF91)-ROW(BF$15),0),
              ROUND(ROUND(OFFSET($P91,0,BF$13),15-13*ORÇAMENTO!$AF$7)*OFFSET(ORÇAMENTO!$W$15,ROW(BF91)-ROW(BF$15),0),15-13*ORÇAMENTO!$AF$11)),
         0)</f>
        <v>330.58</v>
      </c>
      <c r="BG91" s="352" t="n">
        <f aca="true">IF(AND($D91="Serviço",BG$12&lt;&gt;0,$H91&gt;0,OR(AUTOEVENTO&lt;&gt;"manual",$M91&lt;&gt;$A$15)),
        IF(Import.TipoArredondamento&lt;&gt;"TransfereGOV",
              ROUND(OFFSET($P91,0,BG$13),15-13*ORÇAMENTO!$AF$7)/$H91*OFFSET(ORÇAMENTO!$X$15,ROW(BG91)-ROW(BG$15),0),
              ROUND(ROUND(OFFSET($P91,0,BG$13),15-13*ORÇAMENTO!$AF$7)*OFFSET(ORÇAMENTO!$W$15,ROW(BG91)-ROW(BG$15),0),15-13*ORÇAMENTO!$AF$11)),
         0)</f>
        <v>330.58</v>
      </c>
      <c r="BH91" s="352" t="n">
        <f aca="true">IF(AND($D91="Serviço",BH$12&lt;&gt;0,$H91&gt;0,OR(AUTOEVENTO&lt;&gt;"manual",$M91&lt;&gt;$A$15)),
        IF(Import.TipoArredondamento&lt;&gt;"TransfereGOV",
              ROUND(OFFSET($P91,0,BH$13),15-13*ORÇAMENTO!$AF$7)/$H91*OFFSET(ORÇAMENTO!$X$15,ROW(BH91)-ROW(BH$15),0),
              ROUND(ROUND(OFFSET($P91,0,BH$13),15-13*ORÇAMENTO!$AF$7)*OFFSET(ORÇAMENTO!$W$15,ROW(BH91)-ROW(BH$15),0),15-13*ORÇAMENTO!$AF$11)),
         0)</f>
        <v>330.58</v>
      </c>
      <c r="BI91" s="352" t="n">
        <f aca="true">IF(AND($D91="Serviço",BI$12&lt;&gt;0,$H91&gt;0,OR(AUTOEVENTO&lt;&gt;"manual",$M91&lt;&gt;$A$15)),
        IF(Import.TipoArredondamento&lt;&gt;"TransfereGOV",
              ROUND(OFFSET($P91,0,BI$13),15-13*ORÇAMENTO!$AF$7)/$H91*OFFSET(ORÇAMENTO!$X$15,ROW(BI91)-ROW(BI$15),0),
              ROUND(ROUND(OFFSET($P91,0,BI$13),15-13*ORÇAMENTO!$AF$7)*OFFSET(ORÇAMENTO!$W$15,ROW(BI91)-ROW(BI$15),0),15-13*ORÇAMENTO!$AF$11)),
         0)</f>
        <v>330.58</v>
      </c>
      <c r="BJ91" s="352" t="n">
        <f aca="true">IF(AND($D91="Serviço",BJ$12&lt;&gt;0,$H91&gt;0,OR(AUTOEVENTO&lt;&gt;"manual",$M91&lt;&gt;$A$15)),
        IF(Import.TipoArredondamento&lt;&gt;"TransfereGOV",
              ROUND(OFFSET($P91,0,BJ$13),15-13*ORÇAMENTO!$AF$7)/$H91*OFFSET(ORÇAMENTO!$X$15,ROW(BJ91)-ROW(BJ$15),0),
              ROUND(ROUND(OFFSET($P91,0,BJ$13),15-13*ORÇAMENTO!$AF$7)*OFFSET(ORÇAMENTO!$W$15,ROW(BJ91)-ROW(BJ$15),0),15-13*ORÇAMENTO!$AF$11)),
         0)</f>
        <v>330.58</v>
      </c>
      <c r="BK91" s="352" t="n">
        <f aca="true">IF(AND($D91="Serviço",BK$12&lt;&gt;0,$H91&gt;0,OR(AUTOEVENTO&lt;&gt;"manual",$M91&lt;&gt;$A$15)),
        IF(Import.TipoArredondamento&lt;&gt;"TransfereGOV",
              ROUND(OFFSET($P91,0,BK$13),15-13*ORÇAMENTO!$AF$7)/$H91*OFFSET(ORÇAMENTO!$X$15,ROW(BK91)-ROW(BK$15),0),
              ROUND(ROUND(OFFSET($P91,0,BK$13),15-13*ORÇAMENTO!$AF$7)*OFFSET(ORÇAMENTO!$W$15,ROW(BK91)-ROW(BK$15),0),15-13*ORÇAMENTO!$AF$11)),
         0)</f>
        <v>330.58</v>
      </c>
      <c r="BL91" s="352" t="n">
        <f aca="true">IF(AND($D91="Serviço",BL$12&lt;&gt;0,$H91&gt;0,OR(AUTOEVENTO&lt;&gt;"manual",$M91&lt;&gt;$A$15)),
        IF(Import.TipoArredondamento&lt;&gt;"TransfereGOV",
              ROUND(OFFSET($P91,0,BL$13),15-13*ORÇAMENTO!$AF$7)/$H91*OFFSET(ORÇAMENTO!$X$15,ROW(BL91)-ROW(BL$15),0),
              ROUND(ROUND(OFFSET($P91,0,BL$13),15-13*ORÇAMENTO!$AF$7)*OFFSET(ORÇAMENTO!$W$15,ROW(BL91)-ROW(BL$15),0),15-13*ORÇAMENTO!$AF$11)),
         0)</f>
        <v>330.58</v>
      </c>
      <c r="BM91" s="352" t="n">
        <f aca="true">IF(AND($D91="Serviço",BM$12&lt;&gt;0,$H91&gt;0,OR(AUTOEVENTO&lt;&gt;"manual",$M91&lt;&gt;$A$15)),
        IF(Import.TipoArredondamento&lt;&gt;"TransfereGOV",
              ROUND(OFFSET($P91,0,BM$13),15-13*ORÇAMENTO!$AF$7)/$H91*OFFSET(ORÇAMENTO!$X$15,ROW(BM91)-ROW(BM$15),0),
              ROUND(ROUND(OFFSET($P91,0,BM$13),15-13*ORÇAMENTO!$AF$7)*OFFSET(ORÇAMENTO!$W$15,ROW(BM91)-ROW(BM$15),0),15-13*ORÇAMENTO!$AF$11)),
         0)</f>
        <v>330.58</v>
      </c>
      <c r="BN91" s="352" t="n">
        <f aca="true">IF(AND($D91="Serviço",BN$12&lt;&gt;0,$H91&gt;0,OR(AUTOEVENTO&lt;&gt;"manual",$M91&lt;&gt;$A$15)),
        IF(Import.TipoArredondamento&lt;&gt;"TransfereGOV",
              ROUND(OFFSET($P91,0,BN$13),15-13*ORÇAMENTO!$AF$7)/$H91*OFFSET(ORÇAMENTO!$X$15,ROW(BN91)-ROW(BN$15),0),
              ROUND(ROUND(OFFSET($P91,0,BN$13),15-13*ORÇAMENTO!$AF$7)*OFFSET(ORÇAMENTO!$W$15,ROW(BN91)-ROW(BN$15),0),15-13*ORÇAMENTO!$AF$11)),
         0)</f>
        <v>330.58</v>
      </c>
      <c r="BO91" s="352" t="n">
        <f aca="true">IF(AND($D91="Serviço",BO$12&lt;&gt;0,$H91&gt;0,OR(AUTOEVENTO&lt;&gt;"manual",$M91&lt;&gt;$A$15)),
        IF(Import.TipoArredondamento&lt;&gt;"TransfereGOV",
              ROUND(OFFSET($P91,0,BO$13),15-13*ORÇAMENTO!$AF$7)/$H91*OFFSET(ORÇAMENTO!$X$15,ROW(BO91)-ROW(BO$15),0),
              ROUND(ROUND(OFFSET($P91,0,BO$13),15-13*ORÇAMENTO!$AF$7)*OFFSET(ORÇAMENTO!$W$15,ROW(BO91)-ROW(BO$15),0),15-13*ORÇAMENTO!$AF$11)),
         0)</f>
        <v>330.58</v>
      </c>
      <c r="BP91" s="352" t="n">
        <f aca="true">IF(AND($D91="Serviço",BP$12&lt;&gt;0,$H91&gt;0,OR(AUTOEVENTO&lt;&gt;"manual",$M91&lt;&gt;$A$15)),
        IF(Import.TipoArredondamento&lt;&gt;"TransfereGOV",
              ROUND(OFFSET($P91,0,BP$13),15-13*ORÇAMENTO!$AF$7)/$H91*OFFSET(ORÇAMENTO!$X$15,ROW(BP91)-ROW(BP$15),0),
              ROUND(ROUND(OFFSET($P91,0,BP$13),15-13*ORÇAMENTO!$AF$7)*OFFSET(ORÇAMENTO!$W$15,ROW(BP91)-ROW(BP$15),0),15-13*ORÇAMENTO!$AF$11)),
         0)</f>
        <v>330.58</v>
      </c>
      <c r="BQ91" s="352" t="n">
        <f aca="true">IF(AND($D91="Serviço",BQ$12&lt;&gt;0,$H91&gt;0,OR(AUTOEVENTO&lt;&gt;"manual",$M91&lt;&gt;$A$15)),
        IF(Import.TipoArredondamento&lt;&gt;"TransfereGOV",
              ROUND(OFFSET($P91,0,BQ$13),15-13*ORÇAMENTO!$AF$7)/$H91*OFFSET(ORÇAMENTO!$X$15,ROW(BQ91)-ROW(BQ$15),0),
              ROUND(ROUND(OFFSET($P91,0,BQ$13),15-13*ORÇAMENTO!$AF$7)*OFFSET(ORÇAMENTO!$W$15,ROW(BQ91)-ROW(BQ$15),0),15-13*ORÇAMENTO!$AF$11)),
         0)</f>
        <v>0</v>
      </c>
      <c r="BS91" s="353" t="n">
        <f aca="true">IF(OR($D91&lt;&gt;"Serviço",AND(AUTOEVENTO="Manual",$M91=$A$15)),0,
         IF(OFFSET(CRONOPLE!$F$15,$M91-$A$15,BS$13)=0,10^12,OFFSET(CRONOPLE!$F$15,$M91-$A$15,BS$13)))</f>
        <v>1</v>
      </c>
      <c r="BT91" s="353" t="n">
        <f aca="true">IF(OR($D91&lt;&gt;"Serviço",AND(AUTOEVENTO="Manual",$M91=$A$15)),0,
         IF(OFFSET(CRONOPLE!$F$15,$M91-$A$15,BT$13)=0,10^12,OFFSET(CRONOPLE!$F$15,$M91-$A$15,BT$13)))</f>
        <v>2</v>
      </c>
      <c r="BU91" s="353" t="n">
        <f aca="true">IF(OR($D91&lt;&gt;"Serviço",AND(AUTOEVENTO="Manual",$M91=$A$15)),0,
         IF(OFFSET(CRONOPLE!$F$15,$M91-$A$15,BU$13)=0,10^12,OFFSET(CRONOPLE!$F$15,$M91-$A$15,BU$13)))</f>
        <v>3</v>
      </c>
      <c r="BV91" s="353" t="n">
        <f aca="true">IF(OR($D91&lt;&gt;"Serviço",AND(AUTOEVENTO="Manual",$M91=$A$15)),0,
         IF(OFFSET(CRONOPLE!$F$15,$M91-$A$15,BV$13)=0,10^12,OFFSET(CRONOPLE!$F$15,$M91-$A$15,BV$13)))</f>
        <v>4</v>
      </c>
      <c r="BW91" s="353" t="n">
        <f aca="true">IF(OR($D91&lt;&gt;"Serviço",AND(AUTOEVENTO="Manual",$M91=$A$15)),0,
         IF(OFFSET(CRONOPLE!$F$15,$M91-$A$15,BW$13)=0,10^12,OFFSET(CRONOPLE!$F$15,$M91-$A$15,BW$13)))</f>
        <v>5</v>
      </c>
      <c r="BX91" s="353" t="n">
        <f aca="true">IF(OR($D91&lt;&gt;"Serviço",AND(AUTOEVENTO="Manual",$M91=$A$15)),0,
         IF(OFFSET(CRONOPLE!$F$15,$M91-$A$15,BX$13)=0,10^12,OFFSET(CRONOPLE!$F$15,$M91-$A$15,BX$13)))</f>
        <v>6</v>
      </c>
      <c r="BY91" s="353" t="n">
        <f aca="true">IF(OR($D91&lt;&gt;"Serviço",AND(AUTOEVENTO="Manual",$M91=$A$15)),0,
         IF(OFFSET(CRONOPLE!$F$15,$M91-$A$15,BY$13)=0,10^12,OFFSET(CRONOPLE!$F$15,$M91-$A$15,BY$13)))</f>
        <v>7</v>
      </c>
      <c r="BZ91" s="353" t="n">
        <f aca="true">IF(OR($D91&lt;&gt;"Serviço",AND(AUTOEVENTO="Manual",$M91=$A$15)),0,
         IF(OFFSET(CRONOPLE!$F$15,$M91-$A$15,BZ$13)=0,10^12,OFFSET(CRONOPLE!$F$15,$M91-$A$15,BZ$13)))</f>
        <v>8</v>
      </c>
      <c r="CA91" s="353" t="n">
        <f aca="true">IF(OR($D91&lt;&gt;"Serviço",AND(AUTOEVENTO="Manual",$M91=$A$15)),0,
         IF(OFFSET(CRONOPLE!$F$15,$M91-$A$15,CA$13)=0,10^12,OFFSET(CRONOPLE!$F$15,$M91-$A$15,CA$13)))</f>
        <v>9</v>
      </c>
      <c r="CB91" s="353" t="n">
        <f aca="true">IF(OR($D91&lt;&gt;"Serviço",AND(AUTOEVENTO="Manual",$M91=$A$15)),0,
         IF(OFFSET(CRONOPLE!$F$15,$M91-$A$15,CB$13)=0,10^12,OFFSET(CRONOPLE!$F$15,$M91-$A$15,CB$13)))</f>
        <v>10</v>
      </c>
      <c r="CC91" s="353" t="n">
        <f aca="true">IF(OR($D91&lt;&gt;"Serviço",AND(AUTOEVENTO="Manual",$M91=$A$15)),0,
         IF(OFFSET(CRONOPLE!$F$15,$M91-$A$15,CC$13)=0,10^12,OFFSET(CRONOPLE!$F$15,$M91-$A$15,CC$13)))</f>
        <v>11</v>
      </c>
      <c r="CD91" s="353" t="n">
        <f aca="true">IF(OR($D91&lt;&gt;"Serviço",AND(AUTOEVENTO="Manual",$M91=$A$15)),0,
         IF(OFFSET(CRONOPLE!$F$15,$M91-$A$15,CD$13)=0,10^12,OFFSET(CRONOPLE!$F$15,$M91-$A$15,CD$13)))</f>
        <v>12</v>
      </c>
      <c r="CE91" s="353" t="n">
        <f aca="true">IF(OR($D91&lt;&gt;"Serviço",AND(AUTOEVENTO="Manual",$M91=$A$15)),0,
         IF(OFFSET(CRONOPLE!$F$15,$M91-$A$15,CE$13)=0,10^12,OFFSET(CRONOPLE!$F$15,$M91-$A$15,CE$13)))</f>
        <v>13</v>
      </c>
      <c r="CF91" s="353" t="n">
        <f aca="true">IF(OR($D91&lt;&gt;"Serviço",AND(AUTOEVENTO="Manual",$M91=$A$15)),0,
         IF(OFFSET(CRONOPLE!$F$15,$M91-$A$15,CF$13)=0,10^12,OFFSET(CRONOPLE!$F$15,$M91-$A$15,CF$13)))</f>
        <v>14</v>
      </c>
      <c r="CG91" s="353" t="n">
        <f aca="true">IF(OR($D91&lt;&gt;"Serviço",AND(AUTOEVENTO="Manual",$M91=$A$15)),0,
         IF(OFFSET(CRONOPLE!$F$15,$M91-$A$15,CG$13)=0,10^12,OFFSET(CRONOPLE!$F$15,$M91-$A$15,CG$13)))</f>
        <v>15</v>
      </c>
      <c r="CH91" s="353" t="n">
        <f aca="true">IF(OR($D91&lt;&gt;"Serviço",AND(AUTOEVENTO="Manual",$M91=$A$15)),0,
         IF(OFFSET(CRONOPLE!$F$15,$M91-$A$15,CH$13)=0,10^12,OFFSET(CRONOPLE!$F$15,$M91-$A$15,CH$13)))</f>
        <v>16</v>
      </c>
      <c r="CI91" s="353" t="n">
        <f aca="true">IF(OR($D91&lt;&gt;"Serviço",AND(AUTOEVENTO="Manual",$M91=$A$15)),0,
         IF(OFFSET(CRONOPLE!$F$15,$M91-$A$15,CI$13)=0,10^12,OFFSET(CRONOPLE!$F$15,$M91-$A$15,CI$13)))</f>
        <v>17</v>
      </c>
      <c r="CJ91" s="353" t="n">
        <f aca="true">IF(OR($D91&lt;&gt;"Serviço",AND(AUTOEVENTO="Manual",$M91=$A$15)),0,
         IF(OFFSET(CRONOPLE!$F$15,$M91-$A$15,CJ$13)=0,10^12,OFFSET(CRONOPLE!$F$15,$M91-$A$15,CJ$13)))</f>
        <v>18</v>
      </c>
      <c r="CK91" s="353" t="n">
        <f aca="true">IF(OR($D91&lt;&gt;"Serviço",AND(AUTOEVENTO="Manual",$M91=$A$15)),0,
         IF(OFFSET(CRONOPLE!$F$15,$M91-$A$15,CK$13)=0,10^12,OFFSET(CRONOPLE!$F$15,$M91-$A$15,CK$13)))</f>
        <v>19</v>
      </c>
      <c r="CL91" s="353" t="n">
        <f aca="true">IF(OR($D91&lt;&gt;"Serviço",AND(AUTOEVENTO="Manual",$M91=$A$15)),0,
         IF(OFFSET(CRONOPLE!$F$15,$M91-$A$15,CL$13)=0,10^12,OFFSET(CRONOPLE!$F$15,$M91-$A$15,CL$13)))</f>
        <v>20</v>
      </c>
      <c r="CM91" s="353" t="n">
        <f aca="true">IF(OR($D91&lt;&gt;"Serviço",AND(AUTOEVENTO="Manual",$M91=$A$15)),0,
         IF(OFFSET(CRONOPLE!$F$15,$M91-$A$15,CM$13)=0,10^12,OFFSET(CRONOPLE!$F$15,$M91-$A$15,CM$13)))</f>
        <v>21</v>
      </c>
      <c r="CN91" s="353" t="n">
        <f aca="true">IF(OR($D91&lt;&gt;"Serviço",AND(AUTOEVENTO="Manual",$M91=$A$15)),0,
         IF(OFFSET(CRONOPLE!$F$15,$M91-$A$15,CN$13)=0,10^12,OFFSET(CRONOPLE!$F$15,$M91-$A$15,CN$13)))</f>
        <v>22</v>
      </c>
      <c r="CO91" s="353" t="n">
        <f aca="true">IF(OR($D91&lt;&gt;"Serviço",AND(AUTOEVENTO="Manual",$M91=$A$15)),0,
         IF(OFFSET(CRONOPLE!$F$15,$M91-$A$15,CO$13)=0,10^12,OFFSET(CRONOPLE!$F$15,$M91-$A$15,CO$13)))</f>
        <v>23</v>
      </c>
      <c r="CP91" s="353" t="n">
        <f aca="true">IF(OR($D91&lt;&gt;"Serviço",AND(AUTOEVENTO="Manual",$M91=$A$15)),0,
         IF(OFFSET(CRONOPLE!$F$15,$M91-$A$15,CP$13)=0,10^12,OFFSET(CRONOPLE!$F$15,$M91-$A$15,CP$13)))</f>
        <v>24</v>
      </c>
      <c r="CQ91" s="353" t="n">
        <f aca="true">IF(OR($D91&lt;&gt;"Serviço",AND(AUTOEVENTO="Manual",$M91=$A$15)),0,
         IF(OFFSET(CRONOPLE!$F$15,$M91-$A$15,CQ$13)=0,10^12,OFFSET(CRONOPLE!$F$15,$M91-$A$15,CQ$13)))</f>
        <v>25</v>
      </c>
      <c r="CR91" s="353" t="n">
        <f aca="true">IF(OR($D91&lt;&gt;"Serviço",AND(AUTOEVENTO="Manual",$M91=$A$15)),0,
         IF(OFFSET(CRONOPLE!$F$15,$M91-$A$15,CR$13)=0,10^12,OFFSET(CRONOPLE!$F$15,$M91-$A$15,CR$13)))</f>
        <v>1000000000000</v>
      </c>
      <c r="CT91" s="354" t="n">
        <f aca="true">IF(OR($D91&lt;&gt;"Serviço",AND(AUTOEVENTO="Manual",$M91=$A$15),$M91&gt;(ROW(PLE.lastrow)-ROW(PLE.firstrow))),0,
           IF(OFFSET(PLE!$G$15,$M91-$A$15,CT$13)="",10^12,OFFSET(PLE!$G$15,$M91-$A$15,CT$13)))</f>
        <v>1000000000000</v>
      </c>
      <c r="CU91" s="354" t="n">
        <f aca="true">IF(OR($D91&lt;&gt;"Serviço",AND(AUTOEVENTO="Manual",$M91=$A$15),$M91&gt;(ROW(PLE.lastrow)-ROW(PLE.firstrow))),0,
           IF(OFFSET(PLE!$G$15,$M91-$A$15,CU$13)="",10^12,OFFSET(PLE!$G$15,$M91-$A$15,CU$13)))</f>
        <v>1000000000000</v>
      </c>
      <c r="CV91" s="354" t="n">
        <f aca="true">IF(OR($D91&lt;&gt;"Serviço",AND(AUTOEVENTO="Manual",$M91=$A$15),$M91&gt;(ROW(PLE.lastrow)-ROW(PLE.firstrow))),0,
           IF(OFFSET(PLE!$G$15,$M91-$A$15,CV$13)="",10^12,OFFSET(PLE!$G$15,$M91-$A$15,CV$13)))</f>
        <v>1000000000000</v>
      </c>
      <c r="CW91" s="354" t="n">
        <f aca="true">IF(OR($D91&lt;&gt;"Serviço",AND(AUTOEVENTO="Manual",$M91=$A$15),$M91&gt;(ROW(PLE.lastrow)-ROW(PLE.firstrow))),0,
           IF(OFFSET(PLE!$G$15,$M91-$A$15,CW$13)="",10^12,OFFSET(PLE!$G$15,$M91-$A$15,CW$13)))</f>
        <v>1000000000000</v>
      </c>
      <c r="CX91" s="354" t="n">
        <f aca="true">IF(OR($D91&lt;&gt;"Serviço",AND(AUTOEVENTO="Manual",$M91=$A$15),$M91&gt;(ROW(PLE.lastrow)-ROW(PLE.firstrow))),0,
           IF(OFFSET(PLE!$G$15,$M91-$A$15,CX$13)="",10^12,OFFSET(PLE!$G$15,$M91-$A$15,CX$13)))</f>
        <v>1000000000000</v>
      </c>
      <c r="CY91" s="354" t="n">
        <f aca="true">IF(OR($D91&lt;&gt;"Serviço",AND(AUTOEVENTO="Manual",$M91=$A$15),$M91&gt;(ROW(PLE.lastrow)-ROW(PLE.firstrow))),0,
           IF(OFFSET(PLE!$G$15,$M91-$A$15,CY$13)="",10^12,OFFSET(PLE!$G$15,$M91-$A$15,CY$13)))</f>
        <v>1000000000000</v>
      </c>
      <c r="CZ91" s="354" t="n">
        <f aca="true">IF(OR($D91&lt;&gt;"Serviço",AND(AUTOEVENTO="Manual",$M91=$A$15),$M91&gt;(ROW(PLE.lastrow)-ROW(PLE.firstrow))),0,
           IF(OFFSET(PLE!$G$15,$M91-$A$15,CZ$13)="",10^12,OFFSET(PLE!$G$15,$M91-$A$15,CZ$13)))</f>
        <v>1000000000000</v>
      </c>
      <c r="DA91" s="354" t="n">
        <f aca="true">IF(OR($D91&lt;&gt;"Serviço",AND(AUTOEVENTO="Manual",$M91=$A$15),$M91&gt;(ROW(PLE.lastrow)-ROW(PLE.firstrow))),0,
           IF(OFFSET(PLE!$G$15,$M91-$A$15,DA$13)="",10^12,OFFSET(PLE!$G$15,$M91-$A$15,DA$13)))</f>
        <v>1000000000000</v>
      </c>
      <c r="DB91" s="354" t="n">
        <f aca="true">IF(OR($D91&lt;&gt;"Serviço",AND(AUTOEVENTO="Manual",$M91=$A$15),$M91&gt;(ROW(PLE.lastrow)-ROW(PLE.firstrow))),0,
           IF(OFFSET(PLE!$G$15,$M91-$A$15,DB$13)="",10^12,OFFSET(PLE!$G$15,$M91-$A$15,DB$13)))</f>
        <v>1000000000000</v>
      </c>
      <c r="DC91" s="354" t="n">
        <f aca="true">IF(OR($D91&lt;&gt;"Serviço",AND(AUTOEVENTO="Manual",$M91=$A$15),$M91&gt;(ROW(PLE.lastrow)-ROW(PLE.firstrow))),0,
           IF(OFFSET(PLE!$G$15,$M91-$A$15,DC$13)="",10^12,OFFSET(PLE!$G$15,$M91-$A$15,DC$13)))</f>
        <v>1000000000000</v>
      </c>
      <c r="DD91" s="354" t="n">
        <f aca="true">IF(OR($D91&lt;&gt;"Serviço",AND(AUTOEVENTO="Manual",$M91=$A$15),$M91&gt;(ROW(PLE.lastrow)-ROW(PLE.firstrow))),0,
           IF(OFFSET(PLE!$G$15,$M91-$A$15,DD$13)="",10^12,OFFSET(PLE!$G$15,$M91-$A$15,DD$13)))</f>
        <v>1000000000000</v>
      </c>
      <c r="DE91" s="354" t="n">
        <f aca="true">IF(OR($D91&lt;&gt;"Serviço",AND(AUTOEVENTO="Manual",$M91=$A$15),$M91&gt;(ROW(PLE.lastrow)-ROW(PLE.firstrow))),0,
           IF(OFFSET(PLE!$G$15,$M91-$A$15,DE$13)="",10^12,OFFSET(PLE!$G$15,$M91-$A$15,DE$13)))</f>
        <v>1000000000000</v>
      </c>
      <c r="DF91" s="354" t="n">
        <f aca="true">IF(OR($D91&lt;&gt;"Serviço",AND(AUTOEVENTO="Manual",$M91=$A$15),$M91&gt;(ROW(PLE.lastrow)-ROW(PLE.firstrow))),0,
           IF(OFFSET(PLE!$G$15,$M91-$A$15,DF$13)="",10^12,OFFSET(PLE!$G$15,$M91-$A$15,DF$13)))</f>
        <v>1000000000000</v>
      </c>
      <c r="DG91" s="354" t="n">
        <f aca="true">IF(OR($D91&lt;&gt;"Serviço",AND(AUTOEVENTO="Manual",$M91=$A$15),$M91&gt;(ROW(PLE.lastrow)-ROW(PLE.firstrow))),0,
           IF(OFFSET(PLE!$G$15,$M91-$A$15,DG$13)="",10^12,OFFSET(PLE!$G$15,$M91-$A$15,DG$13)))</f>
        <v>1000000000000</v>
      </c>
      <c r="DH91" s="354" t="n">
        <f aca="true">IF(OR($D91&lt;&gt;"Serviço",AND(AUTOEVENTO="Manual",$M91=$A$15),$M91&gt;(ROW(PLE.lastrow)-ROW(PLE.firstrow))),0,
           IF(OFFSET(PLE!$G$15,$M91-$A$15,DH$13)="",10^12,OFFSET(PLE!$G$15,$M91-$A$15,DH$13)))</f>
        <v>1000000000000</v>
      </c>
      <c r="DI91" s="354" t="n">
        <f aca="true">IF(OR($D91&lt;&gt;"Serviço",AND(AUTOEVENTO="Manual",$M91=$A$15),$M91&gt;(ROW(PLE.lastrow)-ROW(PLE.firstrow))),0,
           IF(OFFSET(PLE!$G$15,$M91-$A$15,DI$13)="",10^12,OFFSET(PLE!$G$15,$M91-$A$15,DI$13)))</f>
        <v>1000000000000</v>
      </c>
      <c r="DJ91" s="354" t="n">
        <f aca="true">IF(OR($D91&lt;&gt;"Serviço",AND(AUTOEVENTO="Manual",$M91=$A$15),$M91&gt;(ROW(PLE.lastrow)-ROW(PLE.firstrow))),0,
           IF(OFFSET(PLE!$G$15,$M91-$A$15,DJ$13)="",10^12,OFFSET(PLE!$G$15,$M91-$A$15,DJ$13)))</f>
        <v>1000000000000</v>
      </c>
      <c r="DK91" s="354" t="n">
        <f aca="true">IF(OR($D91&lt;&gt;"Serviço",AND(AUTOEVENTO="Manual",$M91=$A$15),$M91&gt;(ROW(PLE.lastrow)-ROW(PLE.firstrow))),0,
           IF(OFFSET(PLE!$G$15,$M91-$A$15,DK$13)="",10^12,OFFSET(PLE!$G$15,$M91-$A$15,DK$13)))</f>
        <v>1000000000000</v>
      </c>
      <c r="DL91" s="354" t="n">
        <f aca="true">IF(OR($D91&lt;&gt;"Serviço",AND(AUTOEVENTO="Manual",$M91=$A$15),$M91&gt;(ROW(PLE.lastrow)-ROW(PLE.firstrow))),0,
           IF(OFFSET(PLE!$G$15,$M91-$A$15,DL$13)="",10^12,OFFSET(PLE!$G$15,$M91-$A$15,DL$13)))</f>
        <v>1000000000000</v>
      </c>
      <c r="DM91" s="354" t="n">
        <f aca="true">IF(OR($D91&lt;&gt;"Serviço",AND(AUTOEVENTO="Manual",$M91=$A$15),$M91&gt;(ROW(PLE.lastrow)-ROW(PLE.firstrow))),0,
           IF(OFFSET(PLE!$G$15,$M91-$A$15,DM$13)="",10^12,OFFSET(PLE!$G$15,$M91-$A$15,DM$13)))</f>
        <v>1000000000000</v>
      </c>
      <c r="DN91" s="354" t="n">
        <f aca="true">IF(OR($D91&lt;&gt;"Serviço",AND(AUTOEVENTO="Manual",$M91=$A$15),$M91&gt;(ROW(PLE.lastrow)-ROW(PLE.firstrow))),0,
           IF(OFFSET(PLE!$G$15,$M91-$A$15,DN$13)="",10^12,OFFSET(PLE!$G$15,$M91-$A$15,DN$13)))</f>
        <v>1000000000000</v>
      </c>
      <c r="DO91" s="354" t="n">
        <f aca="true">IF(OR($D91&lt;&gt;"Serviço",AND(AUTOEVENTO="Manual",$M91=$A$15),$M91&gt;(ROW(PLE.lastrow)-ROW(PLE.firstrow))),0,
           IF(OFFSET(PLE!$G$15,$M91-$A$15,DO$13)="",10^12,OFFSET(PLE!$G$15,$M91-$A$15,DO$13)))</f>
        <v>1000000000000</v>
      </c>
      <c r="DP91" s="354" t="n">
        <f aca="true">IF(OR($D91&lt;&gt;"Serviço",AND(AUTOEVENTO="Manual",$M91=$A$15),$M91&gt;(ROW(PLE.lastrow)-ROW(PLE.firstrow))),0,
           IF(OFFSET(PLE!$G$15,$M91-$A$15,DP$13)="",10^12,OFFSET(PLE!$G$15,$M91-$A$15,DP$13)))</f>
        <v>1000000000000</v>
      </c>
      <c r="DQ91" s="354" t="n">
        <f aca="true">IF(OR($D91&lt;&gt;"Serviço",AND(AUTOEVENTO="Manual",$M91=$A$15),$M91&gt;(ROW(PLE.lastrow)-ROW(PLE.firstrow))),0,
           IF(OFFSET(PLE!$G$15,$M91-$A$15,DQ$13)="",10^12,OFFSET(PLE!$G$15,$M91-$A$15,DQ$13)))</f>
        <v>1000000000000</v>
      </c>
      <c r="DR91" s="354" t="n">
        <f aca="true">IF(OR($D91&lt;&gt;"Serviço",AND(AUTOEVENTO="Manual",$M91=$A$15),$M91&gt;(ROW(PLE.lastrow)-ROW(PLE.firstrow))),0,
           IF(OFFSET(PLE!$G$15,$M91-$A$15,DR$13)="",10^12,OFFSET(PLE!$G$15,$M91-$A$15,DR$13)))</f>
        <v>1000000000000</v>
      </c>
      <c r="DS91" s="354" t="n">
        <f aca="true">IF(OR($D91&lt;&gt;"Serviço",AND(AUTOEVENTO="Manual",$M91=$A$15),$M91&gt;(ROW(PLE.lastrow)-ROW(PLE.firstrow))),0,
           IF(OFFSET(PLE!$G$15,$M91-$A$15,DS$13)="",10^12,OFFSET(PLE!$G$15,$M91-$A$15,DS$13)))</f>
        <v>1000000000000</v>
      </c>
    </row>
    <row r="92" customFormat="false" ht="23.85" hidden="false" customHeight="false" outlineLevel="0" collapsed="false">
      <c r="A92" s="50" t="str">
        <f aca="true">IFERROR(IF(AUTOEVENTO="Manual",IF(K92&lt;&gt;"",MIN(VALUE(LEFT(K92,FIND(".",K92)-1)),COUNTA(EVENTOS.Lista)),0),IF(OR($B92&gt;AUTOEVENTO,$B92="S",$B92=0),SUBSTITUTE(OFFSET($A92,-1,0),IF($D92="Serviço",".",""),""),ROW(A92)-ROW($A$15)&amp;".")),0)</f>
        <v>74</v>
      </c>
      <c r="B92" s="50" t="str">
        <f aca="true">OFFSET(ORÇAMENTO!C$15,ROW(B92)-ROW(B$15),0)</f>
        <v>S</v>
      </c>
      <c r="C92" s="50" t="str">
        <f aca="true">OFFSET(ORÇAMENTO!L$15,ROW(C92)-ROW(C$15),0)</f>
        <v>F</v>
      </c>
      <c r="D92" s="201" t="str">
        <f aca="true">OFFSET(ORÇAMENTO!N$15,ROW(D92)-ROW(D$15),0)</f>
        <v>Serviço</v>
      </c>
      <c r="E92" s="202" t="str">
        <f aca="true">OFFSET(ORÇAMENTO!O$15,ROW(E92)-ROW(E$15),0)</f>
        <v>1.23.3.</v>
      </c>
      <c r="F92" s="341" t="str">
        <f aca="true">OFFSET(ORÇAMENTO!R$15,ROW(F92)-ROW(F$15),0)</f>
        <v>PINTURA LÁTEX ACRÍLICA STANDARD, APLICAÇÃO MANUAL EM TETO, DUAS DEMÃOS. AF_04/2023</v>
      </c>
      <c r="G92" s="342" t="str">
        <f aca="true">IF($D92&lt;&gt;"Serviço","",OFFSET(ORÇAMENTO!S$15,ROW(G92)-ROW(G$15),0))</f>
        <v>M2</v>
      </c>
      <c r="H92" s="207" t="n">
        <f aca="true">IF($D92&lt;&gt;"Serviço",0,IF(ACOMPANHAMENTO="BM",ROUND(OFFSET(ORÇAMENTO!AJ$15,ROW(H92)-ROW(H$15),0),15-13*ORÇAMENTO!$AF$7),SUMPRODUCT(($Q$1:$AQ$1=1)*ROUND($Q92:$AQ92,15-13*ORÇAMENTO!$AF$7))))</f>
        <v>1164</v>
      </c>
      <c r="I92" s="343" t="s">
        <v>954</v>
      </c>
      <c r="J92" s="344" t="e">
        <f aca="false">IF(OR(B92&lt;&gt;"S",CÁLCULO.FrentesPreenchidas=0),"",IF(AND(ACOMPANHAMENTO="PLE",AUTOEVENTO="Manual",OR(H92&gt;0,ORÇAMENTO!AC92="QUANT."),OR(K92="",M92=0,N92="")),"►",IF(AND(ACOMPANHAMENTO="PLE",ORÇAMENTO!AC92="QUANT."),"►►",IF(AND(COUNTIF($P$11:$AQ$11,"▼")=0,H92&gt;0,I92=""),"◄",""))))</f>
        <v>#NAME?</v>
      </c>
      <c r="K92" s="345"/>
      <c r="L92" s="346" t="s">
        <v>876</v>
      </c>
      <c r="M92" s="347" t="n">
        <f aca="true">IF($D92&lt;&gt;"Serviço","",
          IF(AUTOEVENTO="manual",$A92,
                IF(ISERROR(MATCH($A92,$A$15:OFFSET($A92,-1,0),0)),MAX($M$15:OFFSET(M92,-1,0))+1,
                      INDEX($M$15:OFFSET(M92,-1,0),MATCH($A92,$A$15:OFFSET($A92,-1,0),0)))))</f>
        <v>15</v>
      </c>
      <c r="N92" s="348" t="str">
        <f aca="true">IF($D92&lt;&gt;"Serviço","",
         IF(AUTOEVENTO="Manual",
                IF($A92=0,"&lt;-- defina o número do agrupador",
                       OFFSET(EVENTOS!$D$15,$A92-$A$15,0)),
                OFFSET($F$15,$A92,0)))</f>
        <v>PINTURAS INTERNAS</v>
      </c>
      <c r="O92" s="349"/>
      <c r="Q92" s="349" t="n">
        <f aca="false">Q91</f>
        <v>46.56</v>
      </c>
      <c r="R92" s="350" t="n">
        <f aca="false">Q92</f>
        <v>46.56</v>
      </c>
      <c r="S92" s="350" t="n">
        <f aca="false">R92</f>
        <v>46.56</v>
      </c>
      <c r="T92" s="350" t="n">
        <f aca="false">S92</f>
        <v>46.56</v>
      </c>
      <c r="U92" s="350" t="n">
        <f aca="false">T92</f>
        <v>46.56</v>
      </c>
      <c r="V92" s="350" t="n">
        <f aca="false">U92</f>
        <v>46.56</v>
      </c>
      <c r="W92" s="350" t="n">
        <f aca="false">V92</f>
        <v>46.56</v>
      </c>
      <c r="X92" s="350" t="n">
        <f aca="false">W92</f>
        <v>46.56</v>
      </c>
      <c r="Y92" s="350" t="n">
        <f aca="false">X92</f>
        <v>46.56</v>
      </c>
      <c r="Z92" s="351" t="n">
        <f aca="false">Y92</f>
        <v>46.56</v>
      </c>
      <c r="AA92" s="350" t="n">
        <f aca="false">Z92</f>
        <v>46.56</v>
      </c>
      <c r="AB92" s="350" t="n">
        <f aca="false">AA92</f>
        <v>46.56</v>
      </c>
      <c r="AC92" s="350" t="n">
        <f aca="false">AB92</f>
        <v>46.56</v>
      </c>
      <c r="AD92" s="350" t="n">
        <f aca="false">AC92</f>
        <v>46.56</v>
      </c>
      <c r="AE92" s="350" t="n">
        <f aca="false">AD92</f>
        <v>46.56</v>
      </c>
      <c r="AF92" s="350" t="n">
        <f aca="false">AE92</f>
        <v>46.56</v>
      </c>
      <c r="AG92" s="350" t="n">
        <f aca="false">AF92</f>
        <v>46.56</v>
      </c>
      <c r="AH92" s="351" t="n">
        <f aca="false">AG92</f>
        <v>46.56</v>
      </c>
      <c r="AI92" s="350" t="n">
        <f aca="false">AH92</f>
        <v>46.56</v>
      </c>
      <c r="AJ92" s="350" t="n">
        <f aca="false">AI92</f>
        <v>46.56</v>
      </c>
      <c r="AK92" s="350" t="n">
        <f aca="false">AJ92</f>
        <v>46.56</v>
      </c>
      <c r="AL92" s="350" t="n">
        <f aca="false">AK92</f>
        <v>46.56</v>
      </c>
      <c r="AM92" s="350" t="n">
        <f aca="false">AL92</f>
        <v>46.56</v>
      </c>
      <c r="AN92" s="350" t="n">
        <f aca="false">AM92</f>
        <v>46.56</v>
      </c>
      <c r="AO92" s="350" t="n">
        <f aca="false">AN92</f>
        <v>46.56</v>
      </c>
      <c r="AP92" s="351"/>
      <c r="AR92" s="352" t="n">
        <f aca="true">IF(AND($D92="Serviço",AR$12&lt;&gt;0,$H92&gt;0,OR(AUTOEVENTO&lt;&gt;"manual",$M92&lt;&gt;$A$15)),
        IF(Import.TipoArredondamento&lt;&gt;"TransfereGOV",
              ROUND(OFFSET($P92,0,AR$13),15-13*ORÇAMENTO!$AF$7)/$H92*OFFSET(ORÇAMENTO!$X$15,ROW(AR92)-ROW(AR$15),0),
              ROUND(ROUND(OFFSET($P92,0,AR$13),15-13*ORÇAMENTO!$AF$7)*OFFSET(ORÇAMENTO!$W$15,ROW(AR92)-ROW(AR$15),0),15-13*ORÇAMENTO!$AF$11)),
         0)</f>
        <v>791.05</v>
      </c>
      <c r="AS92" s="352" t="n">
        <f aca="true">IF(AND($D92="Serviço",AS$12&lt;&gt;0,$H92&gt;0,OR(AUTOEVENTO&lt;&gt;"manual",$M92&lt;&gt;$A$15)),
        IF(Import.TipoArredondamento&lt;&gt;"TransfereGOV",
              ROUND(OFFSET($P92,0,AS$13),15-13*ORÇAMENTO!$AF$7)/$H92*OFFSET(ORÇAMENTO!$X$15,ROW(AS92)-ROW(AS$15),0),
              ROUND(ROUND(OFFSET($P92,0,AS$13),15-13*ORÇAMENTO!$AF$7)*OFFSET(ORÇAMENTO!$W$15,ROW(AS92)-ROW(AS$15),0),15-13*ORÇAMENTO!$AF$11)),
         0)</f>
        <v>791.05</v>
      </c>
      <c r="AT92" s="352" t="n">
        <f aca="true">IF(AND($D92="Serviço",AT$12&lt;&gt;0,$H92&gt;0,OR(AUTOEVENTO&lt;&gt;"manual",$M92&lt;&gt;$A$15)),
        IF(Import.TipoArredondamento&lt;&gt;"TransfereGOV",
              ROUND(OFFSET($P92,0,AT$13),15-13*ORÇAMENTO!$AF$7)/$H92*OFFSET(ORÇAMENTO!$X$15,ROW(AT92)-ROW(AT$15),0),
              ROUND(ROUND(OFFSET($P92,0,AT$13),15-13*ORÇAMENTO!$AF$7)*OFFSET(ORÇAMENTO!$W$15,ROW(AT92)-ROW(AT$15),0),15-13*ORÇAMENTO!$AF$11)),
         0)</f>
        <v>791.05</v>
      </c>
      <c r="AU92" s="352" t="n">
        <f aca="true">IF(AND($D92="Serviço",AU$12&lt;&gt;0,$H92&gt;0,OR(AUTOEVENTO&lt;&gt;"manual",$M92&lt;&gt;$A$15)),
        IF(Import.TipoArredondamento&lt;&gt;"TransfereGOV",
              ROUND(OFFSET($P92,0,AU$13),15-13*ORÇAMENTO!$AF$7)/$H92*OFFSET(ORÇAMENTO!$X$15,ROW(AU92)-ROW(AU$15),0),
              ROUND(ROUND(OFFSET($P92,0,AU$13),15-13*ORÇAMENTO!$AF$7)*OFFSET(ORÇAMENTO!$W$15,ROW(AU92)-ROW(AU$15),0),15-13*ORÇAMENTO!$AF$11)),
         0)</f>
        <v>791.05</v>
      </c>
      <c r="AV92" s="352" t="n">
        <f aca="true">IF(AND($D92="Serviço",AV$12&lt;&gt;0,$H92&gt;0,OR(AUTOEVENTO&lt;&gt;"manual",$M92&lt;&gt;$A$15)),
        IF(Import.TipoArredondamento&lt;&gt;"TransfereGOV",
              ROUND(OFFSET($P92,0,AV$13),15-13*ORÇAMENTO!$AF$7)/$H92*OFFSET(ORÇAMENTO!$X$15,ROW(AV92)-ROW(AV$15),0),
              ROUND(ROUND(OFFSET($P92,0,AV$13),15-13*ORÇAMENTO!$AF$7)*OFFSET(ORÇAMENTO!$W$15,ROW(AV92)-ROW(AV$15),0),15-13*ORÇAMENTO!$AF$11)),
         0)</f>
        <v>791.05</v>
      </c>
      <c r="AW92" s="352" t="n">
        <f aca="true">IF(AND($D92="Serviço",AW$12&lt;&gt;0,$H92&gt;0,OR(AUTOEVENTO&lt;&gt;"manual",$M92&lt;&gt;$A$15)),
        IF(Import.TipoArredondamento&lt;&gt;"TransfereGOV",
              ROUND(OFFSET($P92,0,AW$13),15-13*ORÇAMENTO!$AF$7)/$H92*OFFSET(ORÇAMENTO!$X$15,ROW(AW92)-ROW(AW$15),0),
              ROUND(ROUND(OFFSET($P92,0,AW$13),15-13*ORÇAMENTO!$AF$7)*OFFSET(ORÇAMENTO!$W$15,ROW(AW92)-ROW(AW$15),0),15-13*ORÇAMENTO!$AF$11)),
         0)</f>
        <v>791.05</v>
      </c>
      <c r="AX92" s="352" t="n">
        <f aca="true">IF(AND($D92="Serviço",AX$12&lt;&gt;0,$H92&gt;0,OR(AUTOEVENTO&lt;&gt;"manual",$M92&lt;&gt;$A$15)),
        IF(Import.TipoArredondamento&lt;&gt;"TransfereGOV",
              ROUND(OFFSET($P92,0,AX$13),15-13*ORÇAMENTO!$AF$7)/$H92*OFFSET(ORÇAMENTO!$X$15,ROW(AX92)-ROW(AX$15),0),
              ROUND(ROUND(OFFSET($P92,0,AX$13),15-13*ORÇAMENTO!$AF$7)*OFFSET(ORÇAMENTO!$W$15,ROW(AX92)-ROW(AX$15),0),15-13*ORÇAMENTO!$AF$11)),
         0)</f>
        <v>791.05</v>
      </c>
      <c r="AY92" s="352" t="n">
        <f aca="true">IF(AND($D92="Serviço",AY$12&lt;&gt;0,$H92&gt;0,OR(AUTOEVENTO&lt;&gt;"manual",$M92&lt;&gt;$A$15)),
        IF(Import.TipoArredondamento&lt;&gt;"TransfereGOV",
              ROUND(OFFSET($P92,0,AY$13),15-13*ORÇAMENTO!$AF$7)/$H92*OFFSET(ORÇAMENTO!$X$15,ROW(AY92)-ROW(AY$15),0),
              ROUND(ROUND(OFFSET($P92,0,AY$13),15-13*ORÇAMENTO!$AF$7)*OFFSET(ORÇAMENTO!$W$15,ROW(AY92)-ROW(AY$15),0),15-13*ORÇAMENTO!$AF$11)),
         0)</f>
        <v>791.05</v>
      </c>
      <c r="AZ92" s="352" t="n">
        <f aca="true">IF(AND($D92="Serviço",AZ$12&lt;&gt;0,$H92&gt;0,OR(AUTOEVENTO&lt;&gt;"manual",$M92&lt;&gt;$A$15)),
        IF(Import.TipoArredondamento&lt;&gt;"TransfereGOV",
              ROUND(OFFSET($P92,0,AZ$13),15-13*ORÇAMENTO!$AF$7)/$H92*OFFSET(ORÇAMENTO!$X$15,ROW(AZ92)-ROW(AZ$15),0),
              ROUND(ROUND(OFFSET($P92,0,AZ$13),15-13*ORÇAMENTO!$AF$7)*OFFSET(ORÇAMENTO!$W$15,ROW(AZ92)-ROW(AZ$15),0),15-13*ORÇAMENTO!$AF$11)),
         0)</f>
        <v>791.05</v>
      </c>
      <c r="BA92" s="352" t="n">
        <f aca="true">IF(AND($D92="Serviço",BA$12&lt;&gt;0,$H92&gt;0,OR(AUTOEVENTO&lt;&gt;"manual",$M92&lt;&gt;$A$15)),
        IF(Import.TipoArredondamento&lt;&gt;"TransfereGOV",
              ROUND(OFFSET($P92,0,BA$13),15-13*ORÇAMENTO!$AF$7)/$H92*OFFSET(ORÇAMENTO!$X$15,ROW(BA92)-ROW(BA$15),0),
              ROUND(ROUND(OFFSET($P92,0,BA$13),15-13*ORÇAMENTO!$AF$7)*OFFSET(ORÇAMENTO!$W$15,ROW(BA92)-ROW(BA$15),0),15-13*ORÇAMENTO!$AF$11)),
         0)</f>
        <v>791.05</v>
      </c>
      <c r="BB92" s="352" t="n">
        <f aca="true">IF(AND($D92="Serviço",BB$12&lt;&gt;0,$H92&gt;0,OR(AUTOEVENTO&lt;&gt;"manual",$M92&lt;&gt;$A$15)),
        IF(Import.TipoArredondamento&lt;&gt;"TransfereGOV",
              ROUND(OFFSET($P92,0,BB$13),15-13*ORÇAMENTO!$AF$7)/$H92*OFFSET(ORÇAMENTO!$X$15,ROW(BB92)-ROW(BB$15),0),
              ROUND(ROUND(OFFSET($P92,0,BB$13),15-13*ORÇAMENTO!$AF$7)*OFFSET(ORÇAMENTO!$W$15,ROW(BB92)-ROW(BB$15),0),15-13*ORÇAMENTO!$AF$11)),
         0)</f>
        <v>791.05</v>
      </c>
      <c r="BC92" s="352" t="n">
        <f aca="true">IF(AND($D92="Serviço",BC$12&lt;&gt;0,$H92&gt;0,OR(AUTOEVENTO&lt;&gt;"manual",$M92&lt;&gt;$A$15)),
        IF(Import.TipoArredondamento&lt;&gt;"TransfereGOV",
              ROUND(OFFSET($P92,0,BC$13),15-13*ORÇAMENTO!$AF$7)/$H92*OFFSET(ORÇAMENTO!$X$15,ROW(BC92)-ROW(BC$15),0),
              ROUND(ROUND(OFFSET($P92,0,BC$13),15-13*ORÇAMENTO!$AF$7)*OFFSET(ORÇAMENTO!$W$15,ROW(BC92)-ROW(BC$15),0),15-13*ORÇAMENTO!$AF$11)),
         0)</f>
        <v>791.05</v>
      </c>
      <c r="BD92" s="352" t="n">
        <f aca="true">IF(AND($D92="Serviço",BD$12&lt;&gt;0,$H92&gt;0,OR(AUTOEVENTO&lt;&gt;"manual",$M92&lt;&gt;$A$15)),
        IF(Import.TipoArredondamento&lt;&gt;"TransfereGOV",
              ROUND(OFFSET($P92,0,BD$13),15-13*ORÇAMENTO!$AF$7)/$H92*OFFSET(ORÇAMENTO!$X$15,ROW(BD92)-ROW(BD$15),0),
              ROUND(ROUND(OFFSET($P92,0,BD$13),15-13*ORÇAMENTO!$AF$7)*OFFSET(ORÇAMENTO!$W$15,ROW(BD92)-ROW(BD$15),0),15-13*ORÇAMENTO!$AF$11)),
         0)</f>
        <v>791.05</v>
      </c>
      <c r="BE92" s="352" t="n">
        <f aca="true">IF(AND($D92="Serviço",BE$12&lt;&gt;0,$H92&gt;0,OR(AUTOEVENTO&lt;&gt;"manual",$M92&lt;&gt;$A$15)),
        IF(Import.TipoArredondamento&lt;&gt;"TransfereGOV",
              ROUND(OFFSET($P92,0,BE$13),15-13*ORÇAMENTO!$AF$7)/$H92*OFFSET(ORÇAMENTO!$X$15,ROW(BE92)-ROW(BE$15),0),
              ROUND(ROUND(OFFSET($P92,0,BE$13),15-13*ORÇAMENTO!$AF$7)*OFFSET(ORÇAMENTO!$W$15,ROW(BE92)-ROW(BE$15),0),15-13*ORÇAMENTO!$AF$11)),
         0)</f>
        <v>791.05</v>
      </c>
      <c r="BF92" s="352" t="n">
        <f aca="true">IF(AND($D92="Serviço",BF$12&lt;&gt;0,$H92&gt;0,OR(AUTOEVENTO&lt;&gt;"manual",$M92&lt;&gt;$A$15)),
        IF(Import.TipoArredondamento&lt;&gt;"TransfereGOV",
              ROUND(OFFSET($P92,0,BF$13),15-13*ORÇAMENTO!$AF$7)/$H92*OFFSET(ORÇAMENTO!$X$15,ROW(BF92)-ROW(BF$15),0),
              ROUND(ROUND(OFFSET($P92,0,BF$13),15-13*ORÇAMENTO!$AF$7)*OFFSET(ORÇAMENTO!$W$15,ROW(BF92)-ROW(BF$15),0),15-13*ORÇAMENTO!$AF$11)),
         0)</f>
        <v>791.05</v>
      </c>
      <c r="BG92" s="352" t="n">
        <f aca="true">IF(AND($D92="Serviço",BG$12&lt;&gt;0,$H92&gt;0,OR(AUTOEVENTO&lt;&gt;"manual",$M92&lt;&gt;$A$15)),
        IF(Import.TipoArredondamento&lt;&gt;"TransfereGOV",
              ROUND(OFFSET($P92,0,BG$13),15-13*ORÇAMENTO!$AF$7)/$H92*OFFSET(ORÇAMENTO!$X$15,ROW(BG92)-ROW(BG$15),0),
              ROUND(ROUND(OFFSET($P92,0,BG$13),15-13*ORÇAMENTO!$AF$7)*OFFSET(ORÇAMENTO!$W$15,ROW(BG92)-ROW(BG$15),0),15-13*ORÇAMENTO!$AF$11)),
         0)</f>
        <v>791.05</v>
      </c>
      <c r="BH92" s="352" t="n">
        <f aca="true">IF(AND($D92="Serviço",BH$12&lt;&gt;0,$H92&gt;0,OR(AUTOEVENTO&lt;&gt;"manual",$M92&lt;&gt;$A$15)),
        IF(Import.TipoArredondamento&lt;&gt;"TransfereGOV",
              ROUND(OFFSET($P92,0,BH$13),15-13*ORÇAMENTO!$AF$7)/$H92*OFFSET(ORÇAMENTO!$X$15,ROW(BH92)-ROW(BH$15),0),
              ROUND(ROUND(OFFSET($P92,0,BH$13),15-13*ORÇAMENTO!$AF$7)*OFFSET(ORÇAMENTO!$W$15,ROW(BH92)-ROW(BH$15),0),15-13*ORÇAMENTO!$AF$11)),
         0)</f>
        <v>791.05</v>
      </c>
      <c r="BI92" s="352" t="n">
        <f aca="true">IF(AND($D92="Serviço",BI$12&lt;&gt;0,$H92&gt;0,OR(AUTOEVENTO&lt;&gt;"manual",$M92&lt;&gt;$A$15)),
        IF(Import.TipoArredondamento&lt;&gt;"TransfereGOV",
              ROUND(OFFSET($P92,0,BI$13),15-13*ORÇAMENTO!$AF$7)/$H92*OFFSET(ORÇAMENTO!$X$15,ROW(BI92)-ROW(BI$15),0),
              ROUND(ROUND(OFFSET($P92,0,BI$13),15-13*ORÇAMENTO!$AF$7)*OFFSET(ORÇAMENTO!$W$15,ROW(BI92)-ROW(BI$15),0),15-13*ORÇAMENTO!$AF$11)),
         0)</f>
        <v>791.05</v>
      </c>
      <c r="BJ92" s="352" t="n">
        <f aca="true">IF(AND($D92="Serviço",BJ$12&lt;&gt;0,$H92&gt;0,OR(AUTOEVENTO&lt;&gt;"manual",$M92&lt;&gt;$A$15)),
        IF(Import.TipoArredondamento&lt;&gt;"TransfereGOV",
              ROUND(OFFSET($P92,0,BJ$13),15-13*ORÇAMENTO!$AF$7)/$H92*OFFSET(ORÇAMENTO!$X$15,ROW(BJ92)-ROW(BJ$15),0),
              ROUND(ROUND(OFFSET($P92,0,BJ$13),15-13*ORÇAMENTO!$AF$7)*OFFSET(ORÇAMENTO!$W$15,ROW(BJ92)-ROW(BJ$15),0),15-13*ORÇAMENTO!$AF$11)),
         0)</f>
        <v>791.05</v>
      </c>
      <c r="BK92" s="352" t="n">
        <f aca="true">IF(AND($D92="Serviço",BK$12&lt;&gt;0,$H92&gt;0,OR(AUTOEVENTO&lt;&gt;"manual",$M92&lt;&gt;$A$15)),
        IF(Import.TipoArredondamento&lt;&gt;"TransfereGOV",
              ROUND(OFFSET($P92,0,BK$13),15-13*ORÇAMENTO!$AF$7)/$H92*OFFSET(ORÇAMENTO!$X$15,ROW(BK92)-ROW(BK$15),0),
              ROUND(ROUND(OFFSET($P92,0,BK$13),15-13*ORÇAMENTO!$AF$7)*OFFSET(ORÇAMENTO!$W$15,ROW(BK92)-ROW(BK$15),0),15-13*ORÇAMENTO!$AF$11)),
         0)</f>
        <v>791.05</v>
      </c>
      <c r="BL92" s="352" t="n">
        <f aca="true">IF(AND($D92="Serviço",BL$12&lt;&gt;0,$H92&gt;0,OR(AUTOEVENTO&lt;&gt;"manual",$M92&lt;&gt;$A$15)),
        IF(Import.TipoArredondamento&lt;&gt;"TransfereGOV",
              ROUND(OFFSET($P92,0,BL$13),15-13*ORÇAMENTO!$AF$7)/$H92*OFFSET(ORÇAMENTO!$X$15,ROW(BL92)-ROW(BL$15),0),
              ROUND(ROUND(OFFSET($P92,0,BL$13),15-13*ORÇAMENTO!$AF$7)*OFFSET(ORÇAMENTO!$W$15,ROW(BL92)-ROW(BL$15),0),15-13*ORÇAMENTO!$AF$11)),
         0)</f>
        <v>791.05</v>
      </c>
      <c r="BM92" s="352" t="n">
        <f aca="true">IF(AND($D92="Serviço",BM$12&lt;&gt;0,$H92&gt;0,OR(AUTOEVENTO&lt;&gt;"manual",$M92&lt;&gt;$A$15)),
        IF(Import.TipoArredondamento&lt;&gt;"TransfereGOV",
              ROUND(OFFSET($P92,0,BM$13),15-13*ORÇAMENTO!$AF$7)/$H92*OFFSET(ORÇAMENTO!$X$15,ROW(BM92)-ROW(BM$15),0),
              ROUND(ROUND(OFFSET($P92,0,BM$13),15-13*ORÇAMENTO!$AF$7)*OFFSET(ORÇAMENTO!$W$15,ROW(BM92)-ROW(BM$15),0),15-13*ORÇAMENTO!$AF$11)),
         0)</f>
        <v>791.05</v>
      </c>
      <c r="BN92" s="352" t="n">
        <f aca="true">IF(AND($D92="Serviço",BN$12&lt;&gt;0,$H92&gt;0,OR(AUTOEVENTO&lt;&gt;"manual",$M92&lt;&gt;$A$15)),
        IF(Import.TipoArredondamento&lt;&gt;"TransfereGOV",
              ROUND(OFFSET($P92,0,BN$13),15-13*ORÇAMENTO!$AF$7)/$H92*OFFSET(ORÇAMENTO!$X$15,ROW(BN92)-ROW(BN$15),0),
              ROUND(ROUND(OFFSET($P92,0,BN$13),15-13*ORÇAMENTO!$AF$7)*OFFSET(ORÇAMENTO!$W$15,ROW(BN92)-ROW(BN$15),0),15-13*ORÇAMENTO!$AF$11)),
         0)</f>
        <v>791.05</v>
      </c>
      <c r="BO92" s="352" t="n">
        <f aca="true">IF(AND($D92="Serviço",BO$12&lt;&gt;0,$H92&gt;0,OR(AUTOEVENTO&lt;&gt;"manual",$M92&lt;&gt;$A$15)),
        IF(Import.TipoArredondamento&lt;&gt;"TransfereGOV",
              ROUND(OFFSET($P92,0,BO$13),15-13*ORÇAMENTO!$AF$7)/$H92*OFFSET(ORÇAMENTO!$X$15,ROW(BO92)-ROW(BO$15),0),
              ROUND(ROUND(OFFSET($P92,0,BO$13),15-13*ORÇAMENTO!$AF$7)*OFFSET(ORÇAMENTO!$W$15,ROW(BO92)-ROW(BO$15),0),15-13*ORÇAMENTO!$AF$11)),
         0)</f>
        <v>791.05</v>
      </c>
      <c r="BP92" s="352" t="n">
        <f aca="true">IF(AND($D92="Serviço",BP$12&lt;&gt;0,$H92&gt;0,OR(AUTOEVENTO&lt;&gt;"manual",$M92&lt;&gt;$A$15)),
        IF(Import.TipoArredondamento&lt;&gt;"TransfereGOV",
              ROUND(OFFSET($P92,0,BP$13),15-13*ORÇAMENTO!$AF$7)/$H92*OFFSET(ORÇAMENTO!$X$15,ROW(BP92)-ROW(BP$15),0),
              ROUND(ROUND(OFFSET($P92,0,BP$13),15-13*ORÇAMENTO!$AF$7)*OFFSET(ORÇAMENTO!$W$15,ROW(BP92)-ROW(BP$15),0),15-13*ORÇAMENTO!$AF$11)),
         0)</f>
        <v>791.05</v>
      </c>
      <c r="BQ92" s="352" t="n">
        <f aca="true">IF(AND($D92="Serviço",BQ$12&lt;&gt;0,$H92&gt;0,OR(AUTOEVENTO&lt;&gt;"manual",$M92&lt;&gt;$A$15)),
        IF(Import.TipoArredondamento&lt;&gt;"TransfereGOV",
              ROUND(OFFSET($P92,0,BQ$13),15-13*ORÇAMENTO!$AF$7)/$H92*OFFSET(ORÇAMENTO!$X$15,ROW(BQ92)-ROW(BQ$15),0),
              ROUND(ROUND(OFFSET($P92,0,BQ$13),15-13*ORÇAMENTO!$AF$7)*OFFSET(ORÇAMENTO!$W$15,ROW(BQ92)-ROW(BQ$15),0),15-13*ORÇAMENTO!$AF$11)),
         0)</f>
        <v>0</v>
      </c>
      <c r="BS92" s="353" t="n">
        <f aca="true">IF(OR($D92&lt;&gt;"Serviço",AND(AUTOEVENTO="Manual",$M92=$A$15)),0,
         IF(OFFSET(CRONOPLE!$F$15,$M92-$A$15,BS$13)=0,10^12,OFFSET(CRONOPLE!$F$15,$M92-$A$15,BS$13)))</f>
        <v>1</v>
      </c>
      <c r="BT92" s="353" t="n">
        <f aca="true">IF(OR($D92&lt;&gt;"Serviço",AND(AUTOEVENTO="Manual",$M92=$A$15)),0,
         IF(OFFSET(CRONOPLE!$F$15,$M92-$A$15,BT$13)=0,10^12,OFFSET(CRONOPLE!$F$15,$M92-$A$15,BT$13)))</f>
        <v>2</v>
      </c>
      <c r="BU92" s="353" t="n">
        <f aca="true">IF(OR($D92&lt;&gt;"Serviço",AND(AUTOEVENTO="Manual",$M92=$A$15)),0,
         IF(OFFSET(CRONOPLE!$F$15,$M92-$A$15,BU$13)=0,10^12,OFFSET(CRONOPLE!$F$15,$M92-$A$15,BU$13)))</f>
        <v>3</v>
      </c>
      <c r="BV92" s="353" t="n">
        <f aca="true">IF(OR($D92&lt;&gt;"Serviço",AND(AUTOEVENTO="Manual",$M92=$A$15)),0,
         IF(OFFSET(CRONOPLE!$F$15,$M92-$A$15,BV$13)=0,10^12,OFFSET(CRONOPLE!$F$15,$M92-$A$15,BV$13)))</f>
        <v>4</v>
      </c>
      <c r="BW92" s="353" t="n">
        <f aca="true">IF(OR($D92&lt;&gt;"Serviço",AND(AUTOEVENTO="Manual",$M92=$A$15)),0,
         IF(OFFSET(CRONOPLE!$F$15,$M92-$A$15,BW$13)=0,10^12,OFFSET(CRONOPLE!$F$15,$M92-$A$15,BW$13)))</f>
        <v>5</v>
      </c>
      <c r="BX92" s="353" t="n">
        <f aca="true">IF(OR($D92&lt;&gt;"Serviço",AND(AUTOEVENTO="Manual",$M92=$A$15)),0,
         IF(OFFSET(CRONOPLE!$F$15,$M92-$A$15,BX$13)=0,10^12,OFFSET(CRONOPLE!$F$15,$M92-$A$15,BX$13)))</f>
        <v>6</v>
      </c>
      <c r="BY92" s="353" t="n">
        <f aca="true">IF(OR($D92&lt;&gt;"Serviço",AND(AUTOEVENTO="Manual",$M92=$A$15)),0,
         IF(OFFSET(CRONOPLE!$F$15,$M92-$A$15,BY$13)=0,10^12,OFFSET(CRONOPLE!$F$15,$M92-$A$15,BY$13)))</f>
        <v>7</v>
      </c>
      <c r="BZ92" s="353" t="n">
        <f aca="true">IF(OR($D92&lt;&gt;"Serviço",AND(AUTOEVENTO="Manual",$M92=$A$15)),0,
         IF(OFFSET(CRONOPLE!$F$15,$M92-$A$15,BZ$13)=0,10^12,OFFSET(CRONOPLE!$F$15,$M92-$A$15,BZ$13)))</f>
        <v>8</v>
      </c>
      <c r="CA92" s="353" t="n">
        <f aca="true">IF(OR($D92&lt;&gt;"Serviço",AND(AUTOEVENTO="Manual",$M92=$A$15)),0,
         IF(OFFSET(CRONOPLE!$F$15,$M92-$A$15,CA$13)=0,10^12,OFFSET(CRONOPLE!$F$15,$M92-$A$15,CA$13)))</f>
        <v>9</v>
      </c>
      <c r="CB92" s="353" t="n">
        <f aca="true">IF(OR($D92&lt;&gt;"Serviço",AND(AUTOEVENTO="Manual",$M92=$A$15)),0,
         IF(OFFSET(CRONOPLE!$F$15,$M92-$A$15,CB$13)=0,10^12,OFFSET(CRONOPLE!$F$15,$M92-$A$15,CB$13)))</f>
        <v>10</v>
      </c>
      <c r="CC92" s="353" t="n">
        <f aca="true">IF(OR($D92&lt;&gt;"Serviço",AND(AUTOEVENTO="Manual",$M92=$A$15)),0,
         IF(OFFSET(CRONOPLE!$F$15,$M92-$A$15,CC$13)=0,10^12,OFFSET(CRONOPLE!$F$15,$M92-$A$15,CC$13)))</f>
        <v>11</v>
      </c>
      <c r="CD92" s="353" t="n">
        <f aca="true">IF(OR($D92&lt;&gt;"Serviço",AND(AUTOEVENTO="Manual",$M92=$A$15)),0,
         IF(OFFSET(CRONOPLE!$F$15,$M92-$A$15,CD$13)=0,10^12,OFFSET(CRONOPLE!$F$15,$M92-$A$15,CD$13)))</f>
        <v>12</v>
      </c>
      <c r="CE92" s="353" t="n">
        <f aca="true">IF(OR($D92&lt;&gt;"Serviço",AND(AUTOEVENTO="Manual",$M92=$A$15)),0,
         IF(OFFSET(CRONOPLE!$F$15,$M92-$A$15,CE$13)=0,10^12,OFFSET(CRONOPLE!$F$15,$M92-$A$15,CE$13)))</f>
        <v>13</v>
      </c>
      <c r="CF92" s="353" t="n">
        <f aca="true">IF(OR($D92&lt;&gt;"Serviço",AND(AUTOEVENTO="Manual",$M92=$A$15)),0,
         IF(OFFSET(CRONOPLE!$F$15,$M92-$A$15,CF$13)=0,10^12,OFFSET(CRONOPLE!$F$15,$M92-$A$15,CF$13)))</f>
        <v>14</v>
      </c>
      <c r="CG92" s="353" t="n">
        <f aca="true">IF(OR($D92&lt;&gt;"Serviço",AND(AUTOEVENTO="Manual",$M92=$A$15)),0,
         IF(OFFSET(CRONOPLE!$F$15,$M92-$A$15,CG$13)=0,10^12,OFFSET(CRONOPLE!$F$15,$M92-$A$15,CG$13)))</f>
        <v>15</v>
      </c>
      <c r="CH92" s="353" t="n">
        <f aca="true">IF(OR($D92&lt;&gt;"Serviço",AND(AUTOEVENTO="Manual",$M92=$A$15)),0,
         IF(OFFSET(CRONOPLE!$F$15,$M92-$A$15,CH$13)=0,10^12,OFFSET(CRONOPLE!$F$15,$M92-$A$15,CH$13)))</f>
        <v>16</v>
      </c>
      <c r="CI92" s="353" t="n">
        <f aca="true">IF(OR($D92&lt;&gt;"Serviço",AND(AUTOEVENTO="Manual",$M92=$A$15)),0,
         IF(OFFSET(CRONOPLE!$F$15,$M92-$A$15,CI$13)=0,10^12,OFFSET(CRONOPLE!$F$15,$M92-$A$15,CI$13)))</f>
        <v>17</v>
      </c>
      <c r="CJ92" s="353" t="n">
        <f aca="true">IF(OR($D92&lt;&gt;"Serviço",AND(AUTOEVENTO="Manual",$M92=$A$15)),0,
         IF(OFFSET(CRONOPLE!$F$15,$M92-$A$15,CJ$13)=0,10^12,OFFSET(CRONOPLE!$F$15,$M92-$A$15,CJ$13)))</f>
        <v>18</v>
      </c>
      <c r="CK92" s="353" t="n">
        <f aca="true">IF(OR($D92&lt;&gt;"Serviço",AND(AUTOEVENTO="Manual",$M92=$A$15)),0,
         IF(OFFSET(CRONOPLE!$F$15,$M92-$A$15,CK$13)=0,10^12,OFFSET(CRONOPLE!$F$15,$M92-$A$15,CK$13)))</f>
        <v>19</v>
      </c>
      <c r="CL92" s="353" t="n">
        <f aca="true">IF(OR($D92&lt;&gt;"Serviço",AND(AUTOEVENTO="Manual",$M92=$A$15)),0,
         IF(OFFSET(CRONOPLE!$F$15,$M92-$A$15,CL$13)=0,10^12,OFFSET(CRONOPLE!$F$15,$M92-$A$15,CL$13)))</f>
        <v>20</v>
      </c>
      <c r="CM92" s="353" t="n">
        <f aca="true">IF(OR($D92&lt;&gt;"Serviço",AND(AUTOEVENTO="Manual",$M92=$A$15)),0,
         IF(OFFSET(CRONOPLE!$F$15,$M92-$A$15,CM$13)=0,10^12,OFFSET(CRONOPLE!$F$15,$M92-$A$15,CM$13)))</f>
        <v>21</v>
      </c>
      <c r="CN92" s="353" t="n">
        <f aca="true">IF(OR($D92&lt;&gt;"Serviço",AND(AUTOEVENTO="Manual",$M92=$A$15)),0,
         IF(OFFSET(CRONOPLE!$F$15,$M92-$A$15,CN$13)=0,10^12,OFFSET(CRONOPLE!$F$15,$M92-$A$15,CN$13)))</f>
        <v>22</v>
      </c>
      <c r="CO92" s="353" t="n">
        <f aca="true">IF(OR($D92&lt;&gt;"Serviço",AND(AUTOEVENTO="Manual",$M92=$A$15)),0,
         IF(OFFSET(CRONOPLE!$F$15,$M92-$A$15,CO$13)=0,10^12,OFFSET(CRONOPLE!$F$15,$M92-$A$15,CO$13)))</f>
        <v>23</v>
      </c>
      <c r="CP92" s="353" t="n">
        <f aca="true">IF(OR($D92&lt;&gt;"Serviço",AND(AUTOEVENTO="Manual",$M92=$A$15)),0,
         IF(OFFSET(CRONOPLE!$F$15,$M92-$A$15,CP$13)=0,10^12,OFFSET(CRONOPLE!$F$15,$M92-$A$15,CP$13)))</f>
        <v>24</v>
      </c>
      <c r="CQ92" s="353" t="n">
        <f aca="true">IF(OR($D92&lt;&gt;"Serviço",AND(AUTOEVENTO="Manual",$M92=$A$15)),0,
         IF(OFFSET(CRONOPLE!$F$15,$M92-$A$15,CQ$13)=0,10^12,OFFSET(CRONOPLE!$F$15,$M92-$A$15,CQ$13)))</f>
        <v>25</v>
      </c>
      <c r="CR92" s="353" t="n">
        <f aca="true">IF(OR($D92&lt;&gt;"Serviço",AND(AUTOEVENTO="Manual",$M92=$A$15)),0,
         IF(OFFSET(CRONOPLE!$F$15,$M92-$A$15,CR$13)=0,10^12,OFFSET(CRONOPLE!$F$15,$M92-$A$15,CR$13)))</f>
        <v>1000000000000</v>
      </c>
      <c r="CT92" s="354" t="n">
        <f aca="true">IF(OR($D92&lt;&gt;"Serviço",AND(AUTOEVENTO="Manual",$M92=$A$15),$M92&gt;(ROW(PLE.lastrow)-ROW(PLE.firstrow))),0,
           IF(OFFSET(PLE!$G$15,$M92-$A$15,CT$13)="",10^12,OFFSET(PLE!$G$15,$M92-$A$15,CT$13)))</f>
        <v>1000000000000</v>
      </c>
      <c r="CU92" s="354" t="n">
        <f aca="true">IF(OR($D92&lt;&gt;"Serviço",AND(AUTOEVENTO="Manual",$M92=$A$15),$M92&gt;(ROW(PLE.lastrow)-ROW(PLE.firstrow))),0,
           IF(OFFSET(PLE!$G$15,$M92-$A$15,CU$13)="",10^12,OFFSET(PLE!$G$15,$M92-$A$15,CU$13)))</f>
        <v>1000000000000</v>
      </c>
      <c r="CV92" s="354" t="n">
        <f aca="true">IF(OR($D92&lt;&gt;"Serviço",AND(AUTOEVENTO="Manual",$M92=$A$15),$M92&gt;(ROW(PLE.lastrow)-ROW(PLE.firstrow))),0,
           IF(OFFSET(PLE!$G$15,$M92-$A$15,CV$13)="",10^12,OFFSET(PLE!$G$15,$M92-$A$15,CV$13)))</f>
        <v>1000000000000</v>
      </c>
      <c r="CW92" s="354" t="n">
        <f aca="true">IF(OR($D92&lt;&gt;"Serviço",AND(AUTOEVENTO="Manual",$M92=$A$15),$M92&gt;(ROW(PLE.lastrow)-ROW(PLE.firstrow))),0,
           IF(OFFSET(PLE!$G$15,$M92-$A$15,CW$13)="",10^12,OFFSET(PLE!$G$15,$M92-$A$15,CW$13)))</f>
        <v>1000000000000</v>
      </c>
      <c r="CX92" s="354" t="n">
        <f aca="true">IF(OR($D92&lt;&gt;"Serviço",AND(AUTOEVENTO="Manual",$M92=$A$15),$M92&gt;(ROW(PLE.lastrow)-ROW(PLE.firstrow))),0,
           IF(OFFSET(PLE!$G$15,$M92-$A$15,CX$13)="",10^12,OFFSET(PLE!$G$15,$M92-$A$15,CX$13)))</f>
        <v>1000000000000</v>
      </c>
      <c r="CY92" s="354" t="n">
        <f aca="true">IF(OR($D92&lt;&gt;"Serviço",AND(AUTOEVENTO="Manual",$M92=$A$15),$M92&gt;(ROW(PLE.lastrow)-ROW(PLE.firstrow))),0,
           IF(OFFSET(PLE!$G$15,$M92-$A$15,CY$13)="",10^12,OFFSET(PLE!$G$15,$M92-$A$15,CY$13)))</f>
        <v>1000000000000</v>
      </c>
      <c r="CZ92" s="354" t="n">
        <f aca="true">IF(OR($D92&lt;&gt;"Serviço",AND(AUTOEVENTO="Manual",$M92=$A$15),$M92&gt;(ROW(PLE.lastrow)-ROW(PLE.firstrow))),0,
           IF(OFFSET(PLE!$G$15,$M92-$A$15,CZ$13)="",10^12,OFFSET(PLE!$G$15,$M92-$A$15,CZ$13)))</f>
        <v>1000000000000</v>
      </c>
      <c r="DA92" s="354" t="n">
        <f aca="true">IF(OR($D92&lt;&gt;"Serviço",AND(AUTOEVENTO="Manual",$M92=$A$15),$M92&gt;(ROW(PLE.lastrow)-ROW(PLE.firstrow))),0,
           IF(OFFSET(PLE!$G$15,$M92-$A$15,DA$13)="",10^12,OFFSET(PLE!$G$15,$M92-$A$15,DA$13)))</f>
        <v>1000000000000</v>
      </c>
      <c r="DB92" s="354" t="n">
        <f aca="true">IF(OR($D92&lt;&gt;"Serviço",AND(AUTOEVENTO="Manual",$M92=$A$15),$M92&gt;(ROW(PLE.lastrow)-ROW(PLE.firstrow))),0,
           IF(OFFSET(PLE!$G$15,$M92-$A$15,DB$13)="",10^12,OFFSET(PLE!$G$15,$M92-$A$15,DB$13)))</f>
        <v>1000000000000</v>
      </c>
      <c r="DC92" s="354" t="n">
        <f aca="true">IF(OR($D92&lt;&gt;"Serviço",AND(AUTOEVENTO="Manual",$M92=$A$15),$M92&gt;(ROW(PLE.lastrow)-ROW(PLE.firstrow))),0,
           IF(OFFSET(PLE!$G$15,$M92-$A$15,DC$13)="",10^12,OFFSET(PLE!$G$15,$M92-$A$15,DC$13)))</f>
        <v>1000000000000</v>
      </c>
      <c r="DD92" s="354" t="n">
        <f aca="true">IF(OR($D92&lt;&gt;"Serviço",AND(AUTOEVENTO="Manual",$M92=$A$15),$M92&gt;(ROW(PLE.lastrow)-ROW(PLE.firstrow))),0,
           IF(OFFSET(PLE!$G$15,$M92-$A$15,DD$13)="",10^12,OFFSET(PLE!$G$15,$M92-$A$15,DD$13)))</f>
        <v>1000000000000</v>
      </c>
      <c r="DE92" s="354" t="n">
        <f aca="true">IF(OR($D92&lt;&gt;"Serviço",AND(AUTOEVENTO="Manual",$M92=$A$15),$M92&gt;(ROW(PLE.lastrow)-ROW(PLE.firstrow))),0,
           IF(OFFSET(PLE!$G$15,$M92-$A$15,DE$13)="",10^12,OFFSET(PLE!$G$15,$M92-$A$15,DE$13)))</f>
        <v>1000000000000</v>
      </c>
      <c r="DF92" s="354" t="n">
        <f aca="true">IF(OR($D92&lt;&gt;"Serviço",AND(AUTOEVENTO="Manual",$M92=$A$15),$M92&gt;(ROW(PLE.lastrow)-ROW(PLE.firstrow))),0,
           IF(OFFSET(PLE!$G$15,$M92-$A$15,DF$13)="",10^12,OFFSET(PLE!$G$15,$M92-$A$15,DF$13)))</f>
        <v>1000000000000</v>
      </c>
      <c r="DG92" s="354" t="n">
        <f aca="true">IF(OR($D92&lt;&gt;"Serviço",AND(AUTOEVENTO="Manual",$M92=$A$15),$M92&gt;(ROW(PLE.lastrow)-ROW(PLE.firstrow))),0,
           IF(OFFSET(PLE!$G$15,$M92-$A$15,DG$13)="",10^12,OFFSET(PLE!$G$15,$M92-$A$15,DG$13)))</f>
        <v>1000000000000</v>
      </c>
      <c r="DH92" s="354" t="n">
        <f aca="true">IF(OR($D92&lt;&gt;"Serviço",AND(AUTOEVENTO="Manual",$M92=$A$15),$M92&gt;(ROW(PLE.lastrow)-ROW(PLE.firstrow))),0,
           IF(OFFSET(PLE!$G$15,$M92-$A$15,DH$13)="",10^12,OFFSET(PLE!$G$15,$M92-$A$15,DH$13)))</f>
        <v>1000000000000</v>
      </c>
      <c r="DI92" s="354" t="n">
        <f aca="true">IF(OR($D92&lt;&gt;"Serviço",AND(AUTOEVENTO="Manual",$M92=$A$15),$M92&gt;(ROW(PLE.lastrow)-ROW(PLE.firstrow))),0,
           IF(OFFSET(PLE!$G$15,$M92-$A$15,DI$13)="",10^12,OFFSET(PLE!$G$15,$M92-$A$15,DI$13)))</f>
        <v>1000000000000</v>
      </c>
      <c r="DJ92" s="354" t="n">
        <f aca="true">IF(OR($D92&lt;&gt;"Serviço",AND(AUTOEVENTO="Manual",$M92=$A$15),$M92&gt;(ROW(PLE.lastrow)-ROW(PLE.firstrow))),0,
           IF(OFFSET(PLE!$G$15,$M92-$A$15,DJ$13)="",10^12,OFFSET(PLE!$G$15,$M92-$A$15,DJ$13)))</f>
        <v>1000000000000</v>
      </c>
      <c r="DK92" s="354" t="n">
        <f aca="true">IF(OR($D92&lt;&gt;"Serviço",AND(AUTOEVENTO="Manual",$M92=$A$15),$M92&gt;(ROW(PLE.lastrow)-ROW(PLE.firstrow))),0,
           IF(OFFSET(PLE!$G$15,$M92-$A$15,DK$13)="",10^12,OFFSET(PLE!$G$15,$M92-$A$15,DK$13)))</f>
        <v>1000000000000</v>
      </c>
      <c r="DL92" s="354" t="n">
        <f aca="true">IF(OR($D92&lt;&gt;"Serviço",AND(AUTOEVENTO="Manual",$M92=$A$15),$M92&gt;(ROW(PLE.lastrow)-ROW(PLE.firstrow))),0,
           IF(OFFSET(PLE!$G$15,$M92-$A$15,DL$13)="",10^12,OFFSET(PLE!$G$15,$M92-$A$15,DL$13)))</f>
        <v>1000000000000</v>
      </c>
      <c r="DM92" s="354" t="n">
        <f aca="true">IF(OR($D92&lt;&gt;"Serviço",AND(AUTOEVENTO="Manual",$M92=$A$15),$M92&gt;(ROW(PLE.lastrow)-ROW(PLE.firstrow))),0,
           IF(OFFSET(PLE!$G$15,$M92-$A$15,DM$13)="",10^12,OFFSET(PLE!$G$15,$M92-$A$15,DM$13)))</f>
        <v>1000000000000</v>
      </c>
      <c r="DN92" s="354" t="n">
        <f aca="true">IF(OR($D92&lt;&gt;"Serviço",AND(AUTOEVENTO="Manual",$M92=$A$15),$M92&gt;(ROW(PLE.lastrow)-ROW(PLE.firstrow))),0,
           IF(OFFSET(PLE!$G$15,$M92-$A$15,DN$13)="",10^12,OFFSET(PLE!$G$15,$M92-$A$15,DN$13)))</f>
        <v>1000000000000</v>
      </c>
      <c r="DO92" s="354" t="n">
        <f aca="true">IF(OR($D92&lt;&gt;"Serviço",AND(AUTOEVENTO="Manual",$M92=$A$15),$M92&gt;(ROW(PLE.lastrow)-ROW(PLE.firstrow))),0,
           IF(OFFSET(PLE!$G$15,$M92-$A$15,DO$13)="",10^12,OFFSET(PLE!$G$15,$M92-$A$15,DO$13)))</f>
        <v>1000000000000</v>
      </c>
      <c r="DP92" s="354" t="n">
        <f aca="true">IF(OR($D92&lt;&gt;"Serviço",AND(AUTOEVENTO="Manual",$M92=$A$15),$M92&gt;(ROW(PLE.lastrow)-ROW(PLE.firstrow))),0,
           IF(OFFSET(PLE!$G$15,$M92-$A$15,DP$13)="",10^12,OFFSET(PLE!$G$15,$M92-$A$15,DP$13)))</f>
        <v>1000000000000</v>
      </c>
      <c r="DQ92" s="354" t="n">
        <f aca="true">IF(OR($D92&lt;&gt;"Serviço",AND(AUTOEVENTO="Manual",$M92=$A$15),$M92&gt;(ROW(PLE.lastrow)-ROW(PLE.firstrow))),0,
           IF(OFFSET(PLE!$G$15,$M92-$A$15,DQ$13)="",10^12,OFFSET(PLE!$G$15,$M92-$A$15,DQ$13)))</f>
        <v>1000000000000</v>
      </c>
      <c r="DR92" s="354" t="n">
        <f aca="true">IF(OR($D92&lt;&gt;"Serviço",AND(AUTOEVENTO="Manual",$M92=$A$15),$M92&gt;(ROW(PLE.lastrow)-ROW(PLE.firstrow))),0,
           IF(OFFSET(PLE!$G$15,$M92-$A$15,DR$13)="",10^12,OFFSET(PLE!$G$15,$M92-$A$15,DR$13)))</f>
        <v>1000000000000</v>
      </c>
      <c r="DS92" s="354" t="n">
        <f aca="true">IF(OR($D92&lt;&gt;"Serviço",AND(AUTOEVENTO="Manual",$M92=$A$15),$M92&gt;(ROW(PLE.lastrow)-ROW(PLE.firstrow))),0,
           IF(OFFSET(PLE!$G$15,$M92-$A$15,DS$13)="",10^12,OFFSET(PLE!$G$15,$M92-$A$15,DS$13)))</f>
        <v>1000000000000</v>
      </c>
    </row>
    <row r="93" customFormat="false" ht="68.65" hidden="false" customHeight="false" outlineLevel="0" collapsed="false">
      <c r="A93" s="50" t="str">
        <f aca="true">IFERROR(IF(AUTOEVENTO="Manual",IF(K93&lt;&gt;"",MIN(VALUE(LEFT(K93,FIND(".",K93)-1)),COUNTA(EVENTOS.Lista)),0),IF(OR($B93&gt;AUTOEVENTO,$B93="S",$B93=0),SUBSTITUTE(OFFSET($A93,-1,0),IF($D93="Serviço",".",""),""),ROW(A93)-ROW($A$15)&amp;".")),0)</f>
        <v>74</v>
      </c>
      <c r="B93" s="50" t="str">
        <f aca="true">OFFSET(ORÇAMENTO!C$15,ROW(B93)-ROW(B$15),0)</f>
        <v>S</v>
      </c>
      <c r="C93" s="50" t="str">
        <f aca="true">OFFSET(ORÇAMENTO!L$15,ROW(C93)-ROW(C$15),0)</f>
        <v>F</v>
      </c>
      <c r="D93" s="201" t="str">
        <f aca="true">OFFSET(ORÇAMENTO!N$15,ROW(D93)-ROW(D$15),0)</f>
        <v>Serviço</v>
      </c>
      <c r="E93" s="202" t="str">
        <f aca="true">OFFSET(ORÇAMENTO!O$15,ROW(E93)-ROW(E$15),0)</f>
        <v>1.23.4.</v>
      </c>
      <c r="F93" s="341" t="str">
        <f aca="true">OFFSET(ORÇAMENTO!R$15,ROW(F93)-ROW(F$15),0)</f>
        <v>PINTURA LÁTEX ACRÍLICA STANDARD, APLICAÇÃO MANUAL EM PAREDES, DUAS DEMÃOS. AF_04/2023</v>
      </c>
      <c r="G93" s="342" t="str">
        <f aca="true">IF($D93&lt;&gt;"Serviço","",OFFSET(ORÇAMENTO!S$15,ROW(G93)-ROW(G$15),0))</f>
        <v>M2</v>
      </c>
      <c r="H93" s="207" t="n">
        <f aca="true">IF($D93&lt;&gt;"Serviço",0,IF(ACOMPANHAMENTO="BM",ROUND(OFFSET(ORÇAMENTO!AJ$15,ROW(H93)-ROW(H$15),0),15-13*ORÇAMENTO!$AF$7),SUMPRODUCT(($Q$1:$AQ$1=1)*ROUND($Q93:$AQ93,15-13*ORÇAMENTO!$AF$7))))</f>
        <v>2413.75</v>
      </c>
      <c r="I93" s="343" t="s">
        <v>953</v>
      </c>
      <c r="J93" s="344" t="e">
        <f aca="false">IF(OR(B93&lt;&gt;"S",CÁLCULO.FrentesPreenchidas=0),"",IF(AND(ACOMPANHAMENTO="PLE",AUTOEVENTO="Manual",OR(H93&gt;0,ORÇAMENTO!AC93="QUANT."),OR(K93="",M93=0,N93="")),"►",IF(AND(ACOMPANHAMENTO="PLE",ORÇAMENTO!AC93="QUANT."),"►►",IF(AND(COUNTIF($P$11:$AQ$11,"▼")=0,H93&gt;0,I93=""),"◄",""))))</f>
        <v>#NAME?</v>
      </c>
      <c r="K93" s="345"/>
      <c r="L93" s="346" t="s">
        <v>876</v>
      </c>
      <c r="M93" s="347" t="n">
        <f aca="true">IF($D93&lt;&gt;"Serviço","",
          IF(AUTOEVENTO="manual",$A93,
                IF(ISERROR(MATCH($A93,$A$15:OFFSET($A93,-1,0),0)),MAX($M$15:OFFSET(M93,-1,0))+1,
                      INDEX($M$15:OFFSET(M93,-1,0),MATCH($A93,$A$15:OFFSET($A93,-1,0),0)))))</f>
        <v>15</v>
      </c>
      <c r="N93" s="348" t="str">
        <f aca="true">IF($D93&lt;&gt;"Serviço","",
         IF(AUTOEVENTO="Manual",
                IF($A93=0,"&lt;-- defina o número do agrupador",
                       OFFSET(EVENTOS!$D$15,$A93-$A$15,0)),
                OFFSET($F$15,$A93,0)))</f>
        <v>PINTURAS INTERNAS</v>
      </c>
      <c r="O93" s="349"/>
      <c r="Q93" s="349" t="n">
        <f aca="false">Q90</f>
        <v>96.55</v>
      </c>
      <c r="R93" s="350" t="n">
        <f aca="false">Q93</f>
        <v>96.55</v>
      </c>
      <c r="S93" s="350" t="n">
        <f aca="false">R93</f>
        <v>96.55</v>
      </c>
      <c r="T93" s="350" t="n">
        <f aca="false">S93</f>
        <v>96.55</v>
      </c>
      <c r="U93" s="350" t="n">
        <f aca="false">T93</f>
        <v>96.55</v>
      </c>
      <c r="V93" s="350" t="n">
        <f aca="false">U93</f>
        <v>96.55</v>
      </c>
      <c r="W93" s="350" t="n">
        <f aca="false">V93</f>
        <v>96.55</v>
      </c>
      <c r="X93" s="350" t="n">
        <f aca="false">W93</f>
        <v>96.55</v>
      </c>
      <c r="Y93" s="350" t="n">
        <f aca="false">X93</f>
        <v>96.55</v>
      </c>
      <c r="Z93" s="351" t="n">
        <f aca="false">Y93</f>
        <v>96.55</v>
      </c>
      <c r="AA93" s="350" t="n">
        <f aca="false">Z93</f>
        <v>96.55</v>
      </c>
      <c r="AB93" s="350" t="n">
        <f aca="false">AA93</f>
        <v>96.55</v>
      </c>
      <c r="AC93" s="350" t="n">
        <f aca="false">AB93</f>
        <v>96.55</v>
      </c>
      <c r="AD93" s="350" t="n">
        <f aca="false">AC93</f>
        <v>96.55</v>
      </c>
      <c r="AE93" s="350" t="n">
        <f aca="false">AD93</f>
        <v>96.55</v>
      </c>
      <c r="AF93" s="350" t="n">
        <f aca="false">AE93</f>
        <v>96.55</v>
      </c>
      <c r="AG93" s="350" t="n">
        <f aca="false">AF93</f>
        <v>96.55</v>
      </c>
      <c r="AH93" s="351" t="n">
        <f aca="false">AG93</f>
        <v>96.55</v>
      </c>
      <c r="AI93" s="350" t="n">
        <f aca="false">AH93</f>
        <v>96.55</v>
      </c>
      <c r="AJ93" s="350" t="n">
        <f aca="false">AI93</f>
        <v>96.55</v>
      </c>
      <c r="AK93" s="350" t="n">
        <f aca="false">AJ93</f>
        <v>96.55</v>
      </c>
      <c r="AL93" s="350" t="n">
        <f aca="false">AK93</f>
        <v>96.55</v>
      </c>
      <c r="AM93" s="350" t="n">
        <f aca="false">AL93</f>
        <v>96.55</v>
      </c>
      <c r="AN93" s="350" t="n">
        <f aca="false">AM93</f>
        <v>96.55</v>
      </c>
      <c r="AO93" s="350" t="n">
        <f aca="false">AN93</f>
        <v>96.55</v>
      </c>
      <c r="AP93" s="351"/>
      <c r="AR93" s="352" t="n">
        <f aca="true">IF(AND($D93="Serviço",AR$12&lt;&gt;0,$H93&gt;0,OR(AUTOEVENTO&lt;&gt;"manual",$M93&lt;&gt;$A$15)),
        IF(Import.TipoArredondamento&lt;&gt;"TransfereGOV",
              ROUND(OFFSET($P93,0,AR$13),15-13*ORÇAMENTO!$AF$7)/$H93*OFFSET(ORÇAMENTO!$X$15,ROW(AR93)-ROW(AR$15),0),
              ROUND(ROUND(OFFSET($P93,0,AR$13),15-13*ORÇAMENTO!$AF$7)*OFFSET(ORÇAMENTO!$W$15,ROW(AR93)-ROW(AR$15),0),15-13*ORÇAMENTO!$AF$11)),
         0)</f>
        <v>1343.01</v>
      </c>
      <c r="AS93" s="352" t="n">
        <f aca="true">IF(AND($D93="Serviço",AS$12&lt;&gt;0,$H93&gt;0,OR(AUTOEVENTO&lt;&gt;"manual",$M93&lt;&gt;$A$15)),
        IF(Import.TipoArredondamento&lt;&gt;"TransfereGOV",
              ROUND(OFFSET($P93,0,AS$13),15-13*ORÇAMENTO!$AF$7)/$H93*OFFSET(ORÇAMENTO!$X$15,ROW(AS93)-ROW(AS$15),0),
              ROUND(ROUND(OFFSET($P93,0,AS$13),15-13*ORÇAMENTO!$AF$7)*OFFSET(ORÇAMENTO!$W$15,ROW(AS93)-ROW(AS$15),0),15-13*ORÇAMENTO!$AF$11)),
         0)</f>
        <v>1343.01</v>
      </c>
      <c r="AT93" s="352" t="n">
        <f aca="true">IF(AND($D93="Serviço",AT$12&lt;&gt;0,$H93&gt;0,OR(AUTOEVENTO&lt;&gt;"manual",$M93&lt;&gt;$A$15)),
        IF(Import.TipoArredondamento&lt;&gt;"TransfereGOV",
              ROUND(OFFSET($P93,0,AT$13),15-13*ORÇAMENTO!$AF$7)/$H93*OFFSET(ORÇAMENTO!$X$15,ROW(AT93)-ROW(AT$15),0),
              ROUND(ROUND(OFFSET($P93,0,AT$13),15-13*ORÇAMENTO!$AF$7)*OFFSET(ORÇAMENTO!$W$15,ROW(AT93)-ROW(AT$15),0),15-13*ORÇAMENTO!$AF$11)),
         0)</f>
        <v>1343.01</v>
      </c>
      <c r="AU93" s="352" t="n">
        <f aca="true">IF(AND($D93="Serviço",AU$12&lt;&gt;0,$H93&gt;0,OR(AUTOEVENTO&lt;&gt;"manual",$M93&lt;&gt;$A$15)),
        IF(Import.TipoArredondamento&lt;&gt;"TransfereGOV",
              ROUND(OFFSET($P93,0,AU$13),15-13*ORÇAMENTO!$AF$7)/$H93*OFFSET(ORÇAMENTO!$X$15,ROW(AU93)-ROW(AU$15),0),
              ROUND(ROUND(OFFSET($P93,0,AU$13),15-13*ORÇAMENTO!$AF$7)*OFFSET(ORÇAMENTO!$W$15,ROW(AU93)-ROW(AU$15),0),15-13*ORÇAMENTO!$AF$11)),
         0)</f>
        <v>1343.01</v>
      </c>
      <c r="AV93" s="352" t="n">
        <f aca="true">IF(AND($D93="Serviço",AV$12&lt;&gt;0,$H93&gt;0,OR(AUTOEVENTO&lt;&gt;"manual",$M93&lt;&gt;$A$15)),
        IF(Import.TipoArredondamento&lt;&gt;"TransfereGOV",
              ROUND(OFFSET($P93,0,AV$13),15-13*ORÇAMENTO!$AF$7)/$H93*OFFSET(ORÇAMENTO!$X$15,ROW(AV93)-ROW(AV$15),0),
              ROUND(ROUND(OFFSET($P93,0,AV$13),15-13*ORÇAMENTO!$AF$7)*OFFSET(ORÇAMENTO!$W$15,ROW(AV93)-ROW(AV$15),0),15-13*ORÇAMENTO!$AF$11)),
         0)</f>
        <v>1343.01</v>
      </c>
      <c r="AW93" s="352" t="n">
        <f aca="true">IF(AND($D93="Serviço",AW$12&lt;&gt;0,$H93&gt;0,OR(AUTOEVENTO&lt;&gt;"manual",$M93&lt;&gt;$A$15)),
        IF(Import.TipoArredondamento&lt;&gt;"TransfereGOV",
              ROUND(OFFSET($P93,0,AW$13),15-13*ORÇAMENTO!$AF$7)/$H93*OFFSET(ORÇAMENTO!$X$15,ROW(AW93)-ROW(AW$15),0),
              ROUND(ROUND(OFFSET($P93,0,AW$13),15-13*ORÇAMENTO!$AF$7)*OFFSET(ORÇAMENTO!$W$15,ROW(AW93)-ROW(AW$15),0),15-13*ORÇAMENTO!$AF$11)),
         0)</f>
        <v>1343.01</v>
      </c>
      <c r="AX93" s="352" t="n">
        <f aca="true">IF(AND($D93="Serviço",AX$12&lt;&gt;0,$H93&gt;0,OR(AUTOEVENTO&lt;&gt;"manual",$M93&lt;&gt;$A$15)),
        IF(Import.TipoArredondamento&lt;&gt;"TransfereGOV",
              ROUND(OFFSET($P93,0,AX$13),15-13*ORÇAMENTO!$AF$7)/$H93*OFFSET(ORÇAMENTO!$X$15,ROW(AX93)-ROW(AX$15),0),
              ROUND(ROUND(OFFSET($P93,0,AX$13),15-13*ORÇAMENTO!$AF$7)*OFFSET(ORÇAMENTO!$W$15,ROW(AX93)-ROW(AX$15),0),15-13*ORÇAMENTO!$AF$11)),
         0)</f>
        <v>1343.01</v>
      </c>
      <c r="AY93" s="352" t="n">
        <f aca="true">IF(AND($D93="Serviço",AY$12&lt;&gt;0,$H93&gt;0,OR(AUTOEVENTO&lt;&gt;"manual",$M93&lt;&gt;$A$15)),
        IF(Import.TipoArredondamento&lt;&gt;"TransfereGOV",
              ROUND(OFFSET($P93,0,AY$13),15-13*ORÇAMENTO!$AF$7)/$H93*OFFSET(ORÇAMENTO!$X$15,ROW(AY93)-ROW(AY$15),0),
              ROUND(ROUND(OFFSET($P93,0,AY$13),15-13*ORÇAMENTO!$AF$7)*OFFSET(ORÇAMENTO!$W$15,ROW(AY93)-ROW(AY$15),0),15-13*ORÇAMENTO!$AF$11)),
         0)</f>
        <v>1343.01</v>
      </c>
      <c r="AZ93" s="352" t="n">
        <f aca="true">IF(AND($D93="Serviço",AZ$12&lt;&gt;0,$H93&gt;0,OR(AUTOEVENTO&lt;&gt;"manual",$M93&lt;&gt;$A$15)),
        IF(Import.TipoArredondamento&lt;&gt;"TransfereGOV",
              ROUND(OFFSET($P93,0,AZ$13),15-13*ORÇAMENTO!$AF$7)/$H93*OFFSET(ORÇAMENTO!$X$15,ROW(AZ93)-ROW(AZ$15),0),
              ROUND(ROUND(OFFSET($P93,0,AZ$13),15-13*ORÇAMENTO!$AF$7)*OFFSET(ORÇAMENTO!$W$15,ROW(AZ93)-ROW(AZ$15),0),15-13*ORÇAMENTO!$AF$11)),
         0)</f>
        <v>1343.01</v>
      </c>
      <c r="BA93" s="352" t="n">
        <f aca="true">IF(AND($D93="Serviço",BA$12&lt;&gt;0,$H93&gt;0,OR(AUTOEVENTO&lt;&gt;"manual",$M93&lt;&gt;$A$15)),
        IF(Import.TipoArredondamento&lt;&gt;"TransfereGOV",
              ROUND(OFFSET($P93,0,BA$13),15-13*ORÇAMENTO!$AF$7)/$H93*OFFSET(ORÇAMENTO!$X$15,ROW(BA93)-ROW(BA$15),0),
              ROUND(ROUND(OFFSET($P93,0,BA$13),15-13*ORÇAMENTO!$AF$7)*OFFSET(ORÇAMENTO!$W$15,ROW(BA93)-ROW(BA$15),0),15-13*ORÇAMENTO!$AF$11)),
         0)</f>
        <v>1343.01</v>
      </c>
      <c r="BB93" s="352" t="n">
        <f aca="true">IF(AND($D93="Serviço",BB$12&lt;&gt;0,$H93&gt;0,OR(AUTOEVENTO&lt;&gt;"manual",$M93&lt;&gt;$A$15)),
        IF(Import.TipoArredondamento&lt;&gt;"TransfereGOV",
              ROUND(OFFSET($P93,0,BB$13),15-13*ORÇAMENTO!$AF$7)/$H93*OFFSET(ORÇAMENTO!$X$15,ROW(BB93)-ROW(BB$15),0),
              ROUND(ROUND(OFFSET($P93,0,BB$13),15-13*ORÇAMENTO!$AF$7)*OFFSET(ORÇAMENTO!$W$15,ROW(BB93)-ROW(BB$15),0),15-13*ORÇAMENTO!$AF$11)),
         0)</f>
        <v>1343.01</v>
      </c>
      <c r="BC93" s="352" t="n">
        <f aca="true">IF(AND($D93="Serviço",BC$12&lt;&gt;0,$H93&gt;0,OR(AUTOEVENTO&lt;&gt;"manual",$M93&lt;&gt;$A$15)),
        IF(Import.TipoArredondamento&lt;&gt;"TransfereGOV",
              ROUND(OFFSET($P93,0,BC$13),15-13*ORÇAMENTO!$AF$7)/$H93*OFFSET(ORÇAMENTO!$X$15,ROW(BC93)-ROW(BC$15),0),
              ROUND(ROUND(OFFSET($P93,0,BC$13),15-13*ORÇAMENTO!$AF$7)*OFFSET(ORÇAMENTO!$W$15,ROW(BC93)-ROW(BC$15),0),15-13*ORÇAMENTO!$AF$11)),
         0)</f>
        <v>1343.01</v>
      </c>
      <c r="BD93" s="352" t="n">
        <f aca="true">IF(AND($D93="Serviço",BD$12&lt;&gt;0,$H93&gt;0,OR(AUTOEVENTO&lt;&gt;"manual",$M93&lt;&gt;$A$15)),
        IF(Import.TipoArredondamento&lt;&gt;"TransfereGOV",
              ROUND(OFFSET($P93,0,BD$13),15-13*ORÇAMENTO!$AF$7)/$H93*OFFSET(ORÇAMENTO!$X$15,ROW(BD93)-ROW(BD$15),0),
              ROUND(ROUND(OFFSET($P93,0,BD$13),15-13*ORÇAMENTO!$AF$7)*OFFSET(ORÇAMENTO!$W$15,ROW(BD93)-ROW(BD$15),0),15-13*ORÇAMENTO!$AF$11)),
         0)</f>
        <v>1343.01</v>
      </c>
      <c r="BE93" s="352" t="n">
        <f aca="true">IF(AND($D93="Serviço",BE$12&lt;&gt;0,$H93&gt;0,OR(AUTOEVENTO&lt;&gt;"manual",$M93&lt;&gt;$A$15)),
        IF(Import.TipoArredondamento&lt;&gt;"TransfereGOV",
              ROUND(OFFSET($P93,0,BE$13),15-13*ORÇAMENTO!$AF$7)/$H93*OFFSET(ORÇAMENTO!$X$15,ROW(BE93)-ROW(BE$15),0),
              ROUND(ROUND(OFFSET($P93,0,BE$13),15-13*ORÇAMENTO!$AF$7)*OFFSET(ORÇAMENTO!$W$15,ROW(BE93)-ROW(BE$15),0),15-13*ORÇAMENTO!$AF$11)),
         0)</f>
        <v>1343.01</v>
      </c>
      <c r="BF93" s="352" t="n">
        <f aca="true">IF(AND($D93="Serviço",BF$12&lt;&gt;0,$H93&gt;0,OR(AUTOEVENTO&lt;&gt;"manual",$M93&lt;&gt;$A$15)),
        IF(Import.TipoArredondamento&lt;&gt;"TransfereGOV",
              ROUND(OFFSET($P93,0,BF$13),15-13*ORÇAMENTO!$AF$7)/$H93*OFFSET(ORÇAMENTO!$X$15,ROW(BF93)-ROW(BF$15),0),
              ROUND(ROUND(OFFSET($P93,0,BF$13),15-13*ORÇAMENTO!$AF$7)*OFFSET(ORÇAMENTO!$W$15,ROW(BF93)-ROW(BF$15),0),15-13*ORÇAMENTO!$AF$11)),
         0)</f>
        <v>1343.01</v>
      </c>
      <c r="BG93" s="352" t="n">
        <f aca="true">IF(AND($D93="Serviço",BG$12&lt;&gt;0,$H93&gt;0,OR(AUTOEVENTO&lt;&gt;"manual",$M93&lt;&gt;$A$15)),
        IF(Import.TipoArredondamento&lt;&gt;"TransfereGOV",
              ROUND(OFFSET($P93,0,BG$13),15-13*ORÇAMENTO!$AF$7)/$H93*OFFSET(ORÇAMENTO!$X$15,ROW(BG93)-ROW(BG$15),0),
              ROUND(ROUND(OFFSET($P93,0,BG$13),15-13*ORÇAMENTO!$AF$7)*OFFSET(ORÇAMENTO!$W$15,ROW(BG93)-ROW(BG$15),0),15-13*ORÇAMENTO!$AF$11)),
         0)</f>
        <v>1343.01</v>
      </c>
      <c r="BH93" s="352" t="n">
        <f aca="true">IF(AND($D93="Serviço",BH$12&lt;&gt;0,$H93&gt;0,OR(AUTOEVENTO&lt;&gt;"manual",$M93&lt;&gt;$A$15)),
        IF(Import.TipoArredondamento&lt;&gt;"TransfereGOV",
              ROUND(OFFSET($P93,0,BH$13),15-13*ORÇAMENTO!$AF$7)/$H93*OFFSET(ORÇAMENTO!$X$15,ROW(BH93)-ROW(BH$15),0),
              ROUND(ROUND(OFFSET($P93,0,BH$13),15-13*ORÇAMENTO!$AF$7)*OFFSET(ORÇAMENTO!$W$15,ROW(BH93)-ROW(BH$15),0),15-13*ORÇAMENTO!$AF$11)),
         0)</f>
        <v>1343.01</v>
      </c>
      <c r="BI93" s="352" t="n">
        <f aca="true">IF(AND($D93="Serviço",BI$12&lt;&gt;0,$H93&gt;0,OR(AUTOEVENTO&lt;&gt;"manual",$M93&lt;&gt;$A$15)),
        IF(Import.TipoArredondamento&lt;&gt;"TransfereGOV",
              ROUND(OFFSET($P93,0,BI$13),15-13*ORÇAMENTO!$AF$7)/$H93*OFFSET(ORÇAMENTO!$X$15,ROW(BI93)-ROW(BI$15),0),
              ROUND(ROUND(OFFSET($P93,0,BI$13),15-13*ORÇAMENTO!$AF$7)*OFFSET(ORÇAMENTO!$W$15,ROW(BI93)-ROW(BI$15),0),15-13*ORÇAMENTO!$AF$11)),
         0)</f>
        <v>1343.01</v>
      </c>
      <c r="BJ93" s="352" t="n">
        <f aca="true">IF(AND($D93="Serviço",BJ$12&lt;&gt;0,$H93&gt;0,OR(AUTOEVENTO&lt;&gt;"manual",$M93&lt;&gt;$A$15)),
        IF(Import.TipoArredondamento&lt;&gt;"TransfereGOV",
              ROUND(OFFSET($P93,0,BJ$13),15-13*ORÇAMENTO!$AF$7)/$H93*OFFSET(ORÇAMENTO!$X$15,ROW(BJ93)-ROW(BJ$15),0),
              ROUND(ROUND(OFFSET($P93,0,BJ$13),15-13*ORÇAMENTO!$AF$7)*OFFSET(ORÇAMENTO!$W$15,ROW(BJ93)-ROW(BJ$15),0),15-13*ORÇAMENTO!$AF$11)),
         0)</f>
        <v>1343.01</v>
      </c>
      <c r="BK93" s="352" t="n">
        <f aca="true">IF(AND($D93="Serviço",BK$12&lt;&gt;0,$H93&gt;0,OR(AUTOEVENTO&lt;&gt;"manual",$M93&lt;&gt;$A$15)),
        IF(Import.TipoArredondamento&lt;&gt;"TransfereGOV",
              ROUND(OFFSET($P93,0,BK$13),15-13*ORÇAMENTO!$AF$7)/$H93*OFFSET(ORÇAMENTO!$X$15,ROW(BK93)-ROW(BK$15),0),
              ROUND(ROUND(OFFSET($P93,0,BK$13),15-13*ORÇAMENTO!$AF$7)*OFFSET(ORÇAMENTO!$W$15,ROW(BK93)-ROW(BK$15),0),15-13*ORÇAMENTO!$AF$11)),
         0)</f>
        <v>1343.01</v>
      </c>
      <c r="BL93" s="352" t="n">
        <f aca="true">IF(AND($D93="Serviço",BL$12&lt;&gt;0,$H93&gt;0,OR(AUTOEVENTO&lt;&gt;"manual",$M93&lt;&gt;$A$15)),
        IF(Import.TipoArredondamento&lt;&gt;"TransfereGOV",
              ROUND(OFFSET($P93,0,BL$13),15-13*ORÇAMENTO!$AF$7)/$H93*OFFSET(ORÇAMENTO!$X$15,ROW(BL93)-ROW(BL$15),0),
              ROUND(ROUND(OFFSET($P93,0,BL$13),15-13*ORÇAMENTO!$AF$7)*OFFSET(ORÇAMENTO!$W$15,ROW(BL93)-ROW(BL$15),0),15-13*ORÇAMENTO!$AF$11)),
         0)</f>
        <v>1343.01</v>
      </c>
      <c r="BM93" s="352" t="n">
        <f aca="true">IF(AND($D93="Serviço",BM$12&lt;&gt;0,$H93&gt;0,OR(AUTOEVENTO&lt;&gt;"manual",$M93&lt;&gt;$A$15)),
        IF(Import.TipoArredondamento&lt;&gt;"TransfereGOV",
              ROUND(OFFSET($P93,0,BM$13),15-13*ORÇAMENTO!$AF$7)/$H93*OFFSET(ORÇAMENTO!$X$15,ROW(BM93)-ROW(BM$15),0),
              ROUND(ROUND(OFFSET($P93,0,BM$13),15-13*ORÇAMENTO!$AF$7)*OFFSET(ORÇAMENTO!$W$15,ROW(BM93)-ROW(BM$15),0),15-13*ORÇAMENTO!$AF$11)),
         0)</f>
        <v>1343.01</v>
      </c>
      <c r="BN93" s="352" t="n">
        <f aca="true">IF(AND($D93="Serviço",BN$12&lt;&gt;0,$H93&gt;0,OR(AUTOEVENTO&lt;&gt;"manual",$M93&lt;&gt;$A$15)),
        IF(Import.TipoArredondamento&lt;&gt;"TransfereGOV",
              ROUND(OFFSET($P93,0,BN$13),15-13*ORÇAMENTO!$AF$7)/$H93*OFFSET(ORÇAMENTO!$X$15,ROW(BN93)-ROW(BN$15),0),
              ROUND(ROUND(OFFSET($P93,0,BN$13),15-13*ORÇAMENTO!$AF$7)*OFFSET(ORÇAMENTO!$W$15,ROW(BN93)-ROW(BN$15),0),15-13*ORÇAMENTO!$AF$11)),
         0)</f>
        <v>1343.01</v>
      </c>
      <c r="BO93" s="352" t="n">
        <f aca="true">IF(AND($D93="Serviço",BO$12&lt;&gt;0,$H93&gt;0,OR(AUTOEVENTO&lt;&gt;"manual",$M93&lt;&gt;$A$15)),
        IF(Import.TipoArredondamento&lt;&gt;"TransfereGOV",
              ROUND(OFFSET($P93,0,BO$13),15-13*ORÇAMENTO!$AF$7)/$H93*OFFSET(ORÇAMENTO!$X$15,ROW(BO93)-ROW(BO$15),0),
              ROUND(ROUND(OFFSET($P93,0,BO$13),15-13*ORÇAMENTO!$AF$7)*OFFSET(ORÇAMENTO!$W$15,ROW(BO93)-ROW(BO$15),0),15-13*ORÇAMENTO!$AF$11)),
         0)</f>
        <v>1343.01</v>
      </c>
      <c r="BP93" s="352" t="n">
        <f aca="true">IF(AND($D93="Serviço",BP$12&lt;&gt;0,$H93&gt;0,OR(AUTOEVENTO&lt;&gt;"manual",$M93&lt;&gt;$A$15)),
        IF(Import.TipoArredondamento&lt;&gt;"TransfereGOV",
              ROUND(OFFSET($P93,0,BP$13),15-13*ORÇAMENTO!$AF$7)/$H93*OFFSET(ORÇAMENTO!$X$15,ROW(BP93)-ROW(BP$15),0),
              ROUND(ROUND(OFFSET($P93,0,BP$13),15-13*ORÇAMENTO!$AF$7)*OFFSET(ORÇAMENTO!$W$15,ROW(BP93)-ROW(BP$15),0),15-13*ORÇAMENTO!$AF$11)),
         0)</f>
        <v>1343.01</v>
      </c>
      <c r="BQ93" s="352" t="n">
        <f aca="true">IF(AND($D93="Serviço",BQ$12&lt;&gt;0,$H93&gt;0,OR(AUTOEVENTO&lt;&gt;"manual",$M93&lt;&gt;$A$15)),
        IF(Import.TipoArredondamento&lt;&gt;"TransfereGOV",
              ROUND(OFFSET($P93,0,BQ$13),15-13*ORÇAMENTO!$AF$7)/$H93*OFFSET(ORÇAMENTO!$X$15,ROW(BQ93)-ROW(BQ$15),0),
              ROUND(ROUND(OFFSET($P93,0,BQ$13),15-13*ORÇAMENTO!$AF$7)*OFFSET(ORÇAMENTO!$W$15,ROW(BQ93)-ROW(BQ$15),0),15-13*ORÇAMENTO!$AF$11)),
         0)</f>
        <v>0</v>
      </c>
      <c r="BS93" s="353" t="n">
        <f aca="true">IF(OR($D93&lt;&gt;"Serviço",AND(AUTOEVENTO="Manual",$M93=$A$15)),0,
         IF(OFFSET(CRONOPLE!$F$15,$M93-$A$15,BS$13)=0,10^12,OFFSET(CRONOPLE!$F$15,$M93-$A$15,BS$13)))</f>
        <v>1</v>
      </c>
      <c r="BT93" s="353" t="n">
        <f aca="true">IF(OR($D93&lt;&gt;"Serviço",AND(AUTOEVENTO="Manual",$M93=$A$15)),0,
         IF(OFFSET(CRONOPLE!$F$15,$M93-$A$15,BT$13)=0,10^12,OFFSET(CRONOPLE!$F$15,$M93-$A$15,BT$13)))</f>
        <v>2</v>
      </c>
      <c r="BU93" s="353" t="n">
        <f aca="true">IF(OR($D93&lt;&gt;"Serviço",AND(AUTOEVENTO="Manual",$M93=$A$15)),0,
         IF(OFFSET(CRONOPLE!$F$15,$M93-$A$15,BU$13)=0,10^12,OFFSET(CRONOPLE!$F$15,$M93-$A$15,BU$13)))</f>
        <v>3</v>
      </c>
      <c r="BV93" s="353" t="n">
        <f aca="true">IF(OR($D93&lt;&gt;"Serviço",AND(AUTOEVENTO="Manual",$M93=$A$15)),0,
         IF(OFFSET(CRONOPLE!$F$15,$M93-$A$15,BV$13)=0,10^12,OFFSET(CRONOPLE!$F$15,$M93-$A$15,BV$13)))</f>
        <v>4</v>
      </c>
      <c r="BW93" s="353" t="n">
        <f aca="true">IF(OR($D93&lt;&gt;"Serviço",AND(AUTOEVENTO="Manual",$M93=$A$15)),0,
         IF(OFFSET(CRONOPLE!$F$15,$M93-$A$15,BW$13)=0,10^12,OFFSET(CRONOPLE!$F$15,$M93-$A$15,BW$13)))</f>
        <v>5</v>
      </c>
      <c r="BX93" s="353" t="n">
        <f aca="true">IF(OR($D93&lt;&gt;"Serviço",AND(AUTOEVENTO="Manual",$M93=$A$15)),0,
         IF(OFFSET(CRONOPLE!$F$15,$M93-$A$15,BX$13)=0,10^12,OFFSET(CRONOPLE!$F$15,$M93-$A$15,BX$13)))</f>
        <v>6</v>
      </c>
      <c r="BY93" s="353" t="n">
        <f aca="true">IF(OR($D93&lt;&gt;"Serviço",AND(AUTOEVENTO="Manual",$M93=$A$15)),0,
         IF(OFFSET(CRONOPLE!$F$15,$M93-$A$15,BY$13)=0,10^12,OFFSET(CRONOPLE!$F$15,$M93-$A$15,BY$13)))</f>
        <v>7</v>
      </c>
      <c r="BZ93" s="353" t="n">
        <f aca="true">IF(OR($D93&lt;&gt;"Serviço",AND(AUTOEVENTO="Manual",$M93=$A$15)),0,
         IF(OFFSET(CRONOPLE!$F$15,$M93-$A$15,BZ$13)=0,10^12,OFFSET(CRONOPLE!$F$15,$M93-$A$15,BZ$13)))</f>
        <v>8</v>
      </c>
      <c r="CA93" s="353" t="n">
        <f aca="true">IF(OR($D93&lt;&gt;"Serviço",AND(AUTOEVENTO="Manual",$M93=$A$15)),0,
         IF(OFFSET(CRONOPLE!$F$15,$M93-$A$15,CA$13)=0,10^12,OFFSET(CRONOPLE!$F$15,$M93-$A$15,CA$13)))</f>
        <v>9</v>
      </c>
      <c r="CB93" s="353" t="n">
        <f aca="true">IF(OR($D93&lt;&gt;"Serviço",AND(AUTOEVENTO="Manual",$M93=$A$15)),0,
         IF(OFFSET(CRONOPLE!$F$15,$M93-$A$15,CB$13)=0,10^12,OFFSET(CRONOPLE!$F$15,$M93-$A$15,CB$13)))</f>
        <v>10</v>
      </c>
      <c r="CC93" s="353" t="n">
        <f aca="true">IF(OR($D93&lt;&gt;"Serviço",AND(AUTOEVENTO="Manual",$M93=$A$15)),0,
         IF(OFFSET(CRONOPLE!$F$15,$M93-$A$15,CC$13)=0,10^12,OFFSET(CRONOPLE!$F$15,$M93-$A$15,CC$13)))</f>
        <v>11</v>
      </c>
      <c r="CD93" s="353" t="n">
        <f aca="true">IF(OR($D93&lt;&gt;"Serviço",AND(AUTOEVENTO="Manual",$M93=$A$15)),0,
         IF(OFFSET(CRONOPLE!$F$15,$M93-$A$15,CD$13)=0,10^12,OFFSET(CRONOPLE!$F$15,$M93-$A$15,CD$13)))</f>
        <v>12</v>
      </c>
      <c r="CE93" s="353" t="n">
        <f aca="true">IF(OR($D93&lt;&gt;"Serviço",AND(AUTOEVENTO="Manual",$M93=$A$15)),0,
         IF(OFFSET(CRONOPLE!$F$15,$M93-$A$15,CE$13)=0,10^12,OFFSET(CRONOPLE!$F$15,$M93-$A$15,CE$13)))</f>
        <v>13</v>
      </c>
      <c r="CF93" s="353" t="n">
        <f aca="true">IF(OR($D93&lt;&gt;"Serviço",AND(AUTOEVENTO="Manual",$M93=$A$15)),0,
         IF(OFFSET(CRONOPLE!$F$15,$M93-$A$15,CF$13)=0,10^12,OFFSET(CRONOPLE!$F$15,$M93-$A$15,CF$13)))</f>
        <v>14</v>
      </c>
      <c r="CG93" s="353" t="n">
        <f aca="true">IF(OR($D93&lt;&gt;"Serviço",AND(AUTOEVENTO="Manual",$M93=$A$15)),0,
         IF(OFFSET(CRONOPLE!$F$15,$M93-$A$15,CG$13)=0,10^12,OFFSET(CRONOPLE!$F$15,$M93-$A$15,CG$13)))</f>
        <v>15</v>
      </c>
      <c r="CH93" s="353" t="n">
        <f aca="true">IF(OR($D93&lt;&gt;"Serviço",AND(AUTOEVENTO="Manual",$M93=$A$15)),0,
         IF(OFFSET(CRONOPLE!$F$15,$M93-$A$15,CH$13)=0,10^12,OFFSET(CRONOPLE!$F$15,$M93-$A$15,CH$13)))</f>
        <v>16</v>
      </c>
      <c r="CI93" s="353" t="n">
        <f aca="true">IF(OR($D93&lt;&gt;"Serviço",AND(AUTOEVENTO="Manual",$M93=$A$15)),0,
         IF(OFFSET(CRONOPLE!$F$15,$M93-$A$15,CI$13)=0,10^12,OFFSET(CRONOPLE!$F$15,$M93-$A$15,CI$13)))</f>
        <v>17</v>
      </c>
      <c r="CJ93" s="353" t="n">
        <f aca="true">IF(OR($D93&lt;&gt;"Serviço",AND(AUTOEVENTO="Manual",$M93=$A$15)),0,
         IF(OFFSET(CRONOPLE!$F$15,$M93-$A$15,CJ$13)=0,10^12,OFFSET(CRONOPLE!$F$15,$M93-$A$15,CJ$13)))</f>
        <v>18</v>
      </c>
      <c r="CK93" s="353" t="n">
        <f aca="true">IF(OR($D93&lt;&gt;"Serviço",AND(AUTOEVENTO="Manual",$M93=$A$15)),0,
         IF(OFFSET(CRONOPLE!$F$15,$M93-$A$15,CK$13)=0,10^12,OFFSET(CRONOPLE!$F$15,$M93-$A$15,CK$13)))</f>
        <v>19</v>
      </c>
      <c r="CL93" s="353" t="n">
        <f aca="true">IF(OR($D93&lt;&gt;"Serviço",AND(AUTOEVENTO="Manual",$M93=$A$15)),0,
         IF(OFFSET(CRONOPLE!$F$15,$M93-$A$15,CL$13)=0,10^12,OFFSET(CRONOPLE!$F$15,$M93-$A$15,CL$13)))</f>
        <v>20</v>
      </c>
      <c r="CM93" s="353" t="n">
        <f aca="true">IF(OR($D93&lt;&gt;"Serviço",AND(AUTOEVENTO="Manual",$M93=$A$15)),0,
         IF(OFFSET(CRONOPLE!$F$15,$M93-$A$15,CM$13)=0,10^12,OFFSET(CRONOPLE!$F$15,$M93-$A$15,CM$13)))</f>
        <v>21</v>
      </c>
      <c r="CN93" s="353" t="n">
        <f aca="true">IF(OR($D93&lt;&gt;"Serviço",AND(AUTOEVENTO="Manual",$M93=$A$15)),0,
         IF(OFFSET(CRONOPLE!$F$15,$M93-$A$15,CN$13)=0,10^12,OFFSET(CRONOPLE!$F$15,$M93-$A$15,CN$13)))</f>
        <v>22</v>
      </c>
      <c r="CO93" s="353" t="n">
        <f aca="true">IF(OR($D93&lt;&gt;"Serviço",AND(AUTOEVENTO="Manual",$M93=$A$15)),0,
         IF(OFFSET(CRONOPLE!$F$15,$M93-$A$15,CO$13)=0,10^12,OFFSET(CRONOPLE!$F$15,$M93-$A$15,CO$13)))</f>
        <v>23</v>
      </c>
      <c r="CP93" s="353" t="n">
        <f aca="true">IF(OR($D93&lt;&gt;"Serviço",AND(AUTOEVENTO="Manual",$M93=$A$15)),0,
         IF(OFFSET(CRONOPLE!$F$15,$M93-$A$15,CP$13)=0,10^12,OFFSET(CRONOPLE!$F$15,$M93-$A$15,CP$13)))</f>
        <v>24</v>
      </c>
      <c r="CQ93" s="353" t="n">
        <f aca="true">IF(OR($D93&lt;&gt;"Serviço",AND(AUTOEVENTO="Manual",$M93=$A$15)),0,
         IF(OFFSET(CRONOPLE!$F$15,$M93-$A$15,CQ$13)=0,10^12,OFFSET(CRONOPLE!$F$15,$M93-$A$15,CQ$13)))</f>
        <v>25</v>
      </c>
      <c r="CR93" s="353" t="n">
        <f aca="true">IF(OR($D93&lt;&gt;"Serviço",AND(AUTOEVENTO="Manual",$M93=$A$15)),0,
         IF(OFFSET(CRONOPLE!$F$15,$M93-$A$15,CR$13)=0,10^12,OFFSET(CRONOPLE!$F$15,$M93-$A$15,CR$13)))</f>
        <v>1000000000000</v>
      </c>
      <c r="CT93" s="354" t="n">
        <f aca="true">IF(OR($D93&lt;&gt;"Serviço",AND(AUTOEVENTO="Manual",$M93=$A$15),$M93&gt;(ROW(PLE.lastrow)-ROW(PLE.firstrow))),0,
           IF(OFFSET(PLE!$G$15,$M93-$A$15,CT$13)="",10^12,OFFSET(PLE!$G$15,$M93-$A$15,CT$13)))</f>
        <v>1000000000000</v>
      </c>
      <c r="CU93" s="354" t="n">
        <f aca="true">IF(OR($D93&lt;&gt;"Serviço",AND(AUTOEVENTO="Manual",$M93=$A$15),$M93&gt;(ROW(PLE.lastrow)-ROW(PLE.firstrow))),0,
           IF(OFFSET(PLE!$G$15,$M93-$A$15,CU$13)="",10^12,OFFSET(PLE!$G$15,$M93-$A$15,CU$13)))</f>
        <v>1000000000000</v>
      </c>
      <c r="CV93" s="354" t="n">
        <f aca="true">IF(OR($D93&lt;&gt;"Serviço",AND(AUTOEVENTO="Manual",$M93=$A$15),$M93&gt;(ROW(PLE.lastrow)-ROW(PLE.firstrow))),0,
           IF(OFFSET(PLE!$G$15,$M93-$A$15,CV$13)="",10^12,OFFSET(PLE!$G$15,$M93-$A$15,CV$13)))</f>
        <v>1000000000000</v>
      </c>
      <c r="CW93" s="354" t="n">
        <f aca="true">IF(OR($D93&lt;&gt;"Serviço",AND(AUTOEVENTO="Manual",$M93=$A$15),$M93&gt;(ROW(PLE.lastrow)-ROW(PLE.firstrow))),0,
           IF(OFFSET(PLE!$G$15,$M93-$A$15,CW$13)="",10^12,OFFSET(PLE!$G$15,$M93-$A$15,CW$13)))</f>
        <v>1000000000000</v>
      </c>
      <c r="CX93" s="354" t="n">
        <f aca="true">IF(OR($D93&lt;&gt;"Serviço",AND(AUTOEVENTO="Manual",$M93=$A$15),$M93&gt;(ROW(PLE.lastrow)-ROW(PLE.firstrow))),0,
           IF(OFFSET(PLE!$G$15,$M93-$A$15,CX$13)="",10^12,OFFSET(PLE!$G$15,$M93-$A$15,CX$13)))</f>
        <v>1000000000000</v>
      </c>
      <c r="CY93" s="354" t="n">
        <f aca="true">IF(OR($D93&lt;&gt;"Serviço",AND(AUTOEVENTO="Manual",$M93=$A$15),$M93&gt;(ROW(PLE.lastrow)-ROW(PLE.firstrow))),0,
           IF(OFFSET(PLE!$G$15,$M93-$A$15,CY$13)="",10^12,OFFSET(PLE!$G$15,$M93-$A$15,CY$13)))</f>
        <v>1000000000000</v>
      </c>
      <c r="CZ93" s="354" t="n">
        <f aca="true">IF(OR($D93&lt;&gt;"Serviço",AND(AUTOEVENTO="Manual",$M93=$A$15),$M93&gt;(ROW(PLE.lastrow)-ROW(PLE.firstrow))),0,
           IF(OFFSET(PLE!$G$15,$M93-$A$15,CZ$13)="",10^12,OFFSET(PLE!$G$15,$M93-$A$15,CZ$13)))</f>
        <v>1000000000000</v>
      </c>
      <c r="DA93" s="354" t="n">
        <f aca="true">IF(OR($D93&lt;&gt;"Serviço",AND(AUTOEVENTO="Manual",$M93=$A$15),$M93&gt;(ROW(PLE.lastrow)-ROW(PLE.firstrow))),0,
           IF(OFFSET(PLE!$G$15,$M93-$A$15,DA$13)="",10^12,OFFSET(PLE!$G$15,$M93-$A$15,DA$13)))</f>
        <v>1000000000000</v>
      </c>
      <c r="DB93" s="354" t="n">
        <f aca="true">IF(OR($D93&lt;&gt;"Serviço",AND(AUTOEVENTO="Manual",$M93=$A$15),$M93&gt;(ROW(PLE.lastrow)-ROW(PLE.firstrow))),0,
           IF(OFFSET(PLE!$G$15,$M93-$A$15,DB$13)="",10^12,OFFSET(PLE!$G$15,$M93-$A$15,DB$13)))</f>
        <v>1000000000000</v>
      </c>
      <c r="DC93" s="354" t="n">
        <f aca="true">IF(OR($D93&lt;&gt;"Serviço",AND(AUTOEVENTO="Manual",$M93=$A$15),$M93&gt;(ROW(PLE.lastrow)-ROW(PLE.firstrow))),0,
           IF(OFFSET(PLE!$G$15,$M93-$A$15,DC$13)="",10^12,OFFSET(PLE!$G$15,$M93-$A$15,DC$13)))</f>
        <v>1000000000000</v>
      </c>
      <c r="DD93" s="354" t="n">
        <f aca="true">IF(OR($D93&lt;&gt;"Serviço",AND(AUTOEVENTO="Manual",$M93=$A$15),$M93&gt;(ROW(PLE.lastrow)-ROW(PLE.firstrow))),0,
           IF(OFFSET(PLE!$G$15,$M93-$A$15,DD$13)="",10^12,OFFSET(PLE!$G$15,$M93-$A$15,DD$13)))</f>
        <v>1000000000000</v>
      </c>
      <c r="DE93" s="354" t="n">
        <f aca="true">IF(OR($D93&lt;&gt;"Serviço",AND(AUTOEVENTO="Manual",$M93=$A$15),$M93&gt;(ROW(PLE.lastrow)-ROW(PLE.firstrow))),0,
           IF(OFFSET(PLE!$G$15,$M93-$A$15,DE$13)="",10^12,OFFSET(PLE!$G$15,$M93-$A$15,DE$13)))</f>
        <v>1000000000000</v>
      </c>
      <c r="DF93" s="354" t="n">
        <f aca="true">IF(OR($D93&lt;&gt;"Serviço",AND(AUTOEVENTO="Manual",$M93=$A$15),$M93&gt;(ROW(PLE.lastrow)-ROW(PLE.firstrow))),0,
           IF(OFFSET(PLE!$G$15,$M93-$A$15,DF$13)="",10^12,OFFSET(PLE!$G$15,$M93-$A$15,DF$13)))</f>
        <v>1000000000000</v>
      </c>
      <c r="DG93" s="354" t="n">
        <f aca="true">IF(OR($D93&lt;&gt;"Serviço",AND(AUTOEVENTO="Manual",$M93=$A$15),$M93&gt;(ROW(PLE.lastrow)-ROW(PLE.firstrow))),0,
           IF(OFFSET(PLE!$G$15,$M93-$A$15,DG$13)="",10^12,OFFSET(PLE!$G$15,$M93-$A$15,DG$13)))</f>
        <v>1000000000000</v>
      </c>
      <c r="DH93" s="354" t="n">
        <f aca="true">IF(OR($D93&lt;&gt;"Serviço",AND(AUTOEVENTO="Manual",$M93=$A$15),$M93&gt;(ROW(PLE.lastrow)-ROW(PLE.firstrow))),0,
           IF(OFFSET(PLE!$G$15,$M93-$A$15,DH$13)="",10^12,OFFSET(PLE!$G$15,$M93-$A$15,DH$13)))</f>
        <v>1000000000000</v>
      </c>
      <c r="DI93" s="354" t="n">
        <f aca="true">IF(OR($D93&lt;&gt;"Serviço",AND(AUTOEVENTO="Manual",$M93=$A$15),$M93&gt;(ROW(PLE.lastrow)-ROW(PLE.firstrow))),0,
           IF(OFFSET(PLE!$G$15,$M93-$A$15,DI$13)="",10^12,OFFSET(PLE!$G$15,$M93-$A$15,DI$13)))</f>
        <v>1000000000000</v>
      </c>
      <c r="DJ93" s="354" t="n">
        <f aca="true">IF(OR($D93&lt;&gt;"Serviço",AND(AUTOEVENTO="Manual",$M93=$A$15),$M93&gt;(ROW(PLE.lastrow)-ROW(PLE.firstrow))),0,
           IF(OFFSET(PLE!$G$15,$M93-$A$15,DJ$13)="",10^12,OFFSET(PLE!$G$15,$M93-$A$15,DJ$13)))</f>
        <v>1000000000000</v>
      </c>
      <c r="DK93" s="354" t="n">
        <f aca="true">IF(OR($D93&lt;&gt;"Serviço",AND(AUTOEVENTO="Manual",$M93=$A$15),$M93&gt;(ROW(PLE.lastrow)-ROW(PLE.firstrow))),0,
           IF(OFFSET(PLE!$G$15,$M93-$A$15,DK$13)="",10^12,OFFSET(PLE!$G$15,$M93-$A$15,DK$13)))</f>
        <v>1000000000000</v>
      </c>
      <c r="DL93" s="354" t="n">
        <f aca="true">IF(OR($D93&lt;&gt;"Serviço",AND(AUTOEVENTO="Manual",$M93=$A$15),$M93&gt;(ROW(PLE.lastrow)-ROW(PLE.firstrow))),0,
           IF(OFFSET(PLE!$G$15,$M93-$A$15,DL$13)="",10^12,OFFSET(PLE!$G$15,$M93-$A$15,DL$13)))</f>
        <v>1000000000000</v>
      </c>
      <c r="DM93" s="354" t="n">
        <f aca="true">IF(OR($D93&lt;&gt;"Serviço",AND(AUTOEVENTO="Manual",$M93=$A$15),$M93&gt;(ROW(PLE.lastrow)-ROW(PLE.firstrow))),0,
           IF(OFFSET(PLE!$G$15,$M93-$A$15,DM$13)="",10^12,OFFSET(PLE!$G$15,$M93-$A$15,DM$13)))</f>
        <v>1000000000000</v>
      </c>
      <c r="DN93" s="354" t="n">
        <f aca="true">IF(OR($D93&lt;&gt;"Serviço",AND(AUTOEVENTO="Manual",$M93=$A$15),$M93&gt;(ROW(PLE.lastrow)-ROW(PLE.firstrow))),0,
           IF(OFFSET(PLE!$G$15,$M93-$A$15,DN$13)="",10^12,OFFSET(PLE!$G$15,$M93-$A$15,DN$13)))</f>
        <v>1000000000000</v>
      </c>
      <c r="DO93" s="354" t="n">
        <f aca="true">IF(OR($D93&lt;&gt;"Serviço",AND(AUTOEVENTO="Manual",$M93=$A$15),$M93&gt;(ROW(PLE.lastrow)-ROW(PLE.firstrow))),0,
           IF(OFFSET(PLE!$G$15,$M93-$A$15,DO$13)="",10^12,OFFSET(PLE!$G$15,$M93-$A$15,DO$13)))</f>
        <v>1000000000000</v>
      </c>
      <c r="DP93" s="354" t="n">
        <f aca="true">IF(OR($D93&lt;&gt;"Serviço",AND(AUTOEVENTO="Manual",$M93=$A$15),$M93&gt;(ROW(PLE.lastrow)-ROW(PLE.firstrow))),0,
           IF(OFFSET(PLE!$G$15,$M93-$A$15,DP$13)="",10^12,OFFSET(PLE!$G$15,$M93-$A$15,DP$13)))</f>
        <v>1000000000000</v>
      </c>
      <c r="DQ93" s="354" t="n">
        <f aca="true">IF(OR($D93&lt;&gt;"Serviço",AND(AUTOEVENTO="Manual",$M93=$A$15),$M93&gt;(ROW(PLE.lastrow)-ROW(PLE.firstrow))),0,
           IF(OFFSET(PLE!$G$15,$M93-$A$15,DQ$13)="",10^12,OFFSET(PLE!$G$15,$M93-$A$15,DQ$13)))</f>
        <v>1000000000000</v>
      </c>
      <c r="DR93" s="354" t="n">
        <f aca="true">IF(OR($D93&lt;&gt;"Serviço",AND(AUTOEVENTO="Manual",$M93=$A$15),$M93&gt;(ROW(PLE.lastrow)-ROW(PLE.firstrow))),0,
           IF(OFFSET(PLE!$G$15,$M93-$A$15,DR$13)="",10^12,OFFSET(PLE!$G$15,$M93-$A$15,DR$13)))</f>
        <v>1000000000000</v>
      </c>
      <c r="DS93" s="354" t="n">
        <f aca="true">IF(OR($D93&lt;&gt;"Serviço",AND(AUTOEVENTO="Manual",$M93=$A$15),$M93&gt;(ROW(PLE.lastrow)-ROW(PLE.firstrow))),0,
           IF(OFFSET(PLE!$G$15,$M93-$A$15,DS$13)="",10^12,OFFSET(PLE!$G$15,$M93-$A$15,DS$13)))</f>
        <v>1000000000000</v>
      </c>
    </row>
    <row r="94" customFormat="false" ht="12.75" hidden="false" customHeight="false" outlineLevel="0" collapsed="false">
      <c r="A94" s="50" t="str">
        <f aca="true">IFERROR(IF(AUTOEVENTO="Manual",IF(K94&lt;&gt;"",MIN(VALUE(LEFT(K94,FIND(".",K94)-1)),COUNTA(EVENTOS.Lista)),0),IF(OR($B94&gt;AUTOEVENTO,$B94="S",$B94=0),SUBSTITUTE(OFFSET($A94,-1,0),IF($D94="Serviço",".",""),""),ROW(A94)-ROW($A$15)&amp;".")),0)</f>
        <v>79.</v>
      </c>
      <c r="B94" s="50" t="n">
        <f aca="true">OFFSET(ORÇAMENTO!C$15,ROW(B94)-ROW(B$15),0)</f>
        <v>2</v>
      </c>
      <c r="C94" s="50" t="str">
        <f aca="true">OFFSET(ORÇAMENTO!L$15,ROW(C94)-ROW(C$15),0)</f>
        <v>F</v>
      </c>
      <c r="D94" s="201" t="str">
        <f aca="true">OFFSET(ORÇAMENTO!N$15,ROW(D94)-ROW(D$15),0)</f>
        <v>Nível 2</v>
      </c>
      <c r="E94" s="202" t="str">
        <f aca="true">OFFSET(ORÇAMENTO!O$15,ROW(E94)-ROW(E$15),0)</f>
        <v>1.24.</v>
      </c>
      <c r="F94" s="341" t="str">
        <f aca="true">OFFSET(ORÇAMENTO!R$15,ROW(F94)-ROW(F$15),0)</f>
        <v>PINTURAS EXTERNAS</v>
      </c>
      <c r="G94" s="342" t="str">
        <f aca="true">IF($D94&lt;&gt;"Serviço","",OFFSET(ORÇAMENTO!S$15,ROW(G94)-ROW(G$15),0))</f>
        <v/>
      </c>
      <c r="H94" s="207" t="n">
        <f aca="true">IF($D94&lt;&gt;"Serviço",0,IF(ACOMPANHAMENTO="BM",ROUND(OFFSET(ORÇAMENTO!AJ$15,ROW(H94)-ROW(H$15),0),15-13*ORÇAMENTO!$AF$7),SUMPRODUCT(($Q$1:$AQ$1=1)*ROUND($Q94:$AQ94,15-13*ORÇAMENTO!$AF$7))))</f>
        <v>0</v>
      </c>
      <c r="I94" s="343"/>
      <c r="J94" s="344" t="str">
        <f aca="false">IF(OR(B94&lt;&gt;"S",CÁLCULO.FrentesPreenchidas=0),"",IF(AND(ACOMPANHAMENTO="PLE",AUTOEVENTO="Manual",OR(H94&gt;0,ORÇAMENTO!AC94="QUANT."),OR(K94="",M94=0,N94="")),"►",IF(AND(ACOMPANHAMENTO="PLE",ORÇAMENTO!AC94="QUANT."),"►►",IF(AND(COUNTIF($P$11:$AQ$11,"▼")=0,H94&gt;0,I94=""),"◄",""))))</f>
        <v/>
      </c>
      <c r="K94" s="345"/>
      <c r="L94" s="346" t="s">
        <v>876</v>
      </c>
      <c r="M94" s="347" t="str">
        <f aca="true">IF($D94&lt;&gt;"Serviço","",
          IF(AUTOEVENTO="manual",$A94,
                IF(ISERROR(MATCH($A94,$A$15:OFFSET($A94,-1,0),0)),MAX($M$15:OFFSET(M94,-1,0))+1,
                      INDEX($M$15:OFFSET(M94,-1,0),MATCH($A94,$A$15:OFFSET($A94,-1,0),0)))))</f>
        <v/>
      </c>
      <c r="N94" s="348" t="str">
        <f aca="true">IF($D94&lt;&gt;"Serviço","",
         IF(AUTOEVENTO="Manual",
                IF($A94=0,"&lt;-- defina o número do agrupador",
                       OFFSET(EVENTOS!$D$15,$A94-$A$15,0)),
                OFFSET($F$15,$A94,0)))</f>
        <v/>
      </c>
      <c r="O94" s="349"/>
      <c r="Q94" s="349" t="n">
        <v>10</v>
      </c>
      <c r="R94" s="350" t="n">
        <v>10</v>
      </c>
      <c r="S94" s="350" t="n">
        <v>10</v>
      </c>
      <c r="T94" s="350" t="n">
        <v>10</v>
      </c>
      <c r="U94" s="350" t="n">
        <v>10</v>
      </c>
      <c r="V94" s="350" t="n">
        <v>10</v>
      </c>
      <c r="W94" s="350" t="n">
        <v>10</v>
      </c>
      <c r="X94" s="350" t="n">
        <v>10</v>
      </c>
      <c r="Y94" s="350" t="n">
        <v>10</v>
      </c>
      <c r="Z94" s="351" t="n">
        <v>10</v>
      </c>
      <c r="AA94" s="350" t="n">
        <v>10</v>
      </c>
      <c r="AB94" s="350" t="n">
        <v>10</v>
      </c>
      <c r="AC94" s="350" t="n">
        <v>10</v>
      </c>
      <c r="AD94" s="350" t="n">
        <v>10</v>
      </c>
      <c r="AE94" s="350" t="n">
        <v>10</v>
      </c>
      <c r="AF94" s="350" t="n">
        <v>10</v>
      </c>
      <c r="AG94" s="350" t="n">
        <v>10</v>
      </c>
      <c r="AH94" s="351" t="n">
        <v>10</v>
      </c>
      <c r="AI94" s="350" t="n">
        <v>10</v>
      </c>
      <c r="AJ94" s="350" t="n">
        <v>10</v>
      </c>
      <c r="AK94" s="350" t="n">
        <v>10</v>
      </c>
      <c r="AL94" s="350" t="n">
        <v>10</v>
      </c>
      <c r="AM94" s="350" t="n">
        <v>10</v>
      </c>
      <c r="AN94" s="350" t="n">
        <v>10</v>
      </c>
      <c r="AO94" s="350" t="n">
        <v>10</v>
      </c>
      <c r="AP94" s="351"/>
      <c r="AR94" s="352" t="n">
        <f aca="true">IF(AND($D94="Serviço",AR$12&lt;&gt;0,$H94&gt;0,OR(AUTOEVENTO&lt;&gt;"manual",$M94&lt;&gt;$A$15)),
        IF(Import.TipoArredondamento&lt;&gt;"TransfereGOV",
              ROUND(OFFSET($P94,0,AR$13),15-13*ORÇAMENTO!$AF$7)/$H94*OFFSET(ORÇAMENTO!$X$15,ROW(AR94)-ROW(AR$15),0),
              ROUND(ROUND(OFFSET($P94,0,AR$13),15-13*ORÇAMENTO!$AF$7)*OFFSET(ORÇAMENTO!$W$15,ROW(AR94)-ROW(AR$15),0),15-13*ORÇAMENTO!$AF$11)),
         0)</f>
        <v>0</v>
      </c>
      <c r="AS94" s="352" t="n">
        <f aca="true">IF(AND($D94="Serviço",AS$12&lt;&gt;0,$H94&gt;0,OR(AUTOEVENTO&lt;&gt;"manual",$M94&lt;&gt;$A$15)),
        IF(Import.TipoArredondamento&lt;&gt;"TransfereGOV",
              ROUND(OFFSET($P94,0,AS$13),15-13*ORÇAMENTO!$AF$7)/$H94*OFFSET(ORÇAMENTO!$X$15,ROW(AS94)-ROW(AS$15),0),
              ROUND(ROUND(OFFSET($P94,0,AS$13),15-13*ORÇAMENTO!$AF$7)*OFFSET(ORÇAMENTO!$W$15,ROW(AS94)-ROW(AS$15),0),15-13*ORÇAMENTO!$AF$11)),
         0)</f>
        <v>0</v>
      </c>
      <c r="AT94" s="352" t="n">
        <f aca="true">IF(AND($D94="Serviço",AT$12&lt;&gt;0,$H94&gt;0,OR(AUTOEVENTO&lt;&gt;"manual",$M94&lt;&gt;$A$15)),
        IF(Import.TipoArredondamento&lt;&gt;"TransfereGOV",
              ROUND(OFFSET($P94,0,AT$13),15-13*ORÇAMENTO!$AF$7)/$H94*OFFSET(ORÇAMENTO!$X$15,ROW(AT94)-ROW(AT$15),0),
              ROUND(ROUND(OFFSET($P94,0,AT$13),15-13*ORÇAMENTO!$AF$7)*OFFSET(ORÇAMENTO!$W$15,ROW(AT94)-ROW(AT$15),0),15-13*ORÇAMENTO!$AF$11)),
         0)</f>
        <v>0</v>
      </c>
      <c r="AU94" s="352" t="n">
        <f aca="true">IF(AND($D94="Serviço",AU$12&lt;&gt;0,$H94&gt;0,OR(AUTOEVENTO&lt;&gt;"manual",$M94&lt;&gt;$A$15)),
        IF(Import.TipoArredondamento&lt;&gt;"TransfereGOV",
              ROUND(OFFSET($P94,0,AU$13),15-13*ORÇAMENTO!$AF$7)/$H94*OFFSET(ORÇAMENTO!$X$15,ROW(AU94)-ROW(AU$15),0),
              ROUND(ROUND(OFFSET($P94,0,AU$13),15-13*ORÇAMENTO!$AF$7)*OFFSET(ORÇAMENTO!$W$15,ROW(AU94)-ROW(AU$15),0),15-13*ORÇAMENTO!$AF$11)),
         0)</f>
        <v>0</v>
      </c>
      <c r="AV94" s="352" t="n">
        <f aca="true">IF(AND($D94="Serviço",AV$12&lt;&gt;0,$H94&gt;0,OR(AUTOEVENTO&lt;&gt;"manual",$M94&lt;&gt;$A$15)),
        IF(Import.TipoArredondamento&lt;&gt;"TransfereGOV",
              ROUND(OFFSET($P94,0,AV$13),15-13*ORÇAMENTO!$AF$7)/$H94*OFFSET(ORÇAMENTO!$X$15,ROW(AV94)-ROW(AV$15),0),
              ROUND(ROUND(OFFSET($P94,0,AV$13),15-13*ORÇAMENTO!$AF$7)*OFFSET(ORÇAMENTO!$W$15,ROW(AV94)-ROW(AV$15),0),15-13*ORÇAMENTO!$AF$11)),
         0)</f>
        <v>0</v>
      </c>
      <c r="AW94" s="352" t="n">
        <f aca="true">IF(AND($D94="Serviço",AW$12&lt;&gt;0,$H94&gt;0,OR(AUTOEVENTO&lt;&gt;"manual",$M94&lt;&gt;$A$15)),
        IF(Import.TipoArredondamento&lt;&gt;"TransfereGOV",
              ROUND(OFFSET($P94,0,AW$13),15-13*ORÇAMENTO!$AF$7)/$H94*OFFSET(ORÇAMENTO!$X$15,ROW(AW94)-ROW(AW$15),0),
              ROUND(ROUND(OFFSET($P94,0,AW$13),15-13*ORÇAMENTO!$AF$7)*OFFSET(ORÇAMENTO!$W$15,ROW(AW94)-ROW(AW$15),0),15-13*ORÇAMENTO!$AF$11)),
         0)</f>
        <v>0</v>
      </c>
      <c r="AX94" s="352" t="n">
        <f aca="true">IF(AND($D94="Serviço",AX$12&lt;&gt;0,$H94&gt;0,OR(AUTOEVENTO&lt;&gt;"manual",$M94&lt;&gt;$A$15)),
        IF(Import.TipoArredondamento&lt;&gt;"TransfereGOV",
              ROUND(OFFSET($P94,0,AX$13),15-13*ORÇAMENTO!$AF$7)/$H94*OFFSET(ORÇAMENTO!$X$15,ROW(AX94)-ROW(AX$15),0),
              ROUND(ROUND(OFFSET($P94,0,AX$13),15-13*ORÇAMENTO!$AF$7)*OFFSET(ORÇAMENTO!$W$15,ROW(AX94)-ROW(AX$15),0),15-13*ORÇAMENTO!$AF$11)),
         0)</f>
        <v>0</v>
      </c>
      <c r="AY94" s="352" t="n">
        <f aca="true">IF(AND($D94="Serviço",AY$12&lt;&gt;0,$H94&gt;0,OR(AUTOEVENTO&lt;&gt;"manual",$M94&lt;&gt;$A$15)),
        IF(Import.TipoArredondamento&lt;&gt;"TransfereGOV",
              ROUND(OFFSET($P94,0,AY$13),15-13*ORÇAMENTO!$AF$7)/$H94*OFFSET(ORÇAMENTO!$X$15,ROW(AY94)-ROW(AY$15),0),
              ROUND(ROUND(OFFSET($P94,0,AY$13),15-13*ORÇAMENTO!$AF$7)*OFFSET(ORÇAMENTO!$W$15,ROW(AY94)-ROW(AY$15),0),15-13*ORÇAMENTO!$AF$11)),
         0)</f>
        <v>0</v>
      </c>
      <c r="AZ94" s="352" t="n">
        <f aca="true">IF(AND($D94="Serviço",AZ$12&lt;&gt;0,$H94&gt;0,OR(AUTOEVENTO&lt;&gt;"manual",$M94&lt;&gt;$A$15)),
        IF(Import.TipoArredondamento&lt;&gt;"TransfereGOV",
              ROUND(OFFSET($P94,0,AZ$13),15-13*ORÇAMENTO!$AF$7)/$H94*OFFSET(ORÇAMENTO!$X$15,ROW(AZ94)-ROW(AZ$15),0),
              ROUND(ROUND(OFFSET($P94,0,AZ$13),15-13*ORÇAMENTO!$AF$7)*OFFSET(ORÇAMENTO!$W$15,ROW(AZ94)-ROW(AZ$15),0),15-13*ORÇAMENTO!$AF$11)),
         0)</f>
        <v>0</v>
      </c>
      <c r="BA94" s="352" t="n">
        <f aca="true">IF(AND($D94="Serviço",BA$12&lt;&gt;0,$H94&gt;0,OR(AUTOEVENTO&lt;&gt;"manual",$M94&lt;&gt;$A$15)),
        IF(Import.TipoArredondamento&lt;&gt;"TransfereGOV",
              ROUND(OFFSET($P94,0,BA$13),15-13*ORÇAMENTO!$AF$7)/$H94*OFFSET(ORÇAMENTO!$X$15,ROW(BA94)-ROW(BA$15),0),
              ROUND(ROUND(OFFSET($P94,0,BA$13),15-13*ORÇAMENTO!$AF$7)*OFFSET(ORÇAMENTO!$W$15,ROW(BA94)-ROW(BA$15),0),15-13*ORÇAMENTO!$AF$11)),
         0)</f>
        <v>0</v>
      </c>
      <c r="BB94" s="352" t="n">
        <f aca="true">IF(AND($D94="Serviço",BB$12&lt;&gt;0,$H94&gt;0,OR(AUTOEVENTO&lt;&gt;"manual",$M94&lt;&gt;$A$15)),
        IF(Import.TipoArredondamento&lt;&gt;"TransfereGOV",
              ROUND(OFFSET($P94,0,BB$13),15-13*ORÇAMENTO!$AF$7)/$H94*OFFSET(ORÇAMENTO!$X$15,ROW(BB94)-ROW(BB$15),0),
              ROUND(ROUND(OFFSET($P94,0,BB$13),15-13*ORÇAMENTO!$AF$7)*OFFSET(ORÇAMENTO!$W$15,ROW(BB94)-ROW(BB$15),0),15-13*ORÇAMENTO!$AF$11)),
         0)</f>
        <v>0</v>
      </c>
      <c r="BC94" s="352" t="n">
        <f aca="true">IF(AND($D94="Serviço",BC$12&lt;&gt;0,$H94&gt;0,OR(AUTOEVENTO&lt;&gt;"manual",$M94&lt;&gt;$A$15)),
        IF(Import.TipoArredondamento&lt;&gt;"TransfereGOV",
              ROUND(OFFSET($P94,0,BC$13),15-13*ORÇAMENTO!$AF$7)/$H94*OFFSET(ORÇAMENTO!$X$15,ROW(BC94)-ROW(BC$15),0),
              ROUND(ROUND(OFFSET($P94,0,BC$13),15-13*ORÇAMENTO!$AF$7)*OFFSET(ORÇAMENTO!$W$15,ROW(BC94)-ROW(BC$15),0),15-13*ORÇAMENTO!$AF$11)),
         0)</f>
        <v>0</v>
      </c>
      <c r="BD94" s="352" t="n">
        <f aca="true">IF(AND($D94="Serviço",BD$12&lt;&gt;0,$H94&gt;0,OR(AUTOEVENTO&lt;&gt;"manual",$M94&lt;&gt;$A$15)),
        IF(Import.TipoArredondamento&lt;&gt;"TransfereGOV",
              ROUND(OFFSET($P94,0,BD$13),15-13*ORÇAMENTO!$AF$7)/$H94*OFFSET(ORÇAMENTO!$X$15,ROW(BD94)-ROW(BD$15),0),
              ROUND(ROUND(OFFSET($P94,0,BD$13),15-13*ORÇAMENTO!$AF$7)*OFFSET(ORÇAMENTO!$W$15,ROW(BD94)-ROW(BD$15),0),15-13*ORÇAMENTO!$AF$11)),
         0)</f>
        <v>0</v>
      </c>
      <c r="BE94" s="352" t="n">
        <f aca="true">IF(AND($D94="Serviço",BE$12&lt;&gt;0,$H94&gt;0,OR(AUTOEVENTO&lt;&gt;"manual",$M94&lt;&gt;$A$15)),
        IF(Import.TipoArredondamento&lt;&gt;"TransfereGOV",
              ROUND(OFFSET($P94,0,BE$13),15-13*ORÇAMENTO!$AF$7)/$H94*OFFSET(ORÇAMENTO!$X$15,ROW(BE94)-ROW(BE$15),0),
              ROUND(ROUND(OFFSET($P94,0,BE$13),15-13*ORÇAMENTO!$AF$7)*OFFSET(ORÇAMENTO!$W$15,ROW(BE94)-ROW(BE$15),0),15-13*ORÇAMENTO!$AF$11)),
         0)</f>
        <v>0</v>
      </c>
      <c r="BF94" s="352" t="n">
        <f aca="true">IF(AND($D94="Serviço",BF$12&lt;&gt;0,$H94&gt;0,OR(AUTOEVENTO&lt;&gt;"manual",$M94&lt;&gt;$A$15)),
        IF(Import.TipoArredondamento&lt;&gt;"TransfereGOV",
              ROUND(OFFSET($P94,0,BF$13),15-13*ORÇAMENTO!$AF$7)/$H94*OFFSET(ORÇAMENTO!$X$15,ROW(BF94)-ROW(BF$15),0),
              ROUND(ROUND(OFFSET($P94,0,BF$13),15-13*ORÇAMENTO!$AF$7)*OFFSET(ORÇAMENTO!$W$15,ROW(BF94)-ROW(BF$15),0),15-13*ORÇAMENTO!$AF$11)),
         0)</f>
        <v>0</v>
      </c>
      <c r="BG94" s="352" t="n">
        <f aca="true">IF(AND($D94="Serviço",BG$12&lt;&gt;0,$H94&gt;0,OR(AUTOEVENTO&lt;&gt;"manual",$M94&lt;&gt;$A$15)),
        IF(Import.TipoArredondamento&lt;&gt;"TransfereGOV",
              ROUND(OFFSET($P94,0,BG$13),15-13*ORÇAMENTO!$AF$7)/$H94*OFFSET(ORÇAMENTO!$X$15,ROW(BG94)-ROW(BG$15),0),
              ROUND(ROUND(OFFSET($P94,0,BG$13),15-13*ORÇAMENTO!$AF$7)*OFFSET(ORÇAMENTO!$W$15,ROW(BG94)-ROW(BG$15),0),15-13*ORÇAMENTO!$AF$11)),
         0)</f>
        <v>0</v>
      </c>
      <c r="BH94" s="352" t="n">
        <f aca="true">IF(AND($D94="Serviço",BH$12&lt;&gt;0,$H94&gt;0,OR(AUTOEVENTO&lt;&gt;"manual",$M94&lt;&gt;$A$15)),
        IF(Import.TipoArredondamento&lt;&gt;"TransfereGOV",
              ROUND(OFFSET($P94,0,BH$13),15-13*ORÇAMENTO!$AF$7)/$H94*OFFSET(ORÇAMENTO!$X$15,ROW(BH94)-ROW(BH$15),0),
              ROUND(ROUND(OFFSET($P94,0,BH$13),15-13*ORÇAMENTO!$AF$7)*OFFSET(ORÇAMENTO!$W$15,ROW(BH94)-ROW(BH$15),0),15-13*ORÇAMENTO!$AF$11)),
         0)</f>
        <v>0</v>
      </c>
      <c r="BI94" s="352" t="n">
        <f aca="true">IF(AND($D94="Serviço",BI$12&lt;&gt;0,$H94&gt;0,OR(AUTOEVENTO&lt;&gt;"manual",$M94&lt;&gt;$A$15)),
        IF(Import.TipoArredondamento&lt;&gt;"TransfereGOV",
              ROUND(OFFSET($P94,0,BI$13),15-13*ORÇAMENTO!$AF$7)/$H94*OFFSET(ORÇAMENTO!$X$15,ROW(BI94)-ROW(BI$15),0),
              ROUND(ROUND(OFFSET($P94,0,BI$13),15-13*ORÇAMENTO!$AF$7)*OFFSET(ORÇAMENTO!$W$15,ROW(BI94)-ROW(BI$15),0),15-13*ORÇAMENTO!$AF$11)),
         0)</f>
        <v>0</v>
      </c>
      <c r="BJ94" s="352" t="n">
        <f aca="true">IF(AND($D94="Serviço",BJ$12&lt;&gt;0,$H94&gt;0,OR(AUTOEVENTO&lt;&gt;"manual",$M94&lt;&gt;$A$15)),
        IF(Import.TipoArredondamento&lt;&gt;"TransfereGOV",
              ROUND(OFFSET($P94,0,BJ$13),15-13*ORÇAMENTO!$AF$7)/$H94*OFFSET(ORÇAMENTO!$X$15,ROW(BJ94)-ROW(BJ$15),0),
              ROUND(ROUND(OFFSET($P94,0,BJ$13),15-13*ORÇAMENTO!$AF$7)*OFFSET(ORÇAMENTO!$W$15,ROW(BJ94)-ROW(BJ$15),0),15-13*ORÇAMENTO!$AF$11)),
         0)</f>
        <v>0</v>
      </c>
      <c r="BK94" s="352" t="n">
        <f aca="true">IF(AND($D94="Serviço",BK$12&lt;&gt;0,$H94&gt;0,OR(AUTOEVENTO&lt;&gt;"manual",$M94&lt;&gt;$A$15)),
        IF(Import.TipoArredondamento&lt;&gt;"TransfereGOV",
              ROUND(OFFSET($P94,0,BK$13),15-13*ORÇAMENTO!$AF$7)/$H94*OFFSET(ORÇAMENTO!$X$15,ROW(BK94)-ROW(BK$15),0),
              ROUND(ROUND(OFFSET($P94,0,BK$13),15-13*ORÇAMENTO!$AF$7)*OFFSET(ORÇAMENTO!$W$15,ROW(BK94)-ROW(BK$15),0),15-13*ORÇAMENTO!$AF$11)),
         0)</f>
        <v>0</v>
      </c>
      <c r="BL94" s="352" t="n">
        <f aca="true">IF(AND($D94="Serviço",BL$12&lt;&gt;0,$H94&gt;0,OR(AUTOEVENTO&lt;&gt;"manual",$M94&lt;&gt;$A$15)),
        IF(Import.TipoArredondamento&lt;&gt;"TransfereGOV",
              ROUND(OFFSET($P94,0,BL$13),15-13*ORÇAMENTO!$AF$7)/$H94*OFFSET(ORÇAMENTO!$X$15,ROW(BL94)-ROW(BL$15),0),
              ROUND(ROUND(OFFSET($P94,0,BL$13),15-13*ORÇAMENTO!$AF$7)*OFFSET(ORÇAMENTO!$W$15,ROW(BL94)-ROW(BL$15),0),15-13*ORÇAMENTO!$AF$11)),
         0)</f>
        <v>0</v>
      </c>
      <c r="BM94" s="352" t="n">
        <f aca="true">IF(AND($D94="Serviço",BM$12&lt;&gt;0,$H94&gt;0,OR(AUTOEVENTO&lt;&gt;"manual",$M94&lt;&gt;$A$15)),
        IF(Import.TipoArredondamento&lt;&gt;"TransfereGOV",
              ROUND(OFFSET($P94,0,BM$13),15-13*ORÇAMENTO!$AF$7)/$H94*OFFSET(ORÇAMENTO!$X$15,ROW(BM94)-ROW(BM$15),0),
              ROUND(ROUND(OFFSET($P94,0,BM$13),15-13*ORÇAMENTO!$AF$7)*OFFSET(ORÇAMENTO!$W$15,ROW(BM94)-ROW(BM$15),0),15-13*ORÇAMENTO!$AF$11)),
         0)</f>
        <v>0</v>
      </c>
      <c r="BN94" s="352" t="n">
        <f aca="true">IF(AND($D94="Serviço",BN$12&lt;&gt;0,$H94&gt;0,OR(AUTOEVENTO&lt;&gt;"manual",$M94&lt;&gt;$A$15)),
        IF(Import.TipoArredondamento&lt;&gt;"TransfereGOV",
              ROUND(OFFSET($P94,0,BN$13),15-13*ORÇAMENTO!$AF$7)/$H94*OFFSET(ORÇAMENTO!$X$15,ROW(BN94)-ROW(BN$15),0),
              ROUND(ROUND(OFFSET($P94,0,BN$13),15-13*ORÇAMENTO!$AF$7)*OFFSET(ORÇAMENTO!$W$15,ROW(BN94)-ROW(BN$15),0),15-13*ORÇAMENTO!$AF$11)),
         0)</f>
        <v>0</v>
      </c>
      <c r="BO94" s="352" t="n">
        <f aca="true">IF(AND($D94="Serviço",BO$12&lt;&gt;0,$H94&gt;0,OR(AUTOEVENTO&lt;&gt;"manual",$M94&lt;&gt;$A$15)),
        IF(Import.TipoArredondamento&lt;&gt;"TransfereGOV",
              ROUND(OFFSET($P94,0,BO$13),15-13*ORÇAMENTO!$AF$7)/$H94*OFFSET(ORÇAMENTO!$X$15,ROW(BO94)-ROW(BO$15),0),
              ROUND(ROUND(OFFSET($P94,0,BO$13),15-13*ORÇAMENTO!$AF$7)*OFFSET(ORÇAMENTO!$W$15,ROW(BO94)-ROW(BO$15),0),15-13*ORÇAMENTO!$AF$11)),
         0)</f>
        <v>0</v>
      </c>
      <c r="BP94" s="352" t="n">
        <f aca="true">IF(AND($D94="Serviço",BP$12&lt;&gt;0,$H94&gt;0,OR(AUTOEVENTO&lt;&gt;"manual",$M94&lt;&gt;$A$15)),
        IF(Import.TipoArredondamento&lt;&gt;"TransfereGOV",
              ROUND(OFFSET($P94,0,BP$13),15-13*ORÇAMENTO!$AF$7)/$H94*OFFSET(ORÇAMENTO!$X$15,ROW(BP94)-ROW(BP$15),0),
              ROUND(ROUND(OFFSET($P94,0,BP$13),15-13*ORÇAMENTO!$AF$7)*OFFSET(ORÇAMENTO!$W$15,ROW(BP94)-ROW(BP$15),0),15-13*ORÇAMENTO!$AF$11)),
         0)</f>
        <v>0</v>
      </c>
      <c r="BQ94" s="352" t="n">
        <f aca="true">IF(AND($D94="Serviço",BQ$12&lt;&gt;0,$H94&gt;0,OR(AUTOEVENTO&lt;&gt;"manual",$M94&lt;&gt;$A$15)),
        IF(Import.TipoArredondamento&lt;&gt;"TransfereGOV",
              ROUND(OFFSET($P94,0,BQ$13),15-13*ORÇAMENTO!$AF$7)/$H94*OFFSET(ORÇAMENTO!$X$15,ROW(BQ94)-ROW(BQ$15),0),
              ROUND(ROUND(OFFSET($P94,0,BQ$13),15-13*ORÇAMENTO!$AF$7)*OFFSET(ORÇAMENTO!$W$15,ROW(BQ94)-ROW(BQ$15),0),15-13*ORÇAMENTO!$AF$11)),
         0)</f>
        <v>0</v>
      </c>
      <c r="BS94" s="353" t="n">
        <f aca="true">IF(OR($D94&lt;&gt;"Serviço",AND(AUTOEVENTO="Manual",$M94=$A$15)),0,
         IF(OFFSET(CRONOPLE!$F$15,$M94-$A$15,BS$13)=0,10^12,OFFSET(CRONOPLE!$F$15,$M94-$A$15,BS$13)))</f>
        <v>0</v>
      </c>
      <c r="BT94" s="353" t="n">
        <f aca="true">IF(OR($D94&lt;&gt;"Serviço",AND(AUTOEVENTO="Manual",$M94=$A$15)),0,
         IF(OFFSET(CRONOPLE!$F$15,$M94-$A$15,BT$13)=0,10^12,OFFSET(CRONOPLE!$F$15,$M94-$A$15,BT$13)))</f>
        <v>0</v>
      </c>
      <c r="BU94" s="353" t="n">
        <f aca="true">IF(OR($D94&lt;&gt;"Serviço",AND(AUTOEVENTO="Manual",$M94=$A$15)),0,
         IF(OFFSET(CRONOPLE!$F$15,$M94-$A$15,BU$13)=0,10^12,OFFSET(CRONOPLE!$F$15,$M94-$A$15,BU$13)))</f>
        <v>0</v>
      </c>
      <c r="BV94" s="353" t="n">
        <f aca="true">IF(OR($D94&lt;&gt;"Serviço",AND(AUTOEVENTO="Manual",$M94=$A$15)),0,
         IF(OFFSET(CRONOPLE!$F$15,$M94-$A$15,BV$13)=0,10^12,OFFSET(CRONOPLE!$F$15,$M94-$A$15,BV$13)))</f>
        <v>0</v>
      </c>
      <c r="BW94" s="353" t="n">
        <f aca="true">IF(OR($D94&lt;&gt;"Serviço",AND(AUTOEVENTO="Manual",$M94=$A$15)),0,
         IF(OFFSET(CRONOPLE!$F$15,$M94-$A$15,BW$13)=0,10^12,OFFSET(CRONOPLE!$F$15,$M94-$A$15,BW$13)))</f>
        <v>0</v>
      </c>
      <c r="BX94" s="353" t="n">
        <f aca="true">IF(OR($D94&lt;&gt;"Serviço",AND(AUTOEVENTO="Manual",$M94=$A$15)),0,
         IF(OFFSET(CRONOPLE!$F$15,$M94-$A$15,BX$13)=0,10^12,OFFSET(CRONOPLE!$F$15,$M94-$A$15,BX$13)))</f>
        <v>0</v>
      </c>
      <c r="BY94" s="353" t="n">
        <f aca="true">IF(OR($D94&lt;&gt;"Serviço",AND(AUTOEVENTO="Manual",$M94=$A$15)),0,
         IF(OFFSET(CRONOPLE!$F$15,$M94-$A$15,BY$13)=0,10^12,OFFSET(CRONOPLE!$F$15,$M94-$A$15,BY$13)))</f>
        <v>0</v>
      </c>
      <c r="BZ94" s="353" t="n">
        <f aca="true">IF(OR($D94&lt;&gt;"Serviço",AND(AUTOEVENTO="Manual",$M94=$A$15)),0,
         IF(OFFSET(CRONOPLE!$F$15,$M94-$A$15,BZ$13)=0,10^12,OFFSET(CRONOPLE!$F$15,$M94-$A$15,BZ$13)))</f>
        <v>0</v>
      </c>
      <c r="CA94" s="353" t="n">
        <f aca="true">IF(OR($D94&lt;&gt;"Serviço",AND(AUTOEVENTO="Manual",$M94=$A$15)),0,
         IF(OFFSET(CRONOPLE!$F$15,$M94-$A$15,CA$13)=0,10^12,OFFSET(CRONOPLE!$F$15,$M94-$A$15,CA$13)))</f>
        <v>0</v>
      </c>
      <c r="CB94" s="353" t="n">
        <f aca="true">IF(OR($D94&lt;&gt;"Serviço",AND(AUTOEVENTO="Manual",$M94=$A$15)),0,
         IF(OFFSET(CRONOPLE!$F$15,$M94-$A$15,CB$13)=0,10^12,OFFSET(CRONOPLE!$F$15,$M94-$A$15,CB$13)))</f>
        <v>0</v>
      </c>
      <c r="CC94" s="353" t="n">
        <f aca="true">IF(OR($D94&lt;&gt;"Serviço",AND(AUTOEVENTO="Manual",$M94=$A$15)),0,
         IF(OFFSET(CRONOPLE!$F$15,$M94-$A$15,CC$13)=0,10^12,OFFSET(CRONOPLE!$F$15,$M94-$A$15,CC$13)))</f>
        <v>0</v>
      </c>
      <c r="CD94" s="353" t="n">
        <f aca="true">IF(OR($D94&lt;&gt;"Serviço",AND(AUTOEVENTO="Manual",$M94=$A$15)),0,
         IF(OFFSET(CRONOPLE!$F$15,$M94-$A$15,CD$13)=0,10^12,OFFSET(CRONOPLE!$F$15,$M94-$A$15,CD$13)))</f>
        <v>0</v>
      </c>
      <c r="CE94" s="353" t="n">
        <f aca="true">IF(OR($D94&lt;&gt;"Serviço",AND(AUTOEVENTO="Manual",$M94=$A$15)),0,
         IF(OFFSET(CRONOPLE!$F$15,$M94-$A$15,CE$13)=0,10^12,OFFSET(CRONOPLE!$F$15,$M94-$A$15,CE$13)))</f>
        <v>0</v>
      </c>
      <c r="CF94" s="353" t="n">
        <f aca="true">IF(OR($D94&lt;&gt;"Serviço",AND(AUTOEVENTO="Manual",$M94=$A$15)),0,
         IF(OFFSET(CRONOPLE!$F$15,$M94-$A$15,CF$13)=0,10^12,OFFSET(CRONOPLE!$F$15,$M94-$A$15,CF$13)))</f>
        <v>0</v>
      </c>
      <c r="CG94" s="353" t="n">
        <f aca="true">IF(OR($D94&lt;&gt;"Serviço",AND(AUTOEVENTO="Manual",$M94=$A$15)),0,
         IF(OFFSET(CRONOPLE!$F$15,$M94-$A$15,CG$13)=0,10^12,OFFSET(CRONOPLE!$F$15,$M94-$A$15,CG$13)))</f>
        <v>0</v>
      </c>
      <c r="CH94" s="353" t="n">
        <f aca="true">IF(OR($D94&lt;&gt;"Serviço",AND(AUTOEVENTO="Manual",$M94=$A$15)),0,
         IF(OFFSET(CRONOPLE!$F$15,$M94-$A$15,CH$13)=0,10^12,OFFSET(CRONOPLE!$F$15,$M94-$A$15,CH$13)))</f>
        <v>0</v>
      </c>
      <c r="CI94" s="353" t="n">
        <f aca="true">IF(OR($D94&lt;&gt;"Serviço",AND(AUTOEVENTO="Manual",$M94=$A$15)),0,
         IF(OFFSET(CRONOPLE!$F$15,$M94-$A$15,CI$13)=0,10^12,OFFSET(CRONOPLE!$F$15,$M94-$A$15,CI$13)))</f>
        <v>0</v>
      </c>
      <c r="CJ94" s="353" t="n">
        <f aca="true">IF(OR($D94&lt;&gt;"Serviço",AND(AUTOEVENTO="Manual",$M94=$A$15)),0,
         IF(OFFSET(CRONOPLE!$F$15,$M94-$A$15,CJ$13)=0,10^12,OFFSET(CRONOPLE!$F$15,$M94-$A$15,CJ$13)))</f>
        <v>0</v>
      </c>
      <c r="CK94" s="353" t="n">
        <f aca="true">IF(OR($D94&lt;&gt;"Serviço",AND(AUTOEVENTO="Manual",$M94=$A$15)),0,
         IF(OFFSET(CRONOPLE!$F$15,$M94-$A$15,CK$13)=0,10^12,OFFSET(CRONOPLE!$F$15,$M94-$A$15,CK$13)))</f>
        <v>0</v>
      </c>
      <c r="CL94" s="353" t="n">
        <f aca="true">IF(OR($D94&lt;&gt;"Serviço",AND(AUTOEVENTO="Manual",$M94=$A$15)),0,
         IF(OFFSET(CRONOPLE!$F$15,$M94-$A$15,CL$13)=0,10^12,OFFSET(CRONOPLE!$F$15,$M94-$A$15,CL$13)))</f>
        <v>0</v>
      </c>
      <c r="CM94" s="353" t="n">
        <f aca="true">IF(OR($D94&lt;&gt;"Serviço",AND(AUTOEVENTO="Manual",$M94=$A$15)),0,
         IF(OFFSET(CRONOPLE!$F$15,$M94-$A$15,CM$13)=0,10^12,OFFSET(CRONOPLE!$F$15,$M94-$A$15,CM$13)))</f>
        <v>0</v>
      </c>
      <c r="CN94" s="353" t="n">
        <f aca="true">IF(OR($D94&lt;&gt;"Serviço",AND(AUTOEVENTO="Manual",$M94=$A$15)),0,
         IF(OFFSET(CRONOPLE!$F$15,$M94-$A$15,CN$13)=0,10^12,OFFSET(CRONOPLE!$F$15,$M94-$A$15,CN$13)))</f>
        <v>0</v>
      </c>
      <c r="CO94" s="353" t="n">
        <f aca="true">IF(OR($D94&lt;&gt;"Serviço",AND(AUTOEVENTO="Manual",$M94=$A$15)),0,
         IF(OFFSET(CRONOPLE!$F$15,$M94-$A$15,CO$13)=0,10^12,OFFSET(CRONOPLE!$F$15,$M94-$A$15,CO$13)))</f>
        <v>0</v>
      </c>
      <c r="CP94" s="353" t="n">
        <f aca="true">IF(OR($D94&lt;&gt;"Serviço",AND(AUTOEVENTO="Manual",$M94=$A$15)),0,
         IF(OFFSET(CRONOPLE!$F$15,$M94-$A$15,CP$13)=0,10^12,OFFSET(CRONOPLE!$F$15,$M94-$A$15,CP$13)))</f>
        <v>0</v>
      </c>
      <c r="CQ94" s="353" t="n">
        <f aca="true">IF(OR($D94&lt;&gt;"Serviço",AND(AUTOEVENTO="Manual",$M94=$A$15)),0,
         IF(OFFSET(CRONOPLE!$F$15,$M94-$A$15,CQ$13)=0,10^12,OFFSET(CRONOPLE!$F$15,$M94-$A$15,CQ$13)))</f>
        <v>0</v>
      </c>
      <c r="CR94" s="353" t="n">
        <f aca="true">IF(OR($D94&lt;&gt;"Serviço",AND(AUTOEVENTO="Manual",$M94=$A$15)),0,
         IF(OFFSET(CRONOPLE!$F$15,$M94-$A$15,CR$13)=0,10^12,OFFSET(CRONOPLE!$F$15,$M94-$A$15,CR$13)))</f>
        <v>0</v>
      </c>
      <c r="CT94" s="354" t="n">
        <f aca="true">IF(OR($D94&lt;&gt;"Serviço",AND(AUTOEVENTO="Manual",$M94=$A$15),$M94&gt;(ROW(PLE.lastrow)-ROW(PLE.firstrow))),0,
           IF(OFFSET(PLE!$G$15,$M94-$A$15,CT$13)="",10^12,OFFSET(PLE!$G$15,$M94-$A$15,CT$13)))</f>
        <v>0</v>
      </c>
      <c r="CU94" s="354" t="n">
        <f aca="true">IF(OR($D94&lt;&gt;"Serviço",AND(AUTOEVENTO="Manual",$M94=$A$15),$M94&gt;(ROW(PLE.lastrow)-ROW(PLE.firstrow))),0,
           IF(OFFSET(PLE!$G$15,$M94-$A$15,CU$13)="",10^12,OFFSET(PLE!$G$15,$M94-$A$15,CU$13)))</f>
        <v>0</v>
      </c>
      <c r="CV94" s="354" t="n">
        <f aca="true">IF(OR($D94&lt;&gt;"Serviço",AND(AUTOEVENTO="Manual",$M94=$A$15),$M94&gt;(ROW(PLE.lastrow)-ROW(PLE.firstrow))),0,
           IF(OFFSET(PLE!$G$15,$M94-$A$15,CV$13)="",10^12,OFFSET(PLE!$G$15,$M94-$A$15,CV$13)))</f>
        <v>0</v>
      </c>
      <c r="CW94" s="354" t="n">
        <f aca="true">IF(OR($D94&lt;&gt;"Serviço",AND(AUTOEVENTO="Manual",$M94=$A$15),$M94&gt;(ROW(PLE.lastrow)-ROW(PLE.firstrow))),0,
           IF(OFFSET(PLE!$G$15,$M94-$A$15,CW$13)="",10^12,OFFSET(PLE!$G$15,$M94-$A$15,CW$13)))</f>
        <v>0</v>
      </c>
      <c r="CX94" s="354" t="n">
        <f aca="true">IF(OR($D94&lt;&gt;"Serviço",AND(AUTOEVENTO="Manual",$M94=$A$15),$M94&gt;(ROW(PLE.lastrow)-ROW(PLE.firstrow))),0,
           IF(OFFSET(PLE!$G$15,$M94-$A$15,CX$13)="",10^12,OFFSET(PLE!$G$15,$M94-$A$15,CX$13)))</f>
        <v>0</v>
      </c>
      <c r="CY94" s="354" t="n">
        <f aca="true">IF(OR($D94&lt;&gt;"Serviço",AND(AUTOEVENTO="Manual",$M94=$A$15),$M94&gt;(ROW(PLE.lastrow)-ROW(PLE.firstrow))),0,
           IF(OFFSET(PLE!$G$15,$M94-$A$15,CY$13)="",10^12,OFFSET(PLE!$G$15,$M94-$A$15,CY$13)))</f>
        <v>0</v>
      </c>
      <c r="CZ94" s="354" t="n">
        <f aca="true">IF(OR($D94&lt;&gt;"Serviço",AND(AUTOEVENTO="Manual",$M94=$A$15),$M94&gt;(ROW(PLE.lastrow)-ROW(PLE.firstrow))),0,
           IF(OFFSET(PLE!$G$15,$M94-$A$15,CZ$13)="",10^12,OFFSET(PLE!$G$15,$M94-$A$15,CZ$13)))</f>
        <v>0</v>
      </c>
      <c r="DA94" s="354" t="n">
        <f aca="true">IF(OR($D94&lt;&gt;"Serviço",AND(AUTOEVENTO="Manual",$M94=$A$15),$M94&gt;(ROW(PLE.lastrow)-ROW(PLE.firstrow))),0,
           IF(OFFSET(PLE!$G$15,$M94-$A$15,DA$13)="",10^12,OFFSET(PLE!$G$15,$M94-$A$15,DA$13)))</f>
        <v>0</v>
      </c>
      <c r="DB94" s="354" t="n">
        <f aca="true">IF(OR($D94&lt;&gt;"Serviço",AND(AUTOEVENTO="Manual",$M94=$A$15),$M94&gt;(ROW(PLE.lastrow)-ROW(PLE.firstrow))),0,
           IF(OFFSET(PLE!$G$15,$M94-$A$15,DB$13)="",10^12,OFFSET(PLE!$G$15,$M94-$A$15,DB$13)))</f>
        <v>0</v>
      </c>
      <c r="DC94" s="354" t="n">
        <f aca="true">IF(OR($D94&lt;&gt;"Serviço",AND(AUTOEVENTO="Manual",$M94=$A$15),$M94&gt;(ROW(PLE.lastrow)-ROW(PLE.firstrow))),0,
           IF(OFFSET(PLE!$G$15,$M94-$A$15,DC$13)="",10^12,OFFSET(PLE!$G$15,$M94-$A$15,DC$13)))</f>
        <v>0</v>
      </c>
      <c r="DD94" s="354" t="n">
        <f aca="true">IF(OR($D94&lt;&gt;"Serviço",AND(AUTOEVENTO="Manual",$M94=$A$15),$M94&gt;(ROW(PLE.lastrow)-ROW(PLE.firstrow))),0,
           IF(OFFSET(PLE!$G$15,$M94-$A$15,DD$13)="",10^12,OFFSET(PLE!$G$15,$M94-$A$15,DD$13)))</f>
        <v>0</v>
      </c>
      <c r="DE94" s="354" t="n">
        <f aca="true">IF(OR($D94&lt;&gt;"Serviço",AND(AUTOEVENTO="Manual",$M94=$A$15),$M94&gt;(ROW(PLE.lastrow)-ROW(PLE.firstrow))),0,
           IF(OFFSET(PLE!$G$15,$M94-$A$15,DE$13)="",10^12,OFFSET(PLE!$G$15,$M94-$A$15,DE$13)))</f>
        <v>0</v>
      </c>
      <c r="DF94" s="354" t="n">
        <f aca="true">IF(OR($D94&lt;&gt;"Serviço",AND(AUTOEVENTO="Manual",$M94=$A$15),$M94&gt;(ROW(PLE.lastrow)-ROW(PLE.firstrow))),0,
           IF(OFFSET(PLE!$G$15,$M94-$A$15,DF$13)="",10^12,OFFSET(PLE!$G$15,$M94-$A$15,DF$13)))</f>
        <v>0</v>
      </c>
      <c r="DG94" s="354" t="n">
        <f aca="true">IF(OR($D94&lt;&gt;"Serviço",AND(AUTOEVENTO="Manual",$M94=$A$15),$M94&gt;(ROW(PLE.lastrow)-ROW(PLE.firstrow))),0,
           IF(OFFSET(PLE!$G$15,$M94-$A$15,DG$13)="",10^12,OFFSET(PLE!$G$15,$M94-$A$15,DG$13)))</f>
        <v>0</v>
      </c>
      <c r="DH94" s="354" t="n">
        <f aca="true">IF(OR($D94&lt;&gt;"Serviço",AND(AUTOEVENTO="Manual",$M94=$A$15),$M94&gt;(ROW(PLE.lastrow)-ROW(PLE.firstrow))),0,
           IF(OFFSET(PLE!$G$15,$M94-$A$15,DH$13)="",10^12,OFFSET(PLE!$G$15,$M94-$A$15,DH$13)))</f>
        <v>0</v>
      </c>
      <c r="DI94" s="354" t="n">
        <f aca="true">IF(OR($D94&lt;&gt;"Serviço",AND(AUTOEVENTO="Manual",$M94=$A$15),$M94&gt;(ROW(PLE.lastrow)-ROW(PLE.firstrow))),0,
           IF(OFFSET(PLE!$G$15,$M94-$A$15,DI$13)="",10^12,OFFSET(PLE!$G$15,$M94-$A$15,DI$13)))</f>
        <v>0</v>
      </c>
      <c r="DJ94" s="354" t="n">
        <f aca="true">IF(OR($D94&lt;&gt;"Serviço",AND(AUTOEVENTO="Manual",$M94=$A$15),$M94&gt;(ROW(PLE.lastrow)-ROW(PLE.firstrow))),0,
           IF(OFFSET(PLE!$G$15,$M94-$A$15,DJ$13)="",10^12,OFFSET(PLE!$G$15,$M94-$A$15,DJ$13)))</f>
        <v>0</v>
      </c>
      <c r="DK94" s="354" t="n">
        <f aca="true">IF(OR($D94&lt;&gt;"Serviço",AND(AUTOEVENTO="Manual",$M94=$A$15),$M94&gt;(ROW(PLE.lastrow)-ROW(PLE.firstrow))),0,
           IF(OFFSET(PLE!$G$15,$M94-$A$15,DK$13)="",10^12,OFFSET(PLE!$G$15,$M94-$A$15,DK$13)))</f>
        <v>0</v>
      </c>
      <c r="DL94" s="354" t="n">
        <f aca="true">IF(OR($D94&lt;&gt;"Serviço",AND(AUTOEVENTO="Manual",$M94=$A$15),$M94&gt;(ROW(PLE.lastrow)-ROW(PLE.firstrow))),0,
           IF(OFFSET(PLE!$G$15,$M94-$A$15,DL$13)="",10^12,OFFSET(PLE!$G$15,$M94-$A$15,DL$13)))</f>
        <v>0</v>
      </c>
      <c r="DM94" s="354" t="n">
        <f aca="true">IF(OR($D94&lt;&gt;"Serviço",AND(AUTOEVENTO="Manual",$M94=$A$15),$M94&gt;(ROW(PLE.lastrow)-ROW(PLE.firstrow))),0,
           IF(OFFSET(PLE!$G$15,$M94-$A$15,DM$13)="",10^12,OFFSET(PLE!$G$15,$M94-$A$15,DM$13)))</f>
        <v>0</v>
      </c>
      <c r="DN94" s="354" t="n">
        <f aca="true">IF(OR($D94&lt;&gt;"Serviço",AND(AUTOEVENTO="Manual",$M94=$A$15),$M94&gt;(ROW(PLE.lastrow)-ROW(PLE.firstrow))),0,
           IF(OFFSET(PLE!$G$15,$M94-$A$15,DN$13)="",10^12,OFFSET(PLE!$G$15,$M94-$A$15,DN$13)))</f>
        <v>0</v>
      </c>
      <c r="DO94" s="354" t="n">
        <f aca="true">IF(OR($D94&lt;&gt;"Serviço",AND(AUTOEVENTO="Manual",$M94=$A$15),$M94&gt;(ROW(PLE.lastrow)-ROW(PLE.firstrow))),0,
           IF(OFFSET(PLE!$G$15,$M94-$A$15,DO$13)="",10^12,OFFSET(PLE!$G$15,$M94-$A$15,DO$13)))</f>
        <v>0</v>
      </c>
      <c r="DP94" s="354" t="n">
        <f aca="true">IF(OR($D94&lt;&gt;"Serviço",AND(AUTOEVENTO="Manual",$M94=$A$15),$M94&gt;(ROW(PLE.lastrow)-ROW(PLE.firstrow))),0,
           IF(OFFSET(PLE!$G$15,$M94-$A$15,DP$13)="",10^12,OFFSET(PLE!$G$15,$M94-$A$15,DP$13)))</f>
        <v>0</v>
      </c>
      <c r="DQ94" s="354" t="n">
        <f aca="true">IF(OR($D94&lt;&gt;"Serviço",AND(AUTOEVENTO="Manual",$M94=$A$15),$M94&gt;(ROW(PLE.lastrow)-ROW(PLE.firstrow))),0,
           IF(OFFSET(PLE!$G$15,$M94-$A$15,DQ$13)="",10^12,OFFSET(PLE!$G$15,$M94-$A$15,DQ$13)))</f>
        <v>0</v>
      </c>
      <c r="DR94" s="354" t="n">
        <f aca="true">IF(OR($D94&lt;&gt;"Serviço",AND(AUTOEVENTO="Manual",$M94=$A$15),$M94&gt;(ROW(PLE.lastrow)-ROW(PLE.firstrow))),0,
           IF(OFFSET(PLE!$G$15,$M94-$A$15,DR$13)="",10^12,OFFSET(PLE!$G$15,$M94-$A$15,DR$13)))</f>
        <v>0</v>
      </c>
      <c r="DS94" s="354" t="n">
        <f aca="true">IF(OR($D94&lt;&gt;"Serviço",AND(AUTOEVENTO="Manual",$M94=$A$15),$M94&gt;(ROW(PLE.lastrow)-ROW(PLE.firstrow))),0,
           IF(OFFSET(PLE!$G$15,$M94-$A$15,DS$13)="",10^12,OFFSET(PLE!$G$15,$M94-$A$15,DS$13)))</f>
        <v>0</v>
      </c>
    </row>
    <row r="95" customFormat="false" ht="46.25" hidden="false" customHeight="false" outlineLevel="0" collapsed="false">
      <c r="A95" s="50" t="str">
        <f aca="true">IFERROR(IF(AUTOEVENTO="Manual",IF(K95&lt;&gt;"",MIN(VALUE(LEFT(K95,FIND(".",K95)-1)),COUNTA(EVENTOS.Lista)),0),IF(OR($B95&gt;AUTOEVENTO,$B95="S",$B95=0),SUBSTITUTE(OFFSET($A95,-1,0),IF($D95="Serviço",".",""),""),ROW(A95)-ROW($A$15)&amp;".")),0)</f>
        <v>79</v>
      </c>
      <c r="B95" s="50" t="str">
        <f aca="true">OFFSET(ORÇAMENTO!C$15,ROW(B95)-ROW(B$15),0)</f>
        <v>S</v>
      </c>
      <c r="C95" s="50" t="str">
        <f aca="true">OFFSET(ORÇAMENTO!L$15,ROW(C95)-ROW(C$15),0)</f>
        <v>F</v>
      </c>
      <c r="D95" s="201" t="str">
        <f aca="true">OFFSET(ORÇAMENTO!N$15,ROW(D95)-ROW(D$15),0)</f>
        <v>Serviço</v>
      </c>
      <c r="E95" s="202" t="str">
        <f aca="true">OFFSET(ORÇAMENTO!O$15,ROW(E95)-ROW(E$15),0)</f>
        <v>1.24.1.</v>
      </c>
      <c r="F95" s="341" t="str">
        <f aca="true">OFFSET(ORÇAMENTO!R$15,ROW(F95)-ROW(F$15),0)</f>
        <v>APLICAÇÃO MANUAL DE FUNDO SELADOR ACRÍLICO EM PAREDES EXTERNAS DE CASAS. AF_03/2024</v>
      </c>
      <c r="G95" s="342" t="str">
        <f aca="true">IF($D95&lt;&gt;"Serviço","",OFFSET(ORÇAMENTO!S$15,ROW(G95)-ROW(G$15),0))</f>
        <v>M2</v>
      </c>
      <c r="H95" s="207" t="n">
        <f aca="true">IF($D95&lt;&gt;"Serviço",0,IF(ACOMPANHAMENTO="BM",ROUND(OFFSET(ORÇAMENTO!AJ$15,ROW(H95)-ROW(H$15),0),15-13*ORÇAMENTO!$AF$7),SUMPRODUCT(($Q$1:$AQ$1=1)*ROUND($Q95:$AQ95,15-13*ORÇAMENTO!$AF$7))))</f>
        <v>3307.25</v>
      </c>
      <c r="I95" s="343" t="s">
        <v>959</v>
      </c>
      <c r="J95" s="344" t="e">
        <f aca="false">IF(OR(B95&lt;&gt;"S",CÁLCULO.FrentesPreenchidas=0),"",IF(AND(ACOMPANHAMENTO="PLE",AUTOEVENTO="Manual",OR(H95&gt;0,ORÇAMENTO!AC95="QUANT."),OR(K95="",M95=0,N95="")),"►",IF(AND(ACOMPANHAMENTO="PLE",ORÇAMENTO!AC95="QUANT."),"►►",IF(AND(COUNTIF($P$11:$AQ$11,"▼")=0,H95&gt;0,I95=""),"◄",""))))</f>
        <v>#NAME?</v>
      </c>
      <c r="K95" s="345"/>
      <c r="L95" s="346" t="s">
        <v>876</v>
      </c>
      <c r="M95" s="347" t="n">
        <f aca="true">IF($D95&lt;&gt;"Serviço","",
          IF(AUTOEVENTO="manual",$A95,
                IF(ISERROR(MATCH($A95,$A$15:OFFSET($A95,-1,0),0)),MAX($M$15:OFFSET(M95,-1,0))+1,
                      INDEX($M$15:OFFSET(M95,-1,0),MATCH($A95,$A$15:OFFSET($A95,-1,0),0)))))</f>
        <v>16</v>
      </c>
      <c r="N95" s="348" t="str">
        <f aca="true">IF($D95&lt;&gt;"Serviço","",
         IF(AUTOEVENTO="Manual",
                IF($A95=0,"&lt;-- defina o número do agrupador",
                       OFFSET(EVENTOS!$D$15,$A95-$A$15,0)),
                OFFSET($F$15,$A95,0)))</f>
        <v>PINTURAS EXTERNAS</v>
      </c>
      <c r="O95" s="349"/>
      <c r="Q95" s="349" t="n">
        <v>132.29</v>
      </c>
      <c r="R95" s="350" t="n">
        <f aca="false">Q95</f>
        <v>132.29</v>
      </c>
      <c r="S95" s="350" t="n">
        <f aca="false">R95</f>
        <v>132.29</v>
      </c>
      <c r="T95" s="350" t="n">
        <f aca="false">S95</f>
        <v>132.29</v>
      </c>
      <c r="U95" s="350" t="n">
        <f aca="false">T95</f>
        <v>132.29</v>
      </c>
      <c r="V95" s="350" t="n">
        <f aca="false">U95</f>
        <v>132.29</v>
      </c>
      <c r="W95" s="350" t="n">
        <f aca="false">V95</f>
        <v>132.29</v>
      </c>
      <c r="X95" s="350" t="n">
        <f aca="false">W95</f>
        <v>132.29</v>
      </c>
      <c r="Y95" s="350" t="n">
        <f aca="false">X95</f>
        <v>132.29</v>
      </c>
      <c r="Z95" s="351" t="n">
        <f aca="false">Y95</f>
        <v>132.29</v>
      </c>
      <c r="AA95" s="350" t="n">
        <f aca="false">Z95</f>
        <v>132.29</v>
      </c>
      <c r="AB95" s="350" t="n">
        <f aca="false">AA95</f>
        <v>132.29</v>
      </c>
      <c r="AC95" s="350" t="n">
        <f aca="false">AB95</f>
        <v>132.29</v>
      </c>
      <c r="AD95" s="350" t="n">
        <f aca="false">AC95</f>
        <v>132.29</v>
      </c>
      <c r="AE95" s="350" t="n">
        <f aca="false">AD95</f>
        <v>132.29</v>
      </c>
      <c r="AF95" s="350" t="n">
        <f aca="false">AE95</f>
        <v>132.29</v>
      </c>
      <c r="AG95" s="350" t="n">
        <f aca="false">AF95</f>
        <v>132.29</v>
      </c>
      <c r="AH95" s="351" t="n">
        <f aca="false">AG95</f>
        <v>132.29</v>
      </c>
      <c r="AI95" s="350" t="n">
        <f aca="false">AH95</f>
        <v>132.29</v>
      </c>
      <c r="AJ95" s="350" t="n">
        <f aca="false">AI95</f>
        <v>132.29</v>
      </c>
      <c r="AK95" s="350" t="n">
        <f aca="false">AJ95</f>
        <v>132.29</v>
      </c>
      <c r="AL95" s="350" t="n">
        <f aca="false">AK95</f>
        <v>132.29</v>
      </c>
      <c r="AM95" s="350" t="n">
        <f aca="false">AL95</f>
        <v>132.29</v>
      </c>
      <c r="AN95" s="350" t="n">
        <f aca="false">AM95</f>
        <v>132.29</v>
      </c>
      <c r="AO95" s="350" t="n">
        <f aca="false">AN95</f>
        <v>132.29</v>
      </c>
      <c r="AP95" s="351"/>
      <c r="AR95" s="352" t="n">
        <f aca="true">IF(AND($D95="Serviço",AR$12&lt;&gt;0,$H95&gt;0,OR(AUTOEVENTO&lt;&gt;"manual",$M95&lt;&gt;$A$15)),
        IF(Import.TipoArredondamento&lt;&gt;"TransfereGOV",
              ROUND(OFFSET($P95,0,AR$13),15-13*ORÇAMENTO!$AF$7)/$H95*OFFSET(ORÇAMENTO!$X$15,ROW(AR95)-ROW(AR$15),0),
              ROUND(ROUND(OFFSET($P95,0,AR$13),15-13*ORÇAMENTO!$AF$7)*OFFSET(ORÇAMENTO!$W$15,ROW(AR95)-ROW(AR$15),0),15-13*ORÇAMENTO!$AF$11)),
         0)</f>
        <v>948.52</v>
      </c>
      <c r="AS95" s="352" t="n">
        <f aca="true">IF(AND($D95="Serviço",AS$12&lt;&gt;0,$H95&gt;0,OR(AUTOEVENTO&lt;&gt;"manual",$M95&lt;&gt;$A$15)),
        IF(Import.TipoArredondamento&lt;&gt;"TransfereGOV",
              ROUND(OFFSET($P95,0,AS$13),15-13*ORÇAMENTO!$AF$7)/$H95*OFFSET(ORÇAMENTO!$X$15,ROW(AS95)-ROW(AS$15),0),
              ROUND(ROUND(OFFSET($P95,0,AS$13),15-13*ORÇAMENTO!$AF$7)*OFFSET(ORÇAMENTO!$W$15,ROW(AS95)-ROW(AS$15),0),15-13*ORÇAMENTO!$AF$11)),
         0)</f>
        <v>948.52</v>
      </c>
      <c r="AT95" s="352" t="n">
        <f aca="true">IF(AND($D95="Serviço",AT$12&lt;&gt;0,$H95&gt;0,OR(AUTOEVENTO&lt;&gt;"manual",$M95&lt;&gt;$A$15)),
        IF(Import.TipoArredondamento&lt;&gt;"TransfereGOV",
              ROUND(OFFSET($P95,0,AT$13),15-13*ORÇAMENTO!$AF$7)/$H95*OFFSET(ORÇAMENTO!$X$15,ROW(AT95)-ROW(AT$15),0),
              ROUND(ROUND(OFFSET($P95,0,AT$13),15-13*ORÇAMENTO!$AF$7)*OFFSET(ORÇAMENTO!$W$15,ROW(AT95)-ROW(AT$15),0),15-13*ORÇAMENTO!$AF$11)),
         0)</f>
        <v>948.52</v>
      </c>
      <c r="AU95" s="352" t="n">
        <f aca="true">IF(AND($D95="Serviço",AU$12&lt;&gt;0,$H95&gt;0,OR(AUTOEVENTO&lt;&gt;"manual",$M95&lt;&gt;$A$15)),
        IF(Import.TipoArredondamento&lt;&gt;"TransfereGOV",
              ROUND(OFFSET($P95,0,AU$13),15-13*ORÇAMENTO!$AF$7)/$H95*OFFSET(ORÇAMENTO!$X$15,ROW(AU95)-ROW(AU$15),0),
              ROUND(ROUND(OFFSET($P95,0,AU$13),15-13*ORÇAMENTO!$AF$7)*OFFSET(ORÇAMENTO!$W$15,ROW(AU95)-ROW(AU$15),0),15-13*ORÇAMENTO!$AF$11)),
         0)</f>
        <v>948.52</v>
      </c>
      <c r="AV95" s="352" t="n">
        <f aca="true">IF(AND($D95="Serviço",AV$12&lt;&gt;0,$H95&gt;0,OR(AUTOEVENTO&lt;&gt;"manual",$M95&lt;&gt;$A$15)),
        IF(Import.TipoArredondamento&lt;&gt;"TransfereGOV",
              ROUND(OFFSET($P95,0,AV$13),15-13*ORÇAMENTO!$AF$7)/$H95*OFFSET(ORÇAMENTO!$X$15,ROW(AV95)-ROW(AV$15),0),
              ROUND(ROUND(OFFSET($P95,0,AV$13),15-13*ORÇAMENTO!$AF$7)*OFFSET(ORÇAMENTO!$W$15,ROW(AV95)-ROW(AV$15),0),15-13*ORÇAMENTO!$AF$11)),
         0)</f>
        <v>948.52</v>
      </c>
      <c r="AW95" s="352" t="n">
        <f aca="true">IF(AND($D95="Serviço",AW$12&lt;&gt;0,$H95&gt;0,OR(AUTOEVENTO&lt;&gt;"manual",$M95&lt;&gt;$A$15)),
        IF(Import.TipoArredondamento&lt;&gt;"TransfereGOV",
              ROUND(OFFSET($P95,0,AW$13),15-13*ORÇAMENTO!$AF$7)/$H95*OFFSET(ORÇAMENTO!$X$15,ROW(AW95)-ROW(AW$15),0),
              ROUND(ROUND(OFFSET($P95,0,AW$13),15-13*ORÇAMENTO!$AF$7)*OFFSET(ORÇAMENTO!$W$15,ROW(AW95)-ROW(AW$15),0),15-13*ORÇAMENTO!$AF$11)),
         0)</f>
        <v>948.52</v>
      </c>
      <c r="AX95" s="352" t="n">
        <f aca="true">IF(AND($D95="Serviço",AX$12&lt;&gt;0,$H95&gt;0,OR(AUTOEVENTO&lt;&gt;"manual",$M95&lt;&gt;$A$15)),
        IF(Import.TipoArredondamento&lt;&gt;"TransfereGOV",
              ROUND(OFFSET($P95,0,AX$13),15-13*ORÇAMENTO!$AF$7)/$H95*OFFSET(ORÇAMENTO!$X$15,ROW(AX95)-ROW(AX$15),0),
              ROUND(ROUND(OFFSET($P95,0,AX$13),15-13*ORÇAMENTO!$AF$7)*OFFSET(ORÇAMENTO!$W$15,ROW(AX95)-ROW(AX$15),0),15-13*ORÇAMENTO!$AF$11)),
         0)</f>
        <v>948.52</v>
      </c>
      <c r="AY95" s="352" t="n">
        <f aca="true">IF(AND($D95="Serviço",AY$12&lt;&gt;0,$H95&gt;0,OR(AUTOEVENTO&lt;&gt;"manual",$M95&lt;&gt;$A$15)),
        IF(Import.TipoArredondamento&lt;&gt;"TransfereGOV",
              ROUND(OFFSET($P95,0,AY$13),15-13*ORÇAMENTO!$AF$7)/$H95*OFFSET(ORÇAMENTO!$X$15,ROW(AY95)-ROW(AY$15),0),
              ROUND(ROUND(OFFSET($P95,0,AY$13),15-13*ORÇAMENTO!$AF$7)*OFFSET(ORÇAMENTO!$W$15,ROW(AY95)-ROW(AY$15),0),15-13*ORÇAMENTO!$AF$11)),
         0)</f>
        <v>948.52</v>
      </c>
      <c r="AZ95" s="352" t="n">
        <f aca="true">IF(AND($D95="Serviço",AZ$12&lt;&gt;0,$H95&gt;0,OR(AUTOEVENTO&lt;&gt;"manual",$M95&lt;&gt;$A$15)),
        IF(Import.TipoArredondamento&lt;&gt;"TransfereGOV",
              ROUND(OFFSET($P95,0,AZ$13),15-13*ORÇAMENTO!$AF$7)/$H95*OFFSET(ORÇAMENTO!$X$15,ROW(AZ95)-ROW(AZ$15),0),
              ROUND(ROUND(OFFSET($P95,0,AZ$13),15-13*ORÇAMENTO!$AF$7)*OFFSET(ORÇAMENTO!$W$15,ROW(AZ95)-ROW(AZ$15),0),15-13*ORÇAMENTO!$AF$11)),
         0)</f>
        <v>948.52</v>
      </c>
      <c r="BA95" s="352" t="n">
        <f aca="true">IF(AND($D95="Serviço",BA$12&lt;&gt;0,$H95&gt;0,OR(AUTOEVENTO&lt;&gt;"manual",$M95&lt;&gt;$A$15)),
        IF(Import.TipoArredondamento&lt;&gt;"TransfereGOV",
              ROUND(OFFSET($P95,0,BA$13),15-13*ORÇAMENTO!$AF$7)/$H95*OFFSET(ORÇAMENTO!$X$15,ROW(BA95)-ROW(BA$15),0),
              ROUND(ROUND(OFFSET($P95,0,BA$13),15-13*ORÇAMENTO!$AF$7)*OFFSET(ORÇAMENTO!$W$15,ROW(BA95)-ROW(BA$15),0),15-13*ORÇAMENTO!$AF$11)),
         0)</f>
        <v>948.52</v>
      </c>
      <c r="BB95" s="352" t="n">
        <f aca="true">IF(AND($D95="Serviço",BB$12&lt;&gt;0,$H95&gt;0,OR(AUTOEVENTO&lt;&gt;"manual",$M95&lt;&gt;$A$15)),
        IF(Import.TipoArredondamento&lt;&gt;"TransfereGOV",
              ROUND(OFFSET($P95,0,BB$13),15-13*ORÇAMENTO!$AF$7)/$H95*OFFSET(ORÇAMENTO!$X$15,ROW(BB95)-ROW(BB$15),0),
              ROUND(ROUND(OFFSET($P95,0,BB$13),15-13*ORÇAMENTO!$AF$7)*OFFSET(ORÇAMENTO!$W$15,ROW(BB95)-ROW(BB$15),0),15-13*ORÇAMENTO!$AF$11)),
         0)</f>
        <v>948.52</v>
      </c>
      <c r="BC95" s="352" t="n">
        <f aca="true">IF(AND($D95="Serviço",BC$12&lt;&gt;0,$H95&gt;0,OR(AUTOEVENTO&lt;&gt;"manual",$M95&lt;&gt;$A$15)),
        IF(Import.TipoArredondamento&lt;&gt;"TransfereGOV",
              ROUND(OFFSET($P95,0,BC$13),15-13*ORÇAMENTO!$AF$7)/$H95*OFFSET(ORÇAMENTO!$X$15,ROW(BC95)-ROW(BC$15),0),
              ROUND(ROUND(OFFSET($P95,0,BC$13),15-13*ORÇAMENTO!$AF$7)*OFFSET(ORÇAMENTO!$W$15,ROW(BC95)-ROW(BC$15),0),15-13*ORÇAMENTO!$AF$11)),
         0)</f>
        <v>948.52</v>
      </c>
      <c r="BD95" s="352" t="n">
        <f aca="true">IF(AND($D95="Serviço",BD$12&lt;&gt;0,$H95&gt;0,OR(AUTOEVENTO&lt;&gt;"manual",$M95&lt;&gt;$A$15)),
        IF(Import.TipoArredondamento&lt;&gt;"TransfereGOV",
              ROUND(OFFSET($P95,0,BD$13),15-13*ORÇAMENTO!$AF$7)/$H95*OFFSET(ORÇAMENTO!$X$15,ROW(BD95)-ROW(BD$15),0),
              ROUND(ROUND(OFFSET($P95,0,BD$13),15-13*ORÇAMENTO!$AF$7)*OFFSET(ORÇAMENTO!$W$15,ROW(BD95)-ROW(BD$15),0),15-13*ORÇAMENTO!$AF$11)),
         0)</f>
        <v>948.52</v>
      </c>
      <c r="BE95" s="352" t="n">
        <f aca="true">IF(AND($D95="Serviço",BE$12&lt;&gt;0,$H95&gt;0,OR(AUTOEVENTO&lt;&gt;"manual",$M95&lt;&gt;$A$15)),
        IF(Import.TipoArredondamento&lt;&gt;"TransfereGOV",
              ROUND(OFFSET($P95,0,BE$13),15-13*ORÇAMENTO!$AF$7)/$H95*OFFSET(ORÇAMENTO!$X$15,ROW(BE95)-ROW(BE$15),0),
              ROUND(ROUND(OFFSET($P95,0,BE$13),15-13*ORÇAMENTO!$AF$7)*OFFSET(ORÇAMENTO!$W$15,ROW(BE95)-ROW(BE$15),0),15-13*ORÇAMENTO!$AF$11)),
         0)</f>
        <v>948.52</v>
      </c>
      <c r="BF95" s="352" t="n">
        <f aca="true">IF(AND($D95="Serviço",BF$12&lt;&gt;0,$H95&gt;0,OR(AUTOEVENTO&lt;&gt;"manual",$M95&lt;&gt;$A$15)),
        IF(Import.TipoArredondamento&lt;&gt;"TransfereGOV",
              ROUND(OFFSET($P95,0,BF$13),15-13*ORÇAMENTO!$AF$7)/$H95*OFFSET(ORÇAMENTO!$X$15,ROW(BF95)-ROW(BF$15),0),
              ROUND(ROUND(OFFSET($P95,0,BF$13),15-13*ORÇAMENTO!$AF$7)*OFFSET(ORÇAMENTO!$W$15,ROW(BF95)-ROW(BF$15),0),15-13*ORÇAMENTO!$AF$11)),
         0)</f>
        <v>948.52</v>
      </c>
      <c r="BG95" s="352" t="n">
        <f aca="true">IF(AND($D95="Serviço",BG$12&lt;&gt;0,$H95&gt;0,OR(AUTOEVENTO&lt;&gt;"manual",$M95&lt;&gt;$A$15)),
        IF(Import.TipoArredondamento&lt;&gt;"TransfereGOV",
              ROUND(OFFSET($P95,0,BG$13),15-13*ORÇAMENTO!$AF$7)/$H95*OFFSET(ORÇAMENTO!$X$15,ROW(BG95)-ROW(BG$15),0),
              ROUND(ROUND(OFFSET($P95,0,BG$13),15-13*ORÇAMENTO!$AF$7)*OFFSET(ORÇAMENTO!$W$15,ROW(BG95)-ROW(BG$15),0),15-13*ORÇAMENTO!$AF$11)),
         0)</f>
        <v>948.52</v>
      </c>
      <c r="BH95" s="352" t="n">
        <f aca="true">IF(AND($D95="Serviço",BH$12&lt;&gt;0,$H95&gt;0,OR(AUTOEVENTO&lt;&gt;"manual",$M95&lt;&gt;$A$15)),
        IF(Import.TipoArredondamento&lt;&gt;"TransfereGOV",
              ROUND(OFFSET($P95,0,BH$13),15-13*ORÇAMENTO!$AF$7)/$H95*OFFSET(ORÇAMENTO!$X$15,ROW(BH95)-ROW(BH$15),0),
              ROUND(ROUND(OFFSET($P95,0,BH$13),15-13*ORÇAMENTO!$AF$7)*OFFSET(ORÇAMENTO!$W$15,ROW(BH95)-ROW(BH$15),0),15-13*ORÇAMENTO!$AF$11)),
         0)</f>
        <v>948.52</v>
      </c>
      <c r="BI95" s="352" t="n">
        <f aca="true">IF(AND($D95="Serviço",BI$12&lt;&gt;0,$H95&gt;0,OR(AUTOEVENTO&lt;&gt;"manual",$M95&lt;&gt;$A$15)),
        IF(Import.TipoArredondamento&lt;&gt;"TransfereGOV",
              ROUND(OFFSET($P95,0,BI$13),15-13*ORÇAMENTO!$AF$7)/$H95*OFFSET(ORÇAMENTO!$X$15,ROW(BI95)-ROW(BI$15),0),
              ROUND(ROUND(OFFSET($P95,0,BI$13),15-13*ORÇAMENTO!$AF$7)*OFFSET(ORÇAMENTO!$W$15,ROW(BI95)-ROW(BI$15),0),15-13*ORÇAMENTO!$AF$11)),
         0)</f>
        <v>948.52</v>
      </c>
      <c r="BJ95" s="352" t="n">
        <f aca="true">IF(AND($D95="Serviço",BJ$12&lt;&gt;0,$H95&gt;0,OR(AUTOEVENTO&lt;&gt;"manual",$M95&lt;&gt;$A$15)),
        IF(Import.TipoArredondamento&lt;&gt;"TransfereGOV",
              ROUND(OFFSET($P95,0,BJ$13),15-13*ORÇAMENTO!$AF$7)/$H95*OFFSET(ORÇAMENTO!$X$15,ROW(BJ95)-ROW(BJ$15),0),
              ROUND(ROUND(OFFSET($P95,0,BJ$13),15-13*ORÇAMENTO!$AF$7)*OFFSET(ORÇAMENTO!$W$15,ROW(BJ95)-ROW(BJ$15),0),15-13*ORÇAMENTO!$AF$11)),
         0)</f>
        <v>948.52</v>
      </c>
      <c r="BK95" s="352" t="n">
        <f aca="true">IF(AND($D95="Serviço",BK$12&lt;&gt;0,$H95&gt;0,OR(AUTOEVENTO&lt;&gt;"manual",$M95&lt;&gt;$A$15)),
        IF(Import.TipoArredondamento&lt;&gt;"TransfereGOV",
              ROUND(OFFSET($P95,0,BK$13),15-13*ORÇAMENTO!$AF$7)/$H95*OFFSET(ORÇAMENTO!$X$15,ROW(BK95)-ROW(BK$15),0),
              ROUND(ROUND(OFFSET($P95,0,BK$13),15-13*ORÇAMENTO!$AF$7)*OFFSET(ORÇAMENTO!$W$15,ROW(BK95)-ROW(BK$15),0),15-13*ORÇAMENTO!$AF$11)),
         0)</f>
        <v>948.52</v>
      </c>
      <c r="BL95" s="352" t="n">
        <f aca="true">IF(AND($D95="Serviço",BL$12&lt;&gt;0,$H95&gt;0,OR(AUTOEVENTO&lt;&gt;"manual",$M95&lt;&gt;$A$15)),
        IF(Import.TipoArredondamento&lt;&gt;"TransfereGOV",
              ROUND(OFFSET($P95,0,BL$13),15-13*ORÇAMENTO!$AF$7)/$H95*OFFSET(ORÇAMENTO!$X$15,ROW(BL95)-ROW(BL$15),0),
              ROUND(ROUND(OFFSET($P95,0,BL$13),15-13*ORÇAMENTO!$AF$7)*OFFSET(ORÇAMENTO!$W$15,ROW(BL95)-ROW(BL$15),0),15-13*ORÇAMENTO!$AF$11)),
         0)</f>
        <v>948.52</v>
      </c>
      <c r="BM95" s="352" t="n">
        <f aca="true">IF(AND($D95="Serviço",BM$12&lt;&gt;0,$H95&gt;0,OR(AUTOEVENTO&lt;&gt;"manual",$M95&lt;&gt;$A$15)),
        IF(Import.TipoArredondamento&lt;&gt;"TransfereGOV",
              ROUND(OFFSET($P95,0,BM$13),15-13*ORÇAMENTO!$AF$7)/$H95*OFFSET(ORÇAMENTO!$X$15,ROW(BM95)-ROW(BM$15),0),
              ROUND(ROUND(OFFSET($P95,0,BM$13),15-13*ORÇAMENTO!$AF$7)*OFFSET(ORÇAMENTO!$W$15,ROW(BM95)-ROW(BM$15),0),15-13*ORÇAMENTO!$AF$11)),
         0)</f>
        <v>948.52</v>
      </c>
      <c r="BN95" s="352" t="n">
        <f aca="true">IF(AND($D95="Serviço",BN$12&lt;&gt;0,$H95&gt;0,OR(AUTOEVENTO&lt;&gt;"manual",$M95&lt;&gt;$A$15)),
        IF(Import.TipoArredondamento&lt;&gt;"TransfereGOV",
              ROUND(OFFSET($P95,0,BN$13),15-13*ORÇAMENTO!$AF$7)/$H95*OFFSET(ORÇAMENTO!$X$15,ROW(BN95)-ROW(BN$15),0),
              ROUND(ROUND(OFFSET($P95,0,BN$13),15-13*ORÇAMENTO!$AF$7)*OFFSET(ORÇAMENTO!$W$15,ROW(BN95)-ROW(BN$15),0),15-13*ORÇAMENTO!$AF$11)),
         0)</f>
        <v>948.52</v>
      </c>
      <c r="BO95" s="352" t="n">
        <f aca="true">IF(AND($D95="Serviço",BO$12&lt;&gt;0,$H95&gt;0,OR(AUTOEVENTO&lt;&gt;"manual",$M95&lt;&gt;$A$15)),
        IF(Import.TipoArredondamento&lt;&gt;"TransfereGOV",
              ROUND(OFFSET($P95,0,BO$13),15-13*ORÇAMENTO!$AF$7)/$H95*OFFSET(ORÇAMENTO!$X$15,ROW(BO95)-ROW(BO$15),0),
              ROUND(ROUND(OFFSET($P95,0,BO$13),15-13*ORÇAMENTO!$AF$7)*OFFSET(ORÇAMENTO!$W$15,ROW(BO95)-ROW(BO$15),0),15-13*ORÇAMENTO!$AF$11)),
         0)</f>
        <v>948.52</v>
      </c>
      <c r="BP95" s="352" t="n">
        <f aca="true">IF(AND($D95="Serviço",BP$12&lt;&gt;0,$H95&gt;0,OR(AUTOEVENTO&lt;&gt;"manual",$M95&lt;&gt;$A$15)),
        IF(Import.TipoArredondamento&lt;&gt;"TransfereGOV",
              ROUND(OFFSET($P95,0,BP$13),15-13*ORÇAMENTO!$AF$7)/$H95*OFFSET(ORÇAMENTO!$X$15,ROW(BP95)-ROW(BP$15),0),
              ROUND(ROUND(OFFSET($P95,0,BP$13),15-13*ORÇAMENTO!$AF$7)*OFFSET(ORÇAMENTO!$W$15,ROW(BP95)-ROW(BP$15),0),15-13*ORÇAMENTO!$AF$11)),
         0)</f>
        <v>948.52</v>
      </c>
      <c r="BQ95" s="352" t="n">
        <f aca="true">IF(AND($D95="Serviço",BQ$12&lt;&gt;0,$H95&gt;0,OR(AUTOEVENTO&lt;&gt;"manual",$M95&lt;&gt;$A$15)),
        IF(Import.TipoArredondamento&lt;&gt;"TransfereGOV",
              ROUND(OFFSET($P95,0,BQ$13),15-13*ORÇAMENTO!$AF$7)/$H95*OFFSET(ORÇAMENTO!$X$15,ROW(BQ95)-ROW(BQ$15),0),
              ROUND(ROUND(OFFSET($P95,0,BQ$13),15-13*ORÇAMENTO!$AF$7)*OFFSET(ORÇAMENTO!$W$15,ROW(BQ95)-ROW(BQ$15),0),15-13*ORÇAMENTO!$AF$11)),
         0)</f>
        <v>0</v>
      </c>
      <c r="BS95" s="353" t="n">
        <f aca="true">IF(OR($D95&lt;&gt;"Serviço",AND(AUTOEVENTO="Manual",$M95=$A$15)),0,
         IF(OFFSET(CRONOPLE!$F$15,$M95-$A$15,BS$13)=0,10^12,OFFSET(CRONOPLE!$F$15,$M95-$A$15,BS$13)))</f>
        <v>1</v>
      </c>
      <c r="BT95" s="353" t="n">
        <f aca="true">IF(OR($D95&lt;&gt;"Serviço",AND(AUTOEVENTO="Manual",$M95=$A$15)),0,
         IF(OFFSET(CRONOPLE!$F$15,$M95-$A$15,BT$13)=0,10^12,OFFSET(CRONOPLE!$F$15,$M95-$A$15,BT$13)))</f>
        <v>2</v>
      </c>
      <c r="BU95" s="353" t="n">
        <f aca="true">IF(OR($D95&lt;&gt;"Serviço",AND(AUTOEVENTO="Manual",$M95=$A$15)),0,
         IF(OFFSET(CRONOPLE!$F$15,$M95-$A$15,BU$13)=0,10^12,OFFSET(CRONOPLE!$F$15,$M95-$A$15,BU$13)))</f>
        <v>3</v>
      </c>
      <c r="BV95" s="353" t="n">
        <f aca="true">IF(OR($D95&lt;&gt;"Serviço",AND(AUTOEVENTO="Manual",$M95=$A$15)),0,
         IF(OFFSET(CRONOPLE!$F$15,$M95-$A$15,BV$13)=0,10^12,OFFSET(CRONOPLE!$F$15,$M95-$A$15,BV$13)))</f>
        <v>4</v>
      </c>
      <c r="BW95" s="353" t="n">
        <f aca="true">IF(OR($D95&lt;&gt;"Serviço",AND(AUTOEVENTO="Manual",$M95=$A$15)),0,
         IF(OFFSET(CRONOPLE!$F$15,$M95-$A$15,BW$13)=0,10^12,OFFSET(CRONOPLE!$F$15,$M95-$A$15,BW$13)))</f>
        <v>5</v>
      </c>
      <c r="BX95" s="353" t="n">
        <f aca="true">IF(OR($D95&lt;&gt;"Serviço",AND(AUTOEVENTO="Manual",$M95=$A$15)),0,
         IF(OFFSET(CRONOPLE!$F$15,$M95-$A$15,BX$13)=0,10^12,OFFSET(CRONOPLE!$F$15,$M95-$A$15,BX$13)))</f>
        <v>6</v>
      </c>
      <c r="BY95" s="353" t="n">
        <f aca="true">IF(OR($D95&lt;&gt;"Serviço",AND(AUTOEVENTO="Manual",$M95=$A$15)),0,
         IF(OFFSET(CRONOPLE!$F$15,$M95-$A$15,BY$13)=0,10^12,OFFSET(CRONOPLE!$F$15,$M95-$A$15,BY$13)))</f>
        <v>7</v>
      </c>
      <c r="BZ95" s="353" t="n">
        <f aca="true">IF(OR($D95&lt;&gt;"Serviço",AND(AUTOEVENTO="Manual",$M95=$A$15)),0,
         IF(OFFSET(CRONOPLE!$F$15,$M95-$A$15,BZ$13)=0,10^12,OFFSET(CRONOPLE!$F$15,$M95-$A$15,BZ$13)))</f>
        <v>8</v>
      </c>
      <c r="CA95" s="353" t="n">
        <f aca="true">IF(OR($D95&lt;&gt;"Serviço",AND(AUTOEVENTO="Manual",$M95=$A$15)),0,
         IF(OFFSET(CRONOPLE!$F$15,$M95-$A$15,CA$13)=0,10^12,OFFSET(CRONOPLE!$F$15,$M95-$A$15,CA$13)))</f>
        <v>9</v>
      </c>
      <c r="CB95" s="353" t="n">
        <f aca="true">IF(OR($D95&lt;&gt;"Serviço",AND(AUTOEVENTO="Manual",$M95=$A$15)),0,
         IF(OFFSET(CRONOPLE!$F$15,$M95-$A$15,CB$13)=0,10^12,OFFSET(CRONOPLE!$F$15,$M95-$A$15,CB$13)))</f>
        <v>10</v>
      </c>
      <c r="CC95" s="353" t="n">
        <f aca="true">IF(OR($D95&lt;&gt;"Serviço",AND(AUTOEVENTO="Manual",$M95=$A$15)),0,
         IF(OFFSET(CRONOPLE!$F$15,$M95-$A$15,CC$13)=0,10^12,OFFSET(CRONOPLE!$F$15,$M95-$A$15,CC$13)))</f>
        <v>11</v>
      </c>
      <c r="CD95" s="353" t="n">
        <f aca="true">IF(OR($D95&lt;&gt;"Serviço",AND(AUTOEVENTO="Manual",$M95=$A$15)),0,
         IF(OFFSET(CRONOPLE!$F$15,$M95-$A$15,CD$13)=0,10^12,OFFSET(CRONOPLE!$F$15,$M95-$A$15,CD$13)))</f>
        <v>12</v>
      </c>
      <c r="CE95" s="353" t="n">
        <f aca="true">IF(OR($D95&lt;&gt;"Serviço",AND(AUTOEVENTO="Manual",$M95=$A$15)),0,
         IF(OFFSET(CRONOPLE!$F$15,$M95-$A$15,CE$13)=0,10^12,OFFSET(CRONOPLE!$F$15,$M95-$A$15,CE$13)))</f>
        <v>13</v>
      </c>
      <c r="CF95" s="353" t="n">
        <f aca="true">IF(OR($D95&lt;&gt;"Serviço",AND(AUTOEVENTO="Manual",$M95=$A$15)),0,
         IF(OFFSET(CRONOPLE!$F$15,$M95-$A$15,CF$13)=0,10^12,OFFSET(CRONOPLE!$F$15,$M95-$A$15,CF$13)))</f>
        <v>14</v>
      </c>
      <c r="CG95" s="353" t="n">
        <f aca="true">IF(OR($D95&lt;&gt;"Serviço",AND(AUTOEVENTO="Manual",$M95=$A$15)),0,
         IF(OFFSET(CRONOPLE!$F$15,$M95-$A$15,CG$13)=0,10^12,OFFSET(CRONOPLE!$F$15,$M95-$A$15,CG$13)))</f>
        <v>15</v>
      </c>
      <c r="CH95" s="353" t="n">
        <f aca="true">IF(OR($D95&lt;&gt;"Serviço",AND(AUTOEVENTO="Manual",$M95=$A$15)),0,
         IF(OFFSET(CRONOPLE!$F$15,$M95-$A$15,CH$13)=0,10^12,OFFSET(CRONOPLE!$F$15,$M95-$A$15,CH$13)))</f>
        <v>16</v>
      </c>
      <c r="CI95" s="353" t="n">
        <f aca="true">IF(OR($D95&lt;&gt;"Serviço",AND(AUTOEVENTO="Manual",$M95=$A$15)),0,
         IF(OFFSET(CRONOPLE!$F$15,$M95-$A$15,CI$13)=0,10^12,OFFSET(CRONOPLE!$F$15,$M95-$A$15,CI$13)))</f>
        <v>17</v>
      </c>
      <c r="CJ95" s="353" t="n">
        <f aca="true">IF(OR($D95&lt;&gt;"Serviço",AND(AUTOEVENTO="Manual",$M95=$A$15)),0,
         IF(OFFSET(CRONOPLE!$F$15,$M95-$A$15,CJ$13)=0,10^12,OFFSET(CRONOPLE!$F$15,$M95-$A$15,CJ$13)))</f>
        <v>18</v>
      </c>
      <c r="CK95" s="353" t="n">
        <f aca="true">IF(OR($D95&lt;&gt;"Serviço",AND(AUTOEVENTO="Manual",$M95=$A$15)),0,
         IF(OFFSET(CRONOPLE!$F$15,$M95-$A$15,CK$13)=0,10^12,OFFSET(CRONOPLE!$F$15,$M95-$A$15,CK$13)))</f>
        <v>19</v>
      </c>
      <c r="CL95" s="353" t="n">
        <f aca="true">IF(OR($D95&lt;&gt;"Serviço",AND(AUTOEVENTO="Manual",$M95=$A$15)),0,
         IF(OFFSET(CRONOPLE!$F$15,$M95-$A$15,CL$13)=0,10^12,OFFSET(CRONOPLE!$F$15,$M95-$A$15,CL$13)))</f>
        <v>20</v>
      </c>
      <c r="CM95" s="353" t="n">
        <f aca="true">IF(OR($D95&lt;&gt;"Serviço",AND(AUTOEVENTO="Manual",$M95=$A$15)),0,
         IF(OFFSET(CRONOPLE!$F$15,$M95-$A$15,CM$13)=0,10^12,OFFSET(CRONOPLE!$F$15,$M95-$A$15,CM$13)))</f>
        <v>21</v>
      </c>
      <c r="CN95" s="353" t="n">
        <f aca="true">IF(OR($D95&lt;&gt;"Serviço",AND(AUTOEVENTO="Manual",$M95=$A$15)),0,
         IF(OFFSET(CRONOPLE!$F$15,$M95-$A$15,CN$13)=0,10^12,OFFSET(CRONOPLE!$F$15,$M95-$A$15,CN$13)))</f>
        <v>22</v>
      </c>
      <c r="CO95" s="353" t="n">
        <f aca="true">IF(OR($D95&lt;&gt;"Serviço",AND(AUTOEVENTO="Manual",$M95=$A$15)),0,
         IF(OFFSET(CRONOPLE!$F$15,$M95-$A$15,CO$13)=0,10^12,OFFSET(CRONOPLE!$F$15,$M95-$A$15,CO$13)))</f>
        <v>23</v>
      </c>
      <c r="CP95" s="353" t="n">
        <f aca="true">IF(OR($D95&lt;&gt;"Serviço",AND(AUTOEVENTO="Manual",$M95=$A$15)),0,
         IF(OFFSET(CRONOPLE!$F$15,$M95-$A$15,CP$13)=0,10^12,OFFSET(CRONOPLE!$F$15,$M95-$A$15,CP$13)))</f>
        <v>24</v>
      </c>
      <c r="CQ95" s="353" t="n">
        <f aca="true">IF(OR($D95&lt;&gt;"Serviço",AND(AUTOEVENTO="Manual",$M95=$A$15)),0,
         IF(OFFSET(CRONOPLE!$F$15,$M95-$A$15,CQ$13)=0,10^12,OFFSET(CRONOPLE!$F$15,$M95-$A$15,CQ$13)))</f>
        <v>25</v>
      </c>
      <c r="CR95" s="353" t="n">
        <f aca="true">IF(OR($D95&lt;&gt;"Serviço",AND(AUTOEVENTO="Manual",$M95=$A$15)),0,
         IF(OFFSET(CRONOPLE!$F$15,$M95-$A$15,CR$13)=0,10^12,OFFSET(CRONOPLE!$F$15,$M95-$A$15,CR$13)))</f>
        <v>1000000000000</v>
      </c>
      <c r="CT95" s="354" t="n">
        <f aca="true">IF(OR($D95&lt;&gt;"Serviço",AND(AUTOEVENTO="Manual",$M95=$A$15),$M95&gt;(ROW(PLE.lastrow)-ROW(PLE.firstrow))),0,
           IF(OFFSET(PLE!$G$15,$M95-$A$15,CT$13)="",10^12,OFFSET(PLE!$G$15,$M95-$A$15,CT$13)))</f>
        <v>1000000000000</v>
      </c>
      <c r="CU95" s="354" t="n">
        <f aca="true">IF(OR($D95&lt;&gt;"Serviço",AND(AUTOEVENTO="Manual",$M95=$A$15),$M95&gt;(ROW(PLE.lastrow)-ROW(PLE.firstrow))),0,
           IF(OFFSET(PLE!$G$15,$M95-$A$15,CU$13)="",10^12,OFFSET(PLE!$G$15,$M95-$A$15,CU$13)))</f>
        <v>1000000000000</v>
      </c>
      <c r="CV95" s="354" t="n">
        <f aca="true">IF(OR($D95&lt;&gt;"Serviço",AND(AUTOEVENTO="Manual",$M95=$A$15),$M95&gt;(ROW(PLE.lastrow)-ROW(PLE.firstrow))),0,
           IF(OFFSET(PLE!$G$15,$M95-$A$15,CV$13)="",10^12,OFFSET(PLE!$G$15,$M95-$A$15,CV$13)))</f>
        <v>1000000000000</v>
      </c>
      <c r="CW95" s="354" t="n">
        <f aca="true">IF(OR($D95&lt;&gt;"Serviço",AND(AUTOEVENTO="Manual",$M95=$A$15),$M95&gt;(ROW(PLE.lastrow)-ROW(PLE.firstrow))),0,
           IF(OFFSET(PLE!$G$15,$M95-$A$15,CW$13)="",10^12,OFFSET(PLE!$G$15,$M95-$A$15,CW$13)))</f>
        <v>1000000000000</v>
      </c>
      <c r="CX95" s="354" t="n">
        <f aca="true">IF(OR($D95&lt;&gt;"Serviço",AND(AUTOEVENTO="Manual",$M95=$A$15),$M95&gt;(ROW(PLE.lastrow)-ROW(PLE.firstrow))),0,
           IF(OFFSET(PLE!$G$15,$M95-$A$15,CX$13)="",10^12,OFFSET(PLE!$G$15,$M95-$A$15,CX$13)))</f>
        <v>1000000000000</v>
      </c>
      <c r="CY95" s="354" t="n">
        <f aca="true">IF(OR($D95&lt;&gt;"Serviço",AND(AUTOEVENTO="Manual",$M95=$A$15),$M95&gt;(ROW(PLE.lastrow)-ROW(PLE.firstrow))),0,
           IF(OFFSET(PLE!$G$15,$M95-$A$15,CY$13)="",10^12,OFFSET(PLE!$G$15,$M95-$A$15,CY$13)))</f>
        <v>1000000000000</v>
      </c>
      <c r="CZ95" s="354" t="n">
        <f aca="true">IF(OR($D95&lt;&gt;"Serviço",AND(AUTOEVENTO="Manual",$M95=$A$15),$M95&gt;(ROW(PLE.lastrow)-ROW(PLE.firstrow))),0,
           IF(OFFSET(PLE!$G$15,$M95-$A$15,CZ$13)="",10^12,OFFSET(PLE!$G$15,$M95-$A$15,CZ$13)))</f>
        <v>1000000000000</v>
      </c>
      <c r="DA95" s="354" t="n">
        <f aca="true">IF(OR($D95&lt;&gt;"Serviço",AND(AUTOEVENTO="Manual",$M95=$A$15),$M95&gt;(ROW(PLE.lastrow)-ROW(PLE.firstrow))),0,
           IF(OFFSET(PLE!$G$15,$M95-$A$15,DA$13)="",10^12,OFFSET(PLE!$G$15,$M95-$A$15,DA$13)))</f>
        <v>1000000000000</v>
      </c>
      <c r="DB95" s="354" t="n">
        <f aca="true">IF(OR($D95&lt;&gt;"Serviço",AND(AUTOEVENTO="Manual",$M95=$A$15),$M95&gt;(ROW(PLE.lastrow)-ROW(PLE.firstrow))),0,
           IF(OFFSET(PLE!$G$15,$M95-$A$15,DB$13)="",10^12,OFFSET(PLE!$G$15,$M95-$A$15,DB$13)))</f>
        <v>1000000000000</v>
      </c>
      <c r="DC95" s="354" t="n">
        <f aca="true">IF(OR($D95&lt;&gt;"Serviço",AND(AUTOEVENTO="Manual",$M95=$A$15),$M95&gt;(ROW(PLE.lastrow)-ROW(PLE.firstrow))),0,
           IF(OFFSET(PLE!$G$15,$M95-$A$15,DC$13)="",10^12,OFFSET(PLE!$G$15,$M95-$A$15,DC$13)))</f>
        <v>1000000000000</v>
      </c>
      <c r="DD95" s="354" t="n">
        <f aca="true">IF(OR($D95&lt;&gt;"Serviço",AND(AUTOEVENTO="Manual",$M95=$A$15),$M95&gt;(ROW(PLE.lastrow)-ROW(PLE.firstrow))),0,
           IF(OFFSET(PLE!$G$15,$M95-$A$15,DD$13)="",10^12,OFFSET(PLE!$G$15,$M95-$A$15,DD$13)))</f>
        <v>1000000000000</v>
      </c>
      <c r="DE95" s="354" t="n">
        <f aca="true">IF(OR($D95&lt;&gt;"Serviço",AND(AUTOEVENTO="Manual",$M95=$A$15),$M95&gt;(ROW(PLE.lastrow)-ROW(PLE.firstrow))),0,
           IF(OFFSET(PLE!$G$15,$M95-$A$15,DE$13)="",10^12,OFFSET(PLE!$G$15,$M95-$A$15,DE$13)))</f>
        <v>1000000000000</v>
      </c>
      <c r="DF95" s="354" t="n">
        <f aca="true">IF(OR($D95&lt;&gt;"Serviço",AND(AUTOEVENTO="Manual",$M95=$A$15),$M95&gt;(ROW(PLE.lastrow)-ROW(PLE.firstrow))),0,
           IF(OFFSET(PLE!$G$15,$M95-$A$15,DF$13)="",10^12,OFFSET(PLE!$G$15,$M95-$A$15,DF$13)))</f>
        <v>1000000000000</v>
      </c>
      <c r="DG95" s="354" t="n">
        <f aca="true">IF(OR($D95&lt;&gt;"Serviço",AND(AUTOEVENTO="Manual",$M95=$A$15),$M95&gt;(ROW(PLE.lastrow)-ROW(PLE.firstrow))),0,
           IF(OFFSET(PLE!$G$15,$M95-$A$15,DG$13)="",10^12,OFFSET(PLE!$G$15,$M95-$A$15,DG$13)))</f>
        <v>1000000000000</v>
      </c>
      <c r="DH95" s="354" t="n">
        <f aca="true">IF(OR($D95&lt;&gt;"Serviço",AND(AUTOEVENTO="Manual",$M95=$A$15),$M95&gt;(ROW(PLE.lastrow)-ROW(PLE.firstrow))),0,
           IF(OFFSET(PLE!$G$15,$M95-$A$15,DH$13)="",10^12,OFFSET(PLE!$G$15,$M95-$A$15,DH$13)))</f>
        <v>1000000000000</v>
      </c>
      <c r="DI95" s="354" t="n">
        <f aca="true">IF(OR($D95&lt;&gt;"Serviço",AND(AUTOEVENTO="Manual",$M95=$A$15),$M95&gt;(ROW(PLE.lastrow)-ROW(PLE.firstrow))),0,
           IF(OFFSET(PLE!$G$15,$M95-$A$15,DI$13)="",10^12,OFFSET(PLE!$G$15,$M95-$A$15,DI$13)))</f>
        <v>1000000000000</v>
      </c>
      <c r="DJ95" s="354" t="n">
        <f aca="true">IF(OR($D95&lt;&gt;"Serviço",AND(AUTOEVENTO="Manual",$M95=$A$15),$M95&gt;(ROW(PLE.lastrow)-ROW(PLE.firstrow))),0,
           IF(OFFSET(PLE!$G$15,$M95-$A$15,DJ$13)="",10^12,OFFSET(PLE!$G$15,$M95-$A$15,DJ$13)))</f>
        <v>1000000000000</v>
      </c>
      <c r="DK95" s="354" t="n">
        <f aca="true">IF(OR($D95&lt;&gt;"Serviço",AND(AUTOEVENTO="Manual",$M95=$A$15),$M95&gt;(ROW(PLE.lastrow)-ROW(PLE.firstrow))),0,
           IF(OFFSET(PLE!$G$15,$M95-$A$15,DK$13)="",10^12,OFFSET(PLE!$G$15,$M95-$A$15,DK$13)))</f>
        <v>1000000000000</v>
      </c>
      <c r="DL95" s="354" t="n">
        <f aca="true">IF(OR($D95&lt;&gt;"Serviço",AND(AUTOEVENTO="Manual",$M95=$A$15),$M95&gt;(ROW(PLE.lastrow)-ROW(PLE.firstrow))),0,
           IF(OFFSET(PLE!$G$15,$M95-$A$15,DL$13)="",10^12,OFFSET(PLE!$G$15,$M95-$A$15,DL$13)))</f>
        <v>1000000000000</v>
      </c>
      <c r="DM95" s="354" t="n">
        <f aca="true">IF(OR($D95&lt;&gt;"Serviço",AND(AUTOEVENTO="Manual",$M95=$A$15),$M95&gt;(ROW(PLE.lastrow)-ROW(PLE.firstrow))),0,
           IF(OFFSET(PLE!$G$15,$M95-$A$15,DM$13)="",10^12,OFFSET(PLE!$G$15,$M95-$A$15,DM$13)))</f>
        <v>1000000000000</v>
      </c>
      <c r="DN95" s="354" t="n">
        <f aca="true">IF(OR($D95&lt;&gt;"Serviço",AND(AUTOEVENTO="Manual",$M95=$A$15),$M95&gt;(ROW(PLE.lastrow)-ROW(PLE.firstrow))),0,
           IF(OFFSET(PLE!$G$15,$M95-$A$15,DN$13)="",10^12,OFFSET(PLE!$G$15,$M95-$A$15,DN$13)))</f>
        <v>1000000000000</v>
      </c>
      <c r="DO95" s="354" t="n">
        <f aca="true">IF(OR($D95&lt;&gt;"Serviço",AND(AUTOEVENTO="Manual",$M95=$A$15),$M95&gt;(ROW(PLE.lastrow)-ROW(PLE.firstrow))),0,
           IF(OFFSET(PLE!$G$15,$M95-$A$15,DO$13)="",10^12,OFFSET(PLE!$G$15,$M95-$A$15,DO$13)))</f>
        <v>1000000000000</v>
      </c>
      <c r="DP95" s="354" t="n">
        <f aca="true">IF(OR($D95&lt;&gt;"Serviço",AND(AUTOEVENTO="Manual",$M95=$A$15),$M95&gt;(ROW(PLE.lastrow)-ROW(PLE.firstrow))),0,
           IF(OFFSET(PLE!$G$15,$M95-$A$15,DP$13)="",10^12,OFFSET(PLE!$G$15,$M95-$A$15,DP$13)))</f>
        <v>1000000000000</v>
      </c>
      <c r="DQ95" s="354" t="n">
        <f aca="true">IF(OR($D95&lt;&gt;"Serviço",AND(AUTOEVENTO="Manual",$M95=$A$15),$M95&gt;(ROW(PLE.lastrow)-ROW(PLE.firstrow))),0,
           IF(OFFSET(PLE!$G$15,$M95-$A$15,DQ$13)="",10^12,OFFSET(PLE!$G$15,$M95-$A$15,DQ$13)))</f>
        <v>1000000000000</v>
      </c>
      <c r="DR95" s="354" t="n">
        <f aca="true">IF(OR($D95&lt;&gt;"Serviço",AND(AUTOEVENTO="Manual",$M95=$A$15),$M95&gt;(ROW(PLE.lastrow)-ROW(PLE.firstrow))),0,
           IF(OFFSET(PLE!$G$15,$M95-$A$15,DR$13)="",10^12,OFFSET(PLE!$G$15,$M95-$A$15,DR$13)))</f>
        <v>1000000000000</v>
      </c>
      <c r="DS95" s="354" t="n">
        <f aca="true">IF(OR($D95&lt;&gt;"Serviço",AND(AUTOEVENTO="Manual",$M95=$A$15),$M95&gt;(ROW(PLE.lastrow)-ROW(PLE.firstrow))),0,
           IF(OFFSET(PLE!$G$15,$M95-$A$15,DS$13)="",10^12,OFFSET(PLE!$G$15,$M95-$A$15,DS$13)))</f>
        <v>1000000000000</v>
      </c>
    </row>
    <row r="96" customFormat="false" ht="35.05" hidden="false" customHeight="false" outlineLevel="0" collapsed="false">
      <c r="A96" s="50" t="str">
        <f aca="true">IFERROR(IF(AUTOEVENTO="Manual",IF(K96&lt;&gt;"",MIN(VALUE(LEFT(K96,FIND(".",K96)-1)),COUNTA(EVENTOS.Lista)),0),IF(OR($B96&gt;AUTOEVENTO,$B96="S",$B96=0),SUBSTITUTE(OFFSET($A96,-1,0),IF($D96="Serviço",".",""),""),ROW(A96)-ROW($A$15)&amp;".")),0)</f>
        <v>79</v>
      </c>
      <c r="B96" s="50" t="str">
        <f aca="true">OFFSET(ORÇAMENTO!C$15,ROW(B96)-ROW(B$15),0)</f>
        <v>S</v>
      </c>
      <c r="C96" s="50" t="str">
        <f aca="true">OFFSET(ORÇAMENTO!L$15,ROW(C96)-ROW(C$15),0)</f>
        <v>F</v>
      </c>
      <c r="D96" s="201" t="str">
        <f aca="true">OFFSET(ORÇAMENTO!N$15,ROW(D96)-ROW(D$15),0)</f>
        <v>Serviço</v>
      </c>
      <c r="E96" s="202" t="str">
        <f aca="true">OFFSET(ORÇAMENTO!O$15,ROW(E96)-ROW(E$15),0)</f>
        <v>1.24.2.</v>
      </c>
      <c r="F96" s="341" t="str">
        <f aca="true">OFFSET(ORÇAMENTO!R$15,ROW(F96)-ROW(F$15),0)</f>
        <v>PINTURA LÁTEX ACRÍLICA STANDARD, APLICAÇÃO MANUAL EM PAREDES, DUAS DEMÃOS. AF_04/2023</v>
      </c>
      <c r="G96" s="342" t="str">
        <f aca="true">IF($D96&lt;&gt;"Serviço","",OFFSET(ORÇAMENTO!S$15,ROW(G96)-ROW(G$15),0))</f>
        <v>M2</v>
      </c>
      <c r="H96" s="207" t="n">
        <f aca="true">IF($D96&lt;&gt;"Serviço",0,IF(ACOMPANHAMENTO="BM",ROUND(OFFSET(ORÇAMENTO!AJ$15,ROW(H96)-ROW(H$15),0),15-13*ORÇAMENTO!$AF$7),SUMPRODUCT(($Q$1:$AQ$1=1)*ROUND($Q96:$AQ96,15-13*ORÇAMENTO!$AF$7))))</f>
        <v>3307.25</v>
      </c>
      <c r="I96" s="343" t="s">
        <v>960</v>
      </c>
      <c r="J96" s="344" t="e">
        <f aca="false">IF(OR(B96&lt;&gt;"S",CÁLCULO.FrentesPreenchidas=0),"",IF(AND(ACOMPANHAMENTO="PLE",AUTOEVENTO="Manual",OR(H96&gt;0,ORÇAMENTO!AC96="QUANT."),OR(K96="",M96=0,N96="")),"►",IF(AND(ACOMPANHAMENTO="PLE",ORÇAMENTO!AC96="QUANT."),"►►",IF(AND(COUNTIF($P$11:$AQ$11,"▼")=0,H96&gt;0,I96=""),"◄",""))))</f>
        <v>#NAME?</v>
      </c>
      <c r="K96" s="345"/>
      <c r="L96" s="346" t="s">
        <v>876</v>
      </c>
      <c r="M96" s="347" t="n">
        <f aca="true">IF($D96&lt;&gt;"Serviço","",
          IF(AUTOEVENTO="manual",$A96,
                IF(ISERROR(MATCH($A96,$A$15:OFFSET($A96,-1,0),0)),MAX($M$15:OFFSET(M96,-1,0))+1,
                      INDEX($M$15:OFFSET(M96,-1,0),MATCH($A96,$A$15:OFFSET($A96,-1,0),0)))))</f>
        <v>16</v>
      </c>
      <c r="N96" s="348" t="str">
        <f aca="true">IF($D96&lt;&gt;"Serviço","",
         IF(AUTOEVENTO="Manual",
                IF($A96=0,"&lt;-- defina o número do agrupador",
                       OFFSET(EVENTOS!$D$15,$A96-$A$15,0)),
                OFFSET($F$15,$A96,0)))</f>
        <v>PINTURAS EXTERNAS</v>
      </c>
      <c r="O96" s="349"/>
      <c r="Q96" s="349" t="n">
        <v>132.29</v>
      </c>
      <c r="R96" s="350" t="n">
        <f aca="false">Q96</f>
        <v>132.29</v>
      </c>
      <c r="S96" s="350" t="n">
        <f aca="false">R96</f>
        <v>132.29</v>
      </c>
      <c r="T96" s="350" t="n">
        <f aca="false">S96</f>
        <v>132.29</v>
      </c>
      <c r="U96" s="350" t="n">
        <f aca="false">T96</f>
        <v>132.29</v>
      </c>
      <c r="V96" s="350" t="n">
        <f aca="false">U96</f>
        <v>132.29</v>
      </c>
      <c r="W96" s="350" t="n">
        <f aca="false">V96</f>
        <v>132.29</v>
      </c>
      <c r="X96" s="350" t="n">
        <f aca="false">W96</f>
        <v>132.29</v>
      </c>
      <c r="Y96" s="350" t="n">
        <f aca="false">X96</f>
        <v>132.29</v>
      </c>
      <c r="Z96" s="351" t="n">
        <f aca="false">Y96</f>
        <v>132.29</v>
      </c>
      <c r="AA96" s="350" t="n">
        <f aca="false">Z96</f>
        <v>132.29</v>
      </c>
      <c r="AB96" s="350" t="n">
        <f aca="false">AA96</f>
        <v>132.29</v>
      </c>
      <c r="AC96" s="350" t="n">
        <f aca="false">AB96</f>
        <v>132.29</v>
      </c>
      <c r="AD96" s="350" t="n">
        <f aca="false">AC96</f>
        <v>132.29</v>
      </c>
      <c r="AE96" s="350" t="n">
        <f aca="false">AD96</f>
        <v>132.29</v>
      </c>
      <c r="AF96" s="350" t="n">
        <f aca="false">AE96</f>
        <v>132.29</v>
      </c>
      <c r="AG96" s="350" t="n">
        <f aca="false">AF96</f>
        <v>132.29</v>
      </c>
      <c r="AH96" s="351" t="n">
        <f aca="false">AG96</f>
        <v>132.29</v>
      </c>
      <c r="AI96" s="350" t="n">
        <f aca="false">AH96</f>
        <v>132.29</v>
      </c>
      <c r="AJ96" s="350" t="n">
        <f aca="false">AI96</f>
        <v>132.29</v>
      </c>
      <c r="AK96" s="350" t="n">
        <f aca="false">AJ96</f>
        <v>132.29</v>
      </c>
      <c r="AL96" s="350" t="n">
        <f aca="false">AK96</f>
        <v>132.29</v>
      </c>
      <c r="AM96" s="350" t="n">
        <f aca="false">AL96</f>
        <v>132.29</v>
      </c>
      <c r="AN96" s="350" t="n">
        <f aca="false">AM96</f>
        <v>132.29</v>
      </c>
      <c r="AO96" s="350" t="n">
        <f aca="false">AN96</f>
        <v>132.29</v>
      </c>
      <c r="AP96" s="351"/>
      <c r="AR96" s="352" t="n">
        <f aca="true">IF(AND($D96="Serviço",AR$12&lt;&gt;0,$H96&gt;0,OR(AUTOEVENTO&lt;&gt;"manual",$M96&lt;&gt;$A$15)),
        IF(Import.TipoArredondamento&lt;&gt;"TransfereGOV",
              ROUND(OFFSET($P96,0,AR$13),15-13*ORÇAMENTO!$AF$7)/$H96*OFFSET(ORÇAMENTO!$X$15,ROW(AR96)-ROW(AR$15),0),
              ROUND(ROUND(OFFSET($P96,0,AR$13),15-13*ORÇAMENTO!$AF$7)*OFFSET(ORÇAMENTO!$W$15,ROW(AR96)-ROW(AR$15),0),15-13*ORÇAMENTO!$AF$11)),
         0)</f>
        <v>1840.15</v>
      </c>
      <c r="AS96" s="352" t="n">
        <f aca="true">IF(AND($D96="Serviço",AS$12&lt;&gt;0,$H96&gt;0,OR(AUTOEVENTO&lt;&gt;"manual",$M96&lt;&gt;$A$15)),
        IF(Import.TipoArredondamento&lt;&gt;"TransfereGOV",
              ROUND(OFFSET($P96,0,AS$13),15-13*ORÇAMENTO!$AF$7)/$H96*OFFSET(ORÇAMENTO!$X$15,ROW(AS96)-ROW(AS$15),0),
              ROUND(ROUND(OFFSET($P96,0,AS$13),15-13*ORÇAMENTO!$AF$7)*OFFSET(ORÇAMENTO!$W$15,ROW(AS96)-ROW(AS$15),0),15-13*ORÇAMENTO!$AF$11)),
         0)</f>
        <v>1840.15</v>
      </c>
      <c r="AT96" s="352" t="n">
        <f aca="true">IF(AND($D96="Serviço",AT$12&lt;&gt;0,$H96&gt;0,OR(AUTOEVENTO&lt;&gt;"manual",$M96&lt;&gt;$A$15)),
        IF(Import.TipoArredondamento&lt;&gt;"TransfereGOV",
              ROUND(OFFSET($P96,0,AT$13),15-13*ORÇAMENTO!$AF$7)/$H96*OFFSET(ORÇAMENTO!$X$15,ROW(AT96)-ROW(AT$15),0),
              ROUND(ROUND(OFFSET($P96,0,AT$13),15-13*ORÇAMENTO!$AF$7)*OFFSET(ORÇAMENTO!$W$15,ROW(AT96)-ROW(AT$15),0),15-13*ORÇAMENTO!$AF$11)),
         0)</f>
        <v>1840.15</v>
      </c>
      <c r="AU96" s="352" t="n">
        <f aca="true">IF(AND($D96="Serviço",AU$12&lt;&gt;0,$H96&gt;0,OR(AUTOEVENTO&lt;&gt;"manual",$M96&lt;&gt;$A$15)),
        IF(Import.TipoArredondamento&lt;&gt;"TransfereGOV",
              ROUND(OFFSET($P96,0,AU$13),15-13*ORÇAMENTO!$AF$7)/$H96*OFFSET(ORÇAMENTO!$X$15,ROW(AU96)-ROW(AU$15),0),
              ROUND(ROUND(OFFSET($P96,0,AU$13),15-13*ORÇAMENTO!$AF$7)*OFFSET(ORÇAMENTO!$W$15,ROW(AU96)-ROW(AU$15),0),15-13*ORÇAMENTO!$AF$11)),
         0)</f>
        <v>1840.15</v>
      </c>
      <c r="AV96" s="352" t="n">
        <f aca="true">IF(AND($D96="Serviço",AV$12&lt;&gt;0,$H96&gt;0,OR(AUTOEVENTO&lt;&gt;"manual",$M96&lt;&gt;$A$15)),
        IF(Import.TipoArredondamento&lt;&gt;"TransfereGOV",
              ROUND(OFFSET($P96,0,AV$13),15-13*ORÇAMENTO!$AF$7)/$H96*OFFSET(ORÇAMENTO!$X$15,ROW(AV96)-ROW(AV$15),0),
              ROUND(ROUND(OFFSET($P96,0,AV$13),15-13*ORÇAMENTO!$AF$7)*OFFSET(ORÇAMENTO!$W$15,ROW(AV96)-ROW(AV$15),0),15-13*ORÇAMENTO!$AF$11)),
         0)</f>
        <v>1840.15</v>
      </c>
      <c r="AW96" s="352" t="n">
        <f aca="true">IF(AND($D96="Serviço",AW$12&lt;&gt;0,$H96&gt;0,OR(AUTOEVENTO&lt;&gt;"manual",$M96&lt;&gt;$A$15)),
        IF(Import.TipoArredondamento&lt;&gt;"TransfereGOV",
              ROUND(OFFSET($P96,0,AW$13),15-13*ORÇAMENTO!$AF$7)/$H96*OFFSET(ORÇAMENTO!$X$15,ROW(AW96)-ROW(AW$15),0),
              ROUND(ROUND(OFFSET($P96,0,AW$13),15-13*ORÇAMENTO!$AF$7)*OFFSET(ORÇAMENTO!$W$15,ROW(AW96)-ROW(AW$15),0),15-13*ORÇAMENTO!$AF$11)),
         0)</f>
        <v>1840.15</v>
      </c>
      <c r="AX96" s="352" t="n">
        <f aca="true">IF(AND($D96="Serviço",AX$12&lt;&gt;0,$H96&gt;0,OR(AUTOEVENTO&lt;&gt;"manual",$M96&lt;&gt;$A$15)),
        IF(Import.TipoArredondamento&lt;&gt;"TransfereGOV",
              ROUND(OFFSET($P96,0,AX$13),15-13*ORÇAMENTO!$AF$7)/$H96*OFFSET(ORÇAMENTO!$X$15,ROW(AX96)-ROW(AX$15),0),
              ROUND(ROUND(OFFSET($P96,0,AX$13),15-13*ORÇAMENTO!$AF$7)*OFFSET(ORÇAMENTO!$W$15,ROW(AX96)-ROW(AX$15),0),15-13*ORÇAMENTO!$AF$11)),
         0)</f>
        <v>1840.15</v>
      </c>
      <c r="AY96" s="352" t="n">
        <f aca="true">IF(AND($D96="Serviço",AY$12&lt;&gt;0,$H96&gt;0,OR(AUTOEVENTO&lt;&gt;"manual",$M96&lt;&gt;$A$15)),
        IF(Import.TipoArredondamento&lt;&gt;"TransfereGOV",
              ROUND(OFFSET($P96,0,AY$13),15-13*ORÇAMENTO!$AF$7)/$H96*OFFSET(ORÇAMENTO!$X$15,ROW(AY96)-ROW(AY$15),0),
              ROUND(ROUND(OFFSET($P96,0,AY$13),15-13*ORÇAMENTO!$AF$7)*OFFSET(ORÇAMENTO!$W$15,ROW(AY96)-ROW(AY$15),0),15-13*ORÇAMENTO!$AF$11)),
         0)</f>
        <v>1840.15</v>
      </c>
      <c r="AZ96" s="352" t="n">
        <f aca="true">IF(AND($D96="Serviço",AZ$12&lt;&gt;0,$H96&gt;0,OR(AUTOEVENTO&lt;&gt;"manual",$M96&lt;&gt;$A$15)),
        IF(Import.TipoArredondamento&lt;&gt;"TransfereGOV",
              ROUND(OFFSET($P96,0,AZ$13),15-13*ORÇAMENTO!$AF$7)/$H96*OFFSET(ORÇAMENTO!$X$15,ROW(AZ96)-ROW(AZ$15),0),
              ROUND(ROUND(OFFSET($P96,0,AZ$13),15-13*ORÇAMENTO!$AF$7)*OFFSET(ORÇAMENTO!$W$15,ROW(AZ96)-ROW(AZ$15),0),15-13*ORÇAMENTO!$AF$11)),
         0)</f>
        <v>1840.15</v>
      </c>
      <c r="BA96" s="352" t="n">
        <f aca="true">IF(AND($D96="Serviço",BA$12&lt;&gt;0,$H96&gt;0,OR(AUTOEVENTO&lt;&gt;"manual",$M96&lt;&gt;$A$15)),
        IF(Import.TipoArredondamento&lt;&gt;"TransfereGOV",
              ROUND(OFFSET($P96,0,BA$13),15-13*ORÇAMENTO!$AF$7)/$H96*OFFSET(ORÇAMENTO!$X$15,ROW(BA96)-ROW(BA$15),0),
              ROUND(ROUND(OFFSET($P96,0,BA$13),15-13*ORÇAMENTO!$AF$7)*OFFSET(ORÇAMENTO!$W$15,ROW(BA96)-ROW(BA$15),0),15-13*ORÇAMENTO!$AF$11)),
         0)</f>
        <v>1840.15</v>
      </c>
      <c r="BB96" s="352" t="n">
        <f aca="true">IF(AND($D96="Serviço",BB$12&lt;&gt;0,$H96&gt;0,OR(AUTOEVENTO&lt;&gt;"manual",$M96&lt;&gt;$A$15)),
        IF(Import.TipoArredondamento&lt;&gt;"TransfereGOV",
              ROUND(OFFSET($P96,0,BB$13),15-13*ORÇAMENTO!$AF$7)/$H96*OFFSET(ORÇAMENTO!$X$15,ROW(BB96)-ROW(BB$15),0),
              ROUND(ROUND(OFFSET($P96,0,BB$13),15-13*ORÇAMENTO!$AF$7)*OFFSET(ORÇAMENTO!$W$15,ROW(BB96)-ROW(BB$15),0),15-13*ORÇAMENTO!$AF$11)),
         0)</f>
        <v>1840.15</v>
      </c>
      <c r="BC96" s="352" t="n">
        <f aca="true">IF(AND($D96="Serviço",BC$12&lt;&gt;0,$H96&gt;0,OR(AUTOEVENTO&lt;&gt;"manual",$M96&lt;&gt;$A$15)),
        IF(Import.TipoArredondamento&lt;&gt;"TransfereGOV",
              ROUND(OFFSET($P96,0,BC$13),15-13*ORÇAMENTO!$AF$7)/$H96*OFFSET(ORÇAMENTO!$X$15,ROW(BC96)-ROW(BC$15),0),
              ROUND(ROUND(OFFSET($P96,0,BC$13),15-13*ORÇAMENTO!$AF$7)*OFFSET(ORÇAMENTO!$W$15,ROW(BC96)-ROW(BC$15),0),15-13*ORÇAMENTO!$AF$11)),
         0)</f>
        <v>1840.15</v>
      </c>
      <c r="BD96" s="352" t="n">
        <f aca="true">IF(AND($D96="Serviço",BD$12&lt;&gt;0,$H96&gt;0,OR(AUTOEVENTO&lt;&gt;"manual",$M96&lt;&gt;$A$15)),
        IF(Import.TipoArredondamento&lt;&gt;"TransfereGOV",
              ROUND(OFFSET($P96,0,BD$13),15-13*ORÇAMENTO!$AF$7)/$H96*OFFSET(ORÇAMENTO!$X$15,ROW(BD96)-ROW(BD$15),0),
              ROUND(ROUND(OFFSET($P96,0,BD$13),15-13*ORÇAMENTO!$AF$7)*OFFSET(ORÇAMENTO!$W$15,ROW(BD96)-ROW(BD$15),0),15-13*ORÇAMENTO!$AF$11)),
         0)</f>
        <v>1840.15</v>
      </c>
      <c r="BE96" s="352" t="n">
        <f aca="true">IF(AND($D96="Serviço",BE$12&lt;&gt;0,$H96&gt;0,OR(AUTOEVENTO&lt;&gt;"manual",$M96&lt;&gt;$A$15)),
        IF(Import.TipoArredondamento&lt;&gt;"TransfereGOV",
              ROUND(OFFSET($P96,0,BE$13),15-13*ORÇAMENTO!$AF$7)/$H96*OFFSET(ORÇAMENTO!$X$15,ROW(BE96)-ROW(BE$15),0),
              ROUND(ROUND(OFFSET($P96,0,BE$13),15-13*ORÇAMENTO!$AF$7)*OFFSET(ORÇAMENTO!$W$15,ROW(BE96)-ROW(BE$15),0),15-13*ORÇAMENTO!$AF$11)),
         0)</f>
        <v>1840.15</v>
      </c>
      <c r="BF96" s="352" t="n">
        <f aca="true">IF(AND($D96="Serviço",BF$12&lt;&gt;0,$H96&gt;0,OR(AUTOEVENTO&lt;&gt;"manual",$M96&lt;&gt;$A$15)),
        IF(Import.TipoArredondamento&lt;&gt;"TransfereGOV",
              ROUND(OFFSET($P96,0,BF$13),15-13*ORÇAMENTO!$AF$7)/$H96*OFFSET(ORÇAMENTO!$X$15,ROW(BF96)-ROW(BF$15),0),
              ROUND(ROUND(OFFSET($P96,0,BF$13),15-13*ORÇAMENTO!$AF$7)*OFFSET(ORÇAMENTO!$W$15,ROW(BF96)-ROW(BF$15),0),15-13*ORÇAMENTO!$AF$11)),
         0)</f>
        <v>1840.15</v>
      </c>
      <c r="BG96" s="352" t="n">
        <f aca="true">IF(AND($D96="Serviço",BG$12&lt;&gt;0,$H96&gt;0,OR(AUTOEVENTO&lt;&gt;"manual",$M96&lt;&gt;$A$15)),
        IF(Import.TipoArredondamento&lt;&gt;"TransfereGOV",
              ROUND(OFFSET($P96,0,BG$13),15-13*ORÇAMENTO!$AF$7)/$H96*OFFSET(ORÇAMENTO!$X$15,ROW(BG96)-ROW(BG$15),0),
              ROUND(ROUND(OFFSET($P96,0,BG$13),15-13*ORÇAMENTO!$AF$7)*OFFSET(ORÇAMENTO!$W$15,ROW(BG96)-ROW(BG$15),0),15-13*ORÇAMENTO!$AF$11)),
         0)</f>
        <v>1840.15</v>
      </c>
      <c r="BH96" s="352" t="n">
        <f aca="true">IF(AND($D96="Serviço",BH$12&lt;&gt;0,$H96&gt;0,OR(AUTOEVENTO&lt;&gt;"manual",$M96&lt;&gt;$A$15)),
        IF(Import.TipoArredondamento&lt;&gt;"TransfereGOV",
              ROUND(OFFSET($P96,0,BH$13),15-13*ORÇAMENTO!$AF$7)/$H96*OFFSET(ORÇAMENTO!$X$15,ROW(BH96)-ROW(BH$15),0),
              ROUND(ROUND(OFFSET($P96,0,BH$13),15-13*ORÇAMENTO!$AF$7)*OFFSET(ORÇAMENTO!$W$15,ROW(BH96)-ROW(BH$15),0),15-13*ORÇAMENTO!$AF$11)),
         0)</f>
        <v>1840.15</v>
      </c>
      <c r="BI96" s="352" t="n">
        <f aca="true">IF(AND($D96="Serviço",BI$12&lt;&gt;0,$H96&gt;0,OR(AUTOEVENTO&lt;&gt;"manual",$M96&lt;&gt;$A$15)),
        IF(Import.TipoArredondamento&lt;&gt;"TransfereGOV",
              ROUND(OFFSET($P96,0,BI$13),15-13*ORÇAMENTO!$AF$7)/$H96*OFFSET(ORÇAMENTO!$X$15,ROW(BI96)-ROW(BI$15),0),
              ROUND(ROUND(OFFSET($P96,0,BI$13),15-13*ORÇAMENTO!$AF$7)*OFFSET(ORÇAMENTO!$W$15,ROW(BI96)-ROW(BI$15),0),15-13*ORÇAMENTO!$AF$11)),
         0)</f>
        <v>1840.15</v>
      </c>
      <c r="BJ96" s="352" t="n">
        <f aca="true">IF(AND($D96="Serviço",BJ$12&lt;&gt;0,$H96&gt;0,OR(AUTOEVENTO&lt;&gt;"manual",$M96&lt;&gt;$A$15)),
        IF(Import.TipoArredondamento&lt;&gt;"TransfereGOV",
              ROUND(OFFSET($P96,0,BJ$13),15-13*ORÇAMENTO!$AF$7)/$H96*OFFSET(ORÇAMENTO!$X$15,ROW(BJ96)-ROW(BJ$15),0),
              ROUND(ROUND(OFFSET($P96,0,BJ$13),15-13*ORÇAMENTO!$AF$7)*OFFSET(ORÇAMENTO!$W$15,ROW(BJ96)-ROW(BJ$15),0),15-13*ORÇAMENTO!$AF$11)),
         0)</f>
        <v>1840.15</v>
      </c>
      <c r="BK96" s="352" t="n">
        <f aca="true">IF(AND($D96="Serviço",BK$12&lt;&gt;0,$H96&gt;0,OR(AUTOEVENTO&lt;&gt;"manual",$M96&lt;&gt;$A$15)),
        IF(Import.TipoArredondamento&lt;&gt;"TransfereGOV",
              ROUND(OFFSET($P96,0,BK$13),15-13*ORÇAMENTO!$AF$7)/$H96*OFFSET(ORÇAMENTO!$X$15,ROW(BK96)-ROW(BK$15),0),
              ROUND(ROUND(OFFSET($P96,0,BK$13),15-13*ORÇAMENTO!$AF$7)*OFFSET(ORÇAMENTO!$W$15,ROW(BK96)-ROW(BK$15),0),15-13*ORÇAMENTO!$AF$11)),
         0)</f>
        <v>1840.15</v>
      </c>
      <c r="BL96" s="352" t="n">
        <f aca="true">IF(AND($D96="Serviço",BL$12&lt;&gt;0,$H96&gt;0,OR(AUTOEVENTO&lt;&gt;"manual",$M96&lt;&gt;$A$15)),
        IF(Import.TipoArredondamento&lt;&gt;"TransfereGOV",
              ROUND(OFFSET($P96,0,BL$13),15-13*ORÇAMENTO!$AF$7)/$H96*OFFSET(ORÇAMENTO!$X$15,ROW(BL96)-ROW(BL$15),0),
              ROUND(ROUND(OFFSET($P96,0,BL$13),15-13*ORÇAMENTO!$AF$7)*OFFSET(ORÇAMENTO!$W$15,ROW(BL96)-ROW(BL$15),0),15-13*ORÇAMENTO!$AF$11)),
         0)</f>
        <v>1840.15</v>
      </c>
      <c r="BM96" s="352" t="n">
        <f aca="true">IF(AND($D96="Serviço",BM$12&lt;&gt;0,$H96&gt;0,OR(AUTOEVENTO&lt;&gt;"manual",$M96&lt;&gt;$A$15)),
        IF(Import.TipoArredondamento&lt;&gt;"TransfereGOV",
              ROUND(OFFSET($P96,0,BM$13),15-13*ORÇAMENTO!$AF$7)/$H96*OFFSET(ORÇAMENTO!$X$15,ROW(BM96)-ROW(BM$15),0),
              ROUND(ROUND(OFFSET($P96,0,BM$13),15-13*ORÇAMENTO!$AF$7)*OFFSET(ORÇAMENTO!$W$15,ROW(BM96)-ROW(BM$15),0),15-13*ORÇAMENTO!$AF$11)),
         0)</f>
        <v>1840.15</v>
      </c>
      <c r="BN96" s="352" t="n">
        <f aca="true">IF(AND($D96="Serviço",BN$12&lt;&gt;0,$H96&gt;0,OR(AUTOEVENTO&lt;&gt;"manual",$M96&lt;&gt;$A$15)),
        IF(Import.TipoArredondamento&lt;&gt;"TransfereGOV",
              ROUND(OFFSET($P96,0,BN$13),15-13*ORÇAMENTO!$AF$7)/$H96*OFFSET(ORÇAMENTO!$X$15,ROW(BN96)-ROW(BN$15),0),
              ROUND(ROUND(OFFSET($P96,0,BN$13),15-13*ORÇAMENTO!$AF$7)*OFFSET(ORÇAMENTO!$W$15,ROW(BN96)-ROW(BN$15),0),15-13*ORÇAMENTO!$AF$11)),
         0)</f>
        <v>1840.15</v>
      </c>
      <c r="BO96" s="352" t="n">
        <f aca="true">IF(AND($D96="Serviço",BO$12&lt;&gt;0,$H96&gt;0,OR(AUTOEVENTO&lt;&gt;"manual",$M96&lt;&gt;$A$15)),
        IF(Import.TipoArredondamento&lt;&gt;"TransfereGOV",
              ROUND(OFFSET($P96,0,BO$13),15-13*ORÇAMENTO!$AF$7)/$H96*OFFSET(ORÇAMENTO!$X$15,ROW(BO96)-ROW(BO$15),0),
              ROUND(ROUND(OFFSET($P96,0,BO$13),15-13*ORÇAMENTO!$AF$7)*OFFSET(ORÇAMENTO!$W$15,ROW(BO96)-ROW(BO$15),0),15-13*ORÇAMENTO!$AF$11)),
         0)</f>
        <v>1840.15</v>
      </c>
      <c r="BP96" s="352" t="n">
        <f aca="true">IF(AND($D96="Serviço",BP$12&lt;&gt;0,$H96&gt;0,OR(AUTOEVENTO&lt;&gt;"manual",$M96&lt;&gt;$A$15)),
        IF(Import.TipoArredondamento&lt;&gt;"TransfereGOV",
              ROUND(OFFSET($P96,0,BP$13),15-13*ORÇAMENTO!$AF$7)/$H96*OFFSET(ORÇAMENTO!$X$15,ROW(BP96)-ROW(BP$15),0),
              ROUND(ROUND(OFFSET($P96,0,BP$13),15-13*ORÇAMENTO!$AF$7)*OFFSET(ORÇAMENTO!$W$15,ROW(BP96)-ROW(BP$15),0),15-13*ORÇAMENTO!$AF$11)),
         0)</f>
        <v>1840.15</v>
      </c>
      <c r="BQ96" s="352" t="n">
        <f aca="true">IF(AND($D96="Serviço",BQ$12&lt;&gt;0,$H96&gt;0,OR(AUTOEVENTO&lt;&gt;"manual",$M96&lt;&gt;$A$15)),
        IF(Import.TipoArredondamento&lt;&gt;"TransfereGOV",
              ROUND(OFFSET($P96,0,BQ$13),15-13*ORÇAMENTO!$AF$7)/$H96*OFFSET(ORÇAMENTO!$X$15,ROW(BQ96)-ROW(BQ$15),0),
              ROUND(ROUND(OFFSET($P96,0,BQ$13),15-13*ORÇAMENTO!$AF$7)*OFFSET(ORÇAMENTO!$W$15,ROW(BQ96)-ROW(BQ$15),0),15-13*ORÇAMENTO!$AF$11)),
         0)</f>
        <v>0</v>
      </c>
      <c r="BS96" s="353" t="n">
        <f aca="true">IF(OR($D96&lt;&gt;"Serviço",AND(AUTOEVENTO="Manual",$M96=$A$15)),0,
         IF(OFFSET(CRONOPLE!$F$15,$M96-$A$15,BS$13)=0,10^12,OFFSET(CRONOPLE!$F$15,$M96-$A$15,BS$13)))</f>
        <v>1</v>
      </c>
      <c r="BT96" s="353" t="n">
        <f aca="true">IF(OR($D96&lt;&gt;"Serviço",AND(AUTOEVENTO="Manual",$M96=$A$15)),0,
         IF(OFFSET(CRONOPLE!$F$15,$M96-$A$15,BT$13)=0,10^12,OFFSET(CRONOPLE!$F$15,$M96-$A$15,BT$13)))</f>
        <v>2</v>
      </c>
      <c r="BU96" s="353" t="n">
        <f aca="true">IF(OR($D96&lt;&gt;"Serviço",AND(AUTOEVENTO="Manual",$M96=$A$15)),0,
         IF(OFFSET(CRONOPLE!$F$15,$M96-$A$15,BU$13)=0,10^12,OFFSET(CRONOPLE!$F$15,$M96-$A$15,BU$13)))</f>
        <v>3</v>
      </c>
      <c r="BV96" s="353" t="n">
        <f aca="true">IF(OR($D96&lt;&gt;"Serviço",AND(AUTOEVENTO="Manual",$M96=$A$15)),0,
         IF(OFFSET(CRONOPLE!$F$15,$M96-$A$15,BV$13)=0,10^12,OFFSET(CRONOPLE!$F$15,$M96-$A$15,BV$13)))</f>
        <v>4</v>
      </c>
      <c r="BW96" s="353" t="n">
        <f aca="true">IF(OR($D96&lt;&gt;"Serviço",AND(AUTOEVENTO="Manual",$M96=$A$15)),0,
         IF(OFFSET(CRONOPLE!$F$15,$M96-$A$15,BW$13)=0,10^12,OFFSET(CRONOPLE!$F$15,$M96-$A$15,BW$13)))</f>
        <v>5</v>
      </c>
      <c r="BX96" s="353" t="n">
        <f aca="true">IF(OR($D96&lt;&gt;"Serviço",AND(AUTOEVENTO="Manual",$M96=$A$15)),0,
         IF(OFFSET(CRONOPLE!$F$15,$M96-$A$15,BX$13)=0,10^12,OFFSET(CRONOPLE!$F$15,$M96-$A$15,BX$13)))</f>
        <v>6</v>
      </c>
      <c r="BY96" s="353" t="n">
        <f aca="true">IF(OR($D96&lt;&gt;"Serviço",AND(AUTOEVENTO="Manual",$M96=$A$15)),0,
         IF(OFFSET(CRONOPLE!$F$15,$M96-$A$15,BY$13)=0,10^12,OFFSET(CRONOPLE!$F$15,$M96-$A$15,BY$13)))</f>
        <v>7</v>
      </c>
      <c r="BZ96" s="353" t="n">
        <f aca="true">IF(OR($D96&lt;&gt;"Serviço",AND(AUTOEVENTO="Manual",$M96=$A$15)),0,
         IF(OFFSET(CRONOPLE!$F$15,$M96-$A$15,BZ$13)=0,10^12,OFFSET(CRONOPLE!$F$15,$M96-$A$15,BZ$13)))</f>
        <v>8</v>
      </c>
      <c r="CA96" s="353" t="n">
        <f aca="true">IF(OR($D96&lt;&gt;"Serviço",AND(AUTOEVENTO="Manual",$M96=$A$15)),0,
         IF(OFFSET(CRONOPLE!$F$15,$M96-$A$15,CA$13)=0,10^12,OFFSET(CRONOPLE!$F$15,$M96-$A$15,CA$13)))</f>
        <v>9</v>
      </c>
      <c r="CB96" s="353" t="n">
        <f aca="true">IF(OR($D96&lt;&gt;"Serviço",AND(AUTOEVENTO="Manual",$M96=$A$15)),0,
         IF(OFFSET(CRONOPLE!$F$15,$M96-$A$15,CB$13)=0,10^12,OFFSET(CRONOPLE!$F$15,$M96-$A$15,CB$13)))</f>
        <v>10</v>
      </c>
      <c r="CC96" s="353" t="n">
        <f aca="true">IF(OR($D96&lt;&gt;"Serviço",AND(AUTOEVENTO="Manual",$M96=$A$15)),0,
         IF(OFFSET(CRONOPLE!$F$15,$M96-$A$15,CC$13)=0,10^12,OFFSET(CRONOPLE!$F$15,$M96-$A$15,CC$13)))</f>
        <v>11</v>
      </c>
      <c r="CD96" s="353" t="n">
        <f aca="true">IF(OR($D96&lt;&gt;"Serviço",AND(AUTOEVENTO="Manual",$M96=$A$15)),0,
         IF(OFFSET(CRONOPLE!$F$15,$M96-$A$15,CD$13)=0,10^12,OFFSET(CRONOPLE!$F$15,$M96-$A$15,CD$13)))</f>
        <v>12</v>
      </c>
      <c r="CE96" s="353" t="n">
        <f aca="true">IF(OR($D96&lt;&gt;"Serviço",AND(AUTOEVENTO="Manual",$M96=$A$15)),0,
         IF(OFFSET(CRONOPLE!$F$15,$M96-$A$15,CE$13)=0,10^12,OFFSET(CRONOPLE!$F$15,$M96-$A$15,CE$13)))</f>
        <v>13</v>
      </c>
      <c r="CF96" s="353" t="n">
        <f aca="true">IF(OR($D96&lt;&gt;"Serviço",AND(AUTOEVENTO="Manual",$M96=$A$15)),0,
         IF(OFFSET(CRONOPLE!$F$15,$M96-$A$15,CF$13)=0,10^12,OFFSET(CRONOPLE!$F$15,$M96-$A$15,CF$13)))</f>
        <v>14</v>
      </c>
      <c r="CG96" s="353" t="n">
        <f aca="true">IF(OR($D96&lt;&gt;"Serviço",AND(AUTOEVENTO="Manual",$M96=$A$15)),0,
         IF(OFFSET(CRONOPLE!$F$15,$M96-$A$15,CG$13)=0,10^12,OFFSET(CRONOPLE!$F$15,$M96-$A$15,CG$13)))</f>
        <v>15</v>
      </c>
      <c r="CH96" s="353" t="n">
        <f aca="true">IF(OR($D96&lt;&gt;"Serviço",AND(AUTOEVENTO="Manual",$M96=$A$15)),0,
         IF(OFFSET(CRONOPLE!$F$15,$M96-$A$15,CH$13)=0,10^12,OFFSET(CRONOPLE!$F$15,$M96-$A$15,CH$13)))</f>
        <v>16</v>
      </c>
      <c r="CI96" s="353" t="n">
        <f aca="true">IF(OR($D96&lt;&gt;"Serviço",AND(AUTOEVENTO="Manual",$M96=$A$15)),0,
         IF(OFFSET(CRONOPLE!$F$15,$M96-$A$15,CI$13)=0,10^12,OFFSET(CRONOPLE!$F$15,$M96-$A$15,CI$13)))</f>
        <v>17</v>
      </c>
      <c r="CJ96" s="353" t="n">
        <f aca="true">IF(OR($D96&lt;&gt;"Serviço",AND(AUTOEVENTO="Manual",$M96=$A$15)),0,
         IF(OFFSET(CRONOPLE!$F$15,$M96-$A$15,CJ$13)=0,10^12,OFFSET(CRONOPLE!$F$15,$M96-$A$15,CJ$13)))</f>
        <v>18</v>
      </c>
      <c r="CK96" s="353" t="n">
        <f aca="true">IF(OR($D96&lt;&gt;"Serviço",AND(AUTOEVENTO="Manual",$M96=$A$15)),0,
         IF(OFFSET(CRONOPLE!$F$15,$M96-$A$15,CK$13)=0,10^12,OFFSET(CRONOPLE!$F$15,$M96-$A$15,CK$13)))</f>
        <v>19</v>
      </c>
      <c r="CL96" s="353" t="n">
        <f aca="true">IF(OR($D96&lt;&gt;"Serviço",AND(AUTOEVENTO="Manual",$M96=$A$15)),0,
         IF(OFFSET(CRONOPLE!$F$15,$M96-$A$15,CL$13)=0,10^12,OFFSET(CRONOPLE!$F$15,$M96-$A$15,CL$13)))</f>
        <v>20</v>
      </c>
      <c r="CM96" s="353" t="n">
        <f aca="true">IF(OR($D96&lt;&gt;"Serviço",AND(AUTOEVENTO="Manual",$M96=$A$15)),0,
         IF(OFFSET(CRONOPLE!$F$15,$M96-$A$15,CM$13)=0,10^12,OFFSET(CRONOPLE!$F$15,$M96-$A$15,CM$13)))</f>
        <v>21</v>
      </c>
      <c r="CN96" s="353" t="n">
        <f aca="true">IF(OR($D96&lt;&gt;"Serviço",AND(AUTOEVENTO="Manual",$M96=$A$15)),0,
         IF(OFFSET(CRONOPLE!$F$15,$M96-$A$15,CN$13)=0,10^12,OFFSET(CRONOPLE!$F$15,$M96-$A$15,CN$13)))</f>
        <v>22</v>
      </c>
      <c r="CO96" s="353" t="n">
        <f aca="true">IF(OR($D96&lt;&gt;"Serviço",AND(AUTOEVENTO="Manual",$M96=$A$15)),0,
         IF(OFFSET(CRONOPLE!$F$15,$M96-$A$15,CO$13)=0,10^12,OFFSET(CRONOPLE!$F$15,$M96-$A$15,CO$13)))</f>
        <v>23</v>
      </c>
      <c r="CP96" s="353" t="n">
        <f aca="true">IF(OR($D96&lt;&gt;"Serviço",AND(AUTOEVENTO="Manual",$M96=$A$15)),0,
         IF(OFFSET(CRONOPLE!$F$15,$M96-$A$15,CP$13)=0,10^12,OFFSET(CRONOPLE!$F$15,$M96-$A$15,CP$13)))</f>
        <v>24</v>
      </c>
      <c r="CQ96" s="353" t="n">
        <f aca="true">IF(OR($D96&lt;&gt;"Serviço",AND(AUTOEVENTO="Manual",$M96=$A$15)),0,
         IF(OFFSET(CRONOPLE!$F$15,$M96-$A$15,CQ$13)=0,10^12,OFFSET(CRONOPLE!$F$15,$M96-$A$15,CQ$13)))</f>
        <v>25</v>
      </c>
      <c r="CR96" s="353" t="n">
        <f aca="true">IF(OR($D96&lt;&gt;"Serviço",AND(AUTOEVENTO="Manual",$M96=$A$15)),0,
         IF(OFFSET(CRONOPLE!$F$15,$M96-$A$15,CR$13)=0,10^12,OFFSET(CRONOPLE!$F$15,$M96-$A$15,CR$13)))</f>
        <v>1000000000000</v>
      </c>
      <c r="CT96" s="354" t="n">
        <f aca="true">IF(OR($D96&lt;&gt;"Serviço",AND(AUTOEVENTO="Manual",$M96=$A$15),$M96&gt;(ROW(PLE.lastrow)-ROW(PLE.firstrow))),0,
           IF(OFFSET(PLE!$G$15,$M96-$A$15,CT$13)="",10^12,OFFSET(PLE!$G$15,$M96-$A$15,CT$13)))</f>
        <v>1000000000000</v>
      </c>
      <c r="CU96" s="354" t="n">
        <f aca="true">IF(OR($D96&lt;&gt;"Serviço",AND(AUTOEVENTO="Manual",$M96=$A$15),$M96&gt;(ROW(PLE.lastrow)-ROW(PLE.firstrow))),0,
           IF(OFFSET(PLE!$G$15,$M96-$A$15,CU$13)="",10^12,OFFSET(PLE!$G$15,$M96-$A$15,CU$13)))</f>
        <v>1000000000000</v>
      </c>
      <c r="CV96" s="354" t="n">
        <f aca="true">IF(OR($D96&lt;&gt;"Serviço",AND(AUTOEVENTO="Manual",$M96=$A$15),$M96&gt;(ROW(PLE.lastrow)-ROW(PLE.firstrow))),0,
           IF(OFFSET(PLE!$G$15,$M96-$A$15,CV$13)="",10^12,OFFSET(PLE!$G$15,$M96-$A$15,CV$13)))</f>
        <v>1000000000000</v>
      </c>
      <c r="CW96" s="354" t="n">
        <f aca="true">IF(OR($D96&lt;&gt;"Serviço",AND(AUTOEVENTO="Manual",$M96=$A$15),$M96&gt;(ROW(PLE.lastrow)-ROW(PLE.firstrow))),0,
           IF(OFFSET(PLE!$G$15,$M96-$A$15,CW$13)="",10^12,OFFSET(PLE!$G$15,$M96-$A$15,CW$13)))</f>
        <v>1000000000000</v>
      </c>
      <c r="CX96" s="354" t="n">
        <f aca="true">IF(OR($D96&lt;&gt;"Serviço",AND(AUTOEVENTO="Manual",$M96=$A$15),$M96&gt;(ROW(PLE.lastrow)-ROW(PLE.firstrow))),0,
           IF(OFFSET(PLE!$G$15,$M96-$A$15,CX$13)="",10^12,OFFSET(PLE!$G$15,$M96-$A$15,CX$13)))</f>
        <v>1000000000000</v>
      </c>
      <c r="CY96" s="354" t="n">
        <f aca="true">IF(OR($D96&lt;&gt;"Serviço",AND(AUTOEVENTO="Manual",$M96=$A$15),$M96&gt;(ROW(PLE.lastrow)-ROW(PLE.firstrow))),0,
           IF(OFFSET(PLE!$G$15,$M96-$A$15,CY$13)="",10^12,OFFSET(PLE!$G$15,$M96-$A$15,CY$13)))</f>
        <v>1000000000000</v>
      </c>
      <c r="CZ96" s="354" t="n">
        <f aca="true">IF(OR($D96&lt;&gt;"Serviço",AND(AUTOEVENTO="Manual",$M96=$A$15),$M96&gt;(ROW(PLE.lastrow)-ROW(PLE.firstrow))),0,
           IF(OFFSET(PLE!$G$15,$M96-$A$15,CZ$13)="",10^12,OFFSET(PLE!$G$15,$M96-$A$15,CZ$13)))</f>
        <v>1000000000000</v>
      </c>
      <c r="DA96" s="354" t="n">
        <f aca="true">IF(OR($D96&lt;&gt;"Serviço",AND(AUTOEVENTO="Manual",$M96=$A$15),$M96&gt;(ROW(PLE.lastrow)-ROW(PLE.firstrow))),0,
           IF(OFFSET(PLE!$G$15,$M96-$A$15,DA$13)="",10^12,OFFSET(PLE!$G$15,$M96-$A$15,DA$13)))</f>
        <v>1000000000000</v>
      </c>
      <c r="DB96" s="354" t="n">
        <f aca="true">IF(OR($D96&lt;&gt;"Serviço",AND(AUTOEVENTO="Manual",$M96=$A$15),$M96&gt;(ROW(PLE.lastrow)-ROW(PLE.firstrow))),0,
           IF(OFFSET(PLE!$G$15,$M96-$A$15,DB$13)="",10^12,OFFSET(PLE!$G$15,$M96-$A$15,DB$13)))</f>
        <v>1000000000000</v>
      </c>
      <c r="DC96" s="354" t="n">
        <f aca="true">IF(OR($D96&lt;&gt;"Serviço",AND(AUTOEVENTO="Manual",$M96=$A$15),$M96&gt;(ROW(PLE.lastrow)-ROW(PLE.firstrow))),0,
           IF(OFFSET(PLE!$G$15,$M96-$A$15,DC$13)="",10^12,OFFSET(PLE!$G$15,$M96-$A$15,DC$13)))</f>
        <v>1000000000000</v>
      </c>
      <c r="DD96" s="354" t="n">
        <f aca="true">IF(OR($D96&lt;&gt;"Serviço",AND(AUTOEVENTO="Manual",$M96=$A$15),$M96&gt;(ROW(PLE.lastrow)-ROW(PLE.firstrow))),0,
           IF(OFFSET(PLE!$G$15,$M96-$A$15,DD$13)="",10^12,OFFSET(PLE!$G$15,$M96-$A$15,DD$13)))</f>
        <v>1000000000000</v>
      </c>
      <c r="DE96" s="354" t="n">
        <f aca="true">IF(OR($D96&lt;&gt;"Serviço",AND(AUTOEVENTO="Manual",$M96=$A$15),$M96&gt;(ROW(PLE.lastrow)-ROW(PLE.firstrow))),0,
           IF(OFFSET(PLE!$G$15,$M96-$A$15,DE$13)="",10^12,OFFSET(PLE!$G$15,$M96-$A$15,DE$13)))</f>
        <v>1000000000000</v>
      </c>
      <c r="DF96" s="354" t="n">
        <f aca="true">IF(OR($D96&lt;&gt;"Serviço",AND(AUTOEVENTO="Manual",$M96=$A$15),$M96&gt;(ROW(PLE.lastrow)-ROW(PLE.firstrow))),0,
           IF(OFFSET(PLE!$G$15,$M96-$A$15,DF$13)="",10^12,OFFSET(PLE!$G$15,$M96-$A$15,DF$13)))</f>
        <v>1000000000000</v>
      </c>
      <c r="DG96" s="354" t="n">
        <f aca="true">IF(OR($D96&lt;&gt;"Serviço",AND(AUTOEVENTO="Manual",$M96=$A$15),$M96&gt;(ROW(PLE.lastrow)-ROW(PLE.firstrow))),0,
           IF(OFFSET(PLE!$G$15,$M96-$A$15,DG$13)="",10^12,OFFSET(PLE!$G$15,$M96-$A$15,DG$13)))</f>
        <v>1000000000000</v>
      </c>
      <c r="DH96" s="354" t="n">
        <f aca="true">IF(OR($D96&lt;&gt;"Serviço",AND(AUTOEVENTO="Manual",$M96=$A$15),$M96&gt;(ROW(PLE.lastrow)-ROW(PLE.firstrow))),0,
           IF(OFFSET(PLE!$G$15,$M96-$A$15,DH$13)="",10^12,OFFSET(PLE!$G$15,$M96-$A$15,DH$13)))</f>
        <v>1000000000000</v>
      </c>
      <c r="DI96" s="354" t="n">
        <f aca="true">IF(OR($D96&lt;&gt;"Serviço",AND(AUTOEVENTO="Manual",$M96=$A$15),$M96&gt;(ROW(PLE.lastrow)-ROW(PLE.firstrow))),0,
           IF(OFFSET(PLE!$G$15,$M96-$A$15,DI$13)="",10^12,OFFSET(PLE!$G$15,$M96-$A$15,DI$13)))</f>
        <v>1000000000000</v>
      </c>
      <c r="DJ96" s="354" t="n">
        <f aca="true">IF(OR($D96&lt;&gt;"Serviço",AND(AUTOEVENTO="Manual",$M96=$A$15),$M96&gt;(ROW(PLE.lastrow)-ROW(PLE.firstrow))),0,
           IF(OFFSET(PLE!$G$15,$M96-$A$15,DJ$13)="",10^12,OFFSET(PLE!$G$15,$M96-$A$15,DJ$13)))</f>
        <v>1000000000000</v>
      </c>
      <c r="DK96" s="354" t="n">
        <f aca="true">IF(OR($D96&lt;&gt;"Serviço",AND(AUTOEVENTO="Manual",$M96=$A$15),$M96&gt;(ROW(PLE.lastrow)-ROW(PLE.firstrow))),0,
           IF(OFFSET(PLE!$G$15,$M96-$A$15,DK$13)="",10^12,OFFSET(PLE!$G$15,$M96-$A$15,DK$13)))</f>
        <v>1000000000000</v>
      </c>
      <c r="DL96" s="354" t="n">
        <f aca="true">IF(OR($D96&lt;&gt;"Serviço",AND(AUTOEVENTO="Manual",$M96=$A$15),$M96&gt;(ROW(PLE.lastrow)-ROW(PLE.firstrow))),0,
           IF(OFFSET(PLE!$G$15,$M96-$A$15,DL$13)="",10^12,OFFSET(PLE!$G$15,$M96-$A$15,DL$13)))</f>
        <v>1000000000000</v>
      </c>
      <c r="DM96" s="354" t="n">
        <f aca="true">IF(OR($D96&lt;&gt;"Serviço",AND(AUTOEVENTO="Manual",$M96=$A$15),$M96&gt;(ROW(PLE.lastrow)-ROW(PLE.firstrow))),0,
           IF(OFFSET(PLE!$G$15,$M96-$A$15,DM$13)="",10^12,OFFSET(PLE!$G$15,$M96-$A$15,DM$13)))</f>
        <v>1000000000000</v>
      </c>
      <c r="DN96" s="354" t="n">
        <f aca="true">IF(OR($D96&lt;&gt;"Serviço",AND(AUTOEVENTO="Manual",$M96=$A$15),$M96&gt;(ROW(PLE.lastrow)-ROW(PLE.firstrow))),0,
           IF(OFFSET(PLE!$G$15,$M96-$A$15,DN$13)="",10^12,OFFSET(PLE!$G$15,$M96-$A$15,DN$13)))</f>
        <v>1000000000000</v>
      </c>
      <c r="DO96" s="354" t="n">
        <f aca="true">IF(OR($D96&lt;&gt;"Serviço",AND(AUTOEVENTO="Manual",$M96=$A$15),$M96&gt;(ROW(PLE.lastrow)-ROW(PLE.firstrow))),0,
           IF(OFFSET(PLE!$G$15,$M96-$A$15,DO$13)="",10^12,OFFSET(PLE!$G$15,$M96-$A$15,DO$13)))</f>
        <v>1000000000000</v>
      </c>
      <c r="DP96" s="354" t="n">
        <f aca="true">IF(OR($D96&lt;&gt;"Serviço",AND(AUTOEVENTO="Manual",$M96=$A$15),$M96&gt;(ROW(PLE.lastrow)-ROW(PLE.firstrow))),0,
           IF(OFFSET(PLE!$G$15,$M96-$A$15,DP$13)="",10^12,OFFSET(PLE!$G$15,$M96-$A$15,DP$13)))</f>
        <v>1000000000000</v>
      </c>
      <c r="DQ96" s="354" t="n">
        <f aca="true">IF(OR($D96&lt;&gt;"Serviço",AND(AUTOEVENTO="Manual",$M96=$A$15),$M96&gt;(ROW(PLE.lastrow)-ROW(PLE.firstrow))),0,
           IF(OFFSET(PLE!$G$15,$M96-$A$15,DQ$13)="",10^12,OFFSET(PLE!$G$15,$M96-$A$15,DQ$13)))</f>
        <v>1000000000000</v>
      </c>
      <c r="DR96" s="354" t="n">
        <f aca="true">IF(OR($D96&lt;&gt;"Serviço",AND(AUTOEVENTO="Manual",$M96=$A$15),$M96&gt;(ROW(PLE.lastrow)-ROW(PLE.firstrow))),0,
           IF(OFFSET(PLE!$G$15,$M96-$A$15,DR$13)="",10^12,OFFSET(PLE!$G$15,$M96-$A$15,DR$13)))</f>
        <v>1000000000000</v>
      </c>
      <c r="DS96" s="354" t="n">
        <f aca="true">IF(OR($D96&lt;&gt;"Serviço",AND(AUTOEVENTO="Manual",$M96=$A$15),$M96&gt;(ROW(PLE.lastrow)-ROW(PLE.firstrow))),0,
           IF(OFFSET(PLE!$G$15,$M96-$A$15,DS$13)="",10^12,OFFSET(PLE!$G$15,$M96-$A$15,DS$13)))</f>
        <v>1000000000000</v>
      </c>
    </row>
    <row r="97" customFormat="false" ht="12.75" hidden="false" customHeight="false" outlineLevel="0" collapsed="false">
      <c r="A97" s="50" t="str">
        <f aca="true">IFERROR(IF(AUTOEVENTO="Manual",IF(K97&lt;&gt;"",MIN(VALUE(LEFT(K97,FIND(".",K97)-1)),COUNTA(EVENTOS.Lista)),0),IF(OR($B97&gt;AUTOEVENTO,$B97="S",$B97=0),SUBSTITUTE(OFFSET($A97,-1,0),IF($D97="Serviço",".",""),""),ROW(A97)-ROW($A$15)&amp;".")),0)</f>
        <v>82.</v>
      </c>
      <c r="B97" s="50" t="n">
        <f aca="true">OFFSET(ORÇAMENTO!C$15,ROW(B97)-ROW(B$15),0)</f>
        <v>2</v>
      </c>
      <c r="C97" s="50" t="str">
        <f aca="true">OFFSET(ORÇAMENTO!L$15,ROW(C97)-ROW(C$15),0)</f>
        <v>F</v>
      </c>
      <c r="D97" s="201" t="str">
        <f aca="true">OFFSET(ORÇAMENTO!N$15,ROW(D97)-ROW(D$15),0)</f>
        <v>Nível 2</v>
      </c>
      <c r="E97" s="202" t="str">
        <f aca="true">OFFSET(ORÇAMENTO!O$15,ROW(E97)-ROW(E$15),0)</f>
        <v>1.25.</v>
      </c>
      <c r="F97" s="341" t="str">
        <f aca="true">OFFSET(ORÇAMENTO!R$15,ROW(F97)-ROW(F$15),0)</f>
        <v>PINTURA ESQUADRIAS</v>
      </c>
      <c r="G97" s="342" t="str">
        <f aca="true">IF($D97&lt;&gt;"Serviço","",OFFSET(ORÇAMENTO!S$15,ROW(G97)-ROW(G$15),0))</f>
        <v/>
      </c>
      <c r="H97" s="207" t="n">
        <f aca="true">IF($D97&lt;&gt;"Serviço",0,IF(ACOMPANHAMENTO="BM",ROUND(OFFSET(ORÇAMENTO!AJ$15,ROW(H97)-ROW(H$15),0),15-13*ORÇAMENTO!$AF$7),SUMPRODUCT(($Q$1:$AQ$1=1)*ROUND($Q97:$AQ97,15-13*ORÇAMENTO!$AF$7))))</f>
        <v>0</v>
      </c>
      <c r="I97" s="343"/>
      <c r="J97" s="344" t="str">
        <f aca="false">IF(OR(B97&lt;&gt;"S",CÁLCULO.FrentesPreenchidas=0),"",IF(AND(ACOMPANHAMENTO="PLE",AUTOEVENTO="Manual",OR(H97&gt;0,ORÇAMENTO!AC97="QUANT."),OR(K97="",M97=0,N97="")),"►",IF(AND(ACOMPANHAMENTO="PLE",ORÇAMENTO!AC97="QUANT."),"►►",IF(AND(COUNTIF($P$11:$AQ$11,"▼")=0,H97&gt;0,I97=""),"◄",""))))</f>
        <v/>
      </c>
      <c r="K97" s="345"/>
      <c r="L97" s="346" t="s">
        <v>876</v>
      </c>
      <c r="M97" s="347" t="str">
        <f aca="true">IF($D97&lt;&gt;"Serviço","",
          IF(AUTOEVENTO="manual",$A97,
                IF(ISERROR(MATCH($A97,$A$15:OFFSET($A97,-1,0),0)),MAX($M$15:OFFSET(M97,-1,0))+1,
                      INDEX($M$15:OFFSET(M97,-1,0),MATCH($A97,$A$15:OFFSET($A97,-1,0),0)))))</f>
        <v/>
      </c>
      <c r="N97" s="348" t="str">
        <f aca="true">IF($D97&lt;&gt;"Serviço","",
         IF(AUTOEVENTO="Manual",
                IF($A97=0,"&lt;-- defina o número do agrupador",
                       OFFSET(EVENTOS!$D$15,$A97-$A$15,0)),
                OFFSET($F$15,$A97,0)))</f>
        <v/>
      </c>
      <c r="O97" s="349"/>
      <c r="Q97" s="349" t="n">
        <v>2</v>
      </c>
      <c r="R97" s="350" t="n">
        <v>2</v>
      </c>
      <c r="S97" s="350" t="n">
        <v>2</v>
      </c>
      <c r="T97" s="350" t="n">
        <v>2</v>
      </c>
      <c r="U97" s="350" t="n">
        <v>2</v>
      </c>
      <c r="V97" s="350" t="n">
        <v>2</v>
      </c>
      <c r="W97" s="350" t="n">
        <v>2</v>
      </c>
      <c r="X97" s="350" t="n">
        <v>2</v>
      </c>
      <c r="Y97" s="350" t="n">
        <v>2</v>
      </c>
      <c r="Z97" s="351" t="n">
        <v>2</v>
      </c>
      <c r="AA97" s="350" t="n">
        <v>2</v>
      </c>
      <c r="AB97" s="350" t="n">
        <v>2</v>
      </c>
      <c r="AC97" s="350" t="n">
        <v>2</v>
      </c>
      <c r="AD97" s="350" t="n">
        <v>2</v>
      </c>
      <c r="AE97" s="350" t="n">
        <v>2</v>
      </c>
      <c r="AF97" s="350" t="n">
        <v>2</v>
      </c>
      <c r="AG97" s="350" t="n">
        <v>2</v>
      </c>
      <c r="AH97" s="351" t="n">
        <v>2</v>
      </c>
      <c r="AI97" s="350" t="n">
        <v>2</v>
      </c>
      <c r="AJ97" s="350" t="n">
        <v>2</v>
      </c>
      <c r="AK97" s="350" t="n">
        <v>2</v>
      </c>
      <c r="AL97" s="350" t="n">
        <v>2</v>
      </c>
      <c r="AM97" s="350" t="n">
        <v>2</v>
      </c>
      <c r="AN97" s="350" t="n">
        <v>2</v>
      </c>
      <c r="AO97" s="350" t="n">
        <v>2</v>
      </c>
      <c r="AP97" s="351"/>
      <c r="AR97" s="352" t="n">
        <f aca="true">IF(AND($D97="Serviço",AR$12&lt;&gt;0,$H97&gt;0,OR(AUTOEVENTO&lt;&gt;"manual",$M97&lt;&gt;$A$15)),
        IF(Import.TipoArredondamento&lt;&gt;"TransfereGOV",
              ROUND(OFFSET($P97,0,AR$13),15-13*ORÇAMENTO!$AF$7)/$H97*OFFSET(ORÇAMENTO!$X$15,ROW(AR97)-ROW(AR$15),0),
              ROUND(ROUND(OFFSET($P97,0,AR$13),15-13*ORÇAMENTO!$AF$7)*OFFSET(ORÇAMENTO!$W$15,ROW(AR97)-ROW(AR$15),0),15-13*ORÇAMENTO!$AF$11)),
         0)</f>
        <v>0</v>
      </c>
      <c r="AS97" s="352" t="n">
        <f aca="true">IF(AND($D97="Serviço",AS$12&lt;&gt;0,$H97&gt;0,OR(AUTOEVENTO&lt;&gt;"manual",$M97&lt;&gt;$A$15)),
        IF(Import.TipoArredondamento&lt;&gt;"TransfereGOV",
              ROUND(OFFSET($P97,0,AS$13),15-13*ORÇAMENTO!$AF$7)/$H97*OFFSET(ORÇAMENTO!$X$15,ROW(AS97)-ROW(AS$15),0),
              ROUND(ROUND(OFFSET($P97,0,AS$13),15-13*ORÇAMENTO!$AF$7)*OFFSET(ORÇAMENTO!$W$15,ROW(AS97)-ROW(AS$15),0),15-13*ORÇAMENTO!$AF$11)),
         0)</f>
        <v>0</v>
      </c>
      <c r="AT97" s="352" t="n">
        <f aca="true">IF(AND($D97="Serviço",AT$12&lt;&gt;0,$H97&gt;0,OR(AUTOEVENTO&lt;&gt;"manual",$M97&lt;&gt;$A$15)),
        IF(Import.TipoArredondamento&lt;&gt;"TransfereGOV",
              ROUND(OFFSET($P97,0,AT$13),15-13*ORÇAMENTO!$AF$7)/$H97*OFFSET(ORÇAMENTO!$X$15,ROW(AT97)-ROW(AT$15),0),
              ROUND(ROUND(OFFSET($P97,0,AT$13),15-13*ORÇAMENTO!$AF$7)*OFFSET(ORÇAMENTO!$W$15,ROW(AT97)-ROW(AT$15),0),15-13*ORÇAMENTO!$AF$11)),
         0)</f>
        <v>0</v>
      </c>
      <c r="AU97" s="352" t="n">
        <f aca="true">IF(AND($D97="Serviço",AU$12&lt;&gt;0,$H97&gt;0,OR(AUTOEVENTO&lt;&gt;"manual",$M97&lt;&gt;$A$15)),
        IF(Import.TipoArredondamento&lt;&gt;"TransfereGOV",
              ROUND(OFFSET($P97,0,AU$13),15-13*ORÇAMENTO!$AF$7)/$H97*OFFSET(ORÇAMENTO!$X$15,ROW(AU97)-ROW(AU$15),0),
              ROUND(ROUND(OFFSET($P97,0,AU$13),15-13*ORÇAMENTO!$AF$7)*OFFSET(ORÇAMENTO!$W$15,ROW(AU97)-ROW(AU$15),0),15-13*ORÇAMENTO!$AF$11)),
         0)</f>
        <v>0</v>
      </c>
      <c r="AV97" s="352" t="n">
        <f aca="true">IF(AND($D97="Serviço",AV$12&lt;&gt;0,$H97&gt;0,OR(AUTOEVENTO&lt;&gt;"manual",$M97&lt;&gt;$A$15)),
        IF(Import.TipoArredondamento&lt;&gt;"TransfereGOV",
              ROUND(OFFSET($P97,0,AV$13),15-13*ORÇAMENTO!$AF$7)/$H97*OFFSET(ORÇAMENTO!$X$15,ROW(AV97)-ROW(AV$15),0),
              ROUND(ROUND(OFFSET($P97,0,AV$13),15-13*ORÇAMENTO!$AF$7)*OFFSET(ORÇAMENTO!$W$15,ROW(AV97)-ROW(AV$15),0),15-13*ORÇAMENTO!$AF$11)),
         0)</f>
        <v>0</v>
      </c>
      <c r="AW97" s="352" t="n">
        <f aca="true">IF(AND($D97="Serviço",AW$12&lt;&gt;0,$H97&gt;0,OR(AUTOEVENTO&lt;&gt;"manual",$M97&lt;&gt;$A$15)),
        IF(Import.TipoArredondamento&lt;&gt;"TransfereGOV",
              ROUND(OFFSET($P97,0,AW$13),15-13*ORÇAMENTO!$AF$7)/$H97*OFFSET(ORÇAMENTO!$X$15,ROW(AW97)-ROW(AW$15),0),
              ROUND(ROUND(OFFSET($P97,0,AW$13),15-13*ORÇAMENTO!$AF$7)*OFFSET(ORÇAMENTO!$W$15,ROW(AW97)-ROW(AW$15),0),15-13*ORÇAMENTO!$AF$11)),
         0)</f>
        <v>0</v>
      </c>
      <c r="AX97" s="352" t="n">
        <f aca="true">IF(AND($D97="Serviço",AX$12&lt;&gt;0,$H97&gt;0,OR(AUTOEVENTO&lt;&gt;"manual",$M97&lt;&gt;$A$15)),
        IF(Import.TipoArredondamento&lt;&gt;"TransfereGOV",
              ROUND(OFFSET($P97,0,AX$13),15-13*ORÇAMENTO!$AF$7)/$H97*OFFSET(ORÇAMENTO!$X$15,ROW(AX97)-ROW(AX$15),0),
              ROUND(ROUND(OFFSET($P97,0,AX$13),15-13*ORÇAMENTO!$AF$7)*OFFSET(ORÇAMENTO!$W$15,ROW(AX97)-ROW(AX$15),0),15-13*ORÇAMENTO!$AF$11)),
         0)</f>
        <v>0</v>
      </c>
      <c r="AY97" s="352" t="n">
        <f aca="true">IF(AND($D97="Serviço",AY$12&lt;&gt;0,$H97&gt;0,OR(AUTOEVENTO&lt;&gt;"manual",$M97&lt;&gt;$A$15)),
        IF(Import.TipoArredondamento&lt;&gt;"TransfereGOV",
              ROUND(OFFSET($P97,0,AY$13),15-13*ORÇAMENTO!$AF$7)/$H97*OFFSET(ORÇAMENTO!$X$15,ROW(AY97)-ROW(AY$15),0),
              ROUND(ROUND(OFFSET($P97,0,AY$13),15-13*ORÇAMENTO!$AF$7)*OFFSET(ORÇAMENTO!$W$15,ROW(AY97)-ROW(AY$15),0),15-13*ORÇAMENTO!$AF$11)),
         0)</f>
        <v>0</v>
      </c>
      <c r="AZ97" s="352" t="n">
        <f aca="true">IF(AND($D97="Serviço",AZ$12&lt;&gt;0,$H97&gt;0,OR(AUTOEVENTO&lt;&gt;"manual",$M97&lt;&gt;$A$15)),
        IF(Import.TipoArredondamento&lt;&gt;"TransfereGOV",
              ROUND(OFFSET($P97,0,AZ$13),15-13*ORÇAMENTO!$AF$7)/$H97*OFFSET(ORÇAMENTO!$X$15,ROW(AZ97)-ROW(AZ$15),0),
              ROUND(ROUND(OFFSET($P97,0,AZ$13),15-13*ORÇAMENTO!$AF$7)*OFFSET(ORÇAMENTO!$W$15,ROW(AZ97)-ROW(AZ$15),0),15-13*ORÇAMENTO!$AF$11)),
         0)</f>
        <v>0</v>
      </c>
      <c r="BA97" s="352" t="n">
        <f aca="true">IF(AND($D97="Serviço",BA$12&lt;&gt;0,$H97&gt;0,OR(AUTOEVENTO&lt;&gt;"manual",$M97&lt;&gt;$A$15)),
        IF(Import.TipoArredondamento&lt;&gt;"TransfereGOV",
              ROUND(OFFSET($P97,0,BA$13),15-13*ORÇAMENTO!$AF$7)/$H97*OFFSET(ORÇAMENTO!$X$15,ROW(BA97)-ROW(BA$15),0),
              ROUND(ROUND(OFFSET($P97,0,BA$13),15-13*ORÇAMENTO!$AF$7)*OFFSET(ORÇAMENTO!$W$15,ROW(BA97)-ROW(BA$15),0),15-13*ORÇAMENTO!$AF$11)),
         0)</f>
        <v>0</v>
      </c>
      <c r="BB97" s="352" t="n">
        <f aca="true">IF(AND($D97="Serviço",BB$12&lt;&gt;0,$H97&gt;0,OR(AUTOEVENTO&lt;&gt;"manual",$M97&lt;&gt;$A$15)),
        IF(Import.TipoArredondamento&lt;&gt;"TransfereGOV",
              ROUND(OFFSET($P97,0,BB$13),15-13*ORÇAMENTO!$AF$7)/$H97*OFFSET(ORÇAMENTO!$X$15,ROW(BB97)-ROW(BB$15),0),
              ROUND(ROUND(OFFSET($P97,0,BB$13),15-13*ORÇAMENTO!$AF$7)*OFFSET(ORÇAMENTO!$W$15,ROW(BB97)-ROW(BB$15),0),15-13*ORÇAMENTO!$AF$11)),
         0)</f>
        <v>0</v>
      </c>
      <c r="BC97" s="352" t="n">
        <f aca="true">IF(AND($D97="Serviço",BC$12&lt;&gt;0,$H97&gt;0,OR(AUTOEVENTO&lt;&gt;"manual",$M97&lt;&gt;$A$15)),
        IF(Import.TipoArredondamento&lt;&gt;"TransfereGOV",
              ROUND(OFFSET($P97,0,BC$13),15-13*ORÇAMENTO!$AF$7)/$H97*OFFSET(ORÇAMENTO!$X$15,ROW(BC97)-ROW(BC$15),0),
              ROUND(ROUND(OFFSET($P97,0,BC$13),15-13*ORÇAMENTO!$AF$7)*OFFSET(ORÇAMENTO!$W$15,ROW(BC97)-ROW(BC$15),0),15-13*ORÇAMENTO!$AF$11)),
         0)</f>
        <v>0</v>
      </c>
      <c r="BD97" s="352" t="n">
        <f aca="true">IF(AND($D97="Serviço",BD$12&lt;&gt;0,$H97&gt;0,OR(AUTOEVENTO&lt;&gt;"manual",$M97&lt;&gt;$A$15)),
        IF(Import.TipoArredondamento&lt;&gt;"TransfereGOV",
              ROUND(OFFSET($P97,0,BD$13),15-13*ORÇAMENTO!$AF$7)/$H97*OFFSET(ORÇAMENTO!$X$15,ROW(BD97)-ROW(BD$15),0),
              ROUND(ROUND(OFFSET($P97,0,BD$13),15-13*ORÇAMENTO!$AF$7)*OFFSET(ORÇAMENTO!$W$15,ROW(BD97)-ROW(BD$15),0),15-13*ORÇAMENTO!$AF$11)),
         0)</f>
        <v>0</v>
      </c>
      <c r="BE97" s="352" t="n">
        <f aca="true">IF(AND($D97="Serviço",BE$12&lt;&gt;0,$H97&gt;0,OR(AUTOEVENTO&lt;&gt;"manual",$M97&lt;&gt;$A$15)),
        IF(Import.TipoArredondamento&lt;&gt;"TransfereGOV",
              ROUND(OFFSET($P97,0,BE$13),15-13*ORÇAMENTO!$AF$7)/$H97*OFFSET(ORÇAMENTO!$X$15,ROW(BE97)-ROW(BE$15),0),
              ROUND(ROUND(OFFSET($P97,0,BE$13),15-13*ORÇAMENTO!$AF$7)*OFFSET(ORÇAMENTO!$W$15,ROW(BE97)-ROW(BE$15),0),15-13*ORÇAMENTO!$AF$11)),
         0)</f>
        <v>0</v>
      </c>
      <c r="BF97" s="352" t="n">
        <f aca="true">IF(AND($D97="Serviço",BF$12&lt;&gt;0,$H97&gt;0,OR(AUTOEVENTO&lt;&gt;"manual",$M97&lt;&gt;$A$15)),
        IF(Import.TipoArredondamento&lt;&gt;"TransfereGOV",
              ROUND(OFFSET($P97,0,BF$13),15-13*ORÇAMENTO!$AF$7)/$H97*OFFSET(ORÇAMENTO!$X$15,ROW(BF97)-ROW(BF$15),0),
              ROUND(ROUND(OFFSET($P97,0,BF$13),15-13*ORÇAMENTO!$AF$7)*OFFSET(ORÇAMENTO!$W$15,ROW(BF97)-ROW(BF$15),0),15-13*ORÇAMENTO!$AF$11)),
         0)</f>
        <v>0</v>
      </c>
      <c r="BG97" s="352" t="n">
        <f aca="true">IF(AND($D97="Serviço",BG$12&lt;&gt;0,$H97&gt;0,OR(AUTOEVENTO&lt;&gt;"manual",$M97&lt;&gt;$A$15)),
        IF(Import.TipoArredondamento&lt;&gt;"TransfereGOV",
              ROUND(OFFSET($P97,0,BG$13),15-13*ORÇAMENTO!$AF$7)/$H97*OFFSET(ORÇAMENTO!$X$15,ROW(BG97)-ROW(BG$15),0),
              ROUND(ROUND(OFFSET($P97,0,BG$13),15-13*ORÇAMENTO!$AF$7)*OFFSET(ORÇAMENTO!$W$15,ROW(BG97)-ROW(BG$15),0),15-13*ORÇAMENTO!$AF$11)),
         0)</f>
        <v>0</v>
      </c>
      <c r="BH97" s="352" t="n">
        <f aca="true">IF(AND($D97="Serviço",BH$12&lt;&gt;0,$H97&gt;0,OR(AUTOEVENTO&lt;&gt;"manual",$M97&lt;&gt;$A$15)),
        IF(Import.TipoArredondamento&lt;&gt;"TransfereGOV",
              ROUND(OFFSET($P97,0,BH$13),15-13*ORÇAMENTO!$AF$7)/$H97*OFFSET(ORÇAMENTO!$X$15,ROW(BH97)-ROW(BH$15),0),
              ROUND(ROUND(OFFSET($P97,0,BH$13),15-13*ORÇAMENTO!$AF$7)*OFFSET(ORÇAMENTO!$W$15,ROW(BH97)-ROW(BH$15),0),15-13*ORÇAMENTO!$AF$11)),
         0)</f>
        <v>0</v>
      </c>
      <c r="BI97" s="352" t="n">
        <f aca="true">IF(AND($D97="Serviço",BI$12&lt;&gt;0,$H97&gt;0,OR(AUTOEVENTO&lt;&gt;"manual",$M97&lt;&gt;$A$15)),
        IF(Import.TipoArredondamento&lt;&gt;"TransfereGOV",
              ROUND(OFFSET($P97,0,BI$13),15-13*ORÇAMENTO!$AF$7)/$H97*OFFSET(ORÇAMENTO!$X$15,ROW(BI97)-ROW(BI$15),0),
              ROUND(ROUND(OFFSET($P97,0,BI$13),15-13*ORÇAMENTO!$AF$7)*OFFSET(ORÇAMENTO!$W$15,ROW(BI97)-ROW(BI$15),0),15-13*ORÇAMENTO!$AF$11)),
         0)</f>
        <v>0</v>
      </c>
      <c r="BJ97" s="352" t="n">
        <f aca="true">IF(AND($D97="Serviço",BJ$12&lt;&gt;0,$H97&gt;0,OR(AUTOEVENTO&lt;&gt;"manual",$M97&lt;&gt;$A$15)),
        IF(Import.TipoArredondamento&lt;&gt;"TransfereGOV",
              ROUND(OFFSET($P97,0,BJ$13),15-13*ORÇAMENTO!$AF$7)/$H97*OFFSET(ORÇAMENTO!$X$15,ROW(BJ97)-ROW(BJ$15),0),
              ROUND(ROUND(OFFSET($P97,0,BJ$13),15-13*ORÇAMENTO!$AF$7)*OFFSET(ORÇAMENTO!$W$15,ROW(BJ97)-ROW(BJ$15),0),15-13*ORÇAMENTO!$AF$11)),
         0)</f>
        <v>0</v>
      </c>
      <c r="BK97" s="352" t="n">
        <f aca="true">IF(AND($D97="Serviço",BK$12&lt;&gt;0,$H97&gt;0,OR(AUTOEVENTO&lt;&gt;"manual",$M97&lt;&gt;$A$15)),
        IF(Import.TipoArredondamento&lt;&gt;"TransfereGOV",
              ROUND(OFFSET($P97,0,BK$13),15-13*ORÇAMENTO!$AF$7)/$H97*OFFSET(ORÇAMENTO!$X$15,ROW(BK97)-ROW(BK$15),0),
              ROUND(ROUND(OFFSET($P97,0,BK$13),15-13*ORÇAMENTO!$AF$7)*OFFSET(ORÇAMENTO!$W$15,ROW(BK97)-ROW(BK$15),0),15-13*ORÇAMENTO!$AF$11)),
         0)</f>
        <v>0</v>
      </c>
      <c r="BL97" s="352" t="n">
        <f aca="true">IF(AND($D97="Serviço",BL$12&lt;&gt;0,$H97&gt;0,OR(AUTOEVENTO&lt;&gt;"manual",$M97&lt;&gt;$A$15)),
        IF(Import.TipoArredondamento&lt;&gt;"TransfereGOV",
              ROUND(OFFSET($P97,0,BL$13),15-13*ORÇAMENTO!$AF$7)/$H97*OFFSET(ORÇAMENTO!$X$15,ROW(BL97)-ROW(BL$15),0),
              ROUND(ROUND(OFFSET($P97,0,BL$13),15-13*ORÇAMENTO!$AF$7)*OFFSET(ORÇAMENTO!$W$15,ROW(BL97)-ROW(BL$15),0),15-13*ORÇAMENTO!$AF$11)),
         0)</f>
        <v>0</v>
      </c>
      <c r="BM97" s="352" t="n">
        <f aca="true">IF(AND($D97="Serviço",BM$12&lt;&gt;0,$H97&gt;0,OR(AUTOEVENTO&lt;&gt;"manual",$M97&lt;&gt;$A$15)),
        IF(Import.TipoArredondamento&lt;&gt;"TransfereGOV",
              ROUND(OFFSET($P97,0,BM$13),15-13*ORÇAMENTO!$AF$7)/$H97*OFFSET(ORÇAMENTO!$X$15,ROW(BM97)-ROW(BM$15),0),
              ROUND(ROUND(OFFSET($P97,0,BM$13),15-13*ORÇAMENTO!$AF$7)*OFFSET(ORÇAMENTO!$W$15,ROW(BM97)-ROW(BM$15),0),15-13*ORÇAMENTO!$AF$11)),
         0)</f>
        <v>0</v>
      </c>
      <c r="BN97" s="352" t="n">
        <f aca="true">IF(AND($D97="Serviço",BN$12&lt;&gt;0,$H97&gt;0,OR(AUTOEVENTO&lt;&gt;"manual",$M97&lt;&gt;$A$15)),
        IF(Import.TipoArredondamento&lt;&gt;"TransfereGOV",
              ROUND(OFFSET($P97,0,BN$13),15-13*ORÇAMENTO!$AF$7)/$H97*OFFSET(ORÇAMENTO!$X$15,ROW(BN97)-ROW(BN$15),0),
              ROUND(ROUND(OFFSET($P97,0,BN$13),15-13*ORÇAMENTO!$AF$7)*OFFSET(ORÇAMENTO!$W$15,ROW(BN97)-ROW(BN$15),0),15-13*ORÇAMENTO!$AF$11)),
         0)</f>
        <v>0</v>
      </c>
      <c r="BO97" s="352" t="n">
        <f aca="true">IF(AND($D97="Serviço",BO$12&lt;&gt;0,$H97&gt;0,OR(AUTOEVENTO&lt;&gt;"manual",$M97&lt;&gt;$A$15)),
        IF(Import.TipoArredondamento&lt;&gt;"TransfereGOV",
              ROUND(OFFSET($P97,0,BO$13),15-13*ORÇAMENTO!$AF$7)/$H97*OFFSET(ORÇAMENTO!$X$15,ROW(BO97)-ROW(BO$15),0),
              ROUND(ROUND(OFFSET($P97,0,BO$13),15-13*ORÇAMENTO!$AF$7)*OFFSET(ORÇAMENTO!$W$15,ROW(BO97)-ROW(BO$15),0),15-13*ORÇAMENTO!$AF$11)),
         0)</f>
        <v>0</v>
      </c>
      <c r="BP97" s="352" t="n">
        <f aca="true">IF(AND($D97="Serviço",BP$12&lt;&gt;0,$H97&gt;0,OR(AUTOEVENTO&lt;&gt;"manual",$M97&lt;&gt;$A$15)),
        IF(Import.TipoArredondamento&lt;&gt;"TransfereGOV",
              ROUND(OFFSET($P97,0,BP$13),15-13*ORÇAMENTO!$AF$7)/$H97*OFFSET(ORÇAMENTO!$X$15,ROW(BP97)-ROW(BP$15),0),
              ROUND(ROUND(OFFSET($P97,0,BP$13),15-13*ORÇAMENTO!$AF$7)*OFFSET(ORÇAMENTO!$W$15,ROW(BP97)-ROW(BP$15),0),15-13*ORÇAMENTO!$AF$11)),
         0)</f>
        <v>0</v>
      </c>
      <c r="BQ97" s="352" t="n">
        <f aca="true">IF(AND($D97="Serviço",BQ$12&lt;&gt;0,$H97&gt;0,OR(AUTOEVENTO&lt;&gt;"manual",$M97&lt;&gt;$A$15)),
        IF(Import.TipoArredondamento&lt;&gt;"TransfereGOV",
              ROUND(OFFSET($P97,0,BQ$13),15-13*ORÇAMENTO!$AF$7)/$H97*OFFSET(ORÇAMENTO!$X$15,ROW(BQ97)-ROW(BQ$15),0),
              ROUND(ROUND(OFFSET($P97,0,BQ$13),15-13*ORÇAMENTO!$AF$7)*OFFSET(ORÇAMENTO!$W$15,ROW(BQ97)-ROW(BQ$15),0),15-13*ORÇAMENTO!$AF$11)),
         0)</f>
        <v>0</v>
      </c>
      <c r="BS97" s="353" t="n">
        <f aca="true">IF(OR($D97&lt;&gt;"Serviço",AND(AUTOEVENTO="Manual",$M97=$A$15)),0,
         IF(OFFSET(CRONOPLE!$F$15,$M97-$A$15,BS$13)=0,10^12,OFFSET(CRONOPLE!$F$15,$M97-$A$15,BS$13)))</f>
        <v>0</v>
      </c>
      <c r="BT97" s="353" t="n">
        <f aca="true">IF(OR($D97&lt;&gt;"Serviço",AND(AUTOEVENTO="Manual",$M97=$A$15)),0,
         IF(OFFSET(CRONOPLE!$F$15,$M97-$A$15,BT$13)=0,10^12,OFFSET(CRONOPLE!$F$15,$M97-$A$15,BT$13)))</f>
        <v>0</v>
      </c>
      <c r="BU97" s="353" t="n">
        <f aca="true">IF(OR($D97&lt;&gt;"Serviço",AND(AUTOEVENTO="Manual",$M97=$A$15)),0,
         IF(OFFSET(CRONOPLE!$F$15,$M97-$A$15,BU$13)=0,10^12,OFFSET(CRONOPLE!$F$15,$M97-$A$15,BU$13)))</f>
        <v>0</v>
      </c>
      <c r="BV97" s="353" t="n">
        <f aca="true">IF(OR($D97&lt;&gt;"Serviço",AND(AUTOEVENTO="Manual",$M97=$A$15)),0,
         IF(OFFSET(CRONOPLE!$F$15,$M97-$A$15,BV$13)=0,10^12,OFFSET(CRONOPLE!$F$15,$M97-$A$15,BV$13)))</f>
        <v>0</v>
      </c>
      <c r="BW97" s="353" t="n">
        <f aca="true">IF(OR($D97&lt;&gt;"Serviço",AND(AUTOEVENTO="Manual",$M97=$A$15)),0,
         IF(OFFSET(CRONOPLE!$F$15,$M97-$A$15,BW$13)=0,10^12,OFFSET(CRONOPLE!$F$15,$M97-$A$15,BW$13)))</f>
        <v>0</v>
      </c>
      <c r="BX97" s="353" t="n">
        <f aca="true">IF(OR($D97&lt;&gt;"Serviço",AND(AUTOEVENTO="Manual",$M97=$A$15)),0,
         IF(OFFSET(CRONOPLE!$F$15,$M97-$A$15,BX$13)=0,10^12,OFFSET(CRONOPLE!$F$15,$M97-$A$15,BX$13)))</f>
        <v>0</v>
      </c>
      <c r="BY97" s="353" t="n">
        <f aca="true">IF(OR($D97&lt;&gt;"Serviço",AND(AUTOEVENTO="Manual",$M97=$A$15)),0,
         IF(OFFSET(CRONOPLE!$F$15,$M97-$A$15,BY$13)=0,10^12,OFFSET(CRONOPLE!$F$15,$M97-$A$15,BY$13)))</f>
        <v>0</v>
      </c>
      <c r="BZ97" s="353" t="n">
        <f aca="true">IF(OR($D97&lt;&gt;"Serviço",AND(AUTOEVENTO="Manual",$M97=$A$15)),0,
         IF(OFFSET(CRONOPLE!$F$15,$M97-$A$15,BZ$13)=0,10^12,OFFSET(CRONOPLE!$F$15,$M97-$A$15,BZ$13)))</f>
        <v>0</v>
      </c>
      <c r="CA97" s="353" t="n">
        <f aca="true">IF(OR($D97&lt;&gt;"Serviço",AND(AUTOEVENTO="Manual",$M97=$A$15)),0,
         IF(OFFSET(CRONOPLE!$F$15,$M97-$A$15,CA$13)=0,10^12,OFFSET(CRONOPLE!$F$15,$M97-$A$15,CA$13)))</f>
        <v>0</v>
      </c>
      <c r="CB97" s="353" t="n">
        <f aca="true">IF(OR($D97&lt;&gt;"Serviço",AND(AUTOEVENTO="Manual",$M97=$A$15)),0,
         IF(OFFSET(CRONOPLE!$F$15,$M97-$A$15,CB$13)=0,10^12,OFFSET(CRONOPLE!$F$15,$M97-$A$15,CB$13)))</f>
        <v>0</v>
      </c>
      <c r="CC97" s="353" t="n">
        <f aca="true">IF(OR($D97&lt;&gt;"Serviço",AND(AUTOEVENTO="Manual",$M97=$A$15)),0,
         IF(OFFSET(CRONOPLE!$F$15,$M97-$A$15,CC$13)=0,10^12,OFFSET(CRONOPLE!$F$15,$M97-$A$15,CC$13)))</f>
        <v>0</v>
      </c>
      <c r="CD97" s="353" t="n">
        <f aca="true">IF(OR($D97&lt;&gt;"Serviço",AND(AUTOEVENTO="Manual",$M97=$A$15)),0,
         IF(OFFSET(CRONOPLE!$F$15,$M97-$A$15,CD$13)=0,10^12,OFFSET(CRONOPLE!$F$15,$M97-$A$15,CD$13)))</f>
        <v>0</v>
      </c>
      <c r="CE97" s="353" t="n">
        <f aca="true">IF(OR($D97&lt;&gt;"Serviço",AND(AUTOEVENTO="Manual",$M97=$A$15)),0,
         IF(OFFSET(CRONOPLE!$F$15,$M97-$A$15,CE$13)=0,10^12,OFFSET(CRONOPLE!$F$15,$M97-$A$15,CE$13)))</f>
        <v>0</v>
      </c>
      <c r="CF97" s="353" t="n">
        <f aca="true">IF(OR($D97&lt;&gt;"Serviço",AND(AUTOEVENTO="Manual",$M97=$A$15)),0,
         IF(OFFSET(CRONOPLE!$F$15,$M97-$A$15,CF$13)=0,10^12,OFFSET(CRONOPLE!$F$15,$M97-$A$15,CF$13)))</f>
        <v>0</v>
      </c>
      <c r="CG97" s="353" t="n">
        <f aca="true">IF(OR($D97&lt;&gt;"Serviço",AND(AUTOEVENTO="Manual",$M97=$A$15)),0,
         IF(OFFSET(CRONOPLE!$F$15,$M97-$A$15,CG$13)=0,10^12,OFFSET(CRONOPLE!$F$15,$M97-$A$15,CG$13)))</f>
        <v>0</v>
      </c>
      <c r="CH97" s="353" t="n">
        <f aca="true">IF(OR($D97&lt;&gt;"Serviço",AND(AUTOEVENTO="Manual",$M97=$A$15)),0,
         IF(OFFSET(CRONOPLE!$F$15,$M97-$A$15,CH$13)=0,10^12,OFFSET(CRONOPLE!$F$15,$M97-$A$15,CH$13)))</f>
        <v>0</v>
      </c>
      <c r="CI97" s="353" t="n">
        <f aca="true">IF(OR($D97&lt;&gt;"Serviço",AND(AUTOEVENTO="Manual",$M97=$A$15)),0,
         IF(OFFSET(CRONOPLE!$F$15,$M97-$A$15,CI$13)=0,10^12,OFFSET(CRONOPLE!$F$15,$M97-$A$15,CI$13)))</f>
        <v>0</v>
      </c>
      <c r="CJ97" s="353" t="n">
        <f aca="true">IF(OR($D97&lt;&gt;"Serviço",AND(AUTOEVENTO="Manual",$M97=$A$15)),0,
         IF(OFFSET(CRONOPLE!$F$15,$M97-$A$15,CJ$13)=0,10^12,OFFSET(CRONOPLE!$F$15,$M97-$A$15,CJ$13)))</f>
        <v>0</v>
      </c>
      <c r="CK97" s="353" t="n">
        <f aca="true">IF(OR($D97&lt;&gt;"Serviço",AND(AUTOEVENTO="Manual",$M97=$A$15)),0,
         IF(OFFSET(CRONOPLE!$F$15,$M97-$A$15,CK$13)=0,10^12,OFFSET(CRONOPLE!$F$15,$M97-$A$15,CK$13)))</f>
        <v>0</v>
      </c>
      <c r="CL97" s="353" t="n">
        <f aca="true">IF(OR($D97&lt;&gt;"Serviço",AND(AUTOEVENTO="Manual",$M97=$A$15)),0,
         IF(OFFSET(CRONOPLE!$F$15,$M97-$A$15,CL$13)=0,10^12,OFFSET(CRONOPLE!$F$15,$M97-$A$15,CL$13)))</f>
        <v>0</v>
      </c>
      <c r="CM97" s="353" t="n">
        <f aca="true">IF(OR($D97&lt;&gt;"Serviço",AND(AUTOEVENTO="Manual",$M97=$A$15)),0,
         IF(OFFSET(CRONOPLE!$F$15,$M97-$A$15,CM$13)=0,10^12,OFFSET(CRONOPLE!$F$15,$M97-$A$15,CM$13)))</f>
        <v>0</v>
      </c>
      <c r="CN97" s="353" t="n">
        <f aca="true">IF(OR($D97&lt;&gt;"Serviço",AND(AUTOEVENTO="Manual",$M97=$A$15)),0,
         IF(OFFSET(CRONOPLE!$F$15,$M97-$A$15,CN$13)=0,10^12,OFFSET(CRONOPLE!$F$15,$M97-$A$15,CN$13)))</f>
        <v>0</v>
      </c>
      <c r="CO97" s="353" t="n">
        <f aca="true">IF(OR($D97&lt;&gt;"Serviço",AND(AUTOEVENTO="Manual",$M97=$A$15)),0,
         IF(OFFSET(CRONOPLE!$F$15,$M97-$A$15,CO$13)=0,10^12,OFFSET(CRONOPLE!$F$15,$M97-$A$15,CO$13)))</f>
        <v>0</v>
      </c>
      <c r="CP97" s="353" t="n">
        <f aca="true">IF(OR($D97&lt;&gt;"Serviço",AND(AUTOEVENTO="Manual",$M97=$A$15)),0,
         IF(OFFSET(CRONOPLE!$F$15,$M97-$A$15,CP$13)=0,10^12,OFFSET(CRONOPLE!$F$15,$M97-$A$15,CP$13)))</f>
        <v>0</v>
      </c>
      <c r="CQ97" s="353" t="n">
        <f aca="true">IF(OR($D97&lt;&gt;"Serviço",AND(AUTOEVENTO="Manual",$M97=$A$15)),0,
         IF(OFFSET(CRONOPLE!$F$15,$M97-$A$15,CQ$13)=0,10^12,OFFSET(CRONOPLE!$F$15,$M97-$A$15,CQ$13)))</f>
        <v>0</v>
      </c>
      <c r="CR97" s="353" t="n">
        <f aca="true">IF(OR($D97&lt;&gt;"Serviço",AND(AUTOEVENTO="Manual",$M97=$A$15)),0,
         IF(OFFSET(CRONOPLE!$F$15,$M97-$A$15,CR$13)=0,10^12,OFFSET(CRONOPLE!$F$15,$M97-$A$15,CR$13)))</f>
        <v>0</v>
      </c>
      <c r="CT97" s="354" t="n">
        <f aca="true">IF(OR($D97&lt;&gt;"Serviço",AND(AUTOEVENTO="Manual",$M97=$A$15),$M97&gt;(ROW(PLE.lastrow)-ROW(PLE.firstrow))),0,
           IF(OFFSET(PLE!$G$15,$M97-$A$15,CT$13)="",10^12,OFFSET(PLE!$G$15,$M97-$A$15,CT$13)))</f>
        <v>0</v>
      </c>
      <c r="CU97" s="354" t="n">
        <f aca="true">IF(OR($D97&lt;&gt;"Serviço",AND(AUTOEVENTO="Manual",$M97=$A$15),$M97&gt;(ROW(PLE.lastrow)-ROW(PLE.firstrow))),0,
           IF(OFFSET(PLE!$G$15,$M97-$A$15,CU$13)="",10^12,OFFSET(PLE!$G$15,$M97-$A$15,CU$13)))</f>
        <v>0</v>
      </c>
      <c r="CV97" s="354" t="n">
        <f aca="true">IF(OR($D97&lt;&gt;"Serviço",AND(AUTOEVENTO="Manual",$M97=$A$15),$M97&gt;(ROW(PLE.lastrow)-ROW(PLE.firstrow))),0,
           IF(OFFSET(PLE!$G$15,$M97-$A$15,CV$13)="",10^12,OFFSET(PLE!$G$15,$M97-$A$15,CV$13)))</f>
        <v>0</v>
      </c>
      <c r="CW97" s="354" t="n">
        <f aca="true">IF(OR($D97&lt;&gt;"Serviço",AND(AUTOEVENTO="Manual",$M97=$A$15),$M97&gt;(ROW(PLE.lastrow)-ROW(PLE.firstrow))),0,
           IF(OFFSET(PLE!$G$15,$M97-$A$15,CW$13)="",10^12,OFFSET(PLE!$G$15,$M97-$A$15,CW$13)))</f>
        <v>0</v>
      </c>
      <c r="CX97" s="354" t="n">
        <f aca="true">IF(OR($D97&lt;&gt;"Serviço",AND(AUTOEVENTO="Manual",$M97=$A$15),$M97&gt;(ROW(PLE.lastrow)-ROW(PLE.firstrow))),0,
           IF(OFFSET(PLE!$G$15,$M97-$A$15,CX$13)="",10^12,OFFSET(PLE!$G$15,$M97-$A$15,CX$13)))</f>
        <v>0</v>
      </c>
      <c r="CY97" s="354" t="n">
        <f aca="true">IF(OR($D97&lt;&gt;"Serviço",AND(AUTOEVENTO="Manual",$M97=$A$15),$M97&gt;(ROW(PLE.lastrow)-ROW(PLE.firstrow))),0,
           IF(OFFSET(PLE!$G$15,$M97-$A$15,CY$13)="",10^12,OFFSET(PLE!$G$15,$M97-$A$15,CY$13)))</f>
        <v>0</v>
      </c>
      <c r="CZ97" s="354" t="n">
        <f aca="true">IF(OR($D97&lt;&gt;"Serviço",AND(AUTOEVENTO="Manual",$M97=$A$15),$M97&gt;(ROW(PLE.lastrow)-ROW(PLE.firstrow))),0,
           IF(OFFSET(PLE!$G$15,$M97-$A$15,CZ$13)="",10^12,OFFSET(PLE!$G$15,$M97-$A$15,CZ$13)))</f>
        <v>0</v>
      </c>
      <c r="DA97" s="354" t="n">
        <f aca="true">IF(OR($D97&lt;&gt;"Serviço",AND(AUTOEVENTO="Manual",$M97=$A$15),$M97&gt;(ROW(PLE.lastrow)-ROW(PLE.firstrow))),0,
           IF(OFFSET(PLE!$G$15,$M97-$A$15,DA$13)="",10^12,OFFSET(PLE!$G$15,$M97-$A$15,DA$13)))</f>
        <v>0</v>
      </c>
      <c r="DB97" s="354" t="n">
        <f aca="true">IF(OR($D97&lt;&gt;"Serviço",AND(AUTOEVENTO="Manual",$M97=$A$15),$M97&gt;(ROW(PLE.lastrow)-ROW(PLE.firstrow))),0,
           IF(OFFSET(PLE!$G$15,$M97-$A$15,DB$13)="",10^12,OFFSET(PLE!$G$15,$M97-$A$15,DB$13)))</f>
        <v>0</v>
      </c>
      <c r="DC97" s="354" t="n">
        <f aca="true">IF(OR($D97&lt;&gt;"Serviço",AND(AUTOEVENTO="Manual",$M97=$A$15),$M97&gt;(ROW(PLE.lastrow)-ROW(PLE.firstrow))),0,
           IF(OFFSET(PLE!$G$15,$M97-$A$15,DC$13)="",10^12,OFFSET(PLE!$G$15,$M97-$A$15,DC$13)))</f>
        <v>0</v>
      </c>
      <c r="DD97" s="354" t="n">
        <f aca="true">IF(OR($D97&lt;&gt;"Serviço",AND(AUTOEVENTO="Manual",$M97=$A$15),$M97&gt;(ROW(PLE.lastrow)-ROW(PLE.firstrow))),0,
           IF(OFFSET(PLE!$G$15,$M97-$A$15,DD$13)="",10^12,OFFSET(PLE!$G$15,$M97-$A$15,DD$13)))</f>
        <v>0</v>
      </c>
      <c r="DE97" s="354" t="n">
        <f aca="true">IF(OR($D97&lt;&gt;"Serviço",AND(AUTOEVENTO="Manual",$M97=$A$15),$M97&gt;(ROW(PLE.lastrow)-ROW(PLE.firstrow))),0,
           IF(OFFSET(PLE!$G$15,$M97-$A$15,DE$13)="",10^12,OFFSET(PLE!$G$15,$M97-$A$15,DE$13)))</f>
        <v>0</v>
      </c>
      <c r="DF97" s="354" t="n">
        <f aca="true">IF(OR($D97&lt;&gt;"Serviço",AND(AUTOEVENTO="Manual",$M97=$A$15),$M97&gt;(ROW(PLE.lastrow)-ROW(PLE.firstrow))),0,
           IF(OFFSET(PLE!$G$15,$M97-$A$15,DF$13)="",10^12,OFFSET(PLE!$G$15,$M97-$A$15,DF$13)))</f>
        <v>0</v>
      </c>
      <c r="DG97" s="354" t="n">
        <f aca="true">IF(OR($D97&lt;&gt;"Serviço",AND(AUTOEVENTO="Manual",$M97=$A$15),$M97&gt;(ROW(PLE.lastrow)-ROW(PLE.firstrow))),0,
           IF(OFFSET(PLE!$G$15,$M97-$A$15,DG$13)="",10^12,OFFSET(PLE!$G$15,$M97-$A$15,DG$13)))</f>
        <v>0</v>
      </c>
      <c r="DH97" s="354" t="n">
        <f aca="true">IF(OR($D97&lt;&gt;"Serviço",AND(AUTOEVENTO="Manual",$M97=$A$15),$M97&gt;(ROW(PLE.lastrow)-ROW(PLE.firstrow))),0,
           IF(OFFSET(PLE!$G$15,$M97-$A$15,DH$13)="",10^12,OFFSET(PLE!$G$15,$M97-$A$15,DH$13)))</f>
        <v>0</v>
      </c>
      <c r="DI97" s="354" t="n">
        <f aca="true">IF(OR($D97&lt;&gt;"Serviço",AND(AUTOEVENTO="Manual",$M97=$A$15),$M97&gt;(ROW(PLE.lastrow)-ROW(PLE.firstrow))),0,
           IF(OFFSET(PLE!$G$15,$M97-$A$15,DI$13)="",10^12,OFFSET(PLE!$G$15,$M97-$A$15,DI$13)))</f>
        <v>0</v>
      </c>
      <c r="DJ97" s="354" t="n">
        <f aca="true">IF(OR($D97&lt;&gt;"Serviço",AND(AUTOEVENTO="Manual",$M97=$A$15),$M97&gt;(ROW(PLE.lastrow)-ROW(PLE.firstrow))),0,
           IF(OFFSET(PLE!$G$15,$M97-$A$15,DJ$13)="",10^12,OFFSET(PLE!$G$15,$M97-$A$15,DJ$13)))</f>
        <v>0</v>
      </c>
      <c r="DK97" s="354" t="n">
        <f aca="true">IF(OR($D97&lt;&gt;"Serviço",AND(AUTOEVENTO="Manual",$M97=$A$15),$M97&gt;(ROW(PLE.lastrow)-ROW(PLE.firstrow))),0,
           IF(OFFSET(PLE!$G$15,$M97-$A$15,DK$13)="",10^12,OFFSET(PLE!$G$15,$M97-$A$15,DK$13)))</f>
        <v>0</v>
      </c>
      <c r="DL97" s="354" t="n">
        <f aca="true">IF(OR($D97&lt;&gt;"Serviço",AND(AUTOEVENTO="Manual",$M97=$A$15),$M97&gt;(ROW(PLE.lastrow)-ROW(PLE.firstrow))),0,
           IF(OFFSET(PLE!$G$15,$M97-$A$15,DL$13)="",10^12,OFFSET(PLE!$G$15,$M97-$A$15,DL$13)))</f>
        <v>0</v>
      </c>
      <c r="DM97" s="354" t="n">
        <f aca="true">IF(OR($D97&lt;&gt;"Serviço",AND(AUTOEVENTO="Manual",$M97=$A$15),$M97&gt;(ROW(PLE.lastrow)-ROW(PLE.firstrow))),0,
           IF(OFFSET(PLE!$G$15,$M97-$A$15,DM$13)="",10^12,OFFSET(PLE!$G$15,$M97-$A$15,DM$13)))</f>
        <v>0</v>
      </c>
      <c r="DN97" s="354" t="n">
        <f aca="true">IF(OR($D97&lt;&gt;"Serviço",AND(AUTOEVENTO="Manual",$M97=$A$15),$M97&gt;(ROW(PLE.lastrow)-ROW(PLE.firstrow))),0,
           IF(OFFSET(PLE!$G$15,$M97-$A$15,DN$13)="",10^12,OFFSET(PLE!$G$15,$M97-$A$15,DN$13)))</f>
        <v>0</v>
      </c>
      <c r="DO97" s="354" t="n">
        <f aca="true">IF(OR($D97&lt;&gt;"Serviço",AND(AUTOEVENTO="Manual",$M97=$A$15),$M97&gt;(ROW(PLE.lastrow)-ROW(PLE.firstrow))),0,
           IF(OFFSET(PLE!$G$15,$M97-$A$15,DO$13)="",10^12,OFFSET(PLE!$G$15,$M97-$A$15,DO$13)))</f>
        <v>0</v>
      </c>
      <c r="DP97" s="354" t="n">
        <f aca="true">IF(OR($D97&lt;&gt;"Serviço",AND(AUTOEVENTO="Manual",$M97=$A$15),$M97&gt;(ROW(PLE.lastrow)-ROW(PLE.firstrow))),0,
           IF(OFFSET(PLE!$G$15,$M97-$A$15,DP$13)="",10^12,OFFSET(PLE!$G$15,$M97-$A$15,DP$13)))</f>
        <v>0</v>
      </c>
      <c r="DQ97" s="354" t="n">
        <f aca="true">IF(OR($D97&lt;&gt;"Serviço",AND(AUTOEVENTO="Manual",$M97=$A$15),$M97&gt;(ROW(PLE.lastrow)-ROW(PLE.firstrow))),0,
           IF(OFFSET(PLE!$G$15,$M97-$A$15,DQ$13)="",10^12,OFFSET(PLE!$G$15,$M97-$A$15,DQ$13)))</f>
        <v>0</v>
      </c>
      <c r="DR97" s="354" t="n">
        <f aca="true">IF(OR($D97&lt;&gt;"Serviço",AND(AUTOEVENTO="Manual",$M97=$A$15),$M97&gt;(ROW(PLE.lastrow)-ROW(PLE.firstrow))),0,
           IF(OFFSET(PLE!$G$15,$M97-$A$15,DR$13)="",10^12,OFFSET(PLE!$G$15,$M97-$A$15,DR$13)))</f>
        <v>0</v>
      </c>
      <c r="DS97" s="354" t="n">
        <f aca="true">IF(OR($D97&lt;&gt;"Serviço",AND(AUTOEVENTO="Manual",$M97=$A$15),$M97&gt;(ROW(PLE.lastrow)-ROW(PLE.firstrow))),0,
           IF(OFFSET(PLE!$G$15,$M97-$A$15,DS$13)="",10^12,OFFSET(PLE!$G$15,$M97-$A$15,DS$13)))</f>
        <v>0</v>
      </c>
    </row>
    <row r="98" customFormat="false" ht="23.85" hidden="false" customHeight="false" outlineLevel="0" collapsed="false">
      <c r="A98" s="50" t="str">
        <f aca="true">IFERROR(IF(AUTOEVENTO="Manual",IF(K98&lt;&gt;"",MIN(VALUE(LEFT(K98,FIND(".",K98)-1)),COUNTA(EVENTOS.Lista)),0),IF(OR($B98&gt;AUTOEVENTO,$B98="S",$B98=0),SUBSTITUTE(OFFSET($A98,-1,0),IF($D98="Serviço",".",""),""),ROW(A98)-ROW($A$15)&amp;".")),0)</f>
        <v>82</v>
      </c>
      <c r="B98" s="50" t="str">
        <f aca="true">OFFSET(ORÇAMENTO!C$15,ROW(B98)-ROW(B$15),0)</f>
        <v>S</v>
      </c>
      <c r="C98" s="50" t="str">
        <f aca="true">OFFSET(ORÇAMENTO!L$15,ROW(C98)-ROW(C$15),0)</f>
        <v>F</v>
      </c>
      <c r="D98" s="201" t="str">
        <f aca="true">OFFSET(ORÇAMENTO!N$15,ROW(D98)-ROW(D$15),0)</f>
        <v>Serviço</v>
      </c>
      <c r="E98" s="202" t="str">
        <f aca="true">OFFSET(ORÇAMENTO!O$15,ROW(E98)-ROW(E$15),0)</f>
        <v>1.25.1.</v>
      </c>
      <c r="F98" s="341" t="str">
        <f aca="true">OFFSET(ORÇAMENTO!R$15,ROW(F98)-ROW(F$15),0)</f>
        <v>LIXAMENTO DE MADEIRA PARA APLICAÇÃO DE FUNDO OU PINTURA. AF_01/2021</v>
      </c>
      <c r="G98" s="342" t="str">
        <f aca="true">IF($D98&lt;&gt;"Serviço","",OFFSET(ORÇAMENTO!S$15,ROW(G98)-ROW(G$15),0))</f>
        <v>M2</v>
      </c>
      <c r="H98" s="207" t="n">
        <f aca="true">IF($D98&lt;&gt;"Serviço",0,IF(ACOMPANHAMENTO="BM",ROUND(OFFSET(ORÇAMENTO!AJ$15,ROW(H98)-ROW(H$15),0),15-13*ORÇAMENTO!$AF$7),SUMPRODUCT(($Q$1:$AQ$1=1)*ROUND($Q98:$AQ98,15-13*ORÇAMENTO!$AF$7))))</f>
        <v>270</v>
      </c>
      <c r="I98" s="343" t="s">
        <v>961</v>
      </c>
      <c r="J98" s="344" t="e">
        <f aca="false">IF(OR(B98&lt;&gt;"S",CÁLCULO.FrentesPreenchidas=0),"",IF(AND(ACOMPANHAMENTO="PLE",AUTOEVENTO="Manual",OR(H98&gt;0,ORÇAMENTO!AC98="QUANT."),OR(K98="",M98=0,N98="")),"►",IF(AND(ACOMPANHAMENTO="PLE",ORÇAMENTO!AC98="QUANT."),"►►",IF(AND(COUNTIF($P$11:$AQ$11,"▼")=0,H98&gt;0,I98=""),"◄",""))))</f>
        <v>#NAME?</v>
      </c>
      <c r="K98" s="345"/>
      <c r="L98" s="346" t="s">
        <v>876</v>
      </c>
      <c r="M98" s="347" t="n">
        <f aca="true">IF($D98&lt;&gt;"Serviço","",
          IF(AUTOEVENTO="manual",$A98,
                IF(ISERROR(MATCH($A98,$A$15:OFFSET($A98,-1,0),0)),MAX($M$15:OFFSET(M98,-1,0))+1,
                      INDEX($M$15:OFFSET(M98,-1,0),MATCH($A98,$A$15:OFFSET($A98,-1,0),0)))))</f>
        <v>17</v>
      </c>
      <c r="N98" s="348" t="str">
        <f aca="true">IF($D98&lt;&gt;"Serviço","",
         IF(AUTOEVENTO="Manual",
                IF($A98=0,"&lt;-- defina o número do agrupador",
                       OFFSET(EVENTOS!$D$15,$A98-$A$15,0)),
                OFFSET($F$15,$A98,0)))</f>
        <v>PINTURA ESQUADRIAS</v>
      </c>
      <c r="O98" s="349"/>
      <c r="Q98" s="349" t="n">
        <v>10.8</v>
      </c>
      <c r="R98" s="350" t="n">
        <f aca="false">Q98</f>
        <v>10.8</v>
      </c>
      <c r="S98" s="350" t="n">
        <f aca="false">R98</f>
        <v>10.8</v>
      </c>
      <c r="T98" s="350" t="n">
        <f aca="false">S98</f>
        <v>10.8</v>
      </c>
      <c r="U98" s="350" t="n">
        <f aca="false">T98</f>
        <v>10.8</v>
      </c>
      <c r="V98" s="350" t="n">
        <f aca="false">U98</f>
        <v>10.8</v>
      </c>
      <c r="W98" s="350" t="n">
        <f aca="false">V98</f>
        <v>10.8</v>
      </c>
      <c r="X98" s="350" t="n">
        <f aca="false">W98</f>
        <v>10.8</v>
      </c>
      <c r="Y98" s="350" t="n">
        <f aca="false">X98</f>
        <v>10.8</v>
      </c>
      <c r="Z98" s="351" t="n">
        <f aca="false">Y98</f>
        <v>10.8</v>
      </c>
      <c r="AA98" s="350" t="n">
        <f aca="false">Z98</f>
        <v>10.8</v>
      </c>
      <c r="AB98" s="350" t="n">
        <f aca="false">AA98</f>
        <v>10.8</v>
      </c>
      <c r="AC98" s="350" t="n">
        <f aca="false">AB98</f>
        <v>10.8</v>
      </c>
      <c r="AD98" s="350" t="n">
        <f aca="false">AC98</f>
        <v>10.8</v>
      </c>
      <c r="AE98" s="350" t="n">
        <f aca="false">AD98</f>
        <v>10.8</v>
      </c>
      <c r="AF98" s="350" t="n">
        <f aca="false">AE98</f>
        <v>10.8</v>
      </c>
      <c r="AG98" s="350" t="n">
        <f aca="false">AF98</f>
        <v>10.8</v>
      </c>
      <c r="AH98" s="351" t="n">
        <f aca="false">AG98</f>
        <v>10.8</v>
      </c>
      <c r="AI98" s="350" t="n">
        <f aca="false">AH98</f>
        <v>10.8</v>
      </c>
      <c r="AJ98" s="350" t="n">
        <f aca="false">AI98</f>
        <v>10.8</v>
      </c>
      <c r="AK98" s="350" t="n">
        <f aca="false">AJ98</f>
        <v>10.8</v>
      </c>
      <c r="AL98" s="350" t="n">
        <f aca="false">AK98</f>
        <v>10.8</v>
      </c>
      <c r="AM98" s="350" t="n">
        <f aca="false">AL98</f>
        <v>10.8</v>
      </c>
      <c r="AN98" s="350" t="n">
        <f aca="false">AM98</f>
        <v>10.8</v>
      </c>
      <c r="AO98" s="350" t="n">
        <f aca="false">AN98</f>
        <v>10.8</v>
      </c>
      <c r="AP98" s="351"/>
      <c r="AR98" s="352" t="n">
        <f aca="true">IF(AND($D98="Serviço",AR$12&lt;&gt;0,$H98&gt;0,OR(AUTOEVENTO&lt;&gt;"manual",$M98&lt;&gt;$A$15)),
        IF(Import.TipoArredondamento&lt;&gt;"TransfereGOV",
              ROUND(OFFSET($P98,0,AR$13),15-13*ORÇAMENTO!$AF$7)/$H98*OFFSET(ORÇAMENTO!$X$15,ROW(AR98)-ROW(AR$15),0),
              ROUND(ROUND(OFFSET($P98,0,AR$13),15-13*ORÇAMENTO!$AF$7)*OFFSET(ORÇAMENTO!$W$15,ROW(AR98)-ROW(AR$15),0),15-13*ORÇAMENTO!$AF$11)),
         0)</f>
        <v>29.92</v>
      </c>
      <c r="AS98" s="352" t="n">
        <f aca="true">IF(AND($D98="Serviço",AS$12&lt;&gt;0,$H98&gt;0,OR(AUTOEVENTO&lt;&gt;"manual",$M98&lt;&gt;$A$15)),
        IF(Import.TipoArredondamento&lt;&gt;"TransfereGOV",
              ROUND(OFFSET($P98,0,AS$13),15-13*ORÇAMENTO!$AF$7)/$H98*OFFSET(ORÇAMENTO!$X$15,ROW(AS98)-ROW(AS$15),0),
              ROUND(ROUND(OFFSET($P98,0,AS$13),15-13*ORÇAMENTO!$AF$7)*OFFSET(ORÇAMENTO!$W$15,ROW(AS98)-ROW(AS$15),0),15-13*ORÇAMENTO!$AF$11)),
         0)</f>
        <v>29.92</v>
      </c>
      <c r="AT98" s="352" t="n">
        <f aca="true">IF(AND($D98="Serviço",AT$12&lt;&gt;0,$H98&gt;0,OR(AUTOEVENTO&lt;&gt;"manual",$M98&lt;&gt;$A$15)),
        IF(Import.TipoArredondamento&lt;&gt;"TransfereGOV",
              ROUND(OFFSET($P98,0,AT$13),15-13*ORÇAMENTO!$AF$7)/$H98*OFFSET(ORÇAMENTO!$X$15,ROW(AT98)-ROW(AT$15),0),
              ROUND(ROUND(OFFSET($P98,0,AT$13),15-13*ORÇAMENTO!$AF$7)*OFFSET(ORÇAMENTO!$W$15,ROW(AT98)-ROW(AT$15),0),15-13*ORÇAMENTO!$AF$11)),
         0)</f>
        <v>29.92</v>
      </c>
      <c r="AU98" s="352" t="n">
        <f aca="true">IF(AND($D98="Serviço",AU$12&lt;&gt;0,$H98&gt;0,OR(AUTOEVENTO&lt;&gt;"manual",$M98&lt;&gt;$A$15)),
        IF(Import.TipoArredondamento&lt;&gt;"TransfereGOV",
              ROUND(OFFSET($P98,0,AU$13),15-13*ORÇAMENTO!$AF$7)/$H98*OFFSET(ORÇAMENTO!$X$15,ROW(AU98)-ROW(AU$15),0),
              ROUND(ROUND(OFFSET($P98,0,AU$13),15-13*ORÇAMENTO!$AF$7)*OFFSET(ORÇAMENTO!$W$15,ROW(AU98)-ROW(AU$15),0),15-13*ORÇAMENTO!$AF$11)),
         0)</f>
        <v>29.92</v>
      </c>
      <c r="AV98" s="352" t="n">
        <f aca="true">IF(AND($D98="Serviço",AV$12&lt;&gt;0,$H98&gt;0,OR(AUTOEVENTO&lt;&gt;"manual",$M98&lt;&gt;$A$15)),
        IF(Import.TipoArredondamento&lt;&gt;"TransfereGOV",
              ROUND(OFFSET($P98,0,AV$13),15-13*ORÇAMENTO!$AF$7)/$H98*OFFSET(ORÇAMENTO!$X$15,ROW(AV98)-ROW(AV$15),0),
              ROUND(ROUND(OFFSET($P98,0,AV$13),15-13*ORÇAMENTO!$AF$7)*OFFSET(ORÇAMENTO!$W$15,ROW(AV98)-ROW(AV$15),0),15-13*ORÇAMENTO!$AF$11)),
         0)</f>
        <v>29.92</v>
      </c>
      <c r="AW98" s="352" t="n">
        <f aca="true">IF(AND($D98="Serviço",AW$12&lt;&gt;0,$H98&gt;0,OR(AUTOEVENTO&lt;&gt;"manual",$M98&lt;&gt;$A$15)),
        IF(Import.TipoArredondamento&lt;&gt;"TransfereGOV",
              ROUND(OFFSET($P98,0,AW$13),15-13*ORÇAMENTO!$AF$7)/$H98*OFFSET(ORÇAMENTO!$X$15,ROW(AW98)-ROW(AW$15),0),
              ROUND(ROUND(OFFSET($P98,0,AW$13),15-13*ORÇAMENTO!$AF$7)*OFFSET(ORÇAMENTO!$W$15,ROW(AW98)-ROW(AW$15),0),15-13*ORÇAMENTO!$AF$11)),
         0)</f>
        <v>29.92</v>
      </c>
      <c r="AX98" s="352" t="n">
        <f aca="true">IF(AND($D98="Serviço",AX$12&lt;&gt;0,$H98&gt;0,OR(AUTOEVENTO&lt;&gt;"manual",$M98&lt;&gt;$A$15)),
        IF(Import.TipoArredondamento&lt;&gt;"TransfereGOV",
              ROUND(OFFSET($P98,0,AX$13),15-13*ORÇAMENTO!$AF$7)/$H98*OFFSET(ORÇAMENTO!$X$15,ROW(AX98)-ROW(AX$15),0),
              ROUND(ROUND(OFFSET($P98,0,AX$13),15-13*ORÇAMENTO!$AF$7)*OFFSET(ORÇAMENTO!$W$15,ROW(AX98)-ROW(AX$15),0),15-13*ORÇAMENTO!$AF$11)),
         0)</f>
        <v>29.92</v>
      </c>
      <c r="AY98" s="352" t="n">
        <f aca="true">IF(AND($D98="Serviço",AY$12&lt;&gt;0,$H98&gt;0,OR(AUTOEVENTO&lt;&gt;"manual",$M98&lt;&gt;$A$15)),
        IF(Import.TipoArredondamento&lt;&gt;"TransfereGOV",
              ROUND(OFFSET($P98,0,AY$13),15-13*ORÇAMENTO!$AF$7)/$H98*OFFSET(ORÇAMENTO!$X$15,ROW(AY98)-ROW(AY$15),0),
              ROUND(ROUND(OFFSET($P98,0,AY$13),15-13*ORÇAMENTO!$AF$7)*OFFSET(ORÇAMENTO!$W$15,ROW(AY98)-ROW(AY$15),0),15-13*ORÇAMENTO!$AF$11)),
         0)</f>
        <v>29.92</v>
      </c>
      <c r="AZ98" s="352" t="n">
        <f aca="true">IF(AND($D98="Serviço",AZ$12&lt;&gt;0,$H98&gt;0,OR(AUTOEVENTO&lt;&gt;"manual",$M98&lt;&gt;$A$15)),
        IF(Import.TipoArredondamento&lt;&gt;"TransfereGOV",
              ROUND(OFFSET($P98,0,AZ$13),15-13*ORÇAMENTO!$AF$7)/$H98*OFFSET(ORÇAMENTO!$X$15,ROW(AZ98)-ROW(AZ$15),0),
              ROUND(ROUND(OFFSET($P98,0,AZ$13),15-13*ORÇAMENTO!$AF$7)*OFFSET(ORÇAMENTO!$W$15,ROW(AZ98)-ROW(AZ$15),0),15-13*ORÇAMENTO!$AF$11)),
         0)</f>
        <v>29.92</v>
      </c>
      <c r="BA98" s="352" t="n">
        <f aca="true">IF(AND($D98="Serviço",BA$12&lt;&gt;0,$H98&gt;0,OR(AUTOEVENTO&lt;&gt;"manual",$M98&lt;&gt;$A$15)),
        IF(Import.TipoArredondamento&lt;&gt;"TransfereGOV",
              ROUND(OFFSET($P98,0,BA$13),15-13*ORÇAMENTO!$AF$7)/$H98*OFFSET(ORÇAMENTO!$X$15,ROW(BA98)-ROW(BA$15),0),
              ROUND(ROUND(OFFSET($P98,0,BA$13),15-13*ORÇAMENTO!$AF$7)*OFFSET(ORÇAMENTO!$W$15,ROW(BA98)-ROW(BA$15),0),15-13*ORÇAMENTO!$AF$11)),
         0)</f>
        <v>29.92</v>
      </c>
      <c r="BB98" s="352" t="n">
        <f aca="true">IF(AND($D98="Serviço",BB$12&lt;&gt;0,$H98&gt;0,OR(AUTOEVENTO&lt;&gt;"manual",$M98&lt;&gt;$A$15)),
        IF(Import.TipoArredondamento&lt;&gt;"TransfereGOV",
              ROUND(OFFSET($P98,0,BB$13),15-13*ORÇAMENTO!$AF$7)/$H98*OFFSET(ORÇAMENTO!$X$15,ROW(BB98)-ROW(BB$15),0),
              ROUND(ROUND(OFFSET($P98,0,BB$13),15-13*ORÇAMENTO!$AF$7)*OFFSET(ORÇAMENTO!$W$15,ROW(BB98)-ROW(BB$15),0),15-13*ORÇAMENTO!$AF$11)),
         0)</f>
        <v>29.92</v>
      </c>
      <c r="BC98" s="352" t="n">
        <f aca="true">IF(AND($D98="Serviço",BC$12&lt;&gt;0,$H98&gt;0,OR(AUTOEVENTO&lt;&gt;"manual",$M98&lt;&gt;$A$15)),
        IF(Import.TipoArredondamento&lt;&gt;"TransfereGOV",
              ROUND(OFFSET($P98,0,BC$13),15-13*ORÇAMENTO!$AF$7)/$H98*OFFSET(ORÇAMENTO!$X$15,ROW(BC98)-ROW(BC$15),0),
              ROUND(ROUND(OFFSET($P98,0,BC$13),15-13*ORÇAMENTO!$AF$7)*OFFSET(ORÇAMENTO!$W$15,ROW(BC98)-ROW(BC$15),0),15-13*ORÇAMENTO!$AF$11)),
         0)</f>
        <v>29.92</v>
      </c>
      <c r="BD98" s="352" t="n">
        <f aca="true">IF(AND($D98="Serviço",BD$12&lt;&gt;0,$H98&gt;0,OR(AUTOEVENTO&lt;&gt;"manual",$M98&lt;&gt;$A$15)),
        IF(Import.TipoArredondamento&lt;&gt;"TransfereGOV",
              ROUND(OFFSET($P98,0,BD$13),15-13*ORÇAMENTO!$AF$7)/$H98*OFFSET(ORÇAMENTO!$X$15,ROW(BD98)-ROW(BD$15),0),
              ROUND(ROUND(OFFSET($P98,0,BD$13),15-13*ORÇAMENTO!$AF$7)*OFFSET(ORÇAMENTO!$W$15,ROW(BD98)-ROW(BD$15),0),15-13*ORÇAMENTO!$AF$11)),
         0)</f>
        <v>29.92</v>
      </c>
      <c r="BE98" s="352" t="n">
        <f aca="true">IF(AND($D98="Serviço",BE$12&lt;&gt;0,$H98&gt;0,OR(AUTOEVENTO&lt;&gt;"manual",$M98&lt;&gt;$A$15)),
        IF(Import.TipoArredondamento&lt;&gt;"TransfereGOV",
              ROUND(OFFSET($P98,0,BE$13),15-13*ORÇAMENTO!$AF$7)/$H98*OFFSET(ORÇAMENTO!$X$15,ROW(BE98)-ROW(BE$15),0),
              ROUND(ROUND(OFFSET($P98,0,BE$13),15-13*ORÇAMENTO!$AF$7)*OFFSET(ORÇAMENTO!$W$15,ROW(BE98)-ROW(BE$15),0),15-13*ORÇAMENTO!$AF$11)),
         0)</f>
        <v>29.92</v>
      </c>
      <c r="BF98" s="352" t="n">
        <f aca="true">IF(AND($D98="Serviço",BF$12&lt;&gt;0,$H98&gt;0,OR(AUTOEVENTO&lt;&gt;"manual",$M98&lt;&gt;$A$15)),
        IF(Import.TipoArredondamento&lt;&gt;"TransfereGOV",
              ROUND(OFFSET($P98,0,BF$13),15-13*ORÇAMENTO!$AF$7)/$H98*OFFSET(ORÇAMENTO!$X$15,ROW(BF98)-ROW(BF$15),0),
              ROUND(ROUND(OFFSET($P98,0,BF$13),15-13*ORÇAMENTO!$AF$7)*OFFSET(ORÇAMENTO!$W$15,ROW(BF98)-ROW(BF$15),0),15-13*ORÇAMENTO!$AF$11)),
         0)</f>
        <v>29.92</v>
      </c>
      <c r="BG98" s="352" t="n">
        <f aca="true">IF(AND($D98="Serviço",BG$12&lt;&gt;0,$H98&gt;0,OR(AUTOEVENTO&lt;&gt;"manual",$M98&lt;&gt;$A$15)),
        IF(Import.TipoArredondamento&lt;&gt;"TransfereGOV",
              ROUND(OFFSET($P98,0,BG$13),15-13*ORÇAMENTO!$AF$7)/$H98*OFFSET(ORÇAMENTO!$X$15,ROW(BG98)-ROW(BG$15),0),
              ROUND(ROUND(OFFSET($P98,0,BG$13),15-13*ORÇAMENTO!$AF$7)*OFFSET(ORÇAMENTO!$W$15,ROW(BG98)-ROW(BG$15),0),15-13*ORÇAMENTO!$AF$11)),
         0)</f>
        <v>29.92</v>
      </c>
      <c r="BH98" s="352" t="n">
        <f aca="true">IF(AND($D98="Serviço",BH$12&lt;&gt;0,$H98&gt;0,OR(AUTOEVENTO&lt;&gt;"manual",$M98&lt;&gt;$A$15)),
        IF(Import.TipoArredondamento&lt;&gt;"TransfereGOV",
              ROUND(OFFSET($P98,0,BH$13),15-13*ORÇAMENTO!$AF$7)/$H98*OFFSET(ORÇAMENTO!$X$15,ROW(BH98)-ROW(BH$15),0),
              ROUND(ROUND(OFFSET($P98,0,BH$13),15-13*ORÇAMENTO!$AF$7)*OFFSET(ORÇAMENTO!$W$15,ROW(BH98)-ROW(BH$15),0),15-13*ORÇAMENTO!$AF$11)),
         0)</f>
        <v>29.92</v>
      </c>
      <c r="BI98" s="352" t="n">
        <f aca="true">IF(AND($D98="Serviço",BI$12&lt;&gt;0,$H98&gt;0,OR(AUTOEVENTO&lt;&gt;"manual",$M98&lt;&gt;$A$15)),
        IF(Import.TipoArredondamento&lt;&gt;"TransfereGOV",
              ROUND(OFFSET($P98,0,BI$13),15-13*ORÇAMENTO!$AF$7)/$H98*OFFSET(ORÇAMENTO!$X$15,ROW(BI98)-ROW(BI$15),0),
              ROUND(ROUND(OFFSET($P98,0,BI$13),15-13*ORÇAMENTO!$AF$7)*OFFSET(ORÇAMENTO!$W$15,ROW(BI98)-ROW(BI$15),0),15-13*ORÇAMENTO!$AF$11)),
         0)</f>
        <v>29.92</v>
      </c>
      <c r="BJ98" s="352" t="n">
        <f aca="true">IF(AND($D98="Serviço",BJ$12&lt;&gt;0,$H98&gt;0,OR(AUTOEVENTO&lt;&gt;"manual",$M98&lt;&gt;$A$15)),
        IF(Import.TipoArredondamento&lt;&gt;"TransfereGOV",
              ROUND(OFFSET($P98,0,BJ$13),15-13*ORÇAMENTO!$AF$7)/$H98*OFFSET(ORÇAMENTO!$X$15,ROW(BJ98)-ROW(BJ$15),0),
              ROUND(ROUND(OFFSET($P98,0,BJ$13),15-13*ORÇAMENTO!$AF$7)*OFFSET(ORÇAMENTO!$W$15,ROW(BJ98)-ROW(BJ$15),0),15-13*ORÇAMENTO!$AF$11)),
         0)</f>
        <v>29.92</v>
      </c>
      <c r="BK98" s="352" t="n">
        <f aca="true">IF(AND($D98="Serviço",BK$12&lt;&gt;0,$H98&gt;0,OR(AUTOEVENTO&lt;&gt;"manual",$M98&lt;&gt;$A$15)),
        IF(Import.TipoArredondamento&lt;&gt;"TransfereGOV",
              ROUND(OFFSET($P98,0,BK$13),15-13*ORÇAMENTO!$AF$7)/$H98*OFFSET(ORÇAMENTO!$X$15,ROW(BK98)-ROW(BK$15),0),
              ROUND(ROUND(OFFSET($P98,0,BK$13),15-13*ORÇAMENTO!$AF$7)*OFFSET(ORÇAMENTO!$W$15,ROW(BK98)-ROW(BK$15),0),15-13*ORÇAMENTO!$AF$11)),
         0)</f>
        <v>29.92</v>
      </c>
      <c r="BL98" s="352" t="n">
        <f aca="true">IF(AND($D98="Serviço",BL$12&lt;&gt;0,$H98&gt;0,OR(AUTOEVENTO&lt;&gt;"manual",$M98&lt;&gt;$A$15)),
        IF(Import.TipoArredondamento&lt;&gt;"TransfereGOV",
              ROUND(OFFSET($P98,0,BL$13),15-13*ORÇAMENTO!$AF$7)/$H98*OFFSET(ORÇAMENTO!$X$15,ROW(BL98)-ROW(BL$15),0),
              ROUND(ROUND(OFFSET($P98,0,BL$13),15-13*ORÇAMENTO!$AF$7)*OFFSET(ORÇAMENTO!$W$15,ROW(BL98)-ROW(BL$15),0),15-13*ORÇAMENTO!$AF$11)),
         0)</f>
        <v>29.92</v>
      </c>
      <c r="BM98" s="352" t="n">
        <f aca="true">IF(AND($D98="Serviço",BM$12&lt;&gt;0,$H98&gt;0,OR(AUTOEVENTO&lt;&gt;"manual",$M98&lt;&gt;$A$15)),
        IF(Import.TipoArredondamento&lt;&gt;"TransfereGOV",
              ROUND(OFFSET($P98,0,BM$13),15-13*ORÇAMENTO!$AF$7)/$H98*OFFSET(ORÇAMENTO!$X$15,ROW(BM98)-ROW(BM$15),0),
              ROUND(ROUND(OFFSET($P98,0,BM$13),15-13*ORÇAMENTO!$AF$7)*OFFSET(ORÇAMENTO!$W$15,ROW(BM98)-ROW(BM$15),0),15-13*ORÇAMENTO!$AF$11)),
         0)</f>
        <v>29.92</v>
      </c>
      <c r="BN98" s="352" t="n">
        <f aca="true">IF(AND($D98="Serviço",BN$12&lt;&gt;0,$H98&gt;0,OR(AUTOEVENTO&lt;&gt;"manual",$M98&lt;&gt;$A$15)),
        IF(Import.TipoArredondamento&lt;&gt;"TransfereGOV",
              ROUND(OFFSET($P98,0,BN$13),15-13*ORÇAMENTO!$AF$7)/$H98*OFFSET(ORÇAMENTO!$X$15,ROW(BN98)-ROW(BN$15),0),
              ROUND(ROUND(OFFSET($P98,0,BN$13),15-13*ORÇAMENTO!$AF$7)*OFFSET(ORÇAMENTO!$W$15,ROW(BN98)-ROW(BN$15),0),15-13*ORÇAMENTO!$AF$11)),
         0)</f>
        <v>29.92</v>
      </c>
      <c r="BO98" s="352" t="n">
        <f aca="true">IF(AND($D98="Serviço",BO$12&lt;&gt;0,$H98&gt;0,OR(AUTOEVENTO&lt;&gt;"manual",$M98&lt;&gt;$A$15)),
        IF(Import.TipoArredondamento&lt;&gt;"TransfereGOV",
              ROUND(OFFSET($P98,0,BO$13),15-13*ORÇAMENTO!$AF$7)/$H98*OFFSET(ORÇAMENTO!$X$15,ROW(BO98)-ROW(BO$15),0),
              ROUND(ROUND(OFFSET($P98,0,BO$13),15-13*ORÇAMENTO!$AF$7)*OFFSET(ORÇAMENTO!$W$15,ROW(BO98)-ROW(BO$15),0),15-13*ORÇAMENTO!$AF$11)),
         0)</f>
        <v>29.92</v>
      </c>
      <c r="BP98" s="352" t="n">
        <f aca="true">IF(AND($D98="Serviço",BP$12&lt;&gt;0,$H98&gt;0,OR(AUTOEVENTO&lt;&gt;"manual",$M98&lt;&gt;$A$15)),
        IF(Import.TipoArredondamento&lt;&gt;"TransfereGOV",
              ROUND(OFFSET($P98,0,BP$13),15-13*ORÇAMENTO!$AF$7)/$H98*OFFSET(ORÇAMENTO!$X$15,ROW(BP98)-ROW(BP$15),0),
              ROUND(ROUND(OFFSET($P98,0,BP$13),15-13*ORÇAMENTO!$AF$7)*OFFSET(ORÇAMENTO!$W$15,ROW(BP98)-ROW(BP$15),0),15-13*ORÇAMENTO!$AF$11)),
         0)</f>
        <v>29.92</v>
      </c>
      <c r="BQ98" s="352" t="n">
        <f aca="true">IF(AND($D98="Serviço",BQ$12&lt;&gt;0,$H98&gt;0,OR(AUTOEVENTO&lt;&gt;"manual",$M98&lt;&gt;$A$15)),
        IF(Import.TipoArredondamento&lt;&gt;"TransfereGOV",
              ROUND(OFFSET($P98,0,BQ$13),15-13*ORÇAMENTO!$AF$7)/$H98*OFFSET(ORÇAMENTO!$X$15,ROW(BQ98)-ROW(BQ$15),0),
              ROUND(ROUND(OFFSET($P98,0,BQ$13),15-13*ORÇAMENTO!$AF$7)*OFFSET(ORÇAMENTO!$W$15,ROW(BQ98)-ROW(BQ$15),0),15-13*ORÇAMENTO!$AF$11)),
         0)</f>
        <v>0</v>
      </c>
      <c r="BS98" s="353" t="n">
        <f aca="true">IF(OR($D98&lt;&gt;"Serviço",AND(AUTOEVENTO="Manual",$M98=$A$15)),0,
         IF(OFFSET(CRONOPLE!$F$15,$M98-$A$15,BS$13)=0,10^12,OFFSET(CRONOPLE!$F$15,$M98-$A$15,BS$13)))</f>
        <v>1</v>
      </c>
      <c r="BT98" s="353" t="n">
        <f aca="true">IF(OR($D98&lt;&gt;"Serviço",AND(AUTOEVENTO="Manual",$M98=$A$15)),0,
         IF(OFFSET(CRONOPLE!$F$15,$M98-$A$15,BT$13)=0,10^12,OFFSET(CRONOPLE!$F$15,$M98-$A$15,BT$13)))</f>
        <v>2</v>
      </c>
      <c r="BU98" s="353" t="n">
        <f aca="true">IF(OR($D98&lt;&gt;"Serviço",AND(AUTOEVENTO="Manual",$M98=$A$15)),0,
         IF(OFFSET(CRONOPLE!$F$15,$M98-$A$15,BU$13)=0,10^12,OFFSET(CRONOPLE!$F$15,$M98-$A$15,BU$13)))</f>
        <v>3</v>
      </c>
      <c r="BV98" s="353" t="n">
        <f aca="true">IF(OR($D98&lt;&gt;"Serviço",AND(AUTOEVENTO="Manual",$M98=$A$15)),0,
         IF(OFFSET(CRONOPLE!$F$15,$M98-$A$15,BV$13)=0,10^12,OFFSET(CRONOPLE!$F$15,$M98-$A$15,BV$13)))</f>
        <v>4</v>
      </c>
      <c r="BW98" s="353" t="n">
        <f aca="true">IF(OR($D98&lt;&gt;"Serviço",AND(AUTOEVENTO="Manual",$M98=$A$15)),0,
         IF(OFFSET(CRONOPLE!$F$15,$M98-$A$15,BW$13)=0,10^12,OFFSET(CRONOPLE!$F$15,$M98-$A$15,BW$13)))</f>
        <v>5</v>
      </c>
      <c r="BX98" s="353" t="n">
        <f aca="true">IF(OR($D98&lt;&gt;"Serviço",AND(AUTOEVENTO="Manual",$M98=$A$15)),0,
         IF(OFFSET(CRONOPLE!$F$15,$M98-$A$15,BX$13)=0,10^12,OFFSET(CRONOPLE!$F$15,$M98-$A$15,BX$13)))</f>
        <v>6</v>
      </c>
      <c r="BY98" s="353" t="n">
        <f aca="true">IF(OR($D98&lt;&gt;"Serviço",AND(AUTOEVENTO="Manual",$M98=$A$15)),0,
         IF(OFFSET(CRONOPLE!$F$15,$M98-$A$15,BY$13)=0,10^12,OFFSET(CRONOPLE!$F$15,$M98-$A$15,BY$13)))</f>
        <v>7</v>
      </c>
      <c r="BZ98" s="353" t="n">
        <f aca="true">IF(OR($D98&lt;&gt;"Serviço",AND(AUTOEVENTO="Manual",$M98=$A$15)),0,
         IF(OFFSET(CRONOPLE!$F$15,$M98-$A$15,BZ$13)=0,10^12,OFFSET(CRONOPLE!$F$15,$M98-$A$15,BZ$13)))</f>
        <v>8</v>
      </c>
      <c r="CA98" s="353" t="n">
        <f aca="true">IF(OR($D98&lt;&gt;"Serviço",AND(AUTOEVENTO="Manual",$M98=$A$15)),0,
         IF(OFFSET(CRONOPLE!$F$15,$M98-$A$15,CA$13)=0,10^12,OFFSET(CRONOPLE!$F$15,$M98-$A$15,CA$13)))</f>
        <v>9</v>
      </c>
      <c r="CB98" s="353" t="n">
        <f aca="true">IF(OR($D98&lt;&gt;"Serviço",AND(AUTOEVENTO="Manual",$M98=$A$15)),0,
         IF(OFFSET(CRONOPLE!$F$15,$M98-$A$15,CB$13)=0,10^12,OFFSET(CRONOPLE!$F$15,$M98-$A$15,CB$13)))</f>
        <v>10</v>
      </c>
      <c r="CC98" s="353" t="n">
        <f aca="true">IF(OR($D98&lt;&gt;"Serviço",AND(AUTOEVENTO="Manual",$M98=$A$15)),0,
         IF(OFFSET(CRONOPLE!$F$15,$M98-$A$15,CC$13)=0,10^12,OFFSET(CRONOPLE!$F$15,$M98-$A$15,CC$13)))</f>
        <v>11</v>
      </c>
      <c r="CD98" s="353" t="n">
        <f aca="true">IF(OR($D98&lt;&gt;"Serviço",AND(AUTOEVENTO="Manual",$M98=$A$15)),0,
         IF(OFFSET(CRONOPLE!$F$15,$M98-$A$15,CD$13)=0,10^12,OFFSET(CRONOPLE!$F$15,$M98-$A$15,CD$13)))</f>
        <v>12</v>
      </c>
      <c r="CE98" s="353" t="n">
        <f aca="true">IF(OR($D98&lt;&gt;"Serviço",AND(AUTOEVENTO="Manual",$M98=$A$15)),0,
         IF(OFFSET(CRONOPLE!$F$15,$M98-$A$15,CE$13)=0,10^12,OFFSET(CRONOPLE!$F$15,$M98-$A$15,CE$13)))</f>
        <v>13</v>
      </c>
      <c r="CF98" s="353" t="n">
        <f aca="true">IF(OR($D98&lt;&gt;"Serviço",AND(AUTOEVENTO="Manual",$M98=$A$15)),0,
         IF(OFFSET(CRONOPLE!$F$15,$M98-$A$15,CF$13)=0,10^12,OFFSET(CRONOPLE!$F$15,$M98-$A$15,CF$13)))</f>
        <v>14</v>
      </c>
      <c r="CG98" s="353" t="n">
        <f aca="true">IF(OR($D98&lt;&gt;"Serviço",AND(AUTOEVENTO="Manual",$M98=$A$15)),0,
         IF(OFFSET(CRONOPLE!$F$15,$M98-$A$15,CG$13)=0,10^12,OFFSET(CRONOPLE!$F$15,$M98-$A$15,CG$13)))</f>
        <v>15</v>
      </c>
      <c r="CH98" s="353" t="n">
        <f aca="true">IF(OR($D98&lt;&gt;"Serviço",AND(AUTOEVENTO="Manual",$M98=$A$15)),0,
         IF(OFFSET(CRONOPLE!$F$15,$M98-$A$15,CH$13)=0,10^12,OFFSET(CRONOPLE!$F$15,$M98-$A$15,CH$13)))</f>
        <v>16</v>
      </c>
      <c r="CI98" s="353" t="n">
        <f aca="true">IF(OR($D98&lt;&gt;"Serviço",AND(AUTOEVENTO="Manual",$M98=$A$15)),0,
         IF(OFFSET(CRONOPLE!$F$15,$M98-$A$15,CI$13)=0,10^12,OFFSET(CRONOPLE!$F$15,$M98-$A$15,CI$13)))</f>
        <v>17</v>
      </c>
      <c r="CJ98" s="353" t="n">
        <f aca="true">IF(OR($D98&lt;&gt;"Serviço",AND(AUTOEVENTO="Manual",$M98=$A$15)),0,
         IF(OFFSET(CRONOPLE!$F$15,$M98-$A$15,CJ$13)=0,10^12,OFFSET(CRONOPLE!$F$15,$M98-$A$15,CJ$13)))</f>
        <v>18</v>
      </c>
      <c r="CK98" s="353" t="n">
        <f aca="true">IF(OR($D98&lt;&gt;"Serviço",AND(AUTOEVENTO="Manual",$M98=$A$15)),0,
         IF(OFFSET(CRONOPLE!$F$15,$M98-$A$15,CK$13)=0,10^12,OFFSET(CRONOPLE!$F$15,$M98-$A$15,CK$13)))</f>
        <v>19</v>
      </c>
      <c r="CL98" s="353" t="n">
        <f aca="true">IF(OR($D98&lt;&gt;"Serviço",AND(AUTOEVENTO="Manual",$M98=$A$15)),0,
         IF(OFFSET(CRONOPLE!$F$15,$M98-$A$15,CL$13)=0,10^12,OFFSET(CRONOPLE!$F$15,$M98-$A$15,CL$13)))</f>
        <v>20</v>
      </c>
      <c r="CM98" s="353" t="n">
        <f aca="true">IF(OR($D98&lt;&gt;"Serviço",AND(AUTOEVENTO="Manual",$M98=$A$15)),0,
         IF(OFFSET(CRONOPLE!$F$15,$M98-$A$15,CM$13)=0,10^12,OFFSET(CRONOPLE!$F$15,$M98-$A$15,CM$13)))</f>
        <v>21</v>
      </c>
      <c r="CN98" s="353" t="n">
        <f aca="true">IF(OR($D98&lt;&gt;"Serviço",AND(AUTOEVENTO="Manual",$M98=$A$15)),0,
         IF(OFFSET(CRONOPLE!$F$15,$M98-$A$15,CN$13)=0,10^12,OFFSET(CRONOPLE!$F$15,$M98-$A$15,CN$13)))</f>
        <v>22</v>
      </c>
      <c r="CO98" s="353" t="n">
        <f aca="true">IF(OR($D98&lt;&gt;"Serviço",AND(AUTOEVENTO="Manual",$M98=$A$15)),0,
         IF(OFFSET(CRONOPLE!$F$15,$M98-$A$15,CO$13)=0,10^12,OFFSET(CRONOPLE!$F$15,$M98-$A$15,CO$13)))</f>
        <v>23</v>
      </c>
      <c r="CP98" s="353" t="n">
        <f aca="true">IF(OR($D98&lt;&gt;"Serviço",AND(AUTOEVENTO="Manual",$M98=$A$15)),0,
         IF(OFFSET(CRONOPLE!$F$15,$M98-$A$15,CP$13)=0,10^12,OFFSET(CRONOPLE!$F$15,$M98-$A$15,CP$13)))</f>
        <v>24</v>
      </c>
      <c r="CQ98" s="353" t="n">
        <f aca="true">IF(OR($D98&lt;&gt;"Serviço",AND(AUTOEVENTO="Manual",$M98=$A$15)),0,
         IF(OFFSET(CRONOPLE!$F$15,$M98-$A$15,CQ$13)=0,10^12,OFFSET(CRONOPLE!$F$15,$M98-$A$15,CQ$13)))</f>
        <v>25</v>
      </c>
      <c r="CR98" s="353" t="n">
        <f aca="true">IF(OR($D98&lt;&gt;"Serviço",AND(AUTOEVENTO="Manual",$M98=$A$15)),0,
         IF(OFFSET(CRONOPLE!$F$15,$M98-$A$15,CR$13)=0,10^12,OFFSET(CRONOPLE!$F$15,$M98-$A$15,CR$13)))</f>
        <v>1000000000000</v>
      </c>
      <c r="CT98" s="354" t="n">
        <f aca="true">IF(OR($D98&lt;&gt;"Serviço",AND(AUTOEVENTO="Manual",$M98=$A$15),$M98&gt;(ROW(PLE.lastrow)-ROW(PLE.firstrow))),0,
           IF(OFFSET(PLE!$G$15,$M98-$A$15,CT$13)="",10^12,OFFSET(PLE!$G$15,$M98-$A$15,CT$13)))</f>
        <v>1000000000000</v>
      </c>
      <c r="CU98" s="354" t="n">
        <f aca="true">IF(OR($D98&lt;&gt;"Serviço",AND(AUTOEVENTO="Manual",$M98=$A$15),$M98&gt;(ROW(PLE.lastrow)-ROW(PLE.firstrow))),0,
           IF(OFFSET(PLE!$G$15,$M98-$A$15,CU$13)="",10^12,OFFSET(PLE!$G$15,$M98-$A$15,CU$13)))</f>
        <v>1000000000000</v>
      </c>
      <c r="CV98" s="354" t="n">
        <f aca="true">IF(OR($D98&lt;&gt;"Serviço",AND(AUTOEVENTO="Manual",$M98=$A$15),$M98&gt;(ROW(PLE.lastrow)-ROW(PLE.firstrow))),0,
           IF(OFFSET(PLE!$G$15,$M98-$A$15,CV$13)="",10^12,OFFSET(PLE!$G$15,$M98-$A$15,CV$13)))</f>
        <v>1000000000000</v>
      </c>
      <c r="CW98" s="354" t="n">
        <f aca="true">IF(OR($D98&lt;&gt;"Serviço",AND(AUTOEVENTO="Manual",$M98=$A$15),$M98&gt;(ROW(PLE.lastrow)-ROW(PLE.firstrow))),0,
           IF(OFFSET(PLE!$G$15,$M98-$A$15,CW$13)="",10^12,OFFSET(PLE!$G$15,$M98-$A$15,CW$13)))</f>
        <v>1000000000000</v>
      </c>
      <c r="CX98" s="354" t="n">
        <f aca="true">IF(OR($D98&lt;&gt;"Serviço",AND(AUTOEVENTO="Manual",$M98=$A$15),$M98&gt;(ROW(PLE.lastrow)-ROW(PLE.firstrow))),0,
           IF(OFFSET(PLE!$G$15,$M98-$A$15,CX$13)="",10^12,OFFSET(PLE!$G$15,$M98-$A$15,CX$13)))</f>
        <v>1000000000000</v>
      </c>
      <c r="CY98" s="354" t="n">
        <f aca="true">IF(OR($D98&lt;&gt;"Serviço",AND(AUTOEVENTO="Manual",$M98=$A$15),$M98&gt;(ROW(PLE.lastrow)-ROW(PLE.firstrow))),0,
           IF(OFFSET(PLE!$G$15,$M98-$A$15,CY$13)="",10^12,OFFSET(PLE!$G$15,$M98-$A$15,CY$13)))</f>
        <v>1000000000000</v>
      </c>
      <c r="CZ98" s="354" t="n">
        <f aca="true">IF(OR($D98&lt;&gt;"Serviço",AND(AUTOEVENTO="Manual",$M98=$A$15),$M98&gt;(ROW(PLE.lastrow)-ROW(PLE.firstrow))),0,
           IF(OFFSET(PLE!$G$15,$M98-$A$15,CZ$13)="",10^12,OFFSET(PLE!$G$15,$M98-$A$15,CZ$13)))</f>
        <v>1000000000000</v>
      </c>
      <c r="DA98" s="354" t="n">
        <f aca="true">IF(OR($D98&lt;&gt;"Serviço",AND(AUTOEVENTO="Manual",$M98=$A$15),$M98&gt;(ROW(PLE.lastrow)-ROW(PLE.firstrow))),0,
           IF(OFFSET(PLE!$G$15,$M98-$A$15,DA$13)="",10^12,OFFSET(PLE!$G$15,$M98-$A$15,DA$13)))</f>
        <v>1000000000000</v>
      </c>
      <c r="DB98" s="354" t="n">
        <f aca="true">IF(OR($D98&lt;&gt;"Serviço",AND(AUTOEVENTO="Manual",$M98=$A$15),$M98&gt;(ROW(PLE.lastrow)-ROW(PLE.firstrow))),0,
           IF(OFFSET(PLE!$G$15,$M98-$A$15,DB$13)="",10^12,OFFSET(PLE!$G$15,$M98-$A$15,DB$13)))</f>
        <v>1000000000000</v>
      </c>
      <c r="DC98" s="354" t="n">
        <f aca="true">IF(OR($D98&lt;&gt;"Serviço",AND(AUTOEVENTO="Manual",$M98=$A$15),$M98&gt;(ROW(PLE.lastrow)-ROW(PLE.firstrow))),0,
           IF(OFFSET(PLE!$G$15,$M98-$A$15,DC$13)="",10^12,OFFSET(PLE!$G$15,$M98-$A$15,DC$13)))</f>
        <v>1000000000000</v>
      </c>
      <c r="DD98" s="354" t="n">
        <f aca="true">IF(OR($D98&lt;&gt;"Serviço",AND(AUTOEVENTO="Manual",$M98=$A$15),$M98&gt;(ROW(PLE.lastrow)-ROW(PLE.firstrow))),0,
           IF(OFFSET(PLE!$G$15,$M98-$A$15,DD$13)="",10^12,OFFSET(PLE!$G$15,$M98-$A$15,DD$13)))</f>
        <v>1000000000000</v>
      </c>
      <c r="DE98" s="354" t="n">
        <f aca="true">IF(OR($D98&lt;&gt;"Serviço",AND(AUTOEVENTO="Manual",$M98=$A$15),$M98&gt;(ROW(PLE.lastrow)-ROW(PLE.firstrow))),0,
           IF(OFFSET(PLE!$G$15,$M98-$A$15,DE$13)="",10^12,OFFSET(PLE!$G$15,$M98-$A$15,DE$13)))</f>
        <v>1000000000000</v>
      </c>
      <c r="DF98" s="354" t="n">
        <f aca="true">IF(OR($D98&lt;&gt;"Serviço",AND(AUTOEVENTO="Manual",$M98=$A$15),$M98&gt;(ROW(PLE.lastrow)-ROW(PLE.firstrow))),0,
           IF(OFFSET(PLE!$G$15,$M98-$A$15,DF$13)="",10^12,OFFSET(PLE!$G$15,$M98-$A$15,DF$13)))</f>
        <v>1000000000000</v>
      </c>
      <c r="DG98" s="354" t="n">
        <f aca="true">IF(OR($D98&lt;&gt;"Serviço",AND(AUTOEVENTO="Manual",$M98=$A$15),$M98&gt;(ROW(PLE.lastrow)-ROW(PLE.firstrow))),0,
           IF(OFFSET(PLE!$G$15,$M98-$A$15,DG$13)="",10^12,OFFSET(PLE!$G$15,$M98-$A$15,DG$13)))</f>
        <v>1000000000000</v>
      </c>
      <c r="DH98" s="354" t="n">
        <f aca="true">IF(OR($D98&lt;&gt;"Serviço",AND(AUTOEVENTO="Manual",$M98=$A$15),$M98&gt;(ROW(PLE.lastrow)-ROW(PLE.firstrow))),0,
           IF(OFFSET(PLE!$G$15,$M98-$A$15,DH$13)="",10^12,OFFSET(PLE!$G$15,$M98-$A$15,DH$13)))</f>
        <v>1000000000000</v>
      </c>
      <c r="DI98" s="354" t="n">
        <f aca="true">IF(OR($D98&lt;&gt;"Serviço",AND(AUTOEVENTO="Manual",$M98=$A$15),$M98&gt;(ROW(PLE.lastrow)-ROW(PLE.firstrow))),0,
           IF(OFFSET(PLE!$G$15,$M98-$A$15,DI$13)="",10^12,OFFSET(PLE!$G$15,$M98-$A$15,DI$13)))</f>
        <v>1000000000000</v>
      </c>
      <c r="DJ98" s="354" t="n">
        <f aca="true">IF(OR($D98&lt;&gt;"Serviço",AND(AUTOEVENTO="Manual",$M98=$A$15),$M98&gt;(ROW(PLE.lastrow)-ROW(PLE.firstrow))),0,
           IF(OFFSET(PLE!$G$15,$M98-$A$15,DJ$13)="",10^12,OFFSET(PLE!$G$15,$M98-$A$15,DJ$13)))</f>
        <v>1000000000000</v>
      </c>
      <c r="DK98" s="354" t="n">
        <f aca="true">IF(OR($D98&lt;&gt;"Serviço",AND(AUTOEVENTO="Manual",$M98=$A$15),$M98&gt;(ROW(PLE.lastrow)-ROW(PLE.firstrow))),0,
           IF(OFFSET(PLE!$G$15,$M98-$A$15,DK$13)="",10^12,OFFSET(PLE!$G$15,$M98-$A$15,DK$13)))</f>
        <v>1000000000000</v>
      </c>
      <c r="DL98" s="354" t="n">
        <f aca="true">IF(OR($D98&lt;&gt;"Serviço",AND(AUTOEVENTO="Manual",$M98=$A$15),$M98&gt;(ROW(PLE.lastrow)-ROW(PLE.firstrow))),0,
           IF(OFFSET(PLE!$G$15,$M98-$A$15,DL$13)="",10^12,OFFSET(PLE!$G$15,$M98-$A$15,DL$13)))</f>
        <v>1000000000000</v>
      </c>
      <c r="DM98" s="354" t="n">
        <f aca="true">IF(OR($D98&lt;&gt;"Serviço",AND(AUTOEVENTO="Manual",$M98=$A$15),$M98&gt;(ROW(PLE.lastrow)-ROW(PLE.firstrow))),0,
           IF(OFFSET(PLE!$G$15,$M98-$A$15,DM$13)="",10^12,OFFSET(PLE!$G$15,$M98-$A$15,DM$13)))</f>
        <v>1000000000000</v>
      </c>
      <c r="DN98" s="354" t="n">
        <f aca="true">IF(OR($D98&lt;&gt;"Serviço",AND(AUTOEVENTO="Manual",$M98=$A$15),$M98&gt;(ROW(PLE.lastrow)-ROW(PLE.firstrow))),0,
           IF(OFFSET(PLE!$G$15,$M98-$A$15,DN$13)="",10^12,OFFSET(PLE!$G$15,$M98-$A$15,DN$13)))</f>
        <v>1000000000000</v>
      </c>
      <c r="DO98" s="354" t="n">
        <f aca="true">IF(OR($D98&lt;&gt;"Serviço",AND(AUTOEVENTO="Manual",$M98=$A$15),$M98&gt;(ROW(PLE.lastrow)-ROW(PLE.firstrow))),0,
           IF(OFFSET(PLE!$G$15,$M98-$A$15,DO$13)="",10^12,OFFSET(PLE!$G$15,$M98-$A$15,DO$13)))</f>
        <v>1000000000000</v>
      </c>
      <c r="DP98" s="354" t="n">
        <f aca="true">IF(OR($D98&lt;&gt;"Serviço",AND(AUTOEVENTO="Manual",$M98=$A$15),$M98&gt;(ROW(PLE.lastrow)-ROW(PLE.firstrow))),0,
           IF(OFFSET(PLE!$G$15,$M98-$A$15,DP$13)="",10^12,OFFSET(PLE!$G$15,$M98-$A$15,DP$13)))</f>
        <v>1000000000000</v>
      </c>
      <c r="DQ98" s="354" t="n">
        <f aca="true">IF(OR($D98&lt;&gt;"Serviço",AND(AUTOEVENTO="Manual",$M98=$A$15),$M98&gt;(ROW(PLE.lastrow)-ROW(PLE.firstrow))),0,
           IF(OFFSET(PLE!$G$15,$M98-$A$15,DQ$13)="",10^12,OFFSET(PLE!$G$15,$M98-$A$15,DQ$13)))</f>
        <v>1000000000000</v>
      </c>
      <c r="DR98" s="354" t="n">
        <f aca="true">IF(OR($D98&lt;&gt;"Serviço",AND(AUTOEVENTO="Manual",$M98=$A$15),$M98&gt;(ROW(PLE.lastrow)-ROW(PLE.firstrow))),0,
           IF(OFFSET(PLE!$G$15,$M98-$A$15,DR$13)="",10^12,OFFSET(PLE!$G$15,$M98-$A$15,DR$13)))</f>
        <v>1000000000000</v>
      </c>
      <c r="DS98" s="354" t="n">
        <f aca="true">IF(OR($D98&lt;&gt;"Serviço",AND(AUTOEVENTO="Manual",$M98=$A$15),$M98&gt;(ROW(PLE.lastrow)-ROW(PLE.firstrow))),0,
           IF(OFFSET(PLE!$G$15,$M98-$A$15,DS$13)="",10^12,OFFSET(PLE!$G$15,$M98-$A$15,DS$13)))</f>
        <v>1000000000000</v>
      </c>
    </row>
    <row r="99" customFormat="false" ht="23.85" hidden="false" customHeight="false" outlineLevel="0" collapsed="false">
      <c r="A99" s="50" t="str">
        <f aca="true">IFERROR(IF(AUTOEVENTO="Manual",IF(K99&lt;&gt;"",MIN(VALUE(LEFT(K99,FIND(".",K99)-1)),COUNTA(EVENTOS.Lista)),0),IF(OR($B99&gt;AUTOEVENTO,$B99="S",$B99=0),SUBSTITUTE(OFFSET($A99,-1,0),IF($D99="Serviço",".",""),""),ROW(A99)-ROW($A$15)&amp;".")),0)</f>
        <v>82</v>
      </c>
      <c r="B99" s="50" t="str">
        <f aca="true">OFFSET(ORÇAMENTO!C$15,ROW(B99)-ROW(B$15),0)</f>
        <v>S</v>
      </c>
      <c r="C99" s="50" t="str">
        <f aca="true">OFFSET(ORÇAMENTO!L$15,ROW(C99)-ROW(C$15),0)</f>
        <v>F</v>
      </c>
      <c r="D99" s="201" t="str">
        <f aca="true">OFFSET(ORÇAMENTO!N$15,ROW(D99)-ROW(D$15),0)</f>
        <v>Serviço</v>
      </c>
      <c r="E99" s="202" t="str">
        <f aca="true">OFFSET(ORÇAMENTO!O$15,ROW(E99)-ROW(E$15),0)</f>
        <v>1.25.2.</v>
      </c>
      <c r="F99" s="341" t="str">
        <f aca="true">OFFSET(ORÇAMENTO!R$15,ROW(F99)-ROW(F$15),0)</f>
        <v>PINTURA FUNDO NIVELADOR ALQUÍDICO BRANCO EM MADEIRA. AF_01/2021</v>
      </c>
      <c r="G99" s="342" t="str">
        <f aca="true">IF($D99&lt;&gt;"Serviço","",OFFSET(ORÇAMENTO!S$15,ROW(G99)-ROW(G$15),0))</f>
        <v>M2</v>
      </c>
      <c r="H99" s="207" t="n">
        <f aca="true">IF($D99&lt;&gt;"Serviço",0,IF(ACOMPANHAMENTO="BM",ROUND(OFFSET(ORÇAMENTO!AJ$15,ROW(H99)-ROW(H$15),0),15-13*ORÇAMENTO!$AF$7),SUMPRODUCT(($Q$1:$AQ$1=1)*ROUND($Q99:$AQ99,15-13*ORÇAMENTO!$AF$7))))</f>
        <v>270</v>
      </c>
      <c r="I99" s="343" t="s">
        <v>961</v>
      </c>
      <c r="J99" s="344" t="e">
        <f aca="false">IF(OR(B99&lt;&gt;"S",CÁLCULO.FrentesPreenchidas=0),"",IF(AND(ACOMPANHAMENTO="PLE",AUTOEVENTO="Manual",OR(H99&gt;0,ORÇAMENTO!AC99="QUANT."),OR(K99="",M99=0,N99="")),"►",IF(AND(ACOMPANHAMENTO="PLE",ORÇAMENTO!AC99="QUANT."),"►►",IF(AND(COUNTIF($P$11:$AQ$11,"▼")=0,H99&gt;0,I99=""),"◄",""))))</f>
        <v>#NAME?</v>
      </c>
      <c r="K99" s="345"/>
      <c r="L99" s="346" t="s">
        <v>876</v>
      </c>
      <c r="M99" s="347" t="n">
        <f aca="true">IF($D99&lt;&gt;"Serviço","",
          IF(AUTOEVENTO="manual",$A99,
                IF(ISERROR(MATCH($A99,$A$15:OFFSET($A99,-1,0),0)),MAX($M$15:OFFSET(M99,-1,0))+1,
                      INDEX($M$15:OFFSET(M99,-1,0),MATCH($A99,$A$15:OFFSET($A99,-1,0),0)))))</f>
        <v>17</v>
      </c>
      <c r="N99" s="348" t="str">
        <f aca="true">IF($D99&lt;&gt;"Serviço","",
         IF(AUTOEVENTO="Manual",
                IF($A99=0,"&lt;-- defina o número do agrupador",
                       OFFSET(EVENTOS!$D$15,$A99-$A$15,0)),
                OFFSET($F$15,$A99,0)))</f>
        <v>PINTURA ESQUADRIAS</v>
      </c>
      <c r="O99" s="349"/>
      <c r="Q99" s="349" t="n">
        <v>10.8</v>
      </c>
      <c r="R99" s="350" t="n">
        <f aca="false">Q99</f>
        <v>10.8</v>
      </c>
      <c r="S99" s="350" t="n">
        <f aca="false">R99</f>
        <v>10.8</v>
      </c>
      <c r="T99" s="350" t="n">
        <f aca="false">S99</f>
        <v>10.8</v>
      </c>
      <c r="U99" s="350" t="n">
        <f aca="false">T99</f>
        <v>10.8</v>
      </c>
      <c r="V99" s="350" t="n">
        <f aca="false">U99</f>
        <v>10.8</v>
      </c>
      <c r="W99" s="350" t="n">
        <f aca="false">V99</f>
        <v>10.8</v>
      </c>
      <c r="X99" s="350" t="n">
        <f aca="false">W99</f>
        <v>10.8</v>
      </c>
      <c r="Y99" s="350" t="n">
        <f aca="false">X99</f>
        <v>10.8</v>
      </c>
      <c r="Z99" s="351" t="n">
        <f aca="false">Y99</f>
        <v>10.8</v>
      </c>
      <c r="AA99" s="350" t="n">
        <f aca="false">Z99</f>
        <v>10.8</v>
      </c>
      <c r="AB99" s="350" t="n">
        <f aca="false">AA99</f>
        <v>10.8</v>
      </c>
      <c r="AC99" s="350" t="n">
        <f aca="false">AB99</f>
        <v>10.8</v>
      </c>
      <c r="AD99" s="350" t="n">
        <f aca="false">AC99</f>
        <v>10.8</v>
      </c>
      <c r="AE99" s="350" t="n">
        <f aca="false">AD99</f>
        <v>10.8</v>
      </c>
      <c r="AF99" s="350" t="n">
        <f aca="false">AE99</f>
        <v>10.8</v>
      </c>
      <c r="AG99" s="350" t="n">
        <f aca="false">AF99</f>
        <v>10.8</v>
      </c>
      <c r="AH99" s="351" t="n">
        <f aca="false">AG99</f>
        <v>10.8</v>
      </c>
      <c r="AI99" s="350" t="n">
        <f aca="false">AH99</f>
        <v>10.8</v>
      </c>
      <c r="AJ99" s="350" t="n">
        <f aca="false">AI99</f>
        <v>10.8</v>
      </c>
      <c r="AK99" s="350" t="n">
        <f aca="false">AJ99</f>
        <v>10.8</v>
      </c>
      <c r="AL99" s="350" t="n">
        <f aca="false">AK99</f>
        <v>10.8</v>
      </c>
      <c r="AM99" s="350" t="n">
        <f aca="false">AL99</f>
        <v>10.8</v>
      </c>
      <c r="AN99" s="350" t="n">
        <f aca="false">AM99</f>
        <v>10.8</v>
      </c>
      <c r="AO99" s="350" t="n">
        <f aca="false">AN99</f>
        <v>10.8</v>
      </c>
      <c r="AP99" s="351"/>
      <c r="AR99" s="352" t="n">
        <f aca="true">IF(AND($D99="Serviço",AR$12&lt;&gt;0,$H99&gt;0,OR(AUTOEVENTO&lt;&gt;"manual",$M99&lt;&gt;$A$15)),
        IF(Import.TipoArredondamento&lt;&gt;"TransfereGOV",
              ROUND(OFFSET($P99,0,AR$13),15-13*ORÇAMENTO!$AF$7)/$H99*OFFSET(ORÇAMENTO!$X$15,ROW(AR99)-ROW(AR$15),0),
              ROUND(ROUND(OFFSET($P99,0,AR$13),15-13*ORÇAMENTO!$AF$7)*OFFSET(ORÇAMENTO!$W$15,ROW(AR99)-ROW(AR$15),0),15-13*ORÇAMENTO!$AF$11)),
         0)</f>
        <v>397.22</v>
      </c>
      <c r="AS99" s="352" t="n">
        <f aca="true">IF(AND($D99="Serviço",AS$12&lt;&gt;0,$H99&gt;0,OR(AUTOEVENTO&lt;&gt;"manual",$M99&lt;&gt;$A$15)),
        IF(Import.TipoArredondamento&lt;&gt;"TransfereGOV",
              ROUND(OFFSET($P99,0,AS$13),15-13*ORÇAMENTO!$AF$7)/$H99*OFFSET(ORÇAMENTO!$X$15,ROW(AS99)-ROW(AS$15),0),
              ROUND(ROUND(OFFSET($P99,0,AS$13),15-13*ORÇAMENTO!$AF$7)*OFFSET(ORÇAMENTO!$W$15,ROW(AS99)-ROW(AS$15),0),15-13*ORÇAMENTO!$AF$11)),
         0)</f>
        <v>397.22</v>
      </c>
      <c r="AT99" s="352" t="n">
        <f aca="true">IF(AND($D99="Serviço",AT$12&lt;&gt;0,$H99&gt;0,OR(AUTOEVENTO&lt;&gt;"manual",$M99&lt;&gt;$A$15)),
        IF(Import.TipoArredondamento&lt;&gt;"TransfereGOV",
              ROUND(OFFSET($P99,0,AT$13),15-13*ORÇAMENTO!$AF$7)/$H99*OFFSET(ORÇAMENTO!$X$15,ROW(AT99)-ROW(AT$15),0),
              ROUND(ROUND(OFFSET($P99,0,AT$13),15-13*ORÇAMENTO!$AF$7)*OFFSET(ORÇAMENTO!$W$15,ROW(AT99)-ROW(AT$15),0),15-13*ORÇAMENTO!$AF$11)),
         0)</f>
        <v>397.22</v>
      </c>
      <c r="AU99" s="352" t="n">
        <f aca="true">IF(AND($D99="Serviço",AU$12&lt;&gt;0,$H99&gt;0,OR(AUTOEVENTO&lt;&gt;"manual",$M99&lt;&gt;$A$15)),
        IF(Import.TipoArredondamento&lt;&gt;"TransfereGOV",
              ROUND(OFFSET($P99,0,AU$13),15-13*ORÇAMENTO!$AF$7)/$H99*OFFSET(ORÇAMENTO!$X$15,ROW(AU99)-ROW(AU$15),0),
              ROUND(ROUND(OFFSET($P99,0,AU$13),15-13*ORÇAMENTO!$AF$7)*OFFSET(ORÇAMENTO!$W$15,ROW(AU99)-ROW(AU$15),0),15-13*ORÇAMENTO!$AF$11)),
         0)</f>
        <v>397.22</v>
      </c>
      <c r="AV99" s="352" t="n">
        <f aca="true">IF(AND($D99="Serviço",AV$12&lt;&gt;0,$H99&gt;0,OR(AUTOEVENTO&lt;&gt;"manual",$M99&lt;&gt;$A$15)),
        IF(Import.TipoArredondamento&lt;&gt;"TransfereGOV",
              ROUND(OFFSET($P99,0,AV$13),15-13*ORÇAMENTO!$AF$7)/$H99*OFFSET(ORÇAMENTO!$X$15,ROW(AV99)-ROW(AV$15),0),
              ROUND(ROUND(OFFSET($P99,0,AV$13),15-13*ORÇAMENTO!$AF$7)*OFFSET(ORÇAMENTO!$W$15,ROW(AV99)-ROW(AV$15),0),15-13*ORÇAMENTO!$AF$11)),
         0)</f>
        <v>397.22</v>
      </c>
      <c r="AW99" s="352" t="n">
        <f aca="true">IF(AND($D99="Serviço",AW$12&lt;&gt;0,$H99&gt;0,OR(AUTOEVENTO&lt;&gt;"manual",$M99&lt;&gt;$A$15)),
        IF(Import.TipoArredondamento&lt;&gt;"TransfereGOV",
              ROUND(OFFSET($P99,0,AW$13),15-13*ORÇAMENTO!$AF$7)/$H99*OFFSET(ORÇAMENTO!$X$15,ROW(AW99)-ROW(AW$15),0),
              ROUND(ROUND(OFFSET($P99,0,AW$13),15-13*ORÇAMENTO!$AF$7)*OFFSET(ORÇAMENTO!$W$15,ROW(AW99)-ROW(AW$15),0),15-13*ORÇAMENTO!$AF$11)),
         0)</f>
        <v>397.22</v>
      </c>
      <c r="AX99" s="352" t="n">
        <f aca="true">IF(AND($D99="Serviço",AX$12&lt;&gt;0,$H99&gt;0,OR(AUTOEVENTO&lt;&gt;"manual",$M99&lt;&gt;$A$15)),
        IF(Import.TipoArredondamento&lt;&gt;"TransfereGOV",
              ROUND(OFFSET($P99,0,AX$13),15-13*ORÇAMENTO!$AF$7)/$H99*OFFSET(ORÇAMENTO!$X$15,ROW(AX99)-ROW(AX$15),0),
              ROUND(ROUND(OFFSET($P99,0,AX$13),15-13*ORÇAMENTO!$AF$7)*OFFSET(ORÇAMENTO!$W$15,ROW(AX99)-ROW(AX$15),0),15-13*ORÇAMENTO!$AF$11)),
         0)</f>
        <v>397.22</v>
      </c>
      <c r="AY99" s="352" t="n">
        <f aca="true">IF(AND($D99="Serviço",AY$12&lt;&gt;0,$H99&gt;0,OR(AUTOEVENTO&lt;&gt;"manual",$M99&lt;&gt;$A$15)),
        IF(Import.TipoArredondamento&lt;&gt;"TransfereGOV",
              ROUND(OFFSET($P99,0,AY$13),15-13*ORÇAMENTO!$AF$7)/$H99*OFFSET(ORÇAMENTO!$X$15,ROW(AY99)-ROW(AY$15),0),
              ROUND(ROUND(OFFSET($P99,0,AY$13),15-13*ORÇAMENTO!$AF$7)*OFFSET(ORÇAMENTO!$W$15,ROW(AY99)-ROW(AY$15),0),15-13*ORÇAMENTO!$AF$11)),
         0)</f>
        <v>397.22</v>
      </c>
      <c r="AZ99" s="352" t="n">
        <f aca="true">IF(AND($D99="Serviço",AZ$12&lt;&gt;0,$H99&gt;0,OR(AUTOEVENTO&lt;&gt;"manual",$M99&lt;&gt;$A$15)),
        IF(Import.TipoArredondamento&lt;&gt;"TransfereGOV",
              ROUND(OFFSET($P99,0,AZ$13),15-13*ORÇAMENTO!$AF$7)/$H99*OFFSET(ORÇAMENTO!$X$15,ROW(AZ99)-ROW(AZ$15),0),
              ROUND(ROUND(OFFSET($P99,0,AZ$13),15-13*ORÇAMENTO!$AF$7)*OFFSET(ORÇAMENTO!$W$15,ROW(AZ99)-ROW(AZ$15),0),15-13*ORÇAMENTO!$AF$11)),
         0)</f>
        <v>397.22</v>
      </c>
      <c r="BA99" s="352" t="n">
        <f aca="true">IF(AND($D99="Serviço",BA$12&lt;&gt;0,$H99&gt;0,OR(AUTOEVENTO&lt;&gt;"manual",$M99&lt;&gt;$A$15)),
        IF(Import.TipoArredondamento&lt;&gt;"TransfereGOV",
              ROUND(OFFSET($P99,0,BA$13),15-13*ORÇAMENTO!$AF$7)/$H99*OFFSET(ORÇAMENTO!$X$15,ROW(BA99)-ROW(BA$15),0),
              ROUND(ROUND(OFFSET($P99,0,BA$13),15-13*ORÇAMENTO!$AF$7)*OFFSET(ORÇAMENTO!$W$15,ROW(BA99)-ROW(BA$15),0),15-13*ORÇAMENTO!$AF$11)),
         0)</f>
        <v>397.22</v>
      </c>
      <c r="BB99" s="352" t="n">
        <f aca="true">IF(AND($D99="Serviço",BB$12&lt;&gt;0,$H99&gt;0,OR(AUTOEVENTO&lt;&gt;"manual",$M99&lt;&gt;$A$15)),
        IF(Import.TipoArredondamento&lt;&gt;"TransfereGOV",
              ROUND(OFFSET($P99,0,BB$13),15-13*ORÇAMENTO!$AF$7)/$H99*OFFSET(ORÇAMENTO!$X$15,ROW(BB99)-ROW(BB$15),0),
              ROUND(ROUND(OFFSET($P99,0,BB$13),15-13*ORÇAMENTO!$AF$7)*OFFSET(ORÇAMENTO!$W$15,ROW(BB99)-ROW(BB$15),0),15-13*ORÇAMENTO!$AF$11)),
         0)</f>
        <v>397.22</v>
      </c>
      <c r="BC99" s="352" t="n">
        <f aca="true">IF(AND($D99="Serviço",BC$12&lt;&gt;0,$H99&gt;0,OR(AUTOEVENTO&lt;&gt;"manual",$M99&lt;&gt;$A$15)),
        IF(Import.TipoArredondamento&lt;&gt;"TransfereGOV",
              ROUND(OFFSET($P99,0,BC$13),15-13*ORÇAMENTO!$AF$7)/$H99*OFFSET(ORÇAMENTO!$X$15,ROW(BC99)-ROW(BC$15),0),
              ROUND(ROUND(OFFSET($P99,0,BC$13),15-13*ORÇAMENTO!$AF$7)*OFFSET(ORÇAMENTO!$W$15,ROW(BC99)-ROW(BC$15),0),15-13*ORÇAMENTO!$AF$11)),
         0)</f>
        <v>397.22</v>
      </c>
      <c r="BD99" s="352" t="n">
        <f aca="true">IF(AND($D99="Serviço",BD$12&lt;&gt;0,$H99&gt;0,OR(AUTOEVENTO&lt;&gt;"manual",$M99&lt;&gt;$A$15)),
        IF(Import.TipoArredondamento&lt;&gt;"TransfereGOV",
              ROUND(OFFSET($P99,0,BD$13),15-13*ORÇAMENTO!$AF$7)/$H99*OFFSET(ORÇAMENTO!$X$15,ROW(BD99)-ROW(BD$15),0),
              ROUND(ROUND(OFFSET($P99,0,BD$13),15-13*ORÇAMENTO!$AF$7)*OFFSET(ORÇAMENTO!$W$15,ROW(BD99)-ROW(BD$15),0),15-13*ORÇAMENTO!$AF$11)),
         0)</f>
        <v>397.22</v>
      </c>
      <c r="BE99" s="352" t="n">
        <f aca="true">IF(AND($D99="Serviço",BE$12&lt;&gt;0,$H99&gt;0,OR(AUTOEVENTO&lt;&gt;"manual",$M99&lt;&gt;$A$15)),
        IF(Import.TipoArredondamento&lt;&gt;"TransfereGOV",
              ROUND(OFFSET($P99,0,BE$13),15-13*ORÇAMENTO!$AF$7)/$H99*OFFSET(ORÇAMENTO!$X$15,ROW(BE99)-ROW(BE$15),0),
              ROUND(ROUND(OFFSET($P99,0,BE$13),15-13*ORÇAMENTO!$AF$7)*OFFSET(ORÇAMENTO!$W$15,ROW(BE99)-ROW(BE$15),0),15-13*ORÇAMENTO!$AF$11)),
         0)</f>
        <v>397.22</v>
      </c>
      <c r="BF99" s="352" t="n">
        <f aca="true">IF(AND($D99="Serviço",BF$12&lt;&gt;0,$H99&gt;0,OR(AUTOEVENTO&lt;&gt;"manual",$M99&lt;&gt;$A$15)),
        IF(Import.TipoArredondamento&lt;&gt;"TransfereGOV",
              ROUND(OFFSET($P99,0,BF$13),15-13*ORÇAMENTO!$AF$7)/$H99*OFFSET(ORÇAMENTO!$X$15,ROW(BF99)-ROW(BF$15),0),
              ROUND(ROUND(OFFSET($P99,0,BF$13),15-13*ORÇAMENTO!$AF$7)*OFFSET(ORÇAMENTO!$W$15,ROW(BF99)-ROW(BF$15),0),15-13*ORÇAMENTO!$AF$11)),
         0)</f>
        <v>397.22</v>
      </c>
      <c r="BG99" s="352" t="n">
        <f aca="true">IF(AND($D99="Serviço",BG$12&lt;&gt;0,$H99&gt;0,OR(AUTOEVENTO&lt;&gt;"manual",$M99&lt;&gt;$A$15)),
        IF(Import.TipoArredondamento&lt;&gt;"TransfereGOV",
              ROUND(OFFSET($P99,0,BG$13),15-13*ORÇAMENTO!$AF$7)/$H99*OFFSET(ORÇAMENTO!$X$15,ROW(BG99)-ROW(BG$15),0),
              ROUND(ROUND(OFFSET($P99,0,BG$13),15-13*ORÇAMENTO!$AF$7)*OFFSET(ORÇAMENTO!$W$15,ROW(BG99)-ROW(BG$15),0),15-13*ORÇAMENTO!$AF$11)),
         0)</f>
        <v>397.22</v>
      </c>
      <c r="BH99" s="352" t="n">
        <f aca="true">IF(AND($D99="Serviço",BH$12&lt;&gt;0,$H99&gt;0,OR(AUTOEVENTO&lt;&gt;"manual",$M99&lt;&gt;$A$15)),
        IF(Import.TipoArredondamento&lt;&gt;"TransfereGOV",
              ROUND(OFFSET($P99,0,BH$13),15-13*ORÇAMENTO!$AF$7)/$H99*OFFSET(ORÇAMENTO!$X$15,ROW(BH99)-ROW(BH$15),0),
              ROUND(ROUND(OFFSET($P99,0,BH$13),15-13*ORÇAMENTO!$AF$7)*OFFSET(ORÇAMENTO!$W$15,ROW(BH99)-ROW(BH$15),0),15-13*ORÇAMENTO!$AF$11)),
         0)</f>
        <v>397.22</v>
      </c>
      <c r="BI99" s="352" t="n">
        <f aca="true">IF(AND($D99="Serviço",BI$12&lt;&gt;0,$H99&gt;0,OR(AUTOEVENTO&lt;&gt;"manual",$M99&lt;&gt;$A$15)),
        IF(Import.TipoArredondamento&lt;&gt;"TransfereGOV",
              ROUND(OFFSET($P99,0,BI$13),15-13*ORÇAMENTO!$AF$7)/$H99*OFFSET(ORÇAMENTO!$X$15,ROW(BI99)-ROW(BI$15),0),
              ROUND(ROUND(OFFSET($P99,0,BI$13),15-13*ORÇAMENTO!$AF$7)*OFFSET(ORÇAMENTO!$W$15,ROW(BI99)-ROW(BI$15),0),15-13*ORÇAMENTO!$AF$11)),
         0)</f>
        <v>397.22</v>
      </c>
      <c r="BJ99" s="352" t="n">
        <f aca="true">IF(AND($D99="Serviço",BJ$12&lt;&gt;0,$H99&gt;0,OR(AUTOEVENTO&lt;&gt;"manual",$M99&lt;&gt;$A$15)),
        IF(Import.TipoArredondamento&lt;&gt;"TransfereGOV",
              ROUND(OFFSET($P99,0,BJ$13),15-13*ORÇAMENTO!$AF$7)/$H99*OFFSET(ORÇAMENTO!$X$15,ROW(BJ99)-ROW(BJ$15),0),
              ROUND(ROUND(OFFSET($P99,0,BJ$13),15-13*ORÇAMENTO!$AF$7)*OFFSET(ORÇAMENTO!$W$15,ROW(BJ99)-ROW(BJ$15),0),15-13*ORÇAMENTO!$AF$11)),
         0)</f>
        <v>397.22</v>
      </c>
      <c r="BK99" s="352" t="n">
        <f aca="true">IF(AND($D99="Serviço",BK$12&lt;&gt;0,$H99&gt;0,OR(AUTOEVENTO&lt;&gt;"manual",$M99&lt;&gt;$A$15)),
        IF(Import.TipoArredondamento&lt;&gt;"TransfereGOV",
              ROUND(OFFSET($P99,0,BK$13),15-13*ORÇAMENTO!$AF$7)/$H99*OFFSET(ORÇAMENTO!$X$15,ROW(BK99)-ROW(BK$15),0),
              ROUND(ROUND(OFFSET($P99,0,BK$13),15-13*ORÇAMENTO!$AF$7)*OFFSET(ORÇAMENTO!$W$15,ROW(BK99)-ROW(BK$15),0),15-13*ORÇAMENTO!$AF$11)),
         0)</f>
        <v>397.22</v>
      </c>
      <c r="BL99" s="352" t="n">
        <f aca="true">IF(AND($D99="Serviço",BL$12&lt;&gt;0,$H99&gt;0,OR(AUTOEVENTO&lt;&gt;"manual",$M99&lt;&gt;$A$15)),
        IF(Import.TipoArredondamento&lt;&gt;"TransfereGOV",
              ROUND(OFFSET($P99,0,BL$13),15-13*ORÇAMENTO!$AF$7)/$H99*OFFSET(ORÇAMENTO!$X$15,ROW(BL99)-ROW(BL$15),0),
              ROUND(ROUND(OFFSET($P99,0,BL$13),15-13*ORÇAMENTO!$AF$7)*OFFSET(ORÇAMENTO!$W$15,ROW(BL99)-ROW(BL$15),0),15-13*ORÇAMENTO!$AF$11)),
         0)</f>
        <v>397.22</v>
      </c>
      <c r="BM99" s="352" t="n">
        <f aca="true">IF(AND($D99="Serviço",BM$12&lt;&gt;0,$H99&gt;0,OR(AUTOEVENTO&lt;&gt;"manual",$M99&lt;&gt;$A$15)),
        IF(Import.TipoArredondamento&lt;&gt;"TransfereGOV",
              ROUND(OFFSET($P99,0,BM$13),15-13*ORÇAMENTO!$AF$7)/$H99*OFFSET(ORÇAMENTO!$X$15,ROW(BM99)-ROW(BM$15),0),
              ROUND(ROUND(OFFSET($P99,0,BM$13),15-13*ORÇAMENTO!$AF$7)*OFFSET(ORÇAMENTO!$W$15,ROW(BM99)-ROW(BM$15),0),15-13*ORÇAMENTO!$AF$11)),
         0)</f>
        <v>397.22</v>
      </c>
      <c r="BN99" s="352" t="n">
        <f aca="true">IF(AND($D99="Serviço",BN$12&lt;&gt;0,$H99&gt;0,OR(AUTOEVENTO&lt;&gt;"manual",$M99&lt;&gt;$A$15)),
        IF(Import.TipoArredondamento&lt;&gt;"TransfereGOV",
              ROUND(OFFSET($P99,0,BN$13),15-13*ORÇAMENTO!$AF$7)/$H99*OFFSET(ORÇAMENTO!$X$15,ROW(BN99)-ROW(BN$15),0),
              ROUND(ROUND(OFFSET($P99,0,BN$13),15-13*ORÇAMENTO!$AF$7)*OFFSET(ORÇAMENTO!$W$15,ROW(BN99)-ROW(BN$15),0),15-13*ORÇAMENTO!$AF$11)),
         0)</f>
        <v>397.22</v>
      </c>
      <c r="BO99" s="352" t="n">
        <f aca="true">IF(AND($D99="Serviço",BO$12&lt;&gt;0,$H99&gt;0,OR(AUTOEVENTO&lt;&gt;"manual",$M99&lt;&gt;$A$15)),
        IF(Import.TipoArredondamento&lt;&gt;"TransfereGOV",
              ROUND(OFFSET($P99,0,BO$13),15-13*ORÇAMENTO!$AF$7)/$H99*OFFSET(ORÇAMENTO!$X$15,ROW(BO99)-ROW(BO$15),0),
              ROUND(ROUND(OFFSET($P99,0,BO$13),15-13*ORÇAMENTO!$AF$7)*OFFSET(ORÇAMENTO!$W$15,ROW(BO99)-ROW(BO$15),0),15-13*ORÇAMENTO!$AF$11)),
         0)</f>
        <v>397.22</v>
      </c>
      <c r="BP99" s="352" t="n">
        <f aca="true">IF(AND($D99="Serviço",BP$12&lt;&gt;0,$H99&gt;0,OR(AUTOEVENTO&lt;&gt;"manual",$M99&lt;&gt;$A$15)),
        IF(Import.TipoArredondamento&lt;&gt;"TransfereGOV",
              ROUND(OFFSET($P99,0,BP$13),15-13*ORÇAMENTO!$AF$7)/$H99*OFFSET(ORÇAMENTO!$X$15,ROW(BP99)-ROW(BP$15),0),
              ROUND(ROUND(OFFSET($P99,0,BP$13),15-13*ORÇAMENTO!$AF$7)*OFFSET(ORÇAMENTO!$W$15,ROW(BP99)-ROW(BP$15),0),15-13*ORÇAMENTO!$AF$11)),
         0)</f>
        <v>397.22</v>
      </c>
      <c r="BQ99" s="352" t="n">
        <f aca="true">IF(AND($D99="Serviço",BQ$12&lt;&gt;0,$H99&gt;0,OR(AUTOEVENTO&lt;&gt;"manual",$M99&lt;&gt;$A$15)),
        IF(Import.TipoArredondamento&lt;&gt;"TransfereGOV",
              ROUND(OFFSET($P99,0,BQ$13),15-13*ORÇAMENTO!$AF$7)/$H99*OFFSET(ORÇAMENTO!$X$15,ROW(BQ99)-ROW(BQ$15),0),
              ROUND(ROUND(OFFSET($P99,0,BQ$13),15-13*ORÇAMENTO!$AF$7)*OFFSET(ORÇAMENTO!$W$15,ROW(BQ99)-ROW(BQ$15),0),15-13*ORÇAMENTO!$AF$11)),
         0)</f>
        <v>0</v>
      </c>
      <c r="BS99" s="353" t="n">
        <f aca="true">IF(OR($D99&lt;&gt;"Serviço",AND(AUTOEVENTO="Manual",$M99=$A$15)),0,
         IF(OFFSET(CRONOPLE!$F$15,$M99-$A$15,BS$13)=0,10^12,OFFSET(CRONOPLE!$F$15,$M99-$A$15,BS$13)))</f>
        <v>1</v>
      </c>
      <c r="BT99" s="353" t="n">
        <f aca="true">IF(OR($D99&lt;&gt;"Serviço",AND(AUTOEVENTO="Manual",$M99=$A$15)),0,
         IF(OFFSET(CRONOPLE!$F$15,$M99-$A$15,BT$13)=0,10^12,OFFSET(CRONOPLE!$F$15,$M99-$A$15,BT$13)))</f>
        <v>2</v>
      </c>
      <c r="BU99" s="353" t="n">
        <f aca="true">IF(OR($D99&lt;&gt;"Serviço",AND(AUTOEVENTO="Manual",$M99=$A$15)),0,
         IF(OFFSET(CRONOPLE!$F$15,$M99-$A$15,BU$13)=0,10^12,OFFSET(CRONOPLE!$F$15,$M99-$A$15,BU$13)))</f>
        <v>3</v>
      </c>
      <c r="BV99" s="353" t="n">
        <f aca="true">IF(OR($D99&lt;&gt;"Serviço",AND(AUTOEVENTO="Manual",$M99=$A$15)),0,
         IF(OFFSET(CRONOPLE!$F$15,$M99-$A$15,BV$13)=0,10^12,OFFSET(CRONOPLE!$F$15,$M99-$A$15,BV$13)))</f>
        <v>4</v>
      </c>
      <c r="BW99" s="353" t="n">
        <f aca="true">IF(OR($D99&lt;&gt;"Serviço",AND(AUTOEVENTO="Manual",$M99=$A$15)),0,
         IF(OFFSET(CRONOPLE!$F$15,$M99-$A$15,BW$13)=0,10^12,OFFSET(CRONOPLE!$F$15,$M99-$A$15,BW$13)))</f>
        <v>5</v>
      </c>
      <c r="BX99" s="353" t="n">
        <f aca="true">IF(OR($D99&lt;&gt;"Serviço",AND(AUTOEVENTO="Manual",$M99=$A$15)),0,
         IF(OFFSET(CRONOPLE!$F$15,$M99-$A$15,BX$13)=0,10^12,OFFSET(CRONOPLE!$F$15,$M99-$A$15,BX$13)))</f>
        <v>6</v>
      </c>
      <c r="BY99" s="353" t="n">
        <f aca="true">IF(OR($D99&lt;&gt;"Serviço",AND(AUTOEVENTO="Manual",$M99=$A$15)),0,
         IF(OFFSET(CRONOPLE!$F$15,$M99-$A$15,BY$13)=0,10^12,OFFSET(CRONOPLE!$F$15,$M99-$A$15,BY$13)))</f>
        <v>7</v>
      </c>
      <c r="BZ99" s="353" t="n">
        <f aca="true">IF(OR($D99&lt;&gt;"Serviço",AND(AUTOEVENTO="Manual",$M99=$A$15)),0,
         IF(OFFSET(CRONOPLE!$F$15,$M99-$A$15,BZ$13)=0,10^12,OFFSET(CRONOPLE!$F$15,$M99-$A$15,BZ$13)))</f>
        <v>8</v>
      </c>
      <c r="CA99" s="353" t="n">
        <f aca="true">IF(OR($D99&lt;&gt;"Serviço",AND(AUTOEVENTO="Manual",$M99=$A$15)),0,
         IF(OFFSET(CRONOPLE!$F$15,$M99-$A$15,CA$13)=0,10^12,OFFSET(CRONOPLE!$F$15,$M99-$A$15,CA$13)))</f>
        <v>9</v>
      </c>
      <c r="CB99" s="353" t="n">
        <f aca="true">IF(OR($D99&lt;&gt;"Serviço",AND(AUTOEVENTO="Manual",$M99=$A$15)),0,
         IF(OFFSET(CRONOPLE!$F$15,$M99-$A$15,CB$13)=0,10^12,OFFSET(CRONOPLE!$F$15,$M99-$A$15,CB$13)))</f>
        <v>10</v>
      </c>
      <c r="CC99" s="353" t="n">
        <f aca="true">IF(OR($D99&lt;&gt;"Serviço",AND(AUTOEVENTO="Manual",$M99=$A$15)),0,
         IF(OFFSET(CRONOPLE!$F$15,$M99-$A$15,CC$13)=0,10^12,OFFSET(CRONOPLE!$F$15,$M99-$A$15,CC$13)))</f>
        <v>11</v>
      </c>
      <c r="CD99" s="353" t="n">
        <f aca="true">IF(OR($D99&lt;&gt;"Serviço",AND(AUTOEVENTO="Manual",$M99=$A$15)),0,
         IF(OFFSET(CRONOPLE!$F$15,$M99-$A$15,CD$13)=0,10^12,OFFSET(CRONOPLE!$F$15,$M99-$A$15,CD$13)))</f>
        <v>12</v>
      </c>
      <c r="CE99" s="353" t="n">
        <f aca="true">IF(OR($D99&lt;&gt;"Serviço",AND(AUTOEVENTO="Manual",$M99=$A$15)),0,
         IF(OFFSET(CRONOPLE!$F$15,$M99-$A$15,CE$13)=0,10^12,OFFSET(CRONOPLE!$F$15,$M99-$A$15,CE$13)))</f>
        <v>13</v>
      </c>
      <c r="CF99" s="353" t="n">
        <f aca="true">IF(OR($D99&lt;&gt;"Serviço",AND(AUTOEVENTO="Manual",$M99=$A$15)),0,
         IF(OFFSET(CRONOPLE!$F$15,$M99-$A$15,CF$13)=0,10^12,OFFSET(CRONOPLE!$F$15,$M99-$A$15,CF$13)))</f>
        <v>14</v>
      </c>
      <c r="CG99" s="353" t="n">
        <f aca="true">IF(OR($D99&lt;&gt;"Serviço",AND(AUTOEVENTO="Manual",$M99=$A$15)),0,
         IF(OFFSET(CRONOPLE!$F$15,$M99-$A$15,CG$13)=0,10^12,OFFSET(CRONOPLE!$F$15,$M99-$A$15,CG$13)))</f>
        <v>15</v>
      </c>
      <c r="CH99" s="353" t="n">
        <f aca="true">IF(OR($D99&lt;&gt;"Serviço",AND(AUTOEVENTO="Manual",$M99=$A$15)),0,
         IF(OFFSET(CRONOPLE!$F$15,$M99-$A$15,CH$13)=0,10^12,OFFSET(CRONOPLE!$F$15,$M99-$A$15,CH$13)))</f>
        <v>16</v>
      </c>
      <c r="CI99" s="353" t="n">
        <f aca="true">IF(OR($D99&lt;&gt;"Serviço",AND(AUTOEVENTO="Manual",$M99=$A$15)),0,
         IF(OFFSET(CRONOPLE!$F$15,$M99-$A$15,CI$13)=0,10^12,OFFSET(CRONOPLE!$F$15,$M99-$A$15,CI$13)))</f>
        <v>17</v>
      </c>
      <c r="CJ99" s="353" t="n">
        <f aca="true">IF(OR($D99&lt;&gt;"Serviço",AND(AUTOEVENTO="Manual",$M99=$A$15)),0,
         IF(OFFSET(CRONOPLE!$F$15,$M99-$A$15,CJ$13)=0,10^12,OFFSET(CRONOPLE!$F$15,$M99-$A$15,CJ$13)))</f>
        <v>18</v>
      </c>
      <c r="CK99" s="353" t="n">
        <f aca="true">IF(OR($D99&lt;&gt;"Serviço",AND(AUTOEVENTO="Manual",$M99=$A$15)),0,
         IF(OFFSET(CRONOPLE!$F$15,$M99-$A$15,CK$13)=0,10^12,OFFSET(CRONOPLE!$F$15,$M99-$A$15,CK$13)))</f>
        <v>19</v>
      </c>
      <c r="CL99" s="353" t="n">
        <f aca="true">IF(OR($D99&lt;&gt;"Serviço",AND(AUTOEVENTO="Manual",$M99=$A$15)),0,
         IF(OFFSET(CRONOPLE!$F$15,$M99-$A$15,CL$13)=0,10^12,OFFSET(CRONOPLE!$F$15,$M99-$A$15,CL$13)))</f>
        <v>20</v>
      </c>
      <c r="CM99" s="353" t="n">
        <f aca="true">IF(OR($D99&lt;&gt;"Serviço",AND(AUTOEVENTO="Manual",$M99=$A$15)),0,
         IF(OFFSET(CRONOPLE!$F$15,$M99-$A$15,CM$13)=0,10^12,OFFSET(CRONOPLE!$F$15,$M99-$A$15,CM$13)))</f>
        <v>21</v>
      </c>
      <c r="CN99" s="353" t="n">
        <f aca="true">IF(OR($D99&lt;&gt;"Serviço",AND(AUTOEVENTO="Manual",$M99=$A$15)),0,
         IF(OFFSET(CRONOPLE!$F$15,$M99-$A$15,CN$13)=0,10^12,OFFSET(CRONOPLE!$F$15,$M99-$A$15,CN$13)))</f>
        <v>22</v>
      </c>
      <c r="CO99" s="353" t="n">
        <f aca="true">IF(OR($D99&lt;&gt;"Serviço",AND(AUTOEVENTO="Manual",$M99=$A$15)),0,
         IF(OFFSET(CRONOPLE!$F$15,$M99-$A$15,CO$13)=0,10^12,OFFSET(CRONOPLE!$F$15,$M99-$A$15,CO$13)))</f>
        <v>23</v>
      </c>
      <c r="CP99" s="353" t="n">
        <f aca="true">IF(OR($D99&lt;&gt;"Serviço",AND(AUTOEVENTO="Manual",$M99=$A$15)),0,
         IF(OFFSET(CRONOPLE!$F$15,$M99-$A$15,CP$13)=0,10^12,OFFSET(CRONOPLE!$F$15,$M99-$A$15,CP$13)))</f>
        <v>24</v>
      </c>
      <c r="CQ99" s="353" t="n">
        <f aca="true">IF(OR($D99&lt;&gt;"Serviço",AND(AUTOEVENTO="Manual",$M99=$A$15)),0,
         IF(OFFSET(CRONOPLE!$F$15,$M99-$A$15,CQ$13)=0,10^12,OFFSET(CRONOPLE!$F$15,$M99-$A$15,CQ$13)))</f>
        <v>25</v>
      </c>
      <c r="CR99" s="353" t="n">
        <f aca="true">IF(OR($D99&lt;&gt;"Serviço",AND(AUTOEVENTO="Manual",$M99=$A$15)),0,
         IF(OFFSET(CRONOPLE!$F$15,$M99-$A$15,CR$13)=0,10^12,OFFSET(CRONOPLE!$F$15,$M99-$A$15,CR$13)))</f>
        <v>1000000000000</v>
      </c>
      <c r="CT99" s="354" t="n">
        <f aca="true">IF(OR($D99&lt;&gt;"Serviço",AND(AUTOEVENTO="Manual",$M99=$A$15),$M99&gt;(ROW(PLE.lastrow)-ROW(PLE.firstrow))),0,
           IF(OFFSET(PLE!$G$15,$M99-$A$15,CT$13)="",10^12,OFFSET(PLE!$G$15,$M99-$A$15,CT$13)))</f>
        <v>1000000000000</v>
      </c>
      <c r="CU99" s="354" t="n">
        <f aca="true">IF(OR($D99&lt;&gt;"Serviço",AND(AUTOEVENTO="Manual",$M99=$A$15),$M99&gt;(ROW(PLE.lastrow)-ROW(PLE.firstrow))),0,
           IF(OFFSET(PLE!$G$15,$M99-$A$15,CU$13)="",10^12,OFFSET(PLE!$G$15,$M99-$A$15,CU$13)))</f>
        <v>1000000000000</v>
      </c>
      <c r="CV99" s="354" t="n">
        <f aca="true">IF(OR($D99&lt;&gt;"Serviço",AND(AUTOEVENTO="Manual",$M99=$A$15),$M99&gt;(ROW(PLE.lastrow)-ROW(PLE.firstrow))),0,
           IF(OFFSET(PLE!$G$15,$M99-$A$15,CV$13)="",10^12,OFFSET(PLE!$G$15,$M99-$A$15,CV$13)))</f>
        <v>1000000000000</v>
      </c>
      <c r="CW99" s="354" t="n">
        <f aca="true">IF(OR($D99&lt;&gt;"Serviço",AND(AUTOEVENTO="Manual",$M99=$A$15),$M99&gt;(ROW(PLE.lastrow)-ROW(PLE.firstrow))),0,
           IF(OFFSET(PLE!$G$15,$M99-$A$15,CW$13)="",10^12,OFFSET(PLE!$G$15,$M99-$A$15,CW$13)))</f>
        <v>1000000000000</v>
      </c>
      <c r="CX99" s="354" t="n">
        <f aca="true">IF(OR($D99&lt;&gt;"Serviço",AND(AUTOEVENTO="Manual",$M99=$A$15),$M99&gt;(ROW(PLE.lastrow)-ROW(PLE.firstrow))),0,
           IF(OFFSET(PLE!$G$15,$M99-$A$15,CX$13)="",10^12,OFFSET(PLE!$G$15,$M99-$A$15,CX$13)))</f>
        <v>1000000000000</v>
      </c>
      <c r="CY99" s="354" t="n">
        <f aca="true">IF(OR($D99&lt;&gt;"Serviço",AND(AUTOEVENTO="Manual",$M99=$A$15),$M99&gt;(ROW(PLE.lastrow)-ROW(PLE.firstrow))),0,
           IF(OFFSET(PLE!$G$15,$M99-$A$15,CY$13)="",10^12,OFFSET(PLE!$G$15,$M99-$A$15,CY$13)))</f>
        <v>1000000000000</v>
      </c>
      <c r="CZ99" s="354" t="n">
        <f aca="true">IF(OR($D99&lt;&gt;"Serviço",AND(AUTOEVENTO="Manual",$M99=$A$15),$M99&gt;(ROW(PLE.lastrow)-ROW(PLE.firstrow))),0,
           IF(OFFSET(PLE!$G$15,$M99-$A$15,CZ$13)="",10^12,OFFSET(PLE!$G$15,$M99-$A$15,CZ$13)))</f>
        <v>1000000000000</v>
      </c>
      <c r="DA99" s="354" t="n">
        <f aca="true">IF(OR($D99&lt;&gt;"Serviço",AND(AUTOEVENTO="Manual",$M99=$A$15),$M99&gt;(ROW(PLE.lastrow)-ROW(PLE.firstrow))),0,
           IF(OFFSET(PLE!$G$15,$M99-$A$15,DA$13)="",10^12,OFFSET(PLE!$G$15,$M99-$A$15,DA$13)))</f>
        <v>1000000000000</v>
      </c>
      <c r="DB99" s="354" t="n">
        <f aca="true">IF(OR($D99&lt;&gt;"Serviço",AND(AUTOEVENTO="Manual",$M99=$A$15),$M99&gt;(ROW(PLE.lastrow)-ROW(PLE.firstrow))),0,
           IF(OFFSET(PLE!$G$15,$M99-$A$15,DB$13)="",10^12,OFFSET(PLE!$G$15,$M99-$A$15,DB$13)))</f>
        <v>1000000000000</v>
      </c>
      <c r="DC99" s="354" t="n">
        <f aca="true">IF(OR($D99&lt;&gt;"Serviço",AND(AUTOEVENTO="Manual",$M99=$A$15),$M99&gt;(ROW(PLE.lastrow)-ROW(PLE.firstrow))),0,
           IF(OFFSET(PLE!$G$15,$M99-$A$15,DC$13)="",10^12,OFFSET(PLE!$G$15,$M99-$A$15,DC$13)))</f>
        <v>1000000000000</v>
      </c>
      <c r="DD99" s="354" t="n">
        <f aca="true">IF(OR($D99&lt;&gt;"Serviço",AND(AUTOEVENTO="Manual",$M99=$A$15),$M99&gt;(ROW(PLE.lastrow)-ROW(PLE.firstrow))),0,
           IF(OFFSET(PLE!$G$15,$M99-$A$15,DD$13)="",10^12,OFFSET(PLE!$G$15,$M99-$A$15,DD$13)))</f>
        <v>1000000000000</v>
      </c>
      <c r="DE99" s="354" t="n">
        <f aca="true">IF(OR($D99&lt;&gt;"Serviço",AND(AUTOEVENTO="Manual",$M99=$A$15),$M99&gt;(ROW(PLE.lastrow)-ROW(PLE.firstrow))),0,
           IF(OFFSET(PLE!$G$15,$M99-$A$15,DE$13)="",10^12,OFFSET(PLE!$G$15,$M99-$A$15,DE$13)))</f>
        <v>1000000000000</v>
      </c>
      <c r="DF99" s="354" t="n">
        <f aca="true">IF(OR($D99&lt;&gt;"Serviço",AND(AUTOEVENTO="Manual",$M99=$A$15),$M99&gt;(ROW(PLE.lastrow)-ROW(PLE.firstrow))),0,
           IF(OFFSET(PLE!$G$15,$M99-$A$15,DF$13)="",10^12,OFFSET(PLE!$G$15,$M99-$A$15,DF$13)))</f>
        <v>1000000000000</v>
      </c>
      <c r="DG99" s="354" t="n">
        <f aca="true">IF(OR($D99&lt;&gt;"Serviço",AND(AUTOEVENTO="Manual",$M99=$A$15),$M99&gt;(ROW(PLE.lastrow)-ROW(PLE.firstrow))),0,
           IF(OFFSET(PLE!$G$15,$M99-$A$15,DG$13)="",10^12,OFFSET(PLE!$G$15,$M99-$A$15,DG$13)))</f>
        <v>1000000000000</v>
      </c>
      <c r="DH99" s="354" t="n">
        <f aca="true">IF(OR($D99&lt;&gt;"Serviço",AND(AUTOEVENTO="Manual",$M99=$A$15),$M99&gt;(ROW(PLE.lastrow)-ROW(PLE.firstrow))),0,
           IF(OFFSET(PLE!$G$15,$M99-$A$15,DH$13)="",10^12,OFFSET(PLE!$G$15,$M99-$A$15,DH$13)))</f>
        <v>1000000000000</v>
      </c>
      <c r="DI99" s="354" t="n">
        <f aca="true">IF(OR($D99&lt;&gt;"Serviço",AND(AUTOEVENTO="Manual",$M99=$A$15),$M99&gt;(ROW(PLE.lastrow)-ROW(PLE.firstrow))),0,
           IF(OFFSET(PLE!$G$15,$M99-$A$15,DI$13)="",10^12,OFFSET(PLE!$G$15,$M99-$A$15,DI$13)))</f>
        <v>1000000000000</v>
      </c>
      <c r="DJ99" s="354" t="n">
        <f aca="true">IF(OR($D99&lt;&gt;"Serviço",AND(AUTOEVENTO="Manual",$M99=$A$15),$M99&gt;(ROW(PLE.lastrow)-ROW(PLE.firstrow))),0,
           IF(OFFSET(PLE!$G$15,$M99-$A$15,DJ$13)="",10^12,OFFSET(PLE!$G$15,$M99-$A$15,DJ$13)))</f>
        <v>1000000000000</v>
      </c>
      <c r="DK99" s="354" t="n">
        <f aca="true">IF(OR($D99&lt;&gt;"Serviço",AND(AUTOEVENTO="Manual",$M99=$A$15),$M99&gt;(ROW(PLE.lastrow)-ROW(PLE.firstrow))),0,
           IF(OFFSET(PLE!$G$15,$M99-$A$15,DK$13)="",10^12,OFFSET(PLE!$G$15,$M99-$A$15,DK$13)))</f>
        <v>1000000000000</v>
      </c>
      <c r="DL99" s="354" t="n">
        <f aca="true">IF(OR($D99&lt;&gt;"Serviço",AND(AUTOEVENTO="Manual",$M99=$A$15),$M99&gt;(ROW(PLE.lastrow)-ROW(PLE.firstrow))),0,
           IF(OFFSET(PLE!$G$15,$M99-$A$15,DL$13)="",10^12,OFFSET(PLE!$G$15,$M99-$A$15,DL$13)))</f>
        <v>1000000000000</v>
      </c>
      <c r="DM99" s="354" t="n">
        <f aca="true">IF(OR($D99&lt;&gt;"Serviço",AND(AUTOEVENTO="Manual",$M99=$A$15),$M99&gt;(ROW(PLE.lastrow)-ROW(PLE.firstrow))),0,
           IF(OFFSET(PLE!$G$15,$M99-$A$15,DM$13)="",10^12,OFFSET(PLE!$G$15,$M99-$A$15,DM$13)))</f>
        <v>1000000000000</v>
      </c>
      <c r="DN99" s="354" t="n">
        <f aca="true">IF(OR($D99&lt;&gt;"Serviço",AND(AUTOEVENTO="Manual",$M99=$A$15),$M99&gt;(ROW(PLE.lastrow)-ROW(PLE.firstrow))),0,
           IF(OFFSET(PLE!$G$15,$M99-$A$15,DN$13)="",10^12,OFFSET(PLE!$G$15,$M99-$A$15,DN$13)))</f>
        <v>1000000000000</v>
      </c>
      <c r="DO99" s="354" t="n">
        <f aca="true">IF(OR($D99&lt;&gt;"Serviço",AND(AUTOEVENTO="Manual",$M99=$A$15),$M99&gt;(ROW(PLE.lastrow)-ROW(PLE.firstrow))),0,
           IF(OFFSET(PLE!$G$15,$M99-$A$15,DO$13)="",10^12,OFFSET(PLE!$G$15,$M99-$A$15,DO$13)))</f>
        <v>1000000000000</v>
      </c>
      <c r="DP99" s="354" t="n">
        <f aca="true">IF(OR($D99&lt;&gt;"Serviço",AND(AUTOEVENTO="Manual",$M99=$A$15),$M99&gt;(ROW(PLE.lastrow)-ROW(PLE.firstrow))),0,
           IF(OFFSET(PLE!$G$15,$M99-$A$15,DP$13)="",10^12,OFFSET(PLE!$G$15,$M99-$A$15,DP$13)))</f>
        <v>1000000000000</v>
      </c>
      <c r="DQ99" s="354" t="n">
        <f aca="true">IF(OR($D99&lt;&gt;"Serviço",AND(AUTOEVENTO="Manual",$M99=$A$15),$M99&gt;(ROW(PLE.lastrow)-ROW(PLE.firstrow))),0,
           IF(OFFSET(PLE!$G$15,$M99-$A$15,DQ$13)="",10^12,OFFSET(PLE!$G$15,$M99-$A$15,DQ$13)))</f>
        <v>1000000000000</v>
      </c>
      <c r="DR99" s="354" t="n">
        <f aca="true">IF(OR($D99&lt;&gt;"Serviço",AND(AUTOEVENTO="Manual",$M99=$A$15),$M99&gt;(ROW(PLE.lastrow)-ROW(PLE.firstrow))),0,
           IF(OFFSET(PLE!$G$15,$M99-$A$15,DR$13)="",10^12,OFFSET(PLE!$G$15,$M99-$A$15,DR$13)))</f>
        <v>1000000000000</v>
      </c>
      <c r="DS99" s="354" t="n">
        <f aca="true">IF(OR($D99&lt;&gt;"Serviço",AND(AUTOEVENTO="Manual",$M99=$A$15),$M99&gt;(ROW(PLE.lastrow)-ROW(PLE.firstrow))),0,
           IF(OFFSET(PLE!$G$15,$M99-$A$15,DS$13)="",10^12,OFFSET(PLE!$G$15,$M99-$A$15,DS$13)))</f>
        <v>1000000000000</v>
      </c>
    </row>
    <row r="100" customFormat="false" ht="23.85" hidden="false" customHeight="false" outlineLevel="0" collapsed="false">
      <c r="A100" s="50" t="str">
        <f aca="true">IFERROR(IF(AUTOEVENTO="Manual",IF(K100&lt;&gt;"",MIN(VALUE(LEFT(K100,FIND(".",K100)-1)),COUNTA(EVENTOS.Lista)),0),IF(OR($B100&gt;AUTOEVENTO,$B100="S",$B100=0),SUBSTITUTE(OFFSET($A100,-1,0),IF($D100="Serviço",".",""),""),ROW(A100)-ROW($A$15)&amp;".")),0)</f>
        <v>82</v>
      </c>
      <c r="B100" s="50" t="str">
        <f aca="true">OFFSET(ORÇAMENTO!C$15,ROW(B100)-ROW(B$15),0)</f>
        <v>S</v>
      </c>
      <c r="C100" s="50" t="str">
        <f aca="true">OFFSET(ORÇAMENTO!L$15,ROW(C100)-ROW(C$15),0)</f>
        <v>F</v>
      </c>
      <c r="D100" s="201" t="str">
        <f aca="true">OFFSET(ORÇAMENTO!N$15,ROW(D100)-ROW(D$15),0)</f>
        <v>Serviço</v>
      </c>
      <c r="E100" s="202" t="str">
        <f aca="true">OFFSET(ORÇAMENTO!O$15,ROW(E100)-ROW(E$15),0)</f>
        <v>1.25.3.</v>
      </c>
      <c r="F100" s="341" t="str">
        <f aca="true">OFFSET(ORÇAMENTO!R$15,ROW(F100)-ROW(F$15),0)</f>
        <v>PINTURA TINTA DE ACABAMENTO (PIGMENTADA) ESMALTE SINTÉTICO ACETINADO EM MADEIRA, 2 DEMÃOS. AF_01/2021</v>
      </c>
      <c r="G100" s="342" t="str">
        <f aca="true">IF($D100&lt;&gt;"Serviço","",OFFSET(ORÇAMENTO!S$15,ROW(G100)-ROW(G$15),0))</f>
        <v>M2</v>
      </c>
      <c r="H100" s="207" t="n">
        <f aca="true">IF($D100&lt;&gt;"Serviço",0,IF(ACOMPANHAMENTO="BM",ROUND(OFFSET(ORÇAMENTO!AJ$15,ROW(H100)-ROW(H$15),0),15-13*ORÇAMENTO!$AF$7),SUMPRODUCT(($Q$1:$AQ$1=1)*ROUND($Q100:$AQ100,15-13*ORÇAMENTO!$AF$7))))</f>
        <v>270</v>
      </c>
      <c r="I100" s="343" t="s">
        <v>961</v>
      </c>
      <c r="J100" s="344" t="e">
        <f aca="false">IF(OR(B100&lt;&gt;"S",CÁLCULO.FrentesPreenchidas=0),"",IF(AND(ACOMPANHAMENTO="PLE",AUTOEVENTO="Manual",OR(H100&gt;0,ORÇAMENTO!AC100="QUANT."),OR(K100="",M100=0,N100="")),"►",IF(AND(ACOMPANHAMENTO="PLE",ORÇAMENTO!AC100="QUANT."),"►►",IF(AND(COUNTIF($P$11:$AQ$11,"▼")=0,H100&gt;0,I100=""),"◄",""))))</f>
        <v>#NAME?</v>
      </c>
      <c r="K100" s="345"/>
      <c r="L100" s="346" t="s">
        <v>876</v>
      </c>
      <c r="M100" s="347" t="n">
        <f aca="true">IF($D100&lt;&gt;"Serviço","",
          IF(AUTOEVENTO="manual",$A100,
                IF(ISERROR(MATCH($A100,$A$15:OFFSET($A100,-1,0),0)),MAX($M$15:OFFSET(M100,-1,0))+1,
                      INDEX($M$15:OFFSET(M100,-1,0),MATCH($A100,$A$15:OFFSET($A100,-1,0),0)))))</f>
        <v>17</v>
      </c>
      <c r="N100" s="348" t="str">
        <f aca="true">IF($D100&lt;&gt;"Serviço","",
         IF(AUTOEVENTO="Manual",
                IF($A100=0,"&lt;-- defina o número do agrupador",
                       OFFSET(EVENTOS!$D$15,$A100-$A$15,0)),
                OFFSET($F$15,$A100,0)))</f>
        <v>PINTURA ESQUADRIAS</v>
      </c>
      <c r="O100" s="349"/>
      <c r="Q100" s="349" t="n">
        <v>10.8</v>
      </c>
      <c r="R100" s="350" t="n">
        <f aca="false">Q100</f>
        <v>10.8</v>
      </c>
      <c r="S100" s="350" t="n">
        <f aca="false">R100</f>
        <v>10.8</v>
      </c>
      <c r="T100" s="350" t="n">
        <f aca="false">S100</f>
        <v>10.8</v>
      </c>
      <c r="U100" s="350" t="n">
        <f aca="false">T100</f>
        <v>10.8</v>
      </c>
      <c r="V100" s="350" t="n">
        <f aca="false">U100</f>
        <v>10.8</v>
      </c>
      <c r="W100" s="350" t="n">
        <f aca="false">V100</f>
        <v>10.8</v>
      </c>
      <c r="X100" s="350" t="n">
        <f aca="false">W100</f>
        <v>10.8</v>
      </c>
      <c r="Y100" s="350" t="n">
        <f aca="false">X100</f>
        <v>10.8</v>
      </c>
      <c r="Z100" s="351" t="n">
        <f aca="false">Y100</f>
        <v>10.8</v>
      </c>
      <c r="AA100" s="350" t="n">
        <f aca="false">Z100</f>
        <v>10.8</v>
      </c>
      <c r="AB100" s="350" t="n">
        <f aca="false">AA100</f>
        <v>10.8</v>
      </c>
      <c r="AC100" s="350" t="n">
        <f aca="false">AB100</f>
        <v>10.8</v>
      </c>
      <c r="AD100" s="350" t="n">
        <f aca="false">AC100</f>
        <v>10.8</v>
      </c>
      <c r="AE100" s="350" t="n">
        <f aca="false">AD100</f>
        <v>10.8</v>
      </c>
      <c r="AF100" s="350" t="n">
        <f aca="false">AE100</f>
        <v>10.8</v>
      </c>
      <c r="AG100" s="350" t="n">
        <f aca="false">AF100</f>
        <v>10.8</v>
      </c>
      <c r="AH100" s="351" t="n">
        <f aca="false">AG100</f>
        <v>10.8</v>
      </c>
      <c r="AI100" s="350" t="n">
        <f aca="false">AH100</f>
        <v>10.8</v>
      </c>
      <c r="AJ100" s="350" t="n">
        <f aca="false">AI100</f>
        <v>10.8</v>
      </c>
      <c r="AK100" s="350" t="n">
        <f aca="false">AJ100</f>
        <v>10.8</v>
      </c>
      <c r="AL100" s="350" t="n">
        <f aca="false">AK100</f>
        <v>10.8</v>
      </c>
      <c r="AM100" s="350" t="n">
        <f aca="false">AL100</f>
        <v>10.8</v>
      </c>
      <c r="AN100" s="350" t="n">
        <f aca="false">AM100</f>
        <v>10.8</v>
      </c>
      <c r="AO100" s="350" t="n">
        <f aca="false">AN100</f>
        <v>10.8</v>
      </c>
      <c r="AP100" s="351"/>
      <c r="AR100" s="352" t="n">
        <f aca="true">IF(AND($D100="Serviço",AR$12&lt;&gt;0,$H100&gt;0,OR(AUTOEVENTO&lt;&gt;"manual",$M100&lt;&gt;$A$15)),
        IF(Import.TipoArredondamento&lt;&gt;"TransfereGOV",
              ROUND(OFFSET($P100,0,AR$13),15-13*ORÇAMENTO!$AF$7)/$H100*OFFSET(ORÇAMENTO!$X$15,ROW(AR100)-ROW(AR$15),0),
              ROUND(ROUND(OFFSET($P100,0,AR$13),15-13*ORÇAMENTO!$AF$7)*OFFSET(ORÇAMENTO!$W$15,ROW(AR100)-ROW(AR$15),0),15-13*ORÇAMENTO!$AF$11)),
         0)</f>
        <v>263.84</v>
      </c>
      <c r="AS100" s="352" t="n">
        <f aca="true">IF(AND($D100="Serviço",AS$12&lt;&gt;0,$H100&gt;0,OR(AUTOEVENTO&lt;&gt;"manual",$M100&lt;&gt;$A$15)),
        IF(Import.TipoArredondamento&lt;&gt;"TransfereGOV",
              ROUND(OFFSET($P100,0,AS$13),15-13*ORÇAMENTO!$AF$7)/$H100*OFFSET(ORÇAMENTO!$X$15,ROW(AS100)-ROW(AS$15),0),
              ROUND(ROUND(OFFSET($P100,0,AS$13),15-13*ORÇAMENTO!$AF$7)*OFFSET(ORÇAMENTO!$W$15,ROW(AS100)-ROW(AS$15),0),15-13*ORÇAMENTO!$AF$11)),
         0)</f>
        <v>263.84</v>
      </c>
      <c r="AT100" s="352" t="n">
        <f aca="true">IF(AND($D100="Serviço",AT$12&lt;&gt;0,$H100&gt;0,OR(AUTOEVENTO&lt;&gt;"manual",$M100&lt;&gt;$A$15)),
        IF(Import.TipoArredondamento&lt;&gt;"TransfereGOV",
              ROUND(OFFSET($P100,0,AT$13),15-13*ORÇAMENTO!$AF$7)/$H100*OFFSET(ORÇAMENTO!$X$15,ROW(AT100)-ROW(AT$15),0),
              ROUND(ROUND(OFFSET($P100,0,AT$13),15-13*ORÇAMENTO!$AF$7)*OFFSET(ORÇAMENTO!$W$15,ROW(AT100)-ROW(AT$15),0),15-13*ORÇAMENTO!$AF$11)),
         0)</f>
        <v>263.84</v>
      </c>
      <c r="AU100" s="352" t="n">
        <f aca="true">IF(AND($D100="Serviço",AU$12&lt;&gt;0,$H100&gt;0,OR(AUTOEVENTO&lt;&gt;"manual",$M100&lt;&gt;$A$15)),
        IF(Import.TipoArredondamento&lt;&gt;"TransfereGOV",
              ROUND(OFFSET($P100,0,AU$13),15-13*ORÇAMENTO!$AF$7)/$H100*OFFSET(ORÇAMENTO!$X$15,ROW(AU100)-ROW(AU$15),0),
              ROUND(ROUND(OFFSET($P100,0,AU$13),15-13*ORÇAMENTO!$AF$7)*OFFSET(ORÇAMENTO!$W$15,ROW(AU100)-ROW(AU$15),0),15-13*ORÇAMENTO!$AF$11)),
         0)</f>
        <v>263.84</v>
      </c>
      <c r="AV100" s="352" t="n">
        <f aca="true">IF(AND($D100="Serviço",AV$12&lt;&gt;0,$H100&gt;0,OR(AUTOEVENTO&lt;&gt;"manual",$M100&lt;&gt;$A$15)),
        IF(Import.TipoArredondamento&lt;&gt;"TransfereGOV",
              ROUND(OFFSET($P100,0,AV$13),15-13*ORÇAMENTO!$AF$7)/$H100*OFFSET(ORÇAMENTO!$X$15,ROW(AV100)-ROW(AV$15),0),
              ROUND(ROUND(OFFSET($P100,0,AV$13),15-13*ORÇAMENTO!$AF$7)*OFFSET(ORÇAMENTO!$W$15,ROW(AV100)-ROW(AV$15),0),15-13*ORÇAMENTO!$AF$11)),
         0)</f>
        <v>263.84</v>
      </c>
      <c r="AW100" s="352" t="n">
        <f aca="true">IF(AND($D100="Serviço",AW$12&lt;&gt;0,$H100&gt;0,OR(AUTOEVENTO&lt;&gt;"manual",$M100&lt;&gt;$A$15)),
        IF(Import.TipoArredondamento&lt;&gt;"TransfereGOV",
              ROUND(OFFSET($P100,0,AW$13),15-13*ORÇAMENTO!$AF$7)/$H100*OFFSET(ORÇAMENTO!$X$15,ROW(AW100)-ROW(AW$15),0),
              ROUND(ROUND(OFFSET($P100,0,AW$13),15-13*ORÇAMENTO!$AF$7)*OFFSET(ORÇAMENTO!$W$15,ROW(AW100)-ROW(AW$15),0),15-13*ORÇAMENTO!$AF$11)),
         0)</f>
        <v>263.84</v>
      </c>
      <c r="AX100" s="352" t="n">
        <f aca="true">IF(AND($D100="Serviço",AX$12&lt;&gt;0,$H100&gt;0,OR(AUTOEVENTO&lt;&gt;"manual",$M100&lt;&gt;$A$15)),
        IF(Import.TipoArredondamento&lt;&gt;"TransfereGOV",
              ROUND(OFFSET($P100,0,AX$13),15-13*ORÇAMENTO!$AF$7)/$H100*OFFSET(ORÇAMENTO!$X$15,ROW(AX100)-ROW(AX$15),0),
              ROUND(ROUND(OFFSET($P100,0,AX$13),15-13*ORÇAMENTO!$AF$7)*OFFSET(ORÇAMENTO!$W$15,ROW(AX100)-ROW(AX$15),0),15-13*ORÇAMENTO!$AF$11)),
         0)</f>
        <v>263.84</v>
      </c>
      <c r="AY100" s="352" t="n">
        <f aca="true">IF(AND($D100="Serviço",AY$12&lt;&gt;0,$H100&gt;0,OR(AUTOEVENTO&lt;&gt;"manual",$M100&lt;&gt;$A$15)),
        IF(Import.TipoArredondamento&lt;&gt;"TransfereGOV",
              ROUND(OFFSET($P100,0,AY$13),15-13*ORÇAMENTO!$AF$7)/$H100*OFFSET(ORÇAMENTO!$X$15,ROW(AY100)-ROW(AY$15),0),
              ROUND(ROUND(OFFSET($P100,0,AY$13),15-13*ORÇAMENTO!$AF$7)*OFFSET(ORÇAMENTO!$W$15,ROW(AY100)-ROW(AY$15),0),15-13*ORÇAMENTO!$AF$11)),
         0)</f>
        <v>263.84</v>
      </c>
      <c r="AZ100" s="352" t="n">
        <f aca="true">IF(AND($D100="Serviço",AZ$12&lt;&gt;0,$H100&gt;0,OR(AUTOEVENTO&lt;&gt;"manual",$M100&lt;&gt;$A$15)),
        IF(Import.TipoArredondamento&lt;&gt;"TransfereGOV",
              ROUND(OFFSET($P100,0,AZ$13),15-13*ORÇAMENTO!$AF$7)/$H100*OFFSET(ORÇAMENTO!$X$15,ROW(AZ100)-ROW(AZ$15),0),
              ROUND(ROUND(OFFSET($P100,0,AZ$13),15-13*ORÇAMENTO!$AF$7)*OFFSET(ORÇAMENTO!$W$15,ROW(AZ100)-ROW(AZ$15),0),15-13*ORÇAMENTO!$AF$11)),
         0)</f>
        <v>263.84</v>
      </c>
      <c r="BA100" s="352" t="n">
        <f aca="true">IF(AND($D100="Serviço",BA$12&lt;&gt;0,$H100&gt;0,OR(AUTOEVENTO&lt;&gt;"manual",$M100&lt;&gt;$A$15)),
        IF(Import.TipoArredondamento&lt;&gt;"TransfereGOV",
              ROUND(OFFSET($P100,0,BA$13),15-13*ORÇAMENTO!$AF$7)/$H100*OFFSET(ORÇAMENTO!$X$15,ROW(BA100)-ROW(BA$15),0),
              ROUND(ROUND(OFFSET($P100,0,BA$13),15-13*ORÇAMENTO!$AF$7)*OFFSET(ORÇAMENTO!$W$15,ROW(BA100)-ROW(BA$15),0),15-13*ORÇAMENTO!$AF$11)),
         0)</f>
        <v>263.84</v>
      </c>
      <c r="BB100" s="352" t="n">
        <f aca="true">IF(AND($D100="Serviço",BB$12&lt;&gt;0,$H100&gt;0,OR(AUTOEVENTO&lt;&gt;"manual",$M100&lt;&gt;$A$15)),
        IF(Import.TipoArredondamento&lt;&gt;"TransfereGOV",
              ROUND(OFFSET($P100,0,BB$13),15-13*ORÇAMENTO!$AF$7)/$H100*OFFSET(ORÇAMENTO!$X$15,ROW(BB100)-ROW(BB$15),0),
              ROUND(ROUND(OFFSET($P100,0,BB$13),15-13*ORÇAMENTO!$AF$7)*OFFSET(ORÇAMENTO!$W$15,ROW(BB100)-ROW(BB$15),0),15-13*ORÇAMENTO!$AF$11)),
         0)</f>
        <v>263.84</v>
      </c>
      <c r="BC100" s="352" t="n">
        <f aca="true">IF(AND($D100="Serviço",BC$12&lt;&gt;0,$H100&gt;0,OR(AUTOEVENTO&lt;&gt;"manual",$M100&lt;&gt;$A$15)),
        IF(Import.TipoArredondamento&lt;&gt;"TransfereGOV",
              ROUND(OFFSET($P100,0,BC$13),15-13*ORÇAMENTO!$AF$7)/$H100*OFFSET(ORÇAMENTO!$X$15,ROW(BC100)-ROW(BC$15),0),
              ROUND(ROUND(OFFSET($P100,0,BC$13),15-13*ORÇAMENTO!$AF$7)*OFFSET(ORÇAMENTO!$W$15,ROW(BC100)-ROW(BC$15),0),15-13*ORÇAMENTO!$AF$11)),
         0)</f>
        <v>263.84</v>
      </c>
      <c r="BD100" s="352" t="n">
        <f aca="true">IF(AND($D100="Serviço",BD$12&lt;&gt;0,$H100&gt;0,OR(AUTOEVENTO&lt;&gt;"manual",$M100&lt;&gt;$A$15)),
        IF(Import.TipoArredondamento&lt;&gt;"TransfereGOV",
              ROUND(OFFSET($P100,0,BD$13),15-13*ORÇAMENTO!$AF$7)/$H100*OFFSET(ORÇAMENTO!$X$15,ROW(BD100)-ROW(BD$15),0),
              ROUND(ROUND(OFFSET($P100,0,BD$13),15-13*ORÇAMENTO!$AF$7)*OFFSET(ORÇAMENTO!$W$15,ROW(BD100)-ROW(BD$15),0),15-13*ORÇAMENTO!$AF$11)),
         0)</f>
        <v>263.84</v>
      </c>
      <c r="BE100" s="352" t="n">
        <f aca="true">IF(AND($D100="Serviço",BE$12&lt;&gt;0,$H100&gt;0,OR(AUTOEVENTO&lt;&gt;"manual",$M100&lt;&gt;$A$15)),
        IF(Import.TipoArredondamento&lt;&gt;"TransfereGOV",
              ROUND(OFFSET($P100,0,BE$13),15-13*ORÇAMENTO!$AF$7)/$H100*OFFSET(ORÇAMENTO!$X$15,ROW(BE100)-ROW(BE$15),0),
              ROUND(ROUND(OFFSET($P100,0,BE$13),15-13*ORÇAMENTO!$AF$7)*OFFSET(ORÇAMENTO!$W$15,ROW(BE100)-ROW(BE$15),0),15-13*ORÇAMENTO!$AF$11)),
         0)</f>
        <v>263.84</v>
      </c>
      <c r="BF100" s="352" t="n">
        <f aca="true">IF(AND($D100="Serviço",BF$12&lt;&gt;0,$H100&gt;0,OR(AUTOEVENTO&lt;&gt;"manual",$M100&lt;&gt;$A$15)),
        IF(Import.TipoArredondamento&lt;&gt;"TransfereGOV",
              ROUND(OFFSET($P100,0,BF$13),15-13*ORÇAMENTO!$AF$7)/$H100*OFFSET(ORÇAMENTO!$X$15,ROW(BF100)-ROW(BF$15),0),
              ROUND(ROUND(OFFSET($P100,0,BF$13),15-13*ORÇAMENTO!$AF$7)*OFFSET(ORÇAMENTO!$W$15,ROW(BF100)-ROW(BF$15),0),15-13*ORÇAMENTO!$AF$11)),
         0)</f>
        <v>263.84</v>
      </c>
      <c r="BG100" s="352" t="n">
        <f aca="true">IF(AND($D100="Serviço",BG$12&lt;&gt;0,$H100&gt;0,OR(AUTOEVENTO&lt;&gt;"manual",$M100&lt;&gt;$A$15)),
        IF(Import.TipoArredondamento&lt;&gt;"TransfereGOV",
              ROUND(OFFSET($P100,0,BG$13),15-13*ORÇAMENTO!$AF$7)/$H100*OFFSET(ORÇAMENTO!$X$15,ROW(BG100)-ROW(BG$15),0),
              ROUND(ROUND(OFFSET($P100,0,BG$13),15-13*ORÇAMENTO!$AF$7)*OFFSET(ORÇAMENTO!$W$15,ROW(BG100)-ROW(BG$15),0),15-13*ORÇAMENTO!$AF$11)),
         0)</f>
        <v>263.84</v>
      </c>
      <c r="BH100" s="352" t="n">
        <f aca="true">IF(AND($D100="Serviço",BH$12&lt;&gt;0,$H100&gt;0,OR(AUTOEVENTO&lt;&gt;"manual",$M100&lt;&gt;$A$15)),
        IF(Import.TipoArredondamento&lt;&gt;"TransfereGOV",
              ROUND(OFFSET($P100,0,BH$13),15-13*ORÇAMENTO!$AF$7)/$H100*OFFSET(ORÇAMENTO!$X$15,ROW(BH100)-ROW(BH$15),0),
              ROUND(ROUND(OFFSET($P100,0,BH$13),15-13*ORÇAMENTO!$AF$7)*OFFSET(ORÇAMENTO!$W$15,ROW(BH100)-ROW(BH$15),0),15-13*ORÇAMENTO!$AF$11)),
         0)</f>
        <v>263.84</v>
      </c>
      <c r="BI100" s="352" t="n">
        <f aca="true">IF(AND($D100="Serviço",BI$12&lt;&gt;0,$H100&gt;0,OR(AUTOEVENTO&lt;&gt;"manual",$M100&lt;&gt;$A$15)),
        IF(Import.TipoArredondamento&lt;&gt;"TransfereGOV",
              ROUND(OFFSET($P100,0,BI$13),15-13*ORÇAMENTO!$AF$7)/$H100*OFFSET(ORÇAMENTO!$X$15,ROW(BI100)-ROW(BI$15),0),
              ROUND(ROUND(OFFSET($P100,0,BI$13),15-13*ORÇAMENTO!$AF$7)*OFFSET(ORÇAMENTO!$W$15,ROW(BI100)-ROW(BI$15),0),15-13*ORÇAMENTO!$AF$11)),
         0)</f>
        <v>263.84</v>
      </c>
      <c r="BJ100" s="352" t="n">
        <f aca="true">IF(AND($D100="Serviço",BJ$12&lt;&gt;0,$H100&gt;0,OR(AUTOEVENTO&lt;&gt;"manual",$M100&lt;&gt;$A$15)),
        IF(Import.TipoArredondamento&lt;&gt;"TransfereGOV",
              ROUND(OFFSET($P100,0,BJ$13),15-13*ORÇAMENTO!$AF$7)/$H100*OFFSET(ORÇAMENTO!$X$15,ROW(BJ100)-ROW(BJ$15),0),
              ROUND(ROUND(OFFSET($P100,0,BJ$13),15-13*ORÇAMENTO!$AF$7)*OFFSET(ORÇAMENTO!$W$15,ROW(BJ100)-ROW(BJ$15),0),15-13*ORÇAMENTO!$AF$11)),
         0)</f>
        <v>263.84</v>
      </c>
      <c r="BK100" s="352" t="n">
        <f aca="true">IF(AND($D100="Serviço",BK$12&lt;&gt;0,$H100&gt;0,OR(AUTOEVENTO&lt;&gt;"manual",$M100&lt;&gt;$A$15)),
        IF(Import.TipoArredondamento&lt;&gt;"TransfereGOV",
              ROUND(OFFSET($P100,0,BK$13),15-13*ORÇAMENTO!$AF$7)/$H100*OFFSET(ORÇAMENTO!$X$15,ROW(BK100)-ROW(BK$15),0),
              ROUND(ROUND(OFFSET($P100,0,BK$13),15-13*ORÇAMENTO!$AF$7)*OFFSET(ORÇAMENTO!$W$15,ROW(BK100)-ROW(BK$15),0),15-13*ORÇAMENTO!$AF$11)),
         0)</f>
        <v>263.84</v>
      </c>
      <c r="BL100" s="352" t="n">
        <f aca="true">IF(AND($D100="Serviço",BL$12&lt;&gt;0,$H100&gt;0,OR(AUTOEVENTO&lt;&gt;"manual",$M100&lt;&gt;$A$15)),
        IF(Import.TipoArredondamento&lt;&gt;"TransfereGOV",
              ROUND(OFFSET($P100,0,BL$13),15-13*ORÇAMENTO!$AF$7)/$H100*OFFSET(ORÇAMENTO!$X$15,ROW(BL100)-ROW(BL$15),0),
              ROUND(ROUND(OFFSET($P100,0,BL$13),15-13*ORÇAMENTO!$AF$7)*OFFSET(ORÇAMENTO!$W$15,ROW(BL100)-ROW(BL$15),0),15-13*ORÇAMENTO!$AF$11)),
         0)</f>
        <v>263.84</v>
      </c>
      <c r="BM100" s="352" t="n">
        <f aca="true">IF(AND($D100="Serviço",BM$12&lt;&gt;0,$H100&gt;0,OR(AUTOEVENTO&lt;&gt;"manual",$M100&lt;&gt;$A$15)),
        IF(Import.TipoArredondamento&lt;&gt;"TransfereGOV",
              ROUND(OFFSET($P100,0,BM$13),15-13*ORÇAMENTO!$AF$7)/$H100*OFFSET(ORÇAMENTO!$X$15,ROW(BM100)-ROW(BM$15),0),
              ROUND(ROUND(OFFSET($P100,0,BM$13),15-13*ORÇAMENTO!$AF$7)*OFFSET(ORÇAMENTO!$W$15,ROW(BM100)-ROW(BM$15),0),15-13*ORÇAMENTO!$AF$11)),
         0)</f>
        <v>263.84</v>
      </c>
      <c r="BN100" s="352" t="n">
        <f aca="true">IF(AND($D100="Serviço",BN$12&lt;&gt;0,$H100&gt;0,OR(AUTOEVENTO&lt;&gt;"manual",$M100&lt;&gt;$A$15)),
        IF(Import.TipoArredondamento&lt;&gt;"TransfereGOV",
              ROUND(OFFSET($P100,0,BN$13),15-13*ORÇAMENTO!$AF$7)/$H100*OFFSET(ORÇAMENTO!$X$15,ROW(BN100)-ROW(BN$15),0),
              ROUND(ROUND(OFFSET($P100,0,BN$13),15-13*ORÇAMENTO!$AF$7)*OFFSET(ORÇAMENTO!$W$15,ROW(BN100)-ROW(BN$15),0),15-13*ORÇAMENTO!$AF$11)),
         0)</f>
        <v>263.84</v>
      </c>
      <c r="BO100" s="352" t="n">
        <f aca="true">IF(AND($D100="Serviço",BO$12&lt;&gt;0,$H100&gt;0,OR(AUTOEVENTO&lt;&gt;"manual",$M100&lt;&gt;$A$15)),
        IF(Import.TipoArredondamento&lt;&gt;"TransfereGOV",
              ROUND(OFFSET($P100,0,BO$13),15-13*ORÇAMENTO!$AF$7)/$H100*OFFSET(ORÇAMENTO!$X$15,ROW(BO100)-ROW(BO$15),0),
              ROUND(ROUND(OFFSET($P100,0,BO$13),15-13*ORÇAMENTO!$AF$7)*OFFSET(ORÇAMENTO!$W$15,ROW(BO100)-ROW(BO$15),0),15-13*ORÇAMENTO!$AF$11)),
         0)</f>
        <v>263.84</v>
      </c>
      <c r="BP100" s="352" t="n">
        <f aca="true">IF(AND($D100="Serviço",BP$12&lt;&gt;0,$H100&gt;0,OR(AUTOEVENTO&lt;&gt;"manual",$M100&lt;&gt;$A$15)),
        IF(Import.TipoArredondamento&lt;&gt;"TransfereGOV",
              ROUND(OFFSET($P100,0,BP$13),15-13*ORÇAMENTO!$AF$7)/$H100*OFFSET(ORÇAMENTO!$X$15,ROW(BP100)-ROW(BP$15),0),
              ROUND(ROUND(OFFSET($P100,0,BP$13),15-13*ORÇAMENTO!$AF$7)*OFFSET(ORÇAMENTO!$W$15,ROW(BP100)-ROW(BP$15),0),15-13*ORÇAMENTO!$AF$11)),
         0)</f>
        <v>263.84</v>
      </c>
      <c r="BQ100" s="352" t="n">
        <f aca="true">IF(AND($D100="Serviço",BQ$12&lt;&gt;0,$H100&gt;0,OR(AUTOEVENTO&lt;&gt;"manual",$M100&lt;&gt;$A$15)),
        IF(Import.TipoArredondamento&lt;&gt;"TransfereGOV",
              ROUND(OFFSET($P100,0,BQ$13),15-13*ORÇAMENTO!$AF$7)/$H100*OFFSET(ORÇAMENTO!$X$15,ROW(BQ100)-ROW(BQ$15),0),
              ROUND(ROUND(OFFSET($P100,0,BQ$13),15-13*ORÇAMENTO!$AF$7)*OFFSET(ORÇAMENTO!$W$15,ROW(BQ100)-ROW(BQ$15),0),15-13*ORÇAMENTO!$AF$11)),
         0)</f>
        <v>0</v>
      </c>
      <c r="BS100" s="353" t="n">
        <f aca="true">IF(OR($D100&lt;&gt;"Serviço",AND(AUTOEVENTO="Manual",$M100=$A$15)),0,
         IF(OFFSET(CRONOPLE!$F$15,$M100-$A$15,BS$13)=0,10^12,OFFSET(CRONOPLE!$F$15,$M100-$A$15,BS$13)))</f>
        <v>1</v>
      </c>
      <c r="BT100" s="353" t="n">
        <f aca="true">IF(OR($D100&lt;&gt;"Serviço",AND(AUTOEVENTO="Manual",$M100=$A$15)),0,
         IF(OFFSET(CRONOPLE!$F$15,$M100-$A$15,BT$13)=0,10^12,OFFSET(CRONOPLE!$F$15,$M100-$A$15,BT$13)))</f>
        <v>2</v>
      </c>
      <c r="BU100" s="353" t="n">
        <f aca="true">IF(OR($D100&lt;&gt;"Serviço",AND(AUTOEVENTO="Manual",$M100=$A$15)),0,
         IF(OFFSET(CRONOPLE!$F$15,$M100-$A$15,BU$13)=0,10^12,OFFSET(CRONOPLE!$F$15,$M100-$A$15,BU$13)))</f>
        <v>3</v>
      </c>
      <c r="BV100" s="353" t="n">
        <f aca="true">IF(OR($D100&lt;&gt;"Serviço",AND(AUTOEVENTO="Manual",$M100=$A$15)),0,
         IF(OFFSET(CRONOPLE!$F$15,$M100-$A$15,BV$13)=0,10^12,OFFSET(CRONOPLE!$F$15,$M100-$A$15,BV$13)))</f>
        <v>4</v>
      </c>
      <c r="BW100" s="353" t="n">
        <f aca="true">IF(OR($D100&lt;&gt;"Serviço",AND(AUTOEVENTO="Manual",$M100=$A$15)),0,
         IF(OFFSET(CRONOPLE!$F$15,$M100-$A$15,BW$13)=0,10^12,OFFSET(CRONOPLE!$F$15,$M100-$A$15,BW$13)))</f>
        <v>5</v>
      </c>
      <c r="BX100" s="353" t="n">
        <f aca="true">IF(OR($D100&lt;&gt;"Serviço",AND(AUTOEVENTO="Manual",$M100=$A$15)),0,
         IF(OFFSET(CRONOPLE!$F$15,$M100-$A$15,BX$13)=0,10^12,OFFSET(CRONOPLE!$F$15,$M100-$A$15,BX$13)))</f>
        <v>6</v>
      </c>
      <c r="BY100" s="353" t="n">
        <f aca="true">IF(OR($D100&lt;&gt;"Serviço",AND(AUTOEVENTO="Manual",$M100=$A$15)),0,
         IF(OFFSET(CRONOPLE!$F$15,$M100-$A$15,BY$13)=0,10^12,OFFSET(CRONOPLE!$F$15,$M100-$A$15,BY$13)))</f>
        <v>7</v>
      </c>
      <c r="BZ100" s="353" t="n">
        <f aca="true">IF(OR($D100&lt;&gt;"Serviço",AND(AUTOEVENTO="Manual",$M100=$A$15)),0,
         IF(OFFSET(CRONOPLE!$F$15,$M100-$A$15,BZ$13)=0,10^12,OFFSET(CRONOPLE!$F$15,$M100-$A$15,BZ$13)))</f>
        <v>8</v>
      </c>
      <c r="CA100" s="353" t="n">
        <f aca="true">IF(OR($D100&lt;&gt;"Serviço",AND(AUTOEVENTO="Manual",$M100=$A$15)),0,
         IF(OFFSET(CRONOPLE!$F$15,$M100-$A$15,CA$13)=0,10^12,OFFSET(CRONOPLE!$F$15,$M100-$A$15,CA$13)))</f>
        <v>9</v>
      </c>
      <c r="CB100" s="353" t="n">
        <f aca="true">IF(OR($D100&lt;&gt;"Serviço",AND(AUTOEVENTO="Manual",$M100=$A$15)),0,
         IF(OFFSET(CRONOPLE!$F$15,$M100-$A$15,CB$13)=0,10^12,OFFSET(CRONOPLE!$F$15,$M100-$A$15,CB$13)))</f>
        <v>10</v>
      </c>
      <c r="CC100" s="353" t="n">
        <f aca="true">IF(OR($D100&lt;&gt;"Serviço",AND(AUTOEVENTO="Manual",$M100=$A$15)),0,
         IF(OFFSET(CRONOPLE!$F$15,$M100-$A$15,CC$13)=0,10^12,OFFSET(CRONOPLE!$F$15,$M100-$A$15,CC$13)))</f>
        <v>11</v>
      </c>
      <c r="CD100" s="353" t="n">
        <f aca="true">IF(OR($D100&lt;&gt;"Serviço",AND(AUTOEVENTO="Manual",$M100=$A$15)),0,
         IF(OFFSET(CRONOPLE!$F$15,$M100-$A$15,CD$13)=0,10^12,OFFSET(CRONOPLE!$F$15,$M100-$A$15,CD$13)))</f>
        <v>12</v>
      </c>
      <c r="CE100" s="353" t="n">
        <f aca="true">IF(OR($D100&lt;&gt;"Serviço",AND(AUTOEVENTO="Manual",$M100=$A$15)),0,
         IF(OFFSET(CRONOPLE!$F$15,$M100-$A$15,CE$13)=0,10^12,OFFSET(CRONOPLE!$F$15,$M100-$A$15,CE$13)))</f>
        <v>13</v>
      </c>
      <c r="CF100" s="353" t="n">
        <f aca="true">IF(OR($D100&lt;&gt;"Serviço",AND(AUTOEVENTO="Manual",$M100=$A$15)),0,
         IF(OFFSET(CRONOPLE!$F$15,$M100-$A$15,CF$13)=0,10^12,OFFSET(CRONOPLE!$F$15,$M100-$A$15,CF$13)))</f>
        <v>14</v>
      </c>
      <c r="CG100" s="353" t="n">
        <f aca="true">IF(OR($D100&lt;&gt;"Serviço",AND(AUTOEVENTO="Manual",$M100=$A$15)),0,
         IF(OFFSET(CRONOPLE!$F$15,$M100-$A$15,CG$13)=0,10^12,OFFSET(CRONOPLE!$F$15,$M100-$A$15,CG$13)))</f>
        <v>15</v>
      </c>
      <c r="CH100" s="353" t="n">
        <f aca="true">IF(OR($D100&lt;&gt;"Serviço",AND(AUTOEVENTO="Manual",$M100=$A$15)),0,
         IF(OFFSET(CRONOPLE!$F$15,$M100-$A$15,CH$13)=0,10^12,OFFSET(CRONOPLE!$F$15,$M100-$A$15,CH$13)))</f>
        <v>16</v>
      </c>
      <c r="CI100" s="353" t="n">
        <f aca="true">IF(OR($D100&lt;&gt;"Serviço",AND(AUTOEVENTO="Manual",$M100=$A$15)),0,
         IF(OFFSET(CRONOPLE!$F$15,$M100-$A$15,CI$13)=0,10^12,OFFSET(CRONOPLE!$F$15,$M100-$A$15,CI$13)))</f>
        <v>17</v>
      </c>
      <c r="CJ100" s="353" t="n">
        <f aca="true">IF(OR($D100&lt;&gt;"Serviço",AND(AUTOEVENTO="Manual",$M100=$A$15)),0,
         IF(OFFSET(CRONOPLE!$F$15,$M100-$A$15,CJ$13)=0,10^12,OFFSET(CRONOPLE!$F$15,$M100-$A$15,CJ$13)))</f>
        <v>18</v>
      </c>
      <c r="CK100" s="353" t="n">
        <f aca="true">IF(OR($D100&lt;&gt;"Serviço",AND(AUTOEVENTO="Manual",$M100=$A$15)),0,
         IF(OFFSET(CRONOPLE!$F$15,$M100-$A$15,CK$13)=0,10^12,OFFSET(CRONOPLE!$F$15,$M100-$A$15,CK$13)))</f>
        <v>19</v>
      </c>
      <c r="CL100" s="353" t="n">
        <f aca="true">IF(OR($D100&lt;&gt;"Serviço",AND(AUTOEVENTO="Manual",$M100=$A$15)),0,
         IF(OFFSET(CRONOPLE!$F$15,$M100-$A$15,CL$13)=0,10^12,OFFSET(CRONOPLE!$F$15,$M100-$A$15,CL$13)))</f>
        <v>20</v>
      </c>
      <c r="CM100" s="353" t="n">
        <f aca="true">IF(OR($D100&lt;&gt;"Serviço",AND(AUTOEVENTO="Manual",$M100=$A$15)),0,
         IF(OFFSET(CRONOPLE!$F$15,$M100-$A$15,CM$13)=0,10^12,OFFSET(CRONOPLE!$F$15,$M100-$A$15,CM$13)))</f>
        <v>21</v>
      </c>
      <c r="CN100" s="353" t="n">
        <f aca="true">IF(OR($D100&lt;&gt;"Serviço",AND(AUTOEVENTO="Manual",$M100=$A$15)),0,
         IF(OFFSET(CRONOPLE!$F$15,$M100-$A$15,CN$13)=0,10^12,OFFSET(CRONOPLE!$F$15,$M100-$A$15,CN$13)))</f>
        <v>22</v>
      </c>
      <c r="CO100" s="353" t="n">
        <f aca="true">IF(OR($D100&lt;&gt;"Serviço",AND(AUTOEVENTO="Manual",$M100=$A$15)),0,
         IF(OFFSET(CRONOPLE!$F$15,$M100-$A$15,CO$13)=0,10^12,OFFSET(CRONOPLE!$F$15,$M100-$A$15,CO$13)))</f>
        <v>23</v>
      </c>
      <c r="CP100" s="353" t="n">
        <f aca="true">IF(OR($D100&lt;&gt;"Serviço",AND(AUTOEVENTO="Manual",$M100=$A$15)),0,
         IF(OFFSET(CRONOPLE!$F$15,$M100-$A$15,CP$13)=0,10^12,OFFSET(CRONOPLE!$F$15,$M100-$A$15,CP$13)))</f>
        <v>24</v>
      </c>
      <c r="CQ100" s="353" t="n">
        <f aca="true">IF(OR($D100&lt;&gt;"Serviço",AND(AUTOEVENTO="Manual",$M100=$A$15)),0,
         IF(OFFSET(CRONOPLE!$F$15,$M100-$A$15,CQ$13)=0,10^12,OFFSET(CRONOPLE!$F$15,$M100-$A$15,CQ$13)))</f>
        <v>25</v>
      </c>
      <c r="CR100" s="353" t="n">
        <f aca="true">IF(OR($D100&lt;&gt;"Serviço",AND(AUTOEVENTO="Manual",$M100=$A$15)),0,
         IF(OFFSET(CRONOPLE!$F$15,$M100-$A$15,CR$13)=0,10^12,OFFSET(CRONOPLE!$F$15,$M100-$A$15,CR$13)))</f>
        <v>1000000000000</v>
      </c>
      <c r="CT100" s="354" t="n">
        <f aca="true">IF(OR($D100&lt;&gt;"Serviço",AND(AUTOEVENTO="Manual",$M100=$A$15),$M100&gt;(ROW(PLE.lastrow)-ROW(PLE.firstrow))),0,
           IF(OFFSET(PLE!$G$15,$M100-$A$15,CT$13)="",10^12,OFFSET(PLE!$G$15,$M100-$A$15,CT$13)))</f>
        <v>1000000000000</v>
      </c>
      <c r="CU100" s="354" t="n">
        <f aca="true">IF(OR($D100&lt;&gt;"Serviço",AND(AUTOEVENTO="Manual",$M100=$A$15),$M100&gt;(ROW(PLE.lastrow)-ROW(PLE.firstrow))),0,
           IF(OFFSET(PLE!$G$15,$M100-$A$15,CU$13)="",10^12,OFFSET(PLE!$G$15,$M100-$A$15,CU$13)))</f>
        <v>1000000000000</v>
      </c>
      <c r="CV100" s="354" t="n">
        <f aca="true">IF(OR($D100&lt;&gt;"Serviço",AND(AUTOEVENTO="Manual",$M100=$A$15),$M100&gt;(ROW(PLE.lastrow)-ROW(PLE.firstrow))),0,
           IF(OFFSET(PLE!$G$15,$M100-$A$15,CV$13)="",10^12,OFFSET(PLE!$G$15,$M100-$A$15,CV$13)))</f>
        <v>1000000000000</v>
      </c>
      <c r="CW100" s="354" t="n">
        <f aca="true">IF(OR($D100&lt;&gt;"Serviço",AND(AUTOEVENTO="Manual",$M100=$A$15),$M100&gt;(ROW(PLE.lastrow)-ROW(PLE.firstrow))),0,
           IF(OFFSET(PLE!$G$15,$M100-$A$15,CW$13)="",10^12,OFFSET(PLE!$G$15,$M100-$A$15,CW$13)))</f>
        <v>1000000000000</v>
      </c>
      <c r="CX100" s="354" t="n">
        <f aca="true">IF(OR($D100&lt;&gt;"Serviço",AND(AUTOEVENTO="Manual",$M100=$A$15),$M100&gt;(ROW(PLE.lastrow)-ROW(PLE.firstrow))),0,
           IF(OFFSET(PLE!$G$15,$M100-$A$15,CX$13)="",10^12,OFFSET(PLE!$G$15,$M100-$A$15,CX$13)))</f>
        <v>1000000000000</v>
      </c>
      <c r="CY100" s="354" t="n">
        <f aca="true">IF(OR($D100&lt;&gt;"Serviço",AND(AUTOEVENTO="Manual",$M100=$A$15),$M100&gt;(ROW(PLE.lastrow)-ROW(PLE.firstrow))),0,
           IF(OFFSET(PLE!$G$15,$M100-$A$15,CY$13)="",10^12,OFFSET(PLE!$G$15,$M100-$A$15,CY$13)))</f>
        <v>1000000000000</v>
      </c>
      <c r="CZ100" s="354" t="n">
        <f aca="true">IF(OR($D100&lt;&gt;"Serviço",AND(AUTOEVENTO="Manual",$M100=$A$15),$M100&gt;(ROW(PLE.lastrow)-ROW(PLE.firstrow))),0,
           IF(OFFSET(PLE!$G$15,$M100-$A$15,CZ$13)="",10^12,OFFSET(PLE!$G$15,$M100-$A$15,CZ$13)))</f>
        <v>1000000000000</v>
      </c>
      <c r="DA100" s="354" t="n">
        <f aca="true">IF(OR($D100&lt;&gt;"Serviço",AND(AUTOEVENTO="Manual",$M100=$A$15),$M100&gt;(ROW(PLE.lastrow)-ROW(PLE.firstrow))),0,
           IF(OFFSET(PLE!$G$15,$M100-$A$15,DA$13)="",10^12,OFFSET(PLE!$G$15,$M100-$A$15,DA$13)))</f>
        <v>1000000000000</v>
      </c>
      <c r="DB100" s="354" t="n">
        <f aca="true">IF(OR($D100&lt;&gt;"Serviço",AND(AUTOEVENTO="Manual",$M100=$A$15),$M100&gt;(ROW(PLE.lastrow)-ROW(PLE.firstrow))),0,
           IF(OFFSET(PLE!$G$15,$M100-$A$15,DB$13)="",10^12,OFFSET(PLE!$G$15,$M100-$A$15,DB$13)))</f>
        <v>1000000000000</v>
      </c>
      <c r="DC100" s="354" t="n">
        <f aca="true">IF(OR($D100&lt;&gt;"Serviço",AND(AUTOEVENTO="Manual",$M100=$A$15),$M100&gt;(ROW(PLE.lastrow)-ROW(PLE.firstrow))),0,
           IF(OFFSET(PLE!$G$15,$M100-$A$15,DC$13)="",10^12,OFFSET(PLE!$G$15,$M100-$A$15,DC$13)))</f>
        <v>1000000000000</v>
      </c>
      <c r="DD100" s="354" t="n">
        <f aca="true">IF(OR($D100&lt;&gt;"Serviço",AND(AUTOEVENTO="Manual",$M100=$A$15),$M100&gt;(ROW(PLE.lastrow)-ROW(PLE.firstrow))),0,
           IF(OFFSET(PLE!$G$15,$M100-$A$15,DD$13)="",10^12,OFFSET(PLE!$G$15,$M100-$A$15,DD$13)))</f>
        <v>1000000000000</v>
      </c>
      <c r="DE100" s="354" t="n">
        <f aca="true">IF(OR($D100&lt;&gt;"Serviço",AND(AUTOEVENTO="Manual",$M100=$A$15),$M100&gt;(ROW(PLE.lastrow)-ROW(PLE.firstrow))),0,
           IF(OFFSET(PLE!$G$15,$M100-$A$15,DE$13)="",10^12,OFFSET(PLE!$G$15,$M100-$A$15,DE$13)))</f>
        <v>1000000000000</v>
      </c>
      <c r="DF100" s="354" t="n">
        <f aca="true">IF(OR($D100&lt;&gt;"Serviço",AND(AUTOEVENTO="Manual",$M100=$A$15),$M100&gt;(ROW(PLE.lastrow)-ROW(PLE.firstrow))),0,
           IF(OFFSET(PLE!$G$15,$M100-$A$15,DF$13)="",10^12,OFFSET(PLE!$G$15,$M100-$A$15,DF$13)))</f>
        <v>1000000000000</v>
      </c>
      <c r="DG100" s="354" t="n">
        <f aca="true">IF(OR($D100&lt;&gt;"Serviço",AND(AUTOEVENTO="Manual",$M100=$A$15),$M100&gt;(ROW(PLE.lastrow)-ROW(PLE.firstrow))),0,
           IF(OFFSET(PLE!$G$15,$M100-$A$15,DG$13)="",10^12,OFFSET(PLE!$G$15,$M100-$A$15,DG$13)))</f>
        <v>1000000000000</v>
      </c>
      <c r="DH100" s="354" t="n">
        <f aca="true">IF(OR($D100&lt;&gt;"Serviço",AND(AUTOEVENTO="Manual",$M100=$A$15),$M100&gt;(ROW(PLE.lastrow)-ROW(PLE.firstrow))),0,
           IF(OFFSET(PLE!$G$15,$M100-$A$15,DH$13)="",10^12,OFFSET(PLE!$G$15,$M100-$A$15,DH$13)))</f>
        <v>1000000000000</v>
      </c>
      <c r="DI100" s="354" t="n">
        <f aca="true">IF(OR($D100&lt;&gt;"Serviço",AND(AUTOEVENTO="Manual",$M100=$A$15),$M100&gt;(ROW(PLE.lastrow)-ROW(PLE.firstrow))),0,
           IF(OFFSET(PLE!$G$15,$M100-$A$15,DI$13)="",10^12,OFFSET(PLE!$G$15,$M100-$A$15,DI$13)))</f>
        <v>1000000000000</v>
      </c>
      <c r="DJ100" s="354" t="n">
        <f aca="true">IF(OR($D100&lt;&gt;"Serviço",AND(AUTOEVENTO="Manual",$M100=$A$15),$M100&gt;(ROW(PLE.lastrow)-ROW(PLE.firstrow))),0,
           IF(OFFSET(PLE!$G$15,$M100-$A$15,DJ$13)="",10^12,OFFSET(PLE!$G$15,$M100-$A$15,DJ$13)))</f>
        <v>1000000000000</v>
      </c>
      <c r="DK100" s="354" t="n">
        <f aca="true">IF(OR($D100&lt;&gt;"Serviço",AND(AUTOEVENTO="Manual",$M100=$A$15),$M100&gt;(ROW(PLE.lastrow)-ROW(PLE.firstrow))),0,
           IF(OFFSET(PLE!$G$15,$M100-$A$15,DK$13)="",10^12,OFFSET(PLE!$G$15,$M100-$A$15,DK$13)))</f>
        <v>1000000000000</v>
      </c>
      <c r="DL100" s="354" t="n">
        <f aca="true">IF(OR($D100&lt;&gt;"Serviço",AND(AUTOEVENTO="Manual",$M100=$A$15),$M100&gt;(ROW(PLE.lastrow)-ROW(PLE.firstrow))),0,
           IF(OFFSET(PLE!$G$15,$M100-$A$15,DL$13)="",10^12,OFFSET(PLE!$G$15,$M100-$A$15,DL$13)))</f>
        <v>1000000000000</v>
      </c>
      <c r="DM100" s="354" t="n">
        <f aca="true">IF(OR($D100&lt;&gt;"Serviço",AND(AUTOEVENTO="Manual",$M100=$A$15),$M100&gt;(ROW(PLE.lastrow)-ROW(PLE.firstrow))),0,
           IF(OFFSET(PLE!$G$15,$M100-$A$15,DM$13)="",10^12,OFFSET(PLE!$G$15,$M100-$A$15,DM$13)))</f>
        <v>1000000000000</v>
      </c>
      <c r="DN100" s="354" t="n">
        <f aca="true">IF(OR($D100&lt;&gt;"Serviço",AND(AUTOEVENTO="Manual",$M100=$A$15),$M100&gt;(ROW(PLE.lastrow)-ROW(PLE.firstrow))),0,
           IF(OFFSET(PLE!$G$15,$M100-$A$15,DN$13)="",10^12,OFFSET(PLE!$G$15,$M100-$A$15,DN$13)))</f>
        <v>1000000000000</v>
      </c>
      <c r="DO100" s="354" t="n">
        <f aca="true">IF(OR($D100&lt;&gt;"Serviço",AND(AUTOEVENTO="Manual",$M100=$A$15),$M100&gt;(ROW(PLE.lastrow)-ROW(PLE.firstrow))),0,
           IF(OFFSET(PLE!$G$15,$M100-$A$15,DO$13)="",10^12,OFFSET(PLE!$G$15,$M100-$A$15,DO$13)))</f>
        <v>1000000000000</v>
      </c>
      <c r="DP100" s="354" t="n">
        <f aca="true">IF(OR($D100&lt;&gt;"Serviço",AND(AUTOEVENTO="Manual",$M100=$A$15),$M100&gt;(ROW(PLE.lastrow)-ROW(PLE.firstrow))),0,
           IF(OFFSET(PLE!$G$15,$M100-$A$15,DP$13)="",10^12,OFFSET(PLE!$G$15,$M100-$A$15,DP$13)))</f>
        <v>1000000000000</v>
      </c>
      <c r="DQ100" s="354" t="n">
        <f aca="true">IF(OR($D100&lt;&gt;"Serviço",AND(AUTOEVENTO="Manual",$M100=$A$15),$M100&gt;(ROW(PLE.lastrow)-ROW(PLE.firstrow))),0,
           IF(OFFSET(PLE!$G$15,$M100-$A$15,DQ$13)="",10^12,OFFSET(PLE!$G$15,$M100-$A$15,DQ$13)))</f>
        <v>1000000000000</v>
      </c>
      <c r="DR100" s="354" t="n">
        <f aca="true">IF(OR($D100&lt;&gt;"Serviço",AND(AUTOEVENTO="Manual",$M100=$A$15),$M100&gt;(ROW(PLE.lastrow)-ROW(PLE.firstrow))),0,
           IF(OFFSET(PLE!$G$15,$M100-$A$15,DR$13)="",10^12,OFFSET(PLE!$G$15,$M100-$A$15,DR$13)))</f>
        <v>1000000000000</v>
      </c>
      <c r="DS100" s="354" t="n">
        <f aca="true">IF(OR($D100&lt;&gt;"Serviço",AND(AUTOEVENTO="Manual",$M100=$A$15),$M100&gt;(ROW(PLE.lastrow)-ROW(PLE.firstrow))),0,
           IF(OFFSET(PLE!$G$15,$M100-$A$15,DS$13)="",10^12,OFFSET(PLE!$G$15,$M100-$A$15,DS$13)))</f>
        <v>1000000000000</v>
      </c>
    </row>
    <row r="101" customFormat="false" ht="12.75" hidden="false" customHeight="false" outlineLevel="0" collapsed="false">
      <c r="A101" s="50" t="str">
        <f aca="true">IFERROR(IF(AUTOEVENTO="Manual",IF(K101&lt;&gt;"",MIN(VALUE(LEFT(K101,FIND(".",K101)-1)),COUNTA(EVENTOS.Lista)),0),IF(OR($B101&gt;AUTOEVENTO,$B101="S",$B101=0),SUBSTITUTE(OFFSET($A101,-1,0),IF($D101="Serviço",".",""),""),ROW(A101)-ROW($A$15)&amp;".")),0)</f>
        <v>86.</v>
      </c>
      <c r="B101" s="50" t="n">
        <f aca="true">OFFSET(ORÇAMENTO!C$15,ROW(B101)-ROW(B$15),0)</f>
        <v>2</v>
      </c>
      <c r="C101" s="50" t="str">
        <f aca="true">OFFSET(ORÇAMENTO!L$15,ROW(C101)-ROW(C$15),0)</f>
        <v>F</v>
      </c>
      <c r="D101" s="201" t="str">
        <f aca="true">OFFSET(ORÇAMENTO!N$15,ROW(D101)-ROW(D$15),0)</f>
        <v>Nível 2</v>
      </c>
      <c r="E101" s="202" t="str">
        <f aca="true">OFFSET(ORÇAMENTO!O$15,ROW(E101)-ROW(E$15),0)</f>
        <v>1.26.</v>
      </c>
      <c r="F101" s="341" t="str">
        <f aca="true">OFFSET(ORÇAMENTO!R$15,ROW(F101)-ROW(F$15),0)</f>
        <v>ESPECIAIS / ELEMENTOS FACHADA</v>
      </c>
      <c r="G101" s="342" t="str">
        <f aca="true">IF($D101&lt;&gt;"Serviço","",OFFSET(ORÇAMENTO!S$15,ROW(G101)-ROW(G$15),0))</f>
        <v/>
      </c>
      <c r="H101" s="207" t="n">
        <f aca="true">IF($D101&lt;&gt;"Serviço",0,IF(ACOMPANHAMENTO="BM",ROUND(OFFSET(ORÇAMENTO!AJ$15,ROW(H101)-ROW(H$15),0),15-13*ORÇAMENTO!$AF$7),SUMPRODUCT(($Q$1:$AQ$1=1)*ROUND($Q101:$AQ101,15-13*ORÇAMENTO!$AF$7))))</f>
        <v>0</v>
      </c>
      <c r="I101" s="343"/>
      <c r="J101" s="344" t="str">
        <f aca="false">IF(OR(B101&lt;&gt;"S",CÁLCULO.FrentesPreenchidas=0),"",IF(AND(ACOMPANHAMENTO="PLE",AUTOEVENTO="Manual",OR(H101&gt;0,ORÇAMENTO!AC101="QUANT."),OR(K101="",M101=0,N101="")),"►",IF(AND(ACOMPANHAMENTO="PLE",ORÇAMENTO!AC101="QUANT."),"►►",IF(AND(COUNTIF($P$11:$AQ$11,"▼")=0,H101&gt;0,I101=""),"◄",""))))</f>
        <v/>
      </c>
      <c r="K101" s="345"/>
      <c r="L101" s="346" t="s">
        <v>876</v>
      </c>
      <c r="M101" s="347" t="str">
        <f aca="true">IF($D101&lt;&gt;"Serviço","",
          IF(AUTOEVENTO="manual",$A101,
                IF(ISERROR(MATCH($A101,$A$15:OFFSET($A101,-1,0),0)),MAX($M$15:OFFSET(M101,-1,0))+1,
                      INDEX($M$15:OFFSET(M101,-1,0),MATCH($A101,$A$15:OFFSET($A101,-1,0),0)))))</f>
        <v/>
      </c>
      <c r="N101" s="348" t="str">
        <f aca="true">IF($D101&lt;&gt;"Serviço","",
         IF(AUTOEVENTO="Manual",
                IF($A101=0,"&lt;-- defina o número do agrupador",
                       OFFSET(EVENTOS!$D$15,$A101-$A$15,0)),
                OFFSET($F$15,$A101,0)))</f>
        <v/>
      </c>
      <c r="O101" s="349"/>
      <c r="Q101" s="349"/>
      <c r="R101" s="350"/>
      <c r="S101" s="350"/>
      <c r="T101" s="350"/>
      <c r="U101" s="350"/>
      <c r="V101" s="350"/>
      <c r="W101" s="350"/>
      <c r="X101" s="350"/>
      <c r="Y101" s="350"/>
      <c r="Z101" s="351"/>
      <c r="AA101" s="350"/>
      <c r="AB101" s="350"/>
      <c r="AC101" s="350"/>
      <c r="AD101" s="350"/>
      <c r="AE101" s="350"/>
      <c r="AF101" s="350"/>
      <c r="AG101" s="350"/>
      <c r="AH101" s="351"/>
      <c r="AI101" s="350"/>
      <c r="AJ101" s="350"/>
      <c r="AK101" s="350"/>
      <c r="AL101" s="350"/>
      <c r="AM101" s="350"/>
      <c r="AN101" s="350"/>
      <c r="AO101" s="350"/>
      <c r="AP101" s="351"/>
      <c r="AR101" s="352" t="n">
        <f aca="true">IF(AND($D101="Serviço",AR$12&lt;&gt;0,$H101&gt;0,OR(AUTOEVENTO&lt;&gt;"manual",$M101&lt;&gt;$A$15)),
        IF(Import.TipoArredondamento&lt;&gt;"TransfereGOV",
              ROUND(OFFSET($P101,0,AR$13),15-13*ORÇAMENTO!$AF$7)/$H101*OFFSET(ORÇAMENTO!$X$15,ROW(AR101)-ROW(AR$15),0),
              ROUND(ROUND(OFFSET($P101,0,AR$13),15-13*ORÇAMENTO!$AF$7)*OFFSET(ORÇAMENTO!$W$15,ROW(AR101)-ROW(AR$15),0),15-13*ORÇAMENTO!$AF$11)),
         0)</f>
        <v>0</v>
      </c>
      <c r="AS101" s="352" t="n">
        <f aca="true">IF(AND($D101="Serviço",AS$12&lt;&gt;0,$H101&gt;0,OR(AUTOEVENTO&lt;&gt;"manual",$M101&lt;&gt;$A$15)),
        IF(Import.TipoArredondamento&lt;&gt;"TransfereGOV",
              ROUND(OFFSET($P101,0,AS$13),15-13*ORÇAMENTO!$AF$7)/$H101*OFFSET(ORÇAMENTO!$X$15,ROW(AS101)-ROW(AS$15),0),
              ROUND(ROUND(OFFSET($P101,0,AS$13),15-13*ORÇAMENTO!$AF$7)*OFFSET(ORÇAMENTO!$W$15,ROW(AS101)-ROW(AS$15),0),15-13*ORÇAMENTO!$AF$11)),
         0)</f>
        <v>0</v>
      </c>
      <c r="AT101" s="352" t="n">
        <f aca="true">IF(AND($D101="Serviço",AT$12&lt;&gt;0,$H101&gt;0,OR(AUTOEVENTO&lt;&gt;"manual",$M101&lt;&gt;$A$15)),
        IF(Import.TipoArredondamento&lt;&gt;"TransfereGOV",
              ROUND(OFFSET($P101,0,AT$13),15-13*ORÇAMENTO!$AF$7)/$H101*OFFSET(ORÇAMENTO!$X$15,ROW(AT101)-ROW(AT$15),0),
              ROUND(ROUND(OFFSET($P101,0,AT$13),15-13*ORÇAMENTO!$AF$7)*OFFSET(ORÇAMENTO!$W$15,ROW(AT101)-ROW(AT$15),0),15-13*ORÇAMENTO!$AF$11)),
         0)</f>
        <v>0</v>
      </c>
      <c r="AU101" s="352" t="n">
        <f aca="true">IF(AND($D101="Serviço",AU$12&lt;&gt;0,$H101&gt;0,OR(AUTOEVENTO&lt;&gt;"manual",$M101&lt;&gt;$A$15)),
        IF(Import.TipoArredondamento&lt;&gt;"TransfereGOV",
              ROUND(OFFSET($P101,0,AU$13),15-13*ORÇAMENTO!$AF$7)/$H101*OFFSET(ORÇAMENTO!$X$15,ROW(AU101)-ROW(AU$15),0),
              ROUND(ROUND(OFFSET($P101,0,AU$13),15-13*ORÇAMENTO!$AF$7)*OFFSET(ORÇAMENTO!$W$15,ROW(AU101)-ROW(AU$15),0),15-13*ORÇAMENTO!$AF$11)),
         0)</f>
        <v>0</v>
      </c>
      <c r="AV101" s="352" t="n">
        <f aca="true">IF(AND($D101="Serviço",AV$12&lt;&gt;0,$H101&gt;0,OR(AUTOEVENTO&lt;&gt;"manual",$M101&lt;&gt;$A$15)),
        IF(Import.TipoArredondamento&lt;&gt;"TransfereGOV",
              ROUND(OFFSET($P101,0,AV$13),15-13*ORÇAMENTO!$AF$7)/$H101*OFFSET(ORÇAMENTO!$X$15,ROW(AV101)-ROW(AV$15),0),
              ROUND(ROUND(OFFSET($P101,0,AV$13),15-13*ORÇAMENTO!$AF$7)*OFFSET(ORÇAMENTO!$W$15,ROW(AV101)-ROW(AV$15),0),15-13*ORÇAMENTO!$AF$11)),
         0)</f>
        <v>0</v>
      </c>
      <c r="AW101" s="352" t="n">
        <f aca="true">IF(AND($D101="Serviço",AW$12&lt;&gt;0,$H101&gt;0,OR(AUTOEVENTO&lt;&gt;"manual",$M101&lt;&gt;$A$15)),
        IF(Import.TipoArredondamento&lt;&gt;"TransfereGOV",
              ROUND(OFFSET($P101,0,AW$13),15-13*ORÇAMENTO!$AF$7)/$H101*OFFSET(ORÇAMENTO!$X$15,ROW(AW101)-ROW(AW$15),0),
              ROUND(ROUND(OFFSET($P101,0,AW$13),15-13*ORÇAMENTO!$AF$7)*OFFSET(ORÇAMENTO!$W$15,ROW(AW101)-ROW(AW$15),0),15-13*ORÇAMENTO!$AF$11)),
         0)</f>
        <v>0</v>
      </c>
      <c r="AX101" s="352" t="n">
        <f aca="true">IF(AND($D101="Serviço",AX$12&lt;&gt;0,$H101&gt;0,OR(AUTOEVENTO&lt;&gt;"manual",$M101&lt;&gt;$A$15)),
        IF(Import.TipoArredondamento&lt;&gt;"TransfereGOV",
              ROUND(OFFSET($P101,0,AX$13),15-13*ORÇAMENTO!$AF$7)/$H101*OFFSET(ORÇAMENTO!$X$15,ROW(AX101)-ROW(AX$15),0),
              ROUND(ROUND(OFFSET($P101,0,AX$13),15-13*ORÇAMENTO!$AF$7)*OFFSET(ORÇAMENTO!$W$15,ROW(AX101)-ROW(AX$15),0),15-13*ORÇAMENTO!$AF$11)),
         0)</f>
        <v>0</v>
      </c>
      <c r="AY101" s="352" t="n">
        <f aca="true">IF(AND($D101="Serviço",AY$12&lt;&gt;0,$H101&gt;0,OR(AUTOEVENTO&lt;&gt;"manual",$M101&lt;&gt;$A$15)),
        IF(Import.TipoArredondamento&lt;&gt;"TransfereGOV",
              ROUND(OFFSET($P101,0,AY$13),15-13*ORÇAMENTO!$AF$7)/$H101*OFFSET(ORÇAMENTO!$X$15,ROW(AY101)-ROW(AY$15),0),
              ROUND(ROUND(OFFSET($P101,0,AY$13),15-13*ORÇAMENTO!$AF$7)*OFFSET(ORÇAMENTO!$W$15,ROW(AY101)-ROW(AY$15),0),15-13*ORÇAMENTO!$AF$11)),
         0)</f>
        <v>0</v>
      </c>
      <c r="AZ101" s="352" t="n">
        <f aca="true">IF(AND($D101="Serviço",AZ$12&lt;&gt;0,$H101&gt;0,OR(AUTOEVENTO&lt;&gt;"manual",$M101&lt;&gt;$A$15)),
        IF(Import.TipoArredondamento&lt;&gt;"TransfereGOV",
              ROUND(OFFSET($P101,0,AZ$13),15-13*ORÇAMENTO!$AF$7)/$H101*OFFSET(ORÇAMENTO!$X$15,ROW(AZ101)-ROW(AZ$15),0),
              ROUND(ROUND(OFFSET($P101,0,AZ$13),15-13*ORÇAMENTO!$AF$7)*OFFSET(ORÇAMENTO!$W$15,ROW(AZ101)-ROW(AZ$15),0),15-13*ORÇAMENTO!$AF$11)),
         0)</f>
        <v>0</v>
      </c>
      <c r="BA101" s="352" t="n">
        <f aca="true">IF(AND($D101="Serviço",BA$12&lt;&gt;0,$H101&gt;0,OR(AUTOEVENTO&lt;&gt;"manual",$M101&lt;&gt;$A$15)),
        IF(Import.TipoArredondamento&lt;&gt;"TransfereGOV",
              ROUND(OFFSET($P101,0,BA$13),15-13*ORÇAMENTO!$AF$7)/$H101*OFFSET(ORÇAMENTO!$X$15,ROW(BA101)-ROW(BA$15),0),
              ROUND(ROUND(OFFSET($P101,0,BA$13),15-13*ORÇAMENTO!$AF$7)*OFFSET(ORÇAMENTO!$W$15,ROW(BA101)-ROW(BA$15),0),15-13*ORÇAMENTO!$AF$11)),
         0)</f>
        <v>0</v>
      </c>
      <c r="BB101" s="352" t="n">
        <f aca="true">IF(AND($D101="Serviço",BB$12&lt;&gt;0,$H101&gt;0,OR(AUTOEVENTO&lt;&gt;"manual",$M101&lt;&gt;$A$15)),
        IF(Import.TipoArredondamento&lt;&gt;"TransfereGOV",
              ROUND(OFFSET($P101,0,BB$13),15-13*ORÇAMENTO!$AF$7)/$H101*OFFSET(ORÇAMENTO!$X$15,ROW(BB101)-ROW(BB$15),0),
              ROUND(ROUND(OFFSET($P101,0,BB$13),15-13*ORÇAMENTO!$AF$7)*OFFSET(ORÇAMENTO!$W$15,ROW(BB101)-ROW(BB$15),0),15-13*ORÇAMENTO!$AF$11)),
         0)</f>
        <v>0</v>
      </c>
      <c r="BC101" s="352" t="n">
        <f aca="true">IF(AND($D101="Serviço",BC$12&lt;&gt;0,$H101&gt;0,OR(AUTOEVENTO&lt;&gt;"manual",$M101&lt;&gt;$A$15)),
        IF(Import.TipoArredondamento&lt;&gt;"TransfereGOV",
              ROUND(OFFSET($P101,0,BC$13),15-13*ORÇAMENTO!$AF$7)/$H101*OFFSET(ORÇAMENTO!$X$15,ROW(BC101)-ROW(BC$15),0),
              ROUND(ROUND(OFFSET($P101,0,BC$13),15-13*ORÇAMENTO!$AF$7)*OFFSET(ORÇAMENTO!$W$15,ROW(BC101)-ROW(BC$15),0),15-13*ORÇAMENTO!$AF$11)),
         0)</f>
        <v>0</v>
      </c>
      <c r="BD101" s="352" t="n">
        <f aca="true">IF(AND($D101="Serviço",BD$12&lt;&gt;0,$H101&gt;0,OR(AUTOEVENTO&lt;&gt;"manual",$M101&lt;&gt;$A$15)),
        IF(Import.TipoArredondamento&lt;&gt;"TransfereGOV",
              ROUND(OFFSET($P101,0,BD$13),15-13*ORÇAMENTO!$AF$7)/$H101*OFFSET(ORÇAMENTO!$X$15,ROW(BD101)-ROW(BD$15),0),
              ROUND(ROUND(OFFSET($P101,0,BD$13),15-13*ORÇAMENTO!$AF$7)*OFFSET(ORÇAMENTO!$W$15,ROW(BD101)-ROW(BD$15),0),15-13*ORÇAMENTO!$AF$11)),
         0)</f>
        <v>0</v>
      </c>
      <c r="BE101" s="352" t="n">
        <f aca="true">IF(AND($D101="Serviço",BE$12&lt;&gt;0,$H101&gt;0,OR(AUTOEVENTO&lt;&gt;"manual",$M101&lt;&gt;$A$15)),
        IF(Import.TipoArredondamento&lt;&gt;"TransfereGOV",
              ROUND(OFFSET($P101,0,BE$13),15-13*ORÇAMENTO!$AF$7)/$H101*OFFSET(ORÇAMENTO!$X$15,ROW(BE101)-ROW(BE$15),0),
              ROUND(ROUND(OFFSET($P101,0,BE$13),15-13*ORÇAMENTO!$AF$7)*OFFSET(ORÇAMENTO!$W$15,ROW(BE101)-ROW(BE$15),0),15-13*ORÇAMENTO!$AF$11)),
         0)</f>
        <v>0</v>
      </c>
      <c r="BF101" s="352" t="n">
        <f aca="true">IF(AND($D101="Serviço",BF$12&lt;&gt;0,$H101&gt;0,OR(AUTOEVENTO&lt;&gt;"manual",$M101&lt;&gt;$A$15)),
        IF(Import.TipoArredondamento&lt;&gt;"TransfereGOV",
              ROUND(OFFSET($P101,0,BF$13),15-13*ORÇAMENTO!$AF$7)/$H101*OFFSET(ORÇAMENTO!$X$15,ROW(BF101)-ROW(BF$15),0),
              ROUND(ROUND(OFFSET($P101,0,BF$13),15-13*ORÇAMENTO!$AF$7)*OFFSET(ORÇAMENTO!$W$15,ROW(BF101)-ROW(BF$15),0),15-13*ORÇAMENTO!$AF$11)),
         0)</f>
        <v>0</v>
      </c>
      <c r="BG101" s="352" t="n">
        <f aca="true">IF(AND($D101="Serviço",BG$12&lt;&gt;0,$H101&gt;0,OR(AUTOEVENTO&lt;&gt;"manual",$M101&lt;&gt;$A$15)),
        IF(Import.TipoArredondamento&lt;&gt;"TransfereGOV",
              ROUND(OFFSET($P101,0,BG$13),15-13*ORÇAMENTO!$AF$7)/$H101*OFFSET(ORÇAMENTO!$X$15,ROW(BG101)-ROW(BG$15),0),
              ROUND(ROUND(OFFSET($P101,0,BG$13),15-13*ORÇAMENTO!$AF$7)*OFFSET(ORÇAMENTO!$W$15,ROW(BG101)-ROW(BG$15),0),15-13*ORÇAMENTO!$AF$11)),
         0)</f>
        <v>0</v>
      </c>
      <c r="BH101" s="352" t="n">
        <f aca="true">IF(AND($D101="Serviço",BH$12&lt;&gt;0,$H101&gt;0,OR(AUTOEVENTO&lt;&gt;"manual",$M101&lt;&gt;$A$15)),
        IF(Import.TipoArredondamento&lt;&gt;"TransfereGOV",
              ROUND(OFFSET($P101,0,BH$13),15-13*ORÇAMENTO!$AF$7)/$H101*OFFSET(ORÇAMENTO!$X$15,ROW(BH101)-ROW(BH$15),0),
              ROUND(ROUND(OFFSET($P101,0,BH$13),15-13*ORÇAMENTO!$AF$7)*OFFSET(ORÇAMENTO!$W$15,ROW(BH101)-ROW(BH$15),0),15-13*ORÇAMENTO!$AF$11)),
         0)</f>
        <v>0</v>
      </c>
      <c r="BI101" s="352" t="n">
        <f aca="true">IF(AND($D101="Serviço",BI$12&lt;&gt;0,$H101&gt;0,OR(AUTOEVENTO&lt;&gt;"manual",$M101&lt;&gt;$A$15)),
        IF(Import.TipoArredondamento&lt;&gt;"TransfereGOV",
              ROUND(OFFSET($P101,0,BI$13),15-13*ORÇAMENTO!$AF$7)/$H101*OFFSET(ORÇAMENTO!$X$15,ROW(BI101)-ROW(BI$15),0),
              ROUND(ROUND(OFFSET($P101,0,BI$13),15-13*ORÇAMENTO!$AF$7)*OFFSET(ORÇAMENTO!$W$15,ROW(BI101)-ROW(BI$15),0),15-13*ORÇAMENTO!$AF$11)),
         0)</f>
        <v>0</v>
      </c>
      <c r="BJ101" s="352" t="n">
        <f aca="true">IF(AND($D101="Serviço",BJ$12&lt;&gt;0,$H101&gt;0,OR(AUTOEVENTO&lt;&gt;"manual",$M101&lt;&gt;$A$15)),
        IF(Import.TipoArredondamento&lt;&gt;"TransfereGOV",
              ROUND(OFFSET($P101,0,BJ$13),15-13*ORÇAMENTO!$AF$7)/$H101*OFFSET(ORÇAMENTO!$X$15,ROW(BJ101)-ROW(BJ$15),0),
              ROUND(ROUND(OFFSET($P101,0,BJ$13),15-13*ORÇAMENTO!$AF$7)*OFFSET(ORÇAMENTO!$W$15,ROW(BJ101)-ROW(BJ$15),0),15-13*ORÇAMENTO!$AF$11)),
         0)</f>
        <v>0</v>
      </c>
      <c r="BK101" s="352" t="n">
        <f aca="true">IF(AND($D101="Serviço",BK$12&lt;&gt;0,$H101&gt;0,OR(AUTOEVENTO&lt;&gt;"manual",$M101&lt;&gt;$A$15)),
        IF(Import.TipoArredondamento&lt;&gt;"TransfereGOV",
              ROUND(OFFSET($P101,0,BK$13),15-13*ORÇAMENTO!$AF$7)/$H101*OFFSET(ORÇAMENTO!$X$15,ROW(BK101)-ROW(BK$15),0),
              ROUND(ROUND(OFFSET($P101,0,BK$13),15-13*ORÇAMENTO!$AF$7)*OFFSET(ORÇAMENTO!$W$15,ROW(BK101)-ROW(BK$15),0),15-13*ORÇAMENTO!$AF$11)),
         0)</f>
        <v>0</v>
      </c>
      <c r="BL101" s="352" t="n">
        <f aca="true">IF(AND($D101="Serviço",BL$12&lt;&gt;0,$H101&gt;0,OR(AUTOEVENTO&lt;&gt;"manual",$M101&lt;&gt;$A$15)),
        IF(Import.TipoArredondamento&lt;&gt;"TransfereGOV",
              ROUND(OFFSET($P101,0,BL$13),15-13*ORÇAMENTO!$AF$7)/$H101*OFFSET(ORÇAMENTO!$X$15,ROW(BL101)-ROW(BL$15),0),
              ROUND(ROUND(OFFSET($P101,0,BL$13),15-13*ORÇAMENTO!$AF$7)*OFFSET(ORÇAMENTO!$W$15,ROW(BL101)-ROW(BL$15),0),15-13*ORÇAMENTO!$AF$11)),
         0)</f>
        <v>0</v>
      </c>
      <c r="BM101" s="352" t="n">
        <f aca="true">IF(AND($D101="Serviço",BM$12&lt;&gt;0,$H101&gt;0,OR(AUTOEVENTO&lt;&gt;"manual",$M101&lt;&gt;$A$15)),
        IF(Import.TipoArredondamento&lt;&gt;"TransfereGOV",
              ROUND(OFFSET($P101,0,BM$13),15-13*ORÇAMENTO!$AF$7)/$H101*OFFSET(ORÇAMENTO!$X$15,ROW(BM101)-ROW(BM$15),0),
              ROUND(ROUND(OFFSET($P101,0,BM$13),15-13*ORÇAMENTO!$AF$7)*OFFSET(ORÇAMENTO!$W$15,ROW(BM101)-ROW(BM$15),0),15-13*ORÇAMENTO!$AF$11)),
         0)</f>
        <v>0</v>
      </c>
      <c r="BN101" s="352" t="n">
        <f aca="true">IF(AND($D101="Serviço",BN$12&lt;&gt;0,$H101&gt;0,OR(AUTOEVENTO&lt;&gt;"manual",$M101&lt;&gt;$A$15)),
        IF(Import.TipoArredondamento&lt;&gt;"TransfereGOV",
              ROUND(OFFSET($P101,0,BN$13),15-13*ORÇAMENTO!$AF$7)/$H101*OFFSET(ORÇAMENTO!$X$15,ROW(BN101)-ROW(BN$15),0),
              ROUND(ROUND(OFFSET($P101,0,BN$13),15-13*ORÇAMENTO!$AF$7)*OFFSET(ORÇAMENTO!$W$15,ROW(BN101)-ROW(BN$15),0),15-13*ORÇAMENTO!$AF$11)),
         0)</f>
        <v>0</v>
      </c>
      <c r="BO101" s="352" t="n">
        <f aca="true">IF(AND($D101="Serviço",BO$12&lt;&gt;0,$H101&gt;0,OR(AUTOEVENTO&lt;&gt;"manual",$M101&lt;&gt;$A$15)),
        IF(Import.TipoArredondamento&lt;&gt;"TransfereGOV",
              ROUND(OFFSET($P101,0,BO$13),15-13*ORÇAMENTO!$AF$7)/$H101*OFFSET(ORÇAMENTO!$X$15,ROW(BO101)-ROW(BO$15),0),
              ROUND(ROUND(OFFSET($P101,0,BO$13),15-13*ORÇAMENTO!$AF$7)*OFFSET(ORÇAMENTO!$W$15,ROW(BO101)-ROW(BO$15),0),15-13*ORÇAMENTO!$AF$11)),
         0)</f>
        <v>0</v>
      </c>
      <c r="BP101" s="352" t="n">
        <f aca="true">IF(AND($D101="Serviço",BP$12&lt;&gt;0,$H101&gt;0,OR(AUTOEVENTO&lt;&gt;"manual",$M101&lt;&gt;$A$15)),
        IF(Import.TipoArredondamento&lt;&gt;"TransfereGOV",
              ROUND(OFFSET($P101,0,BP$13),15-13*ORÇAMENTO!$AF$7)/$H101*OFFSET(ORÇAMENTO!$X$15,ROW(BP101)-ROW(BP$15),0),
              ROUND(ROUND(OFFSET($P101,0,BP$13),15-13*ORÇAMENTO!$AF$7)*OFFSET(ORÇAMENTO!$W$15,ROW(BP101)-ROW(BP$15),0),15-13*ORÇAMENTO!$AF$11)),
         0)</f>
        <v>0</v>
      </c>
      <c r="BQ101" s="352" t="n">
        <f aca="true">IF(AND($D101="Serviço",BQ$12&lt;&gt;0,$H101&gt;0,OR(AUTOEVENTO&lt;&gt;"manual",$M101&lt;&gt;$A$15)),
        IF(Import.TipoArredondamento&lt;&gt;"TransfereGOV",
              ROUND(OFFSET($P101,0,BQ$13),15-13*ORÇAMENTO!$AF$7)/$H101*OFFSET(ORÇAMENTO!$X$15,ROW(BQ101)-ROW(BQ$15),0),
              ROUND(ROUND(OFFSET($P101,0,BQ$13),15-13*ORÇAMENTO!$AF$7)*OFFSET(ORÇAMENTO!$W$15,ROW(BQ101)-ROW(BQ$15),0),15-13*ORÇAMENTO!$AF$11)),
         0)</f>
        <v>0</v>
      </c>
      <c r="BS101" s="353" t="n">
        <f aca="true">IF(OR($D101&lt;&gt;"Serviço",AND(AUTOEVENTO="Manual",$M101=$A$15)),0,
         IF(OFFSET(CRONOPLE!$F$15,$M101-$A$15,BS$13)=0,10^12,OFFSET(CRONOPLE!$F$15,$M101-$A$15,BS$13)))</f>
        <v>0</v>
      </c>
      <c r="BT101" s="353" t="n">
        <f aca="true">IF(OR($D101&lt;&gt;"Serviço",AND(AUTOEVENTO="Manual",$M101=$A$15)),0,
         IF(OFFSET(CRONOPLE!$F$15,$M101-$A$15,BT$13)=0,10^12,OFFSET(CRONOPLE!$F$15,$M101-$A$15,BT$13)))</f>
        <v>0</v>
      </c>
      <c r="BU101" s="353" t="n">
        <f aca="true">IF(OR($D101&lt;&gt;"Serviço",AND(AUTOEVENTO="Manual",$M101=$A$15)),0,
         IF(OFFSET(CRONOPLE!$F$15,$M101-$A$15,BU$13)=0,10^12,OFFSET(CRONOPLE!$F$15,$M101-$A$15,BU$13)))</f>
        <v>0</v>
      </c>
      <c r="BV101" s="353" t="n">
        <f aca="true">IF(OR($D101&lt;&gt;"Serviço",AND(AUTOEVENTO="Manual",$M101=$A$15)),0,
         IF(OFFSET(CRONOPLE!$F$15,$M101-$A$15,BV$13)=0,10^12,OFFSET(CRONOPLE!$F$15,$M101-$A$15,BV$13)))</f>
        <v>0</v>
      </c>
      <c r="BW101" s="353" t="n">
        <f aca="true">IF(OR($D101&lt;&gt;"Serviço",AND(AUTOEVENTO="Manual",$M101=$A$15)),0,
         IF(OFFSET(CRONOPLE!$F$15,$M101-$A$15,BW$13)=0,10^12,OFFSET(CRONOPLE!$F$15,$M101-$A$15,BW$13)))</f>
        <v>0</v>
      </c>
      <c r="BX101" s="353" t="n">
        <f aca="true">IF(OR($D101&lt;&gt;"Serviço",AND(AUTOEVENTO="Manual",$M101=$A$15)),0,
         IF(OFFSET(CRONOPLE!$F$15,$M101-$A$15,BX$13)=0,10^12,OFFSET(CRONOPLE!$F$15,$M101-$A$15,BX$13)))</f>
        <v>0</v>
      </c>
      <c r="BY101" s="353" t="n">
        <f aca="true">IF(OR($D101&lt;&gt;"Serviço",AND(AUTOEVENTO="Manual",$M101=$A$15)),0,
         IF(OFFSET(CRONOPLE!$F$15,$M101-$A$15,BY$13)=0,10^12,OFFSET(CRONOPLE!$F$15,$M101-$A$15,BY$13)))</f>
        <v>0</v>
      </c>
      <c r="BZ101" s="353" t="n">
        <f aca="true">IF(OR($D101&lt;&gt;"Serviço",AND(AUTOEVENTO="Manual",$M101=$A$15)),0,
         IF(OFFSET(CRONOPLE!$F$15,$M101-$A$15,BZ$13)=0,10^12,OFFSET(CRONOPLE!$F$15,$M101-$A$15,BZ$13)))</f>
        <v>0</v>
      </c>
      <c r="CA101" s="353" t="n">
        <f aca="true">IF(OR($D101&lt;&gt;"Serviço",AND(AUTOEVENTO="Manual",$M101=$A$15)),0,
         IF(OFFSET(CRONOPLE!$F$15,$M101-$A$15,CA$13)=0,10^12,OFFSET(CRONOPLE!$F$15,$M101-$A$15,CA$13)))</f>
        <v>0</v>
      </c>
      <c r="CB101" s="353" t="n">
        <f aca="true">IF(OR($D101&lt;&gt;"Serviço",AND(AUTOEVENTO="Manual",$M101=$A$15)),0,
         IF(OFFSET(CRONOPLE!$F$15,$M101-$A$15,CB$13)=0,10^12,OFFSET(CRONOPLE!$F$15,$M101-$A$15,CB$13)))</f>
        <v>0</v>
      </c>
      <c r="CC101" s="353" t="n">
        <f aca="true">IF(OR($D101&lt;&gt;"Serviço",AND(AUTOEVENTO="Manual",$M101=$A$15)),0,
         IF(OFFSET(CRONOPLE!$F$15,$M101-$A$15,CC$13)=0,10^12,OFFSET(CRONOPLE!$F$15,$M101-$A$15,CC$13)))</f>
        <v>0</v>
      </c>
      <c r="CD101" s="353" t="n">
        <f aca="true">IF(OR($D101&lt;&gt;"Serviço",AND(AUTOEVENTO="Manual",$M101=$A$15)),0,
         IF(OFFSET(CRONOPLE!$F$15,$M101-$A$15,CD$13)=0,10^12,OFFSET(CRONOPLE!$F$15,$M101-$A$15,CD$13)))</f>
        <v>0</v>
      </c>
      <c r="CE101" s="353" t="n">
        <f aca="true">IF(OR($D101&lt;&gt;"Serviço",AND(AUTOEVENTO="Manual",$M101=$A$15)),0,
         IF(OFFSET(CRONOPLE!$F$15,$M101-$A$15,CE$13)=0,10^12,OFFSET(CRONOPLE!$F$15,$M101-$A$15,CE$13)))</f>
        <v>0</v>
      </c>
      <c r="CF101" s="353" t="n">
        <f aca="true">IF(OR($D101&lt;&gt;"Serviço",AND(AUTOEVENTO="Manual",$M101=$A$15)),0,
         IF(OFFSET(CRONOPLE!$F$15,$M101-$A$15,CF$13)=0,10^12,OFFSET(CRONOPLE!$F$15,$M101-$A$15,CF$13)))</f>
        <v>0</v>
      </c>
      <c r="CG101" s="353" t="n">
        <f aca="true">IF(OR($D101&lt;&gt;"Serviço",AND(AUTOEVENTO="Manual",$M101=$A$15)),0,
         IF(OFFSET(CRONOPLE!$F$15,$M101-$A$15,CG$13)=0,10^12,OFFSET(CRONOPLE!$F$15,$M101-$A$15,CG$13)))</f>
        <v>0</v>
      </c>
      <c r="CH101" s="353" t="n">
        <f aca="true">IF(OR($D101&lt;&gt;"Serviço",AND(AUTOEVENTO="Manual",$M101=$A$15)),0,
         IF(OFFSET(CRONOPLE!$F$15,$M101-$A$15,CH$13)=0,10^12,OFFSET(CRONOPLE!$F$15,$M101-$A$15,CH$13)))</f>
        <v>0</v>
      </c>
      <c r="CI101" s="353" t="n">
        <f aca="true">IF(OR($D101&lt;&gt;"Serviço",AND(AUTOEVENTO="Manual",$M101=$A$15)),0,
         IF(OFFSET(CRONOPLE!$F$15,$M101-$A$15,CI$13)=0,10^12,OFFSET(CRONOPLE!$F$15,$M101-$A$15,CI$13)))</f>
        <v>0</v>
      </c>
      <c r="CJ101" s="353" t="n">
        <f aca="true">IF(OR($D101&lt;&gt;"Serviço",AND(AUTOEVENTO="Manual",$M101=$A$15)),0,
         IF(OFFSET(CRONOPLE!$F$15,$M101-$A$15,CJ$13)=0,10^12,OFFSET(CRONOPLE!$F$15,$M101-$A$15,CJ$13)))</f>
        <v>0</v>
      </c>
      <c r="CK101" s="353" t="n">
        <f aca="true">IF(OR($D101&lt;&gt;"Serviço",AND(AUTOEVENTO="Manual",$M101=$A$15)),0,
         IF(OFFSET(CRONOPLE!$F$15,$M101-$A$15,CK$13)=0,10^12,OFFSET(CRONOPLE!$F$15,$M101-$A$15,CK$13)))</f>
        <v>0</v>
      </c>
      <c r="CL101" s="353" t="n">
        <f aca="true">IF(OR($D101&lt;&gt;"Serviço",AND(AUTOEVENTO="Manual",$M101=$A$15)),0,
         IF(OFFSET(CRONOPLE!$F$15,$M101-$A$15,CL$13)=0,10^12,OFFSET(CRONOPLE!$F$15,$M101-$A$15,CL$13)))</f>
        <v>0</v>
      </c>
      <c r="CM101" s="353" t="n">
        <f aca="true">IF(OR($D101&lt;&gt;"Serviço",AND(AUTOEVENTO="Manual",$M101=$A$15)),0,
         IF(OFFSET(CRONOPLE!$F$15,$M101-$A$15,CM$13)=0,10^12,OFFSET(CRONOPLE!$F$15,$M101-$A$15,CM$13)))</f>
        <v>0</v>
      </c>
      <c r="CN101" s="353" t="n">
        <f aca="true">IF(OR($D101&lt;&gt;"Serviço",AND(AUTOEVENTO="Manual",$M101=$A$15)),0,
         IF(OFFSET(CRONOPLE!$F$15,$M101-$A$15,CN$13)=0,10^12,OFFSET(CRONOPLE!$F$15,$M101-$A$15,CN$13)))</f>
        <v>0</v>
      </c>
      <c r="CO101" s="353" t="n">
        <f aca="true">IF(OR($D101&lt;&gt;"Serviço",AND(AUTOEVENTO="Manual",$M101=$A$15)),0,
         IF(OFFSET(CRONOPLE!$F$15,$M101-$A$15,CO$13)=0,10^12,OFFSET(CRONOPLE!$F$15,$M101-$A$15,CO$13)))</f>
        <v>0</v>
      </c>
      <c r="CP101" s="353" t="n">
        <f aca="true">IF(OR($D101&lt;&gt;"Serviço",AND(AUTOEVENTO="Manual",$M101=$A$15)),0,
         IF(OFFSET(CRONOPLE!$F$15,$M101-$A$15,CP$13)=0,10^12,OFFSET(CRONOPLE!$F$15,$M101-$A$15,CP$13)))</f>
        <v>0</v>
      </c>
      <c r="CQ101" s="353" t="n">
        <f aca="true">IF(OR($D101&lt;&gt;"Serviço",AND(AUTOEVENTO="Manual",$M101=$A$15)),0,
         IF(OFFSET(CRONOPLE!$F$15,$M101-$A$15,CQ$13)=0,10^12,OFFSET(CRONOPLE!$F$15,$M101-$A$15,CQ$13)))</f>
        <v>0</v>
      </c>
      <c r="CR101" s="353" t="n">
        <f aca="true">IF(OR($D101&lt;&gt;"Serviço",AND(AUTOEVENTO="Manual",$M101=$A$15)),0,
         IF(OFFSET(CRONOPLE!$F$15,$M101-$A$15,CR$13)=0,10^12,OFFSET(CRONOPLE!$F$15,$M101-$A$15,CR$13)))</f>
        <v>0</v>
      </c>
      <c r="CT101" s="354" t="n">
        <f aca="true">IF(OR($D101&lt;&gt;"Serviço",AND(AUTOEVENTO="Manual",$M101=$A$15),$M101&gt;(ROW(PLE.lastrow)-ROW(PLE.firstrow))),0,
           IF(OFFSET(PLE!$G$15,$M101-$A$15,CT$13)="",10^12,OFFSET(PLE!$G$15,$M101-$A$15,CT$13)))</f>
        <v>0</v>
      </c>
      <c r="CU101" s="354" t="n">
        <f aca="true">IF(OR($D101&lt;&gt;"Serviço",AND(AUTOEVENTO="Manual",$M101=$A$15),$M101&gt;(ROW(PLE.lastrow)-ROW(PLE.firstrow))),0,
           IF(OFFSET(PLE!$G$15,$M101-$A$15,CU$13)="",10^12,OFFSET(PLE!$G$15,$M101-$A$15,CU$13)))</f>
        <v>0</v>
      </c>
      <c r="CV101" s="354" t="n">
        <f aca="true">IF(OR($D101&lt;&gt;"Serviço",AND(AUTOEVENTO="Manual",$M101=$A$15),$M101&gt;(ROW(PLE.lastrow)-ROW(PLE.firstrow))),0,
           IF(OFFSET(PLE!$G$15,$M101-$A$15,CV$13)="",10^12,OFFSET(PLE!$G$15,$M101-$A$15,CV$13)))</f>
        <v>0</v>
      </c>
      <c r="CW101" s="354" t="n">
        <f aca="true">IF(OR($D101&lt;&gt;"Serviço",AND(AUTOEVENTO="Manual",$M101=$A$15),$M101&gt;(ROW(PLE.lastrow)-ROW(PLE.firstrow))),0,
           IF(OFFSET(PLE!$G$15,$M101-$A$15,CW$13)="",10^12,OFFSET(PLE!$G$15,$M101-$A$15,CW$13)))</f>
        <v>0</v>
      </c>
      <c r="CX101" s="354" t="n">
        <f aca="true">IF(OR($D101&lt;&gt;"Serviço",AND(AUTOEVENTO="Manual",$M101=$A$15),$M101&gt;(ROW(PLE.lastrow)-ROW(PLE.firstrow))),0,
           IF(OFFSET(PLE!$G$15,$M101-$A$15,CX$13)="",10^12,OFFSET(PLE!$G$15,$M101-$A$15,CX$13)))</f>
        <v>0</v>
      </c>
      <c r="CY101" s="354" t="n">
        <f aca="true">IF(OR($D101&lt;&gt;"Serviço",AND(AUTOEVENTO="Manual",$M101=$A$15),$M101&gt;(ROW(PLE.lastrow)-ROW(PLE.firstrow))),0,
           IF(OFFSET(PLE!$G$15,$M101-$A$15,CY$13)="",10^12,OFFSET(PLE!$G$15,$M101-$A$15,CY$13)))</f>
        <v>0</v>
      </c>
      <c r="CZ101" s="354" t="n">
        <f aca="true">IF(OR($D101&lt;&gt;"Serviço",AND(AUTOEVENTO="Manual",$M101=$A$15),$M101&gt;(ROW(PLE.lastrow)-ROW(PLE.firstrow))),0,
           IF(OFFSET(PLE!$G$15,$M101-$A$15,CZ$13)="",10^12,OFFSET(PLE!$G$15,$M101-$A$15,CZ$13)))</f>
        <v>0</v>
      </c>
      <c r="DA101" s="354" t="n">
        <f aca="true">IF(OR($D101&lt;&gt;"Serviço",AND(AUTOEVENTO="Manual",$M101=$A$15),$M101&gt;(ROW(PLE.lastrow)-ROW(PLE.firstrow))),0,
           IF(OFFSET(PLE!$G$15,$M101-$A$15,DA$13)="",10^12,OFFSET(PLE!$G$15,$M101-$A$15,DA$13)))</f>
        <v>0</v>
      </c>
      <c r="DB101" s="354" t="n">
        <f aca="true">IF(OR($D101&lt;&gt;"Serviço",AND(AUTOEVENTO="Manual",$M101=$A$15),$M101&gt;(ROW(PLE.lastrow)-ROW(PLE.firstrow))),0,
           IF(OFFSET(PLE!$G$15,$M101-$A$15,DB$13)="",10^12,OFFSET(PLE!$G$15,$M101-$A$15,DB$13)))</f>
        <v>0</v>
      </c>
      <c r="DC101" s="354" t="n">
        <f aca="true">IF(OR($D101&lt;&gt;"Serviço",AND(AUTOEVENTO="Manual",$M101=$A$15),$M101&gt;(ROW(PLE.lastrow)-ROW(PLE.firstrow))),0,
           IF(OFFSET(PLE!$G$15,$M101-$A$15,DC$13)="",10^12,OFFSET(PLE!$G$15,$M101-$A$15,DC$13)))</f>
        <v>0</v>
      </c>
      <c r="DD101" s="354" t="n">
        <f aca="true">IF(OR($D101&lt;&gt;"Serviço",AND(AUTOEVENTO="Manual",$M101=$A$15),$M101&gt;(ROW(PLE.lastrow)-ROW(PLE.firstrow))),0,
           IF(OFFSET(PLE!$G$15,$M101-$A$15,DD$13)="",10^12,OFFSET(PLE!$G$15,$M101-$A$15,DD$13)))</f>
        <v>0</v>
      </c>
      <c r="DE101" s="354" t="n">
        <f aca="true">IF(OR($D101&lt;&gt;"Serviço",AND(AUTOEVENTO="Manual",$M101=$A$15),$M101&gt;(ROW(PLE.lastrow)-ROW(PLE.firstrow))),0,
           IF(OFFSET(PLE!$G$15,$M101-$A$15,DE$13)="",10^12,OFFSET(PLE!$G$15,$M101-$A$15,DE$13)))</f>
        <v>0</v>
      </c>
      <c r="DF101" s="354" t="n">
        <f aca="true">IF(OR($D101&lt;&gt;"Serviço",AND(AUTOEVENTO="Manual",$M101=$A$15),$M101&gt;(ROW(PLE.lastrow)-ROW(PLE.firstrow))),0,
           IF(OFFSET(PLE!$G$15,$M101-$A$15,DF$13)="",10^12,OFFSET(PLE!$G$15,$M101-$A$15,DF$13)))</f>
        <v>0</v>
      </c>
      <c r="DG101" s="354" t="n">
        <f aca="true">IF(OR($D101&lt;&gt;"Serviço",AND(AUTOEVENTO="Manual",$M101=$A$15),$M101&gt;(ROW(PLE.lastrow)-ROW(PLE.firstrow))),0,
           IF(OFFSET(PLE!$G$15,$M101-$A$15,DG$13)="",10^12,OFFSET(PLE!$G$15,$M101-$A$15,DG$13)))</f>
        <v>0</v>
      </c>
      <c r="DH101" s="354" t="n">
        <f aca="true">IF(OR($D101&lt;&gt;"Serviço",AND(AUTOEVENTO="Manual",$M101=$A$15),$M101&gt;(ROW(PLE.lastrow)-ROW(PLE.firstrow))),0,
           IF(OFFSET(PLE!$G$15,$M101-$A$15,DH$13)="",10^12,OFFSET(PLE!$G$15,$M101-$A$15,DH$13)))</f>
        <v>0</v>
      </c>
      <c r="DI101" s="354" t="n">
        <f aca="true">IF(OR($D101&lt;&gt;"Serviço",AND(AUTOEVENTO="Manual",$M101=$A$15),$M101&gt;(ROW(PLE.lastrow)-ROW(PLE.firstrow))),0,
           IF(OFFSET(PLE!$G$15,$M101-$A$15,DI$13)="",10^12,OFFSET(PLE!$G$15,$M101-$A$15,DI$13)))</f>
        <v>0</v>
      </c>
      <c r="DJ101" s="354" t="n">
        <f aca="true">IF(OR($D101&lt;&gt;"Serviço",AND(AUTOEVENTO="Manual",$M101=$A$15),$M101&gt;(ROW(PLE.lastrow)-ROW(PLE.firstrow))),0,
           IF(OFFSET(PLE!$G$15,$M101-$A$15,DJ$13)="",10^12,OFFSET(PLE!$G$15,$M101-$A$15,DJ$13)))</f>
        <v>0</v>
      </c>
      <c r="DK101" s="354" t="n">
        <f aca="true">IF(OR($D101&lt;&gt;"Serviço",AND(AUTOEVENTO="Manual",$M101=$A$15),$M101&gt;(ROW(PLE.lastrow)-ROW(PLE.firstrow))),0,
           IF(OFFSET(PLE!$G$15,$M101-$A$15,DK$13)="",10^12,OFFSET(PLE!$G$15,$M101-$A$15,DK$13)))</f>
        <v>0</v>
      </c>
      <c r="DL101" s="354" t="n">
        <f aca="true">IF(OR($D101&lt;&gt;"Serviço",AND(AUTOEVENTO="Manual",$M101=$A$15),$M101&gt;(ROW(PLE.lastrow)-ROW(PLE.firstrow))),0,
           IF(OFFSET(PLE!$G$15,$M101-$A$15,DL$13)="",10^12,OFFSET(PLE!$G$15,$M101-$A$15,DL$13)))</f>
        <v>0</v>
      </c>
      <c r="DM101" s="354" t="n">
        <f aca="true">IF(OR($D101&lt;&gt;"Serviço",AND(AUTOEVENTO="Manual",$M101=$A$15),$M101&gt;(ROW(PLE.lastrow)-ROW(PLE.firstrow))),0,
           IF(OFFSET(PLE!$G$15,$M101-$A$15,DM$13)="",10^12,OFFSET(PLE!$G$15,$M101-$A$15,DM$13)))</f>
        <v>0</v>
      </c>
      <c r="DN101" s="354" t="n">
        <f aca="true">IF(OR($D101&lt;&gt;"Serviço",AND(AUTOEVENTO="Manual",$M101=$A$15),$M101&gt;(ROW(PLE.lastrow)-ROW(PLE.firstrow))),0,
           IF(OFFSET(PLE!$G$15,$M101-$A$15,DN$13)="",10^12,OFFSET(PLE!$G$15,$M101-$A$15,DN$13)))</f>
        <v>0</v>
      </c>
      <c r="DO101" s="354" t="n">
        <f aca="true">IF(OR($D101&lt;&gt;"Serviço",AND(AUTOEVENTO="Manual",$M101=$A$15),$M101&gt;(ROW(PLE.lastrow)-ROW(PLE.firstrow))),0,
           IF(OFFSET(PLE!$G$15,$M101-$A$15,DO$13)="",10^12,OFFSET(PLE!$G$15,$M101-$A$15,DO$13)))</f>
        <v>0</v>
      </c>
      <c r="DP101" s="354" t="n">
        <f aca="true">IF(OR($D101&lt;&gt;"Serviço",AND(AUTOEVENTO="Manual",$M101=$A$15),$M101&gt;(ROW(PLE.lastrow)-ROW(PLE.firstrow))),0,
           IF(OFFSET(PLE!$G$15,$M101-$A$15,DP$13)="",10^12,OFFSET(PLE!$G$15,$M101-$A$15,DP$13)))</f>
        <v>0</v>
      </c>
      <c r="DQ101" s="354" t="n">
        <f aca="true">IF(OR($D101&lt;&gt;"Serviço",AND(AUTOEVENTO="Manual",$M101=$A$15),$M101&gt;(ROW(PLE.lastrow)-ROW(PLE.firstrow))),0,
           IF(OFFSET(PLE!$G$15,$M101-$A$15,DQ$13)="",10^12,OFFSET(PLE!$G$15,$M101-$A$15,DQ$13)))</f>
        <v>0</v>
      </c>
      <c r="DR101" s="354" t="n">
        <f aca="true">IF(OR($D101&lt;&gt;"Serviço",AND(AUTOEVENTO="Manual",$M101=$A$15),$M101&gt;(ROW(PLE.lastrow)-ROW(PLE.firstrow))),0,
           IF(OFFSET(PLE!$G$15,$M101-$A$15,DR$13)="",10^12,OFFSET(PLE!$G$15,$M101-$A$15,DR$13)))</f>
        <v>0</v>
      </c>
      <c r="DS101" s="354" t="n">
        <f aca="true">IF(OR($D101&lt;&gt;"Serviço",AND(AUTOEVENTO="Manual",$M101=$A$15),$M101&gt;(ROW(PLE.lastrow)-ROW(PLE.firstrow))),0,
           IF(OFFSET(PLE!$G$15,$M101-$A$15,DS$13)="",10^12,OFFSET(PLE!$G$15,$M101-$A$15,DS$13)))</f>
        <v>0</v>
      </c>
    </row>
    <row r="102" customFormat="false" ht="12.75" hidden="false" customHeight="false" outlineLevel="0" collapsed="false">
      <c r="A102" s="50" t="str">
        <f aca="true">IFERROR(IF(AUTOEVENTO="Manual",IF(K102&lt;&gt;"",MIN(VALUE(LEFT(K102,FIND(".",K102)-1)),COUNTA(EVENTOS.Lista)),0),IF(OR($B102&gt;AUTOEVENTO,$B102="S",$B102=0),SUBSTITUTE(OFFSET($A102,-1,0),IF($D102="Serviço",".",""),""),ROW(A102)-ROW($A$15)&amp;".")),0)</f>
        <v>87.</v>
      </c>
      <c r="B102" s="50" t="n">
        <f aca="true">OFFSET(ORÇAMENTO!C$15,ROW(B102)-ROW(B$15),0)</f>
        <v>2</v>
      </c>
      <c r="C102" s="50" t="str">
        <f aca="true">OFFSET(ORÇAMENTO!L$15,ROW(C102)-ROW(C$15),0)</f>
        <v>F</v>
      </c>
      <c r="D102" s="201" t="str">
        <f aca="true">OFFSET(ORÇAMENTO!N$15,ROW(D102)-ROW(D$15),0)</f>
        <v>Nível 2</v>
      </c>
      <c r="E102" s="202" t="str">
        <f aca="true">OFFSET(ORÇAMENTO!O$15,ROW(E102)-ROW(E$15),0)</f>
        <v>1.27.</v>
      </c>
      <c r="F102" s="341" t="str">
        <f aca="true">OFFSET(ORÇAMENTO!R$15,ROW(F102)-ROW(F$15),0)</f>
        <v>PAVIMENTAÇÕES</v>
      </c>
      <c r="G102" s="342" t="str">
        <f aca="true">IF($D102&lt;&gt;"Serviço","",OFFSET(ORÇAMENTO!S$15,ROW(G102)-ROW(G$15),0))</f>
        <v/>
      </c>
      <c r="H102" s="207" t="n">
        <f aca="true">IF($D102&lt;&gt;"Serviço",0,IF(ACOMPANHAMENTO="BM",ROUND(OFFSET(ORÇAMENTO!AJ$15,ROW(H102)-ROW(H$15),0),15-13*ORÇAMENTO!$AF$7),SUMPRODUCT(($Q$1:$AQ$1=1)*ROUND($Q102:$AQ102,15-13*ORÇAMENTO!$AF$7))))</f>
        <v>0</v>
      </c>
      <c r="I102" s="343"/>
      <c r="J102" s="344" t="str">
        <f aca="false">IF(OR(B102&lt;&gt;"S",CÁLCULO.FrentesPreenchidas=0),"",IF(AND(ACOMPANHAMENTO="PLE",AUTOEVENTO="Manual",OR(H102&gt;0,ORÇAMENTO!AC102="QUANT."),OR(K102="",M102=0,N102="")),"►",IF(AND(ACOMPANHAMENTO="PLE",ORÇAMENTO!AC102="QUANT."),"►►",IF(AND(COUNTIF($P$11:$AQ$11,"▼")=0,H102&gt;0,I102=""),"◄",""))))</f>
        <v/>
      </c>
      <c r="K102" s="345"/>
      <c r="L102" s="346" t="s">
        <v>876</v>
      </c>
      <c r="M102" s="347" t="str">
        <f aca="true">IF($D102&lt;&gt;"Serviço","",
          IF(AUTOEVENTO="manual",$A102,
                IF(ISERROR(MATCH($A102,$A$15:OFFSET($A102,-1,0),0)),MAX($M$15:OFFSET(M102,-1,0))+1,
                      INDEX($M$15:OFFSET(M102,-1,0),MATCH($A102,$A$15:OFFSET($A102,-1,0),0)))))</f>
        <v/>
      </c>
      <c r="N102" s="348" t="str">
        <f aca="true">IF($D102&lt;&gt;"Serviço","",
         IF(AUTOEVENTO="Manual",
                IF($A102=0,"&lt;-- defina o número do agrupador",
                       OFFSET(EVENTOS!$D$15,$A102-$A$15,0)),
                OFFSET($F$15,$A102,0)))</f>
        <v/>
      </c>
      <c r="O102" s="349"/>
      <c r="Q102" s="349" t="n">
        <v>3</v>
      </c>
      <c r="R102" s="350" t="n">
        <v>3</v>
      </c>
      <c r="S102" s="350" t="n">
        <v>3</v>
      </c>
      <c r="T102" s="350" t="n">
        <v>3</v>
      </c>
      <c r="U102" s="350" t="n">
        <v>3</v>
      </c>
      <c r="V102" s="350" t="n">
        <v>3</v>
      </c>
      <c r="W102" s="350" t="n">
        <v>3</v>
      </c>
      <c r="X102" s="350" t="n">
        <v>3</v>
      </c>
      <c r="Y102" s="350" t="n">
        <v>3</v>
      </c>
      <c r="Z102" s="351" t="n">
        <v>3</v>
      </c>
      <c r="AA102" s="350" t="n">
        <v>3</v>
      </c>
      <c r="AB102" s="350" t="n">
        <v>3</v>
      </c>
      <c r="AC102" s="350" t="n">
        <v>3</v>
      </c>
      <c r="AD102" s="350" t="n">
        <v>3</v>
      </c>
      <c r="AE102" s="350" t="n">
        <v>3</v>
      </c>
      <c r="AF102" s="350" t="n">
        <v>3</v>
      </c>
      <c r="AG102" s="350" t="n">
        <v>3</v>
      </c>
      <c r="AH102" s="351" t="n">
        <v>3</v>
      </c>
      <c r="AI102" s="350" t="n">
        <v>3</v>
      </c>
      <c r="AJ102" s="350" t="n">
        <v>3</v>
      </c>
      <c r="AK102" s="350" t="n">
        <v>3</v>
      </c>
      <c r="AL102" s="350" t="n">
        <v>3</v>
      </c>
      <c r="AM102" s="350" t="n">
        <v>3</v>
      </c>
      <c r="AN102" s="350" t="n">
        <v>3</v>
      </c>
      <c r="AO102" s="350" t="n">
        <v>3</v>
      </c>
      <c r="AP102" s="351"/>
      <c r="AR102" s="352" t="n">
        <f aca="true">IF(AND($D102="Serviço",AR$12&lt;&gt;0,$H102&gt;0,OR(AUTOEVENTO&lt;&gt;"manual",$M102&lt;&gt;$A$15)),
        IF(Import.TipoArredondamento&lt;&gt;"TransfereGOV",
              ROUND(OFFSET($P102,0,AR$13),15-13*ORÇAMENTO!$AF$7)/$H102*OFFSET(ORÇAMENTO!$X$15,ROW(AR102)-ROW(AR$15),0),
              ROUND(ROUND(OFFSET($P102,0,AR$13),15-13*ORÇAMENTO!$AF$7)*OFFSET(ORÇAMENTO!$W$15,ROW(AR102)-ROW(AR$15),0),15-13*ORÇAMENTO!$AF$11)),
         0)</f>
        <v>0</v>
      </c>
      <c r="AS102" s="352" t="n">
        <f aca="true">IF(AND($D102="Serviço",AS$12&lt;&gt;0,$H102&gt;0,OR(AUTOEVENTO&lt;&gt;"manual",$M102&lt;&gt;$A$15)),
        IF(Import.TipoArredondamento&lt;&gt;"TransfereGOV",
              ROUND(OFFSET($P102,0,AS$13),15-13*ORÇAMENTO!$AF$7)/$H102*OFFSET(ORÇAMENTO!$X$15,ROW(AS102)-ROW(AS$15),0),
              ROUND(ROUND(OFFSET($P102,0,AS$13),15-13*ORÇAMENTO!$AF$7)*OFFSET(ORÇAMENTO!$W$15,ROW(AS102)-ROW(AS$15),0),15-13*ORÇAMENTO!$AF$11)),
         0)</f>
        <v>0</v>
      </c>
      <c r="AT102" s="352" t="n">
        <f aca="true">IF(AND($D102="Serviço",AT$12&lt;&gt;0,$H102&gt;0,OR(AUTOEVENTO&lt;&gt;"manual",$M102&lt;&gt;$A$15)),
        IF(Import.TipoArredondamento&lt;&gt;"TransfereGOV",
              ROUND(OFFSET($P102,0,AT$13),15-13*ORÇAMENTO!$AF$7)/$H102*OFFSET(ORÇAMENTO!$X$15,ROW(AT102)-ROW(AT$15),0),
              ROUND(ROUND(OFFSET($P102,0,AT$13),15-13*ORÇAMENTO!$AF$7)*OFFSET(ORÇAMENTO!$W$15,ROW(AT102)-ROW(AT$15),0),15-13*ORÇAMENTO!$AF$11)),
         0)</f>
        <v>0</v>
      </c>
      <c r="AU102" s="352" t="n">
        <f aca="true">IF(AND($D102="Serviço",AU$12&lt;&gt;0,$H102&gt;0,OR(AUTOEVENTO&lt;&gt;"manual",$M102&lt;&gt;$A$15)),
        IF(Import.TipoArredondamento&lt;&gt;"TransfereGOV",
              ROUND(OFFSET($P102,0,AU$13),15-13*ORÇAMENTO!$AF$7)/$H102*OFFSET(ORÇAMENTO!$X$15,ROW(AU102)-ROW(AU$15),0),
              ROUND(ROUND(OFFSET($P102,0,AU$13),15-13*ORÇAMENTO!$AF$7)*OFFSET(ORÇAMENTO!$W$15,ROW(AU102)-ROW(AU$15),0),15-13*ORÇAMENTO!$AF$11)),
         0)</f>
        <v>0</v>
      </c>
      <c r="AV102" s="352" t="n">
        <f aca="true">IF(AND($D102="Serviço",AV$12&lt;&gt;0,$H102&gt;0,OR(AUTOEVENTO&lt;&gt;"manual",$M102&lt;&gt;$A$15)),
        IF(Import.TipoArredondamento&lt;&gt;"TransfereGOV",
              ROUND(OFFSET($P102,0,AV$13),15-13*ORÇAMENTO!$AF$7)/$H102*OFFSET(ORÇAMENTO!$X$15,ROW(AV102)-ROW(AV$15),0),
              ROUND(ROUND(OFFSET($P102,0,AV$13),15-13*ORÇAMENTO!$AF$7)*OFFSET(ORÇAMENTO!$W$15,ROW(AV102)-ROW(AV$15),0),15-13*ORÇAMENTO!$AF$11)),
         0)</f>
        <v>0</v>
      </c>
      <c r="AW102" s="352" t="n">
        <f aca="true">IF(AND($D102="Serviço",AW$12&lt;&gt;0,$H102&gt;0,OR(AUTOEVENTO&lt;&gt;"manual",$M102&lt;&gt;$A$15)),
        IF(Import.TipoArredondamento&lt;&gt;"TransfereGOV",
              ROUND(OFFSET($P102,0,AW$13),15-13*ORÇAMENTO!$AF$7)/$H102*OFFSET(ORÇAMENTO!$X$15,ROW(AW102)-ROW(AW$15),0),
              ROUND(ROUND(OFFSET($P102,0,AW$13),15-13*ORÇAMENTO!$AF$7)*OFFSET(ORÇAMENTO!$W$15,ROW(AW102)-ROW(AW$15),0),15-13*ORÇAMENTO!$AF$11)),
         0)</f>
        <v>0</v>
      </c>
      <c r="AX102" s="352" t="n">
        <f aca="true">IF(AND($D102="Serviço",AX$12&lt;&gt;0,$H102&gt;0,OR(AUTOEVENTO&lt;&gt;"manual",$M102&lt;&gt;$A$15)),
        IF(Import.TipoArredondamento&lt;&gt;"TransfereGOV",
              ROUND(OFFSET($P102,0,AX$13),15-13*ORÇAMENTO!$AF$7)/$H102*OFFSET(ORÇAMENTO!$X$15,ROW(AX102)-ROW(AX$15),0),
              ROUND(ROUND(OFFSET($P102,0,AX$13),15-13*ORÇAMENTO!$AF$7)*OFFSET(ORÇAMENTO!$W$15,ROW(AX102)-ROW(AX$15),0),15-13*ORÇAMENTO!$AF$11)),
         0)</f>
        <v>0</v>
      </c>
      <c r="AY102" s="352" t="n">
        <f aca="true">IF(AND($D102="Serviço",AY$12&lt;&gt;0,$H102&gt;0,OR(AUTOEVENTO&lt;&gt;"manual",$M102&lt;&gt;$A$15)),
        IF(Import.TipoArredondamento&lt;&gt;"TransfereGOV",
              ROUND(OFFSET($P102,0,AY$13),15-13*ORÇAMENTO!$AF$7)/$H102*OFFSET(ORÇAMENTO!$X$15,ROW(AY102)-ROW(AY$15),0),
              ROUND(ROUND(OFFSET($P102,0,AY$13),15-13*ORÇAMENTO!$AF$7)*OFFSET(ORÇAMENTO!$W$15,ROW(AY102)-ROW(AY$15),0),15-13*ORÇAMENTO!$AF$11)),
         0)</f>
        <v>0</v>
      </c>
      <c r="AZ102" s="352" t="n">
        <f aca="true">IF(AND($D102="Serviço",AZ$12&lt;&gt;0,$H102&gt;0,OR(AUTOEVENTO&lt;&gt;"manual",$M102&lt;&gt;$A$15)),
        IF(Import.TipoArredondamento&lt;&gt;"TransfereGOV",
              ROUND(OFFSET($P102,0,AZ$13),15-13*ORÇAMENTO!$AF$7)/$H102*OFFSET(ORÇAMENTO!$X$15,ROW(AZ102)-ROW(AZ$15),0),
              ROUND(ROUND(OFFSET($P102,0,AZ$13),15-13*ORÇAMENTO!$AF$7)*OFFSET(ORÇAMENTO!$W$15,ROW(AZ102)-ROW(AZ$15),0),15-13*ORÇAMENTO!$AF$11)),
         0)</f>
        <v>0</v>
      </c>
      <c r="BA102" s="352" t="n">
        <f aca="true">IF(AND($D102="Serviço",BA$12&lt;&gt;0,$H102&gt;0,OR(AUTOEVENTO&lt;&gt;"manual",$M102&lt;&gt;$A$15)),
        IF(Import.TipoArredondamento&lt;&gt;"TransfereGOV",
              ROUND(OFFSET($P102,0,BA$13),15-13*ORÇAMENTO!$AF$7)/$H102*OFFSET(ORÇAMENTO!$X$15,ROW(BA102)-ROW(BA$15),0),
              ROUND(ROUND(OFFSET($P102,0,BA$13),15-13*ORÇAMENTO!$AF$7)*OFFSET(ORÇAMENTO!$W$15,ROW(BA102)-ROW(BA$15),0),15-13*ORÇAMENTO!$AF$11)),
         0)</f>
        <v>0</v>
      </c>
      <c r="BB102" s="352" t="n">
        <f aca="true">IF(AND($D102="Serviço",BB$12&lt;&gt;0,$H102&gt;0,OR(AUTOEVENTO&lt;&gt;"manual",$M102&lt;&gt;$A$15)),
        IF(Import.TipoArredondamento&lt;&gt;"TransfereGOV",
              ROUND(OFFSET($P102,0,BB$13),15-13*ORÇAMENTO!$AF$7)/$H102*OFFSET(ORÇAMENTO!$X$15,ROW(BB102)-ROW(BB$15),0),
              ROUND(ROUND(OFFSET($P102,0,BB$13),15-13*ORÇAMENTO!$AF$7)*OFFSET(ORÇAMENTO!$W$15,ROW(BB102)-ROW(BB$15),0),15-13*ORÇAMENTO!$AF$11)),
         0)</f>
        <v>0</v>
      </c>
      <c r="BC102" s="352" t="n">
        <f aca="true">IF(AND($D102="Serviço",BC$12&lt;&gt;0,$H102&gt;0,OR(AUTOEVENTO&lt;&gt;"manual",$M102&lt;&gt;$A$15)),
        IF(Import.TipoArredondamento&lt;&gt;"TransfereGOV",
              ROUND(OFFSET($P102,0,BC$13),15-13*ORÇAMENTO!$AF$7)/$H102*OFFSET(ORÇAMENTO!$X$15,ROW(BC102)-ROW(BC$15),0),
              ROUND(ROUND(OFFSET($P102,0,BC$13),15-13*ORÇAMENTO!$AF$7)*OFFSET(ORÇAMENTO!$W$15,ROW(BC102)-ROW(BC$15),0),15-13*ORÇAMENTO!$AF$11)),
         0)</f>
        <v>0</v>
      </c>
      <c r="BD102" s="352" t="n">
        <f aca="true">IF(AND($D102="Serviço",BD$12&lt;&gt;0,$H102&gt;0,OR(AUTOEVENTO&lt;&gt;"manual",$M102&lt;&gt;$A$15)),
        IF(Import.TipoArredondamento&lt;&gt;"TransfereGOV",
              ROUND(OFFSET($P102,0,BD$13),15-13*ORÇAMENTO!$AF$7)/$H102*OFFSET(ORÇAMENTO!$X$15,ROW(BD102)-ROW(BD$15),0),
              ROUND(ROUND(OFFSET($P102,0,BD$13),15-13*ORÇAMENTO!$AF$7)*OFFSET(ORÇAMENTO!$W$15,ROW(BD102)-ROW(BD$15),0),15-13*ORÇAMENTO!$AF$11)),
         0)</f>
        <v>0</v>
      </c>
      <c r="BE102" s="352" t="n">
        <f aca="true">IF(AND($D102="Serviço",BE$12&lt;&gt;0,$H102&gt;0,OR(AUTOEVENTO&lt;&gt;"manual",$M102&lt;&gt;$A$15)),
        IF(Import.TipoArredondamento&lt;&gt;"TransfereGOV",
              ROUND(OFFSET($P102,0,BE$13),15-13*ORÇAMENTO!$AF$7)/$H102*OFFSET(ORÇAMENTO!$X$15,ROW(BE102)-ROW(BE$15),0),
              ROUND(ROUND(OFFSET($P102,0,BE$13),15-13*ORÇAMENTO!$AF$7)*OFFSET(ORÇAMENTO!$W$15,ROW(BE102)-ROW(BE$15),0),15-13*ORÇAMENTO!$AF$11)),
         0)</f>
        <v>0</v>
      </c>
      <c r="BF102" s="352" t="n">
        <f aca="true">IF(AND($D102="Serviço",BF$12&lt;&gt;0,$H102&gt;0,OR(AUTOEVENTO&lt;&gt;"manual",$M102&lt;&gt;$A$15)),
        IF(Import.TipoArredondamento&lt;&gt;"TransfereGOV",
              ROUND(OFFSET($P102,0,BF$13),15-13*ORÇAMENTO!$AF$7)/$H102*OFFSET(ORÇAMENTO!$X$15,ROW(BF102)-ROW(BF$15),0),
              ROUND(ROUND(OFFSET($P102,0,BF$13),15-13*ORÇAMENTO!$AF$7)*OFFSET(ORÇAMENTO!$W$15,ROW(BF102)-ROW(BF$15),0),15-13*ORÇAMENTO!$AF$11)),
         0)</f>
        <v>0</v>
      </c>
      <c r="BG102" s="352" t="n">
        <f aca="true">IF(AND($D102="Serviço",BG$12&lt;&gt;0,$H102&gt;0,OR(AUTOEVENTO&lt;&gt;"manual",$M102&lt;&gt;$A$15)),
        IF(Import.TipoArredondamento&lt;&gt;"TransfereGOV",
              ROUND(OFFSET($P102,0,BG$13),15-13*ORÇAMENTO!$AF$7)/$H102*OFFSET(ORÇAMENTO!$X$15,ROW(BG102)-ROW(BG$15),0),
              ROUND(ROUND(OFFSET($P102,0,BG$13),15-13*ORÇAMENTO!$AF$7)*OFFSET(ORÇAMENTO!$W$15,ROW(BG102)-ROW(BG$15),0),15-13*ORÇAMENTO!$AF$11)),
         0)</f>
        <v>0</v>
      </c>
      <c r="BH102" s="352" t="n">
        <f aca="true">IF(AND($D102="Serviço",BH$12&lt;&gt;0,$H102&gt;0,OR(AUTOEVENTO&lt;&gt;"manual",$M102&lt;&gt;$A$15)),
        IF(Import.TipoArredondamento&lt;&gt;"TransfereGOV",
              ROUND(OFFSET($P102,0,BH$13),15-13*ORÇAMENTO!$AF$7)/$H102*OFFSET(ORÇAMENTO!$X$15,ROW(BH102)-ROW(BH$15),0),
              ROUND(ROUND(OFFSET($P102,0,BH$13),15-13*ORÇAMENTO!$AF$7)*OFFSET(ORÇAMENTO!$W$15,ROW(BH102)-ROW(BH$15),0),15-13*ORÇAMENTO!$AF$11)),
         0)</f>
        <v>0</v>
      </c>
      <c r="BI102" s="352" t="n">
        <f aca="true">IF(AND($D102="Serviço",BI$12&lt;&gt;0,$H102&gt;0,OR(AUTOEVENTO&lt;&gt;"manual",$M102&lt;&gt;$A$15)),
        IF(Import.TipoArredondamento&lt;&gt;"TransfereGOV",
              ROUND(OFFSET($P102,0,BI$13),15-13*ORÇAMENTO!$AF$7)/$H102*OFFSET(ORÇAMENTO!$X$15,ROW(BI102)-ROW(BI$15),0),
              ROUND(ROUND(OFFSET($P102,0,BI$13),15-13*ORÇAMENTO!$AF$7)*OFFSET(ORÇAMENTO!$W$15,ROW(BI102)-ROW(BI$15),0),15-13*ORÇAMENTO!$AF$11)),
         0)</f>
        <v>0</v>
      </c>
      <c r="BJ102" s="352" t="n">
        <f aca="true">IF(AND($D102="Serviço",BJ$12&lt;&gt;0,$H102&gt;0,OR(AUTOEVENTO&lt;&gt;"manual",$M102&lt;&gt;$A$15)),
        IF(Import.TipoArredondamento&lt;&gt;"TransfereGOV",
              ROUND(OFFSET($P102,0,BJ$13),15-13*ORÇAMENTO!$AF$7)/$H102*OFFSET(ORÇAMENTO!$X$15,ROW(BJ102)-ROW(BJ$15),0),
              ROUND(ROUND(OFFSET($P102,0,BJ$13),15-13*ORÇAMENTO!$AF$7)*OFFSET(ORÇAMENTO!$W$15,ROW(BJ102)-ROW(BJ$15),0),15-13*ORÇAMENTO!$AF$11)),
         0)</f>
        <v>0</v>
      </c>
      <c r="BK102" s="352" t="n">
        <f aca="true">IF(AND($D102="Serviço",BK$12&lt;&gt;0,$H102&gt;0,OR(AUTOEVENTO&lt;&gt;"manual",$M102&lt;&gt;$A$15)),
        IF(Import.TipoArredondamento&lt;&gt;"TransfereGOV",
              ROUND(OFFSET($P102,0,BK$13),15-13*ORÇAMENTO!$AF$7)/$H102*OFFSET(ORÇAMENTO!$X$15,ROW(BK102)-ROW(BK$15),0),
              ROUND(ROUND(OFFSET($P102,0,BK$13),15-13*ORÇAMENTO!$AF$7)*OFFSET(ORÇAMENTO!$W$15,ROW(BK102)-ROW(BK$15),0),15-13*ORÇAMENTO!$AF$11)),
         0)</f>
        <v>0</v>
      </c>
      <c r="BL102" s="352" t="n">
        <f aca="true">IF(AND($D102="Serviço",BL$12&lt;&gt;0,$H102&gt;0,OR(AUTOEVENTO&lt;&gt;"manual",$M102&lt;&gt;$A$15)),
        IF(Import.TipoArredondamento&lt;&gt;"TransfereGOV",
              ROUND(OFFSET($P102,0,BL$13),15-13*ORÇAMENTO!$AF$7)/$H102*OFFSET(ORÇAMENTO!$X$15,ROW(BL102)-ROW(BL$15),0),
              ROUND(ROUND(OFFSET($P102,0,BL$13),15-13*ORÇAMENTO!$AF$7)*OFFSET(ORÇAMENTO!$W$15,ROW(BL102)-ROW(BL$15),0),15-13*ORÇAMENTO!$AF$11)),
         0)</f>
        <v>0</v>
      </c>
      <c r="BM102" s="352" t="n">
        <f aca="true">IF(AND($D102="Serviço",BM$12&lt;&gt;0,$H102&gt;0,OR(AUTOEVENTO&lt;&gt;"manual",$M102&lt;&gt;$A$15)),
        IF(Import.TipoArredondamento&lt;&gt;"TransfereGOV",
              ROUND(OFFSET($P102,0,BM$13),15-13*ORÇAMENTO!$AF$7)/$H102*OFFSET(ORÇAMENTO!$X$15,ROW(BM102)-ROW(BM$15),0),
              ROUND(ROUND(OFFSET($P102,0,BM$13),15-13*ORÇAMENTO!$AF$7)*OFFSET(ORÇAMENTO!$W$15,ROW(BM102)-ROW(BM$15),0),15-13*ORÇAMENTO!$AF$11)),
         0)</f>
        <v>0</v>
      </c>
      <c r="BN102" s="352" t="n">
        <f aca="true">IF(AND($D102="Serviço",BN$12&lt;&gt;0,$H102&gt;0,OR(AUTOEVENTO&lt;&gt;"manual",$M102&lt;&gt;$A$15)),
        IF(Import.TipoArredondamento&lt;&gt;"TransfereGOV",
              ROUND(OFFSET($P102,0,BN$13),15-13*ORÇAMENTO!$AF$7)/$H102*OFFSET(ORÇAMENTO!$X$15,ROW(BN102)-ROW(BN$15),0),
              ROUND(ROUND(OFFSET($P102,0,BN$13),15-13*ORÇAMENTO!$AF$7)*OFFSET(ORÇAMENTO!$W$15,ROW(BN102)-ROW(BN$15),0),15-13*ORÇAMENTO!$AF$11)),
         0)</f>
        <v>0</v>
      </c>
      <c r="BO102" s="352" t="n">
        <f aca="true">IF(AND($D102="Serviço",BO$12&lt;&gt;0,$H102&gt;0,OR(AUTOEVENTO&lt;&gt;"manual",$M102&lt;&gt;$A$15)),
        IF(Import.TipoArredondamento&lt;&gt;"TransfereGOV",
              ROUND(OFFSET($P102,0,BO$13),15-13*ORÇAMENTO!$AF$7)/$H102*OFFSET(ORÇAMENTO!$X$15,ROW(BO102)-ROW(BO$15),0),
              ROUND(ROUND(OFFSET($P102,0,BO$13),15-13*ORÇAMENTO!$AF$7)*OFFSET(ORÇAMENTO!$W$15,ROW(BO102)-ROW(BO$15),0),15-13*ORÇAMENTO!$AF$11)),
         0)</f>
        <v>0</v>
      </c>
      <c r="BP102" s="352" t="n">
        <f aca="true">IF(AND($D102="Serviço",BP$12&lt;&gt;0,$H102&gt;0,OR(AUTOEVENTO&lt;&gt;"manual",$M102&lt;&gt;$A$15)),
        IF(Import.TipoArredondamento&lt;&gt;"TransfereGOV",
              ROUND(OFFSET($P102,0,BP$13),15-13*ORÇAMENTO!$AF$7)/$H102*OFFSET(ORÇAMENTO!$X$15,ROW(BP102)-ROW(BP$15),0),
              ROUND(ROUND(OFFSET($P102,0,BP$13),15-13*ORÇAMENTO!$AF$7)*OFFSET(ORÇAMENTO!$W$15,ROW(BP102)-ROW(BP$15),0),15-13*ORÇAMENTO!$AF$11)),
         0)</f>
        <v>0</v>
      </c>
      <c r="BQ102" s="352" t="n">
        <f aca="true">IF(AND($D102="Serviço",BQ$12&lt;&gt;0,$H102&gt;0,OR(AUTOEVENTO&lt;&gt;"manual",$M102&lt;&gt;$A$15)),
        IF(Import.TipoArredondamento&lt;&gt;"TransfereGOV",
              ROUND(OFFSET($P102,0,BQ$13),15-13*ORÇAMENTO!$AF$7)/$H102*OFFSET(ORÇAMENTO!$X$15,ROW(BQ102)-ROW(BQ$15),0),
              ROUND(ROUND(OFFSET($P102,0,BQ$13),15-13*ORÇAMENTO!$AF$7)*OFFSET(ORÇAMENTO!$W$15,ROW(BQ102)-ROW(BQ$15),0),15-13*ORÇAMENTO!$AF$11)),
         0)</f>
        <v>0</v>
      </c>
      <c r="BS102" s="353" t="n">
        <f aca="true">IF(OR($D102&lt;&gt;"Serviço",AND(AUTOEVENTO="Manual",$M102=$A$15)),0,
         IF(OFFSET(CRONOPLE!$F$15,$M102-$A$15,BS$13)=0,10^12,OFFSET(CRONOPLE!$F$15,$M102-$A$15,BS$13)))</f>
        <v>0</v>
      </c>
      <c r="BT102" s="353" t="n">
        <f aca="true">IF(OR($D102&lt;&gt;"Serviço",AND(AUTOEVENTO="Manual",$M102=$A$15)),0,
         IF(OFFSET(CRONOPLE!$F$15,$M102-$A$15,BT$13)=0,10^12,OFFSET(CRONOPLE!$F$15,$M102-$A$15,BT$13)))</f>
        <v>0</v>
      </c>
      <c r="BU102" s="353" t="n">
        <f aca="true">IF(OR($D102&lt;&gt;"Serviço",AND(AUTOEVENTO="Manual",$M102=$A$15)),0,
         IF(OFFSET(CRONOPLE!$F$15,$M102-$A$15,BU$13)=0,10^12,OFFSET(CRONOPLE!$F$15,$M102-$A$15,BU$13)))</f>
        <v>0</v>
      </c>
      <c r="BV102" s="353" t="n">
        <f aca="true">IF(OR($D102&lt;&gt;"Serviço",AND(AUTOEVENTO="Manual",$M102=$A$15)),0,
         IF(OFFSET(CRONOPLE!$F$15,$M102-$A$15,BV$13)=0,10^12,OFFSET(CRONOPLE!$F$15,$M102-$A$15,BV$13)))</f>
        <v>0</v>
      </c>
      <c r="BW102" s="353" t="n">
        <f aca="true">IF(OR($D102&lt;&gt;"Serviço",AND(AUTOEVENTO="Manual",$M102=$A$15)),0,
         IF(OFFSET(CRONOPLE!$F$15,$M102-$A$15,BW$13)=0,10^12,OFFSET(CRONOPLE!$F$15,$M102-$A$15,BW$13)))</f>
        <v>0</v>
      </c>
      <c r="BX102" s="353" t="n">
        <f aca="true">IF(OR($D102&lt;&gt;"Serviço",AND(AUTOEVENTO="Manual",$M102=$A$15)),0,
         IF(OFFSET(CRONOPLE!$F$15,$M102-$A$15,BX$13)=0,10^12,OFFSET(CRONOPLE!$F$15,$M102-$A$15,BX$13)))</f>
        <v>0</v>
      </c>
      <c r="BY102" s="353" t="n">
        <f aca="true">IF(OR($D102&lt;&gt;"Serviço",AND(AUTOEVENTO="Manual",$M102=$A$15)),0,
         IF(OFFSET(CRONOPLE!$F$15,$M102-$A$15,BY$13)=0,10^12,OFFSET(CRONOPLE!$F$15,$M102-$A$15,BY$13)))</f>
        <v>0</v>
      </c>
      <c r="BZ102" s="353" t="n">
        <f aca="true">IF(OR($D102&lt;&gt;"Serviço",AND(AUTOEVENTO="Manual",$M102=$A$15)),0,
         IF(OFFSET(CRONOPLE!$F$15,$M102-$A$15,BZ$13)=0,10^12,OFFSET(CRONOPLE!$F$15,$M102-$A$15,BZ$13)))</f>
        <v>0</v>
      </c>
      <c r="CA102" s="353" t="n">
        <f aca="true">IF(OR($D102&lt;&gt;"Serviço",AND(AUTOEVENTO="Manual",$M102=$A$15)),0,
         IF(OFFSET(CRONOPLE!$F$15,$M102-$A$15,CA$13)=0,10^12,OFFSET(CRONOPLE!$F$15,$M102-$A$15,CA$13)))</f>
        <v>0</v>
      </c>
      <c r="CB102" s="353" t="n">
        <f aca="true">IF(OR($D102&lt;&gt;"Serviço",AND(AUTOEVENTO="Manual",$M102=$A$15)),0,
         IF(OFFSET(CRONOPLE!$F$15,$M102-$A$15,CB$13)=0,10^12,OFFSET(CRONOPLE!$F$15,$M102-$A$15,CB$13)))</f>
        <v>0</v>
      </c>
      <c r="CC102" s="353" t="n">
        <f aca="true">IF(OR($D102&lt;&gt;"Serviço",AND(AUTOEVENTO="Manual",$M102=$A$15)),0,
         IF(OFFSET(CRONOPLE!$F$15,$M102-$A$15,CC$13)=0,10^12,OFFSET(CRONOPLE!$F$15,$M102-$A$15,CC$13)))</f>
        <v>0</v>
      </c>
      <c r="CD102" s="353" t="n">
        <f aca="true">IF(OR($D102&lt;&gt;"Serviço",AND(AUTOEVENTO="Manual",$M102=$A$15)),0,
         IF(OFFSET(CRONOPLE!$F$15,$M102-$A$15,CD$13)=0,10^12,OFFSET(CRONOPLE!$F$15,$M102-$A$15,CD$13)))</f>
        <v>0</v>
      </c>
      <c r="CE102" s="353" t="n">
        <f aca="true">IF(OR($D102&lt;&gt;"Serviço",AND(AUTOEVENTO="Manual",$M102=$A$15)),0,
         IF(OFFSET(CRONOPLE!$F$15,$M102-$A$15,CE$13)=0,10^12,OFFSET(CRONOPLE!$F$15,$M102-$A$15,CE$13)))</f>
        <v>0</v>
      </c>
      <c r="CF102" s="353" t="n">
        <f aca="true">IF(OR($D102&lt;&gt;"Serviço",AND(AUTOEVENTO="Manual",$M102=$A$15)),0,
         IF(OFFSET(CRONOPLE!$F$15,$M102-$A$15,CF$13)=0,10^12,OFFSET(CRONOPLE!$F$15,$M102-$A$15,CF$13)))</f>
        <v>0</v>
      </c>
      <c r="CG102" s="353" t="n">
        <f aca="true">IF(OR($D102&lt;&gt;"Serviço",AND(AUTOEVENTO="Manual",$M102=$A$15)),0,
         IF(OFFSET(CRONOPLE!$F$15,$M102-$A$15,CG$13)=0,10^12,OFFSET(CRONOPLE!$F$15,$M102-$A$15,CG$13)))</f>
        <v>0</v>
      </c>
      <c r="CH102" s="353" t="n">
        <f aca="true">IF(OR($D102&lt;&gt;"Serviço",AND(AUTOEVENTO="Manual",$M102=$A$15)),0,
         IF(OFFSET(CRONOPLE!$F$15,$M102-$A$15,CH$13)=0,10^12,OFFSET(CRONOPLE!$F$15,$M102-$A$15,CH$13)))</f>
        <v>0</v>
      </c>
      <c r="CI102" s="353" t="n">
        <f aca="true">IF(OR($D102&lt;&gt;"Serviço",AND(AUTOEVENTO="Manual",$M102=$A$15)),0,
         IF(OFFSET(CRONOPLE!$F$15,$M102-$A$15,CI$13)=0,10^12,OFFSET(CRONOPLE!$F$15,$M102-$A$15,CI$13)))</f>
        <v>0</v>
      </c>
      <c r="CJ102" s="353" t="n">
        <f aca="true">IF(OR($D102&lt;&gt;"Serviço",AND(AUTOEVENTO="Manual",$M102=$A$15)),0,
         IF(OFFSET(CRONOPLE!$F$15,$M102-$A$15,CJ$13)=0,10^12,OFFSET(CRONOPLE!$F$15,$M102-$A$15,CJ$13)))</f>
        <v>0</v>
      </c>
      <c r="CK102" s="353" t="n">
        <f aca="true">IF(OR($D102&lt;&gt;"Serviço",AND(AUTOEVENTO="Manual",$M102=$A$15)),0,
         IF(OFFSET(CRONOPLE!$F$15,$M102-$A$15,CK$13)=0,10^12,OFFSET(CRONOPLE!$F$15,$M102-$A$15,CK$13)))</f>
        <v>0</v>
      </c>
      <c r="CL102" s="353" t="n">
        <f aca="true">IF(OR($D102&lt;&gt;"Serviço",AND(AUTOEVENTO="Manual",$M102=$A$15)),0,
         IF(OFFSET(CRONOPLE!$F$15,$M102-$A$15,CL$13)=0,10^12,OFFSET(CRONOPLE!$F$15,$M102-$A$15,CL$13)))</f>
        <v>0</v>
      </c>
      <c r="CM102" s="353" t="n">
        <f aca="true">IF(OR($D102&lt;&gt;"Serviço",AND(AUTOEVENTO="Manual",$M102=$A$15)),0,
         IF(OFFSET(CRONOPLE!$F$15,$M102-$A$15,CM$13)=0,10^12,OFFSET(CRONOPLE!$F$15,$M102-$A$15,CM$13)))</f>
        <v>0</v>
      </c>
      <c r="CN102" s="353" t="n">
        <f aca="true">IF(OR($D102&lt;&gt;"Serviço",AND(AUTOEVENTO="Manual",$M102=$A$15)),0,
         IF(OFFSET(CRONOPLE!$F$15,$M102-$A$15,CN$13)=0,10^12,OFFSET(CRONOPLE!$F$15,$M102-$A$15,CN$13)))</f>
        <v>0</v>
      </c>
      <c r="CO102" s="353" t="n">
        <f aca="true">IF(OR($D102&lt;&gt;"Serviço",AND(AUTOEVENTO="Manual",$M102=$A$15)),0,
         IF(OFFSET(CRONOPLE!$F$15,$M102-$A$15,CO$13)=0,10^12,OFFSET(CRONOPLE!$F$15,$M102-$A$15,CO$13)))</f>
        <v>0</v>
      </c>
      <c r="CP102" s="353" t="n">
        <f aca="true">IF(OR($D102&lt;&gt;"Serviço",AND(AUTOEVENTO="Manual",$M102=$A$15)),0,
         IF(OFFSET(CRONOPLE!$F$15,$M102-$A$15,CP$13)=0,10^12,OFFSET(CRONOPLE!$F$15,$M102-$A$15,CP$13)))</f>
        <v>0</v>
      </c>
      <c r="CQ102" s="353" t="n">
        <f aca="true">IF(OR($D102&lt;&gt;"Serviço",AND(AUTOEVENTO="Manual",$M102=$A$15)),0,
         IF(OFFSET(CRONOPLE!$F$15,$M102-$A$15,CQ$13)=0,10^12,OFFSET(CRONOPLE!$F$15,$M102-$A$15,CQ$13)))</f>
        <v>0</v>
      </c>
      <c r="CR102" s="353" t="n">
        <f aca="true">IF(OR($D102&lt;&gt;"Serviço",AND(AUTOEVENTO="Manual",$M102=$A$15)),0,
         IF(OFFSET(CRONOPLE!$F$15,$M102-$A$15,CR$13)=0,10^12,OFFSET(CRONOPLE!$F$15,$M102-$A$15,CR$13)))</f>
        <v>0</v>
      </c>
      <c r="CT102" s="354" t="n">
        <f aca="true">IF(OR($D102&lt;&gt;"Serviço",AND(AUTOEVENTO="Manual",$M102=$A$15),$M102&gt;(ROW(PLE.lastrow)-ROW(PLE.firstrow))),0,
           IF(OFFSET(PLE!$G$15,$M102-$A$15,CT$13)="",10^12,OFFSET(PLE!$G$15,$M102-$A$15,CT$13)))</f>
        <v>0</v>
      </c>
      <c r="CU102" s="354" t="n">
        <f aca="true">IF(OR($D102&lt;&gt;"Serviço",AND(AUTOEVENTO="Manual",$M102=$A$15),$M102&gt;(ROW(PLE.lastrow)-ROW(PLE.firstrow))),0,
           IF(OFFSET(PLE!$G$15,$M102-$A$15,CU$13)="",10^12,OFFSET(PLE!$G$15,$M102-$A$15,CU$13)))</f>
        <v>0</v>
      </c>
      <c r="CV102" s="354" t="n">
        <f aca="true">IF(OR($D102&lt;&gt;"Serviço",AND(AUTOEVENTO="Manual",$M102=$A$15),$M102&gt;(ROW(PLE.lastrow)-ROW(PLE.firstrow))),0,
           IF(OFFSET(PLE!$G$15,$M102-$A$15,CV$13)="",10^12,OFFSET(PLE!$G$15,$M102-$A$15,CV$13)))</f>
        <v>0</v>
      </c>
      <c r="CW102" s="354" t="n">
        <f aca="true">IF(OR($D102&lt;&gt;"Serviço",AND(AUTOEVENTO="Manual",$M102=$A$15),$M102&gt;(ROW(PLE.lastrow)-ROW(PLE.firstrow))),0,
           IF(OFFSET(PLE!$G$15,$M102-$A$15,CW$13)="",10^12,OFFSET(PLE!$G$15,$M102-$A$15,CW$13)))</f>
        <v>0</v>
      </c>
      <c r="CX102" s="354" t="n">
        <f aca="true">IF(OR($D102&lt;&gt;"Serviço",AND(AUTOEVENTO="Manual",$M102=$A$15),$M102&gt;(ROW(PLE.lastrow)-ROW(PLE.firstrow))),0,
           IF(OFFSET(PLE!$G$15,$M102-$A$15,CX$13)="",10^12,OFFSET(PLE!$G$15,$M102-$A$15,CX$13)))</f>
        <v>0</v>
      </c>
      <c r="CY102" s="354" t="n">
        <f aca="true">IF(OR($D102&lt;&gt;"Serviço",AND(AUTOEVENTO="Manual",$M102=$A$15),$M102&gt;(ROW(PLE.lastrow)-ROW(PLE.firstrow))),0,
           IF(OFFSET(PLE!$G$15,$M102-$A$15,CY$13)="",10^12,OFFSET(PLE!$G$15,$M102-$A$15,CY$13)))</f>
        <v>0</v>
      </c>
      <c r="CZ102" s="354" t="n">
        <f aca="true">IF(OR($D102&lt;&gt;"Serviço",AND(AUTOEVENTO="Manual",$M102=$A$15),$M102&gt;(ROW(PLE.lastrow)-ROW(PLE.firstrow))),0,
           IF(OFFSET(PLE!$G$15,$M102-$A$15,CZ$13)="",10^12,OFFSET(PLE!$G$15,$M102-$A$15,CZ$13)))</f>
        <v>0</v>
      </c>
      <c r="DA102" s="354" t="n">
        <f aca="true">IF(OR($D102&lt;&gt;"Serviço",AND(AUTOEVENTO="Manual",$M102=$A$15),$M102&gt;(ROW(PLE.lastrow)-ROW(PLE.firstrow))),0,
           IF(OFFSET(PLE!$G$15,$M102-$A$15,DA$13)="",10^12,OFFSET(PLE!$G$15,$M102-$A$15,DA$13)))</f>
        <v>0</v>
      </c>
      <c r="DB102" s="354" t="n">
        <f aca="true">IF(OR($D102&lt;&gt;"Serviço",AND(AUTOEVENTO="Manual",$M102=$A$15),$M102&gt;(ROW(PLE.lastrow)-ROW(PLE.firstrow))),0,
           IF(OFFSET(PLE!$G$15,$M102-$A$15,DB$13)="",10^12,OFFSET(PLE!$G$15,$M102-$A$15,DB$13)))</f>
        <v>0</v>
      </c>
      <c r="DC102" s="354" t="n">
        <f aca="true">IF(OR($D102&lt;&gt;"Serviço",AND(AUTOEVENTO="Manual",$M102=$A$15),$M102&gt;(ROW(PLE.lastrow)-ROW(PLE.firstrow))),0,
           IF(OFFSET(PLE!$G$15,$M102-$A$15,DC$13)="",10^12,OFFSET(PLE!$G$15,$M102-$A$15,DC$13)))</f>
        <v>0</v>
      </c>
      <c r="DD102" s="354" t="n">
        <f aca="true">IF(OR($D102&lt;&gt;"Serviço",AND(AUTOEVENTO="Manual",$M102=$A$15),$M102&gt;(ROW(PLE.lastrow)-ROW(PLE.firstrow))),0,
           IF(OFFSET(PLE!$G$15,$M102-$A$15,DD$13)="",10^12,OFFSET(PLE!$G$15,$M102-$A$15,DD$13)))</f>
        <v>0</v>
      </c>
      <c r="DE102" s="354" t="n">
        <f aca="true">IF(OR($D102&lt;&gt;"Serviço",AND(AUTOEVENTO="Manual",$M102=$A$15),$M102&gt;(ROW(PLE.lastrow)-ROW(PLE.firstrow))),0,
           IF(OFFSET(PLE!$G$15,$M102-$A$15,DE$13)="",10^12,OFFSET(PLE!$G$15,$M102-$A$15,DE$13)))</f>
        <v>0</v>
      </c>
      <c r="DF102" s="354" t="n">
        <f aca="true">IF(OR($D102&lt;&gt;"Serviço",AND(AUTOEVENTO="Manual",$M102=$A$15),$M102&gt;(ROW(PLE.lastrow)-ROW(PLE.firstrow))),0,
           IF(OFFSET(PLE!$G$15,$M102-$A$15,DF$13)="",10^12,OFFSET(PLE!$G$15,$M102-$A$15,DF$13)))</f>
        <v>0</v>
      </c>
      <c r="DG102" s="354" t="n">
        <f aca="true">IF(OR($D102&lt;&gt;"Serviço",AND(AUTOEVENTO="Manual",$M102=$A$15),$M102&gt;(ROW(PLE.lastrow)-ROW(PLE.firstrow))),0,
           IF(OFFSET(PLE!$G$15,$M102-$A$15,DG$13)="",10^12,OFFSET(PLE!$G$15,$M102-$A$15,DG$13)))</f>
        <v>0</v>
      </c>
      <c r="DH102" s="354" t="n">
        <f aca="true">IF(OR($D102&lt;&gt;"Serviço",AND(AUTOEVENTO="Manual",$M102=$A$15),$M102&gt;(ROW(PLE.lastrow)-ROW(PLE.firstrow))),0,
           IF(OFFSET(PLE!$G$15,$M102-$A$15,DH$13)="",10^12,OFFSET(PLE!$G$15,$M102-$A$15,DH$13)))</f>
        <v>0</v>
      </c>
      <c r="DI102" s="354" t="n">
        <f aca="true">IF(OR($D102&lt;&gt;"Serviço",AND(AUTOEVENTO="Manual",$M102=$A$15),$M102&gt;(ROW(PLE.lastrow)-ROW(PLE.firstrow))),0,
           IF(OFFSET(PLE!$G$15,$M102-$A$15,DI$13)="",10^12,OFFSET(PLE!$G$15,$M102-$A$15,DI$13)))</f>
        <v>0</v>
      </c>
      <c r="DJ102" s="354" t="n">
        <f aca="true">IF(OR($D102&lt;&gt;"Serviço",AND(AUTOEVENTO="Manual",$M102=$A$15),$M102&gt;(ROW(PLE.lastrow)-ROW(PLE.firstrow))),0,
           IF(OFFSET(PLE!$G$15,$M102-$A$15,DJ$13)="",10^12,OFFSET(PLE!$G$15,$M102-$A$15,DJ$13)))</f>
        <v>0</v>
      </c>
      <c r="DK102" s="354" t="n">
        <f aca="true">IF(OR($D102&lt;&gt;"Serviço",AND(AUTOEVENTO="Manual",$M102=$A$15),$M102&gt;(ROW(PLE.lastrow)-ROW(PLE.firstrow))),0,
           IF(OFFSET(PLE!$G$15,$M102-$A$15,DK$13)="",10^12,OFFSET(PLE!$G$15,$M102-$A$15,DK$13)))</f>
        <v>0</v>
      </c>
      <c r="DL102" s="354" t="n">
        <f aca="true">IF(OR($D102&lt;&gt;"Serviço",AND(AUTOEVENTO="Manual",$M102=$A$15),$M102&gt;(ROW(PLE.lastrow)-ROW(PLE.firstrow))),0,
           IF(OFFSET(PLE!$G$15,$M102-$A$15,DL$13)="",10^12,OFFSET(PLE!$G$15,$M102-$A$15,DL$13)))</f>
        <v>0</v>
      </c>
      <c r="DM102" s="354" t="n">
        <f aca="true">IF(OR($D102&lt;&gt;"Serviço",AND(AUTOEVENTO="Manual",$M102=$A$15),$M102&gt;(ROW(PLE.lastrow)-ROW(PLE.firstrow))),0,
           IF(OFFSET(PLE!$G$15,$M102-$A$15,DM$13)="",10^12,OFFSET(PLE!$G$15,$M102-$A$15,DM$13)))</f>
        <v>0</v>
      </c>
      <c r="DN102" s="354" t="n">
        <f aca="true">IF(OR($D102&lt;&gt;"Serviço",AND(AUTOEVENTO="Manual",$M102=$A$15),$M102&gt;(ROW(PLE.lastrow)-ROW(PLE.firstrow))),0,
           IF(OFFSET(PLE!$G$15,$M102-$A$15,DN$13)="",10^12,OFFSET(PLE!$G$15,$M102-$A$15,DN$13)))</f>
        <v>0</v>
      </c>
      <c r="DO102" s="354" t="n">
        <f aca="true">IF(OR($D102&lt;&gt;"Serviço",AND(AUTOEVENTO="Manual",$M102=$A$15),$M102&gt;(ROW(PLE.lastrow)-ROW(PLE.firstrow))),0,
           IF(OFFSET(PLE!$G$15,$M102-$A$15,DO$13)="",10^12,OFFSET(PLE!$G$15,$M102-$A$15,DO$13)))</f>
        <v>0</v>
      </c>
      <c r="DP102" s="354" t="n">
        <f aca="true">IF(OR($D102&lt;&gt;"Serviço",AND(AUTOEVENTO="Manual",$M102=$A$15),$M102&gt;(ROW(PLE.lastrow)-ROW(PLE.firstrow))),0,
           IF(OFFSET(PLE!$G$15,$M102-$A$15,DP$13)="",10^12,OFFSET(PLE!$G$15,$M102-$A$15,DP$13)))</f>
        <v>0</v>
      </c>
      <c r="DQ102" s="354" t="n">
        <f aca="true">IF(OR($D102&lt;&gt;"Serviço",AND(AUTOEVENTO="Manual",$M102=$A$15),$M102&gt;(ROW(PLE.lastrow)-ROW(PLE.firstrow))),0,
           IF(OFFSET(PLE!$G$15,$M102-$A$15,DQ$13)="",10^12,OFFSET(PLE!$G$15,$M102-$A$15,DQ$13)))</f>
        <v>0</v>
      </c>
      <c r="DR102" s="354" t="n">
        <f aca="true">IF(OR($D102&lt;&gt;"Serviço",AND(AUTOEVENTO="Manual",$M102=$A$15),$M102&gt;(ROW(PLE.lastrow)-ROW(PLE.firstrow))),0,
           IF(OFFSET(PLE!$G$15,$M102-$A$15,DR$13)="",10^12,OFFSET(PLE!$G$15,$M102-$A$15,DR$13)))</f>
        <v>0</v>
      </c>
      <c r="DS102" s="354" t="n">
        <f aca="true">IF(OR($D102&lt;&gt;"Serviço",AND(AUTOEVENTO="Manual",$M102=$A$15),$M102&gt;(ROW(PLE.lastrow)-ROW(PLE.firstrow))),0,
           IF(OFFSET(PLE!$G$15,$M102-$A$15,DS$13)="",10^12,OFFSET(PLE!$G$15,$M102-$A$15,DS$13)))</f>
        <v>0</v>
      </c>
    </row>
    <row r="103" customFormat="false" ht="12.75" hidden="false" customHeight="false" outlineLevel="0" collapsed="false">
      <c r="A103" s="50" t="str">
        <f aca="true">IFERROR(IF(AUTOEVENTO="Manual",IF(K103&lt;&gt;"",MIN(VALUE(LEFT(K103,FIND(".",K103)-1)),COUNTA(EVENTOS.Lista)),0),IF(OR($B103&gt;AUTOEVENTO,$B103="S",$B103=0),SUBSTITUTE(OFFSET($A103,-1,0),IF($D103="Serviço",".",""),""),ROW(A103)-ROW($A$15)&amp;".")),0)</f>
        <v>88.</v>
      </c>
      <c r="B103" s="50" t="n">
        <f aca="true">OFFSET(ORÇAMENTO!C$15,ROW(B103)-ROW(B$15),0)</f>
        <v>2</v>
      </c>
      <c r="C103" s="50" t="str">
        <f aca="true">OFFSET(ORÇAMENTO!L$15,ROW(C103)-ROW(C$15),0)</f>
        <v>F</v>
      </c>
      <c r="D103" s="201" t="str">
        <f aca="true">OFFSET(ORÇAMENTO!N$15,ROW(D103)-ROW(D$15),0)</f>
        <v>Nível 2</v>
      </c>
      <c r="E103" s="202" t="str">
        <f aca="true">OFFSET(ORÇAMENTO!O$15,ROW(E103)-ROW(E$15),0)</f>
        <v>1.28.</v>
      </c>
      <c r="F103" s="341" t="str">
        <f aca="true">OFFSET(ORÇAMENTO!R$15,ROW(F103)-ROW(F$15),0)</f>
        <v>MADEIRA</v>
      </c>
      <c r="G103" s="342" t="str">
        <f aca="true">IF($D103&lt;&gt;"Serviço","",OFFSET(ORÇAMENTO!S$15,ROW(G103)-ROW(G$15),0))</f>
        <v/>
      </c>
      <c r="H103" s="207" t="n">
        <f aca="true">IF($D103&lt;&gt;"Serviço",0,IF(ACOMPANHAMENTO="BM",ROUND(OFFSET(ORÇAMENTO!AJ$15,ROW(H103)-ROW(H$15),0),15-13*ORÇAMENTO!$AF$7),SUMPRODUCT(($Q$1:$AQ$1=1)*ROUND($Q103:$AQ103,15-13*ORÇAMENTO!$AF$7))))</f>
        <v>0</v>
      </c>
      <c r="I103" s="343"/>
      <c r="J103" s="344" t="str">
        <f aca="false">IF(OR(B103&lt;&gt;"S",CÁLCULO.FrentesPreenchidas=0),"",IF(AND(ACOMPANHAMENTO="PLE",AUTOEVENTO="Manual",OR(H103&gt;0,ORÇAMENTO!AC103="QUANT."),OR(K103="",M103=0,N103="")),"►",IF(AND(ACOMPANHAMENTO="PLE",ORÇAMENTO!AC103="QUANT."),"►►",IF(AND(COUNTIF($P$11:$AQ$11,"▼")=0,H103&gt;0,I103=""),"◄",""))))</f>
        <v/>
      </c>
      <c r="K103" s="345"/>
      <c r="L103" s="346" t="s">
        <v>876</v>
      </c>
      <c r="M103" s="347" t="str">
        <f aca="true">IF($D103&lt;&gt;"Serviço","",
          IF(AUTOEVENTO="manual",$A103,
                IF(ISERROR(MATCH($A103,$A$15:OFFSET($A103,-1,0),0)),MAX($M$15:OFFSET(M103,-1,0))+1,
                      INDEX($M$15:OFFSET(M103,-1,0),MATCH($A103,$A$15:OFFSET($A103,-1,0),0)))))</f>
        <v/>
      </c>
      <c r="N103" s="348" t="str">
        <f aca="true">IF($D103&lt;&gt;"Serviço","",
         IF(AUTOEVENTO="Manual",
                IF($A103=0,"&lt;-- defina o número do agrupador",
                       OFFSET(EVENTOS!$D$15,$A103-$A$15,0)),
                OFFSET($F$15,$A103,0)))</f>
        <v/>
      </c>
      <c r="O103" s="349"/>
      <c r="Q103" s="349" t="n">
        <v>10.8</v>
      </c>
      <c r="R103" s="350" t="n">
        <v>10.8</v>
      </c>
      <c r="S103" s="350" t="n">
        <v>10.8</v>
      </c>
      <c r="T103" s="350" t="n">
        <v>10.8</v>
      </c>
      <c r="U103" s="350" t="n">
        <v>10.8</v>
      </c>
      <c r="V103" s="350" t="n">
        <v>10.8</v>
      </c>
      <c r="W103" s="350" t="n">
        <v>10.8</v>
      </c>
      <c r="X103" s="350" t="n">
        <v>10.8</v>
      </c>
      <c r="Y103" s="350" t="n">
        <v>10.8</v>
      </c>
      <c r="Z103" s="351" t="n">
        <v>10.8</v>
      </c>
      <c r="AA103" s="350" t="n">
        <v>10.8</v>
      </c>
      <c r="AB103" s="350" t="n">
        <v>10.8</v>
      </c>
      <c r="AC103" s="350" t="n">
        <v>10.8</v>
      </c>
      <c r="AD103" s="350" t="n">
        <v>10.8</v>
      </c>
      <c r="AE103" s="350" t="n">
        <v>10.8</v>
      </c>
      <c r="AF103" s="350" t="n">
        <v>10.8</v>
      </c>
      <c r="AG103" s="350" t="n">
        <v>10.8</v>
      </c>
      <c r="AH103" s="351" t="n">
        <v>10.8</v>
      </c>
      <c r="AI103" s="350" t="n">
        <v>10.8</v>
      </c>
      <c r="AJ103" s="350" t="n">
        <v>10.8</v>
      </c>
      <c r="AK103" s="350" t="n">
        <v>10.8</v>
      </c>
      <c r="AL103" s="350" t="n">
        <v>10.8</v>
      </c>
      <c r="AM103" s="350" t="n">
        <v>10.8</v>
      </c>
      <c r="AN103" s="350" t="n">
        <v>10.8</v>
      </c>
      <c r="AO103" s="350" t="n">
        <v>10.8</v>
      </c>
      <c r="AP103" s="351"/>
      <c r="AR103" s="352" t="n">
        <f aca="true">IF(AND($D103="Serviço",AR$12&lt;&gt;0,$H103&gt;0,OR(AUTOEVENTO&lt;&gt;"manual",$M103&lt;&gt;$A$15)),
        IF(Import.TipoArredondamento&lt;&gt;"TransfereGOV",
              ROUND(OFFSET($P103,0,AR$13),15-13*ORÇAMENTO!$AF$7)/$H103*OFFSET(ORÇAMENTO!$X$15,ROW(AR103)-ROW(AR$15),0),
              ROUND(ROUND(OFFSET($P103,0,AR$13),15-13*ORÇAMENTO!$AF$7)*OFFSET(ORÇAMENTO!$W$15,ROW(AR103)-ROW(AR$15),0),15-13*ORÇAMENTO!$AF$11)),
         0)</f>
        <v>0</v>
      </c>
      <c r="AS103" s="352" t="n">
        <f aca="true">IF(AND($D103="Serviço",AS$12&lt;&gt;0,$H103&gt;0,OR(AUTOEVENTO&lt;&gt;"manual",$M103&lt;&gt;$A$15)),
        IF(Import.TipoArredondamento&lt;&gt;"TransfereGOV",
              ROUND(OFFSET($P103,0,AS$13),15-13*ORÇAMENTO!$AF$7)/$H103*OFFSET(ORÇAMENTO!$X$15,ROW(AS103)-ROW(AS$15),0),
              ROUND(ROUND(OFFSET($P103,0,AS$13),15-13*ORÇAMENTO!$AF$7)*OFFSET(ORÇAMENTO!$W$15,ROW(AS103)-ROW(AS$15),0),15-13*ORÇAMENTO!$AF$11)),
         0)</f>
        <v>0</v>
      </c>
      <c r="AT103" s="352" t="n">
        <f aca="true">IF(AND($D103="Serviço",AT$12&lt;&gt;0,$H103&gt;0,OR(AUTOEVENTO&lt;&gt;"manual",$M103&lt;&gt;$A$15)),
        IF(Import.TipoArredondamento&lt;&gt;"TransfereGOV",
              ROUND(OFFSET($P103,0,AT$13),15-13*ORÇAMENTO!$AF$7)/$H103*OFFSET(ORÇAMENTO!$X$15,ROW(AT103)-ROW(AT$15),0),
              ROUND(ROUND(OFFSET($P103,0,AT$13),15-13*ORÇAMENTO!$AF$7)*OFFSET(ORÇAMENTO!$W$15,ROW(AT103)-ROW(AT$15),0),15-13*ORÇAMENTO!$AF$11)),
         0)</f>
        <v>0</v>
      </c>
      <c r="AU103" s="352" t="n">
        <f aca="true">IF(AND($D103="Serviço",AU$12&lt;&gt;0,$H103&gt;0,OR(AUTOEVENTO&lt;&gt;"manual",$M103&lt;&gt;$A$15)),
        IF(Import.TipoArredondamento&lt;&gt;"TransfereGOV",
              ROUND(OFFSET($P103,0,AU$13),15-13*ORÇAMENTO!$AF$7)/$H103*OFFSET(ORÇAMENTO!$X$15,ROW(AU103)-ROW(AU$15),0),
              ROUND(ROUND(OFFSET($P103,0,AU$13),15-13*ORÇAMENTO!$AF$7)*OFFSET(ORÇAMENTO!$W$15,ROW(AU103)-ROW(AU$15),0),15-13*ORÇAMENTO!$AF$11)),
         0)</f>
        <v>0</v>
      </c>
      <c r="AV103" s="352" t="n">
        <f aca="true">IF(AND($D103="Serviço",AV$12&lt;&gt;0,$H103&gt;0,OR(AUTOEVENTO&lt;&gt;"manual",$M103&lt;&gt;$A$15)),
        IF(Import.TipoArredondamento&lt;&gt;"TransfereGOV",
              ROUND(OFFSET($P103,0,AV$13),15-13*ORÇAMENTO!$AF$7)/$H103*OFFSET(ORÇAMENTO!$X$15,ROW(AV103)-ROW(AV$15),0),
              ROUND(ROUND(OFFSET($P103,0,AV$13),15-13*ORÇAMENTO!$AF$7)*OFFSET(ORÇAMENTO!$W$15,ROW(AV103)-ROW(AV$15),0),15-13*ORÇAMENTO!$AF$11)),
         0)</f>
        <v>0</v>
      </c>
      <c r="AW103" s="352" t="n">
        <f aca="true">IF(AND($D103="Serviço",AW$12&lt;&gt;0,$H103&gt;0,OR(AUTOEVENTO&lt;&gt;"manual",$M103&lt;&gt;$A$15)),
        IF(Import.TipoArredondamento&lt;&gt;"TransfereGOV",
              ROUND(OFFSET($P103,0,AW$13),15-13*ORÇAMENTO!$AF$7)/$H103*OFFSET(ORÇAMENTO!$X$15,ROW(AW103)-ROW(AW$15),0),
              ROUND(ROUND(OFFSET($P103,0,AW$13),15-13*ORÇAMENTO!$AF$7)*OFFSET(ORÇAMENTO!$W$15,ROW(AW103)-ROW(AW$15),0),15-13*ORÇAMENTO!$AF$11)),
         0)</f>
        <v>0</v>
      </c>
      <c r="AX103" s="352" t="n">
        <f aca="true">IF(AND($D103="Serviço",AX$12&lt;&gt;0,$H103&gt;0,OR(AUTOEVENTO&lt;&gt;"manual",$M103&lt;&gt;$A$15)),
        IF(Import.TipoArredondamento&lt;&gt;"TransfereGOV",
              ROUND(OFFSET($P103,0,AX$13),15-13*ORÇAMENTO!$AF$7)/$H103*OFFSET(ORÇAMENTO!$X$15,ROW(AX103)-ROW(AX$15),0),
              ROUND(ROUND(OFFSET($P103,0,AX$13),15-13*ORÇAMENTO!$AF$7)*OFFSET(ORÇAMENTO!$W$15,ROW(AX103)-ROW(AX$15),0),15-13*ORÇAMENTO!$AF$11)),
         0)</f>
        <v>0</v>
      </c>
      <c r="AY103" s="352" t="n">
        <f aca="true">IF(AND($D103="Serviço",AY$12&lt;&gt;0,$H103&gt;0,OR(AUTOEVENTO&lt;&gt;"manual",$M103&lt;&gt;$A$15)),
        IF(Import.TipoArredondamento&lt;&gt;"TransfereGOV",
              ROUND(OFFSET($P103,0,AY$13),15-13*ORÇAMENTO!$AF$7)/$H103*OFFSET(ORÇAMENTO!$X$15,ROW(AY103)-ROW(AY$15),0),
              ROUND(ROUND(OFFSET($P103,0,AY$13),15-13*ORÇAMENTO!$AF$7)*OFFSET(ORÇAMENTO!$W$15,ROW(AY103)-ROW(AY$15),0),15-13*ORÇAMENTO!$AF$11)),
         0)</f>
        <v>0</v>
      </c>
      <c r="AZ103" s="352" t="n">
        <f aca="true">IF(AND($D103="Serviço",AZ$12&lt;&gt;0,$H103&gt;0,OR(AUTOEVENTO&lt;&gt;"manual",$M103&lt;&gt;$A$15)),
        IF(Import.TipoArredondamento&lt;&gt;"TransfereGOV",
              ROUND(OFFSET($P103,0,AZ$13),15-13*ORÇAMENTO!$AF$7)/$H103*OFFSET(ORÇAMENTO!$X$15,ROW(AZ103)-ROW(AZ$15),0),
              ROUND(ROUND(OFFSET($P103,0,AZ$13),15-13*ORÇAMENTO!$AF$7)*OFFSET(ORÇAMENTO!$W$15,ROW(AZ103)-ROW(AZ$15),0),15-13*ORÇAMENTO!$AF$11)),
         0)</f>
        <v>0</v>
      </c>
      <c r="BA103" s="352" t="n">
        <f aca="true">IF(AND($D103="Serviço",BA$12&lt;&gt;0,$H103&gt;0,OR(AUTOEVENTO&lt;&gt;"manual",$M103&lt;&gt;$A$15)),
        IF(Import.TipoArredondamento&lt;&gt;"TransfereGOV",
              ROUND(OFFSET($P103,0,BA$13),15-13*ORÇAMENTO!$AF$7)/$H103*OFFSET(ORÇAMENTO!$X$15,ROW(BA103)-ROW(BA$15),0),
              ROUND(ROUND(OFFSET($P103,0,BA$13),15-13*ORÇAMENTO!$AF$7)*OFFSET(ORÇAMENTO!$W$15,ROW(BA103)-ROW(BA$15),0),15-13*ORÇAMENTO!$AF$11)),
         0)</f>
        <v>0</v>
      </c>
      <c r="BB103" s="352" t="n">
        <f aca="true">IF(AND($D103="Serviço",BB$12&lt;&gt;0,$H103&gt;0,OR(AUTOEVENTO&lt;&gt;"manual",$M103&lt;&gt;$A$15)),
        IF(Import.TipoArredondamento&lt;&gt;"TransfereGOV",
              ROUND(OFFSET($P103,0,BB$13),15-13*ORÇAMENTO!$AF$7)/$H103*OFFSET(ORÇAMENTO!$X$15,ROW(BB103)-ROW(BB$15),0),
              ROUND(ROUND(OFFSET($P103,0,BB$13),15-13*ORÇAMENTO!$AF$7)*OFFSET(ORÇAMENTO!$W$15,ROW(BB103)-ROW(BB$15),0),15-13*ORÇAMENTO!$AF$11)),
         0)</f>
        <v>0</v>
      </c>
      <c r="BC103" s="352" t="n">
        <f aca="true">IF(AND($D103="Serviço",BC$12&lt;&gt;0,$H103&gt;0,OR(AUTOEVENTO&lt;&gt;"manual",$M103&lt;&gt;$A$15)),
        IF(Import.TipoArredondamento&lt;&gt;"TransfereGOV",
              ROUND(OFFSET($P103,0,BC$13),15-13*ORÇAMENTO!$AF$7)/$H103*OFFSET(ORÇAMENTO!$X$15,ROW(BC103)-ROW(BC$15),0),
              ROUND(ROUND(OFFSET($P103,0,BC$13),15-13*ORÇAMENTO!$AF$7)*OFFSET(ORÇAMENTO!$W$15,ROW(BC103)-ROW(BC$15),0),15-13*ORÇAMENTO!$AF$11)),
         0)</f>
        <v>0</v>
      </c>
      <c r="BD103" s="352" t="n">
        <f aca="true">IF(AND($D103="Serviço",BD$12&lt;&gt;0,$H103&gt;0,OR(AUTOEVENTO&lt;&gt;"manual",$M103&lt;&gt;$A$15)),
        IF(Import.TipoArredondamento&lt;&gt;"TransfereGOV",
              ROUND(OFFSET($P103,0,BD$13),15-13*ORÇAMENTO!$AF$7)/$H103*OFFSET(ORÇAMENTO!$X$15,ROW(BD103)-ROW(BD$15),0),
              ROUND(ROUND(OFFSET($P103,0,BD$13),15-13*ORÇAMENTO!$AF$7)*OFFSET(ORÇAMENTO!$W$15,ROW(BD103)-ROW(BD$15),0),15-13*ORÇAMENTO!$AF$11)),
         0)</f>
        <v>0</v>
      </c>
      <c r="BE103" s="352" t="n">
        <f aca="true">IF(AND($D103="Serviço",BE$12&lt;&gt;0,$H103&gt;0,OR(AUTOEVENTO&lt;&gt;"manual",$M103&lt;&gt;$A$15)),
        IF(Import.TipoArredondamento&lt;&gt;"TransfereGOV",
              ROUND(OFFSET($P103,0,BE$13),15-13*ORÇAMENTO!$AF$7)/$H103*OFFSET(ORÇAMENTO!$X$15,ROW(BE103)-ROW(BE$15),0),
              ROUND(ROUND(OFFSET($P103,0,BE$13),15-13*ORÇAMENTO!$AF$7)*OFFSET(ORÇAMENTO!$W$15,ROW(BE103)-ROW(BE$15),0),15-13*ORÇAMENTO!$AF$11)),
         0)</f>
        <v>0</v>
      </c>
      <c r="BF103" s="352" t="n">
        <f aca="true">IF(AND($D103="Serviço",BF$12&lt;&gt;0,$H103&gt;0,OR(AUTOEVENTO&lt;&gt;"manual",$M103&lt;&gt;$A$15)),
        IF(Import.TipoArredondamento&lt;&gt;"TransfereGOV",
              ROUND(OFFSET($P103,0,BF$13),15-13*ORÇAMENTO!$AF$7)/$H103*OFFSET(ORÇAMENTO!$X$15,ROW(BF103)-ROW(BF$15),0),
              ROUND(ROUND(OFFSET($P103,0,BF$13),15-13*ORÇAMENTO!$AF$7)*OFFSET(ORÇAMENTO!$W$15,ROW(BF103)-ROW(BF$15),0),15-13*ORÇAMENTO!$AF$11)),
         0)</f>
        <v>0</v>
      </c>
      <c r="BG103" s="352" t="n">
        <f aca="true">IF(AND($D103="Serviço",BG$12&lt;&gt;0,$H103&gt;0,OR(AUTOEVENTO&lt;&gt;"manual",$M103&lt;&gt;$A$15)),
        IF(Import.TipoArredondamento&lt;&gt;"TransfereGOV",
              ROUND(OFFSET($P103,0,BG$13),15-13*ORÇAMENTO!$AF$7)/$H103*OFFSET(ORÇAMENTO!$X$15,ROW(BG103)-ROW(BG$15),0),
              ROUND(ROUND(OFFSET($P103,0,BG$13),15-13*ORÇAMENTO!$AF$7)*OFFSET(ORÇAMENTO!$W$15,ROW(BG103)-ROW(BG$15),0),15-13*ORÇAMENTO!$AF$11)),
         0)</f>
        <v>0</v>
      </c>
      <c r="BH103" s="352" t="n">
        <f aca="true">IF(AND($D103="Serviço",BH$12&lt;&gt;0,$H103&gt;0,OR(AUTOEVENTO&lt;&gt;"manual",$M103&lt;&gt;$A$15)),
        IF(Import.TipoArredondamento&lt;&gt;"TransfereGOV",
              ROUND(OFFSET($P103,0,BH$13),15-13*ORÇAMENTO!$AF$7)/$H103*OFFSET(ORÇAMENTO!$X$15,ROW(BH103)-ROW(BH$15),0),
              ROUND(ROUND(OFFSET($P103,0,BH$13),15-13*ORÇAMENTO!$AF$7)*OFFSET(ORÇAMENTO!$W$15,ROW(BH103)-ROW(BH$15),0),15-13*ORÇAMENTO!$AF$11)),
         0)</f>
        <v>0</v>
      </c>
      <c r="BI103" s="352" t="n">
        <f aca="true">IF(AND($D103="Serviço",BI$12&lt;&gt;0,$H103&gt;0,OR(AUTOEVENTO&lt;&gt;"manual",$M103&lt;&gt;$A$15)),
        IF(Import.TipoArredondamento&lt;&gt;"TransfereGOV",
              ROUND(OFFSET($P103,0,BI$13),15-13*ORÇAMENTO!$AF$7)/$H103*OFFSET(ORÇAMENTO!$X$15,ROW(BI103)-ROW(BI$15),0),
              ROUND(ROUND(OFFSET($P103,0,BI$13),15-13*ORÇAMENTO!$AF$7)*OFFSET(ORÇAMENTO!$W$15,ROW(BI103)-ROW(BI$15),0),15-13*ORÇAMENTO!$AF$11)),
         0)</f>
        <v>0</v>
      </c>
      <c r="BJ103" s="352" t="n">
        <f aca="true">IF(AND($D103="Serviço",BJ$12&lt;&gt;0,$H103&gt;0,OR(AUTOEVENTO&lt;&gt;"manual",$M103&lt;&gt;$A$15)),
        IF(Import.TipoArredondamento&lt;&gt;"TransfereGOV",
              ROUND(OFFSET($P103,0,BJ$13),15-13*ORÇAMENTO!$AF$7)/$H103*OFFSET(ORÇAMENTO!$X$15,ROW(BJ103)-ROW(BJ$15),0),
              ROUND(ROUND(OFFSET($P103,0,BJ$13),15-13*ORÇAMENTO!$AF$7)*OFFSET(ORÇAMENTO!$W$15,ROW(BJ103)-ROW(BJ$15),0),15-13*ORÇAMENTO!$AF$11)),
         0)</f>
        <v>0</v>
      </c>
      <c r="BK103" s="352" t="n">
        <f aca="true">IF(AND($D103="Serviço",BK$12&lt;&gt;0,$H103&gt;0,OR(AUTOEVENTO&lt;&gt;"manual",$M103&lt;&gt;$A$15)),
        IF(Import.TipoArredondamento&lt;&gt;"TransfereGOV",
              ROUND(OFFSET($P103,0,BK$13),15-13*ORÇAMENTO!$AF$7)/$H103*OFFSET(ORÇAMENTO!$X$15,ROW(BK103)-ROW(BK$15),0),
              ROUND(ROUND(OFFSET($P103,0,BK$13),15-13*ORÇAMENTO!$AF$7)*OFFSET(ORÇAMENTO!$W$15,ROW(BK103)-ROW(BK$15),0),15-13*ORÇAMENTO!$AF$11)),
         0)</f>
        <v>0</v>
      </c>
      <c r="BL103" s="352" t="n">
        <f aca="true">IF(AND($D103="Serviço",BL$12&lt;&gt;0,$H103&gt;0,OR(AUTOEVENTO&lt;&gt;"manual",$M103&lt;&gt;$A$15)),
        IF(Import.TipoArredondamento&lt;&gt;"TransfereGOV",
              ROUND(OFFSET($P103,0,BL$13),15-13*ORÇAMENTO!$AF$7)/$H103*OFFSET(ORÇAMENTO!$X$15,ROW(BL103)-ROW(BL$15),0),
              ROUND(ROUND(OFFSET($P103,0,BL$13),15-13*ORÇAMENTO!$AF$7)*OFFSET(ORÇAMENTO!$W$15,ROW(BL103)-ROW(BL$15),0),15-13*ORÇAMENTO!$AF$11)),
         0)</f>
        <v>0</v>
      </c>
      <c r="BM103" s="352" t="n">
        <f aca="true">IF(AND($D103="Serviço",BM$12&lt;&gt;0,$H103&gt;0,OR(AUTOEVENTO&lt;&gt;"manual",$M103&lt;&gt;$A$15)),
        IF(Import.TipoArredondamento&lt;&gt;"TransfereGOV",
              ROUND(OFFSET($P103,0,BM$13),15-13*ORÇAMENTO!$AF$7)/$H103*OFFSET(ORÇAMENTO!$X$15,ROW(BM103)-ROW(BM$15),0),
              ROUND(ROUND(OFFSET($P103,0,BM$13),15-13*ORÇAMENTO!$AF$7)*OFFSET(ORÇAMENTO!$W$15,ROW(BM103)-ROW(BM$15),0),15-13*ORÇAMENTO!$AF$11)),
         0)</f>
        <v>0</v>
      </c>
      <c r="BN103" s="352" t="n">
        <f aca="true">IF(AND($D103="Serviço",BN$12&lt;&gt;0,$H103&gt;0,OR(AUTOEVENTO&lt;&gt;"manual",$M103&lt;&gt;$A$15)),
        IF(Import.TipoArredondamento&lt;&gt;"TransfereGOV",
              ROUND(OFFSET($P103,0,BN$13),15-13*ORÇAMENTO!$AF$7)/$H103*OFFSET(ORÇAMENTO!$X$15,ROW(BN103)-ROW(BN$15),0),
              ROUND(ROUND(OFFSET($P103,0,BN$13),15-13*ORÇAMENTO!$AF$7)*OFFSET(ORÇAMENTO!$W$15,ROW(BN103)-ROW(BN$15),0),15-13*ORÇAMENTO!$AF$11)),
         0)</f>
        <v>0</v>
      </c>
      <c r="BO103" s="352" t="n">
        <f aca="true">IF(AND($D103="Serviço",BO$12&lt;&gt;0,$H103&gt;0,OR(AUTOEVENTO&lt;&gt;"manual",$M103&lt;&gt;$A$15)),
        IF(Import.TipoArredondamento&lt;&gt;"TransfereGOV",
              ROUND(OFFSET($P103,0,BO$13),15-13*ORÇAMENTO!$AF$7)/$H103*OFFSET(ORÇAMENTO!$X$15,ROW(BO103)-ROW(BO$15),0),
              ROUND(ROUND(OFFSET($P103,0,BO$13),15-13*ORÇAMENTO!$AF$7)*OFFSET(ORÇAMENTO!$W$15,ROW(BO103)-ROW(BO$15),0),15-13*ORÇAMENTO!$AF$11)),
         0)</f>
        <v>0</v>
      </c>
      <c r="BP103" s="352" t="n">
        <f aca="true">IF(AND($D103="Serviço",BP$12&lt;&gt;0,$H103&gt;0,OR(AUTOEVENTO&lt;&gt;"manual",$M103&lt;&gt;$A$15)),
        IF(Import.TipoArredondamento&lt;&gt;"TransfereGOV",
              ROUND(OFFSET($P103,0,BP$13),15-13*ORÇAMENTO!$AF$7)/$H103*OFFSET(ORÇAMENTO!$X$15,ROW(BP103)-ROW(BP$15),0),
              ROUND(ROUND(OFFSET($P103,0,BP$13),15-13*ORÇAMENTO!$AF$7)*OFFSET(ORÇAMENTO!$W$15,ROW(BP103)-ROW(BP$15),0),15-13*ORÇAMENTO!$AF$11)),
         0)</f>
        <v>0</v>
      </c>
      <c r="BQ103" s="352" t="n">
        <f aca="true">IF(AND($D103="Serviço",BQ$12&lt;&gt;0,$H103&gt;0,OR(AUTOEVENTO&lt;&gt;"manual",$M103&lt;&gt;$A$15)),
        IF(Import.TipoArredondamento&lt;&gt;"TransfereGOV",
              ROUND(OFFSET($P103,0,BQ$13),15-13*ORÇAMENTO!$AF$7)/$H103*OFFSET(ORÇAMENTO!$X$15,ROW(BQ103)-ROW(BQ$15),0),
              ROUND(ROUND(OFFSET($P103,0,BQ$13),15-13*ORÇAMENTO!$AF$7)*OFFSET(ORÇAMENTO!$W$15,ROW(BQ103)-ROW(BQ$15),0),15-13*ORÇAMENTO!$AF$11)),
         0)</f>
        <v>0</v>
      </c>
      <c r="BS103" s="353" t="n">
        <f aca="true">IF(OR($D103&lt;&gt;"Serviço",AND(AUTOEVENTO="Manual",$M103=$A$15)),0,
         IF(OFFSET(CRONOPLE!$F$15,$M103-$A$15,BS$13)=0,10^12,OFFSET(CRONOPLE!$F$15,$M103-$A$15,BS$13)))</f>
        <v>0</v>
      </c>
      <c r="BT103" s="353" t="n">
        <f aca="true">IF(OR($D103&lt;&gt;"Serviço",AND(AUTOEVENTO="Manual",$M103=$A$15)),0,
         IF(OFFSET(CRONOPLE!$F$15,$M103-$A$15,BT$13)=0,10^12,OFFSET(CRONOPLE!$F$15,$M103-$A$15,BT$13)))</f>
        <v>0</v>
      </c>
      <c r="BU103" s="353" t="n">
        <f aca="true">IF(OR($D103&lt;&gt;"Serviço",AND(AUTOEVENTO="Manual",$M103=$A$15)),0,
         IF(OFFSET(CRONOPLE!$F$15,$M103-$A$15,BU$13)=0,10^12,OFFSET(CRONOPLE!$F$15,$M103-$A$15,BU$13)))</f>
        <v>0</v>
      </c>
      <c r="BV103" s="353" t="n">
        <f aca="true">IF(OR($D103&lt;&gt;"Serviço",AND(AUTOEVENTO="Manual",$M103=$A$15)),0,
         IF(OFFSET(CRONOPLE!$F$15,$M103-$A$15,BV$13)=0,10^12,OFFSET(CRONOPLE!$F$15,$M103-$A$15,BV$13)))</f>
        <v>0</v>
      </c>
      <c r="BW103" s="353" t="n">
        <f aca="true">IF(OR($D103&lt;&gt;"Serviço",AND(AUTOEVENTO="Manual",$M103=$A$15)),0,
         IF(OFFSET(CRONOPLE!$F$15,$M103-$A$15,BW$13)=0,10^12,OFFSET(CRONOPLE!$F$15,$M103-$A$15,BW$13)))</f>
        <v>0</v>
      </c>
      <c r="BX103" s="353" t="n">
        <f aca="true">IF(OR($D103&lt;&gt;"Serviço",AND(AUTOEVENTO="Manual",$M103=$A$15)),0,
         IF(OFFSET(CRONOPLE!$F$15,$M103-$A$15,BX$13)=0,10^12,OFFSET(CRONOPLE!$F$15,$M103-$A$15,BX$13)))</f>
        <v>0</v>
      </c>
      <c r="BY103" s="353" t="n">
        <f aca="true">IF(OR($D103&lt;&gt;"Serviço",AND(AUTOEVENTO="Manual",$M103=$A$15)),0,
         IF(OFFSET(CRONOPLE!$F$15,$M103-$A$15,BY$13)=0,10^12,OFFSET(CRONOPLE!$F$15,$M103-$A$15,BY$13)))</f>
        <v>0</v>
      </c>
      <c r="BZ103" s="353" t="n">
        <f aca="true">IF(OR($D103&lt;&gt;"Serviço",AND(AUTOEVENTO="Manual",$M103=$A$15)),0,
         IF(OFFSET(CRONOPLE!$F$15,$M103-$A$15,BZ$13)=0,10^12,OFFSET(CRONOPLE!$F$15,$M103-$A$15,BZ$13)))</f>
        <v>0</v>
      </c>
      <c r="CA103" s="353" t="n">
        <f aca="true">IF(OR($D103&lt;&gt;"Serviço",AND(AUTOEVENTO="Manual",$M103=$A$15)),0,
         IF(OFFSET(CRONOPLE!$F$15,$M103-$A$15,CA$13)=0,10^12,OFFSET(CRONOPLE!$F$15,$M103-$A$15,CA$13)))</f>
        <v>0</v>
      </c>
      <c r="CB103" s="353" t="n">
        <f aca="true">IF(OR($D103&lt;&gt;"Serviço",AND(AUTOEVENTO="Manual",$M103=$A$15)),0,
         IF(OFFSET(CRONOPLE!$F$15,$M103-$A$15,CB$13)=0,10^12,OFFSET(CRONOPLE!$F$15,$M103-$A$15,CB$13)))</f>
        <v>0</v>
      </c>
      <c r="CC103" s="353" t="n">
        <f aca="true">IF(OR($D103&lt;&gt;"Serviço",AND(AUTOEVENTO="Manual",$M103=$A$15)),0,
         IF(OFFSET(CRONOPLE!$F$15,$M103-$A$15,CC$13)=0,10^12,OFFSET(CRONOPLE!$F$15,$M103-$A$15,CC$13)))</f>
        <v>0</v>
      </c>
      <c r="CD103" s="353" t="n">
        <f aca="true">IF(OR($D103&lt;&gt;"Serviço",AND(AUTOEVENTO="Manual",$M103=$A$15)),0,
         IF(OFFSET(CRONOPLE!$F$15,$M103-$A$15,CD$13)=0,10^12,OFFSET(CRONOPLE!$F$15,$M103-$A$15,CD$13)))</f>
        <v>0</v>
      </c>
      <c r="CE103" s="353" t="n">
        <f aca="true">IF(OR($D103&lt;&gt;"Serviço",AND(AUTOEVENTO="Manual",$M103=$A$15)),0,
         IF(OFFSET(CRONOPLE!$F$15,$M103-$A$15,CE$13)=0,10^12,OFFSET(CRONOPLE!$F$15,$M103-$A$15,CE$13)))</f>
        <v>0</v>
      </c>
      <c r="CF103" s="353" t="n">
        <f aca="true">IF(OR($D103&lt;&gt;"Serviço",AND(AUTOEVENTO="Manual",$M103=$A$15)),0,
         IF(OFFSET(CRONOPLE!$F$15,$M103-$A$15,CF$13)=0,10^12,OFFSET(CRONOPLE!$F$15,$M103-$A$15,CF$13)))</f>
        <v>0</v>
      </c>
      <c r="CG103" s="353" t="n">
        <f aca="true">IF(OR($D103&lt;&gt;"Serviço",AND(AUTOEVENTO="Manual",$M103=$A$15)),0,
         IF(OFFSET(CRONOPLE!$F$15,$M103-$A$15,CG$13)=0,10^12,OFFSET(CRONOPLE!$F$15,$M103-$A$15,CG$13)))</f>
        <v>0</v>
      </c>
      <c r="CH103" s="353" t="n">
        <f aca="true">IF(OR($D103&lt;&gt;"Serviço",AND(AUTOEVENTO="Manual",$M103=$A$15)),0,
         IF(OFFSET(CRONOPLE!$F$15,$M103-$A$15,CH$13)=0,10^12,OFFSET(CRONOPLE!$F$15,$M103-$A$15,CH$13)))</f>
        <v>0</v>
      </c>
      <c r="CI103" s="353" t="n">
        <f aca="true">IF(OR($D103&lt;&gt;"Serviço",AND(AUTOEVENTO="Manual",$M103=$A$15)),0,
         IF(OFFSET(CRONOPLE!$F$15,$M103-$A$15,CI$13)=0,10^12,OFFSET(CRONOPLE!$F$15,$M103-$A$15,CI$13)))</f>
        <v>0</v>
      </c>
      <c r="CJ103" s="353" t="n">
        <f aca="true">IF(OR($D103&lt;&gt;"Serviço",AND(AUTOEVENTO="Manual",$M103=$A$15)),0,
         IF(OFFSET(CRONOPLE!$F$15,$M103-$A$15,CJ$13)=0,10^12,OFFSET(CRONOPLE!$F$15,$M103-$A$15,CJ$13)))</f>
        <v>0</v>
      </c>
      <c r="CK103" s="353" t="n">
        <f aca="true">IF(OR($D103&lt;&gt;"Serviço",AND(AUTOEVENTO="Manual",$M103=$A$15)),0,
         IF(OFFSET(CRONOPLE!$F$15,$M103-$A$15,CK$13)=0,10^12,OFFSET(CRONOPLE!$F$15,$M103-$A$15,CK$13)))</f>
        <v>0</v>
      </c>
      <c r="CL103" s="353" t="n">
        <f aca="true">IF(OR($D103&lt;&gt;"Serviço",AND(AUTOEVENTO="Manual",$M103=$A$15)),0,
         IF(OFFSET(CRONOPLE!$F$15,$M103-$A$15,CL$13)=0,10^12,OFFSET(CRONOPLE!$F$15,$M103-$A$15,CL$13)))</f>
        <v>0</v>
      </c>
      <c r="CM103" s="353" t="n">
        <f aca="true">IF(OR($D103&lt;&gt;"Serviço",AND(AUTOEVENTO="Manual",$M103=$A$15)),0,
         IF(OFFSET(CRONOPLE!$F$15,$M103-$A$15,CM$13)=0,10^12,OFFSET(CRONOPLE!$F$15,$M103-$A$15,CM$13)))</f>
        <v>0</v>
      </c>
      <c r="CN103" s="353" t="n">
        <f aca="true">IF(OR($D103&lt;&gt;"Serviço",AND(AUTOEVENTO="Manual",$M103=$A$15)),0,
         IF(OFFSET(CRONOPLE!$F$15,$M103-$A$15,CN$13)=0,10^12,OFFSET(CRONOPLE!$F$15,$M103-$A$15,CN$13)))</f>
        <v>0</v>
      </c>
      <c r="CO103" s="353" t="n">
        <f aca="true">IF(OR($D103&lt;&gt;"Serviço",AND(AUTOEVENTO="Manual",$M103=$A$15)),0,
         IF(OFFSET(CRONOPLE!$F$15,$M103-$A$15,CO$13)=0,10^12,OFFSET(CRONOPLE!$F$15,$M103-$A$15,CO$13)))</f>
        <v>0</v>
      </c>
      <c r="CP103" s="353" t="n">
        <f aca="true">IF(OR($D103&lt;&gt;"Serviço",AND(AUTOEVENTO="Manual",$M103=$A$15)),0,
         IF(OFFSET(CRONOPLE!$F$15,$M103-$A$15,CP$13)=0,10^12,OFFSET(CRONOPLE!$F$15,$M103-$A$15,CP$13)))</f>
        <v>0</v>
      </c>
      <c r="CQ103" s="353" t="n">
        <f aca="true">IF(OR($D103&lt;&gt;"Serviço",AND(AUTOEVENTO="Manual",$M103=$A$15)),0,
         IF(OFFSET(CRONOPLE!$F$15,$M103-$A$15,CQ$13)=0,10^12,OFFSET(CRONOPLE!$F$15,$M103-$A$15,CQ$13)))</f>
        <v>0</v>
      </c>
      <c r="CR103" s="353" t="n">
        <f aca="true">IF(OR($D103&lt;&gt;"Serviço",AND(AUTOEVENTO="Manual",$M103=$A$15)),0,
         IF(OFFSET(CRONOPLE!$F$15,$M103-$A$15,CR$13)=0,10^12,OFFSET(CRONOPLE!$F$15,$M103-$A$15,CR$13)))</f>
        <v>0</v>
      </c>
      <c r="CT103" s="354" t="n">
        <f aca="true">IF(OR($D103&lt;&gt;"Serviço",AND(AUTOEVENTO="Manual",$M103=$A$15),$M103&gt;(ROW(PLE.lastrow)-ROW(PLE.firstrow))),0,
           IF(OFFSET(PLE!$G$15,$M103-$A$15,CT$13)="",10^12,OFFSET(PLE!$G$15,$M103-$A$15,CT$13)))</f>
        <v>0</v>
      </c>
      <c r="CU103" s="354" t="n">
        <f aca="true">IF(OR($D103&lt;&gt;"Serviço",AND(AUTOEVENTO="Manual",$M103=$A$15),$M103&gt;(ROW(PLE.lastrow)-ROW(PLE.firstrow))),0,
           IF(OFFSET(PLE!$G$15,$M103-$A$15,CU$13)="",10^12,OFFSET(PLE!$G$15,$M103-$A$15,CU$13)))</f>
        <v>0</v>
      </c>
      <c r="CV103" s="354" t="n">
        <f aca="true">IF(OR($D103&lt;&gt;"Serviço",AND(AUTOEVENTO="Manual",$M103=$A$15),$M103&gt;(ROW(PLE.lastrow)-ROW(PLE.firstrow))),0,
           IF(OFFSET(PLE!$G$15,$M103-$A$15,CV$13)="",10^12,OFFSET(PLE!$G$15,$M103-$A$15,CV$13)))</f>
        <v>0</v>
      </c>
      <c r="CW103" s="354" t="n">
        <f aca="true">IF(OR($D103&lt;&gt;"Serviço",AND(AUTOEVENTO="Manual",$M103=$A$15),$M103&gt;(ROW(PLE.lastrow)-ROW(PLE.firstrow))),0,
           IF(OFFSET(PLE!$G$15,$M103-$A$15,CW$13)="",10^12,OFFSET(PLE!$G$15,$M103-$A$15,CW$13)))</f>
        <v>0</v>
      </c>
      <c r="CX103" s="354" t="n">
        <f aca="true">IF(OR($D103&lt;&gt;"Serviço",AND(AUTOEVENTO="Manual",$M103=$A$15),$M103&gt;(ROW(PLE.lastrow)-ROW(PLE.firstrow))),0,
           IF(OFFSET(PLE!$G$15,$M103-$A$15,CX$13)="",10^12,OFFSET(PLE!$G$15,$M103-$A$15,CX$13)))</f>
        <v>0</v>
      </c>
      <c r="CY103" s="354" t="n">
        <f aca="true">IF(OR($D103&lt;&gt;"Serviço",AND(AUTOEVENTO="Manual",$M103=$A$15),$M103&gt;(ROW(PLE.lastrow)-ROW(PLE.firstrow))),0,
           IF(OFFSET(PLE!$G$15,$M103-$A$15,CY$13)="",10^12,OFFSET(PLE!$G$15,$M103-$A$15,CY$13)))</f>
        <v>0</v>
      </c>
      <c r="CZ103" s="354" t="n">
        <f aca="true">IF(OR($D103&lt;&gt;"Serviço",AND(AUTOEVENTO="Manual",$M103=$A$15),$M103&gt;(ROW(PLE.lastrow)-ROW(PLE.firstrow))),0,
           IF(OFFSET(PLE!$G$15,$M103-$A$15,CZ$13)="",10^12,OFFSET(PLE!$G$15,$M103-$A$15,CZ$13)))</f>
        <v>0</v>
      </c>
      <c r="DA103" s="354" t="n">
        <f aca="true">IF(OR($D103&lt;&gt;"Serviço",AND(AUTOEVENTO="Manual",$M103=$A$15),$M103&gt;(ROW(PLE.lastrow)-ROW(PLE.firstrow))),0,
           IF(OFFSET(PLE!$G$15,$M103-$A$15,DA$13)="",10^12,OFFSET(PLE!$G$15,$M103-$A$15,DA$13)))</f>
        <v>0</v>
      </c>
      <c r="DB103" s="354" t="n">
        <f aca="true">IF(OR($D103&lt;&gt;"Serviço",AND(AUTOEVENTO="Manual",$M103=$A$15),$M103&gt;(ROW(PLE.lastrow)-ROW(PLE.firstrow))),0,
           IF(OFFSET(PLE!$G$15,$M103-$A$15,DB$13)="",10^12,OFFSET(PLE!$G$15,$M103-$A$15,DB$13)))</f>
        <v>0</v>
      </c>
      <c r="DC103" s="354" t="n">
        <f aca="true">IF(OR($D103&lt;&gt;"Serviço",AND(AUTOEVENTO="Manual",$M103=$A$15),$M103&gt;(ROW(PLE.lastrow)-ROW(PLE.firstrow))),0,
           IF(OFFSET(PLE!$G$15,$M103-$A$15,DC$13)="",10^12,OFFSET(PLE!$G$15,$M103-$A$15,DC$13)))</f>
        <v>0</v>
      </c>
      <c r="DD103" s="354" t="n">
        <f aca="true">IF(OR($D103&lt;&gt;"Serviço",AND(AUTOEVENTO="Manual",$M103=$A$15),$M103&gt;(ROW(PLE.lastrow)-ROW(PLE.firstrow))),0,
           IF(OFFSET(PLE!$G$15,$M103-$A$15,DD$13)="",10^12,OFFSET(PLE!$G$15,$M103-$A$15,DD$13)))</f>
        <v>0</v>
      </c>
      <c r="DE103" s="354" t="n">
        <f aca="true">IF(OR($D103&lt;&gt;"Serviço",AND(AUTOEVENTO="Manual",$M103=$A$15),$M103&gt;(ROW(PLE.lastrow)-ROW(PLE.firstrow))),0,
           IF(OFFSET(PLE!$G$15,$M103-$A$15,DE$13)="",10^12,OFFSET(PLE!$G$15,$M103-$A$15,DE$13)))</f>
        <v>0</v>
      </c>
      <c r="DF103" s="354" t="n">
        <f aca="true">IF(OR($D103&lt;&gt;"Serviço",AND(AUTOEVENTO="Manual",$M103=$A$15),$M103&gt;(ROW(PLE.lastrow)-ROW(PLE.firstrow))),0,
           IF(OFFSET(PLE!$G$15,$M103-$A$15,DF$13)="",10^12,OFFSET(PLE!$G$15,$M103-$A$15,DF$13)))</f>
        <v>0</v>
      </c>
      <c r="DG103" s="354" t="n">
        <f aca="true">IF(OR($D103&lt;&gt;"Serviço",AND(AUTOEVENTO="Manual",$M103=$A$15),$M103&gt;(ROW(PLE.lastrow)-ROW(PLE.firstrow))),0,
           IF(OFFSET(PLE!$G$15,$M103-$A$15,DG$13)="",10^12,OFFSET(PLE!$G$15,$M103-$A$15,DG$13)))</f>
        <v>0</v>
      </c>
      <c r="DH103" s="354" t="n">
        <f aca="true">IF(OR($D103&lt;&gt;"Serviço",AND(AUTOEVENTO="Manual",$M103=$A$15),$M103&gt;(ROW(PLE.lastrow)-ROW(PLE.firstrow))),0,
           IF(OFFSET(PLE!$G$15,$M103-$A$15,DH$13)="",10^12,OFFSET(PLE!$G$15,$M103-$A$15,DH$13)))</f>
        <v>0</v>
      </c>
      <c r="DI103" s="354" t="n">
        <f aca="true">IF(OR($D103&lt;&gt;"Serviço",AND(AUTOEVENTO="Manual",$M103=$A$15),$M103&gt;(ROW(PLE.lastrow)-ROW(PLE.firstrow))),0,
           IF(OFFSET(PLE!$G$15,$M103-$A$15,DI$13)="",10^12,OFFSET(PLE!$G$15,$M103-$A$15,DI$13)))</f>
        <v>0</v>
      </c>
      <c r="DJ103" s="354" t="n">
        <f aca="true">IF(OR($D103&lt;&gt;"Serviço",AND(AUTOEVENTO="Manual",$M103=$A$15),$M103&gt;(ROW(PLE.lastrow)-ROW(PLE.firstrow))),0,
           IF(OFFSET(PLE!$G$15,$M103-$A$15,DJ$13)="",10^12,OFFSET(PLE!$G$15,$M103-$A$15,DJ$13)))</f>
        <v>0</v>
      </c>
      <c r="DK103" s="354" t="n">
        <f aca="true">IF(OR($D103&lt;&gt;"Serviço",AND(AUTOEVENTO="Manual",$M103=$A$15),$M103&gt;(ROW(PLE.lastrow)-ROW(PLE.firstrow))),0,
           IF(OFFSET(PLE!$G$15,$M103-$A$15,DK$13)="",10^12,OFFSET(PLE!$G$15,$M103-$A$15,DK$13)))</f>
        <v>0</v>
      </c>
      <c r="DL103" s="354" t="n">
        <f aca="true">IF(OR($D103&lt;&gt;"Serviço",AND(AUTOEVENTO="Manual",$M103=$A$15),$M103&gt;(ROW(PLE.lastrow)-ROW(PLE.firstrow))),0,
           IF(OFFSET(PLE!$G$15,$M103-$A$15,DL$13)="",10^12,OFFSET(PLE!$G$15,$M103-$A$15,DL$13)))</f>
        <v>0</v>
      </c>
      <c r="DM103" s="354" t="n">
        <f aca="true">IF(OR($D103&lt;&gt;"Serviço",AND(AUTOEVENTO="Manual",$M103=$A$15),$M103&gt;(ROW(PLE.lastrow)-ROW(PLE.firstrow))),0,
           IF(OFFSET(PLE!$G$15,$M103-$A$15,DM$13)="",10^12,OFFSET(PLE!$G$15,$M103-$A$15,DM$13)))</f>
        <v>0</v>
      </c>
      <c r="DN103" s="354" t="n">
        <f aca="true">IF(OR($D103&lt;&gt;"Serviço",AND(AUTOEVENTO="Manual",$M103=$A$15),$M103&gt;(ROW(PLE.lastrow)-ROW(PLE.firstrow))),0,
           IF(OFFSET(PLE!$G$15,$M103-$A$15,DN$13)="",10^12,OFFSET(PLE!$G$15,$M103-$A$15,DN$13)))</f>
        <v>0</v>
      </c>
      <c r="DO103" s="354" t="n">
        <f aca="true">IF(OR($D103&lt;&gt;"Serviço",AND(AUTOEVENTO="Manual",$M103=$A$15),$M103&gt;(ROW(PLE.lastrow)-ROW(PLE.firstrow))),0,
           IF(OFFSET(PLE!$G$15,$M103-$A$15,DO$13)="",10^12,OFFSET(PLE!$G$15,$M103-$A$15,DO$13)))</f>
        <v>0</v>
      </c>
      <c r="DP103" s="354" t="n">
        <f aca="true">IF(OR($D103&lt;&gt;"Serviço",AND(AUTOEVENTO="Manual",$M103=$A$15),$M103&gt;(ROW(PLE.lastrow)-ROW(PLE.firstrow))),0,
           IF(OFFSET(PLE!$G$15,$M103-$A$15,DP$13)="",10^12,OFFSET(PLE!$G$15,$M103-$A$15,DP$13)))</f>
        <v>0</v>
      </c>
      <c r="DQ103" s="354" t="n">
        <f aca="true">IF(OR($D103&lt;&gt;"Serviço",AND(AUTOEVENTO="Manual",$M103=$A$15),$M103&gt;(ROW(PLE.lastrow)-ROW(PLE.firstrow))),0,
           IF(OFFSET(PLE!$G$15,$M103-$A$15,DQ$13)="",10^12,OFFSET(PLE!$G$15,$M103-$A$15,DQ$13)))</f>
        <v>0</v>
      </c>
      <c r="DR103" s="354" t="n">
        <f aca="true">IF(OR($D103&lt;&gt;"Serviço",AND(AUTOEVENTO="Manual",$M103=$A$15),$M103&gt;(ROW(PLE.lastrow)-ROW(PLE.firstrow))),0,
           IF(OFFSET(PLE!$G$15,$M103-$A$15,DR$13)="",10^12,OFFSET(PLE!$G$15,$M103-$A$15,DR$13)))</f>
        <v>0</v>
      </c>
      <c r="DS103" s="354" t="n">
        <f aca="true">IF(OR($D103&lt;&gt;"Serviço",AND(AUTOEVENTO="Manual",$M103=$A$15),$M103&gt;(ROW(PLE.lastrow)-ROW(PLE.firstrow))),0,
           IF(OFFSET(PLE!$G$15,$M103-$A$15,DS$13)="",10^12,OFFSET(PLE!$G$15,$M103-$A$15,DS$13)))</f>
        <v>0</v>
      </c>
    </row>
    <row r="104" customFormat="false" ht="12.75" hidden="false" customHeight="false" outlineLevel="0" collapsed="false">
      <c r="A104" s="50" t="str">
        <f aca="true">IFERROR(IF(AUTOEVENTO="Manual",IF(K104&lt;&gt;"",MIN(VALUE(LEFT(K104,FIND(".",K104)-1)),COUNTA(EVENTOS.Lista)),0),IF(OR($B104&gt;AUTOEVENTO,$B104="S",$B104=0),SUBSTITUTE(OFFSET($A104,-1,0),IF($D104="Serviço",".",""),""),ROW(A104)-ROW($A$15)&amp;".")),0)</f>
        <v>89.</v>
      </c>
      <c r="B104" s="50" t="n">
        <f aca="true">OFFSET(ORÇAMENTO!C$15,ROW(B104)-ROW(B$15),0)</f>
        <v>2</v>
      </c>
      <c r="C104" s="50" t="str">
        <f aca="true">OFFSET(ORÇAMENTO!L$15,ROW(C104)-ROW(C$15),0)</f>
        <v>F</v>
      </c>
      <c r="D104" s="201" t="str">
        <f aca="true">OFFSET(ORÇAMENTO!N$15,ROW(D104)-ROW(D$15),0)</f>
        <v>Nível 2</v>
      </c>
      <c r="E104" s="202" t="str">
        <f aca="true">OFFSET(ORÇAMENTO!O$15,ROW(E104)-ROW(E$15),0)</f>
        <v>1.29.</v>
      </c>
      <c r="F104" s="341" t="str">
        <f aca="true">OFFSET(ORÇAMENTO!R$15,ROW(F104)-ROW(F$15),0)</f>
        <v>CERÂMICA</v>
      </c>
      <c r="G104" s="342" t="str">
        <f aca="true">IF($D104&lt;&gt;"Serviço","",OFFSET(ORÇAMENTO!S$15,ROW(G104)-ROW(G$15),0))</f>
        <v/>
      </c>
      <c r="H104" s="207" t="n">
        <f aca="true">IF($D104&lt;&gt;"Serviço",0,IF(ACOMPANHAMENTO="BM",ROUND(OFFSET(ORÇAMENTO!AJ$15,ROW(H104)-ROW(H$15),0),15-13*ORÇAMENTO!$AF$7),SUMPRODUCT(($Q$1:$AQ$1=1)*ROUND($Q104:$AQ104,15-13*ORÇAMENTO!$AF$7))))</f>
        <v>0</v>
      </c>
      <c r="I104" s="343"/>
      <c r="J104" s="344" t="str">
        <f aca="false">IF(OR(B104&lt;&gt;"S",CÁLCULO.FrentesPreenchidas=0),"",IF(AND(ACOMPANHAMENTO="PLE",AUTOEVENTO="Manual",OR(H104&gt;0,ORÇAMENTO!AC104="QUANT."),OR(K104="",M104=0,N104="")),"►",IF(AND(ACOMPANHAMENTO="PLE",ORÇAMENTO!AC104="QUANT."),"►►",IF(AND(COUNTIF($P$11:$AQ$11,"▼")=0,H104&gt;0,I104=""),"◄",""))))</f>
        <v/>
      </c>
      <c r="K104" s="345"/>
      <c r="L104" s="346" t="s">
        <v>876</v>
      </c>
      <c r="M104" s="347" t="str">
        <f aca="true">IF($D104&lt;&gt;"Serviço","",
          IF(AUTOEVENTO="manual",$A104,
                IF(ISERROR(MATCH($A104,$A$15:OFFSET($A104,-1,0),0)),MAX($M$15:OFFSET(M104,-1,0))+1,
                      INDEX($M$15:OFFSET(M104,-1,0),MATCH($A104,$A$15:OFFSET($A104,-1,0),0)))))</f>
        <v/>
      </c>
      <c r="N104" s="348" t="str">
        <f aca="true">IF($D104&lt;&gt;"Serviço","",
         IF(AUTOEVENTO="Manual",
                IF($A104=0,"&lt;-- defina o número do agrupador",
                       OFFSET(EVENTOS!$D$15,$A104-$A$15,0)),
                OFFSET($F$15,$A104,0)))</f>
        <v/>
      </c>
      <c r="O104" s="349"/>
      <c r="Q104" s="349" t="n">
        <v>6.6</v>
      </c>
      <c r="R104" s="350" t="n">
        <v>6.6</v>
      </c>
      <c r="S104" s="350" t="n">
        <v>6.6</v>
      </c>
      <c r="T104" s="350" t="n">
        <v>6.6</v>
      </c>
      <c r="U104" s="350" t="n">
        <v>6.6</v>
      </c>
      <c r="V104" s="350" t="n">
        <v>6.6</v>
      </c>
      <c r="W104" s="350" t="n">
        <v>6.6</v>
      </c>
      <c r="X104" s="350" t="n">
        <v>6.6</v>
      </c>
      <c r="Y104" s="350" t="n">
        <v>6.6</v>
      </c>
      <c r="Z104" s="351" t="n">
        <v>6.6</v>
      </c>
      <c r="AA104" s="350" t="n">
        <v>6.6</v>
      </c>
      <c r="AB104" s="350" t="n">
        <v>6.6</v>
      </c>
      <c r="AC104" s="350" t="n">
        <v>6.6</v>
      </c>
      <c r="AD104" s="350" t="n">
        <v>6.6</v>
      </c>
      <c r="AE104" s="350" t="n">
        <v>6.6</v>
      </c>
      <c r="AF104" s="350" t="n">
        <v>6.6</v>
      </c>
      <c r="AG104" s="350" t="n">
        <v>6.6</v>
      </c>
      <c r="AH104" s="351" t="n">
        <v>6.6</v>
      </c>
      <c r="AI104" s="350" t="n">
        <v>6.6</v>
      </c>
      <c r="AJ104" s="350" t="n">
        <v>6.6</v>
      </c>
      <c r="AK104" s="350" t="n">
        <v>6.6</v>
      </c>
      <c r="AL104" s="350" t="n">
        <v>6.6</v>
      </c>
      <c r="AM104" s="350" t="n">
        <v>6.6</v>
      </c>
      <c r="AN104" s="350" t="n">
        <v>6.6</v>
      </c>
      <c r="AO104" s="350" t="n">
        <v>6.6</v>
      </c>
      <c r="AP104" s="351"/>
      <c r="AR104" s="352" t="n">
        <f aca="true">IF(AND($D104="Serviço",AR$12&lt;&gt;0,$H104&gt;0,OR(AUTOEVENTO&lt;&gt;"manual",$M104&lt;&gt;$A$15)),
        IF(Import.TipoArredondamento&lt;&gt;"TransfereGOV",
              ROUND(OFFSET($P104,0,AR$13),15-13*ORÇAMENTO!$AF$7)/$H104*OFFSET(ORÇAMENTO!$X$15,ROW(AR104)-ROW(AR$15),0),
              ROUND(ROUND(OFFSET($P104,0,AR$13),15-13*ORÇAMENTO!$AF$7)*OFFSET(ORÇAMENTO!$W$15,ROW(AR104)-ROW(AR$15),0),15-13*ORÇAMENTO!$AF$11)),
         0)</f>
        <v>0</v>
      </c>
      <c r="AS104" s="352" t="n">
        <f aca="true">IF(AND($D104="Serviço",AS$12&lt;&gt;0,$H104&gt;0,OR(AUTOEVENTO&lt;&gt;"manual",$M104&lt;&gt;$A$15)),
        IF(Import.TipoArredondamento&lt;&gt;"TransfereGOV",
              ROUND(OFFSET($P104,0,AS$13),15-13*ORÇAMENTO!$AF$7)/$H104*OFFSET(ORÇAMENTO!$X$15,ROW(AS104)-ROW(AS$15),0),
              ROUND(ROUND(OFFSET($P104,0,AS$13),15-13*ORÇAMENTO!$AF$7)*OFFSET(ORÇAMENTO!$W$15,ROW(AS104)-ROW(AS$15),0),15-13*ORÇAMENTO!$AF$11)),
         0)</f>
        <v>0</v>
      </c>
      <c r="AT104" s="352" t="n">
        <f aca="true">IF(AND($D104="Serviço",AT$12&lt;&gt;0,$H104&gt;0,OR(AUTOEVENTO&lt;&gt;"manual",$M104&lt;&gt;$A$15)),
        IF(Import.TipoArredondamento&lt;&gt;"TransfereGOV",
              ROUND(OFFSET($P104,0,AT$13),15-13*ORÇAMENTO!$AF$7)/$H104*OFFSET(ORÇAMENTO!$X$15,ROW(AT104)-ROW(AT$15),0),
              ROUND(ROUND(OFFSET($P104,0,AT$13),15-13*ORÇAMENTO!$AF$7)*OFFSET(ORÇAMENTO!$W$15,ROW(AT104)-ROW(AT$15),0),15-13*ORÇAMENTO!$AF$11)),
         0)</f>
        <v>0</v>
      </c>
      <c r="AU104" s="352" t="n">
        <f aca="true">IF(AND($D104="Serviço",AU$12&lt;&gt;0,$H104&gt;0,OR(AUTOEVENTO&lt;&gt;"manual",$M104&lt;&gt;$A$15)),
        IF(Import.TipoArredondamento&lt;&gt;"TransfereGOV",
              ROUND(OFFSET($P104,0,AU$13),15-13*ORÇAMENTO!$AF$7)/$H104*OFFSET(ORÇAMENTO!$X$15,ROW(AU104)-ROW(AU$15),0),
              ROUND(ROUND(OFFSET($P104,0,AU$13),15-13*ORÇAMENTO!$AF$7)*OFFSET(ORÇAMENTO!$W$15,ROW(AU104)-ROW(AU$15),0),15-13*ORÇAMENTO!$AF$11)),
         0)</f>
        <v>0</v>
      </c>
      <c r="AV104" s="352" t="n">
        <f aca="true">IF(AND($D104="Serviço",AV$12&lt;&gt;0,$H104&gt;0,OR(AUTOEVENTO&lt;&gt;"manual",$M104&lt;&gt;$A$15)),
        IF(Import.TipoArredondamento&lt;&gt;"TransfereGOV",
              ROUND(OFFSET($P104,0,AV$13),15-13*ORÇAMENTO!$AF$7)/$H104*OFFSET(ORÇAMENTO!$X$15,ROW(AV104)-ROW(AV$15),0),
              ROUND(ROUND(OFFSET($P104,0,AV$13),15-13*ORÇAMENTO!$AF$7)*OFFSET(ORÇAMENTO!$W$15,ROW(AV104)-ROW(AV$15),0),15-13*ORÇAMENTO!$AF$11)),
         0)</f>
        <v>0</v>
      </c>
      <c r="AW104" s="352" t="n">
        <f aca="true">IF(AND($D104="Serviço",AW$12&lt;&gt;0,$H104&gt;0,OR(AUTOEVENTO&lt;&gt;"manual",$M104&lt;&gt;$A$15)),
        IF(Import.TipoArredondamento&lt;&gt;"TransfereGOV",
              ROUND(OFFSET($P104,0,AW$13),15-13*ORÇAMENTO!$AF$7)/$H104*OFFSET(ORÇAMENTO!$X$15,ROW(AW104)-ROW(AW$15),0),
              ROUND(ROUND(OFFSET($P104,0,AW$13),15-13*ORÇAMENTO!$AF$7)*OFFSET(ORÇAMENTO!$W$15,ROW(AW104)-ROW(AW$15),0),15-13*ORÇAMENTO!$AF$11)),
         0)</f>
        <v>0</v>
      </c>
      <c r="AX104" s="352" t="n">
        <f aca="true">IF(AND($D104="Serviço",AX$12&lt;&gt;0,$H104&gt;0,OR(AUTOEVENTO&lt;&gt;"manual",$M104&lt;&gt;$A$15)),
        IF(Import.TipoArredondamento&lt;&gt;"TransfereGOV",
              ROUND(OFFSET($P104,0,AX$13),15-13*ORÇAMENTO!$AF$7)/$H104*OFFSET(ORÇAMENTO!$X$15,ROW(AX104)-ROW(AX$15),0),
              ROUND(ROUND(OFFSET($P104,0,AX$13),15-13*ORÇAMENTO!$AF$7)*OFFSET(ORÇAMENTO!$W$15,ROW(AX104)-ROW(AX$15),0),15-13*ORÇAMENTO!$AF$11)),
         0)</f>
        <v>0</v>
      </c>
      <c r="AY104" s="352" t="n">
        <f aca="true">IF(AND($D104="Serviço",AY$12&lt;&gt;0,$H104&gt;0,OR(AUTOEVENTO&lt;&gt;"manual",$M104&lt;&gt;$A$15)),
        IF(Import.TipoArredondamento&lt;&gt;"TransfereGOV",
              ROUND(OFFSET($P104,0,AY$13),15-13*ORÇAMENTO!$AF$7)/$H104*OFFSET(ORÇAMENTO!$X$15,ROW(AY104)-ROW(AY$15),0),
              ROUND(ROUND(OFFSET($P104,0,AY$13),15-13*ORÇAMENTO!$AF$7)*OFFSET(ORÇAMENTO!$W$15,ROW(AY104)-ROW(AY$15),0),15-13*ORÇAMENTO!$AF$11)),
         0)</f>
        <v>0</v>
      </c>
      <c r="AZ104" s="352" t="n">
        <f aca="true">IF(AND($D104="Serviço",AZ$12&lt;&gt;0,$H104&gt;0,OR(AUTOEVENTO&lt;&gt;"manual",$M104&lt;&gt;$A$15)),
        IF(Import.TipoArredondamento&lt;&gt;"TransfereGOV",
              ROUND(OFFSET($P104,0,AZ$13),15-13*ORÇAMENTO!$AF$7)/$H104*OFFSET(ORÇAMENTO!$X$15,ROW(AZ104)-ROW(AZ$15),0),
              ROUND(ROUND(OFFSET($P104,0,AZ$13),15-13*ORÇAMENTO!$AF$7)*OFFSET(ORÇAMENTO!$W$15,ROW(AZ104)-ROW(AZ$15),0),15-13*ORÇAMENTO!$AF$11)),
         0)</f>
        <v>0</v>
      </c>
      <c r="BA104" s="352" t="n">
        <f aca="true">IF(AND($D104="Serviço",BA$12&lt;&gt;0,$H104&gt;0,OR(AUTOEVENTO&lt;&gt;"manual",$M104&lt;&gt;$A$15)),
        IF(Import.TipoArredondamento&lt;&gt;"TransfereGOV",
              ROUND(OFFSET($P104,0,BA$13),15-13*ORÇAMENTO!$AF$7)/$H104*OFFSET(ORÇAMENTO!$X$15,ROW(BA104)-ROW(BA$15),0),
              ROUND(ROUND(OFFSET($P104,0,BA$13),15-13*ORÇAMENTO!$AF$7)*OFFSET(ORÇAMENTO!$W$15,ROW(BA104)-ROW(BA$15),0),15-13*ORÇAMENTO!$AF$11)),
         0)</f>
        <v>0</v>
      </c>
      <c r="BB104" s="352" t="n">
        <f aca="true">IF(AND($D104="Serviço",BB$12&lt;&gt;0,$H104&gt;0,OR(AUTOEVENTO&lt;&gt;"manual",$M104&lt;&gt;$A$15)),
        IF(Import.TipoArredondamento&lt;&gt;"TransfereGOV",
              ROUND(OFFSET($P104,0,BB$13),15-13*ORÇAMENTO!$AF$7)/$H104*OFFSET(ORÇAMENTO!$X$15,ROW(BB104)-ROW(BB$15),0),
              ROUND(ROUND(OFFSET($P104,0,BB$13),15-13*ORÇAMENTO!$AF$7)*OFFSET(ORÇAMENTO!$W$15,ROW(BB104)-ROW(BB$15),0),15-13*ORÇAMENTO!$AF$11)),
         0)</f>
        <v>0</v>
      </c>
      <c r="BC104" s="352" t="n">
        <f aca="true">IF(AND($D104="Serviço",BC$12&lt;&gt;0,$H104&gt;0,OR(AUTOEVENTO&lt;&gt;"manual",$M104&lt;&gt;$A$15)),
        IF(Import.TipoArredondamento&lt;&gt;"TransfereGOV",
              ROUND(OFFSET($P104,0,BC$13),15-13*ORÇAMENTO!$AF$7)/$H104*OFFSET(ORÇAMENTO!$X$15,ROW(BC104)-ROW(BC$15),0),
              ROUND(ROUND(OFFSET($P104,0,BC$13),15-13*ORÇAMENTO!$AF$7)*OFFSET(ORÇAMENTO!$W$15,ROW(BC104)-ROW(BC$15),0),15-13*ORÇAMENTO!$AF$11)),
         0)</f>
        <v>0</v>
      </c>
      <c r="BD104" s="352" t="n">
        <f aca="true">IF(AND($D104="Serviço",BD$12&lt;&gt;0,$H104&gt;0,OR(AUTOEVENTO&lt;&gt;"manual",$M104&lt;&gt;$A$15)),
        IF(Import.TipoArredondamento&lt;&gt;"TransfereGOV",
              ROUND(OFFSET($P104,0,BD$13),15-13*ORÇAMENTO!$AF$7)/$H104*OFFSET(ORÇAMENTO!$X$15,ROW(BD104)-ROW(BD$15),0),
              ROUND(ROUND(OFFSET($P104,0,BD$13),15-13*ORÇAMENTO!$AF$7)*OFFSET(ORÇAMENTO!$W$15,ROW(BD104)-ROW(BD$15),0),15-13*ORÇAMENTO!$AF$11)),
         0)</f>
        <v>0</v>
      </c>
      <c r="BE104" s="352" t="n">
        <f aca="true">IF(AND($D104="Serviço",BE$12&lt;&gt;0,$H104&gt;0,OR(AUTOEVENTO&lt;&gt;"manual",$M104&lt;&gt;$A$15)),
        IF(Import.TipoArredondamento&lt;&gt;"TransfereGOV",
              ROUND(OFFSET($P104,0,BE$13),15-13*ORÇAMENTO!$AF$7)/$H104*OFFSET(ORÇAMENTO!$X$15,ROW(BE104)-ROW(BE$15),0),
              ROUND(ROUND(OFFSET($P104,0,BE$13),15-13*ORÇAMENTO!$AF$7)*OFFSET(ORÇAMENTO!$W$15,ROW(BE104)-ROW(BE$15),0),15-13*ORÇAMENTO!$AF$11)),
         0)</f>
        <v>0</v>
      </c>
      <c r="BF104" s="352" t="n">
        <f aca="true">IF(AND($D104="Serviço",BF$12&lt;&gt;0,$H104&gt;0,OR(AUTOEVENTO&lt;&gt;"manual",$M104&lt;&gt;$A$15)),
        IF(Import.TipoArredondamento&lt;&gt;"TransfereGOV",
              ROUND(OFFSET($P104,0,BF$13),15-13*ORÇAMENTO!$AF$7)/$H104*OFFSET(ORÇAMENTO!$X$15,ROW(BF104)-ROW(BF$15),0),
              ROUND(ROUND(OFFSET($P104,0,BF$13),15-13*ORÇAMENTO!$AF$7)*OFFSET(ORÇAMENTO!$W$15,ROW(BF104)-ROW(BF$15),0),15-13*ORÇAMENTO!$AF$11)),
         0)</f>
        <v>0</v>
      </c>
      <c r="BG104" s="352" t="n">
        <f aca="true">IF(AND($D104="Serviço",BG$12&lt;&gt;0,$H104&gt;0,OR(AUTOEVENTO&lt;&gt;"manual",$M104&lt;&gt;$A$15)),
        IF(Import.TipoArredondamento&lt;&gt;"TransfereGOV",
              ROUND(OFFSET($P104,0,BG$13),15-13*ORÇAMENTO!$AF$7)/$H104*OFFSET(ORÇAMENTO!$X$15,ROW(BG104)-ROW(BG$15),0),
              ROUND(ROUND(OFFSET($P104,0,BG$13),15-13*ORÇAMENTO!$AF$7)*OFFSET(ORÇAMENTO!$W$15,ROW(BG104)-ROW(BG$15),0),15-13*ORÇAMENTO!$AF$11)),
         0)</f>
        <v>0</v>
      </c>
      <c r="BH104" s="352" t="n">
        <f aca="true">IF(AND($D104="Serviço",BH$12&lt;&gt;0,$H104&gt;0,OR(AUTOEVENTO&lt;&gt;"manual",$M104&lt;&gt;$A$15)),
        IF(Import.TipoArredondamento&lt;&gt;"TransfereGOV",
              ROUND(OFFSET($P104,0,BH$13),15-13*ORÇAMENTO!$AF$7)/$H104*OFFSET(ORÇAMENTO!$X$15,ROW(BH104)-ROW(BH$15),0),
              ROUND(ROUND(OFFSET($P104,0,BH$13),15-13*ORÇAMENTO!$AF$7)*OFFSET(ORÇAMENTO!$W$15,ROW(BH104)-ROW(BH$15),0),15-13*ORÇAMENTO!$AF$11)),
         0)</f>
        <v>0</v>
      </c>
      <c r="BI104" s="352" t="n">
        <f aca="true">IF(AND($D104="Serviço",BI$12&lt;&gt;0,$H104&gt;0,OR(AUTOEVENTO&lt;&gt;"manual",$M104&lt;&gt;$A$15)),
        IF(Import.TipoArredondamento&lt;&gt;"TransfereGOV",
              ROUND(OFFSET($P104,0,BI$13),15-13*ORÇAMENTO!$AF$7)/$H104*OFFSET(ORÇAMENTO!$X$15,ROW(BI104)-ROW(BI$15),0),
              ROUND(ROUND(OFFSET($P104,0,BI$13),15-13*ORÇAMENTO!$AF$7)*OFFSET(ORÇAMENTO!$W$15,ROW(BI104)-ROW(BI$15),0),15-13*ORÇAMENTO!$AF$11)),
         0)</f>
        <v>0</v>
      </c>
      <c r="BJ104" s="352" t="n">
        <f aca="true">IF(AND($D104="Serviço",BJ$12&lt;&gt;0,$H104&gt;0,OR(AUTOEVENTO&lt;&gt;"manual",$M104&lt;&gt;$A$15)),
        IF(Import.TipoArredondamento&lt;&gt;"TransfereGOV",
              ROUND(OFFSET($P104,0,BJ$13),15-13*ORÇAMENTO!$AF$7)/$H104*OFFSET(ORÇAMENTO!$X$15,ROW(BJ104)-ROW(BJ$15),0),
              ROUND(ROUND(OFFSET($P104,0,BJ$13),15-13*ORÇAMENTO!$AF$7)*OFFSET(ORÇAMENTO!$W$15,ROW(BJ104)-ROW(BJ$15),0),15-13*ORÇAMENTO!$AF$11)),
         0)</f>
        <v>0</v>
      </c>
      <c r="BK104" s="352" t="n">
        <f aca="true">IF(AND($D104="Serviço",BK$12&lt;&gt;0,$H104&gt;0,OR(AUTOEVENTO&lt;&gt;"manual",$M104&lt;&gt;$A$15)),
        IF(Import.TipoArredondamento&lt;&gt;"TransfereGOV",
              ROUND(OFFSET($P104,0,BK$13),15-13*ORÇAMENTO!$AF$7)/$H104*OFFSET(ORÇAMENTO!$X$15,ROW(BK104)-ROW(BK$15),0),
              ROUND(ROUND(OFFSET($P104,0,BK$13),15-13*ORÇAMENTO!$AF$7)*OFFSET(ORÇAMENTO!$W$15,ROW(BK104)-ROW(BK$15),0),15-13*ORÇAMENTO!$AF$11)),
         0)</f>
        <v>0</v>
      </c>
      <c r="BL104" s="352" t="n">
        <f aca="true">IF(AND($D104="Serviço",BL$12&lt;&gt;0,$H104&gt;0,OR(AUTOEVENTO&lt;&gt;"manual",$M104&lt;&gt;$A$15)),
        IF(Import.TipoArredondamento&lt;&gt;"TransfereGOV",
              ROUND(OFFSET($P104,0,BL$13),15-13*ORÇAMENTO!$AF$7)/$H104*OFFSET(ORÇAMENTO!$X$15,ROW(BL104)-ROW(BL$15),0),
              ROUND(ROUND(OFFSET($P104,0,BL$13),15-13*ORÇAMENTO!$AF$7)*OFFSET(ORÇAMENTO!$W$15,ROW(BL104)-ROW(BL$15),0),15-13*ORÇAMENTO!$AF$11)),
         0)</f>
        <v>0</v>
      </c>
      <c r="BM104" s="352" t="n">
        <f aca="true">IF(AND($D104="Serviço",BM$12&lt;&gt;0,$H104&gt;0,OR(AUTOEVENTO&lt;&gt;"manual",$M104&lt;&gt;$A$15)),
        IF(Import.TipoArredondamento&lt;&gt;"TransfereGOV",
              ROUND(OFFSET($P104,0,BM$13),15-13*ORÇAMENTO!$AF$7)/$H104*OFFSET(ORÇAMENTO!$X$15,ROW(BM104)-ROW(BM$15),0),
              ROUND(ROUND(OFFSET($P104,0,BM$13),15-13*ORÇAMENTO!$AF$7)*OFFSET(ORÇAMENTO!$W$15,ROW(BM104)-ROW(BM$15),0),15-13*ORÇAMENTO!$AF$11)),
         0)</f>
        <v>0</v>
      </c>
      <c r="BN104" s="352" t="n">
        <f aca="true">IF(AND($D104="Serviço",BN$12&lt;&gt;0,$H104&gt;0,OR(AUTOEVENTO&lt;&gt;"manual",$M104&lt;&gt;$A$15)),
        IF(Import.TipoArredondamento&lt;&gt;"TransfereGOV",
              ROUND(OFFSET($P104,0,BN$13),15-13*ORÇAMENTO!$AF$7)/$H104*OFFSET(ORÇAMENTO!$X$15,ROW(BN104)-ROW(BN$15),0),
              ROUND(ROUND(OFFSET($P104,0,BN$13),15-13*ORÇAMENTO!$AF$7)*OFFSET(ORÇAMENTO!$W$15,ROW(BN104)-ROW(BN$15),0),15-13*ORÇAMENTO!$AF$11)),
         0)</f>
        <v>0</v>
      </c>
      <c r="BO104" s="352" t="n">
        <f aca="true">IF(AND($D104="Serviço",BO$12&lt;&gt;0,$H104&gt;0,OR(AUTOEVENTO&lt;&gt;"manual",$M104&lt;&gt;$A$15)),
        IF(Import.TipoArredondamento&lt;&gt;"TransfereGOV",
              ROUND(OFFSET($P104,0,BO$13),15-13*ORÇAMENTO!$AF$7)/$H104*OFFSET(ORÇAMENTO!$X$15,ROW(BO104)-ROW(BO$15),0),
              ROUND(ROUND(OFFSET($P104,0,BO$13),15-13*ORÇAMENTO!$AF$7)*OFFSET(ORÇAMENTO!$W$15,ROW(BO104)-ROW(BO$15),0),15-13*ORÇAMENTO!$AF$11)),
         0)</f>
        <v>0</v>
      </c>
      <c r="BP104" s="352" t="n">
        <f aca="true">IF(AND($D104="Serviço",BP$12&lt;&gt;0,$H104&gt;0,OR(AUTOEVENTO&lt;&gt;"manual",$M104&lt;&gt;$A$15)),
        IF(Import.TipoArredondamento&lt;&gt;"TransfereGOV",
              ROUND(OFFSET($P104,0,BP$13),15-13*ORÇAMENTO!$AF$7)/$H104*OFFSET(ORÇAMENTO!$X$15,ROW(BP104)-ROW(BP$15),0),
              ROUND(ROUND(OFFSET($P104,0,BP$13),15-13*ORÇAMENTO!$AF$7)*OFFSET(ORÇAMENTO!$W$15,ROW(BP104)-ROW(BP$15),0),15-13*ORÇAMENTO!$AF$11)),
         0)</f>
        <v>0</v>
      </c>
      <c r="BQ104" s="352" t="n">
        <f aca="true">IF(AND($D104="Serviço",BQ$12&lt;&gt;0,$H104&gt;0,OR(AUTOEVENTO&lt;&gt;"manual",$M104&lt;&gt;$A$15)),
        IF(Import.TipoArredondamento&lt;&gt;"TransfereGOV",
              ROUND(OFFSET($P104,0,BQ$13),15-13*ORÇAMENTO!$AF$7)/$H104*OFFSET(ORÇAMENTO!$X$15,ROW(BQ104)-ROW(BQ$15),0),
              ROUND(ROUND(OFFSET($P104,0,BQ$13),15-13*ORÇAMENTO!$AF$7)*OFFSET(ORÇAMENTO!$W$15,ROW(BQ104)-ROW(BQ$15),0),15-13*ORÇAMENTO!$AF$11)),
         0)</f>
        <v>0</v>
      </c>
      <c r="BS104" s="353" t="n">
        <f aca="true">IF(OR($D104&lt;&gt;"Serviço",AND(AUTOEVENTO="Manual",$M104=$A$15)),0,
         IF(OFFSET(CRONOPLE!$F$15,$M104-$A$15,BS$13)=0,10^12,OFFSET(CRONOPLE!$F$15,$M104-$A$15,BS$13)))</f>
        <v>0</v>
      </c>
      <c r="BT104" s="353" t="n">
        <f aca="true">IF(OR($D104&lt;&gt;"Serviço",AND(AUTOEVENTO="Manual",$M104=$A$15)),0,
         IF(OFFSET(CRONOPLE!$F$15,$M104-$A$15,BT$13)=0,10^12,OFFSET(CRONOPLE!$F$15,$M104-$A$15,BT$13)))</f>
        <v>0</v>
      </c>
      <c r="BU104" s="353" t="n">
        <f aca="true">IF(OR($D104&lt;&gt;"Serviço",AND(AUTOEVENTO="Manual",$M104=$A$15)),0,
         IF(OFFSET(CRONOPLE!$F$15,$M104-$A$15,BU$13)=0,10^12,OFFSET(CRONOPLE!$F$15,$M104-$A$15,BU$13)))</f>
        <v>0</v>
      </c>
      <c r="BV104" s="353" t="n">
        <f aca="true">IF(OR($D104&lt;&gt;"Serviço",AND(AUTOEVENTO="Manual",$M104=$A$15)),0,
         IF(OFFSET(CRONOPLE!$F$15,$M104-$A$15,BV$13)=0,10^12,OFFSET(CRONOPLE!$F$15,$M104-$A$15,BV$13)))</f>
        <v>0</v>
      </c>
      <c r="BW104" s="353" t="n">
        <f aca="true">IF(OR($D104&lt;&gt;"Serviço",AND(AUTOEVENTO="Manual",$M104=$A$15)),0,
         IF(OFFSET(CRONOPLE!$F$15,$M104-$A$15,BW$13)=0,10^12,OFFSET(CRONOPLE!$F$15,$M104-$A$15,BW$13)))</f>
        <v>0</v>
      </c>
      <c r="BX104" s="353" t="n">
        <f aca="true">IF(OR($D104&lt;&gt;"Serviço",AND(AUTOEVENTO="Manual",$M104=$A$15)),0,
         IF(OFFSET(CRONOPLE!$F$15,$M104-$A$15,BX$13)=0,10^12,OFFSET(CRONOPLE!$F$15,$M104-$A$15,BX$13)))</f>
        <v>0</v>
      </c>
      <c r="BY104" s="353" t="n">
        <f aca="true">IF(OR($D104&lt;&gt;"Serviço",AND(AUTOEVENTO="Manual",$M104=$A$15)),0,
         IF(OFFSET(CRONOPLE!$F$15,$M104-$A$15,BY$13)=0,10^12,OFFSET(CRONOPLE!$F$15,$M104-$A$15,BY$13)))</f>
        <v>0</v>
      </c>
      <c r="BZ104" s="353" t="n">
        <f aca="true">IF(OR($D104&lt;&gt;"Serviço",AND(AUTOEVENTO="Manual",$M104=$A$15)),0,
         IF(OFFSET(CRONOPLE!$F$15,$M104-$A$15,BZ$13)=0,10^12,OFFSET(CRONOPLE!$F$15,$M104-$A$15,BZ$13)))</f>
        <v>0</v>
      </c>
      <c r="CA104" s="353" t="n">
        <f aca="true">IF(OR($D104&lt;&gt;"Serviço",AND(AUTOEVENTO="Manual",$M104=$A$15)),0,
         IF(OFFSET(CRONOPLE!$F$15,$M104-$A$15,CA$13)=0,10^12,OFFSET(CRONOPLE!$F$15,$M104-$A$15,CA$13)))</f>
        <v>0</v>
      </c>
      <c r="CB104" s="353" t="n">
        <f aca="true">IF(OR($D104&lt;&gt;"Serviço",AND(AUTOEVENTO="Manual",$M104=$A$15)),0,
         IF(OFFSET(CRONOPLE!$F$15,$M104-$A$15,CB$13)=0,10^12,OFFSET(CRONOPLE!$F$15,$M104-$A$15,CB$13)))</f>
        <v>0</v>
      </c>
      <c r="CC104" s="353" t="n">
        <f aca="true">IF(OR($D104&lt;&gt;"Serviço",AND(AUTOEVENTO="Manual",$M104=$A$15)),0,
         IF(OFFSET(CRONOPLE!$F$15,$M104-$A$15,CC$13)=0,10^12,OFFSET(CRONOPLE!$F$15,$M104-$A$15,CC$13)))</f>
        <v>0</v>
      </c>
      <c r="CD104" s="353" t="n">
        <f aca="true">IF(OR($D104&lt;&gt;"Serviço",AND(AUTOEVENTO="Manual",$M104=$A$15)),0,
         IF(OFFSET(CRONOPLE!$F$15,$M104-$A$15,CD$13)=0,10^12,OFFSET(CRONOPLE!$F$15,$M104-$A$15,CD$13)))</f>
        <v>0</v>
      </c>
      <c r="CE104" s="353" t="n">
        <f aca="true">IF(OR($D104&lt;&gt;"Serviço",AND(AUTOEVENTO="Manual",$M104=$A$15)),0,
         IF(OFFSET(CRONOPLE!$F$15,$M104-$A$15,CE$13)=0,10^12,OFFSET(CRONOPLE!$F$15,$M104-$A$15,CE$13)))</f>
        <v>0</v>
      </c>
      <c r="CF104" s="353" t="n">
        <f aca="true">IF(OR($D104&lt;&gt;"Serviço",AND(AUTOEVENTO="Manual",$M104=$A$15)),0,
         IF(OFFSET(CRONOPLE!$F$15,$M104-$A$15,CF$13)=0,10^12,OFFSET(CRONOPLE!$F$15,$M104-$A$15,CF$13)))</f>
        <v>0</v>
      </c>
      <c r="CG104" s="353" t="n">
        <f aca="true">IF(OR($D104&lt;&gt;"Serviço",AND(AUTOEVENTO="Manual",$M104=$A$15)),0,
         IF(OFFSET(CRONOPLE!$F$15,$M104-$A$15,CG$13)=0,10^12,OFFSET(CRONOPLE!$F$15,$M104-$A$15,CG$13)))</f>
        <v>0</v>
      </c>
      <c r="CH104" s="353" t="n">
        <f aca="true">IF(OR($D104&lt;&gt;"Serviço",AND(AUTOEVENTO="Manual",$M104=$A$15)),0,
         IF(OFFSET(CRONOPLE!$F$15,$M104-$A$15,CH$13)=0,10^12,OFFSET(CRONOPLE!$F$15,$M104-$A$15,CH$13)))</f>
        <v>0</v>
      </c>
      <c r="CI104" s="353" t="n">
        <f aca="true">IF(OR($D104&lt;&gt;"Serviço",AND(AUTOEVENTO="Manual",$M104=$A$15)),0,
         IF(OFFSET(CRONOPLE!$F$15,$M104-$A$15,CI$13)=0,10^12,OFFSET(CRONOPLE!$F$15,$M104-$A$15,CI$13)))</f>
        <v>0</v>
      </c>
      <c r="CJ104" s="353" t="n">
        <f aca="true">IF(OR($D104&lt;&gt;"Serviço",AND(AUTOEVENTO="Manual",$M104=$A$15)),0,
         IF(OFFSET(CRONOPLE!$F$15,$M104-$A$15,CJ$13)=0,10^12,OFFSET(CRONOPLE!$F$15,$M104-$A$15,CJ$13)))</f>
        <v>0</v>
      </c>
      <c r="CK104" s="353" t="n">
        <f aca="true">IF(OR($D104&lt;&gt;"Serviço",AND(AUTOEVENTO="Manual",$M104=$A$15)),0,
         IF(OFFSET(CRONOPLE!$F$15,$M104-$A$15,CK$13)=0,10^12,OFFSET(CRONOPLE!$F$15,$M104-$A$15,CK$13)))</f>
        <v>0</v>
      </c>
      <c r="CL104" s="353" t="n">
        <f aca="true">IF(OR($D104&lt;&gt;"Serviço",AND(AUTOEVENTO="Manual",$M104=$A$15)),0,
         IF(OFFSET(CRONOPLE!$F$15,$M104-$A$15,CL$13)=0,10^12,OFFSET(CRONOPLE!$F$15,$M104-$A$15,CL$13)))</f>
        <v>0</v>
      </c>
      <c r="CM104" s="353" t="n">
        <f aca="true">IF(OR($D104&lt;&gt;"Serviço",AND(AUTOEVENTO="Manual",$M104=$A$15)),0,
         IF(OFFSET(CRONOPLE!$F$15,$M104-$A$15,CM$13)=0,10^12,OFFSET(CRONOPLE!$F$15,$M104-$A$15,CM$13)))</f>
        <v>0</v>
      </c>
      <c r="CN104" s="353" t="n">
        <f aca="true">IF(OR($D104&lt;&gt;"Serviço",AND(AUTOEVENTO="Manual",$M104=$A$15)),0,
         IF(OFFSET(CRONOPLE!$F$15,$M104-$A$15,CN$13)=0,10^12,OFFSET(CRONOPLE!$F$15,$M104-$A$15,CN$13)))</f>
        <v>0</v>
      </c>
      <c r="CO104" s="353" t="n">
        <f aca="true">IF(OR($D104&lt;&gt;"Serviço",AND(AUTOEVENTO="Manual",$M104=$A$15)),0,
         IF(OFFSET(CRONOPLE!$F$15,$M104-$A$15,CO$13)=0,10^12,OFFSET(CRONOPLE!$F$15,$M104-$A$15,CO$13)))</f>
        <v>0</v>
      </c>
      <c r="CP104" s="353" t="n">
        <f aca="true">IF(OR($D104&lt;&gt;"Serviço",AND(AUTOEVENTO="Manual",$M104=$A$15)),0,
         IF(OFFSET(CRONOPLE!$F$15,$M104-$A$15,CP$13)=0,10^12,OFFSET(CRONOPLE!$F$15,$M104-$A$15,CP$13)))</f>
        <v>0</v>
      </c>
      <c r="CQ104" s="353" t="n">
        <f aca="true">IF(OR($D104&lt;&gt;"Serviço",AND(AUTOEVENTO="Manual",$M104=$A$15)),0,
         IF(OFFSET(CRONOPLE!$F$15,$M104-$A$15,CQ$13)=0,10^12,OFFSET(CRONOPLE!$F$15,$M104-$A$15,CQ$13)))</f>
        <v>0</v>
      </c>
      <c r="CR104" s="353" t="n">
        <f aca="true">IF(OR($D104&lt;&gt;"Serviço",AND(AUTOEVENTO="Manual",$M104=$A$15)),0,
         IF(OFFSET(CRONOPLE!$F$15,$M104-$A$15,CR$13)=0,10^12,OFFSET(CRONOPLE!$F$15,$M104-$A$15,CR$13)))</f>
        <v>0</v>
      </c>
      <c r="CT104" s="354" t="n">
        <f aca="true">IF(OR($D104&lt;&gt;"Serviço",AND(AUTOEVENTO="Manual",$M104=$A$15),$M104&gt;(ROW(PLE.lastrow)-ROW(PLE.firstrow))),0,
           IF(OFFSET(PLE!$G$15,$M104-$A$15,CT$13)="",10^12,OFFSET(PLE!$G$15,$M104-$A$15,CT$13)))</f>
        <v>0</v>
      </c>
      <c r="CU104" s="354" t="n">
        <f aca="true">IF(OR($D104&lt;&gt;"Serviço",AND(AUTOEVENTO="Manual",$M104=$A$15),$M104&gt;(ROW(PLE.lastrow)-ROW(PLE.firstrow))),0,
           IF(OFFSET(PLE!$G$15,$M104-$A$15,CU$13)="",10^12,OFFSET(PLE!$G$15,$M104-$A$15,CU$13)))</f>
        <v>0</v>
      </c>
      <c r="CV104" s="354" t="n">
        <f aca="true">IF(OR($D104&lt;&gt;"Serviço",AND(AUTOEVENTO="Manual",$M104=$A$15),$M104&gt;(ROW(PLE.lastrow)-ROW(PLE.firstrow))),0,
           IF(OFFSET(PLE!$G$15,$M104-$A$15,CV$13)="",10^12,OFFSET(PLE!$G$15,$M104-$A$15,CV$13)))</f>
        <v>0</v>
      </c>
      <c r="CW104" s="354" t="n">
        <f aca="true">IF(OR($D104&lt;&gt;"Serviço",AND(AUTOEVENTO="Manual",$M104=$A$15),$M104&gt;(ROW(PLE.lastrow)-ROW(PLE.firstrow))),0,
           IF(OFFSET(PLE!$G$15,$M104-$A$15,CW$13)="",10^12,OFFSET(PLE!$G$15,$M104-$A$15,CW$13)))</f>
        <v>0</v>
      </c>
      <c r="CX104" s="354" t="n">
        <f aca="true">IF(OR($D104&lt;&gt;"Serviço",AND(AUTOEVENTO="Manual",$M104=$A$15),$M104&gt;(ROW(PLE.lastrow)-ROW(PLE.firstrow))),0,
           IF(OFFSET(PLE!$G$15,$M104-$A$15,CX$13)="",10^12,OFFSET(PLE!$G$15,$M104-$A$15,CX$13)))</f>
        <v>0</v>
      </c>
      <c r="CY104" s="354" t="n">
        <f aca="true">IF(OR($D104&lt;&gt;"Serviço",AND(AUTOEVENTO="Manual",$M104=$A$15),$M104&gt;(ROW(PLE.lastrow)-ROW(PLE.firstrow))),0,
           IF(OFFSET(PLE!$G$15,$M104-$A$15,CY$13)="",10^12,OFFSET(PLE!$G$15,$M104-$A$15,CY$13)))</f>
        <v>0</v>
      </c>
      <c r="CZ104" s="354" t="n">
        <f aca="true">IF(OR($D104&lt;&gt;"Serviço",AND(AUTOEVENTO="Manual",$M104=$A$15),$M104&gt;(ROW(PLE.lastrow)-ROW(PLE.firstrow))),0,
           IF(OFFSET(PLE!$G$15,$M104-$A$15,CZ$13)="",10^12,OFFSET(PLE!$G$15,$M104-$A$15,CZ$13)))</f>
        <v>0</v>
      </c>
      <c r="DA104" s="354" t="n">
        <f aca="true">IF(OR($D104&lt;&gt;"Serviço",AND(AUTOEVENTO="Manual",$M104=$A$15),$M104&gt;(ROW(PLE.lastrow)-ROW(PLE.firstrow))),0,
           IF(OFFSET(PLE!$G$15,$M104-$A$15,DA$13)="",10^12,OFFSET(PLE!$G$15,$M104-$A$15,DA$13)))</f>
        <v>0</v>
      </c>
      <c r="DB104" s="354" t="n">
        <f aca="true">IF(OR($D104&lt;&gt;"Serviço",AND(AUTOEVENTO="Manual",$M104=$A$15),$M104&gt;(ROW(PLE.lastrow)-ROW(PLE.firstrow))),0,
           IF(OFFSET(PLE!$G$15,$M104-$A$15,DB$13)="",10^12,OFFSET(PLE!$G$15,$M104-$A$15,DB$13)))</f>
        <v>0</v>
      </c>
      <c r="DC104" s="354" t="n">
        <f aca="true">IF(OR($D104&lt;&gt;"Serviço",AND(AUTOEVENTO="Manual",$M104=$A$15),$M104&gt;(ROW(PLE.lastrow)-ROW(PLE.firstrow))),0,
           IF(OFFSET(PLE!$G$15,$M104-$A$15,DC$13)="",10^12,OFFSET(PLE!$G$15,$M104-$A$15,DC$13)))</f>
        <v>0</v>
      </c>
      <c r="DD104" s="354" t="n">
        <f aca="true">IF(OR($D104&lt;&gt;"Serviço",AND(AUTOEVENTO="Manual",$M104=$A$15),$M104&gt;(ROW(PLE.lastrow)-ROW(PLE.firstrow))),0,
           IF(OFFSET(PLE!$G$15,$M104-$A$15,DD$13)="",10^12,OFFSET(PLE!$G$15,$M104-$A$15,DD$13)))</f>
        <v>0</v>
      </c>
      <c r="DE104" s="354" t="n">
        <f aca="true">IF(OR($D104&lt;&gt;"Serviço",AND(AUTOEVENTO="Manual",$M104=$A$15),$M104&gt;(ROW(PLE.lastrow)-ROW(PLE.firstrow))),0,
           IF(OFFSET(PLE!$G$15,$M104-$A$15,DE$13)="",10^12,OFFSET(PLE!$G$15,$M104-$A$15,DE$13)))</f>
        <v>0</v>
      </c>
      <c r="DF104" s="354" t="n">
        <f aca="true">IF(OR($D104&lt;&gt;"Serviço",AND(AUTOEVENTO="Manual",$M104=$A$15),$M104&gt;(ROW(PLE.lastrow)-ROW(PLE.firstrow))),0,
           IF(OFFSET(PLE!$G$15,$M104-$A$15,DF$13)="",10^12,OFFSET(PLE!$G$15,$M104-$A$15,DF$13)))</f>
        <v>0</v>
      </c>
      <c r="DG104" s="354" t="n">
        <f aca="true">IF(OR($D104&lt;&gt;"Serviço",AND(AUTOEVENTO="Manual",$M104=$A$15),$M104&gt;(ROW(PLE.lastrow)-ROW(PLE.firstrow))),0,
           IF(OFFSET(PLE!$G$15,$M104-$A$15,DG$13)="",10^12,OFFSET(PLE!$G$15,$M104-$A$15,DG$13)))</f>
        <v>0</v>
      </c>
      <c r="DH104" s="354" t="n">
        <f aca="true">IF(OR($D104&lt;&gt;"Serviço",AND(AUTOEVENTO="Manual",$M104=$A$15),$M104&gt;(ROW(PLE.lastrow)-ROW(PLE.firstrow))),0,
           IF(OFFSET(PLE!$G$15,$M104-$A$15,DH$13)="",10^12,OFFSET(PLE!$G$15,$M104-$A$15,DH$13)))</f>
        <v>0</v>
      </c>
      <c r="DI104" s="354" t="n">
        <f aca="true">IF(OR($D104&lt;&gt;"Serviço",AND(AUTOEVENTO="Manual",$M104=$A$15),$M104&gt;(ROW(PLE.lastrow)-ROW(PLE.firstrow))),0,
           IF(OFFSET(PLE!$G$15,$M104-$A$15,DI$13)="",10^12,OFFSET(PLE!$G$15,$M104-$A$15,DI$13)))</f>
        <v>0</v>
      </c>
      <c r="DJ104" s="354" t="n">
        <f aca="true">IF(OR($D104&lt;&gt;"Serviço",AND(AUTOEVENTO="Manual",$M104=$A$15),$M104&gt;(ROW(PLE.lastrow)-ROW(PLE.firstrow))),0,
           IF(OFFSET(PLE!$G$15,$M104-$A$15,DJ$13)="",10^12,OFFSET(PLE!$G$15,$M104-$A$15,DJ$13)))</f>
        <v>0</v>
      </c>
      <c r="DK104" s="354" t="n">
        <f aca="true">IF(OR($D104&lt;&gt;"Serviço",AND(AUTOEVENTO="Manual",$M104=$A$15),$M104&gt;(ROW(PLE.lastrow)-ROW(PLE.firstrow))),0,
           IF(OFFSET(PLE!$G$15,$M104-$A$15,DK$13)="",10^12,OFFSET(PLE!$G$15,$M104-$A$15,DK$13)))</f>
        <v>0</v>
      </c>
      <c r="DL104" s="354" t="n">
        <f aca="true">IF(OR($D104&lt;&gt;"Serviço",AND(AUTOEVENTO="Manual",$M104=$A$15),$M104&gt;(ROW(PLE.lastrow)-ROW(PLE.firstrow))),0,
           IF(OFFSET(PLE!$G$15,$M104-$A$15,DL$13)="",10^12,OFFSET(PLE!$G$15,$M104-$A$15,DL$13)))</f>
        <v>0</v>
      </c>
      <c r="DM104" s="354" t="n">
        <f aca="true">IF(OR($D104&lt;&gt;"Serviço",AND(AUTOEVENTO="Manual",$M104=$A$15),$M104&gt;(ROW(PLE.lastrow)-ROW(PLE.firstrow))),0,
           IF(OFFSET(PLE!$G$15,$M104-$A$15,DM$13)="",10^12,OFFSET(PLE!$G$15,$M104-$A$15,DM$13)))</f>
        <v>0</v>
      </c>
      <c r="DN104" s="354" t="n">
        <f aca="true">IF(OR($D104&lt;&gt;"Serviço",AND(AUTOEVENTO="Manual",$M104=$A$15),$M104&gt;(ROW(PLE.lastrow)-ROW(PLE.firstrow))),0,
           IF(OFFSET(PLE!$G$15,$M104-$A$15,DN$13)="",10^12,OFFSET(PLE!$G$15,$M104-$A$15,DN$13)))</f>
        <v>0</v>
      </c>
      <c r="DO104" s="354" t="n">
        <f aca="true">IF(OR($D104&lt;&gt;"Serviço",AND(AUTOEVENTO="Manual",$M104=$A$15),$M104&gt;(ROW(PLE.lastrow)-ROW(PLE.firstrow))),0,
           IF(OFFSET(PLE!$G$15,$M104-$A$15,DO$13)="",10^12,OFFSET(PLE!$G$15,$M104-$A$15,DO$13)))</f>
        <v>0</v>
      </c>
      <c r="DP104" s="354" t="n">
        <f aca="true">IF(OR($D104&lt;&gt;"Serviço",AND(AUTOEVENTO="Manual",$M104=$A$15),$M104&gt;(ROW(PLE.lastrow)-ROW(PLE.firstrow))),0,
           IF(OFFSET(PLE!$G$15,$M104-$A$15,DP$13)="",10^12,OFFSET(PLE!$G$15,$M104-$A$15,DP$13)))</f>
        <v>0</v>
      </c>
      <c r="DQ104" s="354" t="n">
        <f aca="true">IF(OR($D104&lt;&gt;"Serviço",AND(AUTOEVENTO="Manual",$M104=$A$15),$M104&gt;(ROW(PLE.lastrow)-ROW(PLE.firstrow))),0,
           IF(OFFSET(PLE!$G$15,$M104-$A$15,DQ$13)="",10^12,OFFSET(PLE!$G$15,$M104-$A$15,DQ$13)))</f>
        <v>0</v>
      </c>
      <c r="DR104" s="354" t="n">
        <f aca="true">IF(OR($D104&lt;&gt;"Serviço",AND(AUTOEVENTO="Manual",$M104=$A$15),$M104&gt;(ROW(PLE.lastrow)-ROW(PLE.firstrow))),0,
           IF(OFFSET(PLE!$G$15,$M104-$A$15,DR$13)="",10^12,OFFSET(PLE!$G$15,$M104-$A$15,DR$13)))</f>
        <v>0</v>
      </c>
      <c r="DS104" s="354" t="n">
        <f aca="true">IF(OR($D104&lt;&gt;"Serviço",AND(AUTOEVENTO="Manual",$M104=$A$15),$M104&gt;(ROW(PLE.lastrow)-ROW(PLE.firstrow))),0,
           IF(OFFSET(PLE!$G$15,$M104-$A$15,DS$13)="",10^12,OFFSET(PLE!$G$15,$M104-$A$15,DS$13)))</f>
        <v>0</v>
      </c>
    </row>
    <row r="105" customFormat="false" ht="46.25" hidden="false" customHeight="false" outlineLevel="0" collapsed="false">
      <c r="A105" s="50" t="str">
        <f aca="true">IFERROR(IF(AUTOEVENTO="Manual",IF(K105&lt;&gt;"",MIN(VALUE(LEFT(K105,FIND(".",K105)-1)),COUNTA(EVENTOS.Lista)),0),IF(OR($B105&gt;AUTOEVENTO,$B105="S",$B105=0),SUBSTITUTE(OFFSET($A105,-1,0),IF($D105="Serviço",".",""),""),ROW(A105)-ROW($A$15)&amp;".")),0)</f>
        <v>89</v>
      </c>
      <c r="B105" s="50" t="str">
        <f aca="true">OFFSET(ORÇAMENTO!C$15,ROW(B105)-ROW(B$15),0)</f>
        <v>S</v>
      </c>
      <c r="C105" s="50" t="str">
        <f aca="true">OFFSET(ORÇAMENTO!L$15,ROW(C105)-ROW(C$15),0)</f>
        <v>F</v>
      </c>
      <c r="D105" s="201" t="str">
        <f aca="true">OFFSET(ORÇAMENTO!N$15,ROW(D105)-ROW(D$15),0)</f>
        <v>Serviço</v>
      </c>
      <c r="E105" s="202" t="str">
        <f aca="true">OFFSET(ORÇAMENTO!O$15,ROW(E105)-ROW(E$15),0)</f>
        <v>1.29.1.</v>
      </c>
      <c r="F105" s="341" t="str">
        <f aca="true">OFFSET(ORÇAMENTO!R$15,ROW(F105)-ROW(F$15),0)</f>
        <v>COMPACTAÇÃO MECÂNICA DE SOLO PARA EXECUÇÃO DE RADIER, PISO DE CONCRETO OU LAJE SOBRE SOLO, COM COMPACTADOR DE SOLOS TIPO PLACA VIBRATÓRIA. AF_09/2021</v>
      </c>
      <c r="G105" s="342" t="str">
        <f aca="true">IF($D105&lt;&gt;"Serviço","",OFFSET(ORÇAMENTO!S$15,ROW(G105)-ROW(G$15),0))</f>
        <v>M2</v>
      </c>
      <c r="H105" s="207" t="n">
        <f aca="true">IF($D105&lt;&gt;"Serviço",0,IF(ACOMPANHAMENTO="BM",ROUND(OFFSET(ORÇAMENTO!AJ$15,ROW(H105)-ROW(H$15),0),15-13*ORÇAMENTO!$AF$7),SUMPRODUCT(($Q$1:$AQ$1=1)*ROUND($Q105:$AQ105,15-13*ORÇAMENTO!$AF$7))))</f>
        <v>1187.25</v>
      </c>
      <c r="I105" s="343" t="s">
        <v>962</v>
      </c>
      <c r="J105" s="344" t="e">
        <f aca="false">IF(OR(B105&lt;&gt;"S",CÁLCULO.FrentesPreenchidas=0),"",IF(AND(ACOMPANHAMENTO="PLE",AUTOEVENTO="Manual",OR(H105&gt;0,ORÇAMENTO!AC105="QUANT."),OR(K105="",M105=0,N105="")),"►",IF(AND(ACOMPANHAMENTO="PLE",ORÇAMENTO!AC105="QUANT."),"►►",IF(AND(COUNTIF($P$11:$AQ$11,"▼")=0,H105&gt;0,I105=""),"◄",""))))</f>
        <v>#NAME?</v>
      </c>
      <c r="K105" s="345"/>
      <c r="L105" s="346" t="s">
        <v>876</v>
      </c>
      <c r="M105" s="347" t="n">
        <f aca="true">IF($D105&lt;&gt;"Serviço","",
          IF(AUTOEVENTO="manual",$A105,
                IF(ISERROR(MATCH($A105,$A$15:OFFSET($A105,-1,0),0)),MAX($M$15:OFFSET(M105,-1,0))+1,
                      INDEX($M$15:OFFSET(M105,-1,0),MATCH($A105,$A$15:OFFSET($A105,-1,0),0)))))</f>
        <v>18</v>
      </c>
      <c r="N105" s="348" t="str">
        <f aca="true">IF($D105&lt;&gt;"Serviço","",
         IF(AUTOEVENTO="Manual",
                IF($A105=0,"&lt;-- defina o número do agrupador",
                       OFFSET(EVENTOS!$D$15,$A105-$A$15,0)),
                OFFSET($F$15,$A105,0)))</f>
        <v>CERÂMICA</v>
      </c>
      <c r="O105" s="349"/>
      <c r="Q105" s="349" t="n">
        <v>47.49</v>
      </c>
      <c r="R105" s="350" t="n">
        <f aca="false">Q105</f>
        <v>47.49</v>
      </c>
      <c r="S105" s="350" t="n">
        <f aca="false">R105</f>
        <v>47.49</v>
      </c>
      <c r="T105" s="350" t="n">
        <f aca="false">S105</f>
        <v>47.49</v>
      </c>
      <c r="U105" s="350" t="n">
        <f aca="false">T105</f>
        <v>47.49</v>
      </c>
      <c r="V105" s="350" t="n">
        <f aca="false">U105</f>
        <v>47.49</v>
      </c>
      <c r="W105" s="350" t="n">
        <f aca="false">V105</f>
        <v>47.49</v>
      </c>
      <c r="X105" s="350" t="n">
        <f aca="false">W105</f>
        <v>47.49</v>
      </c>
      <c r="Y105" s="350" t="n">
        <f aca="false">X105</f>
        <v>47.49</v>
      </c>
      <c r="Z105" s="351" t="n">
        <f aca="false">Y105</f>
        <v>47.49</v>
      </c>
      <c r="AA105" s="350" t="n">
        <f aca="false">Z105</f>
        <v>47.49</v>
      </c>
      <c r="AB105" s="350" t="n">
        <f aca="false">AA105</f>
        <v>47.49</v>
      </c>
      <c r="AC105" s="350" t="n">
        <f aca="false">AB105</f>
        <v>47.49</v>
      </c>
      <c r="AD105" s="350" t="n">
        <f aca="false">AC105</f>
        <v>47.49</v>
      </c>
      <c r="AE105" s="350" t="n">
        <f aca="false">AD105</f>
        <v>47.49</v>
      </c>
      <c r="AF105" s="350" t="n">
        <f aca="false">AE105</f>
        <v>47.49</v>
      </c>
      <c r="AG105" s="350" t="n">
        <f aca="false">AF105</f>
        <v>47.49</v>
      </c>
      <c r="AH105" s="351" t="n">
        <f aca="false">AG105</f>
        <v>47.49</v>
      </c>
      <c r="AI105" s="350" t="n">
        <f aca="false">AH105</f>
        <v>47.49</v>
      </c>
      <c r="AJ105" s="350" t="n">
        <f aca="false">AI105</f>
        <v>47.49</v>
      </c>
      <c r="AK105" s="350" t="n">
        <f aca="false">AJ105</f>
        <v>47.49</v>
      </c>
      <c r="AL105" s="350" t="n">
        <f aca="false">AK105</f>
        <v>47.49</v>
      </c>
      <c r="AM105" s="350" t="n">
        <f aca="false">AL105</f>
        <v>47.49</v>
      </c>
      <c r="AN105" s="350" t="n">
        <f aca="false">AM105</f>
        <v>47.49</v>
      </c>
      <c r="AO105" s="350" t="n">
        <f aca="false">AN105</f>
        <v>47.49</v>
      </c>
      <c r="AP105" s="351"/>
      <c r="AR105" s="352" t="n">
        <f aca="true">IF(AND($D105="Serviço",AR$12&lt;&gt;0,$H105&gt;0,OR(AUTOEVENTO&lt;&gt;"manual",$M105&lt;&gt;$A$15)),
        IF(Import.TipoArredondamento&lt;&gt;"TransfereGOV",
              ROUND(OFFSET($P105,0,AR$13),15-13*ORÇAMENTO!$AF$7)/$H105*OFFSET(ORÇAMENTO!$X$15,ROW(AR105)-ROW(AR$15),0),
              ROUND(ROUND(OFFSET($P105,0,AR$13),15-13*ORÇAMENTO!$AF$7)*OFFSET(ORÇAMENTO!$W$15,ROW(AR105)-ROW(AR$15),0),15-13*ORÇAMENTO!$AF$11)),
         0)</f>
        <v>41.79</v>
      </c>
      <c r="AS105" s="352" t="n">
        <f aca="true">IF(AND($D105="Serviço",AS$12&lt;&gt;0,$H105&gt;0,OR(AUTOEVENTO&lt;&gt;"manual",$M105&lt;&gt;$A$15)),
        IF(Import.TipoArredondamento&lt;&gt;"TransfereGOV",
              ROUND(OFFSET($P105,0,AS$13),15-13*ORÇAMENTO!$AF$7)/$H105*OFFSET(ORÇAMENTO!$X$15,ROW(AS105)-ROW(AS$15),0),
              ROUND(ROUND(OFFSET($P105,0,AS$13),15-13*ORÇAMENTO!$AF$7)*OFFSET(ORÇAMENTO!$W$15,ROW(AS105)-ROW(AS$15),0),15-13*ORÇAMENTO!$AF$11)),
         0)</f>
        <v>41.79</v>
      </c>
      <c r="AT105" s="352" t="n">
        <f aca="true">IF(AND($D105="Serviço",AT$12&lt;&gt;0,$H105&gt;0,OR(AUTOEVENTO&lt;&gt;"manual",$M105&lt;&gt;$A$15)),
        IF(Import.TipoArredondamento&lt;&gt;"TransfereGOV",
              ROUND(OFFSET($P105,0,AT$13),15-13*ORÇAMENTO!$AF$7)/$H105*OFFSET(ORÇAMENTO!$X$15,ROW(AT105)-ROW(AT$15),0),
              ROUND(ROUND(OFFSET($P105,0,AT$13),15-13*ORÇAMENTO!$AF$7)*OFFSET(ORÇAMENTO!$W$15,ROW(AT105)-ROW(AT$15),0),15-13*ORÇAMENTO!$AF$11)),
         0)</f>
        <v>41.79</v>
      </c>
      <c r="AU105" s="352" t="n">
        <f aca="true">IF(AND($D105="Serviço",AU$12&lt;&gt;0,$H105&gt;0,OR(AUTOEVENTO&lt;&gt;"manual",$M105&lt;&gt;$A$15)),
        IF(Import.TipoArredondamento&lt;&gt;"TransfereGOV",
              ROUND(OFFSET($P105,0,AU$13),15-13*ORÇAMENTO!$AF$7)/$H105*OFFSET(ORÇAMENTO!$X$15,ROW(AU105)-ROW(AU$15),0),
              ROUND(ROUND(OFFSET($P105,0,AU$13),15-13*ORÇAMENTO!$AF$7)*OFFSET(ORÇAMENTO!$W$15,ROW(AU105)-ROW(AU$15),0),15-13*ORÇAMENTO!$AF$11)),
         0)</f>
        <v>41.79</v>
      </c>
      <c r="AV105" s="352" t="n">
        <f aca="true">IF(AND($D105="Serviço",AV$12&lt;&gt;0,$H105&gt;0,OR(AUTOEVENTO&lt;&gt;"manual",$M105&lt;&gt;$A$15)),
        IF(Import.TipoArredondamento&lt;&gt;"TransfereGOV",
              ROUND(OFFSET($P105,0,AV$13),15-13*ORÇAMENTO!$AF$7)/$H105*OFFSET(ORÇAMENTO!$X$15,ROW(AV105)-ROW(AV$15),0),
              ROUND(ROUND(OFFSET($P105,0,AV$13),15-13*ORÇAMENTO!$AF$7)*OFFSET(ORÇAMENTO!$W$15,ROW(AV105)-ROW(AV$15),0),15-13*ORÇAMENTO!$AF$11)),
         0)</f>
        <v>41.79</v>
      </c>
      <c r="AW105" s="352" t="n">
        <f aca="true">IF(AND($D105="Serviço",AW$12&lt;&gt;0,$H105&gt;0,OR(AUTOEVENTO&lt;&gt;"manual",$M105&lt;&gt;$A$15)),
        IF(Import.TipoArredondamento&lt;&gt;"TransfereGOV",
              ROUND(OFFSET($P105,0,AW$13),15-13*ORÇAMENTO!$AF$7)/$H105*OFFSET(ORÇAMENTO!$X$15,ROW(AW105)-ROW(AW$15),0),
              ROUND(ROUND(OFFSET($P105,0,AW$13),15-13*ORÇAMENTO!$AF$7)*OFFSET(ORÇAMENTO!$W$15,ROW(AW105)-ROW(AW$15),0),15-13*ORÇAMENTO!$AF$11)),
         0)</f>
        <v>41.79</v>
      </c>
      <c r="AX105" s="352" t="n">
        <f aca="true">IF(AND($D105="Serviço",AX$12&lt;&gt;0,$H105&gt;0,OR(AUTOEVENTO&lt;&gt;"manual",$M105&lt;&gt;$A$15)),
        IF(Import.TipoArredondamento&lt;&gt;"TransfereGOV",
              ROUND(OFFSET($P105,0,AX$13),15-13*ORÇAMENTO!$AF$7)/$H105*OFFSET(ORÇAMENTO!$X$15,ROW(AX105)-ROW(AX$15),0),
              ROUND(ROUND(OFFSET($P105,0,AX$13),15-13*ORÇAMENTO!$AF$7)*OFFSET(ORÇAMENTO!$W$15,ROW(AX105)-ROW(AX$15),0),15-13*ORÇAMENTO!$AF$11)),
         0)</f>
        <v>41.79</v>
      </c>
      <c r="AY105" s="352" t="n">
        <f aca="true">IF(AND($D105="Serviço",AY$12&lt;&gt;0,$H105&gt;0,OR(AUTOEVENTO&lt;&gt;"manual",$M105&lt;&gt;$A$15)),
        IF(Import.TipoArredondamento&lt;&gt;"TransfereGOV",
              ROUND(OFFSET($P105,0,AY$13),15-13*ORÇAMENTO!$AF$7)/$H105*OFFSET(ORÇAMENTO!$X$15,ROW(AY105)-ROW(AY$15),0),
              ROUND(ROUND(OFFSET($P105,0,AY$13),15-13*ORÇAMENTO!$AF$7)*OFFSET(ORÇAMENTO!$W$15,ROW(AY105)-ROW(AY$15),0),15-13*ORÇAMENTO!$AF$11)),
         0)</f>
        <v>41.79</v>
      </c>
      <c r="AZ105" s="352" t="n">
        <f aca="true">IF(AND($D105="Serviço",AZ$12&lt;&gt;0,$H105&gt;0,OR(AUTOEVENTO&lt;&gt;"manual",$M105&lt;&gt;$A$15)),
        IF(Import.TipoArredondamento&lt;&gt;"TransfereGOV",
              ROUND(OFFSET($P105,0,AZ$13),15-13*ORÇAMENTO!$AF$7)/$H105*OFFSET(ORÇAMENTO!$X$15,ROW(AZ105)-ROW(AZ$15),0),
              ROUND(ROUND(OFFSET($P105,0,AZ$13),15-13*ORÇAMENTO!$AF$7)*OFFSET(ORÇAMENTO!$W$15,ROW(AZ105)-ROW(AZ$15),0),15-13*ORÇAMENTO!$AF$11)),
         0)</f>
        <v>41.79</v>
      </c>
      <c r="BA105" s="352" t="n">
        <f aca="true">IF(AND($D105="Serviço",BA$12&lt;&gt;0,$H105&gt;0,OR(AUTOEVENTO&lt;&gt;"manual",$M105&lt;&gt;$A$15)),
        IF(Import.TipoArredondamento&lt;&gt;"TransfereGOV",
              ROUND(OFFSET($P105,0,BA$13),15-13*ORÇAMENTO!$AF$7)/$H105*OFFSET(ORÇAMENTO!$X$15,ROW(BA105)-ROW(BA$15),0),
              ROUND(ROUND(OFFSET($P105,0,BA$13),15-13*ORÇAMENTO!$AF$7)*OFFSET(ORÇAMENTO!$W$15,ROW(BA105)-ROW(BA$15),0),15-13*ORÇAMENTO!$AF$11)),
         0)</f>
        <v>41.79</v>
      </c>
      <c r="BB105" s="352" t="n">
        <f aca="true">IF(AND($D105="Serviço",BB$12&lt;&gt;0,$H105&gt;0,OR(AUTOEVENTO&lt;&gt;"manual",$M105&lt;&gt;$A$15)),
        IF(Import.TipoArredondamento&lt;&gt;"TransfereGOV",
              ROUND(OFFSET($P105,0,BB$13),15-13*ORÇAMENTO!$AF$7)/$H105*OFFSET(ORÇAMENTO!$X$15,ROW(BB105)-ROW(BB$15),0),
              ROUND(ROUND(OFFSET($P105,0,BB$13),15-13*ORÇAMENTO!$AF$7)*OFFSET(ORÇAMENTO!$W$15,ROW(BB105)-ROW(BB$15),0),15-13*ORÇAMENTO!$AF$11)),
         0)</f>
        <v>41.79</v>
      </c>
      <c r="BC105" s="352" t="n">
        <f aca="true">IF(AND($D105="Serviço",BC$12&lt;&gt;0,$H105&gt;0,OR(AUTOEVENTO&lt;&gt;"manual",$M105&lt;&gt;$A$15)),
        IF(Import.TipoArredondamento&lt;&gt;"TransfereGOV",
              ROUND(OFFSET($P105,0,BC$13),15-13*ORÇAMENTO!$AF$7)/$H105*OFFSET(ORÇAMENTO!$X$15,ROW(BC105)-ROW(BC$15),0),
              ROUND(ROUND(OFFSET($P105,0,BC$13),15-13*ORÇAMENTO!$AF$7)*OFFSET(ORÇAMENTO!$W$15,ROW(BC105)-ROW(BC$15),0),15-13*ORÇAMENTO!$AF$11)),
         0)</f>
        <v>41.79</v>
      </c>
      <c r="BD105" s="352" t="n">
        <f aca="true">IF(AND($D105="Serviço",BD$12&lt;&gt;0,$H105&gt;0,OR(AUTOEVENTO&lt;&gt;"manual",$M105&lt;&gt;$A$15)),
        IF(Import.TipoArredondamento&lt;&gt;"TransfereGOV",
              ROUND(OFFSET($P105,0,BD$13),15-13*ORÇAMENTO!$AF$7)/$H105*OFFSET(ORÇAMENTO!$X$15,ROW(BD105)-ROW(BD$15),0),
              ROUND(ROUND(OFFSET($P105,0,BD$13),15-13*ORÇAMENTO!$AF$7)*OFFSET(ORÇAMENTO!$W$15,ROW(BD105)-ROW(BD$15),0),15-13*ORÇAMENTO!$AF$11)),
         0)</f>
        <v>41.79</v>
      </c>
      <c r="BE105" s="352" t="n">
        <f aca="true">IF(AND($D105="Serviço",BE$12&lt;&gt;0,$H105&gt;0,OR(AUTOEVENTO&lt;&gt;"manual",$M105&lt;&gt;$A$15)),
        IF(Import.TipoArredondamento&lt;&gt;"TransfereGOV",
              ROUND(OFFSET($P105,0,BE$13),15-13*ORÇAMENTO!$AF$7)/$H105*OFFSET(ORÇAMENTO!$X$15,ROW(BE105)-ROW(BE$15),0),
              ROUND(ROUND(OFFSET($P105,0,BE$13),15-13*ORÇAMENTO!$AF$7)*OFFSET(ORÇAMENTO!$W$15,ROW(BE105)-ROW(BE$15),0),15-13*ORÇAMENTO!$AF$11)),
         0)</f>
        <v>41.79</v>
      </c>
      <c r="BF105" s="352" t="n">
        <f aca="true">IF(AND($D105="Serviço",BF$12&lt;&gt;0,$H105&gt;0,OR(AUTOEVENTO&lt;&gt;"manual",$M105&lt;&gt;$A$15)),
        IF(Import.TipoArredondamento&lt;&gt;"TransfereGOV",
              ROUND(OFFSET($P105,0,BF$13),15-13*ORÇAMENTO!$AF$7)/$H105*OFFSET(ORÇAMENTO!$X$15,ROW(BF105)-ROW(BF$15),0),
              ROUND(ROUND(OFFSET($P105,0,BF$13),15-13*ORÇAMENTO!$AF$7)*OFFSET(ORÇAMENTO!$W$15,ROW(BF105)-ROW(BF$15),0),15-13*ORÇAMENTO!$AF$11)),
         0)</f>
        <v>41.79</v>
      </c>
      <c r="BG105" s="352" t="n">
        <f aca="true">IF(AND($D105="Serviço",BG$12&lt;&gt;0,$H105&gt;0,OR(AUTOEVENTO&lt;&gt;"manual",$M105&lt;&gt;$A$15)),
        IF(Import.TipoArredondamento&lt;&gt;"TransfereGOV",
              ROUND(OFFSET($P105,0,BG$13),15-13*ORÇAMENTO!$AF$7)/$H105*OFFSET(ORÇAMENTO!$X$15,ROW(BG105)-ROW(BG$15),0),
              ROUND(ROUND(OFFSET($P105,0,BG$13),15-13*ORÇAMENTO!$AF$7)*OFFSET(ORÇAMENTO!$W$15,ROW(BG105)-ROW(BG$15),0),15-13*ORÇAMENTO!$AF$11)),
         0)</f>
        <v>41.79</v>
      </c>
      <c r="BH105" s="352" t="n">
        <f aca="true">IF(AND($D105="Serviço",BH$12&lt;&gt;0,$H105&gt;0,OR(AUTOEVENTO&lt;&gt;"manual",$M105&lt;&gt;$A$15)),
        IF(Import.TipoArredondamento&lt;&gt;"TransfereGOV",
              ROUND(OFFSET($P105,0,BH$13),15-13*ORÇAMENTO!$AF$7)/$H105*OFFSET(ORÇAMENTO!$X$15,ROW(BH105)-ROW(BH$15),0),
              ROUND(ROUND(OFFSET($P105,0,BH$13),15-13*ORÇAMENTO!$AF$7)*OFFSET(ORÇAMENTO!$W$15,ROW(BH105)-ROW(BH$15),0),15-13*ORÇAMENTO!$AF$11)),
         0)</f>
        <v>41.79</v>
      </c>
      <c r="BI105" s="352" t="n">
        <f aca="true">IF(AND($D105="Serviço",BI$12&lt;&gt;0,$H105&gt;0,OR(AUTOEVENTO&lt;&gt;"manual",$M105&lt;&gt;$A$15)),
        IF(Import.TipoArredondamento&lt;&gt;"TransfereGOV",
              ROUND(OFFSET($P105,0,BI$13),15-13*ORÇAMENTO!$AF$7)/$H105*OFFSET(ORÇAMENTO!$X$15,ROW(BI105)-ROW(BI$15),0),
              ROUND(ROUND(OFFSET($P105,0,BI$13),15-13*ORÇAMENTO!$AF$7)*OFFSET(ORÇAMENTO!$W$15,ROW(BI105)-ROW(BI$15),0),15-13*ORÇAMENTO!$AF$11)),
         0)</f>
        <v>41.79</v>
      </c>
      <c r="BJ105" s="352" t="n">
        <f aca="true">IF(AND($D105="Serviço",BJ$12&lt;&gt;0,$H105&gt;0,OR(AUTOEVENTO&lt;&gt;"manual",$M105&lt;&gt;$A$15)),
        IF(Import.TipoArredondamento&lt;&gt;"TransfereGOV",
              ROUND(OFFSET($P105,0,BJ$13),15-13*ORÇAMENTO!$AF$7)/$H105*OFFSET(ORÇAMENTO!$X$15,ROW(BJ105)-ROW(BJ$15),0),
              ROUND(ROUND(OFFSET($P105,0,BJ$13),15-13*ORÇAMENTO!$AF$7)*OFFSET(ORÇAMENTO!$W$15,ROW(BJ105)-ROW(BJ$15),0),15-13*ORÇAMENTO!$AF$11)),
         0)</f>
        <v>41.79</v>
      </c>
      <c r="BK105" s="352" t="n">
        <f aca="true">IF(AND($D105="Serviço",BK$12&lt;&gt;0,$H105&gt;0,OR(AUTOEVENTO&lt;&gt;"manual",$M105&lt;&gt;$A$15)),
        IF(Import.TipoArredondamento&lt;&gt;"TransfereGOV",
              ROUND(OFFSET($P105,0,BK$13),15-13*ORÇAMENTO!$AF$7)/$H105*OFFSET(ORÇAMENTO!$X$15,ROW(BK105)-ROW(BK$15),0),
              ROUND(ROUND(OFFSET($P105,0,BK$13),15-13*ORÇAMENTO!$AF$7)*OFFSET(ORÇAMENTO!$W$15,ROW(BK105)-ROW(BK$15),0),15-13*ORÇAMENTO!$AF$11)),
         0)</f>
        <v>41.79</v>
      </c>
      <c r="BL105" s="352" t="n">
        <f aca="true">IF(AND($D105="Serviço",BL$12&lt;&gt;0,$H105&gt;0,OR(AUTOEVENTO&lt;&gt;"manual",$M105&lt;&gt;$A$15)),
        IF(Import.TipoArredondamento&lt;&gt;"TransfereGOV",
              ROUND(OFFSET($P105,0,BL$13),15-13*ORÇAMENTO!$AF$7)/$H105*OFFSET(ORÇAMENTO!$X$15,ROW(BL105)-ROW(BL$15),0),
              ROUND(ROUND(OFFSET($P105,0,BL$13),15-13*ORÇAMENTO!$AF$7)*OFFSET(ORÇAMENTO!$W$15,ROW(BL105)-ROW(BL$15),0),15-13*ORÇAMENTO!$AF$11)),
         0)</f>
        <v>41.79</v>
      </c>
      <c r="BM105" s="352" t="n">
        <f aca="true">IF(AND($D105="Serviço",BM$12&lt;&gt;0,$H105&gt;0,OR(AUTOEVENTO&lt;&gt;"manual",$M105&lt;&gt;$A$15)),
        IF(Import.TipoArredondamento&lt;&gt;"TransfereGOV",
              ROUND(OFFSET($P105,0,BM$13),15-13*ORÇAMENTO!$AF$7)/$H105*OFFSET(ORÇAMENTO!$X$15,ROW(BM105)-ROW(BM$15),0),
              ROUND(ROUND(OFFSET($P105,0,BM$13),15-13*ORÇAMENTO!$AF$7)*OFFSET(ORÇAMENTO!$W$15,ROW(BM105)-ROW(BM$15),0),15-13*ORÇAMENTO!$AF$11)),
         0)</f>
        <v>41.79</v>
      </c>
      <c r="BN105" s="352" t="n">
        <f aca="true">IF(AND($D105="Serviço",BN$12&lt;&gt;0,$H105&gt;0,OR(AUTOEVENTO&lt;&gt;"manual",$M105&lt;&gt;$A$15)),
        IF(Import.TipoArredondamento&lt;&gt;"TransfereGOV",
              ROUND(OFFSET($P105,0,BN$13),15-13*ORÇAMENTO!$AF$7)/$H105*OFFSET(ORÇAMENTO!$X$15,ROW(BN105)-ROW(BN$15),0),
              ROUND(ROUND(OFFSET($P105,0,BN$13),15-13*ORÇAMENTO!$AF$7)*OFFSET(ORÇAMENTO!$W$15,ROW(BN105)-ROW(BN$15),0),15-13*ORÇAMENTO!$AF$11)),
         0)</f>
        <v>41.79</v>
      </c>
      <c r="BO105" s="352" t="n">
        <f aca="true">IF(AND($D105="Serviço",BO$12&lt;&gt;0,$H105&gt;0,OR(AUTOEVENTO&lt;&gt;"manual",$M105&lt;&gt;$A$15)),
        IF(Import.TipoArredondamento&lt;&gt;"TransfereGOV",
              ROUND(OFFSET($P105,0,BO$13),15-13*ORÇAMENTO!$AF$7)/$H105*OFFSET(ORÇAMENTO!$X$15,ROW(BO105)-ROW(BO$15),0),
              ROUND(ROUND(OFFSET($P105,0,BO$13),15-13*ORÇAMENTO!$AF$7)*OFFSET(ORÇAMENTO!$W$15,ROW(BO105)-ROW(BO$15),0),15-13*ORÇAMENTO!$AF$11)),
         0)</f>
        <v>41.79</v>
      </c>
      <c r="BP105" s="352" t="n">
        <f aca="true">IF(AND($D105="Serviço",BP$12&lt;&gt;0,$H105&gt;0,OR(AUTOEVENTO&lt;&gt;"manual",$M105&lt;&gt;$A$15)),
        IF(Import.TipoArredondamento&lt;&gt;"TransfereGOV",
              ROUND(OFFSET($P105,0,BP$13),15-13*ORÇAMENTO!$AF$7)/$H105*OFFSET(ORÇAMENTO!$X$15,ROW(BP105)-ROW(BP$15),0),
              ROUND(ROUND(OFFSET($P105,0,BP$13),15-13*ORÇAMENTO!$AF$7)*OFFSET(ORÇAMENTO!$W$15,ROW(BP105)-ROW(BP$15),0),15-13*ORÇAMENTO!$AF$11)),
         0)</f>
        <v>41.79</v>
      </c>
      <c r="BQ105" s="352" t="n">
        <f aca="true">IF(AND($D105="Serviço",BQ$12&lt;&gt;0,$H105&gt;0,OR(AUTOEVENTO&lt;&gt;"manual",$M105&lt;&gt;$A$15)),
        IF(Import.TipoArredondamento&lt;&gt;"TransfereGOV",
              ROUND(OFFSET($P105,0,BQ$13),15-13*ORÇAMENTO!$AF$7)/$H105*OFFSET(ORÇAMENTO!$X$15,ROW(BQ105)-ROW(BQ$15),0),
              ROUND(ROUND(OFFSET($P105,0,BQ$13),15-13*ORÇAMENTO!$AF$7)*OFFSET(ORÇAMENTO!$W$15,ROW(BQ105)-ROW(BQ$15),0),15-13*ORÇAMENTO!$AF$11)),
         0)</f>
        <v>0</v>
      </c>
      <c r="BS105" s="353" t="n">
        <f aca="true">IF(OR($D105&lt;&gt;"Serviço",AND(AUTOEVENTO="Manual",$M105=$A$15)),0,
         IF(OFFSET(CRONOPLE!$F$15,$M105-$A$15,BS$13)=0,10^12,OFFSET(CRONOPLE!$F$15,$M105-$A$15,BS$13)))</f>
        <v>1</v>
      </c>
      <c r="BT105" s="353" t="n">
        <f aca="true">IF(OR($D105&lt;&gt;"Serviço",AND(AUTOEVENTO="Manual",$M105=$A$15)),0,
         IF(OFFSET(CRONOPLE!$F$15,$M105-$A$15,BT$13)=0,10^12,OFFSET(CRONOPLE!$F$15,$M105-$A$15,BT$13)))</f>
        <v>2</v>
      </c>
      <c r="BU105" s="353" t="n">
        <f aca="true">IF(OR($D105&lt;&gt;"Serviço",AND(AUTOEVENTO="Manual",$M105=$A$15)),0,
         IF(OFFSET(CRONOPLE!$F$15,$M105-$A$15,BU$13)=0,10^12,OFFSET(CRONOPLE!$F$15,$M105-$A$15,BU$13)))</f>
        <v>3</v>
      </c>
      <c r="BV105" s="353" t="n">
        <f aca="true">IF(OR($D105&lt;&gt;"Serviço",AND(AUTOEVENTO="Manual",$M105=$A$15)),0,
         IF(OFFSET(CRONOPLE!$F$15,$M105-$A$15,BV$13)=0,10^12,OFFSET(CRONOPLE!$F$15,$M105-$A$15,BV$13)))</f>
        <v>4</v>
      </c>
      <c r="BW105" s="353" t="n">
        <f aca="true">IF(OR($D105&lt;&gt;"Serviço",AND(AUTOEVENTO="Manual",$M105=$A$15)),0,
         IF(OFFSET(CRONOPLE!$F$15,$M105-$A$15,BW$13)=0,10^12,OFFSET(CRONOPLE!$F$15,$M105-$A$15,BW$13)))</f>
        <v>5</v>
      </c>
      <c r="BX105" s="353" t="n">
        <f aca="true">IF(OR($D105&lt;&gt;"Serviço",AND(AUTOEVENTO="Manual",$M105=$A$15)),0,
         IF(OFFSET(CRONOPLE!$F$15,$M105-$A$15,BX$13)=0,10^12,OFFSET(CRONOPLE!$F$15,$M105-$A$15,BX$13)))</f>
        <v>6</v>
      </c>
      <c r="BY105" s="353" t="n">
        <f aca="true">IF(OR($D105&lt;&gt;"Serviço",AND(AUTOEVENTO="Manual",$M105=$A$15)),0,
         IF(OFFSET(CRONOPLE!$F$15,$M105-$A$15,BY$13)=0,10^12,OFFSET(CRONOPLE!$F$15,$M105-$A$15,BY$13)))</f>
        <v>7</v>
      </c>
      <c r="BZ105" s="353" t="n">
        <f aca="true">IF(OR($D105&lt;&gt;"Serviço",AND(AUTOEVENTO="Manual",$M105=$A$15)),0,
         IF(OFFSET(CRONOPLE!$F$15,$M105-$A$15,BZ$13)=0,10^12,OFFSET(CRONOPLE!$F$15,$M105-$A$15,BZ$13)))</f>
        <v>8</v>
      </c>
      <c r="CA105" s="353" t="n">
        <f aca="true">IF(OR($D105&lt;&gt;"Serviço",AND(AUTOEVENTO="Manual",$M105=$A$15)),0,
         IF(OFFSET(CRONOPLE!$F$15,$M105-$A$15,CA$13)=0,10^12,OFFSET(CRONOPLE!$F$15,$M105-$A$15,CA$13)))</f>
        <v>9</v>
      </c>
      <c r="CB105" s="353" t="n">
        <f aca="true">IF(OR($D105&lt;&gt;"Serviço",AND(AUTOEVENTO="Manual",$M105=$A$15)),0,
         IF(OFFSET(CRONOPLE!$F$15,$M105-$A$15,CB$13)=0,10^12,OFFSET(CRONOPLE!$F$15,$M105-$A$15,CB$13)))</f>
        <v>10</v>
      </c>
      <c r="CC105" s="353" t="n">
        <f aca="true">IF(OR($D105&lt;&gt;"Serviço",AND(AUTOEVENTO="Manual",$M105=$A$15)),0,
         IF(OFFSET(CRONOPLE!$F$15,$M105-$A$15,CC$13)=0,10^12,OFFSET(CRONOPLE!$F$15,$M105-$A$15,CC$13)))</f>
        <v>11</v>
      </c>
      <c r="CD105" s="353" t="n">
        <f aca="true">IF(OR($D105&lt;&gt;"Serviço",AND(AUTOEVENTO="Manual",$M105=$A$15)),0,
         IF(OFFSET(CRONOPLE!$F$15,$M105-$A$15,CD$13)=0,10^12,OFFSET(CRONOPLE!$F$15,$M105-$A$15,CD$13)))</f>
        <v>12</v>
      </c>
      <c r="CE105" s="353" t="n">
        <f aca="true">IF(OR($D105&lt;&gt;"Serviço",AND(AUTOEVENTO="Manual",$M105=$A$15)),0,
         IF(OFFSET(CRONOPLE!$F$15,$M105-$A$15,CE$13)=0,10^12,OFFSET(CRONOPLE!$F$15,$M105-$A$15,CE$13)))</f>
        <v>13</v>
      </c>
      <c r="CF105" s="353" t="n">
        <f aca="true">IF(OR($D105&lt;&gt;"Serviço",AND(AUTOEVENTO="Manual",$M105=$A$15)),0,
         IF(OFFSET(CRONOPLE!$F$15,$M105-$A$15,CF$13)=0,10^12,OFFSET(CRONOPLE!$F$15,$M105-$A$15,CF$13)))</f>
        <v>14</v>
      </c>
      <c r="CG105" s="353" t="n">
        <f aca="true">IF(OR($D105&lt;&gt;"Serviço",AND(AUTOEVENTO="Manual",$M105=$A$15)),0,
         IF(OFFSET(CRONOPLE!$F$15,$M105-$A$15,CG$13)=0,10^12,OFFSET(CRONOPLE!$F$15,$M105-$A$15,CG$13)))</f>
        <v>15</v>
      </c>
      <c r="CH105" s="353" t="n">
        <f aca="true">IF(OR($D105&lt;&gt;"Serviço",AND(AUTOEVENTO="Manual",$M105=$A$15)),0,
         IF(OFFSET(CRONOPLE!$F$15,$M105-$A$15,CH$13)=0,10^12,OFFSET(CRONOPLE!$F$15,$M105-$A$15,CH$13)))</f>
        <v>16</v>
      </c>
      <c r="CI105" s="353" t="n">
        <f aca="true">IF(OR($D105&lt;&gt;"Serviço",AND(AUTOEVENTO="Manual",$M105=$A$15)),0,
         IF(OFFSET(CRONOPLE!$F$15,$M105-$A$15,CI$13)=0,10^12,OFFSET(CRONOPLE!$F$15,$M105-$A$15,CI$13)))</f>
        <v>17</v>
      </c>
      <c r="CJ105" s="353" t="n">
        <f aca="true">IF(OR($D105&lt;&gt;"Serviço",AND(AUTOEVENTO="Manual",$M105=$A$15)),0,
         IF(OFFSET(CRONOPLE!$F$15,$M105-$A$15,CJ$13)=0,10^12,OFFSET(CRONOPLE!$F$15,$M105-$A$15,CJ$13)))</f>
        <v>18</v>
      </c>
      <c r="CK105" s="353" t="n">
        <f aca="true">IF(OR($D105&lt;&gt;"Serviço",AND(AUTOEVENTO="Manual",$M105=$A$15)),0,
         IF(OFFSET(CRONOPLE!$F$15,$M105-$A$15,CK$13)=0,10^12,OFFSET(CRONOPLE!$F$15,$M105-$A$15,CK$13)))</f>
        <v>19</v>
      </c>
      <c r="CL105" s="353" t="n">
        <f aca="true">IF(OR($D105&lt;&gt;"Serviço",AND(AUTOEVENTO="Manual",$M105=$A$15)),0,
         IF(OFFSET(CRONOPLE!$F$15,$M105-$A$15,CL$13)=0,10^12,OFFSET(CRONOPLE!$F$15,$M105-$A$15,CL$13)))</f>
        <v>20</v>
      </c>
      <c r="CM105" s="353" t="n">
        <f aca="true">IF(OR($D105&lt;&gt;"Serviço",AND(AUTOEVENTO="Manual",$M105=$A$15)),0,
         IF(OFFSET(CRONOPLE!$F$15,$M105-$A$15,CM$13)=0,10^12,OFFSET(CRONOPLE!$F$15,$M105-$A$15,CM$13)))</f>
        <v>21</v>
      </c>
      <c r="CN105" s="353" t="n">
        <f aca="true">IF(OR($D105&lt;&gt;"Serviço",AND(AUTOEVENTO="Manual",$M105=$A$15)),0,
         IF(OFFSET(CRONOPLE!$F$15,$M105-$A$15,CN$13)=0,10^12,OFFSET(CRONOPLE!$F$15,$M105-$A$15,CN$13)))</f>
        <v>22</v>
      </c>
      <c r="CO105" s="353" t="n">
        <f aca="true">IF(OR($D105&lt;&gt;"Serviço",AND(AUTOEVENTO="Manual",$M105=$A$15)),0,
         IF(OFFSET(CRONOPLE!$F$15,$M105-$A$15,CO$13)=0,10^12,OFFSET(CRONOPLE!$F$15,$M105-$A$15,CO$13)))</f>
        <v>23</v>
      </c>
      <c r="CP105" s="353" t="n">
        <f aca="true">IF(OR($D105&lt;&gt;"Serviço",AND(AUTOEVENTO="Manual",$M105=$A$15)),0,
         IF(OFFSET(CRONOPLE!$F$15,$M105-$A$15,CP$13)=0,10^12,OFFSET(CRONOPLE!$F$15,$M105-$A$15,CP$13)))</f>
        <v>24</v>
      </c>
      <c r="CQ105" s="353" t="n">
        <f aca="true">IF(OR($D105&lt;&gt;"Serviço",AND(AUTOEVENTO="Manual",$M105=$A$15)),0,
         IF(OFFSET(CRONOPLE!$F$15,$M105-$A$15,CQ$13)=0,10^12,OFFSET(CRONOPLE!$F$15,$M105-$A$15,CQ$13)))</f>
        <v>25</v>
      </c>
      <c r="CR105" s="353" t="n">
        <f aca="true">IF(OR($D105&lt;&gt;"Serviço",AND(AUTOEVENTO="Manual",$M105=$A$15)),0,
         IF(OFFSET(CRONOPLE!$F$15,$M105-$A$15,CR$13)=0,10^12,OFFSET(CRONOPLE!$F$15,$M105-$A$15,CR$13)))</f>
        <v>1000000000000</v>
      </c>
      <c r="CT105" s="354" t="n">
        <f aca="true">IF(OR($D105&lt;&gt;"Serviço",AND(AUTOEVENTO="Manual",$M105=$A$15),$M105&gt;(ROW(PLE.lastrow)-ROW(PLE.firstrow))),0,
           IF(OFFSET(PLE!$G$15,$M105-$A$15,CT$13)="",10^12,OFFSET(PLE!$G$15,$M105-$A$15,CT$13)))</f>
        <v>1000000000000</v>
      </c>
      <c r="CU105" s="354" t="n">
        <f aca="true">IF(OR($D105&lt;&gt;"Serviço",AND(AUTOEVENTO="Manual",$M105=$A$15),$M105&gt;(ROW(PLE.lastrow)-ROW(PLE.firstrow))),0,
           IF(OFFSET(PLE!$G$15,$M105-$A$15,CU$13)="",10^12,OFFSET(PLE!$G$15,$M105-$A$15,CU$13)))</f>
        <v>1000000000000</v>
      </c>
      <c r="CV105" s="354" t="n">
        <f aca="true">IF(OR($D105&lt;&gt;"Serviço",AND(AUTOEVENTO="Manual",$M105=$A$15),$M105&gt;(ROW(PLE.lastrow)-ROW(PLE.firstrow))),0,
           IF(OFFSET(PLE!$G$15,$M105-$A$15,CV$13)="",10^12,OFFSET(PLE!$G$15,$M105-$A$15,CV$13)))</f>
        <v>1000000000000</v>
      </c>
      <c r="CW105" s="354" t="n">
        <f aca="true">IF(OR($D105&lt;&gt;"Serviço",AND(AUTOEVENTO="Manual",$M105=$A$15),$M105&gt;(ROW(PLE.lastrow)-ROW(PLE.firstrow))),0,
           IF(OFFSET(PLE!$G$15,$M105-$A$15,CW$13)="",10^12,OFFSET(PLE!$G$15,$M105-$A$15,CW$13)))</f>
        <v>1000000000000</v>
      </c>
      <c r="CX105" s="354" t="n">
        <f aca="true">IF(OR($D105&lt;&gt;"Serviço",AND(AUTOEVENTO="Manual",$M105=$A$15),$M105&gt;(ROW(PLE.lastrow)-ROW(PLE.firstrow))),0,
           IF(OFFSET(PLE!$G$15,$M105-$A$15,CX$13)="",10^12,OFFSET(PLE!$G$15,$M105-$A$15,CX$13)))</f>
        <v>1000000000000</v>
      </c>
      <c r="CY105" s="354" t="n">
        <f aca="true">IF(OR($D105&lt;&gt;"Serviço",AND(AUTOEVENTO="Manual",$M105=$A$15),$M105&gt;(ROW(PLE.lastrow)-ROW(PLE.firstrow))),0,
           IF(OFFSET(PLE!$G$15,$M105-$A$15,CY$13)="",10^12,OFFSET(PLE!$G$15,$M105-$A$15,CY$13)))</f>
        <v>1000000000000</v>
      </c>
      <c r="CZ105" s="354" t="n">
        <f aca="true">IF(OR($D105&lt;&gt;"Serviço",AND(AUTOEVENTO="Manual",$M105=$A$15),$M105&gt;(ROW(PLE.lastrow)-ROW(PLE.firstrow))),0,
           IF(OFFSET(PLE!$G$15,$M105-$A$15,CZ$13)="",10^12,OFFSET(PLE!$G$15,$M105-$A$15,CZ$13)))</f>
        <v>1000000000000</v>
      </c>
      <c r="DA105" s="354" t="n">
        <f aca="true">IF(OR($D105&lt;&gt;"Serviço",AND(AUTOEVENTO="Manual",$M105=$A$15),$M105&gt;(ROW(PLE.lastrow)-ROW(PLE.firstrow))),0,
           IF(OFFSET(PLE!$G$15,$M105-$A$15,DA$13)="",10^12,OFFSET(PLE!$G$15,$M105-$A$15,DA$13)))</f>
        <v>1000000000000</v>
      </c>
      <c r="DB105" s="354" t="n">
        <f aca="true">IF(OR($D105&lt;&gt;"Serviço",AND(AUTOEVENTO="Manual",$M105=$A$15),$M105&gt;(ROW(PLE.lastrow)-ROW(PLE.firstrow))),0,
           IF(OFFSET(PLE!$G$15,$M105-$A$15,DB$13)="",10^12,OFFSET(PLE!$G$15,$M105-$A$15,DB$13)))</f>
        <v>1000000000000</v>
      </c>
      <c r="DC105" s="354" t="n">
        <f aca="true">IF(OR($D105&lt;&gt;"Serviço",AND(AUTOEVENTO="Manual",$M105=$A$15),$M105&gt;(ROW(PLE.lastrow)-ROW(PLE.firstrow))),0,
           IF(OFFSET(PLE!$G$15,$M105-$A$15,DC$13)="",10^12,OFFSET(PLE!$G$15,$M105-$A$15,DC$13)))</f>
        <v>1000000000000</v>
      </c>
      <c r="DD105" s="354" t="n">
        <f aca="true">IF(OR($D105&lt;&gt;"Serviço",AND(AUTOEVENTO="Manual",$M105=$A$15),$M105&gt;(ROW(PLE.lastrow)-ROW(PLE.firstrow))),0,
           IF(OFFSET(PLE!$G$15,$M105-$A$15,DD$13)="",10^12,OFFSET(PLE!$G$15,$M105-$A$15,DD$13)))</f>
        <v>1000000000000</v>
      </c>
      <c r="DE105" s="354" t="n">
        <f aca="true">IF(OR($D105&lt;&gt;"Serviço",AND(AUTOEVENTO="Manual",$M105=$A$15),$M105&gt;(ROW(PLE.lastrow)-ROW(PLE.firstrow))),0,
           IF(OFFSET(PLE!$G$15,$M105-$A$15,DE$13)="",10^12,OFFSET(PLE!$G$15,$M105-$A$15,DE$13)))</f>
        <v>1000000000000</v>
      </c>
      <c r="DF105" s="354" t="n">
        <f aca="true">IF(OR($D105&lt;&gt;"Serviço",AND(AUTOEVENTO="Manual",$M105=$A$15),$M105&gt;(ROW(PLE.lastrow)-ROW(PLE.firstrow))),0,
           IF(OFFSET(PLE!$G$15,$M105-$A$15,DF$13)="",10^12,OFFSET(PLE!$G$15,$M105-$A$15,DF$13)))</f>
        <v>1000000000000</v>
      </c>
      <c r="DG105" s="354" t="n">
        <f aca="true">IF(OR($D105&lt;&gt;"Serviço",AND(AUTOEVENTO="Manual",$M105=$A$15),$M105&gt;(ROW(PLE.lastrow)-ROW(PLE.firstrow))),0,
           IF(OFFSET(PLE!$G$15,$M105-$A$15,DG$13)="",10^12,OFFSET(PLE!$G$15,$M105-$A$15,DG$13)))</f>
        <v>1000000000000</v>
      </c>
      <c r="DH105" s="354" t="n">
        <f aca="true">IF(OR($D105&lt;&gt;"Serviço",AND(AUTOEVENTO="Manual",$M105=$A$15),$M105&gt;(ROW(PLE.lastrow)-ROW(PLE.firstrow))),0,
           IF(OFFSET(PLE!$G$15,$M105-$A$15,DH$13)="",10^12,OFFSET(PLE!$G$15,$M105-$A$15,DH$13)))</f>
        <v>1000000000000</v>
      </c>
      <c r="DI105" s="354" t="n">
        <f aca="true">IF(OR($D105&lt;&gt;"Serviço",AND(AUTOEVENTO="Manual",$M105=$A$15),$M105&gt;(ROW(PLE.lastrow)-ROW(PLE.firstrow))),0,
           IF(OFFSET(PLE!$G$15,$M105-$A$15,DI$13)="",10^12,OFFSET(PLE!$G$15,$M105-$A$15,DI$13)))</f>
        <v>1000000000000</v>
      </c>
      <c r="DJ105" s="354" t="n">
        <f aca="true">IF(OR($D105&lt;&gt;"Serviço",AND(AUTOEVENTO="Manual",$M105=$A$15),$M105&gt;(ROW(PLE.lastrow)-ROW(PLE.firstrow))),0,
           IF(OFFSET(PLE!$G$15,$M105-$A$15,DJ$13)="",10^12,OFFSET(PLE!$G$15,$M105-$A$15,DJ$13)))</f>
        <v>1000000000000</v>
      </c>
      <c r="DK105" s="354" t="n">
        <f aca="true">IF(OR($D105&lt;&gt;"Serviço",AND(AUTOEVENTO="Manual",$M105=$A$15),$M105&gt;(ROW(PLE.lastrow)-ROW(PLE.firstrow))),0,
           IF(OFFSET(PLE!$G$15,$M105-$A$15,DK$13)="",10^12,OFFSET(PLE!$G$15,$M105-$A$15,DK$13)))</f>
        <v>1000000000000</v>
      </c>
      <c r="DL105" s="354" t="n">
        <f aca="true">IF(OR($D105&lt;&gt;"Serviço",AND(AUTOEVENTO="Manual",$M105=$A$15),$M105&gt;(ROW(PLE.lastrow)-ROW(PLE.firstrow))),0,
           IF(OFFSET(PLE!$G$15,$M105-$A$15,DL$13)="",10^12,OFFSET(PLE!$G$15,$M105-$A$15,DL$13)))</f>
        <v>1000000000000</v>
      </c>
      <c r="DM105" s="354" t="n">
        <f aca="true">IF(OR($D105&lt;&gt;"Serviço",AND(AUTOEVENTO="Manual",$M105=$A$15),$M105&gt;(ROW(PLE.lastrow)-ROW(PLE.firstrow))),0,
           IF(OFFSET(PLE!$G$15,$M105-$A$15,DM$13)="",10^12,OFFSET(PLE!$G$15,$M105-$A$15,DM$13)))</f>
        <v>1000000000000</v>
      </c>
      <c r="DN105" s="354" t="n">
        <f aca="true">IF(OR($D105&lt;&gt;"Serviço",AND(AUTOEVENTO="Manual",$M105=$A$15),$M105&gt;(ROW(PLE.lastrow)-ROW(PLE.firstrow))),0,
           IF(OFFSET(PLE!$G$15,$M105-$A$15,DN$13)="",10^12,OFFSET(PLE!$G$15,$M105-$A$15,DN$13)))</f>
        <v>1000000000000</v>
      </c>
      <c r="DO105" s="354" t="n">
        <f aca="true">IF(OR($D105&lt;&gt;"Serviço",AND(AUTOEVENTO="Manual",$M105=$A$15),$M105&gt;(ROW(PLE.lastrow)-ROW(PLE.firstrow))),0,
           IF(OFFSET(PLE!$G$15,$M105-$A$15,DO$13)="",10^12,OFFSET(PLE!$G$15,$M105-$A$15,DO$13)))</f>
        <v>1000000000000</v>
      </c>
      <c r="DP105" s="354" t="n">
        <f aca="true">IF(OR($D105&lt;&gt;"Serviço",AND(AUTOEVENTO="Manual",$M105=$A$15),$M105&gt;(ROW(PLE.lastrow)-ROW(PLE.firstrow))),0,
           IF(OFFSET(PLE!$G$15,$M105-$A$15,DP$13)="",10^12,OFFSET(PLE!$G$15,$M105-$A$15,DP$13)))</f>
        <v>1000000000000</v>
      </c>
      <c r="DQ105" s="354" t="n">
        <f aca="true">IF(OR($D105&lt;&gt;"Serviço",AND(AUTOEVENTO="Manual",$M105=$A$15),$M105&gt;(ROW(PLE.lastrow)-ROW(PLE.firstrow))),0,
           IF(OFFSET(PLE!$G$15,$M105-$A$15,DQ$13)="",10^12,OFFSET(PLE!$G$15,$M105-$A$15,DQ$13)))</f>
        <v>1000000000000</v>
      </c>
      <c r="DR105" s="354" t="n">
        <f aca="true">IF(OR($D105&lt;&gt;"Serviço",AND(AUTOEVENTO="Manual",$M105=$A$15),$M105&gt;(ROW(PLE.lastrow)-ROW(PLE.firstrow))),0,
           IF(OFFSET(PLE!$G$15,$M105-$A$15,DR$13)="",10^12,OFFSET(PLE!$G$15,$M105-$A$15,DR$13)))</f>
        <v>1000000000000</v>
      </c>
      <c r="DS105" s="354" t="n">
        <f aca="true">IF(OR($D105&lt;&gt;"Serviço",AND(AUTOEVENTO="Manual",$M105=$A$15),$M105&gt;(ROW(PLE.lastrow)-ROW(PLE.firstrow))),0,
           IF(OFFSET(PLE!$G$15,$M105-$A$15,DS$13)="",10^12,OFFSET(PLE!$G$15,$M105-$A$15,DS$13)))</f>
        <v>1000000000000</v>
      </c>
    </row>
    <row r="106" customFormat="false" ht="46.25" hidden="false" customHeight="false" outlineLevel="0" collapsed="false">
      <c r="A106" s="50" t="str">
        <f aca="true">IFERROR(IF(AUTOEVENTO="Manual",IF(K106&lt;&gt;"",MIN(VALUE(LEFT(K106,FIND(".",K106)-1)),COUNTA(EVENTOS.Lista)),0),IF(OR($B106&gt;AUTOEVENTO,$B106="S",$B106=0),SUBSTITUTE(OFFSET($A106,-1,0),IF($D106="Serviço",".",""),""),ROW(A106)-ROW($A$15)&amp;".")),0)</f>
        <v>89</v>
      </c>
      <c r="B106" s="50" t="str">
        <f aca="true">OFFSET(ORÇAMENTO!C$15,ROW(B106)-ROW(B$15),0)</f>
        <v>S</v>
      </c>
      <c r="C106" s="50" t="str">
        <f aca="true">OFFSET(ORÇAMENTO!L$15,ROW(C106)-ROW(C$15),0)</f>
        <v>F</v>
      </c>
      <c r="D106" s="201" t="str">
        <f aca="true">OFFSET(ORÇAMENTO!N$15,ROW(D106)-ROW(D$15),0)</f>
        <v>Serviço</v>
      </c>
      <c r="E106" s="202" t="str">
        <f aca="true">OFFSET(ORÇAMENTO!O$15,ROW(E106)-ROW(E$15),0)</f>
        <v>1.29.2.</v>
      </c>
      <c r="F106" s="341" t="str">
        <f aca="true">OFFSET(ORÇAMENTO!R$15,ROW(F106)-ROW(F$15),0)</f>
        <v>LASTRO DE CONCRETO MAGRO, APLICADO EM PISOS, LAJES SOBRE SOLO OU RADIERS, ESPESSURA DE 5 CM. AF_01/2024</v>
      </c>
      <c r="G106" s="342" t="str">
        <f aca="true">IF($D106&lt;&gt;"Serviço","",OFFSET(ORÇAMENTO!S$15,ROW(G106)-ROW(G$15),0))</f>
        <v>M2</v>
      </c>
      <c r="H106" s="207" t="n">
        <f aca="true">IF($D106&lt;&gt;"Serviço",0,IF(ACOMPANHAMENTO="BM",ROUND(OFFSET(ORÇAMENTO!AJ$15,ROW(H106)-ROW(H$15),0),15-13*ORÇAMENTO!$AF$7),SUMPRODUCT(($Q$1:$AQ$1=1)*ROUND($Q106:$AQ106,15-13*ORÇAMENTO!$AF$7))))</f>
        <v>1187.25</v>
      </c>
      <c r="I106" s="343" t="s">
        <v>962</v>
      </c>
      <c r="J106" s="344" t="e">
        <f aca="false">IF(OR(B106&lt;&gt;"S",CÁLCULO.FrentesPreenchidas=0),"",IF(AND(ACOMPANHAMENTO="PLE",AUTOEVENTO="Manual",OR(H106&gt;0,ORÇAMENTO!AC106="QUANT."),OR(K106="",M106=0,N106="")),"►",IF(AND(ACOMPANHAMENTO="PLE",ORÇAMENTO!AC106="QUANT."),"►►",IF(AND(COUNTIF($P$11:$AQ$11,"▼")=0,H106&gt;0,I106=""),"◄",""))))</f>
        <v>#NAME?</v>
      </c>
      <c r="K106" s="345"/>
      <c r="L106" s="346" t="s">
        <v>876</v>
      </c>
      <c r="M106" s="347" t="n">
        <f aca="true">IF($D106&lt;&gt;"Serviço","",
          IF(AUTOEVENTO="manual",$A106,
                IF(ISERROR(MATCH($A106,$A$15:OFFSET($A106,-1,0),0)),MAX($M$15:OFFSET(M106,-1,0))+1,
                      INDEX($M$15:OFFSET(M106,-1,0),MATCH($A106,$A$15:OFFSET($A106,-1,0),0)))))</f>
        <v>18</v>
      </c>
      <c r="N106" s="348" t="str">
        <f aca="true">IF($D106&lt;&gt;"Serviço","",
         IF(AUTOEVENTO="Manual",
                IF($A106=0,"&lt;-- defina o número do agrupador",
                       OFFSET(EVENTOS!$D$15,$A106-$A$15,0)),
                OFFSET($F$15,$A106,0)))</f>
        <v>CERÂMICA</v>
      </c>
      <c r="O106" s="349"/>
      <c r="Q106" s="349" t="n">
        <f aca="false">Q105</f>
        <v>47.49</v>
      </c>
      <c r="R106" s="350" t="n">
        <f aca="false">Q106</f>
        <v>47.49</v>
      </c>
      <c r="S106" s="350" t="n">
        <f aca="false">R106</f>
        <v>47.49</v>
      </c>
      <c r="T106" s="350" t="n">
        <f aca="false">S106</f>
        <v>47.49</v>
      </c>
      <c r="U106" s="350" t="n">
        <f aca="false">T106</f>
        <v>47.49</v>
      </c>
      <c r="V106" s="350" t="n">
        <f aca="false">U106</f>
        <v>47.49</v>
      </c>
      <c r="W106" s="350" t="n">
        <f aca="false">V106</f>
        <v>47.49</v>
      </c>
      <c r="X106" s="350" t="n">
        <f aca="false">W106</f>
        <v>47.49</v>
      </c>
      <c r="Y106" s="350" t="n">
        <f aca="false">X106</f>
        <v>47.49</v>
      </c>
      <c r="Z106" s="351" t="n">
        <f aca="false">Y106</f>
        <v>47.49</v>
      </c>
      <c r="AA106" s="350" t="n">
        <f aca="false">Z106</f>
        <v>47.49</v>
      </c>
      <c r="AB106" s="350" t="n">
        <f aca="false">AA106</f>
        <v>47.49</v>
      </c>
      <c r="AC106" s="350" t="n">
        <f aca="false">AB106</f>
        <v>47.49</v>
      </c>
      <c r="AD106" s="350" t="n">
        <f aca="false">AC106</f>
        <v>47.49</v>
      </c>
      <c r="AE106" s="350" t="n">
        <f aca="false">AD106</f>
        <v>47.49</v>
      </c>
      <c r="AF106" s="350" t="n">
        <f aca="false">AE106</f>
        <v>47.49</v>
      </c>
      <c r="AG106" s="350" t="n">
        <f aca="false">AF106</f>
        <v>47.49</v>
      </c>
      <c r="AH106" s="351" t="n">
        <f aca="false">AG106</f>
        <v>47.49</v>
      </c>
      <c r="AI106" s="350" t="n">
        <f aca="false">AH106</f>
        <v>47.49</v>
      </c>
      <c r="AJ106" s="350" t="n">
        <f aca="false">AI106</f>
        <v>47.49</v>
      </c>
      <c r="AK106" s="350" t="n">
        <f aca="false">AJ106</f>
        <v>47.49</v>
      </c>
      <c r="AL106" s="350" t="n">
        <f aca="false">AK106</f>
        <v>47.49</v>
      </c>
      <c r="AM106" s="350" t="n">
        <f aca="false">AL106</f>
        <v>47.49</v>
      </c>
      <c r="AN106" s="350" t="n">
        <f aca="false">AM106</f>
        <v>47.49</v>
      </c>
      <c r="AO106" s="350" t="n">
        <f aca="false">AN106</f>
        <v>47.49</v>
      </c>
      <c r="AP106" s="351"/>
      <c r="AR106" s="352" t="n">
        <f aca="true">IF(AND($D106="Serviço",AR$12&lt;&gt;0,$H106&gt;0,OR(AUTOEVENTO&lt;&gt;"manual",$M106&lt;&gt;$A$15)),
        IF(Import.TipoArredondamento&lt;&gt;"TransfereGOV",
              ROUND(OFFSET($P106,0,AR$13),15-13*ORÇAMENTO!$AF$7)/$H106*OFFSET(ORÇAMENTO!$X$15,ROW(AR106)-ROW(AR$15),0),
              ROUND(ROUND(OFFSET($P106,0,AR$13),15-13*ORÇAMENTO!$AF$7)*OFFSET(ORÇAMENTO!$W$15,ROW(AR106)-ROW(AR$15),0),15-13*ORÇAMENTO!$AF$11)),
         0)</f>
        <v>2492.28</v>
      </c>
      <c r="AS106" s="352" t="n">
        <f aca="true">IF(AND($D106="Serviço",AS$12&lt;&gt;0,$H106&gt;0,OR(AUTOEVENTO&lt;&gt;"manual",$M106&lt;&gt;$A$15)),
        IF(Import.TipoArredondamento&lt;&gt;"TransfereGOV",
              ROUND(OFFSET($P106,0,AS$13),15-13*ORÇAMENTO!$AF$7)/$H106*OFFSET(ORÇAMENTO!$X$15,ROW(AS106)-ROW(AS$15),0),
              ROUND(ROUND(OFFSET($P106,0,AS$13),15-13*ORÇAMENTO!$AF$7)*OFFSET(ORÇAMENTO!$W$15,ROW(AS106)-ROW(AS$15),0),15-13*ORÇAMENTO!$AF$11)),
         0)</f>
        <v>2492.28</v>
      </c>
      <c r="AT106" s="352" t="n">
        <f aca="true">IF(AND($D106="Serviço",AT$12&lt;&gt;0,$H106&gt;0,OR(AUTOEVENTO&lt;&gt;"manual",$M106&lt;&gt;$A$15)),
        IF(Import.TipoArredondamento&lt;&gt;"TransfereGOV",
              ROUND(OFFSET($P106,0,AT$13),15-13*ORÇAMENTO!$AF$7)/$H106*OFFSET(ORÇAMENTO!$X$15,ROW(AT106)-ROW(AT$15),0),
              ROUND(ROUND(OFFSET($P106,0,AT$13),15-13*ORÇAMENTO!$AF$7)*OFFSET(ORÇAMENTO!$W$15,ROW(AT106)-ROW(AT$15),0),15-13*ORÇAMENTO!$AF$11)),
         0)</f>
        <v>2492.28</v>
      </c>
      <c r="AU106" s="352" t="n">
        <f aca="true">IF(AND($D106="Serviço",AU$12&lt;&gt;0,$H106&gt;0,OR(AUTOEVENTO&lt;&gt;"manual",$M106&lt;&gt;$A$15)),
        IF(Import.TipoArredondamento&lt;&gt;"TransfereGOV",
              ROUND(OFFSET($P106,0,AU$13),15-13*ORÇAMENTO!$AF$7)/$H106*OFFSET(ORÇAMENTO!$X$15,ROW(AU106)-ROW(AU$15),0),
              ROUND(ROUND(OFFSET($P106,0,AU$13),15-13*ORÇAMENTO!$AF$7)*OFFSET(ORÇAMENTO!$W$15,ROW(AU106)-ROW(AU$15),0),15-13*ORÇAMENTO!$AF$11)),
         0)</f>
        <v>2492.28</v>
      </c>
      <c r="AV106" s="352" t="n">
        <f aca="true">IF(AND($D106="Serviço",AV$12&lt;&gt;0,$H106&gt;0,OR(AUTOEVENTO&lt;&gt;"manual",$M106&lt;&gt;$A$15)),
        IF(Import.TipoArredondamento&lt;&gt;"TransfereGOV",
              ROUND(OFFSET($P106,0,AV$13),15-13*ORÇAMENTO!$AF$7)/$H106*OFFSET(ORÇAMENTO!$X$15,ROW(AV106)-ROW(AV$15),0),
              ROUND(ROUND(OFFSET($P106,0,AV$13),15-13*ORÇAMENTO!$AF$7)*OFFSET(ORÇAMENTO!$W$15,ROW(AV106)-ROW(AV$15),0),15-13*ORÇAMENTO!$AF$11)),
         0)</f>
        <v>2492.28</v>
      </c>
      <c r="AW106" s="352" t="n">
        <f aca="true">IF(AND($D106="Serviço",AW$12&lt;&gt;0,$H106&gt;0,OR(AUTOEVENTO&lt;&gt;"manual",$M106&lt;&gt;$A$15)),
        IF(Import.TipoArredondamento&lt;&gt;"TransfereGOV",
              ROUND(OFFSET($P106,0,AW$13),15-13*ORÇAMENTO!$AF$7)/$H106*OFFSET(ORÇAMENTO!$X$15,ROW(AW106)-ROW(AW$15),0),
              ROUND(ROUND(OFFSET($P106,0,AW$13),15-13*ORÇAMENTO!$AF$7)*OFFSET(ORÇAMENTO!$W$15,ROW(AW106)-ROW(AW$15),0),15-13*ORÇAMENTO!$AF$11)),
         0)</f>
        <v>2492.28</v>
      </c>
      <c r="AX106" s="352" t="n">
        <f aca="true">IF(AND($D106="Serviço",AX$12&lt;&gt;0,$H106&gt;0,OR(AUTOEVENTO&lt;&gt;"manual",$M106&lt;&gt;$A$15)),
        IF(Import.TipoArredondamento&lt;&gt;"TransfereGOV",
              ROUND(OFFSET($P106,0,AX$13),15-13*ORÇAMENTO!$AF$7)/$H106*OFFSET(ORÇAMENTO!$X$15,ROW(AX106)-ROW(AX$15),0),
              ROUND(ROUND(OFFSET($P106,0,AX$13),15-13*ORÇAMENTO!$AF$7)*OFFSET(ORÇAMENTO!$W$15,ROW(AX106)-ROW(AX$15),0),15-13*ORÇAMENTO!$AF$11)),
         0)</f>
        <v>2492.28</v>
      </c>
      <c r="AY106" s="352" t="n">
        <f aca="true">IF(AND($D106="Serviço",AY$12&lt;&gt;0,$H106&gt;0,OR(AUTOEVENTO&lt;&gt;"manual",$M106&lt;&gt;$A$15)),
        IF(Import.TipoArredondamento&lt;&gt;"TransfereGOV",
              ROUND(OFFSET($P106,0,AY$13),15-13*ORÇAMENTO!$AF$7)/$H106*OFFSET(ORÇAMENTO!$X$15,ROW(AY106)-ROW(AY$15),0),
              ROUND(ROUND(OFFSET($P106,0,AY$13),15-13*ORÇAMENTO!$AF$7)*OFFSET(ORÇAMENTO!$W$15,ROW(AY106)-ROW(AY$15),0),15-13*ORÇAMENTO!$AF$11)),
         0)</f>
        <v>2492.28</v>
      </c>
      <c r="AZ106" s="352" t="n">
        <f aca="true">IF(AND($D106="Serviço",AZ$12&lt;&gt;0,$H106&gt;0,OR(AUTOEVENTO&lt;&gt;"manual",$M106&lt;&gt;$A$15)),
        IF(Import.TipoArredondamento&lt;&gt;"TransfereGOV",
              ROUND(OFFSET($P106,0,AZ$13),15-13*ORÇAMENTO!$AF$7)/$H106*OFFSET(ORÇAMENTO!$X$15,ROW(AZ106)-ROW(AZ$15),0),
              ROUND(ROUND(OFFSET($P106,0,AZ$13),15-13*ORÇAMENTO!$AF$7)*OFFSET(ORÇAMENTO!$W$15,ROW(AZ106)-ROW(AZ$15),0),15-13*ORÇAMENTO!$AF$11)),
         0)</f>
        <v>2492.28</v>
      </c>
      <c r="BA106" s="352" t="n">
        <f aca="true">IF(AND($D106="Serviço",BA$12&lt;&gt;0,$H106&gt;0,OR(AUTOEVENTO&lt;&gt;"manual",$M106&lt;&gt;$A$15)),
        IF(Import.TipoArredondamento&lt;&gt;"TransfereGOV",
              ROUND(OFFSET($P106,0,BA$13),15-13*ORÇAMENTO!$AF$7)/$H106*OFFSET(ORÇAMENTO!$X$15,ROW(BA106)-ROW(BA$15),0),
              ROUND(ROUND(OFFSET($P106,0,BA$13),15-13*ORÇAMENTO!$AF$7)*OFFSET(ORÇAMENTO!$W$15,ROW(BA106)-ROW(BA$15),0),15-13*ORÇAMENTO!$AF$11)),
         0)</f>
        <v>2492.28</v>
      </c>
      <c r="BB106" s="352" t="n">
        <f aca="true">IF(AND($D106="Serviço",BB$12&lt;&gt;0,$H106&gt;0,OR(AUTOEVENTO&lt;&gt;"manual",$M106&lt;&gt;$A$15)),
        IF(Import.TipoArredondamento&lt;&gt;"TransfereGOV",
              ROUND(OFFSET($P106,0,BB$13),15-13*ORÇAMENTO!$AF$7)/$H106*OFFSET(ORÇAMENTO!$X$15,ROW(BB106)-ROW(BB$15),0),
              ROUND(ROUND(OFFSET($P106,0,BB$13),15-13*ORÇAMENTO!$AF$7)*OFFSET(ORÇAMENTO!$W$15,ROW(BB106)-ROW(BB$15),0),15-13*ORÇAMENTO!$AF$11)),
         0)</f>
        <v>2492.28</v>
      </c>
      <c r="BC106" s="352" t="n">
        <f aca="true">IF(AND($D106="Serviço",BC$12&lt;&gt;0,$H106&gt;0,OR(AUTOEVENTO&lt;&gt;"manual",$M106&lt;&gt;$A$15)),
        IF(Import.TipoArredondamento&lt;&gt;"TransfereGOV",
              ROUND(OFFSET($P106,0,BC$13),15-13*ORÇAMENTO!$AF$7)/$H106*OFFSET(ORÇAMENTO!$X$15,ROW(BC106)-ROW(BC$15),0),
              ROUND(ROUND(OFFSET($P106,0,BC$13),15-13*ORÇAMENTO!$AF$7)*OFFSET(ORÇAMENTO!$W$15,ROW(BC106)-ROW(BC$15),0),15-13*ORÇAMENTO!$AF$11)),
         0)</f>
        <v>2492.28</v>
      </c>
      <c r="BD106" s="352" t="n">
        <f aca="true">IF(AND($D106="Serviço",BD$12&lt;&gt;0,$H106&gt;0,OR(AUTOEVENTO&lt;&gt;"manual",$M106&lt;&gt;$A$15)),
        IF(Import.TipoArredondamento&lt;&gt;"TransfereGOV",
              ROUND(OFFSET($P106,0,BD$13),15-13*ORÇAMENTO!$AF$7)/$H106*OFFSET(ORÇAMENTO!$X$15,ROW(BD106)-ROW(BD$15),0),
              ROUND(ROUND(OFFSET($P106,0,BD$13),15-13*ORÇAMENTO!$AF$7)*OFFSET(ORÇAMENTO!$W$15,ROW(BD106)-ROW(BD$15),0),15-13*ORÇAMENTO!$AF$11)),
         0)</f>
        <v>2492.28</v>
      </c>
      <c r="BE106" s="352" t="n">
        <f aca="true">IF(AND($D106="Serviço",BE$12&lt;&gt;0,$H106&gt;0,OR(AUTOEVENTO&lt;&gt;"manual",$M106&lt;&gt;$A$15)),
        IF(Import.TipoArredondamento&lt;&gt;"TransfereGOV",
              ROUND(OFFSET($P106,0,BE$13),15-13*ORÇAMENTO!$AF$7)/$H106*OFFSET(ORÇAMENTO!$X$15,ROW(BE106)-ROW(BE$15),0),
              ROUND(ROUND(OFFSET($P106,0,BE$13),15-13*ORÇAMENTO!$AF$7)*OFFSET(ORÇAMENTO!$W$15,ROW(BE106)-ROW(BE$15),0),15-13*ORÇAMENTO!$AF$11)),
         0)</f>
        <v>2492.28</v>
      </c>
      <c r="BF106" s="352" t="n">
        <f aca="true">IF(AND($D106="Serviço",BF$12&lt;&gt;0,$H106&gt;0,OR(AUTOEVENTO&lt;&gt;"manual",$M106&lt;&gt;$A$15)),
        IF(Import.TipoArredondamento&lt;&gt;"TransfereGOV",
              ROUND(OFFSET($P106,0,BF$13),15-13*ORÇAMENTO!$AF$7)/$H106*OFFSET(ORÇAMENTO!$X$15,ROW(BF106)-ROW(BF$15),0),
              ROUND(ROUND(OFFSET($P106,0,BF$13),15-13*ORÇAMENTO!$AF$7)*OFFSET(ORÇAMENTO!$W$15,ROW(BF106)-ROW(BF$15),0),15-13*ORÇAMENTO!$AF$11)),
         0)</f>
        <v>2492.28</v>
      </c>
      <c r="BG106" s="352" t="n">
        <f aca="true">IF(AND($D106="Serviço",BG$12&lt;&gt;0,$H106&gt;0,OR(AUTOEVENTO&lt;&gt;"manual",$M106&lt;&gt;$A$15)),
        IF(Import.TipoArredondamento&lt;&gt;"TransfereGOV",
              ROUND(OFFSET($P106,0,BG$13),15-13*ORÇAMENTO!$AF$7)/$H106*OFFSET(ORÇAMENTO!$X$15,ROW(BG106)-ROW(BG$15),0),
              ROUND(ROUND(OFFSET($P106,0,BG$13),15-13*ORÇAMENTO!$AF$7)*OFFSET(ORÇAMENTO!$W$15,ROW(BG106)-ROW(BG$15),0),15-13*ORÇAMENTO!$AF$11)),
         0)</f>
        <v>2492.28</v>
      </c>
      <c r="BH106" s="352" t="n">
        <f aca="true">IF(AND($D106="Serviço",BH$12&lt;&gt;0,$H106&gt;0,OR(AUTOEVENTO&lt;&gt;"manual",$M106&lt;&gt;$A$15)),
        IF(Import.TipoArredondamento&lt;&gt;"TransfereGOV",
              ROUND(OFFSET($P106,0,BH$13),15-13*ORÇAMENTO!$AF$7)/$H106*OFFSET(ORÇAMENTO!$X$15,ROW(BH106)-ROW(BH$15),0),
              ROUND(ROUND(OFFSET($P106,0,BH$13),15-13*ORÇAMENTO!$AF$7)*OFFSET(ORÇAMENTO!$W$15,ROW(BH106)-ROW(BH$15),0),15-13*ORÇAMENTO!$AF$11)),
         0)</f>
        <v>2492.28</v>
      </c>
      <c r="BI106" s="352" t="n">
        <f aca="true">IF(AND($D106="Serviço",BI$12&lt;&gt;0,$H106&gt;0,OR(AUTOEVENTO&lt;&gt;"manual",$M106&lt;&gt;$A$15)),
        IF(Import.TipoArredondamento&lt;&gt;"TransfereGOV",
              ROUND(OFFSET($P106,0,BI$13),15-13*ORÇAMENTO!$AF$7)/$H106*OFFSET(ORÇAMENTO!$X$15,ROW(BI106)-ROW(BI$15),0),
              ROUND(ROUND(OFFSET($P106,0,BI$13),15-13*ORÇAMENTO!$AF$7)*OFFSET(ORÇAMENTO!$W$15,ROW(BI106)-ROW(BI$15),0),15-13*ORÇAMENTO!$AF$11)),
         0)</f>
        <v>2492.28</v>
      </c>
      <c r="BJ106" s="352" t="n">
        <f aca="true">IF(AND($D106="Serviço",BJ$12&lt;&gt;0,$H106&gt;0,OR(AUTOEVENTO&lt;&gt;"manual",$M106&lt;&gt;$A$15)),
        IF(Import.TipoArredondamento&lt;&gt;"TransfereGOV",
              ROUND(OFFSET($P106,0,BJ$13),15-13*ORÇAMENTO!$AF$7)/$H106*OFFSET(ORÇAMENTO!$X$15,ROW(BJ106)-ROW(BJ$15),0),
              ROUND(ROUND(OFFSET($P106,0,BJ$13),15-13*ORÇAMENTO!$AF$7)*OFFSET(ORÇAMENTO!$W$15,ROW(BJ106)-ROW(BJ$15),0),15-13*ORÇAMENTO!$AF$11)),
         0)</f>
        <v>2492.28</v>
      </c>
      <c r="BK106" s="352" t="n">
        <f aca="true">IF(AND($D106="Serviço",BK$12&lt;&gt;0,$H106&gt;0,OR(AUTOEVENTO&lt;&gt;"manual",$M106&lt;&gt;$A$15)),
        IF(Import.TipoArredondamento&lt;&gt;"TransfereGOV",
              ROUND(OFFSET($P106,0,BK$13),15-13*ORÇAMENTO!$AF$7)/$H106*OFFSET(ORÇAMENTO!$X$15,ROW(BK106)-ROW(BK$15),0),
              ROUND(ROUND(OFFSET($P106,0,BK$13),15-13*ORÇAMENTO!$AF$7)*OFFSET(ORÇAMENTO!$W$15,ROW(BK106)-ROW(BK$15),0),15-13*ORÇAMENTO!$AF$11)),
         0)</f>
        <v>2492.28</v>
      </c>
      <c r="BL106" s="352" t="n">
        <f aca="true">IF(AND($D106="Serviço",BL$12&lt;&gt;0,$H106&gt;0,OR(AUTOEVENTO&lt;&gt;"manual",$M106&lt;&gt;$A$15)),
        IF(Import.TipoArredondamento&lt;&gt;"TransfereGOV",
              ROUND(OFFSET($P106,0,BL$13),15-13*ORÇAMENTO!$AF$7)/$H106*OFFSET(ORÇAMENTO!$X$15,ROW(BL106)-ROW(BL$15),0),
              ROUND(ROUND(OFFSET($P106,0,BL$13),15-13*ORÇAMENTO!$AF$7)*OFFSET(ORÇAMENTO!$W$15,ROW(BL106)-ROW(BL$15),0),15-13*ORÇAMENTO!$AF$11)),
         0)</f>
        <v>2492.28</v>
      </c>
      <c r="BM106" s="352" t="n">
        <f aca="true">IF(AND($D106="Serviço",BM$12&lt;&gt;0,$H106&gt;0,OR(AUTOEVENTO&lt;&gt;"manual",$M106&lt;&gt;$A$15)),
        IF(Import.TipoArredondamento&lt;&gt;"TransfereGOV",
              ROUND(OFFSET($P106,0,BM$13),15-13*ORÇAMENTO!$AF$7)/$H106*OFFSET(ORÇAMENTO!$X$15,ROW(BM106)-ROW(BM$15),0),
              ROUND(ROUND(OFFSET($P106,0,BM$13),15-13*ORÇAMENTO!$AF$7)*OFFSET(ORÇAMENTO!$W$15,ROW(BM106)-ROW(BM$15),0),15-13*ORÇAMENTO!$AF$11)),
         0)</f>
        <v>2492.28</v>
      </c>
      <c r="BN106" s="352" t="n">
        <f aca="true">IF(AND($D106="Serviço",BN$12&lt;&gt;0,$H106&gt;0,OR(AUTOEVENTO&lt;&gt;"manual",$M106&lt;&gt;$A$15)),
        IF(Import.TipoArredondamento&lt;&gt;"TransfereGOV",
              ROUND(OFFSET($P106,0,BN$13),15-13*ORÇAMENTO!$AF$7)/$H106*OFFSET(ORÇAMENTO!$X$15,ROW(BN106)-ROW(BN$15),0),
              ROUND(ROUND(OFFSET($P106,0,BN$13),15-13*ORÇAMENTO!$AF$7)*OFFSET(ORÇAMENTO!$W$15,ROW(BN106)-ROW(BN$15),0),15-13*ORÇAMENTO!$AF$11)),
         0)</f>
        <v>2492.28</v>
      </c>
      <c r="BO106" s="352" t="n">
        <f aca="true">IF(AND($D106="Serviço",BO$12&lt;&gt;0,$H106&gt;0,OR(AUTOEVENTO&lt;&gt;"manual",$M106&lt;&gt;$A$15)),
        IF(Import.TipoArredondamento&lt;&gt;"TransfereGOV",
              ROUND(OFFSET($P106,0,BO$13),15-13*ORÇAMENTO!$AF$7)/$H106*OFFSET(ORÇAMENTO!$X$15,ROW(BO106)-ROW(BO$15),0),
              ROUND(ROUND(OFFSET($P106,0,BO$13),15-13*ORÇAMENTO!$AF$7)*OFFSET(ORÇAMENTO!$W$15,ROW(BO106)-ROW(BO$15),0),15-13*ORÇAMENTO!$AF$11)),
         0)</f>
        <v>2492.28</v>
      </c>
      <c r="BP106" s="352" t="n">
        <f aca="true">IF(AND($D106="Serviço",BP$12&lt;&gt;0,$H106&gt;0,OR(AUTOEVENTO&lt;&gt;"manual",$M106&lt;&gt;$A$15)),
        IF(Import.TipoArredondamento&lt;&gt;"TransfereGOV",
              ROUND(OFFSET($P106,0,BP$13),15-13*ORÇAMENTO!$AF$7)/$H106*OFFSET(ORÇAMENTO!$X$15,ROW(BP106)-ROW(BP$15),0),
              ROUND(ROUND(OFFSET($P106,0,BP$13),15-13*ORÇAMENTO!$AF$7)*OFFSET(ORÇAMENTO!$W$15,ROW(BP106)-ROW(BP$15),0),15-13*ORÇAMENTO!$AF$11)),
         0)</f>
        <v>2492.28</v>
      </c>
      <c r="BQ106" s="352" t="n">
        <f aca="true">IF(AND($D106="Serviço",BQ$12&lt;&gt;0,$H106&gt;0,OR(AUTOEVENTO&lt;&gt;"manual",$M106&lt;&gt;$A$15)),
        IF(Import.TipoArredondamento&lt;&gt;"TransfereGOV",
              ROUND(OFFSET($P106,0,BQ$13),15-13*ORÇAMENTO!$AF$7)/$H106*OFFSET(ORÇAMENTO!$X$15,ROW(BQ106)-ROW(BQ$15),0),
              ROUND(ROUND(OFFSET($P106,0,BQ$13),15-13*ORÇAMENTO!$AF$7)*OFFSET(ORÇAMENTO!$W$15,ROW(BQ106)-ROW(BQ$15),0),15-13*ORÇAMENTO!$AF$11)),
         0)</f>
        <v>0</v>
      </c>
      <c r="BS106" s="353" t="n">
        <f aca="true">IF(OR($D106&lt;&gt;"Serviço",AND(AUTOEVENTO="Manual",$M106=$A$15)),0,
         IF(OFFSET(CRONOPLE!$F$15,$M106-$A$15,BS$13)=0,10^12,OFFSET(CRONOPLE!$F$15,$M106-$A$15,BS$13)))</f>
        <v>1</v>
      </c>
      <c r="BT106" s="353" t="n">
        <f aca="true">IF(OR($D106&lt;&gt;"Serviço",AND(AUTOEVENTO="Manual",$M106=$A$15)),0,
         IF(OFFSET(CRONOPLE!$F$15,$M106-$A$15,BT$13)=0,10^12,OFFSET(CRONOPLE!$F$15,$M106-$A$15,BT$13)))</f>
        <v>2</v>
      </c>
      <c r="BU106" s="353" t="n">
        <f aca="true">IF(OR($D106&lt;&gt;"Serviço",AND(AUTOEVENTO="Manual",$M106=$A$15)),0,
         IF(OFFSET(CRONOPLE!$F$15,$M106-$A$15,BU$13)=0,10^12,OFFSET(CRONOPLE!$F$15,$M106-$A$15,BU$13)))</f>
        <v>3</v>
      </c>
      <c r="BV106" s="353" t="n">
        <f aca="true">IF(OR($D106&lt;&gt;"Serviço",AND(AUTOEVENTO="Manual",$M106=$A$15)),0,
         IF(OFFSET(CRONOPLE!$F$15,$M106-$A$15,BV$13)=0,10^12,OFFSET(CRONOPLE!$F$15,$M106-$A$15,BV$13)))</f>
        <v>4</v>
      </c>
      <c r="BW106" s="353" t="n">
        <f aca="true">IF(OR($D106&lt;&gt;"Serviço",AND(AUTOEVENTO="Manual",$M106=$A$15)),0,
         IF(OFFSET(CRONOPLE!$F$15,$M106-$A$15,BW$13)=0,10^12,OFFSET(CRONOPLE!$F$15,$M106-$A$15,BW$13)))</f>
        <v>5</v>
      </c>
      <c r="BX106" s="353" t="n">
        <f aca="true">IF(OR($D106&lt;&gt;"Serviço",AND(AUTOEVENTO="Manual",$M106=$A$15)),0,
         IF(OFFSET(CRONOPLE!$F$15,$M106-$A$15,BX$13)=0,10^12,OFFSET(CRONOPLE!$F$15,$M106-$A$15,BX$13)))</f>
        <v>6</v>
      </c>
      <c r="BY106" s="353" t="n">
        <f aca="true">IF(OR($D106&lt;&gt;"Serviço",AND(AUTOEVENTO="Manual",$M106=$A$15)),0,
         IF(OFFSET(CRONOPLE!$F$15,$M106-$A$15,BY$13)=0,10^12,OFFSET(CRONOPLE!$F$15,$M106-$A$15,BY$13)))</f>
        <v>7</v>
      </c>
      <c r="BZ106" s="353" t="n">
        <f aca="true">IF(OR($D106&lt;&gt;"Serviço",AND(AUTOEVENTO="Manual",$M106=$A$15)),0,
         IF(OFFSET(CRONOPLE!$F$15,$M106-$A$15,BZ$13)=0,10^12,OFFSET(CRONOPLE!$F$15,$M106-$A$15,BZ$13)))</f>
        <v>8</v>
      </c>
      <c r="CA106" s="353" t="n">
        <f aca="true">IF(OR($D106&lt;&gt;"Serviço",AND(AUTOEVENTO="Manual",$M106=$A$15)),0,
         IF(OFFSET(CRONOPLE!$F$15,$M106-$A$15,CA$13)=0,10^12,OFFSET(CRONOPLE!$F$15,$M106-$A$15,CA$13)))</f>
        <v>9</v>
      </c>
      <c r="CB106" s="353" t="n">
        <f aca="true">IF(OR($D106&lt;&gt;"Serviço",AND(AUTOEVENTO="Manual",$M106=$A$15)),0,
         IF(OFFSET(CRONOPLE!$F$15,$M106-$A$15,CB$13)=0,10^12,OFFSET(CRONOPLE!$F$15,$M106-$A$15,CB$13)))</f>
        <v>10</v>
      </c>
      <c r="CC106" s="353" t="n">
        <f aca="true">IF(OR($D106&lt;&gt;"Serviço",AND(AUTOEVENTO="Manual",$M106=$A$15)),0,
         IF(OFFSET(CRONOPLE!$F$15,$M106-$A$15,CC$13)=0,10^12,OFFSET(CRONOPLE!$F$15,$M106-$A$15,CC$13)))</f>
        <v>11</v>
      </c>
      <c r="CD106" s="353" t="n">
        <f aca="true">IF(OR($D106&lt;&gt;"Serviço",AND(AUTOEVENTO="Manual",$M106=$A$15)),0,
         IF(OFFSET(CRONOPLE!$F$15,$M106-$A$15,CD$13)=0,10^12,OFFSET(CRONOPLE!$F$15,$M106-$A$15,CD$13)))</f>
        <v>12</v>
      </c>
      <c r="CE106" s="353" t="n">
        <f aca="true">IF(OR($D106&lt;&gt;"Serviço",AND(AUTOEVENTO="Manual",$M106=$A$15)),0,
         IF(OFFSET(CRONOPLE!$F$15,$M106-$A$15,CE$13)=0,10^12,OFFSET(CRONOPLE!$F$15,$M106-$A$15,CE$13)))</f>
        <v>13</v>
      </c>
      <c r="CF106" s="353" t="n">
        <f aca="true">IF(OR($D106&lt;&gt;"Serviço",AND(AUTOEVENTO="Manual",$M106=$A$15)),0,
         IF(OFFSET(CRONOPLE!$F$15,$M106-$A$15,CF$13)=0,10^12,OFFSET(CRONOPLE!$F$15,$M106-$A$15,CF$13)))</f>
        <v>14</v>
      </c>
      <c r="CG106" s="353" t="n">
        <f aca="true">IF(OR($D106&lt;&gt;"Serviço",AND(AUTOEVENTO="Manual",$M106=$A$15)),0,
         IF(OFFSET(CRONOPLE!$F$15,$M106-$A$15,CG$13)=0,10^12,OFFSET(CRONOPLE!$F$15,$M106-$A$15,CG$13)))</f>
        <v>15</v>
      </c>
      <c r="CH106" s="353" t="n">
        <f aca="true">IF(OR($D106&lt;&gt;"Serviço",AND(AUTOEVENTO="Manual",$M106=$A$15)),0,
         IF(OFFSET(CRONOPLE!$F$15,$M106-$A$15,CH$13)=0,10^12,OFFSET(CRONOPLE!$F$15,$M106-$A$15,CH$13)))</f>
        <v>16</v>
      </c>
      <c r="CI106" s="353" t="n">
        <f aca="true">IF(OR($D106&lt;&gt;"Serviço",AND(AUTOEVENTO="Manual",$M106=$A$15)),0,
         IF(OFFSET(CRONOPLE!$F$15,$M106-$A$15,CI$13)=0,10^12,OFFSET(CRONOPLE!$F$15,$M106-$A$15,CI$13)))</f>
        <v>17</v>
      </c>
      <c r="CJ106" s="353" t="n">
        <f aca="true">IF(OR($D106&lt;&gt;"Serviço",AND(AUTOEVENTO="Manual",$M106=$A$15)),0,
         IF(OFFSET(CRONOPLE!$F$15,$M106-$A$15,CJ$13)=0,10^12,OFFSET(CRONOPLE!$F$15,$M106-$A$15,CJ$13)))</f>
        <v>18</v>
      </c>
      <c r="CK106" s="353" t="n">
        <f aca="true">IF(OR($D106&lt;&gt;"Serviço",AND(AUTOEVENTO="Manual",$M106=$A$15)),0,
         IF(OFFSET(CRONOPLE!$F$15,$M106-$A$15,CK$13)=0,10^12,OFFSET(CRONOPLE!$F$15,$M106-$A$15,CK$13)))</f>
        <v>19</v>
      </c>
      <c r="CL106" s="353" t="n">
        <f aca="true">IF(OR($D106&lt;&gt;"Serviço",AND(AUTOEVENTO="Manual",$M106=$A$15)),0,
         IF(OFFSET(CRONOPLE!$F$15,$M106-$A$15,CL$13)=0,10^12,OFFSET(CRONOPLE!$F$15,$M106-$A$15,CL$13)))</f>
        <v>20</v>
      </c>
      <c r="CM106" s="353" t="n">
        <f aca="true">IF(OR($D106&lt;&gt;"Serviço",AND(AUTOEVENTO="Manual",$M106=$A$15)),0,
         IF(OFFSET(CRONOPLE!$F$15,$M106-$A$15,CM$13)=0,10^12,OFFSET(CRONOPLE!$F$15,$M106-$A$15,CM$13)))</f>
        <v>21</v>
      </c>
      <c r="CN106" s="353" t="n">
        <f aca="true">IF(OR($D106&lt;&gt;"Serviço",AND(AUTOEVENTO="Manual",$M106=$A$15)),0,
         IF(OFFSET(CRONOPLE!$F$15,$M106-$A$15,CN$13)=0,10^12,OFFSET(CRONOPLE!$F$15,$M106-$A$15,CN$13)))</f>
        <v>22</v>
      </c>
      <c r="CO106" s="353" t="n">
        <f aca="true">IF(OR($D106&lt;&gt;"Serviço",AND(AUTOEVENTO="Manual",$M106=$A$15)),0,
         IF(OFFSET(CRONOPLE!$F$15,$M106-$A$15,CO$13)=0,10^12,OFFSET(CRONOPLE!$F$15,$M106-$A$15,CO$13)))</f>
        <v>23</v>
      </c>
      <c r="CP106" s="353" t="n">
        <f aca="true">IF(OR($D106&lt;&gt;"Serviço",AND(AUTOEVENTO="Manual",$M106=$A$15)),0,
         IF(OFFSET(CRONOPLE!$F$15,$M106-$A$15,CP$13)=0,10^12,OFFSET(CRONOPLE!$F$15,$M106-$A$15,CP$13)))</f>
        <v>24</v>
      </c>
      <c r="CQ106" s="353" t="n">
        <f aca="true">IF(OR($D106&lt;&gt;"Serviço",AND(AUTOEVENTO="Manual",$M106=$A$15)),0,
         IF(OFFSET(CRONOPLE!$F$15,$M106-$A$15,CQ$13)=0,10^12,OFFSET(CRONOPLE!$F$15,$M106-$A$15,CQ$13)))</f>
        <v>25</v>
      </c>
      <c r="CR106" s="353" t="n">
        <f aca="true">IF(OR($D106&lt;&gt;"Serviço",AND(AUTOEVENTO="Manual",$M106=$A$15)),0,
         IF(OFFSET(CRONOPLE!$F$15,$M106-$A$15,CR$13)=0,10^12,OFFSET(CRONOPLE!$F$15,$M106-$A$15,CR$13)))</f>
        <v>1000000000000</v>
      </c>
      <c r="CT106" s="354" t="n">
        <f aca="true">IF(OR($D106&lt;&gt;"Serviço",AND(AUTOEVENTO="Manual",$M106=$A$15),$M106&gt;(ROW(PLE.lastrow)-ROW(PLE.firstrow))),0,
           IF(OFFSET(PLE!$G$15,$M106-$A$15,CT$13)="",10^12,OFFSET(PLE!$G$15,$M106-$A$15,CT$13)))</f>
        <v>1000000000000</v>
      </c>
      <c r="CU106" s="354" t="n">
        <f aca="true">IF(OR($D106&lt;&gt;"Serviço",AND(AUTOEVENTO="Manual",$M106=$A$15),$M106&gt;(ROW(PLE.lastrow)-ROW(PLE.firstrow))),0,
           IF(OFFSET(PLE!$G$15,$M106-$A$15,CU$13)="",10^12,OFFSET(PLE!$G$15,$M106-$A$15,CU$13)))</f>
        <v>1000000000000</v>
      </c>
      <c r="CV106" s="354" t="n">
        <f aca="true">IF(OR($D106&lt;&gt;"Serviço",AND(AUTOEVENTO="Manual",$M106=$A$15),$M106&gt;(ROW(PLE.lastrow)-ROW(PLE.firstrow))),0,
           IF(OFFSET(PLE!$G$15,$M106-$A$15,CV$13)="",10^12,OFFSET(PLE!$G$15,$M106-$A$15,CV$13)))</f>
        <v>1000000000000</v>
      </c>
      <c r="CW106" s="354" t="n">
        <f aca="true">IF(OR($D106&lt;&gt;"Serviço",AND(AUTOEVENTO="Manual",$M106=$A$15),$M106&gt;(ROW(PLE.lastrow)-ROW(PLE.firstrow))),0,
           IF(OFFSET(PLE!$G$15,$M106-$A$15,CW$13)="",10^12,OFFSET(PLE!$G$15,$M106-$A$15,CW$13)))</f>
        <v>1000000000000</v>
      </c>
      <c r="CX106" s="354" t="n">
        <f aca="true">IF(OR($D106&lt;&gt;"Serviço",AND(AUTOEVENTO="Manual",$M106=$A$15),$M106&gt;(ROW(PLE.lastrow)-ROW(PLE.firstrow))),0,
           IF(OFFSET(PLE!$G$15,$M106-$A$15,CX$13)="",10^12,OFFSET(PLE!$G$15,$M106-$A$15,CX$13)))</f>
        <v>1000000000000</v>
      </c>
      <c r="CY106" s="354" t="n">
        <f aca="true">IF(OR($D106&lt;&gt;"Serviço",AND(AUTOEVENTO="Manual",$M106=$A$15),$M106&gt;(ROW(PLE.lastrow)-ROW(PLE.firstrow))),0,
           IF(OFFSET(PLE!$G$15,$M106-$A$15,CY$13)="",10^12,OFFSET(PLE!$G$15,$M106-$A$15,CY$13)))</f>
        <v>1000000000000</v>
      </c>
      <c r="CZ106" s="354" t="n">
        <f aca="true">IF(OR($D106&lt;&gt;"Serviço",AND(AUTOEVENTO="Manual",$M106=$A$15),$M106&gt;(ROW(PLE.lastrow)-ROW(PLE.firstrow))),0,
           IF(OFFSET(PLE!$G$15,$M106-$A$15,CZ$13)="",10^12,OFFSET(PLE!$G$15,$M106-$A$15,CZ$13)))</f>
        <v>1000000000000</v>
      </c>
      <c r="DA106" s="354" t="n">
        <f aca="true">IF(OR($D106&lt;&gt;"Serviço",AND(AUTOEVENTO="Manual",$M106=$A$15),$M106&gt;(ROW(PLE.lastrow)-ROW(PLE.firstrow))),0,
           IF(OFFSET(PLE!$G$15,$M106-$A$15,DA$13)="",10^12,OFFSET(PLE!$G$15,$M106-$A$15,DA$13)))</f>
        <v>1000000000000</v>
      </c>
      <c r="DB106" s="354" t="n">
        <f aca="true">IF(OR($D106&lt;&gt;"Serviço",AND(AUTOEVENTO="Manual",$M106=$A$15),$M106&gt;(ROW(PLE.lastrow)-ROW(PLE.firstrow))),0,
           IF(OFFSET(PLE!$G$15,$M106-$A$15,DB$13)="",10^12,OFFSET(PLE!$G$15,$M106-$A$15,DB$13)))</f>
        <v>1000000000000</v>
      </c>
      <c r="DC106" s="354" t="n">
        <f aca="true">IF(OR($D106&lt;&gt;"Serviço",AND(AUTOEVENTO="Manual",$M106=$A$15),$M106&gt;(ROW(PLE.lastrow)-ROW(PLE.firstrow))),0,
           IF(OFFSET(PLE!$G$15,$M106-$A$15,DC$13)="",10^12,OFFSET(PLE!$G$15,$M106-$A$15,DC$13)))</f>
        <v>1000000000000</v>
      </c>
      <c r="DD106" s="354" t="n">
        <f aca="true">IF(OR($D106&lt;&gt;"Serviço",AND(AUTOEVENTO="Manual",$M106=$A$15),$M106&gt;(ROW(PLE.lastrow)-ROW(PLE.firstrow))),0,
           IF(OFFSET(PLE!$G$15,$M106-$A$15,DD$13)="",10^12,OFFSET(PLE!$G$15,$M106-$A$15,DD$13)))</f>
        <v>1000000000000</v>
      </c>
      <c r="DE106" s="354" t="n">
        <f aca="true">IF(OR($D106&lt;&gt;"Serviço",AND(AUTOEVENTO="Manual",$M106=$A$15),$M106&gt;(ROW(PLE.lastrow)-ROW(PLE.firstrow))),0,
           IF(OFFSET(PLE!$G$15,$M106-$A$15,DE$13)="",10^12,OFFSET(PLE!$G$15,$M106-$A$15,DE$13)))</f>
        <v>1000000000000</v>
      </c>
      <c r="DF106" s="354" t="n">
        <f aca="true">IF(OR($D106&lt;&gt;"Serviço",AND(AUTOEVENTO="Manual",$M106=$A$15),$M106&gt;(ROW(PLE.lastrow)-ROW(PLE.firstrow))),0,
           IF(OFFSET(PLE!$G$15,$M106-$A$15,DF$13)="",10^12,OFFSET(PLE!$G$15,$M106-$A$15,DF$13)))</f>
        <v>1000000000000</v>
      </c>
      <c r="DG106" s="354" t="n">
        <f aca="true">IF(OR($D106&lt;&gt;"Serviço",AND(AUTOEVENTO="Manual",$M106=$A$15),$M106&gt;(ROW(PLE.lastrow)-ROW(PLE.firstrow))),0,
           IF(OFFSET(PLE!$G$15,$M106-$A$15,DG$13)="",10^12,OFFSET(PLE!$G$15,$M106-$A$15,DG$13)))</f>
        <v>1000000000000</v>
      </c>
      <c r="DH106" s="354" t="n">
        <f aca="true">IF(OR($D106&lt;&gt;"Serviço",AND(AUTOEVENTO="Manual",$M106=$A$15),$M106&gt;(ROW(PLE.lastrow)-ROW(PLE.firstrow))),0,
           IF(OFFSET(PLE!$G$15,$M106-$A$15,DH$13)="",10^12,OFFSET(PLE!$G$15,$M106-$A$15,DH$13)))</f>
        <v>1000000000000</v>
      </c>
      <c r="DI106" s="354" t="n">
        <f aca="true">IF(OR($D106&lt;&gt;"Serviço",AND(AUTOEVENTO="Manual",$M106=$A$15),$M106&gt;(ROW(PLE.lastrow)-ROW(PLE.firstrow))),0,
           IF(OFFSET(PLE!$G$15,$M106-$A$15,DI$13)="",10^12,OFFSET(PLE!$G$15,$M106-$A$15,DI$13)))</f>
        <v>1000000000000</v>
      </c>
      <c r="DJ106" s="354" t="n">
        <f aca="true">IF(OR($D106&lt;&gt;"Serviço",AND(AUTOEVENTO="Manual",$M106=$A$15),$M106&gt;(ROW(PLE.lastrow)-ROW(PLE.firstrow))),0,
           IF(OFFSET(PLE!$G$15,$M106-$A$15,DJ$13)="",10^12,OFFSET(PLE!$G$15,$M106-$A$15,DJ$13)))</f>
        <v>1000000000000</v>
      </c>
      <c r="DK106" s="354" t="n">
        <f aca="true">IF(OR($D106&lt;&gt;"Serviço",AND(AUTOEVENTO="Manual",$M106=$A$15),$M106&gt;(ROW(PLE.lastrow)-ROW(PLE.firstrow))),0,
           IF(OFFSET(PLE!$G$15,$M106-$A$15,DK$13)="",10^12,OFFSET(PLE!$G$15,$M106-$A$15,DK$13)))</f>
        <v>1000000000000</v>
      </c>
      <c r="DL106" s="354" t="n">
        <f aca="true">IF(OR($D106&lt;&gt;"Serviço",AND(AUTOEVENTO="Manual",$M106=$A$15),$M106&gt;(ROW(PLE.lastrow)-ROW(PLE.firstrow))),0,
           IF(OFFSET(PLE!$G$15,$M106-$A$15,DL$13)="",10^12,OFFSET(PLE!$G$15,$M106-$A$15,DL$13)))</f>
        <v>1000000000000</v>
      </c>
      <c r="DM106" s="354" t="n">
        <f aca="true">IF(OR($D106&lt;&gt;"Serviço",AND(AUTOEVENTO="Manual",$M106=$A$15),$M106&gt;(ROW(PLE.lastrow)-ROW(PLE.firstrow))),0,
           IF(OFFSET(PLE!$G$15,$M106-$A$15,DM$13)="",10^12,OFFSET(PLE!$G$15,$M106-$A$15,DM$13)))</f>
        <v>1000000000000</v>
      </c>
      <c r="DN106" s="354" t="n">
        <f aca="true">IF(OR($D106&lt;&gt;"Serviço",AND(AUTOEVENTO="Manual",$M106=$A$15),$M106&gt;(ROW(PLE.lastrow)-ROW(PLE.firstrow))),0,
           IF(OFFSET(PLE!$G$15,$M106-$A$15,DN$13)="",10^12,OFFSET(PLE!$G$15,$M106-$A$15,DN$13)))</f>
        <v>1000000000000</v>
      </c>
      <c r="DO106" s="354" t="n">
        <f aca="true">IF(OR($D106&lt;&gt;"Serviço",AND(AUTOEVENTO="Manual",$M106=$A$15),$M106&gt;(ROW(PLE.lastrow)-ROW(PLE.firstrow))),0,
           IF(OFFSET(PLE!$G$15,$M106-$A$15,DO$13)="",10^12,OFFSET(PLE!$G$15,$M106-$A$15,DO$13)))</f>
        <v>1000000000000</v>
      </c>
      <c r="DP106" s="354" t="n">
        <f aca="true">IF(OR($D106&lt;&gt;"Serviço",AND(AUTOEVENTO="Manual",$M106=$A$15),$M106&gt;(ROW(PLE.lastrow)-ROW(PLE.firstrow))),0,
           IF(OFFSET(PLE!$G$15,$M106-$A$15,DP$13)="",10^12,OFFSET(PLE!$G$15,$M106-$A$15,DP$13)))</f>
        <v>1000000000000</v>
      </c>
      <c r="DQ106" s="354" t="n">
        <f aca="true">IF(OR($D106&lt;&gt;"Serviço",AND(AUTOEVENTO="Manual",$M106=$A$15),$M106&gt;(ROW(PLE.lastrow)-ROW(PLE.firstrow))),0,
           IF(OFFSET(PLE!$G$15,$M106-$A$15,DQ$13)="",10^12,OFFSET(PLE!$G$15,$M106-$A$15,DQ$13)))</f>
        <v>1000000000000</v>
      </c>
      <c r="DR106" s="354" t="n">
        <f aca="true">IF(OR($D106&lt;&gt;"Serviço",AND(AUTOEVENTO="Manual",$M106=$A$15),$M106&gt;(ROW(PLE.lastrow)-ROW(PLE.firstrow))),0,
           IF(OFFSET(PLE!$G$15,$M106-$A$15,DR$13)="",10^12,OFFSET(PLE!$G$15,$M106-$A$15,DR$13)))</f>
        <v>1000000000000</v>
      </c>
      <c r="DS106" s="354" t="n">
        <f aca="true">IF(OR($D106&lt;&gt;"Serviço",AND(AUTOEVENTO="Manual",$M106=$A$15),$M106&gt;(ROW(PLE.lastrow)-ROW(PLE.firstrow))),0,
           IF(OFFSET(PLE!$G$15,$M106-$A$15,DS$13)="",10^12,OFFSET(PLE!$G$15,$M106-$A$15,DS$13)))</f>
        <v>1000000000000</v>
      </c>
    </row>
    <row r="107" customFormat="false" ht="46.25" hidden="false" customHeight="false" outlineLevel="0" collapsed="false">
      <c r="A107" s="50" t="str">
        <f aca="true">IFERROR(IF(AUTOEVENTO="Manual",IF(K107&lt;&gt;"",MIN(VALUE(LEFT(K107,FIND(".",K107)-1)),COUNTA(EVENTOS.Lista)),0),IF(OR($B107&gt;AUTOEVENTO,$B107="S",$B107=0),SUBSTITUTE(OFFSET($A107,-1,0),IF($D107="Serviço",".",""),""),ROW(A107)-ROW($A$15)&amp;".")),0)</f>
        <v>89</v>
      </c>
      <c r="B107" s="50" t="str">
        <f aca="true">OFFSET(ORÇAMENTO!C$15,ROW(B107)-ROW(B$15),0)</f>
        <v>S</v>
      </c>
      <c r="C107" s="50" t="str">
        <f aca="true">OFFSET(ORÇAMENTO!L$15,ROW(C107)-ROW(C$15),0)</f>
        <v>F</v>
      </c>
      <c r="D107" s="201" t="str">
        <f aca="true">OFFSET(ORÇAMENTO!N$15,ROW(D107)-ROW(D$15),0)</f>
        <v>Serviço</v>
      </c>
      <c r="E107" s="202" t="str">
        <f aca="true">OFFSET(ORÇAMENTO!O$15,ROW(E107)-ROW(E$15),0)</f>
        <v>1.29.3.</v>
      </c>
      <c r="F107" s="341" t="str">
        <f aca="true">OFFSET(ORÇAMENTO!R$15,ROW(F107)-ROW(F$15),0)</f>
        <v>CONTRAPISO EM ARGAMASSA TRAÇO 1:4 (CIMENTO E AREIA), PREPARO MECÂNICO COM BETONEIRA 400 L, APLICADO EM ÁREAS MOLHADAS SOBRE LAJE, ADERIDO, ACABAMENTO NÃO REFORÇADO, ESPESSURA 3CM. AF_07/2021</v>
      </c>
      <c r="G107" s="342" t="str">
        <f aca="true">IF($D107&lt;&gt;"Serviço","",OFFSET(ORÇAMENTO!S$15,ROW(G107)-ROW(G$15),0))</f>
        <v>M2</v>
      </c>
      <c r="H107" s="207" t="n">
        <f aca="true">IF($D107&lt;&gt;"Serviço",0,IF(ACOMPANHAMENTO="BM",ROUND(OFFSET(ORÇAMENTO!AJ$15,ROW(H107)-ROW(H$15),0),15-13*ORÇAMENTO!$AF$7),SUMPRODUCT(($Q$1:$AQ$1=1)*ROUND($Q107:$AQ107,15-13*ORÇAMENTO!$AF$7))))</f>
        <v>342.5</v>
      </c>
      <c r="I107" s="343" t="s">
        <v>963</v>
      </c>
      <c r="J107" s="344" t="e">
        <f aca="false">IF(OR(B107&lt;&gt;"S",CÁLCULO.FrentesPreenchidas=0),"",IF(AND(ACOMPANHAMENTO="PLE",AUTOEVENTO="Manual",OR(H107&gt;0,ORÇAMENTO!AC107="QUANT."),OR(K107="",M107=0,N107="")),"►",IF(AND(ACOMPANHAMENTO="PLE",ORÇAMENTO!AC107="QUANT."),"►►",IF(AND(COUNTIF($P$11:$AQ$11,"▼")=0,H107&gt;0,I107=""),"◄",""))))</f>
        <v>#NAME?</v>
      </c>
      <c r="K107" s="345"/>
      <c r="L107" s="346" t="s">
        <v>876</v>
      </c>
      <c r="M107" s="347" t="n">
        <f aca="true">IF($D107&lt;&gt;"Serviço","",
          IF(AUTOEVENTO="manual",$A107,
                IF(ISERROR(MATCH($A107,$A$15:OFFSET($A107,-1,0),0)),MAX($M$15:OFFSET(M107,-1,0))+1,
                      INDEX($M$15:OFFSET(M107,-1,0),MATCH($A107,$A$15:OFFSET($A107,-1,0),0)))))</f>
        <v>18</v>
      </c>
      <c r="N107" s="348" t="str">
        <f aca="true">IF($D107&lt;&gt;"Serviço","",
         IF(AUTOEVENTO="Manual",
                IF($A107=0,"&lt;-- defina o número do agrupador",
                       OFFSET(EVENTOS!$D$15,$A107-$A$15,0)),
                OFFSET($F$15,$A107,0)))</f>
        <v>CERÂMICA</v>
      </c>
      <c r="O107" s="349"/>
      <c r="Q107" s="349" t="n">
        <f aca="false">13.7</f>
        <v>13.7</v>
      </c>
      <c r="R107" s="350" t="n">
        <f aca="false">Q107</f>
        <v>13.7</v>
      </c>
      <c r="S107" s="350" t="n">
        <f aca="false">R107</f>
        <v>13.7</v>
      </c>
      <c r="T107" s="350" t="n">
        <f aca="false">S107</f>
        <v>13.7</v>
      </c>
      <c r="U107" s="350" t="n">
        <f aca="false">T107</f>
        <v>13.7</v>
      </c>
      <c r="V107" s="350" t="n">
        <f aca="false">U107</f>
        <v>13.7</v>
      </c>
      <c r="W107" s="350" t="n">
        <f aca="false">V107</f>
        <v>13.7</v>
      </c>
      <c r="X107" s="350" t="n">
        <f aca="false">W107</f>
        <v>13.7</v>
      </c>
      <c r="Y107" s="350" t="n">
        <f aca="false">X107</f>
        <v>13.7</v>
      </c>
      <c r="Z107" s="351" t="n">
        <f aca="false">Y107</f>
        <v>13.7</v>
      </c>
      <c r="AA107" s="350" t="n">
        <f aca="false">Z107</f>
        <v>13.7</v>
      </c>
      <c r="AB107" s="350" t="n">
        <f aca="false">AA107</f>
        <v>13.7</v>
      </c>
      <c r="AC107" s="350" t="n">
        <f aca="false">AB107</f>
        <v>13.7</v>
      </c>
      <c r="AD107" s="350" t="n">
        <f aca="false">AC107</f>
        <v>13.7</v>
      </c>
      <c r="AE107" s="350" t="n">
        <f aca="false">AD107</f>
        <v>13.7</v>
      </c>
      <c r="AF107" s="350" t="n">
        <f aca="false">AE107</f>
        <v>13.7</v>
      </c>
      <c r="AG107" s="350" t="n">
        <f aca="false">AF107</f>
        <v>13.7</v>
      </c>
      <c r="AH107" s="351" t="n">
        <f aca="false">AG107</f>
        <v>13.7</v>
      </c>
      <c r="AI107" s="350" t="n">
        <f aca="false">AH107</f>
        <v>13.7</v>
      </c>
      <c r="AJ107" s="350" t="n">
        <f aca="false">AI107</f>
        <v>13.7</v>
      </c>
      <c r="AK107" s="350" t="n">
        <f aca="false">AJ107</f>
        <v>13.7</v>
      </c>
      <c r="AL107" s="350" t="n">
        <f aca="false">AK107</f>
        <v>13.7</v>
      </c>
      <c r="AM107" s="350" t="n">
        <f aca="false">AL107</f>
        <v>13.7</v>
      </c>
      <c r="AN107" s="350" t="n">
        <f aca="false">AM107</f>
        <v>13.7</v>
      </c>
      <c r="AO107" s="350" t="n">
        <f aca="false">AN107</f>
        <v>13.7</v>
      </c>
      <c r="AP107" s="351"/>
      <c r="AR107" s="352" t="n">
        <f aca="true">IF(AND($D107="Serviço",AR$12&lt;&gt;0,$H107&gt;0,OR(AUTOEVENTO&lt;&gt;"manual",$M107&lt;&gt;$A$15)),
        IF(Import.TipoArredondamento&lt;&gt;"TransfereGOV",
              ROUND(OFFSET($P107,0,AR$13),15-13*ORÇAMENTO!$AF$7)/$H107*OFFSET(ORÇAMENTO!$X$15,ROW(AR107)-ROW(AR$15),0),
              ROUND(ROUND(OFFSET($P107,0,AR$13),15-13*ORÇAMENTO!$AF$7)*OFFSET(ORÇAMENTO!$W$15,ROW(AR107)-ROW(AR$15),0),15-13*ORÇAMENTO!$AF$11)),
         0)</f>
        <v>976.54</v>
      </c>
      <c r="AS107" s="352" t="n">
        <f aca="true">IF(AND($D107="Serviço",AS$12&lt;&gt;0,$H107&gt;0,OR(AUTOEVENTO&lt;&gt;"manual",$M107&lt;&gt;$A$15)),
        IF(Import.TipoArredondamento&lt;&gt;"TransfereGOV",
              ROUND(OFFSET($P107,0,AS$13),15-13*ORÇAMENTO!$AF$7)/$H107*OFFSET(ORÇAMENTO!$X$15,ROW(AS107)-ROW(AS$15),0),
              ROUND(ROUND(OFFSET($P107,0,AS$13),15-13*ORÇAMENTO!$AF$7)*OFFSET(ORÇAMENTO!$W$15,ROW(AS107)-ROW(AS$15),0),15-13*ORÇAMENTO!$AF$11)),
         0)</f>
        <v>976.54</v>
      </c>
      <c r="AT107" s="352" t="n">
        <f aca="true">IF(AND($D107="Serviço",AT$12&lt;&gt;0,$H107&gt;0,OR(AUTOEVENTO&lt;&gt;"manual",$M107&lt;&gt;$A$15)),
        IF(Import.TipoArredondamento&lt;&gt;"TransfereGOV",
              ROUND(OFFSET($P107,0,AT$13),15-13*ORÇAMENTO!$AF$7)/$H107*OFFSET(ORÇAMENTO!$X$15,ROW(AT107)-ROW(AT$15),0),
              ROUND(ROUND(OFFSET($P107,0,AT$13),15-13*ORÇAMENTO!$AF$7)*OFFSET(ORÇAMENTO!$W$15,ROW(AT107)-ROW(AT$15),0),15-13*ORÇAMENTO!$AF$11)),
         0)</f>
        <v>976.54</v>
      </c>
      <c r="AU107" s="352" t="n">
        <f aca="true">IF(AND($D107="Serviço",AU$12&lt;&gt;0,$H107&gt;0,OR(AUTOEVENTO&lt;&gt;"manual",$M107&lt;&gt;$A$15)),
        IF(Import.TipoArredondamento&lt;&gt;"TransfereGOV",
              ROUND(OFFSET($P107,0,AU$13),15-13*ORÇAMENTO!$AF$7)/$H107*OFFSET(ORÇAMENTO!$X$15,ROW(AU107)-ROW(AU$15),0),
              ROUND(ROUND(OFFSET($P107,0,AU$13),15-13*ORÇAMENTO!$AF$7)*OFFSET(ORÇAMENTO!$W$15,ROW(AU107)-ROW(AU$15),0),15-13*ORÇAMENTO!$AF$11)),
         0)</f>
        <v>976.54</v>
      </c>
      <c r="AV107" s="352" t="n">
        <f aca="true">IF(AND($D107="Serviço",AV$12&lt;&gt;0,$H107&gt;0,OR(AUTOEVENTO&lt;&gt;"manual",$M107&lt;&gt;$A$15)),
        IF(Import.TipoArredondamento&lt;&gt;"TransfereGOV",
              ROUND(OFFSET($P107,0,AV$13),15-13*ORÇAMENTO!$AF$7)/$H107*OFFSET(ORÇAMENTO!$X$15,ROW(AV107)-ROW(AV$15),0),
              ROUND(ROUND(OFFSET($P107,0,AV$13),15-13*ORÇAMENTO!$AF$7)*OFFSET(ORÇAMENTO!$W$15,ROW(AV107)-ROW(AV$15),0),15-13*ORÇAMENTO!$AF$11)),
         0)</f>
        <v>976.54</v>
      </c>
      <c r="AW107" s="352" t="n">
        <f aca="true">IF(AND($D107="Serviço",AW$12&lt;&gt;0,$H107&gt;0,OR(AUTOEVENTO&lt;&gt;"manual",$M107&lt;&gt;$A$15)),
        IF(Import.TipoArredondamento&lt;&gt;"TransfereGOV",
              ROUND(OFFSET($P107,0,AW$13),15-13*ORÇAMENTO!$AF$7)/$H107*OFFSET(ORÇAMENTO!$X$15,ROW(AW107)-ROW(AW$15),0),
              ROUND(ROUND(OFFSET($P107,0,AW$13),15-13*ORÇAMENTO!$AF$7)*OFFSET(ORÇAMENTO!$W$15,ROW(AW107)-ROW(AW$15),0),15-13*ORÇAMENTO!$AF$11)),
         0)</f>
        <v>976.54</v>
      </c>
      <c r="AX107" s="352" t="n">
        <f aca="true">IF(AND($D107="Serviço",AX$12&lt;&gt;0,$H107&gt;0,OR(AUTOEVENTO&lt;&gt;"manual",$M107&lt;&gt;$A$15)),
        IF(Import.TipoArredondamento&lt;&gt;"TransfereGOV",
              ROUND(OFFSET($P107,0,AX$13),15-13*ORÇAMENTO!$AF$7)/$H107*OFFSET(ORÇAMENTO!$X$15,ROW(AX107)-ROW(AX$15),0),
              ROUND(ROUND(OFFSET($P107,0,AX$13),15-13*ORÇAMENTO!$AF$7)*OFFSET(ORÇAMENTO!$W$15,ROW(AX107)-ROW(AX$15),0),15-13*ORÇAMENTO!$AF$11)),
         0)</f>
        <v>976.54</v>
      </c>
      <c r="AY107" s="352" t="n">
        <f aca="true">IF(AND($D107="Serviço",AY$12&lt;&gt;0,$H107&gt;0,OR(AUTOEVENTO&lt;&gt;"manual",$M107&lt;&gt;$A$15)),
        IF(Import.TipoArredondamento&lt;&gt;"TransfereGOV",
              ROUND(OFFSET($P107,0,AY$13),15-13*ORÇAMENTO!$AF$7)/$H107*OFFSET(ORÇAMENTO!$X$15,ROW(AY107)-ROW(AY$15),0),
              ROUND(ROUND(OFFSET($P107,0,AY$13),15-13*ORÇAMENTO!$AF$7)*OFFSET(ORÇAMENTO!$W$15,ROW(AY107)-ROW(AY$15),0),15-13*ORÇAMENTO!$AF$11)),
         0)</f>
        <v>976.54</v>
      </c>
      <c r="AZ107" s="352" t="n">
        <f aca="true">IF(AND($D107="Serviço",AZ$12&lt;&gt;0,$H107&gt;0,OR(AUTOEVENTO&lt;&gt;"manual",$M107&lt;&gt;$A$15)),
        IF(Import.TipoArredondamento&lt;&gt;"TransfereGOV",
              ROUND(OFFSET($P107,0,AZ$13),15-13*ORÇAMENTO!$AF$7)/$H107*OFFSET(ORÇAMENTO!$X$15,ROW(AZ107)-ROW(AZ$15),0),
              ROUND(ROUND(OFFSET($P107,0,AZ$13),15-13*ORÇAMENTO!$AF$7)*OFFSET(ORÇAMENTO!$W$15,ROW(AZ107)-ROW(AZ$15),0),15-13*ORÇAMENTO!$AF$11)),
         0)</f>
        <v>976.54</v>
      </c>
      <c r="BA107" s="352" t="n">
        <f aca="true">IF(AND($D107="Serviço",BA$12&lt;&gt;0,$H107&gt;0,OR(AUTOEVENTO&lt;&gt;"manual",$M107&lt;&gt;$A$15)),
        IF(Import.TipoArredondamento&lt;&gt;"TransfereGOV",
              ROUND(OFFSET($P107,0,BA$13),15-13*ORÇAMENTO!$AF$7)/$H107*OFFSET(ORÇAMENTO!$X$15,ROW(BA107)-ROW(BA$15),0),
              ROUND(ROUND(OFFSET($P107,0,BA$13),15-13*ORÇAMENTO!$AF$7)*OFFSET(ORÇAMENTO!$W$15,ROW(BA107)-ROW(BA$15),0),15-13*ORÇAMENTO!$AF$11)),
         0)</f>
        <v>976.54</v>
      </c>
      <c r="BB107" s="352" t="n">
        <f aca="true">IF(AND($D107="Serviço",BB$12&lt;&gt;0,$H107&gt;0,OR(AUTOEVENTO&lt;&gt;"manual",$M107&lt;&gt;$A$15)),
        IF(Import.TipoArredondamento&lt;&gt;"TransfereGOV",
              ROUND(OFFSET($P107,0,BB$13),15-13*ORÇAMENTO!$AF$7)/$H107*OFFSET(ORÇAMENTO!$X$15,ROW(BB107)-ROW(BB$15),0),
              ROUND(ROUND(OFFSET($P107,0,BB$13),15-13*ORÇAMENTO!$AF$7)*OFFSET(ORÇAMENTO!$W$15,ROW(BB107)-ROW(BB$15),0),15-13*ORÇAMENTO!$AF$11)),
         0)</f>
        <v>976.54</v>
      </c>
      <c r="BC107" s="352" t="n">
        <f aca="true">IF(AND($D107="Serviço",BC$12&lt;&gt;0,$H107&gt;0,OR(AUTOEVENTO&lt;&gt;"manual",$M107&lt;&gt;$A$15)),
        IF(Import.TipoArredondamento&lt;&gt;"TransfereGOV",
              ROUND(OFFSET($P107,0,BC$13),15-13*ORÇAMENTO!$AF$7)/$H107*OFFSET(ORÇAMENTO!$X$15,ROW(BC107)-ROW(BC$15),0),
              ROUND(ROUND(OFFSET($P107,0,BC$13),15-13*ORÇAMENTO!$AF$7)*OFFSET(ORÇAMENTO!$W$15,ROW(BC107)-ROW(BC$15),0),15-13*ORÇAMENTO!$AF$11)),
         0)</f>
        <v>976.54</v>
      </c>
      <c r="BD107" s="352" t="n">
        <f aca="true">IF(AND($D107="Serviço",BD$12&lt;&gt;0,$H107&gt;0,OR(AUTOEVENTO&lt;&gt;"manual",$M107&lt;&gt;$A$15)),
        IF(Import.TipoArredondamento&lt;&gt;"TransfereGOV",
              ROUND(OFFSET($P107,0,BD$13),15-13*ORÇAMENTO!$AF$7)/$H107*OFFSET(ORÇAMENTO!$X$15,ROW(BD107)-ROW(BD$15),0),
              ROUND(ROUND(OFFSET($P107,0,BD$13),15-13*ORÇAMENTO!$AF$7)*OFFSET(ORÇAMENTO!$W$15,ROW(BD107)-ROW(BD$15),0),15-13*ORÇAMENTO!$AF$11)),
         0)</f>
        <v>976.54</v>
      </c>
      <c r="BE107" s="352" t="n">
        <f aca="true">IF(AND($D107="Serviço",BE$12&lt;&gt;0,$H107&gt;0,OR(AUTOEVENTO&lt;&gt;"manual",$M107&lt;&gt;$A$15)),
        IF(Import.TipoArredondamento&lt;&gt;"TransfereGOV",
              ROUND(OFFSET($P107,0,BE$13),15-13*ORÇAMENTO!$AF$7)/$H107*OFFSET(ORÇAMENTO!$X$15,ROW(BE107)-ROW(BE$15),0),
              ROUND(ROUND(OFFSET($P107,0,BE$13),15-13*ORÇAMENTO!$AF$7)*OFFSET(ORÇAMENTO!$W$15,ROW(BE107)-ROW(BE$15),0),15-13*ORÇAMENTO!$AF$11)),
         0)</f>
        <v>976.54</v>
      </c>
      <c r="BF107" s="352" t="n">
        <f aca="true">IF(AND($D107="Serviço",BF$12&lt;&gt;0,$H107&gt;0,OR(AUTOEVENTO&lt;&gt;"manual",$M107&lt;&gt;$A$15)),
        IF(Import.TipoArredondamento&lt;&gt;"TransfereGOV",
              ROUND(OFFSET($P107,0,BF$13),15-13*ORÇAMENTO!$AF$7)/$H107*OFFSET(ORÇAMENTO!$X$15,ROW(BF107)-ROW(BF$15),0),
              ROUND(ROUND(OFFSET($P107,0,BF$13),15-13*ORÇAMENTO!$AF$7)*OFFSET(ORÇAMENTO!$W$15,ROW(BF107)-ROW(BF$15),0),15-13*ORÇAMENTO!$AF$11)),
         0)</f>
        <v>976.54</v>
      </c>
      <c r="BG107" s="352" t="n">
        <f aca="true">IF(AND($D107="Serviço",BG$12&lt;&gt;0,$H107&gt;0,OR(AUTOEVENTO&lt;&gt;"manual",$M107&lt;&gt;$A$15)),
        IF(Import.TipoArredondamento&lt;&gt;"TransfereGOV",
              ROUND(OFFSET($P107,0,BG$13),15-13*ORÇAMENTO!$AF$7)/$H107*OFFSET(ORÇAMENTO!$X$15,ROW(BG107)-ROW(BG$15),0),
              ROUND(ROUND(OFFSET($P107,0,BG$13),15-13*ORÇAMENTO!$AF$7)*OFFSET(ORÇAMENTO!$W$15,ROW(BG107)-ROW(BG$15),0),15-13*ORÇAMENTO!$AF$11)),
         0)</f>
        <v>976.54</v>
      </c>
      <c r="BH107" s="352" t="n">
        <f aca="true">IF(AND($D107="Serviço",BH$12&lt;&gt;0,$H107&gt;0,OR(AUTOEVENTO&lt;&gt;"manual",$M107&lt;&gt;$A$15)),
        IF(Import.TipoArredondamento&lt;&gt;"TransfereGOV",
              ROUND(OFFSET($P107,0,BH$13),15-13*ORÇAMENTO!$AF$7)/$H107*OFFSET(ORÇAMENTO!$X$15,ROW(BH107)-ROW(BH$15),0),
              ROUND(ROUND(OFFSET($P107,0,BH$13),15-13*ORÇAMENTO!$AF$7)*OFFSET(ORÇAMENTO!$W$15,ROW(BH107)-ROW(BH$15),0),15-13*ORÇAMENTO!$AF$11)),
         0)</f>
        <v>976.54</v>
      </c>
      <c r="BI107" s="352" t="n">
        <f aca="true">IF(AND($D107="Serviço",BI$12&lt;&gt;0,$H107&gt;0,OR(AUTOEVENTO&lt;&gt;"manual",$M107&lt;&gt;$A$15)),
        IF(Import.TipoArredondamento&lt;&gt;"TransfereGOV",
              ROUND(OFFSET($P107,0,BI$13),15-13*ORÇAMENTO!$AF$7)/$H107*OFFSET(ORÇAMENTO!$X$15,ROW(BI107)-ROW(BI$15),0),
              ROUND(ROUND(OFFSET($P107,0,BI$13),15-13*ORÇAMENTO!$AF$7)*OFFSET(ORÇAMENTO!$W$15,ROW(BI107)-ROW(BI$15),0),15-13*ORÇAMENTO!$AF$11)),
         0)</f>
        <v>976.54</v>
      </c>
      <c r="BJ107" s="352" t="n">
        <f aca="true">IF(AND($D107="Serviço",BJ$12&lt;&gt;0,$H107&gt;0,OR(AUTOEVENTO&lt;&gt;"manual",$M107&lt;&gt;$A$15)),
        IF(Import.TipoArredondamento&lt;&gt;"TransfereGOV",
              ROUND(OFFSET($P107,0,BJ$13),15-13*ORÇAMENTO!$AF$7)/$H107*OFFSET(ORÇAMENTO!$X$15,ROW(BJ107)-ROW(BJ$15),0),
              ROUND(ROUND(OFFSET($P107,0,BJ$13),15-13*ORÇAMENTO!$AF$7)*OFFSET(ORÇAMENTO!$W$15,ROW(BJ107)-ROW(BJ$15),0),15-13*ORÇAMENTO!$AF$11)),
         0)</f>
        <v>976.54</v>
      </c>
      <c r="BK107" s="352" t="n">
        <f aca="true">IF(AND($D107="Serviço",BK$12&lt;&gt;0,$H107&gt;0,OR(AUTOEVENTO&lt;&gt;"manual",$M107&lt;&gt;$A$15)),
        IF(Import.TipoArredondamento&lt;&gt;"TransfereGOV",
              ROUND(OFFSET($P107,0,BK$13),15-13*ORÇAMENTO!$AF$7)/$H107*OFFSET(ORÇAMENTO!$X$15,ROW(BK107)-ROW(BK$15),0),
              ROUND(ROUND(OFFSET($P107,0,BK$13),15-13*ORÇAMENTO!$AF$7)*OFFSET(ORÇAMENTO!$W$15,ROW(BK107)-ROW(BK$15),0),15-13*ORÇAMENTO!$AF$11)),
         0)</f>
        <v>976.54</v>
      </c>
      <c r="BL107" s="352" t="n">
        <f aca="true">IF(AND($D107="Serviço",BL$12&lt;&gt;0,$H107&gt;0,OR(AUTOEVENTO&lt;&gt;"manual",$M107&lt;&gt;$A$15)),
        IF(Import.TipoArredondamento&lt;&gt;"TransfereGOV",
              ROUND(OFFSET($P107,0,BL$13),15-13*ORÇAMENTO!$AF$7)/$H107*OFFSET(ORÇAMENTO!$X$15,ROW(BL107)-ROW(BL$15),0),
              ROUND(ROUND(OFFSET($P107,0,BL$13),15-13*ORÇAMENTO!$AF$7)*OFFSET(ORÇAMENTO!$W$15,ROW(BL107)-ROW(BL$15),0),15-13*ORÇAMENTO!$AF$11)),
         0)</f>
        <v>976.54</v>
      </c>
      <c r="BM107" s="352" t="n">
        <f aca="true">IF(AND($D107="Serviço",BM$12&lt;&gt;0,$H107&gt;0,OR(AUTOEVENTO&lt;&gt;"manual",$M107&lt;&gt;$A$15)),
        IF(Import.TipoArredondamento&lt;&gt;"TransfereGOV",
              ROUND(OFFSET($P107,0,BM$13),15-13*ORÇAMENTO!$AF$7)/$H107*OFFSET(ORÇAMENTO!$X$15,ROW(BM107)-ROW(BM$15),0),
              ROUND(ROUND(OFFSET($P107,0,BM$13),15-13*ORÇAMENTO!$AF$7)*OFFSET(ORÇAMENTO!$W$15,ROW(BM107)-ROW(BM$15),0),15-13*ORÇAMENTO!$AF$11)),
         0)</f>
        <v>976.54</v>
      </c>
      <c r="BN107" s="352" t="n">
        <f aca="true">IF(AND($D107="Serviço",BN$12&lt;&gt;0,$H107&gt;0,OR(AUTOEVENTO&lt;&gt;"manual",$M107&lt;&gt;$A$15)),
        IF(Import.TipoArredondamento&lt;&gt;"TransfereGOV",
              ROUND(OFFSET($P107,0,BN$13),15-13*ORÇAMENTO!$AF$7)/$H107*OFFSET(ORÇAMENTO!$X$15,ROW(BN107)-ROW(BN$15),0),
              ROUND(ROUND(OFFSET($P107,0,BN$13),15-13*ORÇAMENTO!$AF$7)*OFFSET(ORÇAMENTO!$W$15,ROW(BN107)-ROW(BN$15),0),15-13*ORÇAMENTO!$AF$11)),
         0)</f>
        <v>976.54</v>
      </c>
      <c r="BO107" s="352" t="n">
        <f aca="true">IF(AND($D107="Serviço",BO$12&lt;&gt;0,$H107&gt;0,OR(AUTOEVENTO&lt;&gt;"manual",$M107&lt;&gt;$A$15)),
        IF(Import.TipoArredondamento&lt;&gt;"TransfereGOV",
              ROUND(OFFSET($P107,0,BO$13),15-13*ORÇAMENTO!$AF$7)/$H107*OFFSET(ORÇAMENTO!$X$15,ROW(BO107)-ROW(BO$15),0),
              ROUND(ROUND(OFFSET($P107,0,BO$13),15-13*ORÇAMENTO!$AF$7)*OFFSET(ORÇAMENTO!$W$15,ROW(BO107)-ROW(BO$15),0),15-13*ORÇAMENTO!$AF$11)),
         0)</f>
        <v>976.54</v>
      </c>
      <c r="BP107" s="352" t="n">
        <f aca="true">IF(AND($D107="Serviço",BP$12&lt;&gt;0,$H107&gt;0,OR(AUTOEVENTO&lt;&gt;"manual",$M107&lt;&gt;$A$15)),
        IF(Import.TipoArredondamento&lt;&gt;"TransfereGOV",
              ROUND(OFFSET($P107,0,BP$13),15-13*ORÇAMENTO!$AF$7)/$H107*OFFSET(ORÇAMENTO!$X$15,ROW(BP107)-ROW(BP$15),0),
              ROUND(ROUND(OFFSET($P107,0,BP$13),15-13*ORÇAMENTO!$AF$7)*OFFSET(ORÇAMENTO!$W$15,ROW(BP107)-ROW(BP$15),0),15-13*ORÇAMENTO!$AF$11)),
         0)</f>
        <v>976.54</v>
      </c>
      <c r="BQ107" s="352" t="n">
        <f aca="true">IF(AND($D107="Serviço",BQ$12&lt;&gt;0,$H107&gt;0,OR(AUTOEVENTO&lt;&gt;"manual",$M107&lt;&gt;$A$15)),
        IF(Import.TipoArredondamento&lt;&gt;"TransfereGOV",
              ROUND(OFFSET($P107,0,BQ$13),15-13*ORÇAMENTO!$AF$7)/$H107*OFFSET(ORÇAMENTO!$X$15,ROW(BQ107)-ROW(BQ$15),0),
              ROUND(ROUND(OFFSET($P107,0,BQ$13),15-13*ORÇAMENTO!$AF$7)*OFFSET(ORÇAMENTO!$W$15,ROW(BQ107)-ROW(BQ$15),0),15-13*ORÇAMENTO!$AF$11)),
         0)</f>
        <v>0</v>
      </c>
      <c r="BS107" s="353" t="n">
        <f aca="true">IF(OR($D107&lt;&gt;"Serviço",AND(AUTOEVENTO="Manual",$M107=$A$15)),0,
         IF(OFFSET(CRONOPLE!$F$15,$M107-$A$15,BS$13)=0,10^12,OFFSET(CRONOPLE!$F$15,$M107-$A$15,BS$13)))</f>
        <v>1</v>
      </c>
      <c r="BT107" s="353" t="n">
        <f aca="true">IF(OR($D107&lt;&gt;"Serviço",AND(AUTOEVENTO="Manual",$M107=$A$15)),0,
         IF(OFFSET(CRONOPLE!$F$15,$M107-$A$15,BT$13)=0,10^12,OFFSET(CRONOPLE!$F$15,$M107-$A$15,BT$13)))</f>
        <v>2</v>
      </c>
      <c r="BU107" s="353" t="n">
        <f aca="true">IF(OR($D107&lt;&gt;"Serviço",AND(AUTOEVENTO="Manual",$M107=$A$15)),0,
         IF(OFFSET(CRONOPLE!$F$15,$M107-$A$15,BU$13)=0,10^12,OFFSET(CRONOPLE!$F$15,$M107-$A$15,BU$13)))</f>
        <v>3</v>
      </c>
      <c r="BV107" s="353" t="n">
        <f aca="true">IF(OR($D107&lt;&gt;"Serviço",AND(AUTOEVENTO="Manual",$M107=$A$15)),0,
         IF(OFFSET(CRONOPLE!$F$15,$M107-$A$15,BV$13)=0,10^12,OFFSET(CRONOPLE!$F$15,$M107-$A$15,BV$13)))</f>
        <v>4</v>
      </c>
      <c r="BW107" s="353" t="n">
        <f aca="true">IF(OR($D107&lt;&gt;"Serviço",AND(AUTOEVENTO="Manual",$M107=$A$15)),0,
         IF(OFFSET(CRONOPLE!$F$15,$M107-$A$15,BW$13)=0,10^12,OFFSET(CRONOPLE!$F$15,$M107-$A$15,BW$13)))</f>
        <v>5</v>
      </c>
      <c r="BX107" s="353" t="n">
        <f aca="true">IF(OR($D107&lt;&gt;"Serviço",AND(AUTOEVENTO="Manual",$M107=$A$15)),0,
         IF(OFFSET(CRONOPLE!$F$15,$M107-$A$15,BX$13)=0,10^12,OFFSET(CRONOPLE!$F$15,$M107-$A$15,BX$13)))</f>
        <v>6</v>
      </c>
      <c r="BY107" s="353" t="n">
        <f aca="true">IF(OR($D107&lt;&gt;"Serviço",AND(AUTOEVENTO="Manual",$M107=$A$15)),0,
         IF(OFFSET(CRONOPLE!$F$15,$M107-$A$15,BY$13)=0,10^12,OFFSET(CRONOPLE!$F$15,$M107-$A$15,BY$13)))</f>
        <v>7</v>
      </c>
      <c r="BZ107" s="353" t="n">
        <f aca="true">IF(OR($D107&lt;&gt;"Serviço",AND(AUTOEVENTO="Manual",$M107=$A$15)),0,
         IF(OFFSET(CRONOPLE!$F$15,$M107-$A$15,BZ$13)=0,10^12,OFFSET(CRONOPLE!$F$15,$M107-$A$15,BZ$13)))</f>
        <v>8</v>
      </c>
      <c r="CA107" s="353" t="n">
        <f aca="true">IF(OR($D107&lt;&gt;"Serviço",AND(AUTOEVENTO="Manual",$M107=$A$15)),0,
         IF(OFFSET(CRONOPLE!$F$15,$M107-$A$15,CA$13)=0,10^12,OFFSET(CRONOPLE!$F$15,$M107-$A$15,CA$13)))</f>
        <v>9</v>
      </c>
      <c r="CB107" s="353" t="n">
        <f aca="true">IF(OR($D107&lt;&gt;"Serviço",AND(AUTOEVENTO="Manual",$M107=$A$15)),0,
         IF(OFFSET(CRONOPLE!$F$15,$M107-$A$15,CB$13)=0,10^12,OFFSET(CRONOPLE!$F$15,$M107-$A$15,CB$13)))</f>
        <v>10</v>
      </c>
      <c r="CC107" s="353" t="n">
        <f aca="true">IF(OR($D107&lt;&gt;"Serviço",AND(AUTOEVENTO="Manual",$M107=$A$15)),0,
         IF(OFFSET(CRONOPLE!$F$15,$M107-$A$15,CC$13)=0,10^12,OFFSET(CRONOPLE!$F$15,$M107-$A$15,CC$13)))</f>
        <v>11</v>
      </c>
      <c r="CD107" s="353" t="n">
        <f aca="true">IF(OR($D107&lt;&gt;"Serviço",AND(AUTOEVENTO="Manual",$M107=$A$15)),0,
         IF(OFFSET(CRONOPLE!$F$15,$M107-$A$15,CD$13)=0,10^12,OFFSET(CRONOPLE!$F$15,$M107-$A$15,CD$13)))</f>
        <v>12</v>
      </c>
      <c r="CE107" s="353" t="n">
        <f aca="true">IF(OR($D107&lt;&gt;"Serviço",AND(AUTOEVENTO="Manual",$M107=$A$15)),0,
         IF(OFFSET(CRONOPLE!$F$15,$M107-$A$15,CE$13)=0,10^12,OFFSET(CRONOPLE!$F$15,$M107-$A$15,CE$13)))</f>
        <v>13</v>
      </c>
      <c r="CF107" s="353" t="n">
        <f aca="true">IF(OR($D107&lt;&gt;"Serviço",AND(AUTOEVENTO="Manual",$M107=$A$15)),0,
         IF(OFFSET(CRONOPLE!$F$15,$M107-$A$15,CF$13)=0,10^12,OFFSET(CRONOPLE!$F$15,$M107-$A$15,CF$13)))</f>
        <v>14</v>
      </c>
      <c r="CG107" s="353" t="n">
        <f aca="true">IF(OR($D107&lt;&gt;"Serviço",AND(AUTOEVENTO="Manual",$M107=$A$15)),0,
         IF(OFFSET(CRONOPLE!$F$15,$M107-$A$15,CG$13)=0,10^12,OFFSET(CRONOPLE!$F$15,$M107-$A$15,CG$13)))</f>
        <v>15</v>
      </c>
      <c r="CH107" s="353" t="n">
        <f aca="true">IF(OR($D107&lt;&gt;"Serviço",AND(AUTOEVENTO="Manual",$M107=$A$15)),0,
         IF(OFFSET(CRONOPLE!$F$15,$M107-$A$15,CH$13)=0,10^12,OFFSET(CRONOPLE!$F$15,$M107-$A$15,CH$13)))</f>
        <v>16</v>
      </c>
      <c r="CI107" s="353" t="n">
        <f aca="true">IF(OR($D107&lt;&gt;"Serviço",AND(AUTOEVENTO="Manual",$M107=$A$15)),0,
         IF(OFFSET(CRONOPLE!$F$15,$M107-$A$15,CI$13)=0,10^12,OFFSET(CRONOPLE!$F$15,$M107-$A$15,CI$13)))</f>
        <v>17</v>
      </c>
      <c r="CJ107" s="353" t="n">
        <f aca="true">IF(OR($D107&lt;&gt;"Serviço",AND(AUTOEVENTO="Manual",$M107=$A$15)),0,
         IF(OFFSET(CRONOPLE!$F$15,$M107-$A$15,CJ$13)=0,10^12,OFFSET(CRONOPLE!$F$15,$M107-$A$15,CJ$13)))</f>
        <v>18</v>
      </c>
      <c r="CK107" s="353" t="n">
        <f aca="true">IF(OR($D107&lt;&gt;"Serviço",AND(AUTOEVENTO="Manual",$M107=$A$15)),0,
         IF(OFFSET(CRONOPLE!$F$15,$M107-$A$15,CK$13)=0,10^12,OFFSET(CRONOPLE!$F$15,$M107-$A$15,CK$13)))</f>
        <v>19</v>
      </c>
      <c r="CL107" s="353" t="n">
        <f aca="true">IF(OR($D107&lt;&gt;"Serviço",AND(AUTOEVENTO="Manual",$M107=$A$15)),0,
         IF(OFFSET(CRONOPLE!$F$15,$M107-$A$15,CL$13)=0,10^12,OFFSET(CRONOPLE!$F$15,$M107-$A$15,CL$13)))</f>
        <v>20</v>
      </c>
      <c r="CM107" s="353" t="n">
        <f aca="true">IF(OR($D107&lt;&gt;"Serviço",AND(AUTOEVENTO="Manual",$M107=$A$15)),0,
         IF(OFFSET(CRONOPLE!$F$15,$M107-$A$15,CM$13)=0,10^12,OFFSET(CRONOPLE!$F$15,$M107-$A$15,CM$13)))</f>
        <v>21</v>
      </c>
      <c r="CN107" s="353" t="n">
        <f aca="true">IF(OR($D107&lt;&gt;"Serviço",AND(AUTOEVENTO="Manual",$M107=$A$15)),0,
         IF(OFFSET(CRONOPLE!$F$15,$M107-$A$15,CN$13)=0,10^12,OFFSET(CRONOPLE!$F$15,$M107-$A$15,CN$13)))</f>
        <v>22</v>
      </c>
      <c r="CO107" s="353" t="n">
        <f aca="true">IF(OR($D107&lt;&gt;"Serviço",AND(AUTOEVENTO="Manual",$M107=$A$15)),0,
         IF(OFFSET(CRONOPLE!$F$15,$M107-$A$15,CO$13)=0,10^12,OFFSET(CRONOPLE!$F$15,$M107-$A$15,CO$13)))</f>
        <v>23</v>
      </c>
      <c r="CP107" s="353" t="n">
        <f aca="true">IF(OR($D107&lt;&gt;"Serviço",AND(AUTOEVENTO="Manual",$M107=$A$15)),0,
         IF(OFFSET(CRONOPLE!$F$15,$M107-$A$15,CP$13)=0,10^12,OFFSET(CRONOPLE!$F$15,$M107-$A$15,CP$13)))</f>
        <v>24</v>
      </c>
      <c r="CQ107" s="353" t="n">
        <f aca="true">IF(OR($D107&lt;&gt;"Serviço",AND(AUTOEVENTO="Manual",$M107=$A$15)),0,
         IF(OFFSET(CRONOPLE!$F$15,$M107-$A$15,CQ$13)=0,10^12,OFFSET(CRONOPLE!$F$15,$M107-$A$15,CQ$13)))</f>
        <v>25</v>
      </c>
      <c r="CR107" s="353" t="n">
        <f aca="true">IF(OR($D107&lt;&gt;"Serviço",AND(AUTOEVENTO="Manual",$M107=$A$15)),0,
         IF(OFFSET(CRONOPLE!$F$15,$M107-$A$15,CR$13)=0,10^12,OFFSET(CRONOPLE!$F$15,$M107-$A$15,CR$13)))</f>
        <v>1000000000000</v>
      </c>
      <c r="CT107" s="354" t="n">
        <f aca="true">IF(OR($D107&lt;&gt;"Serviço",AND(AUTOEVENTO="Manual",$M107=$A$15),$M107&gt;(ROW(PLE.lastrow)-ROW(PLE.firstrow))),0,
           IF(OFFSET(PLE!$G$15,$M107-$A$15,CT$13)="",10^12,OFFSET(PLE!$G$15,$M107-$A$15,CT$13)))</f>
        <v>1000000000000</v>
      </c>
      <c r="CU107" s="354" t="n">
        <f aca="true">IF(OR($D107&lt;&gt;"Serviço",AND(AUTOEVENTO="Manual",$M107=$A$15),$M107&gt;(ROW(PLE.lastrow)-ROW(PLE.firstrow))),0,
           IF(OFFSET(PLE!$G$15,$M107-$A$15,CU$13)="",10^12,OFFSET(PLE!$G$15,$M107-$A$15,CU$13)))</f>
        <v>1000000000000</v>
      </c>
      <c r="CV107" s="354" t="n">
        <f aca="true">IF(OR($D107&lt;&gt;"Serviço",AND(AUTOEVENTO="Manual",$M107=$A$15),$M107&gt;(ROW(PLE.lastrow)-ROW(PLE.firstrow))),0,
           IF(OFFSET(PLE!$G$15,$M107-$A$15,CV$13)="",10^12,OFFSET(PLE!$G$15,$M107-$A$15,CV$13)))</f>
        <v>1000000000000</v>
      </c>
      <c r="CW107" s="354" t="n">
        <f aca="true">IF(OR($D107&lt;&gt;"Serviço",AND(AUTOEVENTO="Manual",$M107=$A$15),$M107&gt;(ROW(PLE.lastrow)-ROW(PLE.firstrow))),0,
           IF(OFFSET(PLE!$G$15,$M107-$A$15,CW$13)="",10^12,OFFSET(PLE!$G$15,$M107-$A$15,CW$13)))</f>
        <v>1000000000000</v>
      </c>
      <c r="CX107" s="354" t="n">
        <f aca="true">IF(OR($D107&lt;&gt;"Serviço",AND(AUTOEVENTO="Manual",$M107=$A$15),$M107&gt;(ROW(PLE.lastrow)-ROW(PLE.firstrow))),0,
           IF(OFFSET(PLE!$G$15,$M107-$A$15,CX$13)="",10^12,OFFSET(PLE!$G$15,$M107-$A$15,CX$13)))</f>
        <v>1000000000000</v>
      </c>
      <c r="CY107" s="354" t="n">
        <f aca="true">IF(OR($D107&lt;&gt;"Serviço",AND(AUTOEVENTO="Manual",$M107=$A$15),$M107&gt;(ROW(PLE.lastrow)-ROW(PLE.firstrow))),0,
           IF(OFFSET(PLE!$G$15,$M107-$A$15,CY$13)="",10^12,OFFSET(PLE!$G$15,$M107-$A$15,CY$13)))</f>
        <v>1000000000000</v>
      </c>
      <c r="CZ107" s="354" t="n">
        <f aca="true">IF(OR($D107&lt;&gt;"Serviço",AND(AUTOEVENTO="Manual",$M107=$A$15),$M107&gt;(ROW(PLE.lastrow)-ROW(PLE.firstrow))),0,
           IF(OFFSET(PLE!$G$15,$M107-$A$15,CZ$13)="",10^12,OFFSET(PLE!$G$15,$M107-$A$15,CZ$13)))</f>
        <v>1000000000000</v>
      </c>
      <c r="DA107" s="354" t="n">
        <f aca="true">IF(OR($D107&lt;&gt;"Serviço",AND(AUTOEVENTO="Manual",$M107=$A$15),$M107&gt;(ROW(PLE.lastrow)-ROW(PLE.firstrow))),0,
           IF(OFFSET(PLE!$G$15,$M107-$A$15,DA$13)="",10^12,OFFSET(PLE!$G$15,$M107-$A$15,DA$13)))</f>
        <v>1000000000000</v>
      </c>
      <c r="DB107" s="354" t="n">
        <f aca="true">IF(OR($D107&lt;&gt;"Serviço",AND(AUTOEVENTO="Manual",$M107=$A$15),$M107&gt;(ROW(PLE.lastrow)-ROW(PLE.firstrow))),0,
           IF(OFFSET(PLE!$G$15,$M107-$A$15,DB$13)="",10^12,OFFSET(PLE!$G$15,$M107-$A$15,DB$13)))</f>
        <v>1000000000000</v>
      </c>
      <c r="DC107" s="354" t="n">
        <f aca="true">IF(OR($D107&lt;&gt;"Serviço",AND(AUTOEVENTO="Manual",$M107=$A$15),$M107&gt;(ROW(PLE.lastrow)-ROW(PLE.firstrow))),0,
           IF(OFFSET(PLE!$G$15,$M107-$A$15,DC$13)="",10^12,OFFSET(PLE!$G$15,$M107-$A$15,DC$13)))</f>
        <v>1000000000000</v>
      </c>
      <c r="DD107" s="354" t="n">
        <f aca="true">IF(OR($D107&lt;&gt;"Serviço",AND(AUTOEVENTO="Manual",$M107=$A$15),$M107&gt;(ROW(PLE.lastrow)-ROW(PLE.firstrow))),0,
           IF(OFFSET(PLE!$G$15,$M107-$A$15,DD$13)="",10^12,OFFSET(PLE!$G$15,$M107-$A$15,DD$13)))</f>
        <v>1000000000000</v>
      </c>
      <c r="DE107" s="354" t="n">
        <f aca="true">IF(OR($D107&lt;&gt;"Serviço",AND(AUTOEVENTO="Manual",$M107=$A$15),$M107&gt;(ROW(PLE.lastrow)-ROW(PLE.firstrow))),0,
           IF(OFFSET(PLE!$G$15,$M107-$A$15,DE$13)="",10^12,OFFSET(PLE!$G$15,$M107-$A$15,DE$13)))</f>
        <v>1000000000000</v>
      </c>
      <c r="DF107" s="354" t="n">
        <f aca="true">IF(OR($D107&lt;&gt;"Serviço",AND(AUTOEVENTO="Manual",$M107=$A$15),$M107&gt;(ROW(PLE.lastrow)-ROW(PLE.firstrow))),0,
           IF(OFFSET(PLE!$G$15,$M107-$A$15,DF$13)="",10^12,OFFSET(PLE!$G$15,$M107-$A$15,DF$13)))</f>
        <v>1000000000000</v>
      </c>
      <c r="DG107" s="354" t="n">
        <f aca="true">IF(OR($D107&lt;&gt;"Serviço",AND(AUTOEVENTO="Manual",$M107=$A$15),$M107&gt;(ROW(PLE.lastrow)-ROW(PLE.firstrow))),0,
           IF(OFFSET(PLE!$G$15,$M107-$A$15,DG$13)="",10^12,OFFSET(PLE!$G$15,$M107-$A$15,DG$13)))</f>
        <v>1000000000000</v>
      </c>
      <c r="DH107" s="354" t="n">
        <f aca="true">IF(OR($D107&lt;&gt;"Serviço",AND(AUTOEVENTO="Manual",$M107=$A$15),$M107&gt;(ROW(PLE.lastrow)-ROW(PLE.firstrow))),0,
           IF(OFFSET(PLE!$G$15,$M107-$A$15,DH$13)="",10^12,OFFSET(PLE!$G$15,$M107-$A$15,DH$13)))</f>
        <v>1000000000000</v>
      </c>
      <c r="DI107" s="354" t="n">
        <f aca="true">IF(OR($D107&lt;&gt;"Serviço",AND(AUTOEVENTO="Manual",$M107=$A$15),$M107&gt;(ROW(PLE.lastrow)-ROW(PLE.firstrow))),0,
           IF(OFFSET(PLE!$G$15,$M107-$A$15,DI$13)="",10^12,OFFSET(PLE!$G$15,$M107-$A$15,DI$13)))</f>
        <v>1000000000000</v>
      </c>
      <c r="DJ107" s="354" t="n">
        <f aca="true">IF(OR($D107&lt;&gt;"Serviço",AND(AUTOEVENTO="Manual",$M107=$A$15),$M107&gt;(ROW(PLE.lastrow)-ROW(PLE.firstrow))),0,
           IF(OFFSET(PLE!$G$15,$M107-$A$15,DJ$13)="",10^12,OFFSET(PLE!$G$15,$M107-$A$15,DJ$13)))</f>
        <v>1000000000000</v>
      </c>
      <c r="DK107" s="354" t="n">
        <f aca="true">IF(OR($D107&lt;&gt;"Serviço",AND(AUTOEVENTO="Manual",$M107=$A$15),$M107&gt;(ROW(PLE.lastrow)-ROW(PLE.firstrow))),0,
           IF(OFFSET(PLE!$G$15,$M107-$A$15,DK$13)="",10^12,OFFSET(PLE!$G$15,$M107-$A$15,DK$13)))</f>
        <v>1000000000000</v>
      </c>
      <c r="DL107" s="354" t="n">
        <f aca="true">IF(OR($D107&lt;&gt;"Serviço",AND(AUTOEVENTO="Manual",$M107=$A$15),$M107&gt;(ROW(PLE.lastrow)-ROW(PLE.firstrow))),0,
           IF(OFFSET(PLE!$G$15,$M107-$A$15,DL$13)="",10^12,OFFSET(PLE!$G$15,$M107-$A$15,DL$13)))</f>
        <v>1000000000000</v>
      </c>
      <c r="DM107" s="354" t="n">
        <f aca="true">IF(OR($D107&lt;&gt;"Serviço",AND(AUTOEVENTO="Manual",$M107=$A$15),$M107&gt;(ROW(PLE.lastrow)-ROW(PLE.firstrow))),0,
           IF(OFFSET(PLE!$G$15,$M107-$A$15,DM$13)="",10^12,OFFSET(PLE!$G$15,$M107-$A$15,DM$13)))</f>
        <v>1000000000000</v>
      </c>
      <c r="DN107" s="354" t="n">
        <f aca="true">IF(OR($D107&lt;&gt;"Serviço",AND(AUTOEVENTO="Manual",$M107=$A$15),$M107&gt;(ROW(PLE.lastrow)-ROW(PLE.firstrow))),0,
           IF(OFFSET(PLE!$G$15,$M107-$A$15,DN$13)="",10^12,OFFSET(PLE!$G$15,$M107-$A$15,DN$13)))</f>
        <v>1000000000000</v>
      </c>
      <c r="DO107" s="354" t="n">
        <f aca="true">IF(OR($D107&lt;&gt;"Serviço",AND(AUTOEVENTO="Manual",$M107=$A$15),$M107&gt;(ROW(PLE.lastrow)-ROW(PLE.firstrow))),0,
           IF(OFFSET(PLE!$G$15,$M107-$A$15,DO$13)="",10^12,OFFSET(PLE!$G$15,$M107-$A$15,DO$13)))</f>
        <v>1000000000000</v>
      </c>
      <c r="DP107" s="354" t="n">
        <f aca="true">IF(OR($D107&lt;&gt;"Serviço",AND(AUTOEVENTO="Manual",$M107=$A$15),$M107&gt;(ROW(PLE.lastrow)-ROW(PLE.firstrow))),0,
           IF(OFFSET(PLE!$G$15,$M107-$A$15,DP$13)="",10^12,OFFSET(PLE!$G$15,$M107-$A$15,DP$13)))</f>
        <v>1000000000000</v>
      </c>
      <c r="DQ107" s="354" t="n">
        <f aca="true">IF(OR($D107&lt;&gt;"Serviço",AND(AUTOEVENTO="Manual",$M107=$A$15),$M107&gt;(ROW(PLE.lastrow)-ROW(PLE.firstrow))),0,
           IF(OFFSET(PLE!$G$15,$M107-$A$15,DQ$13)="",10^12,OFFSET(PLE!$G$15,$M107-$A$15,DQ$13)))</f>
        <v>1000000000000</v>
      </c>
      <c r="DR107" s="354" t="n">
        <f aca="true">IF(OR($D107&lt;&gt;"Serviço",AND(AUTOEVENTO="Manual",$M107=$A$15),$M107&gt;(ROW(PLE.lastrow)-ROW(PLE.firstrow))),0,
           IF(OFFSET(PLE!$G$15,$M107-$A$15,DR$13)="",10^12,OFFSET(PLE!$G$15,$M107-$A$15,DR$13)))</f>
        <v>1000000000000</v>
      </c>
      <c r="DS107" s="354" t="n">
        <f aca="true">IF(OR($D107&lt;&gt;"Serviço",AND(AUTOEVENTO="Manual",$M107=$A$15),$M107&gt;(ROW(PLE.lastrow)-ROW(PLE.firstrow))),0,
           IF(OFFSET(PLE!$G$15,$M107-$A$15,DS$13)="",10^12,OFFSET(PLE!$G$15,$M107-$A$15,DS$13)))</f>
        <v>1000000000000</v>
      </c>
    </row>
    <row r="108" customFormat="false" ht="57.45" hidden="false" customHeight="false" outlineLevel="0" collapsed="false">
      <c r="A108" s="50" t="str">
        <f aca="true">IFERROR(IF(AUTOEVENTO="Manual",IF(K108&lt;&gt;"",MIN(VALUE(LEFT(K108,FIND(".",K108)-1)),COUNTA(EVENTOS.Lista)),0),IF(OR($B108&gt;AUTOEVENTO,$B108="S",$B108=0),SUBSTITUTE(OFFSET($A108,-1,0),IF($D108="Serviço",".",""),""),ROW(A108)-ROW($A$15)&amp;".")),0)</f>
        <v>89</v>
      </c>
      <c r="B108" s="50" t="str">
        <f aca="true">OFFSET(ORÇAMENTO!C$15,ROW(B108)-ROW(B$15),0)</f>
        <v>S</v>
      </c>
      <c r="C108" s="50" t="str">
        <f aca="true">OFFSET(ORÇAMENTO!L$15,ROW(C108)-ROW(C$15),0)</f>
        <v>F</v>
      </c>
      <c r="D108" s="201" t="str">
        <f aca="true">OFFSET(ORÇAMENTO!N$15,ROW(D108)-ROW(D$15),0)</f>
        <v>Serviço</v>
      </c>
      <c r="E108" s="202" t="str">
        <f aca="true">OFFSET(ORÇAMENTO!O$15,ROW(E108)-ROW(E$15),0)</f>
        <v>1.29.4.</v>
      </c>
      <c r="F108" s="341" t="str">
        <f aca="true">OFFSET(ORÇAMENTO!R$15,ROW(F108)-ROW(F$15),0)</f>
        <v>CONTRAPISO EM ARGAMASSA TRAÇO 1:4 (CIMENTO E AREIA), PREPARO MECÂNICO COM BETONEIRA 400 L, APLICADO EM ÁREAS SECAS SOBRE LAJE, ADERIDO, ACABAMENTO NÃO REFORÇADO, ESPESSURA 3CM. AF_07/2021</v>
      </c>
      <c r="G108" s="342" t="str">
        <f aca="true">IF($D108&lt;&gt;"Serviço","",OFFSET(ORÇAMENTO!S$15,ROW(G108)-ROW(G$15),0))</f>
        <v>M2</v>
      </c>
      <c r="H108" s="207" t="n">
        <f aca="true">IF($D108&lt;&gt;"Serviço",0,IF(ACOMPANHAMENTO="BM",ROUND(OFFSET(ORÇAMENTO!AJ$15,ROW(H108)-ROW(H$15),0),15-13*ORÇAMENTO!$AF$7),SUMPRODUCT(($Q$1:$AQ$1=1)*ROUND($Q108:$AQ108,15-13*ORÇAMENTO!$AF$7))))</f>
        <v>844.75</v>
      </c>
      <c r="I108" s="343" t="s">
        <v>964</v>
      </c>
      <c r="J108" s="344" t="e">
        <f aca="false">IF(OR(B108&lt;&gt;"S",CÁLCULO.FrentesPreenchidas=0),"",IF(AND(ACOMPANHAMENTO="PLE",AUTOEVENTO="Manual",OR(H108&gt;0,ORÇAMENTO!AC108="QUANT."),OR(K108="",M108=0,N108="")),"►",IF(AND(ACOMPANHAMENTO="PLE",ORÇAMENTO!AC108="QUANT."),"►►",IF(AND(COUNTIF($P$11:$AQ$11,"▼")=0,H108&gt;0,I108=""),"◄",""))))</f>
        <v>#NAME?</v>
      </c>
      <c r="K108" s="345"/>
      <c r="L108" s="346" t="s">
        <v>876</v>
      </c>
      <c r="M108" s="347" t="n">
        <f aca="true">IF($D108&lt;&gt;"Serviço","",
          IF(AUTOEVENTO="manual",$A108,
                IF(ISERROR(MATCH($A108,$A$15:OFFSET($A108,-1,0),0)),MAX($M$15:OFFSET(M108,-1,0))+1,
                      INDEX($M$15:OFFSET(M108,-1,0),MATCH($A108,$A$15:OFFSET($A108,-1,0),0)))))</f>
        <v>18</v>
      </c>
      <c r="N108" s="348" t="str">
        <f aca="true">IF($D108&lt;&gt;"Serviço","",
         IF(AUTOEVENTO="Manual",
                IF($A108=0,"&lt;-- defina o número do agrupador",
                       OFFSET(EVENTOS!$D$15,$A108-$A$15,0)),
                OFFSET($F$15,$A108,0)))</f>
        <v>CERÂMICA</v>
      </c>
      <c r="O108" s="349"/>
      <c r="Q108" s="349" t="n">
        <f aca="false">Q105-Q107</f>
        <v>33.79</v>
      </c>
      <c r="R108" s="350" t="n">
        <f aca="false">Q108</f>
        <v>33.79</v>
      </c>
      <c r="S108" s="350" t="n">
        <f aca="false">R108</f>
        <v>33.79</v>
      </c>
      <c r="T108" s="350" t="n">
        <f aca="false">S108</f>
        <v>33.79</v>
      </c>
      <c r="U108" s="350" t="n">
        <f aca="false">T108</f>
        <v>33.79</v>
      </c>
      <c r="V108" s="350" t="n">
        <f aca="false">U108</f>
        <v>33.79</v>
      </c>
      <c r="W108" s="350" t="n">
        <f aca="false">V108</f>
        <v>33.79</v>
      </c>
      <c r="X108" s="350" t="n">
        <f aca="false">W108</f>
        <v>33.79</v>
      </c>
      <c r="Y108" s="350" t="n">
        <f aca="false">X108</f>
        <v>33.79</v>
      </c>
      <c r="Z108" s="351" t="n">
        <f aca="false">Y108</f>
        <v>33.79</v>
      </c>
      <c r="AA108" s="350" t="n">
        <f aca="false">Z108</f>
        <v>33.79</v>
      </c>
      <c r="AB108" s="350" t="n">
        <f aca="false">AA108</f>
        <v>33.79</v>
      </c>
      <c r="AC108" s="350" t="n">
        <f aca="false">AB108</f>
        <v>33.79</v>
      </c>
      <c r="AD108" s="350" t="n">
        <f aca="false">AC108</f>
        <v>33.79</v>
      </c>
      <c r="AE108" s="350" t="n">
        <f aca="false">AD108</f>
        <v>33.79</v>
      </c>
      <c r="AF108" s="350" t="n">
        <f aca="false">AE108</f>
        <v>33.79</v>
      </c>
      <c r="AG108" s="350" t="n">
        <f aca="false">AF108</f>
        <v>33.79</v>
      </c>
      <c r="AH108" s="351" t="n">
        <f aca="false">AG108</f>
        <v>33.79</v>
      </c>
      <c r="AI108" s="350" t="n">
        <f aca="false">AH108</f>
        <v>33.79</v>
      </c>
      <c r="AJ108" s="350" t="n">
        <f aca="false">AI108</f>
        <v>33.79</v>
      </c>
      <c r="AK108" s="350" t="n">
        <f aca="false">AJ108</f>
        <v>33.79</v>
      </c>
      <c r="AL108" s="350" t="n">
        <f aca="false">AK108</f>
        <v>33.79</v>
      </c>
      <c r="AM108" s="350" t="n">
        <f aca="false">AL108</f>
        <v>33.79</v>
      </c>
      <c r="AN108" s="350" t="n">
        <f aca="false">AM108</f>
        <v>33.79</v>
      </c>
      <c r="AO108" s="350" t="n">
        <f aca="false">AN108</f>
        <v>33.79</v>
      </c>
      <c r="AP108" s="351"/>
      <c r="AR108" s="352" t="n">
        <f aca="true">IF(AND($D108="Serviço",AR$12&lt;&gt;0,$H108&gt;0,OR(AUTOEVENTO&lt;&gt;"manual",$M108&lt;&gt;$A$15)),
        IF(Import.TipoArredondamento&lt;&gt;"TransfereGOV",
              ROUND(OFFSET($P108,0,AR$13),15-13*ORÇAMENTO!$AF$7)/$H108*OFFSET(ORÇAMENTO!$X$15,ROW(AR108)-ROW(AR$15),0),
              ROUND(ROUND(OFFSET($P108,0,AR$13),15-13*ORÇAMENTO!$AF$7)*OFFSET(ORÇAMENTO!$W$15,ROW(AR108)-ROW(AR$15),0),15-13*ORÇAMENTO!$AF$11)),
         0)</f>
        <v>1871.29</v>
      </c>
      <c r="AS108" s="352" t="n">
        <f aca="true">IF(AND($D108="Serviço",AS$12&lt;&gt;0,$H108&gt;0,OR(AUTOEVENTO&lt;&gt;"manual",$M108&lt;&gt;$A$15)),
        IF(Import.TipoArredondamento&lt;&gt;"TransfereGOV",
              ROUND(OFFSET($P108,0,AS$13),15-13*ORÇAMENTO!$AF$7)/$H108*OFFSET(ORÇAMENTO!$X$15,ROW(AS108)-ROW(AS$15),0),
              ROUND(ROUND(OFFSET($P108,0,AS$13),15-13*ORÇAMENTO!$AF$7)*OFFSET(ORÇAMENTO!$W$15,ROW(AS108)-ROW(AS$15),0),15-13*ORÇAMENTO!$AF$11)),
         0)</f>
        <v>1871.29</v>
      </c>
      <c r="AT108" s="352" t="n">
        <f aca="true">IF(AND($D108="Serviço",AT$12&lt;&gt;0,$H108&gt;0,OR(AUTOEVENTO&lt;&gt;"manual",$M108&lt;&gt;$A$15)),
        IF(Import.TipoArredondamento&lt;&gt;"TransfereGOV",
              ROUND(OFFSET($P108,0,AT$13),15-13*ORÇAMENTO!$AF$7)/$H108*OFFSET(ORÇAMENTO!$X$15,ROW(AT108)-ROW(AT$15),0),
              ROUND(ROUND(OFFSET($P108,0,AT$13),15-13*ORÇAMENTO!$AF$7)*OFFSET(ORÇAMENTO!$W$15,ROW(AT108)-ROW(AT$15),0),15-13*ORÇAMENTO!$AF$11)),
         0)</f>
        <v>1871.29</v>
      </c>
      <c r="AU108" s="352" t="n">
        <f aca="true">IF(AND($D108="Serviço",AU$12&lt;&gt;0,$H108&gt;0,OR(AUTOEVENTO&lt;&gt;"manual",$M108&lt;&gt;$A$15)),
        IF(Import.TipoArredondamento&lt;&gt;"TransfereGOV",
              ROUND(OFFSET($P108,0,AU$13),15-13*ORÇAMENTO!$AF$7)/$H108*OFFSET(ORÇAMENTO!$X$15,ROW(AU108)-ROW(AU$15),0),
              ROUND(ROUND(OFFSET($P108,0,AU$13),15-13*ORÇAMENTO!$AF$7)*OFFSET(ORÇAMENTO!$W$15,ROW(AU108)-ROW(AU$15),0),15-13*ORÇAMENTO!$AF$11)),
         0)</f>
        <v>1871.29</v>
      </c>
      <c r="AV108" s="352" t="n">
        <f aca="true">IF(AND($D108="Serviço",AV$12&lt;&gt;0,$H108&gt;0,OR(AUTOEVENTO&lt;&gt;"manual",$M108&lt;&gt;$A$15)),
        IF(Import.TipoArredondamento&lt;&gt;"TransfereGOV",
              ROUND(OFFSET($P108,0,AV$13),15-13*ORÇAMENTO!$AF$7)/$H108*OFFSET(ORÇAMENTO!$X$15,ROW(AV108)-ROW(AV$15),0),
              ROUND(ROUND(OFFSET($P108,0,AV$13),15-13*ORÇAMENTO!$AF$7)*OFFSET(ORÇAMENTO!$W$15,ROW(AV108)-ROW(AV$15),0),15-13*ORÇAMENTO!$AF$11)),
         0)</f>
        <v>1871.29</v>
      </c>
      <c r="AW108" s="352" t="n">
        <f aca="true">IF(AND($D108="Serviço",AW$12&lt;&gt;0,$H108&gt;0,OR(AUTOEVENTO&lt;&gt;"manual",$M108&lt;&gt;$A$15)),
        IF(Import.TipoArredondamento&lt;&gt;"TransfereGOV",
              ROUND(OFFSET($P108,0,AW$13),15-13*ORÇAMENTO!$AF$7)/$H108*OFFSET(ORÇAMENTO!$X$15,ROW(AW108)-ROW(AW$15),0),
              ROUND(ROUND(OFFSET($P108,0,AW$13),15-13*ORÇAMENTO!$AF$7)*OFFSET(ORÇAMENTO!$W$15,ROW(AW108)-ROW(AW$15),0),15-13*ORÇAMENTO!$AF$11)),
         0)</f>
        <v>1871.29</v>
      </c>
      <c r="AX108" s="352" t="n">
        <f aca="true">IF(AND($D108="Serviço",AX$12&lt;&gt;0,$H108&gt;0,OR(AUTOEVENTO&lt;&gt;"manual",$M108&lt;&gt;$A$15)),
        IF(Import.TipoArredondamento&lt;&gt;"TransfereGOV",
              ROUND(OFFSET($P108,0,AX$13),15-13*ORÇAMENTO!$AF$7)/$H108*OFFSET(ORÇAMENTO!$X$15,ROW(AX108)-ROW(AX$15),0),
              ROUND(ROUND(OFFSET($P108,0,AX$13),15-13*ORÇAMENTO!$AF$7)*OFFSET(ORÇAMENTO!$W$15,ROW(AX108)-ROW(AX$15),0),15-13*ORÇAMENTO!$AF$11)),
         0)</f>
        <v>1871.29</v>
      </c>
      <c r="AY108" s="352" t="n">
        <f aca="true">IF(AND($D108="Serviço",AY$12&lt;&gt;0,$H108&gt;0,OR(AUTOEVENTO&lt;&gt;"manual",$M108&lt;&gt;$A$15)),
        IF(Import.TipoArredondamento&lt;&gt;"TransfereGOV",
              ROUND(OFFSET($P108,0,AY$13),15-13*ORÇAMENTO!$AF$7)/$H108*OFFSET(ORÇAMENTO!$X$15,ROW(AY108)-ROW(AY$15),0),
              ROUND(ROUND(OFFSET($P108,0,AY$13),15-13*ORÇAMENTO!$AF$7)*OFFSET(ORÇAMENTO!$W$15,ROW(AY108)-ROW(AY$15),0),15-13*ORÇAMENTO!$AF$11)),
         0)</f>
        <v>1871.29</v>
      </c>
      <c r="AZ108" s="352" t="n">
        <f aca="true">IF(AND($D108="Serviço",AZ$12&lt;&gt;0,$H108&gt;0,OR(AUTOEVENTO&lt;&gt;"manual",$M108&lt;&gt;$A$15)),
        IF(Import.TipoArredondamento&lt;&gt;"TransfereGOV",
              ROUND(OFFSET($P108,0,AZ$13),15-13*ORÇAMENTO!$AF$7)/$H108*OFFSET(ORÇAMENTO!$X$15,ROW(AZ108)-ROW(AZ$15),0),
              ROUND(ROUND(OFFSET($P108,0,AZ$13),15-13*ORÇAMENTO!$AF$7)*OFFSET(ORÇAMENTO!$W$15,ROW(AZ108)-ROW(AZ$15),0),15-13*ORÇAMENTO!$AF$11)),
         0)</f>
        <v>1871.29</v>
      </c>
      <c r="BA108" s="352" t="n">
        <f aca="true">IF(AND($D108="Serviço",BA$12&lt;&gt;0,$H108&gt;0,OR(AUTOEVENTO&lt;&gt;"manual",$M108&lt;&gt;$A$15)),
        IF(Import.TipoArredondamento&lt;&gt;"TransfereGOV",
              ROUND(OFFSET($P108,0,BA$13),15-13*ORÇAMENTO!$AF$7)/$H108*OFFSET(ORÇAMENTO!$X$15,ROW(BA108)-ROW(BA$15),0),
              ROUND(ROUND(OFFSET($P108,0,BA$13),15-13*ORÇAMENTO!$AF$7)*OFFSET(ORÇAMENTO!$W$15,ROW(BA108)-ROW(BA$15),0),15-13*ORÇAMENTO!$AF$11)),
         0)</f>
        <v>1871.29</v>
      </c>
      <c r="BB108" s="352" t="n">
        <f aca="true">IF(AND($D108="Serviço",BB$12&lt;&gt;0,$H108&gt;0,OR(AUTOEVENTO&lt;&gt;"manual",$M108&lt;&gt;$A$15)),
        IF(Import.TipoArredondamento&lt;&gt;"TransfereGOV",
              ROUND(OFFSET($P108,0,BB$13),15-13*ORÇAMENTO!$AF$7)/$H108*OFFSET(ORÇAMENTO!$X$15,ROW(BB108)-ROW(BB$15),0),
              ROUND(ROUND(OFFSET($P108,0,BB$13),15-13*ORÇAMENTO!$AF$7)*OFFSET(ORÇAMENTO!$W$15,ROW(BB108)-ROW(BB$15),0),15-13*ORÇAMENTO!$AF$11)),
         0)</f>
        <v>1871.29</v>
      </c>
      <c r="BC108" s="352" t="n">
        <f aca="true">IF(AND($D108="Serviço",BC$12&lt;&gt;0,$H108&gt;0,OR(AUTOEVENTO&lt;&gt;"manual",$M108&lt;&gt;$A$15)),
        IF(Import.TipoArredondamento&lt;&gt;"TransfereGOV",
              ROUND(OFFSET($P108,0,BC$13),15-13*ORÇAMENTO!$AF$7)/$H108*OFFSET(ORÇAMENTO!$X$15,ROW(BC108)-ROW(BC$15),0),
              ROUND(ROUND(OFFSET($P108,0,BC$13),15-13*ORÇAMENTO!$AF$7)*OFFSET(ORÇAMENTO!$W$15,ROW(BC108)-ROW(BC$15),0),15-13*ORÇAMENTO!$AF$11)),
         0)</f>
        <v>1871.29</v>
      </c>
      <c r="BD108" s="352" t="n">
        <f aca="true">IF(AND($D108="Serviço",BD$12&lt;&gt;0,$H108&gt;0,OR(AUTOEVENTO&lt;&gt;"manual",$M108&lt;&gt;$A$15)),
        IF(Import.TipoArredondamento&lt;&gt;"TransfereGOV",
              ROUND(OFFSET($P108,0,BD$13),15-13*ORÇAMENTO!$AF$7)/$H108*OFFSET(ORÇAMENTO!$X$15,ROW(BD108)-ROW(BD$15),0),
              ROUND(ROUND(OFFSET($P108,0,BD$13),15-13*ORÇAMENTO!$AF$7)*OFFSET(ORÇAMENTO!$W$15,ROW(BD108)-ROW(BD$15),0),15-13*ORÇAMENTO!$AF$11)),
         0)</f>
        <v>1871.29</v>
      </c>
      <c r="BE108" s="352" t="n">
        <f aca="true">IF(AND($D108="Serviço",BE$12&lt;&gt;0,$H108&gt;0,OR(AUTOEVENTO&lt;&gt;"manual",$M108&lt;&gt;$A$15)),
        IF(Import.TipoArredondamento&lt;&gt;"TransfereGOV",
              ROUND(OFFSET($P108,0,BE$13),15-13*ORÇAMENTO!$AF$7)/$H108*OFFSET(ORÇAMENTO!$X$15,ROW(BE108)-ROW(BE$15),0),
              ROUND(ROUND(OFFSET($P108,0,BE$13),15-13*ORÇAMENTO!$AF$7)*OFFSET(ORÇAMENTO!$W$15,ROW(BE108)-ROW(BE$15),0),15-13*ORÇAMENTO!$AF$11)),
         0)</f>
        <v>1871.29</v>
      </c>
      <c r="BF108" s="352" t="n">
        <f aca="true">IF(AND($D108="Serviço",BF$12&lt;&gt;0,$H108&gt;0,OR(AUTOEVENTO&lt;&gt;"manual",$M108&lt;&gt;$A$15)),
        IF(Import.TipoArredondamento&lt;&gt;"TransfereGOV",
              ROUND(OFFSET($P108,0,BF$13),15-13*ORÇAMENTO!$AF$7)/$H108*OFFSET(ORÇAMENTO!$X$15,ROW(BF108)-ROW(BF$15),0),
              ROUND(ROUND(OFFSET($P108,0,BF$13),15-13*ORÇAMENTO!$AF$7)*OFFSET(ORÇAMENTO!$W$15,ROW(BF108)-ROW(BF$15),0),15-13*ORÇAMENTO!$AF$11)),
         0)</f>
        <v>1871.29</v>
      </c>
      <c r="BG108" s="352" t="n">
        <f aca="true">IF(AND($D108="Serviço",BG$12&lt;&gt;0,$H108&gt;0,OR(AUTOEVENTO&lt;&gt;"manual",$M108&lt;&gt;$A$15)),
        IF(Import.TipoArredondamento&lt;&gt;"TransfereGOV",
              ROUND(OFFSET($P108,0,BG$13),15-13*ORÇAMENTO!$AF$7)/$H108*OFFSET(ORÇAMENTO!$X$15,ROW(BG108)-ROW(BG$15),0),
              ROUND(ROUND(OFFSET($P108,0,BG$13),15-13*ORÇAMENTO!$AF$7)*OFFSET(ORÇAMENTO!$W$15,ROW(BG108)-ROW(BG$15),0),15-13*ORÇAMENTO!$AF$11)),
         0)</f>
        <v>1871.29</v>
      </c>
      <c r="BH108" s="352" t="n">
        <f aca="true">IF(AND($D108="Serviço",BH$12&lt;&gt;0,$H108&gt;0,OR(AUTOEVENTO&lt;&gt;"manual",$M108&lt;&gt;$A$15)),
        IF(Import.TipoArredondamento&lt;&gt;"TransfereGOV",
              ROUND(OFFSET($P108,0,BH$13),15-13*ORÇAMENTO!$AF$7)/$H108*OFFSET(ORÇAMENTO!$X$15,ROW(BH108)-ROW(BH$15),0),
              ROUND(ROUND(OFFSET($P108,0,BH$13),15-13*ORÇAMENTO!$AF$7)*OFFSET(ORÇAMENTO!$W$15,ROW(BH108)-ROW(BH$15),0),15-13*ORÇAMENTO!$AF$11)),
         0)</f>
        <v>1871.29</v>
      </c>
      <c r="BI108" s="352" t="n">
        <f aca="true">IF(AND($D108="Serviço",BI$12&lt;&gt;0,$H108&gt;0,OR(AUTOEVENTO&lt;&gt;"manual",$M108&lt;&gt;$A$15)),
        IF(Import.TipoArredondamento&lt;&gt;"TransfereGOV",
              ROUND(OFFSET($P108,0,BI$13),15-13*ORÇAMENTO!$AF$7)/$H108*OFFSET(ORÇAMENTO!$X$15,ROW(BI108)-ROW(BI$15),0),
              ROUND(ROUND(OFFSET($P108,0,BI$13),15-13*ORÇAMENTO!$AF$7)*OFFSET(ORÇAMENTO!$W$15,ROW(BI108)-ROW(BI$15),0),15-13*ORÇAMENTO!$AF$11)),
         0)</f>
        <v>1871.29</v>
      </c>
      <c r="BJ108" s="352" t="n">
        <f aca="true">IF(AND($D108="Serviço",BJ$12&lt;&gt;0,$H108&gt;0,OR(AUTOEVENTO&lt;&gt;"manual",$M108&lt;&gt;$A$15)),
        IF(Import.TipoArredondamento&lt;&gt;"TransfereGOV",
              ROUND(OFFSET($P108,0,BJ$13),15-13*ORÇAMENTO!$AF$7)/$H108*OFFSET(ORÇAMENTO!$X$15,ROW(BJ108)-ROW(BJ$15),0),
              ROUND(ROUND(OFFSET($P108,0,BJ$13),15-13*ORÇAMENTO!$AF$7)*OFFSET(ORÇAMENTO!$W$15,ROW(BJ108)-ROW(BJ$15),0),15-13*ORÇAMENTO!$AF$11)),
         0)</f>
        <v>1871.29</v>
      </c>
      <c r="BK108" s="352" t="n">
        <f aca="true">IF(AND($D108="Serviço",BK$12&lt;&gt;0,$H108&gt;0,OR(AUTOEVENTO&lt;&gt;"manual",$M108&lt;&gt;$A$15)),
        IF(Import.TipoArredondamento&lt;&gt;"TransfereGOV",
              ROUND(OFFSET($P108,0,BK$13),15-13*ORÇAMENTO!$AF$7)/$H108*OFFSET(ORÇAMENTO!$X$15,ROW(BK108)-ROW(BK$15),0),
              ROUND(ROUND(OFFSET($P108,0,BK$13),15-13*ORÇAMENTO!$AF$7)*OFFSET(ORÇAMENTO!$W$15,ROW(BK108)-ROW(BK$15),0),15-13*ORÇAMENTO!$AF$11)),
         0)</f>
        <v>1871.29</v>
      </c>
      <c r="BL108" s="352" t="n">
        <f aca="true">IF(AND($D108="Serviço",BL$12&lt;&gt;0,$H108&gt;0,OR(AUTOEVENTO&lt;&gt;"manual",$M108&lt;&gt;$A$15)),
        IF(Import.TipoArredondamento&lt;&gt;"TransfereGOV",
              ROUND(OFFSET($P108,0,BL$13),15-13*ORÇAMENTO!$AF$7)/$H108*OFFSET(ORÇAMENTO!$X$15,ROW(BL108)-ROW(BL$15),0),
              ROUND(ROUND(OFFSET($P108,0,BL$13),15-13*ORÇAMENTO!$AF$7)*OFFSET(ORÇAMENTO!$W$15,ROW(BL108)-ROW(BL$15),0),15-13*ORÇAMENTO!$AF$11)),
         0)</f>
        <v>1871.29</v>
      </c>
      <c r="BM108" s="352" t="n">
        <f aca="true">IF(AND($D108="Serviço",BM$12&lt;&gt;0,$H108&gt;0,OR(AUTOEVENTO&lt;&gt;"manual",$M108&lt;&gt;$A$15)),
        IF(Import.TipoArredondamento&lt;&gt;"TransfereGOV",
              ROUND(OFFSET($P108,0,BM$13),15-13*ORÇAMENTO!$AF$7)/$H108*OFFSET(ORÇAMENTO!$X$15,ROW(BM108)-ROW(BM$15),0),
              ROUND(ROUND(OFFSET($P108,0,BM$13),15-13*ORÇAMENTO!$AF$7)*OFFSET(ORÇAMENTO!$W$15,ROW(BM108)-ROW(BM$15),0),15-13*ORÇAMENTO!$AF$11)),
         0)</f>
        <v>1871.29</v>
      </c>
      <c r="BN108" s="352" t="n">
        <f aca="true">IF(AND($D108="Serviço",BN$12&lt;&gt;0,$H108&gt;0,OR(AUTOEVENTO&lt;&gt;"manual",$M108&lt;&gt;$A$15)),
        IF(Import.TipoArredondamento&lt;&gt;"TransfereGOV",
              ROUND(OFFSET($P108,0,BN$13),15-13*ORÇAMENTO!$AF$7)/$H108*OFFSET(ORÇAMENTO!$X$15,ROW(BN108)-ROW(BN$15),0),
              ROUND(ROUND(OFFSET($P108,0,BN$13),15-13*ORÇAMENTO!$AF$7)*OFFSET(ORÇAMENTO!$W$15,ROW(BN108)-ROW(BN$15),0),15-13*ORÇAMENTO!$AF$11)),
         0)</f>
        <v>1871.29</v>
      </c>
      <c r="BO108" s="352" t="n">
        <f aca="true">IF(AND($D108="Serviço",BO$12&lt;&gt;0,$H108&gt;0,OR(AUTOEVENTO&lt;&gt;"manual",$M108&lt;&gt;$A$15)),
        IF(Import.TipoArredondamento&lt;&gt;"TransfereGOV",
              ROUND(OFFSET($P108,0,BO$13),15-13*ORÇAMENTO!$AF$7)/$H108*OFFSET(ORÇAMENTO!$X$15,ROW(BO108)-ROW(BO$15),0),
              ROUND(ROUND(OFFSET($P108,0,BO$13),15-13*ORÇAMENTO!$AF$7)*OFFSET(ORÇAMENTO!$W$15,ROW(BO108)-ROW(BO$15),0),15-13*ORÇAMENTO!$AF$11)),
         0)</f>
        <v>1871.29</v>
      </c>
      <c r="BP108" s="352" t="n">
        <f aca="true">IF(AND($D108="Serviço",BP$12&lt;&gt;0,$H108&gt;0,OR(AUTOEVENTO&lt;&gt;"manual",$M108&lt;&gt;$A$15)),
        IF(Import.TipoArredondamento&lt;&gt;"TransfereGOV",
              ROUND(OFFSET($P108,0,BP$13),15-13*ORÇAMENTO!$AF$7)/$H108*OFFSET(ORÇAMENTO!$X$15,ROW(BP108)-ROW(BP$15),0),
              ROUND(ROUND(OFFSET($P108,0,BP$13),15-13*ORÇAMENTO!$AF$7)*OFFSET(ORÇAMENTO!$W$15,ROW(BP108)-ROW(BP$15),0),15-13*ORÇAMENTO!$AF$11)),
         0)</f>
        <v>1871.29</v>
      </c>
      <c r="BQ108" s="352" t="n">
        <f aca="true">IF(AND($D108="Serviço",BQ$12&lt;&gt;0,$H108&gt;0,OR(AUTOEVENTO&lt;&gt;"manual",$M108&lt;&gt;$A$15)),
        IF(Import.TipoArredondamento&lt;&gt;"TransfereGOV",
              ROUND(OFFSET($P108,0,BQ$13),15-13*ORÇAMENTO!$AF$7)/$H108*OFFSET(ORÇAMENTO!$X$15,ROW(BQ108)-ROW(BQ$15),0),
              ROUND(ROUND(OFFSET($P108,0,BQ$13),15-13*ORÇAMENTO!$AF$7)*OFFSET(ORÇAMENTO!$W$15,ROW(BQ108)-ROW(BQ$15),0),15-13*ORÇAMENTO!$AF$11)),
         0)</f>
        <v>0</v>
      </c>
      <c r="BS108" s="353" t="n">
        <f aca="true">IF(OR($D108&lt;&gt;"Serviço",AND(AUTOEVENTO="Manual",$M108=$A$15)),0,
         IF(OFFSET(CRONOPLE!$F$15,$M108-$A$15,BS$13)=0,10^12,OFFSET(CRONOPLE!$F$15,$M108-$A$15,BS$13)))</f>
        <v>1</v>
      </c>
      <c r="BT108" s="353" t="n">
        <f aca="true">IF(OR($D108&lt;&gt;"Serviço",AND(AUTOEVENTO="Manual",$M108=$A$15)),0,
         IF(OFFSET(CRONOPLE!$F$15,$M108-$A$15,BT$13)=0,10^12,OFFSET(CRONOPLE!$F$15,$M108-$A$15,BT$13)))</f>
        <v>2</v>
      </c>
      <c r="BU108" s="353" t="n">
        <f aca="true">IF(OR($D108&lt;&gt;"Serviço",AND(AUTOEVENTO="Manual",$M108=$A$15)),0,
         IF(OFFSET(CRONOPLE!$F$15,$M108-$A$15,BU$13)=0,10^12,OFFSET(CRONOPLE!$F$15,$M108-$A$15,BU$13)))</f>
        <v>3</v>
      </c>
      <c r="BV108" s="353" t="n">
        <f aca="true">IF(OR($D108&lt;&gt;"Serviço",AND(AUTOEVENTO="Manual",$M108=$A$15)),0,
         IF(OFFSET(CRONOPLE!$F$15,$M108-$A$15,BV$13)=0,10^12,OFFSET(CRONOPLE!$F$15,$M108-$A$15,BV$13)))</f>
        <v>4</v>
      </c>
      <c r="BW108" s="353" t="n">
        <f aca="true">IF(OR($D108&lt;&gt;"Serviço",AND(AUTOEVENTO="Manual",$M108=$A$15)),0,
         IF(OFFSET(CRONOPLE!$F$15,$M108-$A$15,BW$13)=0,10^12,OFFSET(CRONOPLE!$F$15,$M108-$A$15,BW$13)))</f>
        <v>5</v>
      </c>
      <c r="BX108" s="353" t="n">
        <f aca="true">IF(OR($D108&lt;&gt;"Serviço",AND(AUTOEVENTO="Manual",$M108=$A$15)),0,
         IF(OFFSET(CRONOPLE!$F$15,$M108-$A$15,BX$13)=0,10^12,OFFSET(CRONOPLE!$F$15,$M108-$A$15,BX$13)))</f>
        <v>6</v>
      </c>
      <c r="BY108" s="353" t="n">
        <f aca="true">IF(OR($D108&lt;&gt;"Serviço",AND(AUTOEVENTO="Manual",$M108=$A$15)),0,
         IF(OFFSET(CRONOPLE!$F$15,$M108-$A$15,BY$13)=0,10^12,OFFSET(CRONOPLE!$F$15,$M108-$A$15,BY$13)))</f>
        <v>7</v>
      </c>
      <c r="BZ108" s="353" t="n">
        <f aca="true">IF(OR($D108&lt;&gt;"Serviço",AND(AUTOEVENTO="Manual",$M108=$A$15)),0,
         IF(OFFSET(CRONOPLE!$F$15,$M108-$A$15,BZ$13)=0,10^12,OFFSET(CRONOPLE!$F$15,$M108-$A$15,BZ$13)))</f>
        <v>8</v>
      </c>
      <c r="CA108" s="353" t="n">
        <f aca="true">IF(OR($D108&lt;&gt;"Serviço",AND(AUTOEVENTO="Manual",$M108=$A$15)),0,
         IF(OFFSET(CRONOPLE!$F$15,$M108-$A$15,CA$13)=0,10^12,OFFSET(CRONOPLE!$F$15,$M108-$A$15,CA$13)))</f>
        <v>9</v>
      </c>
      <c r="CB108" s="353" t="n">
        <f aca="true">IF(OR($D108&lt;&gt;"Serviço",AND(AUTOEVENTO="Manual",$M108=$A$15)),0,
         IF(OFFSET(CRONOPLE!$F$15,$M108-$A$15,CB$13)=0,10^12,OFFSET(CRONOPLE!$F$15,$M108-$A$15,CB$13)))</f>
        <v>10</v>
      </c>
      <c r="CC108" s="353" t="n">
        <f aca="true">IF(OR($D108&lt;&gt;"Serviço",AND(AUTOEVENTO="Manual",$M108=$A$15)),0,
         IF(OFFSET(CRONOPLE!$F$15,$M108-$A$15,CC$13)=0,10^12,OFFSET(CRONOPLE!$F$15,$M108-$A$15,CC$13)))</f>
        <v>11</v>
      </c>
      <c r="CD108" s="353" t="n">
        <f aca="true">IF(OR($D108&lt;&gt;"Serviço",AND(AUTOEVENTO="Manual",$M108=$A$15)),0,
         IF(OFFSET(CRONOPLE!$F$15,$M108-$A$15,CD$13)=0,10^12,OFFSET(CRONOPLE!$F$15,$M108-$A$15,CD$13)))</f>
        <v>12</v>
      </c>
      <c r="CE108" s="353" t="n">
        <f aca="true">IF(OR($D108&lt;&gt;"Serviço",AND(AUTOEVENTO="Manual",$M108=$A$15)),0,
         IF(OFFSET(CRONOPLE!$F$15,$M108-$A$15,CE$13)=0,10^12,OFFSET(CRONOPLE!$F$15,$M108-$A$15,CE$13)))</f>
        <v>13</v>
      </c>
      <c r="CF108" s="353" t="n">
        <f aca="true">IF(OR($D108&lt;&gt;"Serviço",AND(AUTOEVENTO="Manual",$M108=$A$15)),0,
         IF(OFFSET(CRONOPLE!$F$15,$M108-$A$15,CF$13)=0,10^12,OFFSET(CRONOPLE!$F$15,$M108-$A$15,CF$13)))</f>
        <v>14</v>
      </c>
      <c r="CG108" s="353" t="n">
        <f aca="true">IF(OR($D108&lt;&gt;"Serviço",AND(AUTOEVENTO="Manual",$M108=$A$15)),0,
         IF(OFFSET(CRONOPLE!$F$15,$M108-$A$15,CG$13)=0,10^12,OFFSET(CRONOPLE!$F$15,$M108-$A$15,CG$13)))</f>
        <v>15</v>
      </c>
      <c r="CH108" s="353" t="n">
        <f aca="true">IF(OR($D108&lt;&gt;"Serviço",AND(AUTOEVENTO="Manual",$M108=$A$15)),0,
         IF(OFFSET(CRONOPLE!$F$15,$M108-$A$15,CH$13)=0,10^12,OFFSET(CRONOPLE!$F$15,$M108-$A$15,CH$13)))</f>
        <v>16</v>
      </c>
      <c r="CI108" s="353" t="n">
        <f aca="true">IF(OR($D108&lt;&gt;"Serviço",AND(AUTOEVENTO="Manual",$M108=$A$15)),0,
         IF(OFFSET(CRONOPLE!$F$15,$M108-$A$15,CI$13)=0,10^12,OFFSET(CRONOPLE!$F$15,$M108-$A$15,CI$13)))</f>
        <v>17</v>
      </c>
      <c r="CJ108" s="353" t="n">
        <f aca="true">IF(OR($D108&lt;&gt;"Serviço",AND(AUTOEVENTO="Manual",$M108=$A$15)),0,
         IF(OFFSET(CRONOPLE!$F$15,$M108-$A$15,CJ$13)=0,10^12,OFFSET(CRONOPLE!$F$15,$M108-$A$15,CJ$13)))</f>
        <v>18</v>
      </c>
      <c r="CK108" s="353" t="n">
        <f aca="true">IF(OR($D108&lt;&gt;"Serviço",AND(AUTOEVENTO="Manual",$M108=$A$15)),0,
         IF(OFFSET(CRONOPLE!$F$15,$M108-$A$15,CK$13)=0,10^12,OFFSET(CRONOPLE!$F$15,$M108-$A$15,CK$13)))</f>
        <v>19</v>
      </c>
      <c r="CL108" s="353" t="n">
        <f aca="true">IF(OR($D108&lt;&gt;"Serviço",AND(AUTOEVENTO="Manual",$M108=$A$15)),0,
         IF(OFFSET(CRONOPLE!$F$15,$M108-$A$15,CL$13)=0,10^12,OFFSET(CRONOPLE!$F$15,$M108-$A$15,CL$13)))</f>
        <v>20</v>
      </c>
      <c r="CM108" s="353" t="n">
        <f aca="true">IF(OR($D108&lt;&gt;"Serviço",AND(AUTOEVENTO="Manual",$M108=$A$15)),0,
         IF(OFFSET(CRONOPLE!$F$15,$M108-$A$15,CM$13)=0,10^12,OFFSET(CRONOPLE!$F$15,$M108-$A$15,CM$13)))</f>
        <v>21</v>
      </c>
      <c r="CN108" s="353" t="n">
        <f aca="true">IF(OR($D108&lt;&gt;"Serviço",AND(AUTOEVENTO="Manual",$M108=$A$15)),0,
         IF(OFFSET(CRONOPLE!$F$15,$M108-$A$15,CN$13)=0,10^12,OFFSET(CRONOPLE!$F$15,$M108-$A$15,CN$13)))</f>
        <v>22</v>
      </c>
      <c r="CO108" s="353" t="n">
        <f aca="true">IF(OR($D108&lt;&gt;"Serviço",AND(AUTOEVENTO="Manual",$M108=$A$15)),0,
         IF(OFFSET(CRONOPLE!$F$15,$M108-$A$15,CO$13)=0,10^12,OFFSET(CRONOPLE!$F$15,$M108-$A$15,CO$13)))</f>
        <v>23</v>
      </c>
      <c r="CP108" s="353" t="n">
        <f aca="true">IF(OR($D108&lt;&gt;"Serviço",AND(AUTOEVENTO="Manual",$M108=$A$15)),0,
         IF(OFFSET(CRONOPLE!$F$15,$M108-$A$15,CP$13)=0,10^12,OFFSET(CRONOPLE!$F$15,$M108-$A$15,CP$13)))</f>
        <v>24</v>
      </c>
      <c r="CQ108" s="353" t="n">
        <f aca="true">IF(OR($D108&lt;&gt;"Serviço",AND(AUTOEVENTO="Manual",$M108=$A$15)),0,
         IF(OFFSET(CRONOPLE!$F$15,$M108-$A$15,CQ$13)=0,10^12,OFFSET(CRONOPLE!$F$15,$M108-$A$15,CQ$13)))</f>
        <v>25</v>
      </c>
      <c r="CR108" s="353" t="n">
        <f aca="true">IF(OR($D108&lt;&gt;"Serviço",AND(AUTOEVENTO="Manual",$M108=$A$15)),0,
         IF(OFFSET(CRONOPLE!$F$15,$M108-$A$15,CR$13)=0,10^12,OFFSET(CRONOPLE!$F$15,$M108-$A$15,CR$13)))</f>
        <v>1000000000000</v>
      </c>
      <c r="CT108" s="354" t="n">
        <f aca="true">IF(OR($D108&lt;&gt;"Serviço",AND(AUTOEVENTO="Manual",$M108=$A$15),$M108&gt;(ROW(PLE.lastrow)-ROW(PLE.firstrow))),0,
           IF(OFFSET(PLE!$G$15,$M108-$A$15,CT$13)="",10^12,OFFSET(PLE!$G$15,$M108-$A$15,CT$13)))</f>
        <v>1000000000000</v>
      </c>
      <c r="CU108" s="354" t="n">
        <f aca="true">IF(OR($D108&lt;&gt;"Serviço",AND(AUTOEVENTO="Manual",$M108=$A$15),$M108&gt;(ROW(PLE.lastrow)-ROW(PLE.firstrow))),0,
           IF(OFFSET(PLE!$G$15,$M108-$A$15,CU$13)="",10^12,OFFSET(PLE!$G$15,$M108-$A$15,CU$13)))</f>
        <v>1000000000000</v>
      </c>
      <c r="CV108" s="354" t="n">
        <f aca="true">IF(OR($D108&lt;&gt;"Serviço",AND(AUTOEVENTO="Manual",$M108=$A$15),$M108&gt;(ROW(PLE.lastrow)-ROW(PLE.firstrow))),0,
           IF(OFFSET(PLE!$G$15,$M108-$A$15,CV$13)="",10^12,OFFSET(PLE!$G$15,$M108-$A$15,CV$13)))</f>
        <v>1000000000000</v>
      </c>
      <c r="CW108" s="354" t="n">
        <f aca="true">IF(OR($D108&lt;&gt;"Serviço",AND(AUTOEVENTO="Manual",$M108=$A$15),$M108&gt;(ROW(PLE.lastrow)-ROW(PLE.firstrow))),0,
           IF(OFFSET(PLE!$G$15,$M108-$A$15,CW$13)="",10^12,OFFSET(PLE!$G$15,$M108-$A$15,CW$13)))</f>
        <v>1000000000000</v>
      </c>
      <c r="CX108" s="354" t="n">
        <f aca="true">IF(OR($D108&lt;&gt;"Serviço",AND(AUTOEVENTO="Manual",$M108=$A$15),$M108&gt;(ROW(PLE.lastrow)-ROW(PLE.firstrow))),0,
           IF(OFFSET(PLE!$G$15,$M108-$A$15,CX$13)="",10^12,OFFSET(PLE!$G$15,$M108-$A$15,CX$13)))</f>
        <v>1000000000000</v>
      </c>
      <c r="CY108" s="354" t="n">
        <f aca="true">IF(OR($D108&lt;&gt;"Serviço",AND(AUTOEVENTO="Manual",$M108=$A$15),$M108&gt;(ROW(PLE.lastrow)-ROW(PLE.firstrow))),0,
           IF(OFFSET(PLE!$G$15,$M108-$A$15,CY$13)="",10^12,OFFSET(PLE!$G$15,$M108-$A$15,CY$13)))</f>
        <v>1000000000000</v>
      </c>
      <c r="CZ108" s="354" t="n">
        <f aca="true">IF(OR($D108&lt;&gt;"Serviço",AND(AUTOEVENTO="Manual",$M108=$A$15),$M108&gt;(ROW(PLE.lastrow)-ROW(PLE.firstrow))),0,
           IF(OFFSET(PLE!$G$15,$M108-$A$15,CZ$13)="",10^12,OFFSET(PLE!$G$15,$M108-$A$15,CZ$13)))</f>
        <v>1000000000000</v>
      </c>
      <c r="DA108" s="354" t="n">
        <f aca="true">IF(OR($D108&lt;&gt;"Serviço",AND(AUTOEVENTO="Manual",$M108=$A$15),$M108&gt;(ROW(PLE.lastrow)-ROW(PLE.firstrow))),0,
           IF(OFFSET(PLE!$G$15,$M108-$A$15,DA$13)="",10^12,OFFSET(PLE!$G$15,$M108-$A$15,DA$13)))</f>
        <v>1000000000000</v>
      </c>
      <c r="DB108" s="354" t="n">
        <f aca="true">IF(OR($D108&lt;&gt;"Serviço",AND(AUTOEVENTO="Manual",$M108=$A$15),$M108&gt;(ROW(PLE.lastrow)-ROW(PLE.firstrow))),0,
           IF(OFFSET(PLE!$G$15,$M108-$A$15,DB$13)="",10^12,OFFSET(PLE!$G$15,$M108-$A$15,DB$13)))</f>
        <v>1000000000000</v>
      </c>
      <c r="DC108" s="354" t="n">
        <f aca="true">IF(OR($D108&lt;&gt;"Serviço",AND(AUTOEVENTO="Manual",$M108=$A$15),$M108&gt;(ROW(PLE.lastrow)-ROW(PLE.firstrow))),0,
           IF(OFFSET(PLE!$G$15,$M108-$A$15,DC$13)="",10^12,OFFSET(PLE!$G$15,$M108-$A$15,DC$13)))</f>
        <v>1000000000000</v>
      </c>
      <c r="DD108" s="354" t="n">
        <f aca="true">IF(OR($D108&lt;&gt;"Serviço",AND(AUTOEVENTO="Manual",$M108=$A$15),$M108&gt;(ROW(PLE.lastrow)-ROW(PLE.firstrow))),0,
           IF(OFFSET(PLE!$G$15,$M108-$A$15,DD$13)="",10^12,OFFSET(PLE!$G$15,$M108-$A$15,DD$13)))</f>
        <v>1000000000000</v>
      </c>
      <c r="DE108" s="354" t="n">
        <f aca="true">IF(OR($D108&lt;&gt;"Serviço",AND(AUTOEVENTO="Manual",$M108=$A$15),$M108&gt;(ROW(PLE.lastrow)-ROW(PLE.firstrow))),0,
           IF(OFFSET(PLE!$G$15,$M108-$A$15,DE$13)="",10^12,OFFSET(PLE!$G$15,$M108-$A$15,DE$13)))</f>
        <v>1000000000000</v>
      </c>
      <c r="DF108" s="354" t="n">
        <f aca="true">IF(OR($D108&lt;&gt;"Serviço",AND(AUTOEVENTO="Manual",$M108=$A$15),$M108&gt;(ROW(PLE.lastrow)-ROW(PLE.firstrow))),0,
           IF(OFFSET(PLE!$G$15,$M108-$A$15,DF$13)="",10^12,OFFSET(PLE!$G$15,$M108-$A$15,DF$13)))</f>
        <v>1000000000000</v>
      </c>
      <c r="DG108" s="354" t="n">
        <f aca="true">IF(OR($D108&lt;&gt;"Serviço",AND(AUTOEVENTO="Manual",$M108=$A$15),$M108&gt;(ROW(PLE.lastrow)-ROW(PLE.firstrow))),0,
           IF(OFFSET(PLE!$G$15,$M108-$A$15,DG$13)="",10^12,OFFSET(PLE!$G$15,$M108-$A$15,DG$13)))</f>
        <v>1000000000000</v>
      </c>
      <c r="DH108" s="354" t="n">
        <f aca="true">IF(OR($D108&lt;&gt;"Serviço",AND(AUTOEVENTO="Manual",$M108=$A$15),$M108&gt;(ROW(PLE.lastrow)-ROW(PLE.firstrow))),0,
           IF(OFFSET(PLE!$G$15,$M108-$A$15,DH$13)="",10^12,OFFSET(PLE!$G$15,$M108-$A$15,DH$13)))</f>
        <v>1000000000000</v>
      </c>
      <c r="DI108" s="354" t="n">
        <f aca="true">IF(OR($D108&lt;&gt;"Serviço",AND(AUTOEVENTO="Manual",$M108=$A$15),$M108&gt;(ROW(PLE.lastrow)-ROW(PLE.firstrow))),0,
           IF(OFFSET(PLE!$G$15,$M108-$A$15,DI$13)="",10^12,OFFSET(PLE!$G$15,$M108-$A$15,DI$13)))</f>
        <v>1000000000000</v>
      </c>
      <c r="DJ108" s="354" t="n">
        <f aca="true">IF(OR($D108&lt;&gt;"Serviço",AND(AUTOEVENTO="Manual",$M108=$A$15),$M108&gt;(ROW(PLE.lastrow)-ROW(PLE.firstrow))),0,
           IF(OFFSET(PLE!$G$15,$M108-$A$15,DJ$13)="",10^12,OFFSET(PLE!$G$15,$M108-$A$15,DJ$13)))</f>
        <v>1000000000000</v>
      </c>
      <c r="DK108" s="354" t="n">
        <f aca="true">IF(OR($D108&lt;&gt;"Serviço",AND(AUTOEVENTO="Manual",$M108=$A$15),$M108&gt;(ROW(PLE.lastrow)-ROW(PLE.firstrow))),0,
           IF(OFFSET(PLE!$G$15,$M108-$A$15,DK$13)="",10^12,OFFSET(PLE!$G$15,$M108-$A$15,DK$13)))</f>
        <v>1000000000000</v>
      </c>
      <c r="DL108" s="354" t="n">
        <f aca="true">IF(OR($D108&lt;&gt;"Serviço",AND(AUTOEVENTO="Manual",$M108=$A$15),$M108&gt;(ROW(PLE.lastrow)-ROW(PLE.firstrow))),0,
           IF(OFFSET(PLE!$G$15,$M108-$A$15,DL$13)="",10^12,OFFSET(PLE!$G$15,$M108-$A$15,DL$13)))</f>
        <v>1000000000000</v>
      </c>
      <c r="DM108" s="354" t="n">
        <f aca="true">IF(OR($D108&lt;&gt;"Serviço",AND(AUTOEVENTO="Manual",$M108=$A$15),$M108&gt;(ROW(PLE.lastrow)-ROW(PLE.firstrow))),0,
           IF(OFFSET(PLE!$G$15,$M108-$A$15,DM$13)="",10^12,OFFSET(PLE!$G$15,$M108-$A$15,DM$13)))</f>
        <v>1000000000000</v>
      </c>
      <c r="DN108" s="354" t="n">
        <f aca="true">IF(OR($D108&lt;&gt;"Serviço",AND(AUTOEVENTO="Manual",$M108=$A$15),$M108&gt;(ROW(PLE.lastrow)-ROW(PLE.firstrow))),0,
           IF(OFFSET(PLE!$G$15,$M108-$A$15,DN$13)="",10^12,OFFSET(PLE!$G$15,$M108-$A$15,DN$13)))</f>
        <v>1000000000000</v>
      </c>
      <c r="DO108" s="354" t="n">
        <f aca="true">IF(OR($D108&lt;&gt;"Serviço",AND(AUTOEVENTO="Manual",$M108=$A$15),$M108&gt;(ROW(PLE.lastrow)-ROW(PLE.firstrow))),0,
           IF(OFFSET(PLE!$G$15,$M108-$A$15,DO$13)="",10^12,OFFSET(PLE!$G$15,$M108-$A$15,DO$13)))</f>
        <v>1000000000000</v>
      </c>
      <c r="DP108" s="354" t="n">
        <f aca="true">IF(OR($D108&lt;&gt;"Serviço",AND(AUTOEVENTO="Manual",$M108=$A$15),$M108&gt;(ROW(PLE.lastrow)-ROW(PLE.firstrow))),0,
           IF(OFFSET(PLE!$G$15,$M108-$A$15,DP$13)="",10^12,OFFSET(PLE!$G$15,$M108-$A$15,DP$13)))</f>
        <v>1000000000000</v>
      </c>
      <c r="DQ108" s="354" t="n">
        <f aca="true">IF(OR($D108&lt;&gt;"Serviço",AND(AUTOEVENTO="Manual",$M108=$A$15),$M108&gt;(ROW(PLE.lastrow)-ROW(PLE.firstrow))),0,
           IF(OFFSET(PLE!$G$15,$M108-$A$15,DQ$13)="",10^12,OFFSET(PLE!$G$15,$M108-$A$15,DQ$13)))</f>
        <v>1000000000000</v>
      </c>
      <c r="DR108" s="354" t="n">
        <f aca="true">IF(OR($D108&lt;&gt;"Serviço",AND(AUTOEVENTO="Manual",$M108=$A$15),$M108&gt;(ROW(PLE.lastrow)-ROW(PLE.firstrow))),0,
           IF(OFFSET(PLE!$G$15,$M108-$A$15,DR$13)="",10^12,OFFSET(PLE!$G$15,$M108-$A$15,DR$13)))</f>
        <v>1000000000000</v>
      </c>
      <c r="DS108" s="354" t="n">
        <f aca="true">IF(OR($D108&lt;&gt;"Serviço",AND(AUTOEVENTO="Manual",$M108=$A$15),$M108&gt;(ROW(PLE.lastrow)-ROW(PLE.firstrow))),0,
           IF(OFFSET(PLE!$G$15,$M108-$A$15,DS$13)="",10^12,OFFSET(PLE!$G$15,$M108-$A$15,DS$13)))</f>
        <v>1000000000000</v>
      </c>
    </row>
    <row r="109" customFormat="false" ht="46.25" hidden="false" customHeight="false" outlineLevel="0" collapsed="false">
      <c r="A109" s="50" t="str">
        <f aca="true">IFERROR(IF(AUTOEVENTO="Manual",IF(K109&lt;&gt;"",MIN(VALUE(LEFT(K109,FIND(".",K109)-1)),COUNTA(EVENTOS.Lista)),0),IF(OR($B109&gt;AUTOEVENTO,$B109="S",$B109=0),SUBSTITUTE(OFFSET($A109,-1,0),IF($D109="Serviço",".",""),""),ROW(A109)-ROW($A$15)&amp;".")),0)</f>
        <v>89</v>
      </c>
      <c r="B109" s="50" t="str">
        <f aca="true">OFFSET(ORÇAMENTO!C$15,ROW(B109)-ROW(B$15),0)</f>
        <v>S</v>
      </c>
      <c r="C109" s="50" t="str">
        <f aca="true">OFFSET(ORÇAMENTO!L$15,ROW(C109)-ROW(C$15),0)</f>
        <v>F</v>
      </c>
      <c r="D109" s="201" t="str">
        <f aca="true">OFFSET(ORÇAMENTO!N$15,ROW(D109)-ROW(D$15),0)</f>
        <v>Serviço</v>
      </c>
      <c r="E109" s="202" t="str">
        <f aca="true">OFFSET(ORÇAMENTO!O$15,ROW(E109)-ROW(E$15),0)</f>
        <v>1.29.5.</v>
      </c>
      <c r="F109" s="341" t="str">
        <f aca="true">OFFSET(ORÇAMENTO!R$15,ROW(F109)-ROW(F$15),0)</f>
        <v>REVESTIMENTO CERÂMICO PARA PISO COM PLACAS TIPO ESMALTADA DE DIMENSÕES 60X60 CM APLICADA EM AMBIENTES DE ÁREA MAIOR QUE 10 M2. AF_02/2023_PE.</v>
      </c>
      <c r="G109" s="342" t="str">
        <f aca="true">IF($D109&lt;&gt;"Serviço","",OFFSET(ORÇAMENTO!S$15,ROW(G109)-ROW(G$15),0))</f>
        <v>M2</v>
      </c>
      <c r="H109" s="207" t="n">
        <f aca="true">IF($D109&lt;&gt;"Serviço",0,IF(ACOMPANHAMENTO="BM",ROUND(OFFSET(ORÇAMENTO!AJ$15,ROW(H109)-ROW(H$15),0),15-13*ORÇAMENTO!$AF$7),SUMPRODUCT(($Q$1:$AQ$1=1)*ROUND($Q109:$AQ109,15-13*ORÇAMENTO!$AF$7))))</f>
        <v>1187.25</v>
      </c>
      <c r="I109" s="343" t="s">
        <v>962</v>
      </c>
      <c r="J109" s="344" t="e">
        <f aca="false">IF(OR(B109&lt;&gt;"S",CÁLCULO.FrentesPreenchidas=0),"",IF(AND(ACOMPANHAMENTO="PLE",AUTOEVENTO="Manual",OR(H109&gt;0,ORÇAMENTO!AC109="QUANT."),OR(K109="",M109=0,N109="")),"►",IF(AND(ACOMPANHAMENTO="PLE",ORÇAMENTO!AC109="QUANT."),"►►",IF(AND(COUNTIF($P$11:$AQ$11,"▼")=0,H109&gt;0,I109=""),"◄",""))))</f>
        <v>#NAME?</v>
      </c>
      <c r="K109" s="345"/>
      <c r="L109" s="346" t="s">
        <v>876</v>
      </c>
      <c r="M109" s="347" t="n">
        <f aca="true">IF($D109&lt;&gt;"Serviço","",
          IF(AUTOEVENTO="manual",$A109,
                IF(ISERROR(MATCH($A109,$A$15:OFFSET($A109,-1,0),0)),MAX($M$15:OFFSET(M109,-1,0))+1,
                      INDEX($M$15:OFFSET(M109,-1,0),MATCH($A109,$A$15:OFFSET($A109,-1,0),0)))))</f>
        <v>18</v>
      </c>
      <c r="N109" s="348" t="str">
        <f aca="true">IF($D109&lt;&gt;"Serviço","",
         IF(AUTOEVENTO="Manual",
                IF($A109=0,"&lt;-- defina o número do agrupador",
                       OFFSET(EVENTOS!$D$15,$A109-$A$15,0)),
                OFFSET($F$15,$A109,0)))</f>
        <v>CERÂMICA</v>
      </c>
      <c r="O109" s="349"/>
      <c r="Q109" s="349" t="n">
        <f aca="false">Q106</f>
        <v>47.49</v>
      </c>
      <c r="R109" s="350" t="n">
        <f aca="false">Q109</f>
        <v>47.49</v>
      </c>
      <c r="S109" s="350" t="n">
        <f aca="false">R109</f>
        <v>47.49</v>
      </c>
      <c r="T109" s="350" t="n">
        <f aca="false">S109</f>
        <v>47.49</v>
      </c>
      <c r="U109" s="350" t="n">
        <f aca="false">T109</f>
        <v>47.49</v>
      </c>
      <c r="V109" s="350" t="n">
        <f aca="false">U109</f>
        <v>47.49</v>
      </c>
      <c r="W109" s="350" t="n">
        <f aca="false">V109</f>
        <v>47.49</v>
      </c>
      <c r="X109" s="350" t="n">
        <f aca="false">W109</f>
        <v>47.49</v>
      </c>
      <c r="Y109" s="350" t="n">
        <f aca="false">X109</f>
        <v>47.49</v>
      </c>
      <c r="Z109" s="351" t="n">
        <f aca="false">Y109</f>
        <v>47.49</v>
      </c>
      <c r="AA109" s="350" t="n">
        <f aca="false">Z109</f>
        <v>47.49</v>
      </c>
      <c r="AB109" s="350" t="n">
        <f aca="false">AA109</f>
        <v>47.49</v>
      </c>
      <c r="AC109" s="350" t="n">
        <f aca="false">AB109</f>
        <v>47.49</v>
      </c>
      <c r="AD109" s="350" t="n">
        <f aca="false">AC109</f>
        <v>47.49</v>
      </c>
      <c r="AE109" s="350" t="n">
        <f aca="false">AD109</f>
        <v>47.49</v>
      </c>
      <c r="AF109" s="350" t="n">
        <f aca="false">AE109</f>
        <v>47.49</v>
      </c>
      <c r="AG109" s="350" t="n">
        <f aca="false">AF109</f>
        <v>47.49</v>
      </c>
      <c r="AH109" s="351" t="n">
        <f aca="false">AG109</f>
        <v>47.49</v>
      </c>
      <c r="AI109" s="350" t="n">
        <f aca="false">AH109</f>
        <v>47.49</v>
      </c>
      <c r="AJ109" s="350" t="n">
        <f aca="false">AI109</f>
        <v>47.49</v>
      </c>
      <c r="AK109" s="350" t="n">
        <f aca="false">AJ109</f>
        <v>47.49</v>
      </c>
      <c r="AL109" s="350" t="n">
        <f aca="false">AK109</f>
        <v>47.49</v>
      </c>
      <c r="AM109" s="350" t="n">
        <f aca="false">AL109</f>
        <v>47.49</v>
      </c>
      <c r="AN109" s="350" t="n">
        <f aca="false">AM109</f>
        <v>47.49</v>
      </c>
      <c r="AO109" s="350" t="n">
        <f aca="false">AN109</f>
        <v>47.49</v>
      </c>
      <c r="AP109" s="351"/>
      <c r="AR109" s="352" t="n">
        <f aca="true">IF(AND($D109="Serviço",AR$12&lt;&gt;0,$H109&gt;0,OR(AUTOEVENTO&lt;&gt;"manual",$M109&lt;&gt;$A$15)),
        IF(Import.TipoArredondamento&lt;&gt;"TransfereGOV",
              ROUND(OFFSET($P109,0,AR$13),15-13*ORÇAMENTO!$AF$7)/$H109*OFFSET(ORÇAMENTO!$X$15,ROW(AR109)-ROW(AR$15),0),
              ROUND(ROUND(OFFSET($P109,0,AR$13),15-13*ORÇAMENTO!$AF$7)*OFFSET(ORÇAMENTO!$W$15,ROW(AR109)-ROW(AR$15),0),15-13*ORÇAMENTO!$AF$11)),
         0)</f>
        <v>3725.12</v>
      </c>
      <c r="AS109" s="352" t="n">
        <f aca="true">IF(AND($D109="Serviço",AS$12&lt;&gt;0,$H109&gt;0,OR(AUTOEVENTO&lt;&gt;"manual",$M109&lt;&gt;$A$15)),
        IF(Import.TipoArredondamento&lt;&gt;"TransfereGOV",
              ROUND(OFFSET($P109,0,AS$13),15-13*ORÇAMENTO!$AF$7)/$H109*OFFSET(ORÇAMENTO!$X$15,ROW(AS109)-ROW(AS$15),0),
              ROUND(ROUND(OFFSET($P109,0,AS$13),15-13*ORÇAMENTO!$AF$7)*OFFSET(ORÇAMENTO!$W$15,ROW(AS109)-ROW(AS$15),0),15-13*ORÇAMENTO!$AF$11)),
         0)</f>
        <v>3725.12</v>
      </c>
      <c r="AT109" s="352" t="n">
        <f aca="true">IF(AND($D109="Serviço",AT$12&lt;&gt;0,$H109&gt;0,OR(AUTOEVENTO&lt;&gt;"manual",$M109&lt;&gt;$A$15)),
        IF(Import.TipoArredondamento&lt;&gt;"TransfereGOV",
              ROUND(OFFSET($P109,0,AT$13),15-13*ORÇAMENTO!$AF$7)/$H109*OFFSET(ORÇAMENTO!$X$15,ROW(AT109)-ROW(AT$15),0),
              ROUND(ROUND(OFFSET($P109,0,AT$13),15-13*ORÇAMENTO!$AF$7)*OFFSET(ORÇAMENTO!$W$15,ROW(AT109)-ROW(AT$15),0),15-13*ORÇAMENTO!$AF$11)),
         0)</f>
        <v>3725.12</v>
      </c>
      <c r="AU109" s="352" t="n">
        <f aca="true">IF(AND($D109="Serviço",AU$12&lt;&gt;0,$H109&gt;0,OR(AUTOEVENTO&lt;&gt;"manual",$M109&lt;&gt;$A$15)),
        IF(Import.TipoArredondamento&lt;&gt;"TransfereGOV",
              ROUND(OFFSET($P109,0,AU$13),15-13*ORÇAMENTO!$AF$7)/$H109*OFFSET(ORÇAMENTO!$X$15,ROW(AU109)-ROW(AU$15),0),
              ROUND(ROUND(OFFSET($P109,0,AU$13),15-13*ORÇAMENTO!$AF$7)*OFFSET(ORÇAMENTO!$W$15,ROW(AU109)-ROW(AU$15),0),15-13*ORÇAMENTO!$AF$11)),
         0)</f>
        <v>3725.12</v>
      </c>
      <c r="AV109" s="352" t="n">
        <f aca="true">IF(AND($D109="Serviço",AV$12&lt;&gt;0,$H109&gt;0,OR(AUTOEVENTO&lt;&gt;"manual",$M109&lt;&gt;$A$15)),
        IF(Import.TipoArredondamento&lt;&gt;"TransfereGOV",
              ROUND(OFFSET($P109,0,AV$13),15-13*ORÇAMENTO!$AF$7)/$H109*OFFSET(ORÇAMENTO!$X$15,ROW(AV109)-ROW(AV$15),0),
              ROUND(ROUND(OFFSET($P109,0,AV$13),15-13*ORÇAMENTO!$AF$7)*OFFSET(ORÇAMENTO!$W$15,ROW(AV109)-ROW(AV$15),0),15-13*ORÇAMENTO!$AF$11)),
         0)</f>
        <v>3725.12</v>
      </c>
      <c r="AW109" s="352" t="n">
        <f aca="true">IF(AND($D109="Serviço",AW$12&lt;&gt;0,$H109&gt;0,OR(AUTOEVENTO&lt;&gt;"manual",$M109&lt;&gt;$A$15)),
        IF(Import.TipoArredondamento&lt;&gt;"TransfereGOV",
              ROUND(OFFSET($P109,0,AW$13),15-13*ORÇAMENTO!$AF$7)/$H109*OFFSET(ORÇAMENTO!$X$15,ROW(AW109)-ROW(AW$15),0),
              ROUND(ROUND(OFFSET($P109,0,AW$13),15-13*ORÇAMENTO!$AF$7)*OFFSET(ORÇAMENTO!$W$15,ROW(AW109)-ROW(AW$15),0),15-13*ORÇAMENTO!$AF$11)),
         0)</f>
        <v>3725.12</v>
      </c>
      <c r="AX109" s="352" t="n">
        <f aca="true">IF(AND($D109="Serviço",AX$12&lt;&gt;0,$H109&gt;0,OR(AUTOEVENTO&lt;&gt;"manual",$M109&lt;&gt;$A$15)),
        IF(Import.TipoArredondamento&lt;&gt;"TransfereGOV",
              ROUND(OFFSET($P109,0,AX$13),15-13*ORÇAMENTO!$AF$7)/$H109*OFFSET(ORÇAMENTO!$X$15,ROW(AX109)-ROW(AX$15),0),
              ROUND(ROUND(OFFSET($P109,0,AX$13),15-13*ORÇAMENTO!$AF$7)*OFFSET(ORÇAMENTO!$W$15,ROW(AX109)-ROW(AX$15),0),15-13*ORÇAMENTO!$AF$11)),
         0)</f>
        <v>3725.12</v>
      </c>
      <c r="AY109" s="352" t="n">
        <f aca="true">IF(AND($D109="Serviço",AY$12&lt;&gt;0,$H109&gt;0,OR(AUTOEVENTO&lt;&gt;"manual",$M109&lt;&gt;$A$15)),
        IF(Import.TipoArredondamento&lt;&gt;"TransfereGOV",
              ROUND(OFFSET($P109,0,AY$13),15-13*ORÇAMENTO!$AF$7)/$H109*OFFSET(ORÇAMENTO!$X$15,ROW(AY109)-ROW(AY$15),0),
              ROUND(ROUND(OFFSET($P109,0,AY$13),15-13*ORÇAMENTO!$AF$7)*OFFSET(ORÇAMENTO!$W$15,ROW(AY109)-ROW(AY$15),0),15-13*ORÇAMENTO!$AF$11)),
         0)</f>
        <v>3725.12</v>
      </c>
      <c r="AZ109" s="352" t="n">
        <f aca="true">IF(AND($D109="Serviço",AZ$12&lt;&gt;0,$H109&gt;0,OR(AUTOEVENTO&lt;&gt;"manual",$M109&lt;&gt;$A$15)),
        IF(Import.TipoArredondamento&lt;&gt;"TransfereGOV",
              ROUND(OFFSET($P109,0,AZ$13),15-13*ORÇAMENTO!$AF$7)/$H109*OFFSET(ORÇAMENTO!$X$15,ROW(AZ109)-ROW(AZ$15),0),
              ROUND(ROUND(OFFSET($P109,0,AZ$13),15-13*ORÇAMENTO!$AF$7)*OFFSET(ORÇAMENTO!$W$15,ROW(AZ109)-ROW(AZ$15),0),15-13*ORÇAMENTO!$AF$11)),
         0)</f>
        <v>3725.12</v>
      </c>
      <c r="BA109" s="352" t="n">
        <f aca="true">IF(AND($D109="Serviço",BA$12&lt;&gt;0,$H109&gt;0,OR(AUTOEVENTO&lt;&gt;"manual",$M109&lt;&gt;$A$15)),
        IF(Import.TipoArredondamento&lt;&gt;"TransfereGOV",
              ROUND(OFFSET($P109,0,BA$13),15-13*ORÇAMENTO!$AF$7)/$H109*OFFSET(ORÇAMENTO!$X$15,ROW(BA109)-ROW(BA$15),0),
              ROUND(ROUND(OFFSET($P109,0,BA$13),15-13*ORÇAMENTO!$AF$7)*OFFSET(ORÇAMENTO!$W$15,ROW(BA109)-ROW(BA$15),0),15-13*ORÇAMENTO!$AF$11)),
         0)</f>
        <v>3725.12</v>
      </c>
      <c r="BB109" s="352" t="n">
        <f aca="true">IF(AND($D109="Serviço",BB$12&lt;&gt;0,$H109&gt;0,OR(AUTOEVENTO&lt;&gt;"manual",$M109&lt;&gt;$A$15)),
        IF(Import.TipoArredondamento&lt;&gt;"TransfereGOV",
              ROUND(OFFSET($P109,0,BB$13),15-13*ORÇAMENTO!$AF$7)/$H109*OFFSET(ORÇAMENTO!$X$15,ROW(BB109)-ROW(BB$15),0),
              ROUND(ROUND(OFFSET($P109,0,BB$13),15-13*ORÇAMENTO!$AF$7)*OFFSET(ORÇAMENTO!$W$15,ROW(BB109)-ROW(BB$15),0),15-13*ORÇAMENTO!$AF$11)),
         0)</f>
        <v>3725.12</v>
      </c>
      <c r="BC109" s="352" t="n">
        <f aca="true">IF(AND($D109="Serviço",BC$12&lt;&gt;0,$H109&gt;0,OR(AUTOEVENTO&lt;&gt;"manual",$M109&lt;&gt;$A$15)),
        IF(Import.TipoArredondamento&lt;&gt;"TransfereGOV",
              ROUND(OFFSET($P109,0,BC$13),15-13*ORÇAMENTO!$AF$7)/$H109*OFFSET(ORÇAMENTO!$X$15,ROW(BC109)-ROW(BC$15),0),
              ROUND(ROUND(OFFSET($P109,0,BC$13),15-13*ORÇAMENTO!$AF$7)*OFFSET(ORÇAMENTO!$W$15,ROW(BC109)-ROW(BC$15),0),15-13*ORÇAMENTO!$AF$11)),
         0)</f>
        <v>3725.12</v>
      </c>
      <c r="BD109" s="352" t="n">
        <f aca="true">IF(AND($D109="Serviço",BD$12&lt;&gt;0,$H109&gt;0,OR(AUTOEVENTO&lt;&gt;"manual",$M109&lt;&gt;$A$15)),
        IF(Import.TipoArredondamento&lt;&gt;"TransfereGOV",
              ROUND(OFFSET($P109,0,BD$13),15-13*ORÇAMENTO!$AF$7)/$H109*OFFSET(ORÇAMENTO!$X$15,ROW(BD109)-ROW(BD$15),0),
              ROUND(ROUND(OFFSET($P109,0,BD$13),15-13*ORÇAMENTO!$AF$7)*OFFSET(ORÇAMENTO!$W$15,ROW(BD109)-ROW(BD$15),0),15-13*ORÇAMENTO!$AF$11)),
         0)</f>
        <v>3725.12</v>
      </c>
      <c r="BE109" s="352" t="n">
        <f aca="true">IF(AND($D109="Serviço",BE$12&lt;&gt;0,$H109&gt;0,OR(AUTOEVENTO&lt;&gt;"manual",$M109&lt;&gt;$A$15)),
        IF(Import.TipoArredondamento&lt;&gt;"TransfereGOV",
              ROUND(OFFSET($P109,0,BE$13),15-13*ORÇAMENTO!$AF$7)/$H109*OFFSET(ORÇAMENTO!$X$15,ROW(BE109)-ROW(BE$15),0),
              ROUND(ROUND(OFFSET($P109,0,BE$13),15-13*ORÇAMENTO!$AF$7)*OFFSET(ORÇAMENTO!$W$15,ROW(BE109)-ROW(BE$15),0),15-13*ORÇAMENTO!$AF$11)),
         0)</f>
        <v>3725.12</v>
      </c>
      <c r="BF109" s="352" t="n">
        <f aca="true">IF(AND($D109="Serviço",BF$12&lt;&gt;0,$H109&gt;0,OR(AUTOEVENTO&lt;&gt;"manual",$M109&lt;&gt;$A$15)),
        IF(Import.TipoArredondamento&lt;&gt;"TransfereGOV",
              ROUND(OFFSET($P109,0,BF$13),15-13*ORÇAMENTO!$AF$7)/$H109*OFFSET(ORÇAMENTO!$X$15,ROW(BF109)-ROW(BF$15),0),
              ROUND(ROUND(OFFSET($P109,0,BF$13),15-13*ORÇAMENTO!$AF$7)*OFFSET(ORÇAMENTO!$W$15,ROW(BF109)-ROW(BF$15),0),15-13*ORÇAMENTO!$AF$11)),
         0)</f>
        <v>3725.12</v>
      </c>
      <c r="BG109" s="352" t="n">
        <f aca="true">IF(AND($D109="Serviço",BG$12&lt;&gt;0,$H109&gt;0,OR(AUTOEVENTO&lt;&gt;"manual",$M109&lt;&gt;$A$15)),
        IF(Import.TipoArredondamento&lt;&gt;"TransfereGOV",
              ROUND(OFFSET($P109,0,BG$13),15-13*ORÇAMENTO!$AF$7)/$H109*OFFSET(ORÇAMENTO!$X$15,ROW(BG109)-ROW(BG$15),0),
              ROUND(ROUND(OFFSET($P109,0,BG$13),15-13*ORÇAMENTO!$AF$7)*OFFSET(ORÇAMENTO!$W$15,ROW(BG109)-ROW(BG$15),0),15-13*ORÇAMENTO!$AF$11)),
         0)</f>
        <v>3725.12</v>
      </c>
      <c r="BH109" s="352" t="n">
        <f aca="true">IF(AND($D109="Serviço",BH$12&lt;&gt;0,$H109&gt;0,OR(AUTOEVENTO&lt;&gt;"manual",$M109&lt;&gt;$A$15)),
        IF(Import.TipoArredondamento&lt;&gt;"TransfereGOV",
              ROUND(OFFSET($P109,0,BH$13),15-13*ORÇAMENTO!$AF$7)/$H109*OFFSET(ORÇAMENTO!$X$15,ROW(BH109)-ROW(BH$15),0),
              ROUND(ROUND(OFFSET($P109,0,BH$13),15-13*ORÇAMENTO!$AF$7)*OFFSET(ORÇAMENTO!$W$15,ROW(BH109)-ROW(BH$15),0),15-13*ORÇAMENTO!$AF$11)),
         0)</f>
        <v>3725.12</v>
      </c>
      <c r="BI109" s="352" t="n">
        <f aca="true">IF(AND($D109="Serviço",BI$12&lt;&gt;0,$H109&gt;0,OR(AUTOEVENTO&lt;&gt;"manual",$M109&lt;&gt;$A$15)),
        IF(Import.TipoArredondamento&lt;&gt;"TransfereGOV",
              ROUND(OFFSET($P109,0,BI$13),15-13*ORÇAMENTO!$AF$7)/$H109*OFFSET(ORÇAMENTO!$X$15,ROW(BI109)-ROW(BI$15),0),
              ROUND(ROUND(OFFSET($P109,0,BI$13),15-13*ORÇAMENTO!$AF$7)*OFFSET(ORÇAMENTO!$W$15,ROW(BI109)-ROW(BI$15),0),15-13*ORÇAMENTO!$AF$11)),
         0)</f>
        <v>3725.12</v>
      </c>
      <c r="BJ109" s="352" t="n">
        <f aca="true">IF(AND($D109="Serviço",BJ$12&lt;&gt;0,$H109&gt;0,OR(AUTOEVENTO&lt;&gt;"manual",$M109&lt;&gt;$A$15)),
        IF(Import.TipoArredondamento&lt;&gt;"TransfereGOV",
              ROUND(OFFSET($P109,0,BJ$13),15-13*ORÇAMENTO!$AF$7)/$H109*OFFSET(ORÇAMENTO!$X$15,ROW(BJ109)-ROW(BJ$15),0),
              ROUND(ROUND(OFFSET($P109,0,BJ$13),15-13*ORÇAMENTO!$AF$7)*OFFSET(ORÇAMENTO!$W$15,ROW(BJ109)-ROW(BJ$15),0),15-13*ORÇAMENTO!$AF$11)),
         0)</f>
        <v>3725.12</v>
      </c>
      <c r="BK109" s="352" t="n">
        <f aca="true">IF(AND($D109="Serviço",BK$12&lt;&gt;0,$H109&gt;0,OR(AUTOEVENTO&lt;&gt;"manual",$M109&lt;&gt;$A$15)),
        IF(Import.TipoArredondamento&lt;&gt;"TransfereGOV",
              ROUND(OFFSET($P109,0,BK$13),15-13*ORÇAMENTO!$AF$7)/$H109*OFFSET(ORÇAMENTO!$X$15,ROW(BK109)-ROW(BK$15),0),
              ROUND(ROUND(OFFSET($P109,0,BK$13),15-13*ORÇAMENTO!$AF$7)*OFFSET(ORÇAMENTO!$W$15,ROW(BK109)-ROW(BK$15),0),15-13*ORÇAMENTO!$AF$11)),
         0)</f>
        <v>3725.12</v>
      </c>
      <c r="BL109" s="352" t="n">
        <f aca="true">IF(AND($D109="Serviço",BL$12&lt;&gt;0,$H109&gt;0,OR(AUTOEVENTO&lt;&gt;"manual",$M109&lt;&gt;$A$15)),
        IF(Import.TipoArredondamento&lt;&gt;"TransfereGOV",
              ROUND(OFFSET($P109,0,BL$13),15-13*ORÇAMENTO!$AF$7)/$H109*OFFSET(ORÇAMENTO!$X$15,ROW(BL109)-ROW(BL$15),0),
              ROUND(ROUND(OFFSET($P109,0,BL$13),15-13*ORÇAMENTO!$AF$7)*OFFSET(ORÇAMENTO!$W$15,ROW(BL109)-ROW(BL$15),0),15-13*ORÇAMENTO!$AF$11)),
         0)</f>
        <v>3725.12</v>
      </c>
      <c r="BM109" s="352" t="n">
        <f aca="true">IF(AND($D109="Serviço",BM$12&lt;&gt;0,$H109&gt;0,OR(AUTOEVENTO&lt;&gt;"manual",$M109&lt;&gt;$A$15)),
        IF(Import.TipoArredondamento&lt;&gt;"TransfereGOV",
              ROUND(OFFSET($P109,0,BM$13),15-13*ORÇAMENTO!$AF$7)/$H109*OFFSET(ORÇAMENTO!$X$15,ROW(BM109)-ROW(BM$15),0),
              ROUND(ROUND(OFFSET($P109,0,BM$13),15-13*ORÇAMENTO!$AF$7)*OFFSET(ORÇAMENTO!$W$15,ROW(BM109)-ROW(BM$15),0),15-13*ORÇAMENTO!$AF$11)),
         0)</f>
        <v>3725.12</v>
      </c>
      <c r="BN109" s="352" t="n">
        <f aca="true">IF(AND($D109="Serviço",BN$12&lt;&gt;0,$H109&gt;0,OR(AUTOEVENTO&lt;&gt;"manual",$M109&lt;&gt;$A$15)),
        IF(Import.TipoArredondamento&lt;&gt;"TransfereGOV",
              ROUND(OFFSET($P109,0,BN$13),15-13*ORÇAMENTO!$AF$7)/$H109*OFFSET(ORÇAMENTO!$X$15,ROW(BN109)-ROW(BN$15),0),
              ROUND(ROUND(OFFSET($P109,0,BN$13),15-13*ORÇAMENTO!$AF$7)*OFFSET(ORÇAMENTO!$W$15,ROW(BN109)-ROW(BN$15),0),15-13*ORÇAMENTO!$AF$11)),
         0)</f>
        <v>3725.12</v>
      </c>
      <c r="BO109" s="352" t="n">
        <f aca="true">IF(AND($D109="Serviço",BO$12&lt;&gt;0,$H109&gt;0,OR(AUTOEVENTO&lt;&gt;"manual",$M109&lt;&gt;$A$15)),
        IF(Import.TipoArredondamento&lt;&gt;"TransfereGOV",
              ROUND(OFFSET($P109,0,BO$13),15-13*ORÇAMENTO!$AF$7)/$H109*OFFSET(ORÇAMENTO!$X$15,ROW(BO109)-ROW(BO$15),0),
              ROUND(ROUND(OFFSET($P109,0,BO$13),15-13*ORÇAMENTO!$AF$7)*OFFSET(ORÇAMENTO!$W$15,ROW(BO109)-ROW(BO$15),0),15-13*ORÇAMENTO!$AF$11)),
         0)</f>
        <v>3725.12</v>
      </c>
      <c r="BP109" s="352" t="n">
        <f aca="true">IF(AND($D109="Serviço",BP$12&lt;&gt;0,$H109&gt;0,OR(AUTOEVENTO&lt;&gt;"manual",$M109&lt;&gt;$A$15)),
        IF(Import.TipoArredondamento&lt;&gt;"TransfereGOV",
              ROUND(OFFSET($P109,0,BP$13),15-13*ORÇAMENTO!$AF$7)/$H109*OFFSET(ORÇAMENTO!$X$15,ROW(BP109)-ROW(BP$15),0),
              ROUND(ROUND(OFFSET($P109,0,BP$13),15-13*ORÇAMENTO!$AF$7)*OFFSET(ORÇAMENTO!$W$15,ROW(BP109)-ROW(BP$15),0),15-13*ORÇAMENTO!$AF$11)),
         0)</f>
        <v>3725.12</v>
      </c>
      <c r="BQ109" s="352" t="n">
        <f aca="true">IF(AND($D109="Serviço",BQ$12&lt;&gt;0,$H109&gt;0,OR(AUTOEVENTO&lt;&gt;"manual",$M109&lt;&gt;$A$15)),
        IF(Import.TipoArredondamento&lt;&gt;"TransfereGOV",
              ROUND(OFFSET($P109,0,BQ$13),15-13*ORÇAMENTO!$AF$7)/$H109*OFFSET(ORÇAMENTO!$X$15,ROW(BQ109)-ROW(BQ$15),0),
              ROUND(ROUND(OFFSET($P109,0,BQ$13),15-13*ORÇAMENTO!$AF$7)*OFFSET(ORÇAMENTO!$W$15,ROW(BQ109)-ROW(BQ$15),0),15-13*ORÇAMENTO!$AF$11)),
         0)</f>
        <v>0</v>
      </c>
      <c r="BS109" s="353" t="n">
        <f aca="true">IF(OR($D109&lt;&gt;"Serviço",AND(AUTOEVENTO="Manual",$M109=$A$15)),0,
         IF(OFFSET(CRONOPLE!$F$15,$M109-$A$15,BS$13)=0,10^12,OFFSET(CRONOPLE!$F$15,$M109-$A$15,BS$13)))</f>
        <v>1</v>
      </c>
      <c r="BT109" s="353" t="n">
        <f aca="true">IF(OR($D109&lt;&gt;"Serviço",AND(AUTOEVENTO="Manual",$M109=$A$15)),0,
         IF(OFFSET(CRONOPLE!$F$15,$M109-$A$15,BT$13)=0,10^12,OFFSET(CRONOPLE!$F$15,$M109-$A$15,BT$13)))</f>
        <v>2</v>
      </c>
      <c r="BU109" s="353" t="n">
        <f aca="true">IF(OR($D109&lt;&gt;"Serviço",AND(AUTOEVENTO="Manual",$M109=$A$15)),0,
         IF(OFFSET(CRONOPLE!$F$15,$M109-$A$15,BU$13)=0,10^12,OFFSET(CRONOPLE!$F$15,$M109-$A$15,BU$13)))</f>
        <v>3</v>
      </c>
      <c r="BV109" s="353" t="n">
        <f aca="true">IF(OR($D109&lt;&gt;"Serviço",AND(AUTOEVENTO="Manual",$M109=$A$15)),0,
         IF(OFFSET(CRONOPLE!$F$15,$M109-$A$15,BV$13)=0,10^12,OFFSET(CRONOPLE!$F$15,$M109-$A$15,BV$13)))</f>
        <v>4</v>
      </c>
      <c r="BW109" s="353" t="n">
        <f aca="true">IF(OR($D109&lt;&gt;"Serviço",AND(AUTOEVENTO="Manual",$M109=$A$15)),0,
         IF(OFFSET(CRONOPLE!$F$15,$M109-$A$15,BW$13)=0,10^12,OFFSET(CRONOPLE!$F$15,$M109-$A$15,BW$13)))</f>
        <v>5</v>
      </c>
      <c r="BX109" s="353" t="n">
        <f aca="true">IF(OR($D109&lt;&gt;"Serviço",AND(AUTOEVENTO="Manual",$M109=$A$15)),0,
         IF(OFFSET(CRONOPLE!$F$15,$M109-$A$15,BX$13)=0,10^12,OFFSET(CRONOPLE!$F$15,$M109-$A$15,BX$13)))</f>
        <v>6</v>
      </c>
      <c r="BY109" s="353" t="n">
        <f aca="true">IF(OR($D109&lt;&gt;"Serviço",AND(AUTOEVENTO="Manual",$M109=$A$15)),0,
         IF(OFFSET(CRONOPLE!$F$15,$M109-$A$15,BY$13)=0,10^12,OFFSET(CRONOPLE!$F$15,$M109-$A$15,BY$13)))</f>
        <v>7</v>
      </c>
      <c r="BZ109" s="353" t="n">
        <f aca="true">IF(OR($D109&lt;&gt;"Serviço",AND(AUTOEVENTO="Manual",$M109=$A$15)),0,
         IF(OFFSET(CRONOPLE!$F$15,$M109-$A$15,BZ$13)=0,10^12,OFFSET(CRONOPLE!$F$15,$M109-$A$15,BZ$13)))</f>
        <v>8</v>
      </c>
      <c r="CA109" s="353" t="n">
        <f aca="true">IF(OR($D109&lt;&gt;"Serviço",AND(AUTOEVENTO="Manual",$M109=$A$15)),0,
         IF(OFFSET(CRONOPLE!$F$15,$M109-$A$15,CA$13)=0,10^12,OFFSET(CRONOPLE!$F$15,$M109-$A$15,CA$13)))</f>
        <v>9</v>
      </c>
      <c r="CB109" s="353" t="n">
        <f aca="true">IF(OR($D109&lt;&gt;"Serviço",AND(AUTOEVENTO="Manual",$M109=$A$15)),0,
         IF(OFFSET(CRONOPLE!$F$15,$M109-$A$15,CB$13)=0,10^12,OFFSET(CRONOPLE!$F$15,$M109-$A$15,CB$13)))</f>
        <v>10</v>
      </c>
      <c r="CC109" s="353" t="n">
        <f aca="true">IF(OR($D109&lt;&gt;"Serviço",AND(AUTOEVENTO="Manual",$M109=$A$15)),0,
         IF(OFFSET(CRONOPLE!$F$15,$M109-$A$15,CC$13)=0,10^12,OFFSET(CRONOPLE!$F$15,$M109-$A$15,CC$13)))</f>
        <v>11</v>
      </c>
      <c r="CD109" s="353" t="n">
        <f aca="true">IF(OR($D109&lt;&gt;"Serviço",AND(AUTOEVENTO="Manual",$M109=$A$15)),0,
         IF(OFFSET(CRONOPLE!$F$15,$M109-$A$15,CD$13)=0,10^12,OFFSET(CRONOPLE!$F$15,$M109-$A$15,CD$13)))</f>
        <v>12</v>
      </c>
      <c r="CE109" s="353" t="n">
        <f aca="true">IF(OR($D109&lt;&gt;"Serviço",AND(AUTOEVENTO="Manual",$M109=$A$15)),0,
         IF(OFFSET(CRONOPLE!$F$15,$M109-$A$15,CE$13)=0,10^12,OFFSET(CRONOPLE!$F$15,$M109-$A$15,CE$13)))</f>
        <v>13</v>
      </c>
      <c r="CF109" s="353" t="n">
        <f aca="true">IF(OR($D109&lt;&gt;"Serviço",AND(AUTOEVENTO="Manual",$M109=$A$15)),0,
         IF(OFFSET(CRONOPLE!$F$15,$M109-$A$15,CF$13)=0,10^12,OFFSET(CRONOPLE!$F$15,$M109-$A$15,CF$13)))</f>
        <v>14</v>
      </c>
      <c r="CG109" s="353" t="n">
        <f aca="true">IF(OR($D109&lt;&gt;"Serviço",AND(AUTOEVENTO="Manual",$M109=$A$15)),0,
         IF(OFFSET(CRONOPLE!$F$15,$M109-$A$15,CG$13)=0,10^12,OFFSET(CRONOPLE!$F$15,$M109-$A$15,CG$13)))</f>
        <v>15</v>
      </c>
      <c r="CH109" s="353" t="n">
        <f aca="true">IF(OR($D109&lt;&gt;"Serviço",AND(AUTOEVENTO="Manual",$M109=$A$15)),0,
         IF(OFFSET(CRONOPLE!$F$15,$M109-$A$15,CH$13)=0,10^12,OFFSET(CRONOPLE!$F$15,$M109-$A$15,CH$13)))</f>
        <v>16</v>
      </c>
      <c r="CI109" s="353" t="n">
        <f aca="true">IF(OR($D109&lt;&gt;"Serviço",AND(AUTOEVENTO="Manual",$M109=$A$15)),0,
         IF(OFFSET(CRONOPLE!$F$15,$M109-$A$15,CI$13)=0,10^12,OFFSET(CRONOPLE!$F$15,$M109-$A$15,CI$13)))</f>
        <v>17</v>
      </c>
      <c r="CJ109" s="353" t="n">
        <f aca="true">IF(OR($D109&lt;&gt;"Serviço",AND(AUTOEVENTO="Manual",$M109=$A$15)),0,
         IF(OFFSET(CRONOPLE!$F$15,$M109-$A$15,CJ$13)=0,10^12,OFFSET(CRONOPLE!$F$15,$M109-$A$15,CJ$13)))</f>
        <v>18</v>
      </c>
      <c r="CK109" s="353" t="n">
        <f aca="true">IF(OR($D109&lt;&gt;"Serviço",AND(AUTOEVENTO="Manual",$M109=$A$15)),0,
         IF(OFFSET(CRONOPLE!$F$15,$M109-$A$15,CK$13)=0,10^12,OFFSET(CRONOPLE!$F$15,$M109-$A$15,CK$13)))</f>
        <v>19</v>
      </c>
      <c r="CL109" s="353" t="n">
        <f aca="true">IF(OR($D109&lt;&gt;"Serviço",AND(AUTOEVENTO="Manual",$M109=$A$15)),0,
         IF(OFFSET(CRONOPLE!$F$15,$M109-$A$15,CL$13)=0,10^12,OFFSET(CRONOPLE!$F$15,$M109-$A$15,CL$13)))</f>
        <v>20</v>
      </c>
      <c r="CM109" s="353" t="n">
        <f aca="true">IF(OR($D109&lt;&gt;"Serviço",AND(AUTOEVENTO="Manual",$M109=$A$15)),0,
         IF(OFFSET(CRONOPLE!$F$15,$M109-$A$15,CM$13)=0,10^12,OFFSET(CRONOPLE!$F$15,$M109-$A$15,CM$13)))</f>
        <v>21</v>
      </c>
      <c r="CN109" s="353" t="n">
        <f aca="true">IF(OR($D109&lt;&gt;"Serviço",AND(AUTOEVENTO="Manual",$M109=$A$15)),0,
         IF(OFFSET(CRONOPLE!$F$15,$M109-$A$15,CN$13)=0,10^12,OFFSET(CRONOPLE!$F$15,$M109-$A$15,CN$13)))</f>
        <v>22</v>
      </c>
      <c r="CO109" s="353" t="n">
        <f aca="true">IF(OR($D109&lt;&gt;"Serviço",AND(AUTOEVENTO="Manual",$M109=$A$15)),0,
         IF(OFFSET(CRONOPLE!$F$15,$M109-$A$15,CO$13)=0,10^12,OFFSET(CRONOPLE!$F$15,$M109-$A$15,CO$13)))</f>
        <v>23</v>
      </c>
      <c r="CP109" s="353" t="n">
        <f aca="true">IF(OR($D109&lt;&gt;"Serviço",AND(AUTOEVENTO="Manual",$M109=$A$15)),0,
         IF(OFFSET(CRONOPLE!$F$15,$M109-$A$15,CP$13)=0,10^12,OFFSET(CRONOPLE!$F$15,$M109-$A$15,CP$13)))</f>
        <v>24</v>
      </c>
      <c r="CQ109" s="353" t="n">
        <f aca="true">IF(OR($D109&lt;&gt;"Serviço",AND(AUTOEVENTO="Manual",$M109=$A$15)),0,
         IF(OFFSET(CRONOPLE!$F$15,$M109-$A$15,CQ$13)=0,10^12,OFFSET(CRONOPLE!$F$15,$M109-$A$15,CQ$13)))</f>
        <v>25</v>
      </c>
      <c r="CR109" s="353" t="n">
        <f aca="true">IF(OR($D109&lt;&gt;"Serviço",AND(AUTOEVENTO="Manual",$M109=$A$15)),0,
         IF(OFFSET(CRONOPLE!$F$15,$M109-$A$15,CR$13)=0,10^12,OFFSET(CRONOPLE!$F$15,$M109-$A$15,CR$13)))</f>
        <v>1000000000000</v>
      </c>
      <c r="CT109" s="354" t="n">
        <f aca="true">IF(OR($D109&lt;&gt;"Serviço",AND(AUTOEVENTO="Manual",$M109=$A$15),$M109&gt;(ROW(PLE.lastrow)-ROW(PLE.firstrow))),0,
           IF(OFFSET(PLE!$G$15,$M109-$A$15,CT$13)="",10^12,OFFSET(PLE!$G$15,$M109-$A$15,CT$13)))</f>
        <v>1000000000000</v>
      </c>
      <c r="CU109" s="354" t="n">
        <f aca="true">IF(OR($D109&lt;&gt;"Serviço",AND(AUTOEVENTO="Manual",$M109=$A$15),$M109&gt;(ROW(PLE.lastrow)-ROW(PLE.firstrow))),0,
           IF(OFFSET(PLE!$G$15,$M109-$A$15,CU$13)="",10^12,OFFSET(PLE!$G$15,$M109-$A$15,CU$13)))</f>
        <v>1000000000000</v>
      </c>
      <c r="CV109" s="354" t="n">
        <f aca="true">IF(OR($D109&lt;&gt;"Serviço",AND(AUTOEVENTO="Manual",$M109=$A$15),$M109&gt;(ROW(PLE.lastrow)-ROW(PLE.firstrow))),0,
           IF(OFFSET(PLE!$G$15,$M109-$A$15,CV$13)="",10^12,OFFSET(PLE!$G$15,$M109-$A$15,CV$13)))</f>
        <v>1000000000000</v>
      </c>
      <c r="CW109" s="354" t="n">
        <f aca="true">IF(OR($D109&lt;&gt;"Serviço",AND(AUTOEVENTO="Manual",$M109=$A$15),$M109&gt;(ROW(PLE.lastrow)-ROW(PLE.firstrow))),0,
           IF(OFFSET(PLE!$G$15,$M109-$A$15,CW$13)="",10^12,OFFSET(PLE!$G$15,$M109-$A$15,CW$13)))</f>
        <v>1000000000000</v>
      </c>
      <c r="CX109" s="354" t="n">
        <f aca="true">IF(OR($D109&lt;&gt;"Serviço",AND(AUTOEVENTO="Manual",$M109=$A$15),$M109&gt;(ROW(PLE.lastrow)-ROW(PLE.firstrow))),0,
           IF(OFFSET(PLE!$G$15,$M109-$A$15,CX$13)="",10^12,OFFSET(PLE!$G$15,$M109-$A$15,CX$13)))</f>
        <v>1000000000000</v>
      </c>
      <c r="CY109" s="354" t="n">
        <f aca="true">IF(OR($D109&lt;&gt;"Serviço",AND(AUTOEVENTO="Manual",$M109=$A$15),$M109&gt;(ROW(PLE.lastrow)-ROW(PLE.firstrow))),0,
           IF(OFFSET(PLE!$G$15,$M109-$A$15,CY$13)="",10^12,OFFSET(PLE!$G$15,$M109-$A$15,CY$13)))</f>
        <v>1000000000000</v>
      </c>
      <c r="CZ109" s="354" t="n">
        <f aca="true">IF(OR($D109&lt;&gt;"Serviço",AND(AUTOEVENTO="Manual",$M109=$A$15),$M109&gt;(ROW(PLE.lastrow)-ROW(PLE.firstrow))),0,
           IF(OFFSET(PLE!$G$15,$M109-$A$15,CZ$13)="",10^12,OFFSET(PLE!$G$15,$M109-$A$15,CZ$13)))</f>
        <v>1000000000000</v>
      </c>
      <c r="DA109" s="354" t="n">
        <f aca="true">IF(OR($D109&lt;&gt;"Serviço",AND(AUTOEVENTO="Manual",$M109=$A$15),$M109&gt;(ROW(PLE.lastrow)-ROW(PLE.firstrow))),0,
           IF(OFFSET(PLE!$G$15,$M109-$A$15,DA$13)="",10^12,OFFSET(PLE!$G$15,$M109-$A$15,DA$13)))</f>
        <v>1000000000000</v>
      </c>
      <c r="DB109" s="354" t="n">
        <f aca="true">IF(OR($D109&lt;&gt;"Serviço",AND(AUTOEVENTO="Manual",$M109=$A$15),$M109&gt;(ROW(PLE.lastrow)-ROW(PLE.firstrow))),0,
           IF(OFFSET(PLE!$G$15,$M109-$A$15,DB$13)="",10^12,OFFSET(PLE!$G$15,$M109-$A$15,DB$13)))</f>
        <v>1000000000000</v>
      </c>
      <c r="DC109" s="354" t="n">
        <f aca="true">IF(OR($D109&lt;&gt;"Serviço",AND(AUTOEVENTO="Manual",$M109=$A$15),$M109&gt;(ROW(PLE.lastrow)-ROW(PLE.firstrow))),0,
           IF(OFFSET(PLE!$G$15,$M109-$A$15,DC$13)="",10^12,OFFSET(PLE!$G$15,$M109-$A$15,DC$13)))</f>
        <v>1000000000000</v>
      </c>
      <c r="DD109" s="354" t="n">
        <f aca="true">IF(OR($D109&lt;&gt;"Serviço",AND(AUTOEVENTO="Manual",$M109=$A$15),$M109&gt;(ROW(PLE.lastrow)-ROW(PLE.firstrow))),0,
           IF(OFFSET(PLE!$G$15,$M109-$A$15,DD$13)="",10^12,OFFSET(PLE!$G$15,$M109-$A$15,DD$13)))</f>
        <v>1000000000000</v>
      </c>
      <c r="DE109" s="354" t="n">
        <f aca="true">IF(OR($D109&lt;&gt;"Serviço",AND(AUTOEVENTO="Manual",$M109=$A$15),$M109&gt;(ROW(PLE.lastrow)-ROW(PLE.firstrow))),0,
           IF(OFFSET(PLE!$G$15,$M109-$A$15,DE$13)="",10^12,OFFSET(PLE!$G$15,$M109-$A$15,DE$13)))</f>
        <v>1000000000000</v>
      </c>
      <c r="DF109" s="354" t="n">
        <f aca="true">IF(OR($D109&lt;&gt;"Serviço",AND(AUTOEVENTO="Manual",$M109=$A$15),$M109&gt;(ROW(PLE.lastrow)-ROW(PLE.firstrow))),0,
           IF(OFFSET(PLE!$G$15,$M109-$A$15,DF$13)="",10^12,OFFSET(PLE!$G$15,$M109-$A$15,DF$13)))</f>
        <v>1000000000000</v>
      </c>
      <c r="DG109" s="354" t="n">
        <f aca="true">IF(OR($D109&lt;&gt;"Serviço",AND(AUTOEVENTO="Manual",$M109=$A$15),$M109&gt;(ROW(PLE.lastrow)-ROW(PLE.firstrow))),0,
           IF(OFFSET(PLE!$G$15,$M109-$A$15,DG$13)="",10^12,OFFSET(PLE!$G$15,$M109-$A$15,DG$13)))</f>
        <v>1000000000000</v>
      </c>
      <c r="DH109" s="354" t="n">
        <f aca="true">IF(OR($D109&lt;&gt;"Serviço",AND(AUTOEVENTO="Manual",$M109=$A$15),$M109&gt;(ROW(PLE.lastrow)-ROW(PLE.firstrow))),0,
           IF(OFFSET(PLE!$G$15,$M109-$A$15,DH$13)="",10^12,OFFSET(PLE!$G$15,$M109-$A$15,DH$13)))</f>
        <v>1000000000000</v>
      </c>
      <c r="DI109" s="354" t="n">
        <f aca="true">IF(OR($D109&lt;&gt;"Serviço",AND(AUTOEVENTO="Manual",$M109=$A$15),$M109&gt;(ROW(PLE.lastrow)-ROW(PLE.firstrow))),0,
           IF(OFFSET(PLE!$G$15,$M109-$A$15,DI$13)="",10^12,OFFSET(PLE!$G$15,$M109-$A$15,DI$13)))</f>
        <v>1000000000000</v>
      </c>
      <c r="DJ109" s="354" t="n">
        <f aca="true">IF(OR($D109&lt;&gt;"Serviço",AND(AUTOEVENTO="Manual",$M109=$A$15),$M109&gt;(ROW(PLE.lastrow)-ROW(PLE.firstrow))),0,
           IF(OFFSET(PLE!$G$15,$M109-$A$15,DJ$13)="",10^12,OFFSET(PLE!$G$15,$M109-$A$15,DJ$13)))</f>
        <v>1000000000000</v>
      </c>
      <c r="DK109" s="354" t="n">
        <f aca="true">IF(OR($D109&lt;&gt;"Serviço",AND(AUTOEVENTO="Manual",$M109=$A$15),$M109&gt;(ROW(PLE.lastrow)-ROW(PLE.firstrow))),0,
           IF(OFFSET(PLE!$G$15,$M109-$A$15,DK$13)="",10^12,OFFSET(PLE!$G$15,$M109-$A$15,DK$13)))</f>
        <v>1000000000000</v>
      </c>
      <c r="DL109" s="354" t="n">
        <f aca="true">IF(OR($D109&lt;&gt;"Serviço",AND(AUTOEVENTO="Manual",$M109=$A$15),$M109&gt;(ROW(PLE.lastrow)-ROW(PLE.firstrow))),0,
           IF(OFFSET(PLE!$G$15,$M109-$A$15,DL$13)="",10^12,OFFSET(PLE!$G$15,$M109-$A$15,DL$13)))</f>
        <v>1000000000000</v>
      </c>
      <c r="DM109" s="354" t="n">
        <f aca="true">IF(OR($D109&lt;&gt;"Serviço",AND(AUTOEVENTO="Manual",$M109=$A$15),$M109&gt;(ROW(PLE.lastrow)-ROW(PLE.firstrow))),0,
           IF(OFFSET(PLE!$G$15,$M109-$A$15,DM$13)="",10^12,OFFSET(PLE!$G$15,$M109-$A$15,DM$13)))</f>
        <v>1000000000000</v>
      </c>
      <c r="DN109" s="354" t="n">
        <f aca="true">IF(OR($D109&lt;&gt;"Serviço",AND(AUTOEVENTO="Manual",$M109=$A$15),$M109&gt;(ROW(PLE.lastrow)-ROW(PLE.firstrow))),0,
           IF(OFFSET(PLE!$G$15,$M109-$A$15,DN$13)="",10^12,OFFSET(PLE!$G$15,$M109-$A$15,DN$13)))</f>
        <v>1000000000000</v>
      </c>
      <c r="DO109" s="354" t="n">
        <f aca="true">IF(OR($D109&lt;&gt;"Serviço",AND(AUTOEVENTO="Manual",$M109=$A$15),$M109&gt;(ROW(PLE.lastrow)-ROW(PLE.firstrow))),0,
           IF(OFFSET(PLE!$G$15,$M109-$A$15,DO$13)="",10^12,OFFSET(PLE!$G$15,$M109-$A$15,DO$13)))</f>
        <v>1000000000000</v>
      </c>
      <c r="DP109" s="354" t="n">
        <f aca="true">IF(OR($D109&lt;&gt;"Serviço",AND(AUTOEVENTO="Manual",$M109=$A$15),$M109&gt;(ROW(PLE.lastrow)-ROW(PLE.firstrow))),0,
           IF(OFFSET(PLE!$G$15,$M109-$A$15,DP$13)="",10^12,OFFSET(PLE!$G$15,$M109-$A$15,DP$13)))</f>
        <v>1000000000000</v>
      </c>
      <c r="DQ109" s="354" t="n">
        <f aca="true">IF(OR($D109&lt;&gt;"Serviço",AND(AUTOEVENTO="Manual",$M109=$A$15),$M109&gt;(ROW(PLE.lastrow)-ROW(PLE.firstrow))),0,
           IF(OFFSET(PLE!$G$15,$M109-$A$15,DQ$13)="",10^12,OFFSET(PLE!$G$15,$M109-$A$15,DQ$13)))</f>
        <v>1000000000000</v>
      </c>
      <c r="DR109" s="354" t="n">
        <f aca="true">IF(OR($D109&lt;&gt;"Serviço",AND(AUTOEVENTO="Manual",$M109=$A$15),$M109&gt;(ROW(PLE.lastrow)-ROW(PLE.firstrow))),0,
           IF(OFFSET(PLE!$G$15,$M109-$A$15,DR$13)="",10^12,OFFSET(PLE!$G$15,$M109-$A$15,DR$13)))</f>
        <v>1000000000000</v>
      </c>
      <c r="DS109" s="354" t="n">
        <f aca="true">IF(OR($D109&lt;&gt;"Serviço",AND(AUTOEVENTO="Manual",$M109=$A$15),$M109&gt;(ROW(PLE.lastrow)-ROW(PLE.firstrow))),0,
           IF(OFFSET(PLE!$G$15,$M109-$A$15,DS$13)="",10^12,OFFSET(PLE!$G$15,$M109-$A$15,DS$13)))</f>
        <v>1000000000000</v>
      </c>
    </row>
    <row r="110" customFormat="false" ht="12.75" hidden="false" customHeight="false" outlineLevel="0" collapsed="false">
      <c r="A110" s="50" t="str">
        <f aca="true">IFERROR(IF(AUTOEVENTO="Manual",IF(K110&lt;&gt;"",MIN(VALUE(LEFT(K110,FIND(".",K110)-1)),COUNTA(EVENTOS.Lista)),0),IF(OR($B110&gt;AUTOEVENTO,$B110="S",$B110=0),SUBSTITUTE(OFFSET($A110,-1,0),IF($D110="Serviço",".",""),""),ROW(A110)-ROW($A$15)&amp;".")),0)</f>
        <v>95.</v>
      </c>
      <c r="B110" s="50" t="n">
        <f aca="true">OFFSET(ORÇAMENTO!C$15,ROW(B110)-ROW(B$15),0)</f>
        <v>2</v>
      </c>
      <c r="C110" s="50" t="str">
        <f aca="true">OFFSET(ORÇAMENTO!L$15,ROW(C110)-ROW(C$15),0)</f>
        <v>F</v>
      </c>
      <c r="D110" s="201" t="str">
        <f aca="true">OFFSET(ORÇAMENTO!N$15,ROW(D110)-ROW(D$15),0)</f>
        <v>Nível 2</v>
      </c>
      <c r="E110" s="202" t="str">
        <f aca="true">OFFSET(ORÇAMENTO!O$15,ROW(E110)-ROW(E$15),0)</f>
        <v>1.30.</v>
      </c>
      <c r="F110" s="341" t="str">
        <f aca="true">OFFSET(ORÇAMENTO!R$15,ROW(F110)-ROW(F$15),0)</f>
        <v>CARPETE</v>
      </c>
      <c r="G110" s="342" t="str">
        <f aca="true">IF($D110&lt;&gt;"Serviço","",OFFSET(ORÇAMENTO!S$15,ROW(G110)-ROW(G$15),0))</f>
        <v/>
      </c>
      <c r="H110" s="207" t="n">
        <f aca="true">IF($D110&lt;&gt;"Serviço",0,IF(ACOMPANHAMENTO="BM",ROUND(OFFSET(ORÇAMENTO!AJ$15,ROW(H110)-ROW(H$15),0),15-13*ORÇAMENTO!$AF$7),SUMPRODUCT(($Q$1:$AQ$1=1)*ROUND($Q110:$AQ110,15-13*ORÇAMENTO!$AF$7))))</f>
        <v>0</v>
      </c>
      <c r="I110" s="343"/>
      <c r="J110" s="344" t="str">
        <f aca="false">IF(OR(B110&lt;&gt;"S",CÁLCULO.FrentesPreenchidas=0),"",IF(AND(ACOMPANHAMENTO="PLE",AUTOEVENTO="Manual",OR(H110&gt;0,ORÇAMENTO!AC110="QUANT."),OR(K110="",M110=0,N110="")),"►",IF(AND(ACOMPANHAMENTO="PLE",ORÇAMENTO!AC110="QUANT."),"►►",IF(AND(COUNTIF($P$11:$AQ$11,"▼")=0,H110&gt;0,I110=""),"◄",""))))</f>
        <v/>
      </c>
      <c r="K110" s="345"/>
      <c r="L110" s="346" t="s">
        <v>876</v>
      </c>
      <c r="M110" s="347" t="str">
        <f aca="true">IF($D110&lt;&gt;"Serviço","",
          IF(AUTOEVENTO="manual",$A110,
                IF(ISERROR(MATCH($A110,$A$15:OFFSET($A110,-1,0),0)),MAX($M$15:OFFSET(M110,-1,0))+1,
                      INDEX($M$15:OFFSET(M110,-1,0),MATCH($A110,$A$15:OFFSET($A110,-1,0),0)))))</f>
        <v/>
      </c>
      <c r="N110" s="348" t="str">
        <f aca="true">IF($D110&lt;&gt;"Serviço","",
         IF(AUTOEVENTO="Manual",
                IF($A110=0,"&lt;-- defina o número do agrupador",
                       OFFSET(EVENTOS!$D$15,$A110-$A$15,0)),
                OFFSET($F$15,$A110,0)))</f>
        <v/>
      </c>
      <c r="O110" s="349"/>
      <c r="Q110" s="349"/>
      <c r="R110" s="350"/>
      <c r="S110" s="350"/>
      <c r="T110" s="350"/>
      <c r="U110" s="350"/>
      <c r="V110" s="350"/>
      <c r="W110" s="350"/>
      <c r="X110" s="350"/>
      <c r="Y110" s="350"/>
      <c r="Z110" s="351"/>
      <c r="AA110" s="350"/>
      <c r="AB110" s="350"/>
      <c r="AC110" s="350"/>
      <c r="AD110" s="350"/>
      <c r="AE110" s="350"/>
      <c r="AF110" s="350"/>
      <c r="AG110" s="350"/>
      <c r="AH110" s="351"/>
      <c r="AI110" s="350"/>
      <c r="AJ110" s="350"/>
      <c r="AK110" s="350"/>
      <c r="AL110" s="350"/>
      <c r="AM110" s="350"/>
      <c r="AN110" s="350"/>
      <c r="AO110" s="350"/>
      <c r="AP110" s="351"/>
      <c r="AR110" s="352" t="n">
        <f aca="true">IF(AND($D110="Serviço",AR$12&lt;&gt;0,$H110&gt;0,OR(AUTOEVENTO&lt;&gt;"manual",$M110&lt;&gt;$A$15)),
        IF(Import.TipoArredondamento&lt;&gt;"TransfereGOV",
              ROUND(OFFSET($P110,0,AR$13),15-13*ORÇAMENTO!$AF$7)/$H110*OFFSET(ORÇAMENTO!$X$15,ROW(AR110)-ROW(AR$15),0),
              ROUND(ROUND(OFFSET($P110,0,AR$13),15-13*ORÇAMENTO!$AF$7)*OFFSET(ORÇAMENTO!$W$15,ROW(AR110)-ROW(AR$15),0),15-13*ORÇAMENTO!$AF$11)),
         0)</f>
        <v>0</v>
      </c>
      <c r="AS110" s="352" t="n">
        <f aca="true">IF(AND($D110="Serviço",AS$12&lt;&gt;0,$H110&gt;0,OR(AUTOEVENTO&lt;&gt;"manual",$M110&lt;&gt;$A$15)),
        IF(Import.TipoArredondamento&lt;&gt;"TransfereGOV",
              ROUND(OFFSET($P110,0,AS$13),15-13*ORÇAMENTO!$AF$7)/$H110*OFFSET(ORÇAMENTO!$X$15,ROW(AS110)-ROW(AS$15),0),
              ROUND(ROUND(OFFSET($P110,0,AS$13),15-13*ORÇAMENTO!$AF$7)*OFFSET(ORÇAMENTO!$W$15,ROW(AS110)-ROW(AS$15),0),15-13*ORÇAMENTO!$AF$11)),
         0)</f>
        <v>0</v>
      </c>
      <c r="AT110" s="352" t="n">
        <f aca="true">IF(AND($D110="Serviço",AT$12&lt;&gt;0,$H110&gt;0,OR(AUTOEVENTO&lt;&gt;"manual",$M110&lt;&gt;$A$15)),
        IF(Import.TipoArredondamento&lt;&gt;"TransfereGOV",
              ROUND(OFFSET($P110,0,AT$13),15-13*ORÇAMENTO!$AF$7)/$H110*OFFSET(ORÇAMENTO!$X$15,ROW(AT110)-ROW(AT$15),0),
              ROUND(ROUND(OFFSET($P110,0,AT$13),15-13*ORÇAMENTO!$AF$7)*OFFSET(ORÇAMENTO!$W$15,ROW(AT110)-ROW(AT$15),0),15-13*ORÇAMENTO!$AF$11)),
         0)</f>
        <v>0</v>
      </c>
      <c r="AU110" s="352" t="n">
        <f aca="true">IF(AND($D110="Serviço",AU$12&lt;&gt;0,$H110&gt;0,OR(AUTOEVENTO&lt;&gt;"manual",$M110&lt;&gt;$A$15)),
        IF(Import.TipoArredondamento&lt;&gt;"TransfereGOV",
              ROUND(OFFSET($P110,0,AU$13),15-13*ORÇAMENTO!$AF$7)/$H110*OFFSET(ORÇAMENTO!$X$15,ROW(AU110)-ROW(AU$15),0),
              ROUND(ROUND(OFFSET($P110,0,AU$13),15-13*ORÇAMENTO!$AF$7)*OFFSET(ORÇAMENTO!$W$15,ROW(AU110)-ROW(AU$15),0),15-13*ORÇAMENTO!$AF$11)),
         0)</f>
        <v>0</v>
      </c>
      <c r="AV110" s="352" t="n">
        <f aca="true">IF(AND($D110="Serviço",AV$12&lt;&gt;0,$H110&gt;0,OR(AUTOEVENTO&lt;&gt;"manual",$M110&lt;&gt;$A$15)),
        IF(Import.TipoArredondamento&lt;&gt;"TransfereGOV",
              ROUND(OFFSET($P110,0,AV$13),15-13*ORÇAMENTO!$AF$7)/$H110*OFFSET(ORÇAMENTO!$X$15,ROW(AV110)-ROW(AV$15),0),
              ROUND(ROUND(OFFSET($P110,0,AV$13),15-13*ORÇAMENTO!$AF$7)*OFFSET(ORÇAMENTO!$W$15,ROW(AV110)-ROW(AV$15),0),15-13*ORÇAMENTO!$AF$11)),
         0)</f>
        <v>0</v>
      </c>
      <c r="AW110" s="352" t="n">
        <f aca="true">IF(AND($D110="Serviço",AW$12&lt;&gt;0,$H110&gt;0,OR(AUTOEVENTO&lt;&gt;"manual",$M110&lt;&gt;$A$15)),
        IF(Import.TipoArredondamento&lt;&gt;"TransfereGOV",
              ROUND(OFFSET($P110,0,AW$13),15-13*ORÇAMENTO!$AF$7)/$H110*OFFSET(ORÇAMENTO!$X$15,ROW(AW110)-ROW(AW$15),0),
              ROUND(ROUND(OFFSET($P110,0,AW$13),15-13*ORÇAMENTO!$AF$7)*OFFSET(ORÇAMENTO!$W$15,ROW(AW110)-ROW(AW$15),0),15-13*ORÇAMENTO!$AF$11)),
         0)</f>
        <v>0</v>
      </c>
      <c r="AX110" s="352" t="n">
        <f aca="true">IF(AND($D110="Serviço",AX$12&lt;&gt;0,$H110&gt;0,OR(AUTOEVENTO&lt;&gt;"manual",$M110&lt;&gt;$A$15)),
        IF(Import.TipoArredondamento&lt;&gt;"TransfereGOV",
              ROUND(OFFSET($P110,0,AX$13),15-13*ORÇAMENTO!$AF$7)/$H110*OFFSET(ORÇAMENTO!$X$15,ROW(AX110)-ROW(AX$15),0),
              ROUND(ROUND(OFFSET($P110,0,AX$13),15-13*ORÇAMENTO!$AF$7)*OFFSET(ORÇAMENTO!$W$15,ROW(AX110)-ROW(AX$15),0),15-13*ORÇAMENTO!$AF$11)),
         0)</f>
        <v>0</v>
      </c>
      <c r="AY110" s="352" t="n">
        <f aca="true">IF(AND($D110="Serviço",AY$12&lt;&gt;0,$H110&gt;0,OR(AUTOEVENTO&lt;&gt;"manual",$M110&lt;&gt;$A$15)),
        IF(Import.TipoArredondamento&lt;&gt;"TransfereGOV",
              ROUND(OFFSET($P110,0,AY$13),15-13*ORÇAMENTO!$AF$7)/$H110*OFFSET(ORÇAMENTO!$X$15,ROW(AY110)-ROW(AY$15),0),
              ROUND(ROUND(OFFSET($P110,0,AY$13),15-13*ORÇAMENTO!$AF$7)*OFFSET(ORÇAMENTO!$W$15,ROW(AY110)-ROW(AY$15),0),15-13*ORÇAMENTO!$AF$11)),
         0)</f>
        <v>0</v>
      </c>
      <c r="AZ110" s="352" t="n">
        <f aca="true">IF(AND($D110="Serviço",AZ$12&lt;&gt;0,$H110&gt;0,OR(AUTOEVENTO&lt;&gt;"manual",$M110&lt;&gt;$A$15)),
        IF(Import.TipoArredondamento&lt;&gt;"TransfereGOV",
              ROUND(OFFSET($P110,0,AZ$13),15-13*ORÇAMENTO!$AF$7)/$H110*OFFSET(ORÇAMENTO!$X$15,ROW(AZ110)-ROW(AZ$15),0),
              ROUND(ROUND(OFFSET($P110,0,AZ$13),15-13*ORÇAMENTO!$AF$7)*OFFSET(ORÇAMENTO!$W$15,ROW(AZ110)-ROW(AZ$15),0),15-13*ORÇAMENTO!$AF$11)),
         0)</f>
        <v>0</v>
      </c>
      <c r="BA110" s="352" t="n">
        <f aca="true">IF(AND($D110="Serviço",BA$12&lt;&gt;0,$H110&gt;0,OR(AUTOEVENTO&lt;&gt;"manual",$M110&lt;&gt;$A$15)),
        IF(Import.TipoArredondamento&lt;&gt;"TransfereGOV",
              ROUND(OFFSET($P110,0,BA$13),15-13*ORÇAMENTO!$AF$7)/$H110*OFFSET(ORÇAMENTO!$X$15,ROW(BA110)-ROW(BA$15),0),
              ROUND(ROUND(OFFSET($P110,0,BA$13),15-13*ORÇAMENTO!$AF$7)*OFFSET(ORÇAMENTO!$W$15,ROW(BA110)-ROW(BA$15),0),15-13*ORÇAMENTO!$AF$11)),
         0)</f>
        <v>0</v>
      </c>
      <c r="BB110" s="352" t="n">
        <f aca="true">IF(AND($D110="Serviço",BB$12&lt;&gt;0,$H110&gt;0,OR(AUTOEVENTO&lt;&gt;"manual",$M110&lt;&gt;$A$15)),
        IF(Import.TipoArredondamento&lt;&gt;"TransfereGOV",
              ROUND(OFFSET($P110,0,BB$13),15-13*ORÇAMENTO!$AF$7)/$H110*OFFSET(ORÇAMENTO!$X$15,ROW(BB110)-ROW(BB$15),0),
              ROUND(ROUND(OFFSET($P110,0,BB$13),15-13*ORÇAMENTO!$AF$7)*OFFSET(ORÇAMENTO!$W$15,ROW(BB110)-ROW(BB$15),0),15-13*ORÇAMENTO!$AF$11)),
         0)</f>
        <v>0</v>
      </c>
      <c r="BC110" s="352" t="n">
        <f aca="true">IF(AND($D110="Serviço",BC$12&lt;&gt;0,$H110&gt;0,OR(AUTOEVENTO&lt;&gt;"manual",$M110&lt;&gt;$A$15)),
        IF(Import.TipoArredondamento&lt;&gt;"TransfereGOV",
              ROUND(OFFSET($P110,0,BC$13),15-13*ORÇAMENTO!$AF$7)/$H110*OFFSET(ORÇAMENTO!$X$15,ROW(BC110)-ROW(BC$15),0),
              ROUND(ROUND(OFFSET($P110,0,BC$13),15-13*ORÇAMENTO!$AF$7)*OFFSET(ORÇAMENTO!$W$15,ROW(BC110)-ROW(BC$15),0),15-13*ORÇAMENTO!$AF$11)),
         0)</f>
        <v>0</v>
      </c>
      <c r="BD110" s="352" t="n">
        <f aca="true">IF(AND($D110="Serviço",BD$12&lt;&gt;0,$H110&gt;0,OR(AUTOEVENTO&lt;&gt;"manual",$M110&lt;&gt;$A$15)),
        IF(Import.TipoArredondamento&lt;&gt;"TransfereGOV",
              ROUND(OFFSET($P110,0,BD$13),15-13*ORÇAMENTO!$AF$7)/$H110*OFFSET(ORÇAMENTO!$X$15,ROW(BD110)-ROW(BD$15),0),
              ROUND(ROUND(OFFSET($P110,0,BD$13),15-13*ORÇAMENTO!$AF$7)*OFFSET(ORÇAMENTO!$W$15,ROW(BD110)-ROW(BD$15),0),15-13*ORÇAMENTO!$AF$11)),
         0)</f>
        <v>0</v>
      </c>
      <c r="BE110" s="352" t="n">
        <f aca="true">IF(AND($D110="Serviço",BE$12&lt;&gt;0,$H110&gt;0,OR(AUTOEVENTO&lt;&gt;"manual",$M110&lt;&gt;$A$15)),
        IF(Import.TipoArredondamento&lt;&gt;"TransfereGOV",
              ROUND(OFFSET($P110,0,BE$13),15-13*ORÇAMENTO!$AF$7)/$H110*OFFSET(ORÇAMENTO!$X$15,ROW(BE110)-ROW(BE$15),0),
              ROUND(ROUND(OFFSET($P110,0,BE$13),15-13*ORÇAMENTO!$AF$7)*OFFSET(ORÇAMENTO!$W$15,ROW(BE110)-ROW(BE$15),0),15-13*ORÇAMENTO!$AF$11)),
         0)</f>
        <v>0</v>
      </c>
      <c r="BF110" s="352" t="n">
        <f aca="true">IF(AND($D110="Serviço",BF$12&lt;&gt;0,$H110&gt;0,OR(AUTOEVENTO&lt;&gt;"manual",$M110&lt;&gt;$A$15)),
        IF(Import.TipoArredondamento&lt;&gt;"TransfereGOV",
              ROUND(OFFSET($P110,0,BF$13),15-13*ORÇAMENTO!$AF$7)/$H110*OFFSET(ORÇAMENTO!$X$15,ROW(BF110)-ROW(BF$15),0),
              ROUND(ROUND(OFFSET($P110,0,BF$13),15-13*ORÇAMENTO!$AF$7)*OFFSET(ORÇAMENTO!$W$15,ROW(BF110)-ROW(BF$15),0),15-13*ORÇAMENTO!$AF$11)),
         0)</f>
        <v>0</v>
      </c>
      <c r="BG110" s="352" t="n">
        <f aca="true">IF(AND($D110="Serviço",BG$12&lt;&gt;0,$H110&gt;0,OR(AUTOEVENTO&lt;&gt;"manual",$M110&lt;&gt;$A$15)),
        IF(Import.TipoArredondamento&lt;&gt;"TransfereGOV",
              ROUND(OFFSET($P110,0,BG$13),15-13*ORÇAMENTO!$AF$7)/$H110*OFFSET(ORÇAMENTO!$X$15,ROW(BG110)-ROW(BG$15),0),
              ROUND(ROUND(OFFSET($P110,0,BG$13),15-13*ORÇAMENTO!$AF$7)*OFFSET(ORÇAMENTO!$W$15,ROW(BG110)-ROW(BG$15),0),15-13*ORÇAMENTO!$AF$11)),
         0)</f>
        <v>0</v>
      </c>
      <c r="BH110" s="352" t="n">
        <f aca="true">IF(AND($D110="Serviço",BH$12&lt;&gt;0,$H110&gt;0,OR(AUTOEVENTO&lt;&gt;"manual",$M110&lt;&gt;$A$15)),
        IF(Import.TipoArredondamento&lt;&gt;"TransfereGOV",
              ROUND(OFFSET($P110,0,BH$13),15-13*ORÇAMENTO!$AF$7)/$H110*OFFSET(ORÇAMENTO!$X$15,ROW(BH110)-ROW(BH$15),0),
              ROUND(ROUND(OFFSET($P110,0,BH$13),15-13*ORÇAMENTO!$AF$7)*OFFSET(ORÇAMENTO!$W$15,ROW(BH110)-ROW(BH$15),0),15-13*ORÇAMENTO!$AF$11)),
         0)</f>
        <v>0</v>
      </c>
      <c r="BI110" s="352" t="n">
        <f aca="true">IF(AND($D110="Serviço",BI$12&lt;&gt;0,$H110&gt;0,OR(AUTOEVENTO&lt;&gt;"manual",$M110&lt;&gt;$A$15)),
        IF(Import.TipoArredondamento&lt;&gt;"TransfereGOV",
              ROUND(OFFSET($P110,0,BI$13),15-13*ORÇAMENTO!$AF$7)/$H110*OFFSET(ORÇAMENTO!$X$15,ROW(BI110)-ROW(BI$15),0),
              ROUND(ROUND(OFFSET($P110,0,BI$13),15-13*ORÇAMENTO!$AF$7)*OFFSET(ORÇAMENTO!$W$15,ROW(BI110)-ROW(BI$15),0),15-13*ORÇAMENTO!$AF$11)),
         0)</f>
        <v>0</v>
      </c>
      <c r="BJ110" s="352" t="n">
        <f aca="true">IF(AND($D110="Serviço",BJ$12&lt;&gt;0,$H110&gt;0,OR(AUTOEVENTO&lt;&gt;"manual",$M110&lt;&gt;$A$15)),
        IF(Import.TipoArredondamento&lt;&gt;"TransfereGOV",
              ROUND(OFFSET($P110,0,BJ$13),15-13*ORÇAMENTO!$AF$7)/$H110*OFFSET(ORÇAMENTO!$X$15,ROW(BJ110)-ROW(BJ$15),0),
              ROUND(ROUND(OFFSET($P110,0,BJ$13),15-13*ORÇAMENTO!$AF$7)*OFFSET(ORÇAMENTO!$W$15,ROW(BJ110)-ROW(BJ$15),0),15-13*ORÇAMENTO!$AF$11)),
         0)</f>
        <v>0</v>
      </c>
      <c r="BK110" s="352" t="n">
        <f aca="true">IF(AND($D110="Serviço",BK$12&lt;&gt;0,$H110&gt;0,OR(AUTOEVENTO&lt;&gt;"manual",$M110&lt;&gt;$A$15)),
        IF(Import.TipoArredondamento&lt;&gt;"TransfereGOV",
              ROUND(OFFSET($P110,0,BK$13),15-13*ORÇAMENTO!$AF$7)/$H110*OFFSET(ORÇAMENTO!$X$15,ROW(BK110)-ROW(BK$15),0),
              ROUND(ROUND(OFFSET($P110,0,BK$13),15-13*ORÇAMENTO!$AF$7)*OFFSET(ORÇAMENTO!$W$15,ROW(BK110)-ROW(BK$15),0),15-13*ORÇAMENTO!$AF$11)),
         0)</f>
        <v>0</v>
      </c>
      <c r="BL110" s="352" t="n">
        <f aca="true">IF(AND($D110="Serviço",BL$12&lt;&gt;0,$H110&gt;0,OR(AUTOEVENTO&lt;&gt;"manual",$M110&lt;&gt;$A$15)),
        IF(Import.TipoArredondamento&lt;&gt;"TransfereGOV",
              ROUND(OFFSET($P110,0,BL$13),15-13*ORÇAMENTO!$AF$7)/$H110*OFFSET(ORÇAMENTO!$X$15,ROW(BL110)-ROW(BL$15),0),
              ROUND(ROUND(OFFSET($P110,0,BL$13),15-13*ORÇAMENTO!$AF$7)*OFFSET(ORÇAMENTO!$W$15,ROW(BL110)-ROW(BL$15),0),15-13*ORÇAMENTO!$AF$11)),
         0)</f>
        <v>0</v>
      </c>
      <c r="BM110" s="352" t="n">
        <f aca="true">IF(AND($D110="Serviço",BM$12&lt;&gt;0,$H110&gt;0,OR(AUTOEVENTO&lt;&gt;"manual",$M110&lt;&gt;$A$15)),
        IF(Import.TipoArredondamento&lt;&gt;"TransfereGOV",
              ROUND(OFFSET($P110,0,BM$13),15-13*ORÇAMENTO!$AF$7)/$H110*OFFSET(ORÇAMENTO!$X$15,ROW(BM110)-ROW(BM$15),0),
              ROUND(ROUND(OFFSET($P110,0,BM$13),15-13*ORÇAMENTO!$AF$7)*OFFSET(ORÇAMENTO!$W$15,ROW(BM110)-ROW(BM$15),0),15-13*ORÇAMENTO!$AF$11)),
         0)</f>
        <v>0</v>
      </c>
      <c r="BN110" s="352" t="n">
        <f aca="true">IF(AND($D110="Serviço",BN$12&lt;&gt;0,$H110&gt;0,OR(AUTOEVENTO&lt;&gt;"manual",$M110&lt;&gt;$A$15)),
        IF(Import.TipoArredondamento&lt;&gt;"TransfereGOV",
              ROUND(OFFSET($P110,0,BN$13),15-13*ORÇAMENTO!$AF$7)/$H110*OFFSET(ORÇAMENTO!$X$15,ROW(BN110)-ROW(BN$15),0),
              ROUND(ROUND(OFFSET($P110,0,BN$13),15-13*ORÇAMENTO!$AF$7)*OFFSET(ORÇAMENTO!$W$15,ROW(BN110)-ROW(BN$15),0),15-13*ORÇAMENTO!$AF$11)),
         0)</f>
        <v>0</v>
      </c>
      <c r="BO110" s="352" t="n">
        <f aca="true">IF(AND($D110="Serviço",BO$12&lt;&gt;0,$H110&gt;0,OR(AUTOEVENTO&lt;&gt;"manual",$M110&lt;&gt;$A$15)),
        IF(Import.TipoArredondamento&lt;&gt;"TransfereGOV",
              ROUND(OFFSET($P110,0,BO$13),15-13*ORÇAMENTO!$AF$7)/$H110*OFFSET(ORÇAMENTO!$X$15,ROW(BO110)-ROW(BO$15),0),
              ROUND(ROUND(OFFSET($P110,0,BO$13),15-13*ORÇAMENTO!$AF$7)*OFFSET(ORÇAMENTO!$W$15,ROW(BO110)-ROW(BO$15),0),15-13*ORÇAMENTO!$AF$11)),
         0)</f>
        <v>0</v>
      </c>
      <c r="BP110" s="352" t="n">
        <f aca="true">IF(AND($D110="Serviço",BP$12&lt;&gt;0,$H110&gt;0,OR(AUTOEVENTO&lt;&gt;"manual",$M110&lt;&gt;$A$15)),
        IF(Import.TipoArredondamento&lt;&gt;"TransfereGOV",
              ROUND(OFFSET($P110,0,BP$13),15-13*ORÇAMENTO!$AF$7)/$H110*OFFSET(ORÇAMENTO!$X$15,ROW(BP110)-ROW(BP$15),0),
              ROUND(ROUND(OFFSET($P110,0,BP$13),15-13*ORÇAMENTO!$AF$7)*OFFSET(ORÇAMENTO!$W$15,ROW(BP110)-ROW(BP$15),0),15-13*ORÇAMENTO!$AF$11)),
         0)</f>
        <v>0</v>
      </c>
      <c r="BQ110" s="352" t="n">
        <f aca="true">IF(AND($D110="Serviço",BQ$12&lt;&gt;0,$H110&gt;0,OR(AUTOEVENTO&lt;&gt;"manual",$M110&lt;&gt;$A$15)),
        IF(Import.TipoArredondamento&lt;&gt;"TransfereGOV",
              ROUND(OFFSET($P110,0,BQ$13),15-13*ORÇAMENTO!$AF$7)/$H110*OFFSET(ORÇAMENTO!$X$15,ROW(BQ110)-ROW(BQ$15),0),
              ROUND(ROUND(OFFSET($P110,0,BQ$13),15-13*ORÇAMENTO!$AF$7)*OFFSET(ORÇAMENTO!$W$15,ROW(BQ110)-ROW(BQ$15),0),15-13*ORÇAMENTO!$AF$11)),
         0)</f>
        <v>0</v>
      </c>
      <c r="BS110" s="353" t="n">
        <f aca="true">IF(OR($D110&lt;&gt;"Serviço",AND(AUTOEVENTO="Manual",$M110=$A$15)),0,
         IF(OFFSET(CRONOPLE!$F$15,$M110-$A$15,BS$13)=0,10^12,OFFSET(CRONOPLE!$F$15,$M110-$A$15,BS$13)))</f>
        <v>0</v>
      </c>
      <c r="BT110" s="353" t="n">
        <f aca="true">IF(OR($D110&lt;&gt;"Serviço",AND(AUTOEVENTO="Manual",$M110=$A$15)),0,
         IF(OFFSET(CRONOPLE!$F$15,$M110-$A$15,BT$13)=0,10^12,OFFSET(CRONOPLE!$F$15,$M110-$A$15,BT$13)))</f>
        <v>0</v>
      </c>
      <c r="BU110" s="353" t="n">
        <f aca="true">IF(OR($D110&lt;&gt;"Serviço",AND(AUTOEVENTO="Manual",$M110=$A$15)),0,
         IF(OFFSET(CRONOPLE!$F$15,$M110-$A$15,BU$13)=0,10^12,OFFSET(CRONOPLE!$F$15,$M110-$A$15,BU$13)))</f>
        <v>0</v>
      </c>
      <c r="BV110" s="353" t="n">
        <f aca="true">IF(OR($D110&lt;&gt;"Serviço",AND(AUTOEVENTO="Manual",$M110=$A$15)),0,
         IF(OFFSET(CRONOPLE!$F$15,$M110-$A$15,BV$13)=0,10^12,OFFSET(CRONOPLE!$F$15,$M110-$A$15,BV$13)))</f>
        <v>0</v>
      </c>
      <c r="BW110" s="353" t="n">
        <f aca="true">IF(OR($D110&lt;&gt;"Serviço",AND(AUTOEVENTO="Manual",$M110=$A$15)),0,
         IF(OFFSET(CRONOPLE!$F$15,$M110-$A$15,BW$13)=0,10^12,OFFSET(CRONOPLE!$F$15,$M110-$A$15,BW$13)))</f>
        <v>0</v>
      </c>
      <c r="BX110" s="353" t="n">
        <f aca="true">IF(OR($D110&lt;&gt;"Serviço",AND(AUTOEVENTO="Manual",$M110=$A$15)),0,
         IF(OFFSET(CRONOPLE!$F$15,$M110-$A$15,BX$13)=0,10^12,OFFSET(CRONOPLE!$F$15,$M110-$A$15,BX$13)))</f>
        <v>0</v>
      </c>
      <c r="BY110" s="353" t="n">
        <f aca="true">IF(OR($D110&lt;&gt;"Serviço",AND(AUTOEVENTO="Manual",$M110=$A$15)),0,
         IF(OFFSET(CRONOPLE!$F$15,$M110-$A$15,BY$13)=0,10^12,OFFSET(CRONOPLE!$F$15,$M110-$A$15,BY$13)))</f>
        <v>0</v>
      </c>
      <c r="BZ110" s="353" t="n">
        <f aca="true">IF(OR($D110&lt;&gt;"Serviço",AND(AUTOEVENTO="Manual",$M110=$A$15)),0,
         IF(OFFSET(CRONOPLE!$F$15,$M110-$A$15,BZ$13)=0,10^12,OFFSET(CRONOPLE!$F$15,$M110-$A$15,BZ$13)))</f>
        <v>0</v>
      </c>
      <c r="CA110" s="353" t="n">
        <f aca="true">IF(OR($D110&lt;&gt;"Serviço",AND(AUTOEVENTO="Manual",$M110=$A$15)),0,
         IF(OFFSET(CRONOPLE!$F$15,$M110-$A$15,CA$13)=0,10^12,OFFSET(CRONOPLE!$F$15,$M110-$A$15,CA$13)))</f>
        <v>0</v>
      </c>
      <c r="CB110" s="353" t="n">
        <f aca="true">IF(OR($D110&lt;&gt;"Serviço",AND(AUTOEVENTO="Manual",$M110=$A$15)),0,
         IF(OFFSET(CRONOPLE!$F$15,$M110-$A$15,CB$13)=0,10^12,OFFSET(CRONOPLE!$F$15,$M110-$A$15,CB$13)))</f>
        <v>0</v>
      </c>
      <c r="CC110" s="353" t="n">
        <f aca="true">IF(OR($D110&lt;&gt;"Serviço",AND(AUTOEVENTO="Manual",$M110=$A$15)),0,
         IF(OFFSET(CRONOPLE!$F$15,$M110-$A$15,CC$13)=0,10^12,OFFSET(CRONOPLE!$F$15,$M110-$A$15,CC$13)))</f>
        <v>0</v>
      </c>
      <c r="CD110" s="353" t="n">
        <f aca="true">IF(OR($D110&lt;&gt;"Serviço",AND(AUTOEVENTO="Manual",$M110=$A$15)),0,
         IF(OFFSET(CRONOPLE!$F$15,$M110-$A$15,CD$13)=0,10^12,OFFSET(CRONOPLE!$F$15,$M110-$A$15,CD$13)))</f>
        <v>0</v>
      </c>
      <c r="CE110" s="353" t="n">
        <f aca="true">IF(OR($D110&lt;&gt;"Serviço",AND(AUTOEVENTO="Manual",$M110=$A$15)),0,
         IF(OFFSET(CRONOPLE!$F$15,$M110-$A$15,CE$13)=0,10^12,OFFSET(CRONOPLE!$F$15,$M110-$A$15,CE$13)))</f>
        <v>0</v>
      </c>
      <c r="CF110" s="353" t="n">
        <f aca="true">IF(OR($D110&lt;&gt;"Serviço",AND(AUTOEVENTO="Manual",$M110=$A$15)),0,
         IF(OFFSET(CRONOPLE!$F$15,$M110-$A$15,CF$13)=0,10^12,OFFSET(CRONOPLE!$F$15,$M110-$A$15,CF$13)))</f>
        <v>0</v>
      </c>
      <c r="CG110" s="353" t="n">
        <f aca="true">IF(OR($D110&lt;&gt;"Serviço",AND(AUTOEVENTO="Manual",$M110=$A$15)),0,
         IF(OFFSET(CRONOPLE!$F$15,$M110-$A$15,CG$13)=0,10^12,OFFSET(CRONOPLE!$F$15,$M110-$A$15,CG$13)))</f>
        <v>0</v>
      </c>
      <c r="CH110" s="353" t="n">
        <f aca="true">IF(OR($D110&lt;&gt;"Serviço",AND(AUTOEVENTO="Manual",$M110=$A$15)),0,
         IF(OFFSET(CRONOPLE!$F$15,$M110-$A$15,CH$13)=0,10^12,OFFSET(CRONOPLE!$F$15,$M110-$A$15,CH$13)))</f>
        <v>0</v>
      </c>
      <c r="CI110" s="353" t="n">
        <f aca="true">IF(OR($D110&lt;&gt;"Serviço",AND(AUTOEVENTO="Manual",$M110=$A$15)),0,
         IF(OFFSET(CRONOPLE!$F$15,$M110-$A$15,CI$13)=0,10^12,OFFSET(CRONOPLE!$F$15,$M110-$A$15,CI$13)))</f>
        <v>0</v>
      </c>
      <c r="CJ110" s="353" t="n">
        <f aca="true">IF(OR($D110&lt;&gt;"Serviço",AND(AUTOEVENTO="Manual",$M110=$A$15)),0,
         IF(OFFSET(CRONOPLE!$F$15,$M110-$A$15,CJ$13)=0,10^12,OFFSET(CRONOPLE!$F$15,$M110-$A$15,CJ$13)))</f>
        <v>0</v>
      </c>
      <c r="CK110" s="353" t="n">
        <f aca="true">IF(OR($D110&lt;&gt;"Serviço",AND(AUTOEVENTO="Manual",$M110=$A$15)),0,
         IF(OFFSET(CRONOPLE!$F$15,$M110-$A$15,CK$13)=0,10^12,OFFSET(CRONOPLE!$F$15,$M110-$A$15,CK$13)))</f>
        <v>0</v>
      </c>
      <c r="CL110" s="353" t="n">
        <f aca="true">IF(OR($D110&lt;&gt;"Serviço",AND(AUTOEVENTO="Manual",$M110=$A$15)),0,
         IF(OFFSET(CRONOPLE!$F$15,$M110-$A$15,CL$13)=0,10^12,OFFSET(CRONOPLE!$F$15,$M110-$A$15,CL$13)))</f>
        <v>0</v>
      </c>
      <c r="CM110" s="353" t="n">
        <f aca="true">IF(OR($D110&lt;&gt;"Serviço",AND(AUTOEVENTO="Manual",$M110=$A$15)),0,
         IF(OFFSET(CRONOPLE!$F$15,$M110-$A$15,CM$13)=0,10^12,OFFSET(CRONOPLE!$F$15,$M110-$A$15,CM$13)))</f>
        <v>0</v>
      </c>
      <c r="CN110" s="353" t="n">
        <f aca="true">IF(OR($D110&lt;&gt;"Serviço",AND(AUTOEVENTO="Manual",$M110=$A$15)),0,
         IF(OFFSET(CRONOPLE!$F$15,$M110-$A$15,CN$13)=0,10^12,OFFSET(CRONOPLE!$F$15,$M110-$A$15,CN$13)))</f>
        <v>0</v>
      </c>
      <c r="CO110" s="353" t="n">
        <f aca="true">IF(OR($D110&lt;&gt;"Serviço",AND(AUTOEVENTO="Manual",$M110=$A$15)),0,
         IF(OFFSET(CRONOPLE!$F$15,$M110-$A$15,CO$13)=0,10^12,OFFSET(CRONOPLE!$F$15,$M110-$A$15,CO$13)))</f>
        <v>0</v>
      </c>
      <c r="CP110" s="353" t="n">
        <f aca="true">IF(OR($D110&lt;&gt;"Serviço",AND(AUTOEVENTO="Manual",$M110=$A$15)),0,
         IF(OFFSET(CRONOPLE!$F$15,$M110-$A$15,CP$13)=0,10^12,OFFSET(CRONOPLE!$F$15,$M110-$A$15,CP$13)))</f>
        <v>0</v>
      </c>
      <c r="CQ110" s="353" t="n">
        <f aca="true">IF(OR($D110&lt;&gt;"Serviço",AND(AUTOEVENTO="Manual",$M110=$A$15)),0,
         IF(OFFSET(CRONOPLE!$F$15,$M110-$A$15,CQ$13)=0,10^12,OFFSET(CRONOPLE!$F$15,$M110-$A$15,CQ$13)))</f>
        <v>0</v>
      </c>
      <c r="CR110" s="353" t="n">
        <f aca="true">IF(OR($D110&lt;&gt;"Serviço",AND(AUTOEVENTO="Manual",$M110=$A$15)),0,
         IF(OFFSET(CRONOPLE!$F$15,$M110-$A$15,CR$13)=0,10^12,OFFSET(CRONOPLE!$F$15,$M110-$A$15,CR$13)))</f>
        <v>0</v>
      </c>
      <c r="CT110" s="354" t="n">
        <f aca="true">IF(OR($D110&lt;&gt;"Serviço",AND(AUTOEVENTO="Manual",$M110=$A$15),$M110&gt;(ROW(PLE.lastrow)-ROW(PLE.firstrow))),0,
           IF(OFFSET(PLE!$G$15,$M110-$A$15,CT$13)="",10^12,OFFSET(PLE!$G$15,$M110-$A$15,CT$13)))</f>
        <v>0</v>
      </c>
      <c r="CU110" s="354" t="n">
        <f aca="true">IF(OR($D110&lt;&gt;"Serviço",AND(AUTOEVENTO="Manual",$M110=$A$15),$M110&gt;(ROW(PLE.lastrow)-ROW(PLE.firstrow))),0,
           IF(OFFSET(PLE!$G$15,$M110-$A$15,CU$13)="",10^12,OFFSET(PLE!$G$15,$M110-$A$15,CU$13)))</f>
        <v>0</v>
      </c>
      <c r="CV110" s="354" t="n">
        <f aca="true">IF(OR($D110&lt;&gt;"Serviço",AND(AUTOEVENTO="Manual",$M110=$A$15),$M110&gt;(ROW(PLE.lastrow)-ROW(PLE.firstrow))),0,
           IF(OFFSET(PLE!$G$15,$M110-$A$15,CV$13)="",10^12,OFFSET(PLE!$G$15,$M110-$A$15,CV$13)))</f>
        <v>0</v>
      </c>
      <c r="CW110" s="354" t="n">
        <f aca="true">IF(OR($D110&lt;&gt;"Serviço",AND(AUTOEVENTO="Manual",$M110=$A$15),$M110&gt;(ROW(PLE.lastrow)-ROW(PLE.firstrow))),0,
           IF(OFFSET(PLE!$G$15,$M110-$A$15,CW$13)="",10^12,OFFSET(PLE!$G$15,$M110-$A$15,CW$13)))</f>
        <v>0</v>
      </c>
      <c r="CX110" s="354" t="n">
        <f aca="true">IF(OR($D110&lt;&gt;"Serviço",AND(AUTOEVENTO="Manual",$M110=$A$15),$M110&gt;(ROW(PLE.lastrow)-ROW(PLE.firstrow))),0,
           IF(OFFSET(PLE!$G$15,$M110-$A$15,CX$13)="",10^12,OFFSET(PLE!$G$15,$M110-$A$15,CX$13)))</f>
        <v>0</v>
      </c>
      <c r="CY110" s="354" t="n">
        <f aca="true">IF(OR($D110&lt;&gt;"Serviço",AND(AUTOEVENTO="Manual",$M110=$A$15),$M110&gt;(ROW(PLE.lastrow)-ROW(PLE.firstrow))),0,
           IF(OFFSET(PLE!$G$15,$M110-$A$15,CY$13)="",10^12,OFFSET(PLE!$G$15,$M110-$A$15,CY$13)))</f>
        <v>0</v>
      </c>
      <c r="CZ110" s="354" t="n">
        <f aca="true">IF(OR($D110&lt;&gt;"Serviço",AND(AUTOEVENTO="Manual",$M110=$A$15),$M110&gt;(ROW(PLE.lastrow)-ROW(PLE.firstrow))),0,
           IF(OFFSET(PLE!$G$15,$M110-$A$15,CZ$13)="",10^12,OFFSET(PLE!$G$15,$M110-$A$15,CZ$13)))</f>
        <v>0</v>
      </c>
      <c r="DA110" s="354" t="n">
        <f aca="true">IF(OR($D110&lt;&gt;"Serviço",AND(AUTOEVENTO="Manual",$M110=$A$15),$M110&gt;(ROW(PLE.lastrow)-ROW(PLE.firstrow))),0,
           IF(OFFSET(PLE!$G$15,$M110-$A$15,DA$13)="",10^12,OFFSET(PLE!$G$15,$M110-$A$15,DA$13)))</f>
        <v>0</v>
      </c>
      <c r="DB110" s="354" t="n">
        <f aca="true">IF(OR($D110&lt;&gt;"Serviço",AND(AUTOEVENTO="Manual",$M110=$A$15),$M110&gt;(ROW(PLE.lastrow)-ROW(PLE.firstrow))),0,
           IF(OFFSET(PLE!$G$15,$M110-$A$15,DB$13)="",10^12,OFFSET(PLE!$G$15,$M110-$A$15,DB$13)))</f>
        <v>0</v>
      </c>
      <c r="DC110" s="354" t="n">
        <f aca="true">IF(OR($D110&lt;&gt;"Serviço",AND(AUTOEVENTO="Manual",$M110=$A$15),$M110&gt;(ROW(PLE.lastrow)-ROW(PLE.firstrow))),0,
           IF(OFFSET(PLE!$G$15,$M110-$A$15,DC$13)="",10^12,OFFSET(PLE!$G$15,$M110-$A$15,DC$13)))</f>
        <v>0</v>
      </c>
      <c r="DD110" s="354" t="n">
        <f aca="true">IF(OR($D110&lt;&gt;"Serviço",AND(AUTOEVENTO="Manual",$M110=$A$15),$M110&gt;(ROW(PLE.lastrow)-ROW(PLE.firstrow))),0,
           IF(OFFSET(PLE!$G$15,$M110-$A$15,DD$13)="",10^12,OFFSET(PLE!$G$15,$M110-$A$15,DD$13)))</f>
        <v>0</v>
      </c>
      <c r="DE110" s="354" t="n">
        <f aca="true">IF(OR($D110&lt;&gt;"Serviço",AND(AUTOEVENTO="Manual",$M110=$A$15),$M110&gt;(ROW(PLE.lastrow)-ROW(PLE.firstrow))),0,
           IF(OFFSET(PLE!$G$15,$M110-$A$15,DE$13)="",10^12,OFFSET(PLE!$G$15,$M110-$A$15,DE$13)))</f>
        <v>0</v>
      </c>
      <c r="DF110" s="354" t="n">
        <f aca="true">IF(OR($D110&lt;&gt;"Serviço",AND(AUTOEVENTO="Manual",$M110=$A$15),$M110&gt;(ROW(PLE.lastrow)-ROW(PLE.firstrow))),0,
           IF(OFFSET(PLE!$G$15,$M110-$A$15,DF$13)="",10^12,OFFSET(PLE!$G$15,$M110-$A$15,DF$13)))</f>
        <v>0</v>
      </c>
      <c r="DG110" s="354" t="n">
        <f aca="true">IF(OR($D110&lt;&gt;"Serviço",AND(AUTOEVENTO="Manual",$M110=$A$15),$M110&gt;(ROW(PLE.lastrow)-ROW(PLE.firstrow))),0,
           IF(OFFSET(PLE!$G$15,$M110-$A$15,DG$13)="",10^12,OFFSET(PLE!$G$15,$M110-$A$15,DG$13)))</f>
        <v>0</v>
      </c>
      <c r="DH110" s="354" t="n">
        <f aca="true">IF(OR($D110&lt;&gt;"Serviço",AND(AUTOEVENTO="Manual",$M110=$A$15),$M110&gt;(ROW(PLE.lastrow)-ROW(PLE.firstrow))),0,
           IF(OFFSET(PLE!$G$15,$M110-$A$15,DH$13)="",10^12,OFFSET(PLE!$G$15,$M110-$A$15,DH$13)))</f>
        <v>0</v>
      </c>
      <c r="DI110" s="354" t="n">
        <f aca="true">IF(OR($D110&lt;&gt;"Serviço",AND(AUTOEVENTO="Manual",$M110=$A$15),$M110&gt;(ROW(PLE.lastrow)-ROW(PLE.firstrow))),0,
           IF(OFFSET(PLE!$G$15,$M110-$A$15,DI$13)="",10^12,OFFSET(PLE!$G$15,$M110-$A$15,DI$13)))</f>
        <v>0</v>
      </c>
      <c r="DJ110" s="354" t="n">
        <f aca="true">IF(OR($D110&lt;&gt;"Serviço",AND(AUTOEVENTO="Manual",$M110=$A$15),$M110&gt;(ROW(PLE.lastrow)-ROW(PLE.firstrow))),0,
           IF(OFFSET(PLE!$G$15,$M110-$A$15,DJ$13)="",10^12,OFFSET(PLE!$G$15,$M110-$A$15,DJ$13)))</f>
        <v>0</v>
      </c>
      <c r="DK110" s="354" t="n">
        <f aca="true">IF(OR($D110&lt;&gt;"Serviço",AND(AUTOEVENTO="Manual",$M110=$A$15),$M110&gt;(ROW(PLE.lastrow)-ROW(PLE.firstrow))),0,
           IF(OFFSET(PLE!$G$15,$M110-$A$15,DK$13)="",10^12,OFFSET(PLE!$G$15,$M110-$A$15,DK$13)))</f>
        <v>0</v>
      </c>
      <c r="DL110" s="354" t="n">
        <f aca="true">IF(OR($D110&lt;&gt;"Serviço",AND(AUTOEVENTO="Manual",$M110=$A$15),$M110&gt;(ROW(PLE.lastrow)-ROW(PLE.firstrow))),0,
           IF(OFFSET(PLE!$G$15,$M110-$A$15,DL$13)="",10^12,OFFSET(PLE!$G$15,$M110-$A$15,DL$13)))</f>
        <v>0</v>
      </c>
      <c r="DM110" s="354" t="n">
        <f aca="true">IF(OR($D110&lt;&gt;"Serviço",AND(AUTOEVENTO="Manual",$M110=$A$15),$M110&gt;(ROW(PLE.lastrow)-ROW(PLE.firstrow))),0,
           IF(OFFSET(PLE!$G$15,$M110-$A$15,DM$13)="",10^12,OFFSET(PLE!$G$15,$M110-$A$15,DM$13)))</f>
        <v>0</v>
      </c>
      <c r="DN110" s="354" t="n">
        <f aca="true">IF(OR($D110&lt;&gt;"Serviço",AND(AUTOEVENTO="Manual",$M110=$A$15),$M110&gt;(ROW(PLE.lastrow)-ROW(PLE.firstrow))),0,
           IF(OFFSET(PLE!$G$15,$M110-$A$15,DN$13)="",10^12,OFFSET(PLE!$G$15,$M110-$A$15,DN$13)))</f>
        <v>0</v>
      </c>
      <c r="DO110" s="354" t="n">
        <f aca="true">IF(OR($D110&lt;&gt;"Serviço",AND(AUTOEVENTO="Manual",$M110=$A$15),$M110&gt;(ROW(PLE.lastrow)-ROW(PLE.firstrow))),0,
           IF(OFFSET(PLE!$G$15,$M110-$A$15,DO$13)="",10^12,OFFSET(PLE!$G$15,$M110-$A$15,DO$13)))</f>
        <v>0</v>
      </c>
      <c r="DP110" s="354" t="n">
        <f aca="true">IF(OR($D110&lt;&gt;"Serviço",AND(AUTOEVENTO="Manual",$M110=$A$15),$M110&gt;(ROW(PLE.lastrow)-ROW(PLE.firstrow))),0,
           IF(OFFSET(PLE!$G$15,$M110-$A$15,DP$13)="",10^12,OFFSET(PLE!$G$15,$M110-$A$15,DP$13)))</f>
        <v>0</v>
      </c>
      <c r="DQ110" s="354" t="n">
        <f aca="true">IF(OR($D110&lt;&gt;"Serviço",AND(AUTOEVENTO="Manual",$M110=$A$15),$M110&gt;(ROW(PLE.lastrow)-ROW(PLE.firstrow))),0,
           IF(OFFSET(PLE!$G$15,$M110-$A$15,DQ$13)="",10^12,OFFSET(PLE!$G$15,$M110-$A$15,DQ$13)))</f>
        <v>0</v>
      </c>
      <c r="DR110" s="354" t="n">
        <f aca="true">IF(OR($D110&lt;&gt;"Serviço",AND(AUTOEVENTO="Manual",$M110=$A$15),$M110&gt;(ROW(PLE.lastrow)-ROW(PLE.firstrow))),0,
           IF(OFFSET(PLE!$G$15,$M110-$A$15,DR$13)="",10^12,OFFSET(PLE!$G$15,$M110-$A$15,DR$13)))</f>
        <v>0</v>
      </c>
      <c r="DS110" s="354" t="n">
        <f aca="true">IF(OR($D110&lt;&gt;"Serviço",AND(AUTOEVENTO="Manual",$M110=$A$15),$M110&gt;(ROW(PLE.lastrow)-ROW(PLE.firstrow))),0,
           IF(OFFSET(PLE!$G$15,$M110-$A$15,DS$13)="",10^12,OFFSET(PLE!$G$15,$M110-$A$15,DS$13)))</f>
        <v>0</v>
      </c>
    </row>
    <row r="111" customFormat="false" ht="12.75" hidden="false" customHeight="false" outlineLevel="0" collapsed="false">
      <c r="A111" s="50" t="str">
        <f aca="true">IFERROR(IF(AUTOEVENTO="Manual",IF(K111&lt;&gt;"",MIN(VALUE(LEFT(K111,FIND(".",K111)-1)),COUNTA(EVENTOS.Lista)),0),IF(OR($B111&gt;AUTOEVENTO,$B111="S",$B111=0),SUBSTITUTE(OFFSET($A111,-1,0),IF($D111="Serviço",".",""),""),ROW(A111)-ROW($A$15)&amp;".")),0)</f>
        <v>96.</v>
      </c>
      <c r="B111" s="50" t="n">
        <f aca="true">OFFSET(ORÇAMENTO!C$15,ROW(B111)-ROW(B$15),0)</f>
        <v>2</v>
      </c>
      <c r="C111" s="50" t="str">
        <f aca="true">OFFSET(ORÇAMENTO!L$15,ROW(C111)-ROW(C$15),0)</f>
        <v>F</v>
      </c>
      <c r="D111" s="201" t="str">
        <f aca="true">OFFSET(ORÇAMENTO!N$15,ROW(D111)-ROW(D$15),0)</f>
        <v>Nível 2</v>
      </c>
      <c r="E111" s="202" t="str">
        <f aca="true">OFFSET(ORÇAMENTO!O$15,ROW(E111)-ROW(E$15),0)</f>
        <v>1.31.</v>
      </c>
      <c r="F111" s="341" t="str">
        <f aca="true">OFFSET(ORÇAMENTO!R$15,ROW(F111)-ROW(F$15),0)</f>
        <v>CIMENTADOS</v>
      </c>
      <c r="G111" s="342" t="str">
        <f aca="true">IF($D111&lt;&gt;"Serviço","",OFFSET(ORÇAMENTO!S$15,ROW(G111)-ROW(G$15),0))</f>
        <v/>
      </c>
      <c r="H111" s="207" t="n">
        <f aca="true">IF($D111&lt;&gt;"Serviço",0,IF(ACOMPANHAMENTO="BM",ROUND(OFFSET(ORÇAMENTO!AJ$15,ROW(H111)-ROW(H$15),0),15-13*ORÇAMENTO!$AF$7),SUMPRODUCT(($Q$1:$AQ$1=1)*ROUND($Q111:$AQ111,15-13*ORÇAMENTO!$AF$7))))</f>
        <v>0</v>
      </c>
      <c r="I111" s="343"/>
      <c r="J111" s="344" t="str">
        <f aca="false">IF(OR(B111&lt;&gt;"S",CÁLCULO.FrentesPreenchidas=0),"",IF(AND(ACOMPANHAMENTO="PLE",AUTOEVENTO="Manual",OR(H111&gt;0,ORÇAMENTO!AC111="QUANT."),OR(K111="",M111=0,N111="")),"►",IF(AND(ACOMPANHAMENTO="PLE",ORÇAMENTO!AC111="QUANT."),"►►",IF(AND(COUNTIF($P$11:$AQ$11,"▼")=0,H111&gt;0,I111=""),"◄",""))))</f>
        <v/>
      </c>
      <c r="K111" s="345"/>
      <c r="L111" s="346" t="s">
        <v>876</v>
      </c>
      <c r="M111" s="347" t="str">
        <f aca="true">IF($D111&lt;&gt;"Serviço","",
          IF(AUTOEVENTO="manual",$A111,
                IF(ISERROR(MATCH($A111,$A$15:OFFSET($A111,-1,0),0)),MAX($M$15:OFFSET(M111,-1,0))+1,
                      INDEX($M$15:OFFSET(M111,-1,0),MATCH($A111,$A$15:OFFSET($A111,-1,0),0)))))</f>
        <v/>
      </c>
      <c r="N111" s="348" t="str">
        <f aca="true">IF($D111&lt;&gt;"Serviço","",
         IF(AUTOEVENTO="Manual",
                IF($A111=0,"&lt;-- defina o número do agrupador",
                       OFFSET(EVENTOS!$D$15,$A111-$A$15,0)),
                OFFSET($F$15,$A111,0)))</f>
        <v/>
      </c>
      <c r="O111" s="349"/>
      <c r="Q111" s="349" t="n">
        <v>54.35</v>
      </c>
      <c r="R111" s="350" t="n">
        <v>54.35</v>
      </c>
      <c r="S111" s="350" t="n">
        <v>54.35</v>
      </c>
      <c r="T111" s="350" t="n">
        <v>54.35</v>
      </c>
      <c r="U111" s="350" t="n">
        <v>54.35</v>
      </c>
      <c r="V111" s="350" t="n">
        <v>54.35</v>
      </c>
      <c r="W111" s="350" t="n">
        <v>54.35</v>
      </c>
      <c r="X111" s="350" t="n">
        <v>54.35</v>
      </c>
      <c r="Y111" s="350" t="n">
        <v>54.35</v>
      </c>
      <c r="Z111" s="351" t="n">
        <v>54.35</v>
      </c>
      <c r="AA111" s="350" t="n">
        <v>54.35</v>
      </c>
      <c r="AB111" s="350" t="n">
        <v>54.35</v>
      </c>
      <c r="AC111" s="350" t="n">
        <v>54.35</v>
      </c>
      <c r="AD111" s="350" t="n">
        <v>54.35</v>
      </c>
      <c r="AE111" s="350" t="n">
        <v>54.35</v>
      </c>
      <c r="AF111" s="350" t="n">
        <v>54.35</v>
      </c>
      <c r="AG111" s="350" t="n">
        <v>54.35</v>
      </c>
      <c r="AH111" s="351" t="n">
        <v>54.35</v>
      </c>
      <c r="AI111" s="350" t="n">
        <v>54.35</v>
      </c>
      <c r="AJ111" s="350" t="n">
        <v>54.35</v>
      </c>
      <c r="AK111" s="350" t="n">
        <v>54.35</v>
      </c>
      <c r="AL111" s="350" t="n">
        <v>54.35</v>
      </c>
      <c r="AM111" s="350" t="n">
        <v>54.35</v>
      </c>
      <c r="AN111" s="350" t="n">
        <v>54.35</v>
      </c>
      <c r="AO111" s="350" t="n">
        <v>54.35</v>
      </c>
      <c r="AP111" s="351"/>
      <c r="AR111" s="352" t="n">
        <f aca="true">IF(AND($D111="Serviço",AR$12&lt;&gt;0,$H111&gt;0,OR(AUTOEVENTO&lt;&gt;"manual",$M111&lt;&gt;$A$15)),
        IF(Import.TipoArredondamento&lt;&gt;"TransfereGOV",
              ROUND(OFFSET($P111,0,AR$13),15-13*ORÇAMENTO!$AF$7)/$H111*OFFSET(ORÇAMENTO!$X$15,ROW(AR111)-ROW(AR$15),0),
              ROUND(ROUND(OFFSET($P111,0,AR$13),15-13*ORÇAMENTO!$AF$7)*OFFSET(ORÇAMENTO!$W$15,ROW(AR111)-ROW(AR$15),0),15-13*ORÇAMENTO!$AF$11)),
         0)</f>
        <v>0</v>
      </c>
      <c r="AS111" s="352" t="n">
        <f aca="true">IF(AND($D111="Serviço",AS$12&lt;&gt;0,$H111&gt;0,OR(AUTOEVENTO&lt;&gt;"manual",$M111&lt;&gt;$A$15)),
        IF(Import.TipoArredondamento&lt;&gt;"TransfereGOV",
              ROUND(OFFSET($P111,0,AS$13),15-13*ORÇAMENTO!$AF$7)/$H111*OFFSET(ORÇAMENTO!$X$15,ROW(AS111)-ROW(AS$15),0),
              ROUND(ROUND(OFFSET($P111,0,AS$13),15-13*ORÇAMENTO!$AF$7)*OFFSET(ORÇAMENTO!$W$15,ROW(AS111)-ROW(AS$15),0),15-13*ORÇAMENTO!$AF$11)),
         0)</f>
        <v>0</v>
      </c>
      <c r="AT111" s="352" t="n">
        <f aca="true">IF(AND($D111="Serviço",AT$12&lt;&gt;0,$H111&gt;0,OR(AUTOEVENTO&lt;&gt;"manual",$M111&lt;&gt;$A$15)),
        IF(Import.TipoArredondamento&lt;&gt;"TransfereGOV",
              ROUND(OFFSET($P111,0,AT$13),15-13*ORÇAMENTO!$AF$7)/$H111*OFFSET(ORÇAMENTO!$X$15,ROW(AT111)-ROW(AT$15),0),
              ROUND(ROUND(OFFSET($P111,0,AT$13),15-13*ORÇAMENTO!$AF$7)*OFFSET(ORÇAMENTO!$W$15,ROW(AT111)-ROW(AT$15),0),15-13*ORÇAMENTO!$AF$11)),
         0)</f>
        <v>0</v>
      </c>
      <c r="AU111" s="352" t="n">
        <f aca="true">IF(AND($D111="Serviço",AU$12&lt;&gt;0,$H111&gt;0,OR(AUTOEVENTO&lt;&gt;"manual",$M111&lt;&gt;$A$15)),
        IF(Import.TipoArredondamento&lt;&gt;"TransfereGOV",
              ROUND(OFFSET($P111,0,AU$13),15-13*ORÇAMENTO!$AF$7)/$H111*OFFSET(ORÇAMENTO!$X$15,ROW(AU111)-ROW(AU$15),0),
              ROUND(ROUND(OFFSET($P111,0,AU$13),15-13*ORÇAMENTO!$AF$7)*OFFSET(ORÇAMENTO!$W$15,ROW(AU111)-ROW(AU$15),0),15-13*ORÇAMENTO!$AF$11)),
         0)</f>
        <v>0</v>
      </c>
      <c r="AV111" s="352" t="n">
        <f aca="true">IF(AND($D111="Serviço",AV$12&lt;&gt;0,$H111&gt;0,OR(AUTOEVENTO&lt;&gt;"manual",$M111&lt;&gt;$A$15)),
        IF(Import.TipoArredondamento&lt;&gt;"TransfereGOV",
              ROUND(OFFSET($P111,0,AV$13),15-13*ORÇAMENTO!$AF$7)/$H111*OFFSET(ORÇAMENTO!$X$15,ROW(AV111)-ROW(AV$15),0),
              ROUND(ROUND(OFFSET($P111,0,AV$13),15-13*ORÇAMENTO!$AF$7)*OFFSET(ORÇAMENTO!$W$15,ROW(AV111)-ROW(AV$15),0),15-13*ORÇAMENTO!$AF$11)),
         0)</f>
        <v>0</v>
      </c>
      <c r="AW111" s="352" t="n">
        <f aca="true">IF(AND($D111="Serviço",AW$12&lt;&gt;0,$H111&gt;0,OR(AUTOEVENTO&lt;&gt;"manual",$M111&lt;&gt;$A$15)),
        IF(Import.TipoArredondamento&lt;&gt;"TransfereGOV",
              ROUND(OFFSET($P111,0,AW$13),15-13*ORÇAMENTO!$AF$7)/$H111*OFFSET(ORÇAMENTO!$X$15,ROW(AW111)-ROW(AW$15),0),
              ROUND(ROUND(OFFSET($P111,0,AW$13),15-13*ORÇAMENTO!$AF$7)*OFFSET(ORÇAMENTO!$W$15,ROW(AW111)-ROW(AW$15),0),15-13*ORÇAMENTO!$AF$11)),
         0)</f>
        <v>0</v>
      </c>
      <c r="AX111" s="352" t="n">
        <f aca="true">IF(AND($D111="Serviço",AX$12&lt;&gt;0,$H111&gt;0,OR(AUTOEVENTO&lt;&gt;"manual",$M111&lt;&gt;$A$15)),
        IF(Import.TipoArredondamento&lt;&gt;"TransfereGOV",
              ROUND(OFFSET($P111,0,AX$13),15-13*ORÇAMENTO!$AF$7)/$H111*OFFSET(ORÇAMENTO!$X$15,ROW(AX111)-ROW(AX$15),0),
              ROUND(ROUND(OFFSET($P111,0,AX$13),15-13*ORÇAMENTO!$AF$7)*OFFSET(ORÇAMENTO!$W$15,ROW(AX111)-ROW(AX$15),0),15-13*ORÇAMENTO!$AF$11)),
         0)</f>
        <v>0</v>
      </c>
      <c r="AY111" s="352" t="n">
        <f aca="true">IF(AND($D111="Serviço",AY$12&lt;&gt;0,$H111&gt;0,OR(AUTOEVENTO&lt;&gt;"manual",$M111&lt;&gt;$A$15)),
        IF(Import.TipoArredondamento&lt;&gt;"TransfereGOV",
              ROUND(OFFSET($P111,0,AY$13),15-13*ORÇAMENTO!$AF$7)/$H111*OFFSET(ORÇAMENTO!$X$15,ROW(AY111)-ROW(AY$15),0),
              ROUND(ROUND(OFFSET($P111,0,AY$13),15-13*ORÇAMENTO!$AF$7)*OFFSET(ORÇAMENTO!$W$15,ROW(AY111)-ROW(AY$15),0),15-13*ORÇAMENTO!$AF$11)),
         0)</f>
        <v>0</v>
      </c>
      <c r="AZ111" s="352" t="n">
        <f aca="true">IF(AND($D111="Serviço",AZ$12&lt;&gt;0,$H111&gt;0,OR(AUTOEVENTO&lt;&gt;"manual",$M111&lt;&gt;$A$15)),
        IF(Import.TipoArredondamento&lt;&gt;"TransfereGOV",
              ROUND(OFFSET($P111,0,AZ$13),15-13*ORÇAMENTO!$AF$7)/$H111*OFFSET(ORÇAMENTO!$X$15,ROW(AZ111)-ROW(AZ$15),0),
              ROUND(ROUND(OFFSET($P111,0,AZ$13),15-13*ORÇAMENTO!$AF$7)*OFFSET(ORÇAMENTO!$W$15,ROW(AZ111)-ROW(AZ$15),0),15-13*ORÇAMENTO!$AF$11)),
         0)</f>
        <v>0</v>
      </c>
      <c r="BA111" s="352" t="n">
        <f aca="true">IF(AND($D111="Serviço",BA$12&lt;&gt;0,$H111&gt;0,OR(AUTOEVENTO&lt;&gt;"manual",$M111&lt;&gt;$A$15)),
        IF(Import.TipoArredondamento&lt;&gt;"TransfereGOV",
              ROUND(OFFSET($P111,0,BA$13),15-13*ORÇAMENTO!$AF$7)/$H111*OFFSET(ORÇAMENTO!$X$15,ROW(BA111)-ROW(BA$15),0),
              ROUND(ROUND(OFFSET($P111,0,BA$13),15-13*ORÇAMENTO!$AF$7)*OFFSET(ORÇAMENTO!$W$15,ROW(BA111)-ROW(BA$15),0),15-13*ORÇAMENTO!$AF$11)),
         0)</f>
        <v>0</v>
      </c>
      <c r="BB111" s="352" t="n">
        <f aca="true">IF(AND($D111="Serviço",BB$12&lt;&gt;0,$H111&gt;0,OR(AUTOEVENTO&lt;&gt;"manual",$M111&lt;&gt;$A$15)),
        IF(Import.TipoArredondamento&lt;&gt;"TransfereGOV",
              ROUND(OFFSET($P111,0,BB$13),15-13*ORÇAMENTO!$AF$7)/$H111*OFFSET(ORÇAMENTO!$X$15,ROW(BB111)-ROW(BB$15),0),
              ROUND(ROUND(OFFSET($P111,0,BB$13),15-13*ORÇAMENTO!$AF$7)*OFFSET(ORÇAMENTO!$W$15,ROW(BB111)-ROW(BB$15),0),15-13*ORÇAMENTO!$AF$11)),
         0)</f>
        <v>0</v>
      </c>
      <c r="BC111" s="352" t="n">
        <f aca="true">IF(AND($D111="Serviço",BC$12&lt;&gt;0,$H111&gt;0,OR(AUTOEVENTO&lt;&gt;"manual",$M111&lt;&gt;$A$15)),
        IF(Import.TipoArredondamento&lt;&gt;"TransfereGOV",
              ROUND(OFFSET($P111,0,BC$13),15-13*ORÇAMENTO!$AF$7)/$H111*OFFSET(ORÇAMENTO!$X$15,ROW(BC111)-ROW(BC$15),0),
              ROUND(ROUND(OFFSET($P111,0,BC$13),15-13*ORÇAMENTO!$AF$7)*OFFSET(ORÇAMENTO!$W$15,ROW(BC111)-ROW(BC$15),0),15-13*ORÇAMENTO!$AF$11)),
         0)</f>
        <v>0</v>
      </c>
      <c r="BD111" s="352" t="n">
        <f aca="true">IF(AND($D111="Serviço",BD$12&lt;&gt;0,$H111&gt;0,OR(AUTOEVENTO&lt;&gt;"manual",$M111&lt;&gt;$A$15)),
        IF(Import.TipoArredondamento&lt;&gt;"TransfereGOV",
              ROUND(OFFSET($P111,0,BD$13),15-13*ORÇAMENTO!$AF$7)/$H111*OFFSET(ORÇAMENTO!$X$15,ROW(BD111)-ROW(BD$15),0),
              ROUND(ROUND(OFFSET($P111,0,BD$13),15-13*ORÇAMENTO!$AF$7)*OFFSET(ORÇAMENTO!$W$15,ROW(BD111)-ROW(BD$15),0),15-13*ORÇAMENTO!$AF$11)),
         0)</f>
        <v>0</v>
      </c>
      <c r="BE111" s="352" t="n">
        <f aca="true">IF(AND($D111="Serviço",BE$12&lt;&gt;0,$H111&gt;0,OR(AUTOEVENTO&lt;&gt;"manual",$M111&lt;&gt;$A$15)),
        IF(Import.TipoArredondamento&lt;&gt;"TransfereGOV",
              ROUND(OFFSET($P111,0,BE$13),15-13*ORÇAMENTO!$AF$7)/$H111*OFFSET(ORÇAMENTO!$X$15,ROW(BE111)-ROW(BE$15),0),
              ROUND(ROUND(OFFSET($P111,0,BE$13),15-13*ORÇAMENTO!$AF$7)*OFFSET(ORÇAMENTO!$W$15,ROW(BE111)-ROW(BE$15),0),15-13*ORÇAMENTO!$AF$11)),
         0)</f>
        <v>0</v>
      </c>
      <c r="BF111" s="352" t="n">
        <f aca="true">IF(AND($D111="Serviço",BF$12&lt;&gt;0,$H111&gt;0,OR(AUTOEVENTO&lt;&gt;"manual",$M111&lt;&gt;$A$15)),
        IF(Import.TipoArredondamento&lt;&gt;"TransfereGOV",
              ROUND(OFFSET($P111,0,BF$13),15-13*ORÇAMENTO!$AF$7)/$H111*OFFSET(ORÇAMENTO!$X$15,ROW(BF111)-ROW(BF$15),0),
              ROUND(ROUND(OFFSET($P111,0,BF$13),15-13*ORÇAMENTO!$AF$7)*OFFSET(ORÇAMENTO!$W$15,ROW(BF111)-ROW(BF$15),0),15-13*ORÇAMENTO!$AF$11)),
         0)</f>
        <v>0</v>
      </c>
      <c r="BG111" s="352" t="n">
        <f aca="true">IF(AND($D111="Serviço",BG$12&lt;&gt;0,$H111&gt;0,OR(AUTOEVENTO&lt;&gt;"manual",$M111&lt;&gt;$A$15)),
        IF(Import.TipoArredondamento&lt;&gt;"TransfereGOV",
              ROUND(OFFSET($P111,0,BG$13),15-13*ORÇAMENTO!$AF$7)/$H111*OFFSET(ORÇAMENTO!$X$15,ROW(BG111)-ROW(BG$15),0),
              ROUND(ROUND(OFFSET($P111,0,BG$13),15-13*ORÇAMENTO!$AF$7)*OFFSET(ORÇAMENTO!$W$15,ROW(BG111)-ROW(BG$15),0),15-13*ORÇAMENTO!$AF$11)),
         0)</f>
        <v>0</v>
      </c>
      <c r="BH111" s="352" t="n">
        <f aca="true">IF(AND($D111="Serviço",BH$12&lt;&gt;0,$H111&gt;0,OR(AUTOEVENTO&lt;&gt;"manual",$M111&lt;&gt;$A$15)),
        IF(Import.TipoArredondamento&lt;&gt;"TransfereGOV",
              ROUND(OFFSET($P111,0,BH$13),15-13*ORÇAMENTO!$AF$7)/$H111*OFFSET(ORÇAMENTO!$X$15,ROW(BH111)-ROW(BH$15),0),
              ROUND(ROUND(OFFSET($P111,0,BH$13),15-13*ORÇAMENTO!$AF$7)*OFFSET(ORÇAMENTO!$W$15,ROW(BH111)-ROW(BH$15),0),15-13*ORÇAMENTO!$AF$11)),
         0)</f>
        <v>0</v>
      </c>
      <c r="BI111" s="352" t="n">
        <f aca="true">IF(AND($D111="Serviço",BI$12&lt;&gt;0,$H111&gt;0,OR(AUTOEVENTO&lt;&gt;"manual",$M111&lt;&gt;$A$15)),
        IF(Import.TipoArredondamento&lt;&gt;"TransfereGOV",
              ROUND(OFFSET($P111,0,BI$13),15-13*ORÇAMENTO!$AF$7)/$H111*OFFSET(ORÇAMENTO!$X$15,ROW(BI111)-ROW(BI$15),0),
              ROUND(ROUND(OFFSET($P111,0,BI$13),15-13*ORÇAMENTO!$AF$7)*OFFSET(ORÇAMENTO!$W$15,ROW(BI111)-ROW(BI$15),0),15-13*ORÇAMENTO!$AF$11)),
         0)</f>
        <v>0</v>
      </c>
      <c r="BJ111" s="352" t="n">
        <f aca="true">IF(AND($D111="Serviço",BJ$12&lt;&gt;0,$H111&gt;0,OR(AUTOEVENTO&lt;&gt;"manual",$M111&lt;&gt;$A$15)),
        IF(Import.TipoArredondamento&lt;&gt;"TransfereGOV",
              ROUND(OFFSET($P111,0,BJ$13),15-13*ORÇAMENTO!$AF$7)/$H111*OFFSET(ORÇAMENTO!$X$15,ROW(BJ111)-ROW(BJ$15),0),
              ROUND(ROUND(OFFSET($P111,0,BJ$13),15-13*ORÇAMENTO!$AF$7)*OFFSET(ORÇAMENTO!$W$15,ROW(BJ111)-ROW(BJ$15),0),15-13*ORÇAMENTO!$AF$11)),
         0)</f>
        <v>0</v>
      </c>
      <c r="BK111" s="352" t="n">
        <f aca="true">IF(AND($D111="Serviço",BK$12&lt;&gt;0,$H111&gt;0,OR(AUTOEVENTO&lt;&gt;"manual",$M111&lt;&gt;$A$15)),
        IF(Import.TipoArredondamento&lt;&gt;"TransfereGOV",
              ROUND(OFFSET($P111,0,BK$13),15-13*ORÇAMENTO!$AF$7)/$H111*OFFSET(ORÇAMENTO!$X$15,ROW(BK111)-ROW(BK$15),0),
              ROUND(ROUND(OFFSET($P111,0,BK$13),15-13*ORÇAMENTO!$AF$7)*OFFSET(ORÇAMENTO!$W$15,ROW(BK111)-ROW(BK$15),0),15-13*ORÇAMENTO!$AF$11)),
         0)</f>
        <v>0</v>
      </c>
      <c r="BL111" s="352" t="n">
        <f aca="true">IF(AND($D111="Serviço",BL$12&lt;&gt;0,$H111&gt;0,OR(AUTOEVENTO&lt;&gt;"manual",$M111&lt;&gt;$A$15)),
        IF(Import.TipoArredondamento&lt;&gt;"TransfereGOV",
              ROUND(OFFSET($P111,0,BL$13),15-13*ORÇAMENTO!$AF$7)/$H111*OFFSET(ORÇAMENTO!$X$15,ROW(BL111)-ROW(BL$15),0),
              ROUND(ROUND(OFFSET($P111,0,BL$13),15-13*ORÇAMENTO!$AF$7)*OFFSET(ORÇAMENTO!$W$15,ROW(BL111)-ROW(BL$15),0),15-13*ORÇAMENTO!$AF$11)),
         0)</f>
        <v>0</v>
      </c>
      <c r="BM111" s="352" t="n">
        <f aca="true">IF(AND($D111="Serviço",BM$12&lt;&gt;0,$H111&gt;0,OR(AUTOEVENTO&lt;&gt;"manual",$M111&lt;&gt;$A$15)),
        IF(Import.TipoArredondamento&lt;&gt;"TransfereGOV",
              ROUND(OFFSET($P111,0,BM$13),15-13*ORÇAMENTO!$AF$7)/$H111*OFFSET(ORÇAMENTO!$X$15,ROW(BM111)-ROW(BM$15),0),
              ROUND(ROUND(OFFSET($P111,0,BM$13),15-13*ORÇAMENTO!$AF$7)*OFFSET(ORÇAMENTO!$W$15,ROW(BM111)-ROW(BM$15),0),15-13*ORÇAMENTO!$AF$11)),
         0)</f>
        <v>0</v>
      </c>
      <c r="BN111" s="352" t="n">
        <f aca="true">IF(AND($D111="Serviço",BN$12&lt;&gt;0,$H111&gt;0,OR(AUTOEVENTO&lt;&gt;"manual",$M111&lt;&gt;$A$15)),
        IF(Import.TipoArredondamento&lt;&gt;"TransfereGOV",
              ROUND(OFFSET($P111,0,BN$13),15-13*ORÇAMENTO!$AF$7)/$H111*OFFSET(ORÇAMENTO!$X$15,ROW(BN111)-ROW(BN$15),0),
              ROUND(ROUND(OFFSET($P111,0,BN$13),15-13*ORÇAMENTO!$AF$7)*OFFSET(ORÇAMENTO!$W$15,ROW(BN111)-ROW(BN$15),0),15-13*ORÇAMENTO!$AF$11)),
         0)</f>
        <v>0</v>
      </c>
      <c r="BO111" s="352" t="n">
        <f aca="true">IF(AND($D111="Serviço",BO$12&lt;&gt;0,$H111&gt;0,OR(AUTOEVENTO&lt;&gt;"manual",$M111&lt;&gt;$A$15)),
        IF(Import.TipoArredondamento&lt;&gt;"TransfereGOV",
              ROUND(OFFSET($P111,0,BO$13),15-13*ORÇAMENTO!$AF$7)/$H111*OFFSET(ORÇAMENTO!$X$15,ROW(BO111)-ROW(BO$15),0),
              ROUND(ROUND(OFFSET($P111,0,BO$13),15-13*ORÇAMENTO!$AF$7)*OFFSET(ORÇAMENTO!$W$15,ROW(BO111)-ROW(BO$15),0),15-13*ORÇAMENTO!$AF$11)),
         0)</f>
        <v>0</v>
      </c>
      <c r="BP111" s="352" t="n">
        <f aca="true">IF(AND($D111="Serviço",BP$12&lt;&gt;0,$H111&gt;0,OR(AUTOEVENTO&lt;&gt;"manual",$M111&lt;&gt;$A$15)),
        IF(Import.TipoArredondamento&lt;&gt;"TransfereGOV",
              ROUND(OFFSET($P111,0,BP$13),15-13*ORÇAMENTO!$AF$7)/$H111*OFFSET(ORÇAMENTO!$X$15,ROW(BP111)-ROW(BP$15),0),
              ROUND(ROUND(OFFSET($P111,0,BP$13),15-13*ORÇAMENTO!$AF$7)*OFFSET(ORÇAMENTO!$W$15,ROW(BP111)-ROW(BP$15),0),15-13*ORÇAMENTO!$AF$11)),
         0)</f>
        <v>0</v>
      </c>
      <c r="BQ111" s="352" t="n">
        <f aca="true">IF(AND($D111="Serviço",BQ$12&lt;&gt;0,$H111&gt;0,OR(AUTOEVENTO&lt;&gt;"manual",$M111&lt;&gt;$A$15)),
        IF(Import.TipoArredondamento&lt;&gt;"TransfereGOV",
              ROUND(OFFSET($P111,0,BQ$13),15-13*ORÇAMENTO!$AF$7)/$H111*OFFSET(ORÇAMENTO!$X$15,ROW(BQ111)-ROW(BQ$15),0),
              ROUND(ROUND(OFFSET($P111,0,BQ$13),15-13*ORÇAMENTO!$AF$7)*OFFSET(ORÇAMENTO!$W$15,ROW(BQ111)-ROW(BQ$15),0),15-13*ORÇAMENTO!$AF$11)),
         0)</f>
        <v>0</v>
      </c>
      <c r="BS111" s="353" t="n">
        <f aca="true">IF(OR($D111&lt;&gt;"Serviço",AND(AUTOEVENTO="Manual",$M111=$A$15)),0,
         IF(OFFSET(CRONOPLE!$F$15,$M111-$A$15,BS$13)=0,10^12,OFFSET(CRONOPLE!$F$15,$M111-$A$15,BS$13)))</f>
        <v>0</v>
      </c>
      <c r="BT111" s="353" t="n">
        <f aca="true">IF(OR($D111&lt;&gt;"Serviço",AND(AUTOEVENTO="Manual",$M111=$A$15)),0,
         IF(OFFSET(CRONOPLE!$F$15,$M111-$A$15,BT$13)=0,10^12,OFFSET(CRONOPLE!$F$15,$M111-$A$15,BT$13)))</f>
        <v>0</v>
      </c>
      <c r="BU111" s="353" t="n">
        <f aca="true">IF(OR($D111&lt;&gt;"Serviço",AND(AUTOEVENTO="Manual",$M111=$A$15)),0,
         IF(OFFSET(CRONOPLE!$F$15,$M111-$A$15,BU$13)=0,10^12,OFFSET(CRONOPLE!$F$15,$M111-$A$15,BU$13)))</f>
        <v>0</v>
      </c>
      <c r="BV111" s="353" t="n">
        <f aca="true">IF(OR($D111&lt;&gt;"Serviço",AND(AUTOEVENTO="Manual",$M111=$A$15)),0,
         IF(OFFSET(CRONOPLE!$F$15,$M111-$A$15,BV$13)=0,10^12,OFFSET(CRONOPLE!$F$15,$M111-$A$15,BV$13)))</f>
        <v>0</v>
      </c>
      <c r="BW111" s="353" t="n">
        <f aca="true">IF(OR($D111&lt;&gt;"Serviço",AND(AUTOEVENTO="Manual",$M111=$A$15)),0,
         IF(OFFSET(CRONOPLE!$F$15,$M111-$A$15,BW$13)=0,10^12,OFFSET(CRONOPLE!$F$15,$M111-$A$15,BW$13)))</f>
        <v>0</v>
      </c>
      <c r="BX111" s="353" t="n">
        <f aca="true">IF(OR($D111&lt;&gt;"Serviço",AND(AUTOEVENTO="Manual",$M111=$A$15)),0,
         IF(OFFSET(CRONOPLE!$F$15,$M111-$A$15,BX$13)=0,10^12,OFFSET(CRONOPLE!$F$15,$M111-$A$15,BX$13)))</f>
        <v>0</v>
      </c>
      <c r="BY111" s="353" t="n">
        <f aca="true">IF(OR($D111&lt;&gt;"Serviço",AND(AUTOEVENTO="Manual",$M111=$A$15)),0,
         IF(OFFSET(CRONOPLE!$F$15,$M111-$A$15,BY$13)=0,10^12,OFFSET(CRONOPLE!$F$15,$M111-$A$15,BY$13)))</f>
        <v>0</v>
      </c>
      <c r="BZ111" s="353" t="n">
        <f aca="true">IF(OR($D111&lt;&gt;"Serviço",AND(AUTOEVENTO="Manual",$M111=$A$15)),0,
         IF(OFFSET(CRONOPLE!$F$15,$M111-$A$15,BZ$13)=0,10^12,OFFSET(CRONOPLE!$F$15,$M111-$A$15,BZ$13)))</f>
        <v>0</v>
      </c>
      <c r="CA111" s="353" t="n">
        <f aca="true">IF(OR($D111&lt;&gt;"Serviço",AND(AUTOEVENTO="Manual",$M111=$A$15)),0,
         IF(OFFSET(CRONOPLE!$F$15,$M111-$A$15,CA$13)=0,10^12,OFFSET(CRONOPLE!$F$15,$M111-$A$15,CA$13)))</f>
        <v>0</v>
      </c>
      <c r="CB111" s="353" t="n">
        <f aca="true">IF(OR($D111&lt;&gt;"Serviço",AND(AUTOEVENTO="Manual",$M111=$A$15)),0,
         IF(OFFSET(CRONOPLE!$F$15,$M111-$A$15,CB$13)=0,10^12,OFFSET(CRONOPLE!$F$15,$M111-$A$15,CB$13)))</f>
        <v>0</v>
      </c>
      <c r="CC111" s="353" t="n">
        <f aca="true">IF(OR($D111&lt;&gt;"Serviço",AND(AUTOEVENTO="Manual",$M111=$A$15)),0,
         IF(OFFSET(CRONOPLE!$F$15,$M111-$A$15,CC$13)=0,10^12,OFFSET(CRONOPLE!$F$15,$M111-$A$15,CC$13)))</f>
        <v>0</v>
      </c>
      <c r="CD111" s="353" t="n">
        <f aca="true">IF(OR($D111&lt;&gt;"Serviço",AND(AUTOEVENTO="Manual",$M111=$A$15)),0,
         IF(OFFSET(CRONOPLE!$F$15,$M111-$A$15,CD$13)=0,10^12,OFFSET(CRONOPLE!$F$15,$M111-$A$15,CD$13)))</f>
        <v>0</v>
      </c>
      <c r="CE111" s="353" t="n">
        <f aca="true">IF(OR($D111&lt;&gt;"Serviço",AND(AUTOEVENTO="Manual",$M111=$A$15)),0,
         IF(OFFSET(CRONOPLE!$F$15,$M111-$A$15,CE$13)=0,10^12,OFFSET(CRONOPLE!$F$15,$M111-$A$15,CE$13)))</f>
        <v>0</v>
      </c>
      <c r="CF111" s="353" t="n">
        <f aca="true">IF(OR($D111&lt;&gt;"Serviço",AND(AUTOEVENTO="Manual",$M111=$A$15)),0,
         IF(OFFSET(CRONOPLE!$F$15,$M111-$A$15,CF$13)=0,10^12,OFFSET(CRONOPLE!$F$15,$M111-$A$15,CF$13)))</f>
        <v>0</v>
      </c>
      <c r="CG111" s="353" t="n">
        <f aca="true">IF(OR($D111&lt;&gt;"Serviço",AND(AUTOEVENTO="Manual",$M111=$A$15)),0,
         IF(OFFSET(CRONOPLE!$F$15,$M111-$A$15,CG$13)=0,10^12,OFFSET(CRONOPLE!$F$15,$M111-$A$15,CG$13)))</f>
        <v>0</v>
      </c>
      <c r="CH111" s="353" t="n">
        <f aca="true">IF(OR($D111&lt;&gt;"Serviço",AND(AUTOEVENTO="Manual",$M111=$A$15)),0,
         IF(OFFSET(CRONOPLE!$F$15,$M111-$A$15,CH$13)=0,10^12,OFFSET(CRONOPLE!$F$15,$M111-$A$15,CH$13)))</f>
        <v>0</v>
      </c>
      <c r="CI111" s="353" t="n">
        <f aca="true">IF(OR($D111&lt;&gt;"Serviço",AND(AUTOEVENTO="Manual",$M111=$A$15)),0,
         IF(OFFSET(CRONOPLE!$F$15,$M111-$A$15,CI$13)=0,10^12,OFFSET(CRONOPLE!$F$15,$M111-$A$15,CI$13)))</f>
        <v>0</v>
      </c>
      <c r="CJ111" s="353" t="n">
        <f aca="true">IF(OR($D111&lt;&gt;"Serviço",AND(AUTOEVENTO="Manual",$M111=$A$15)),0,
         IF(OFFSET(CRONOPLE!$F$15,$M111-$A$15,CJ$13)=0,10^12,OFFSET(CRONOPLE!$F$15,$M111-$A$15,CJ$13)))</f>
        <v>0</v>
      </c>
      <c r="CK111" s="353" t="n">
        <f aca="true">IF(OR($D111&lt;&gt;"Serviço",AND(AUTOEVENTO="Manual",$M111=$A$15)),0,
         IF(OFFSET(CRONOPLE!$F$15,$M111-$A$15,CK$13)=0,10^12,OFFSET(CRONOPLE!$F$15,$M111-$A$15,CK$13)))</f>
        <v>0</v>
      </c>
      <c r="CL111" s="353" t="n">
        <f aca="true">IF(OR($D111&lt;&gt;"Serviço",AND(AUTOEVENTO="Manual",$M111=$A$15)),0,
         IF(OFFSET(CRONOPLE!$F$15,$M111-$A$15,CL$13)=0,10^12,OFFSET(CRONOPLE!$F$15,$M111-$A$15,CL$13)))</f>
        <v>0</v>
      </c>
      <c r="CM111" s="353" t="n">
        <f aca="true">IF(OR($D111&lt;&gt;"Serviço",AND(AUTOEVENTO="Manual",$M111=$A$15)),0,
         IF(OFFSET(CRONOPLE!$F$15,$M111-$A$15,CM$13)=0,10^12,OFFSET(CRONOPLE!$F$15,$M111-$A$15,CM$13)))</f>
        <v>0</v>
      </c>
      <c r="CN111" s="353" t="n">
        <f aca="true">IF(OR($D111&lt;&gt;"Serviço",AND(AUTOEVENTO="Manual",$M111=$A$15)),0,
         IF(OFFSET(CRONOPLE!$F$15,$M111-$A$15,CN$13)=0,10^12,OFFSET(CRONOPLE!$F$15,$M111-$A$15,CN$13)))</f>
        <v>0</v>
      </c>
      <c r="CO111" s="353" t="n">
        <f aca="true">IF(OR($D111&lt;&gt;"Serviço",AND(AUTOEVENTO="Manual",$M111=$A$15)),0,
         IF(OFFSET(CRONOPLE!$F$15,$M111-$A$15,CO$13)=0,10^12,OFFSET(CRONOPLE!$F$15,$M111-$A$15,CO$13)))</f>
        <v>0</v>
      </c>
      <c r="CP111" s="353" t="n">
        <f aca="true">IF(OR($D111&lt;&gt;"Serviço",AND(AUTOEVENTO="Manual",$M111=$A$15)),0,
         IF(OFFSET(CRONOPLE!$F$15,$M111-$A$15,CP$13)=0,10^12,OFFSET(CRONOPLE!$F$15,$M111-$A$15,CP$13)))</f>
        <v>0</v>
      </c>
      <c r="CQ111" s="353" t="n">
        <f aca="true">IF(OR($D111&lt;&gt;"Serviço",AND(AUTOEVENTO="Manual",$M111=$A$15)),0,
         IF(OFFSET(CRONOPLE!$F$15,$M111-$A$15,CQ$13)=0,10^12,OFFSET(CRONOPLE!$F$15,$M111-$A$15,CQ$13)))</f>
        <v>0</v>
      </c>
      <c r="CR111" s="353" t="n">
        <f aca="true">IF(OR($D111&lt;&gt;"Serviço",AND(AUTOEVENTO="Manual",$M111=$A$15)),0,
         IF(OFFSET(CRONOPLE!$F$15,$M111-$A$15,CR$13)=0,10^12,OFFSET(CRONOPLE!$F$15,$M111-$A$15,CR$13)))</f>
        <v>0</v>
      </c>
      <c r="CT111" s="354" t="n">
        <f aca="true">IF(OR($D111&lt;&gt;"Serviço",AND(AUTOEVENTO="Manual",$M111=$A$15),$M111&gt;(ROW(PLE.lastrow)-ROW(PLE.firstrow))),0,
           IF(OFFSET(PLE!$G$15,$M111-$A$15,CT$13)="",10^12,OFFSET(PLE!$G$15,$M111-$A$15,CT$13)))</f>
        <v>0</v>
      </c>
      <c r="CU111" s="354" t="n">
        <f aca="true">IF(OR($D111&lt;&gt;"Serviço",AND(AUTOEVENTO="Manual",$M111=$A$15),$M111&gt;(ROW(PLE.lastrow)-ROW(PLE.firstrow))),0,
           IF(OFFSET(PLE!$G$15,$M111-$A$15,CU$13)="",10^12,OFFSET(PLE!$G$15,$M111-$A$15,CU$13)))</f>
        <v>0</v>
      </c>
      <c r="CV111" s="354" t="n">
        <f aca="true">IF(OR($D111&lt;&gt;"Serviço",AND(AUTOEVENTO="Manual",$M111=$A$15),$M111&gt;(ROW(PLE.lastrow)-ROW(PLE.firstrow))),0,
           IF(OFFSET(PLE!$G$15,$M111-$A$15,CV$13)="",10^12,OFFSET(PLE!$G$15,$M111-$A$15,CV$13)))</f>
        <v>0</v>
      </c>
      <c r="CW111" s="354" t="n">
        <f aca="true">IF(OR($D111&lt;&gt;"Serviço",AND(AUTOEVENTO="Manual",$M111=$A$15),$M111&gt;(ROW(PLE.lastrow)-ROW(PLE.firstrow))),0,
           IF(OFFSET(PLE!$G$15,$M111-$A$15,CW$13)="",10^12,OFFSET(PLE!$G$15,$M111-$A$15,CW$13)))</f>
        <v>0</v>
      </c>
      <c r="CX111" s="354" t="n">
        <f aca="true">IF(OR($D111&lt;&gt;"Serviço",AND(AUTOEVENTO="Manual",$M111=$A$15),$M111&gt;(ROW(PLE.lastrow)-ROW(PLE.firstrow))),0,
           IF(OFFSET(PLE!$G$15,$M111-$A$15,CX$13)="",10^12,OFFSET(PLE!$G$15,$M111-$A$15,CX$13)))</f>
        <v>0</v>
      </c>
      <c r="CY111" s="354" t="n">
        <f aca="true">IF(OR($D111&lt;&gt;"Serviço",AND(AUTOEVENTO="Manual",$M111=$A$15),$M111&gt;(ROW(PLE.lastrow)-ROW(PLE.firstrow))),0,
           IF(OFFSET(PLE!$G$15,$M111-$A$15,CY$13)="",10^12,OFFSET(PLE!$G$15,$M111-$A$15,CY$13)))</f>
        <v>0</v>
      </c>
      <c r="CZ111" s="354" t="n">
        <f aca="true">IF(OR($D111&lt;&gt;"Serviço",AND(AUTOEVENTO="Manual",$M111=$A$15),$M111&gt;(ROW(PLE.lastrow)-ROW(PLE.firstrow))),0,
           IF(OFFSET(PLE!$G$15,$M111-$A$15,CZ$13)="",10^12,OFFSET(PLE!$G$15,$M111-$A$15,CZ$13)))</f>
        <v>0</v>
      </c>
      <c r="DA111" s="354" t="n">
        <f aca="true">IF(OR($D111&lt;&gt;"Serviço",AND(AUTOEVENTO="Manual",$M111=$A$15),$M111&gt;(ROW(PLE.lastrow)-ROW(PLE.firstrow))),0,
           IF(OFFSET(PLE!$G$15,$M111-$A$15,DA$13)="",10^12,OFFSET(PLE!$G$15,$M111-$A$15,DA$13)))</f>
        <v>0</v>
      </c>
      <c r="DB111" s="354" t="n">
        <f aca="true">IF(OR($D111&lt;&gt;"Serviço",AND(AUTOEVENTO="Manual",$M111=$A$15),$M111&gt;(ROW(PLE.lastrow)-ROW(PLE.firstrow))),0,
           IF(OFFSET(PLE!$G$15,$M111-$A$15,DB$13)="",10^12,OFFSET(PLE!$G$15,$M111-$A$15,DB$13)))</f>
        <v>0</v>
      </c>
      <c r="DC111" s="354" t="n">
        <f aca="true">IF(OR($D111&lt;&gt;"Serviço",AND(AUTOEVENTO="Manual",$M111=$A$15),$M111&gt;(ROW(PLE.lastrow)-ROW(PLE.firstrow))),0,
           IF(OFFSET(PLE!$G$15,$M111-$A$15,DC$13)="",10^12,OFFSET(PLE!$G$15,$M111-$A$15,DC$13)))</f>
        <v>0</v>
      </c>
      <c r="DD111" s="354" t="n">
        <f aca="true">IF(OR($D111&lt;&gt;"Serviço",AND(AUTOEVENTO="Manual",$M111=$A$15),$M111&gt;(ROW(PLE.lastrow)-ROW(PLE.firstrow))),0,
           IF(OFFSET(PLE!$G$15,$M111-$A$15,DD$13)="",10^12,OFFSET(PLE!$G$15,$M111-$A$15,DD$13)))</f>
        <v>0</v>
      </c>
      <c r="DE111" s="354" t="n">
        <f aca="true">IF(OR($D111&lt;&gt;"Serviço",AND(AUTOEVENTO="Manual",$M111=$A$15),$M111&gt;(ROW(PLE.lastrow)-ROW(PLE.firstrow))),0,
           IF(OFFSET(PLE!$G$15,$M111-$A$15,DE$13)="",10^12,OFFSET(PLE!$G$15,$M111-$A$15,DE$13)))</f>
        <v>0</v>
      </c>
      <c r="DF111" s="354" t="n">
        <f aca="true">IF(OR($D111&lt;&gt;"Serviço",AND(AUTOEVENTO="Manual",$M111=$A$15),$M111&gt;(ROW(PLE.lastrow)-ROW(PLE.firstrow))),0,
           IF(OFFSET(PLE!$G$15,$M111-$A$15,DF$13)="",10^12,OFFSET(PLE!$G$15,$M111-$A$15,DF$13)))</f>
        <v>0</v>
      </c>
      <c r="DG111" s="354" t="n">
        <f aca="true">IF(OR($D111&lt;&gt;"Serviço",AND(AUTOEVENTO="Manual",$M111=$A$15),$M111&gt;(ROW(PLE.lastrow)-ROW(PLE.firstrow))),0,
           IF(OFFSET(PLE!$G$15,$M111-$A$15,DG$13)="",10^12,OFFSET(PLE!$G$15,$M111-$A$15,DG$13)))</f>
        <v>0</v>
      </c>
      <c r="DH111" s="354" t="n">
        <f aca="true">IF(OR($D111&lt;&gt;"Serviço",AND(AUTOEVENTO="Manual",$M111=$A$15),$M111&gt;(ROW(PLE.lastrow)-ROW(PLE.firstrow))),0,
           IF(OFFSET(PLE!$G$15,$M111-$A$15,DH$13)="",10^12,OFFSET(PLE!$G$15,$M111-$A$15,DH$13)))</f>
        <v>0</v>
      </c>
      <c r="DI111" s="354" t="n">
        <f aca="true">IF(OR($D111&lt;&gt;"Serviço",AND(AUTOEVENTO="Manual",$M111=$A$15),$M111&gt;(ROW(PLE.lastrow)-ROW(PLE.firstrow))),0,
           IF(OFFSET(PLE!$G$15,$M111-$A$15,DI$13)="",10^12,OFFSET(PLE!$G$15,$M111-$A$15,DI$13)))</f>
        <v>0</v>
      </c>
      <c r="DJ111" s="354" t="n">
        <f aca="true">IF(OR($D111&lt;&gt;"Serviço",AND(AUTOEVENTO="Manual",$M111=$A$15),$M111&gt;(ROW(PLE.lastrow)-ROW(PLE.firstrow))),0,
           IF(OFFSET(PLE!$G$15,$M111-$A$15,DJ$13)="",10^12,OFFSET(PLE!$G$15,$M111-$A$15,DJ$13)))</f>
        <v>0</v>
      </c>
      <c r="DK111" s="354" t="n">
        <f aca="true">IF(OR($D111&lt;&gt;"Serviço",AND(AUTOEVENTO="Manual",$M111=$A$15),$M111&gt;(ROW(PLE.lastrow)-ROW(PLE.firstrow))),0,
           IF(OFFSET(PLE!$G$15,$M111-$A$15,DK$13)="",10^12,OFFSET(PLE!$G$15,$M111-$A$15,DK$13)))</f>
        <v>0</v>
      </c>
      <c r="DL111" s="354" t="n">
        <f aca="true">IF(OR($D111&lt;&gt;"Serviço",AND(AUTOEVENTO="Manual",$M111=$A$15),$M111&gt;(ROW(PLE.lastrow)-ROW(PLE.firstrow))),0,
           IF(OFFSET(PLE!$G$15,$M111-$A$15,DL$13)="",10^12,OFFSET(PLE!$G$15,$M111-$A$15,DL$13)))</f>
        <v>0</v>
      </c>
      <c r="DM111" s="354" t="n">
        <f aca="true">IF(OR($D111&lt;&gt;"Serviço",AND(AUTOEVENTO="Manual",$M111=$A$15),$M111&gt;(ROW(PLE.lastrow)-ROW(PLE.firstrow))),0,
           IF(OFFSET(PLE!$G$15,$M111-$A$15,DM$13)="",10^12,OFFSET(PLE!$G$15,$M111-$A$15,DM$13)))</f>
        <v>0</v>
      </c>
      <c r="DN111" s="354" t="n">
        <f aca="true">IF(OR($D111&lt;&gt;"Serviço",AND(AUTOEVENTO="Manual",$M111=$A$15),$M111&gt;(ROW(PLE.lastrow)-ROW(PLE.firstrow))),0,
           IF(OFFSET(PLE!$G$15,$M111-$A$15,DN$13)="",10^12,OFFSET(PLE!$G$15,$M111-$A$15,DN$13)))</f>
        <v>0</v>
      </c>
      <c r="DO111" s="354" t="n">
        <f aca="true">IF(OR($D111&lt;&gt;"Serviço",AND(AUTOEVENTO="Manual",$M111=$A$15),$M111&gt;(ROW(PLE.lastrow)-ROW(PLE.firstrow))),0,
           IF(OFFSET(PLE!$G$15,$M111-$A$15,DO$13)="",10^12,OFFSET(PLE!$G$15,$M111-$A$15,DO$13)))</f>
        <v>0</v>
      </c>
      <c r="DP111" s="354" t="n">
        <f aca="true">IF(OR($D111&lt;&gt;"Serviço",AND(AUTOEVENTO="Manual",$M111=$A$15),$M111&gt;(ROW(PLE.lastrow)-ROW(PLE.firstrow))),0,
           IF(OFFSET(PLE!$G$15,$M111-$A$15,DP$13)="",10^12,OFFSET(PLE!$G$15,$M111-$A$15,DP$13)))</f>
        <v>0</v>
      </c>
      <c r="DQ111" s="354" t="n">
        <f aca="true">IF(OR($D111&lt;&gt;"Serviço",AND(AUTOEVENTO="Manual",$M111=$A$15),$M111&gt;(ROW(PLE.lastrow)-ROW(PLE.firstrow))),0,
           IF(OFFSET(PLE!$G$15,$M111-$A$15,DQ$13)="",10^12,OFFSET(PLE!$G$15,$M111-$A$15,DQ$13)))</f>
        <v>0</v>
      </c>
      <c r="DR111" s="354" t="n">
        <f aca="true">IF(OR($D111&lt;&gt;"Serviço",AND(AUTOEVENTO="Manual",$M111=$A$15),$M111&gt;(ROW(PLE.lastrow)-ROW(PLE.firstrow))),0,
           IF(OFFSET(PLE!$G$15,$M111-$A$15,DR$13)="",10^12,OFFSET(PLE!$G$15,$M111-$A$15,DR$13)))</f>
        <v>0</v>
      </c>
      <c r="DS111" s="354" t="n">
        <f aca="true">IF(OR($D111&lt;&gt;"Serviço",AND(AUTOEVENTO="Manual",$M111=$A$15),$M111&gt;(ROW(PLE.lastrow)-ROW(PLE.firstrow))),0,
           IF(OFFSET(PLE!$G$15,$M111-$A$15,DS$13)="",10^12,OFFSET(PLE!$G$15,$M111-$A$15,DS$13)))</f>
        <v>0</v>
      </c>
    </row>
    <row r="112" customFormat="false" ht="35.05" hidden="false" customHeight="false" outlineLevel="0" collapsed="false">
      <c r="A112" s="50" t="str">
        <f aca="true">IFERROR(IF(AUTOEVENTO="Manual",IF(K112&lt;&gt;"",MIN(VALUE(LEFT(K112,FIND(".",K112)-1)),COUNTA(EVENTOS.Lista)),0),IF(OR($B112&gt;AUTOEVENTO,$B112="S",$B112=0),SUBSTITUTE(OFFSET($A112,-1,0),IF($D112="Serviço",".",""),""),ROW(A112)-ROW($A$15)&amp;".")),0)</f>
        <v>96</v>
      </c>
      <c r="B112" s="50" t="str">
        <f aca="true">OFFSET(ORÇAMENTO!C$15,ROW(B112)-ROW(B$15),0)</f>
        <v>S</v>
      </c>
      <c r="C112" s="50" t="str">
        <f aca="true">OFFSET(ORÇAMENTO!L$15,ROW(C112)-ROW(C$15),0)</f>
        <v>F</v>
      </c>
      <c r="D112" s="201" t="str">
        <f aca="true">OFFSET(ORÇAMENTO!N$15,ROW(D112)-ROW(D$15),0)</f>
        <v>Serviço</v>
      </c>
      <c r="E112" s="202" t="str">
        <f aca="true">OFFSET(ORÇAMENTO!O$15,ROW(E112)-ROW(E$15),0)</f>
        <v>1.31.1.</v>
      </c>
      <c r="F112" s="341" t="str">
        <f aca="true">OFFSET(ORÇAMENTO!R$15,ROW(F112)-ROW(F$15),0)</f>
        <v>COMPACTAÇÃO MECÂNICA DE SOLO PARA EXECUÇÃO DE RADIER, PISO DE CONCRETO OU LAJE SOBRE SOLO, COM COMPACTADOR DE SOLOS TIPO PLACA VIBRATÓRIA. AF_09/2021</v>
      </c>
      <c r="G112" s="342" t="str">
        <f aca="true">IF($D112&lt;&gt;"Serviço","",OFFSET(ORÇAMENTO!S$15,ROW(G112)-ROW(G$15),0))</f>
        <v>M3</v>
      </c>
      <c r="H112" s="207" t="n">
        <f aca="true">IF($D112&lt;&gt;"Serviço",0,IF(ACOMPANHAMENTO="BM",ROUND(OFFSET(ORÇAMENTO!AJ$15,ROW(H112)-ROW(H$15),0),15-13*ORÇAMENTO!$AF$7),SUMPRODUCT(($Q$1:$AQ$1=1)*ROUND($Q112:$AQ112,15-13*ORÇAMENTO!$AF$7))))</f>
        <v>378.75</v>
      </c>
      <c r="I112" s="343" t="s">
        <v>965</v>
      </c>
      <c r="J112" s="344" t="e">
        <f aca="false">IF(OR(B112&lt;&gt;"S",CÁLCULO.FrentesPreenchidas=0),"",IF(AND(ACOMPANHAMENTO="PLE",AUTOEVENTO="Manual",OR(H112&gt;0,ORÇAMENTO!AC112="QUANT."),OR(K112="",M112=0,N112="")),"►",IF(AND(ACOMPANHAMENTO="PLE",ORÇAMENTO!AC112="QUANT."),"►►",IF(AND(COUNTIF($P$11:$AQ$11,"▼")=0,H112&gt;0,I112=""),"◄",""))))</f>
        <v>#NAME?</v>
      </c>
      <c r="K112" s="345"/>
      <c r="L112" s="346" t="s">
        <v>876</v>
      </c>
      <c r="M112" s="347" t="n">
        <f aca="true">IF($D112&lt;&gt;"Serviço","",
          IF(AUTOEVENTO="manual",$A112,
                IF(ISERROR(MATCH($A112,$A$15:OFFSET($A112,-1,0),0)),MAX($M$15:OFFSET(M112,-1,0))+1,
                      INDEX($M$15:OFFSET(M112,-1,0),MATCH($A112,$A$15:OFFSET($A112,-1,0),0)))))</f>
        <v>19</v>
      </c>
      <c r="N112" s="348" t="str">
        <f aca="true">IF($D112&lt;&gt;"Serviço","",
         IF(AUTOEVENTO="Manual",
                IF($A112=0,"&lt;-- defina o número do agrupador",
                       OFFSET(EVENTOS!$D$15,$A112-$A$15,0)),
                OFFSET($F$15,$A112,0)))</f>
        <v>CIMENTADOS</v>
      </c>
      <c r="O112" s="349"/>
      <c r="Q112" s="349" t="n">
        <f aca="false">30.3*0.5</f>
        <v>15.15</v>
      </c>
      <c r="R112" s="350" t="n">
        <f aca="false">Q112</f>
        <v>15.15</v>
      </c>
      <c r="S112" s="350" t="n">
        <f aca="false">R112</f>
        <v>15.15</v>
      </c>
      <c r="T112" s="350" t="n">
        <f aca="false">S112</f>
        <v>15.15</v>
      </c>
      <c r="U112" s="350" t="n">
        <f aca="false">T112</f>
        <v>15.15</v>
      </c>
      <c r="V112" s="350" t="n">
        <f aca="false">U112</f>
        <v>15.15</v>
      </c>
      <c r="W112" s="350" t="n">
        <f aca="false">V112</f>
        <v>15.15</v>
      </c>
      <c r="X112" s="350" t="n">
        <f aca="false">W112</f>
        <v>15.15</v>
      </c>
      <c r="Y112" s="350" t="n">
        <f aca="false">X112</f>
        <v>15.15</v>
      </c>
      <c r="Z112" s="351" t="n">
        <f aca="false">Y112</f>
        <v>15.15</v>
      </c>
      <c r="AA112" s="350" t="n">
        <f aca="false">Z112</f>
        <v>15.15</v>
      </c>
      <c r="AB112" s="350" t="n">
        <f aca="false">AA112</f>
        <v>15.15</v>
      </c>
      <c r="AC112" s="350" t="n">
        <f aca="false">AB112</f>
        <v>15.15</v>
      </c>
      <c r="AD112" s="350" t="n">
        <f aca="false">AC112</f>
        <v>15.15</v>
      </c>
      <c r="AE112" s="350" t="n">
        <f aca="false">AD112</f>
        <v>15.15</v>
      </c>
      <c r="AF112" s="350" t="n">
        <f aca="false">AE112</f>
        <v>15.15</v>
      </c>
      <c r="AG112" s="350" t="n">
        <f aca="false">AF112</f>
        <v>15.15</v>
      </c>
      <c r="AH112" s="351" t="n">
        <f aca="false">AG112</f>
        <v>15.15</v>
      </c>
      <c r="AI112" s="350" t="n">
        <f aca="false">AH112</f>
        <v>15.15</v>
      </c>
      <c r="AJ112" s="350" t="n">
        <f aca="false">AI112</f>
        <v>15.15</v>
      </c>
      <c r="AK112" s="350" t="n">
        <f aca="false">AJ112</f>
        <v>15.15</v>
      </c>
      <c r="AL112" s="350" t="n">
        <f aca="false">AK112</f>
        <v>15.15</v>
      </c>
      <c r="AM112" s="350" t="n">
        <f aca="false">AL112</f>
        <v>15.15</v>
      </c>
      <c r="AN112" s="350" t="n">
        <f aca="false">AM112</f>
        <v>15.15</v>
      </c>
      <c r="AO112" s="350" t="n">
        <f aca="false">AN112</f>
        <v>15.15</v>
      </c>
      <c r="AP112" s="351"/>
      <c r="AR112" s="352" t="n">
        <f aca="true">IF(AND($D112="Serviço",AR$12&lt;&gt;0,$H112&gt;0,OR(AUTOEVENTO&lt;&gt;"manual",$M112&lt;&gt;$A$15)),
        IF(Import.TipoArredondamento&lt;&gt;"TransfereGOV",
              ROUND(OFFSET($P112,0,AR$13),15-13*ORÇAMENTO!$AF$7)/$H112*OFFSET(ORÇAMENTO!$X$15,ROW(AR112)-ROW(AR$15),0),
              ROUND(ROUND(OFFSET($P112,0,AR$13),15-13*ORÇAMENTO!$AF$7)*OFFSET(ORÇAMENTO!$W$15,ROW(AR112)-ROW(AR$15),0),15-13*ORÇAMENTO!$AF$11)),
         0)</f>
        <v>13.33</v>
      </c>
      <c r="AS112" s="352" t="n">
        <f aca="true">IF(AND($D112="Serviço",AS$12&lt;&gt;0,$H112&gt;0,OR(AUTOEVENTO&lt;&gt;"manual",$M112&lt;&gt;$A$15)),
        IF(Import.TipoArredondamento&lt;&gt;"TransfereGOV",
              ROUND(OFFSET($P112,0,AS$13),15-13*ORÇAMENTO!$AF$7)/$H112*OFFSET(ORÇAMENTO!$X$15,ROW(AS112)-ROW(AS$15),0),
              ROUND(ROUND(OFFSET($P112,0,AS$13),15-13*ORÇAMENTO!$AF$7)*OFFSET(ORÇAMENTO!$W$15,ROW(AS112)-ROW(AS$15),0),15-13*ORÇAMENTO!$AF$11)),
         0)</f>
        <v>13.33</v>
      </c>
      <c r="AT112" s="352" t="n">
        <f aca="true">IF(AND($D112="Serviço",AT$12&lt;&gt;0,$H112&gt;0,OR(AUTOEVENTO&lt;&gt;"manual",$M112&lt;&gt;$A$15)),
        IF(Import.TipoArredondamento&lt;&gt;"TransfereGOV",
              ROUND(OFFSET($P112,0,AT$13),15-13*ORÇAMENTO!$AF$7)/$H112*OFFSET(ORÇAMENTO!$X$15,ROW(AT112)-ROW(AT$15),0),
              ROUND(ROUND(OFFSET($P112,0,AT$13),15-13*ORÇAMENTO!$AF$7)*OFFSET(ORÇAMENTO!$W$15,ROW(AT112)-ROW(AT$15),0),15-13*ORÇAMENTO!$AF$11)),
         0)</f>
        <v>13.33</v>
      </c>
      <c r="AU112" s="352" t="n">
        <f aca="true">IF(AND($D112="Serviço",AU$12&lt;&gt;0,$H112&gt;0,OR(AUTOEVENTO&lt;&gt;"manual",$M112&lt;&gt;$A$15)),
        IF(Import.TipoArredondamento&lt;&gt;"TransfereGOV",
              ROUND(OFFSET($P112,0,AU$13),15-13*ORÇAMENTO!$AF$7)/$H112*OFFSET(ORÇAMENTO!$X$15,ROW(AU112)-ROW(AU$15),0),
              ROUND(ROUND(OFFSET($P112,0,AU$13),15-13*ORÇAMENTO!$AF$7)*OFFSET(ORÇAMENTO!$W$15,ROW(AU112)-ROW(AU$15),0),15-13*ORÇAMENTO!$AF$11)),
         0)</f>
        <v>13.33</v>
      </c>
      <c r="AV112" s="352" t="n">
        <f aca="true">IF(AND($D112="Serviço",AV$12&lt;&gt;0,$H112&gt;0,OR(AUTOEVENTO&lt;&gt;"manual",$M112&lt;&gt;$A$15)),
        IF(Import.TipoArredondamento&lt;&gt;"TransfereGOV",
              ROUND(OFFSET($P112,0,AV$13),15-13*ORÇAMENTO!$AF$7)/$H112*OFFSET(ORÇAMENTO!$X$15,ROW(AV112)-ROW(AV$15),0),
              ROUND(ROUND(OFFSET($P112,0,AV$13),15-13*ORÇAMENTO!$AF$7)*OFFSET(ORÇAMENTO!$W$15,ROW(AV112)-ROW(AV$15),0),15-13*ORÇAMENTO!$AF$11)),
         0)</f>
        <v>13.33</v>
      </c>
      <c r="AW112" s="352" t="n">
        <f aca="true">IF(AND($D112="Serviço",AW$12&lt;&gt;0,$H112&gt;0,OR(AUTOEVENTO&lt;&gt;"manual",$M112&lt;&gt;$A$15)),
        IF(Import.TipoArredondamento&lt;&gt;"TransfereGOV",
              ROUND(OFFSET($P112,0,AW$13),15-13*ORÇAMENTO!$AF$7)/$H112*OFFSET(ORÇAMENTO!$X$15,ROW(AW112)-ROW(AW$15),0),
              ROUND(ROUND(OFFSET($P112,0,AW$13),15-13*ORÇAMENTO!$AF$7)*OFFSET(ORÇAMENTO!$W$15,ROW(AW112)-ROW(AW$15),0),15-13*ORÇAMENTO!$AF$11)),
         0)</f>
        <v>13.33</v>
      </c>
      <c r="AX112" s="352" t="n">
        <f aca="true">IF(AND($D112="Serviço",AX$12&lt;&gt;0,$H112&gt;0,OR(AUTOEVENTO&lt;&gt;"manual",$M112&lt;&gt;$A$15)),
        IF(Import.TipoArredondamento&lt;&gt;"TransfereGOV",
              ROUND(OFFSET($P112,0,AX$13),15-13*ORÇAMENTO!$AF$7)/$H112*OFFSET(ORÇAMENTO!$X$15,ROW(AX112)-ROW(AX$15),0),
              ROUND(ROUND(OFFSET($P112,0,AX$13),15-13*ORÇAMENTO!$AF$7)*OFFSET(ORÇAMENTO!$W$15,ROW(AX112)-ROW(AX$15),0),15-13*ORÇAMENTO!$AF$11)),
         0)</f>
        <v>13.33</v>
      </c>
      <c r="AY112" s="352" t="n">
        <f aca="true">IF(AND($D112="Serviço",AY$12&lt;&gt;0,$H112&gt;0,OR(AUTOEVENTO&lt;&gt;"manual",$M112&lt;&gt;$A$15)),
        IF(Import.TipoArredondamento&lt;&gt;"TransfereGOV",
              ROUND(OFFSET($P112,0,AY$13),15-13*ORÇAMENTO!$AF$7)/$H112*OFFSET(ORÇAMENTO!$X$15,ROW(AY112)-ROW(AY$15),0),
              ROUND(ROUND(OFFSET($P112,0,AY$13),15-13*ORÇAMENTO!$AF$7)*OFFSET(ORÇAMENTO!$W$15,ROW(AY112)-ROW(AY$15),0),15-13*ORÇAMENTO!$AF$11)),
         0)</f>
        <v>13.33</v>
      </c>
      <c r="AZ112" s="352" t="n">
        <f aca="true">IF(AND($D112="Serviço",AZ$12&lt;&gt;0,$H112&gt;0,OR(AUTOEVENTO&lt;&gt;"manual",$M112&lt;&gt;$A$15)),
        IF(Import.TipoArredondamento&lt;&gt;"TransfereGOV",
              ROUND(OFFSET($P112,0,AZ$13),15-13*ORÇAMENTO!$AF$7)/$H112*OFFSET(ORÇAMENTO!$X$15,ROW(AZ112)-ROW(AZ$15),0),
              ROUND(ROUND(OFFSET($P112,0,AZ$13),15-13*ORÇAMENTO!$AF$7)*OFFSET(ORÇAMENTO!$W$15,ROW(AZ112)-ROW(AZ$15),0),15-13*ORÇAMENTO!$AF$11)),
         0)</f>
        <v>13.33</v>
      </c>
      <c r="BA112" s="352" t="n">
        <f aca="true">IF(AND($D112="Serviço",BA$12&lt;&gt;0,$H112&gt;0,OR(AUTOEVENTO&lt;&gt;"manual",$M112&lt;&gt;$A$15)),
        IF(Import.TipoArredondamento&lt;&gt;"TransfereGOV",
              ROUND(OFFSET($P112,0,BA$13),15-13*ORÇAMENTO!$AF$7)/$H112*OFFSET(ORÇAMENTO!$X$15,ROW(BA112)-ROW(BA$15),0),
              ROUND(ROUND(OFFSET($P112,0,BA$13),15-13*ORÇAMENTO!$AF$7)*OFFSET(ORÇAMENTO!$W$15,ROW(BA112)-ROW(BA$15),0),15-13*ORÇAMENTO!$AF$11)),
         0)</f>
        <v>13.33</v>
      </c>
      <c r="BB112" s="352" t="n">
        <f aca="true">IF(AND($D112="Serviço",BB$12&lt;&gt;0,$H112&gt;0,OR(AUTOEVENTO&lt;&gt;"manual",$M112&lt;&gt;$A$15)),
        IF(Import.TipoArredondamento&lt;&gt;"TransfereGOV",
              ROUND(OFFSET($P112,0,BB$13),15-13*ORÇAMENTO!$AF$7)/$H112*OFFSET(ORÇAMENTO!$X$15,ROW(BB112)-ROW(BB$15),0),
              ROUND(ROUND(OFFSET($P112,0,BB$13),15-13*ORÇAMENTO!$AF$7)*OFFSET(ORÇAMENTO!$W$15,ROW(BB112)-ROW(BB$15),0),15-13*ORÇAMENTO!$AF$11)),
         0)</f>
        <v>13.33</v>
      </c>
      <c r="BC112" s="352" t="n">
        <f aca="true">IF(AND($D112="Serviço",BC$12&lt;&gt;0,$H112&gt;0,OR(AUTOEVENTO&lt;&gt;"manual",$M112&lt;&gt;$A$15)),
        IF(Import.TipoArredondamento&lt;&gt;"TransfereGOV",
              ROUND(OFFSET($P112,0,BC$13),15-13*ORÇAMENTO!$AF$7)/$H112*OFFSET(ORÇAMENTO!$X$15,ROW(BC112)-ROW(BC$15),0),
              ROUND(ROUND(OFFSET($P112,0,BC$13),15-13*ORÇAMENTO!$AF$7)*OFFSET(ORÇAMENTO!$W$15,ROW(BC112)-ROW(BC$15),0),15-13*ORÇAMENTO!$AF$11)),
         0)</f>
        <v>13.33</v>
      </c>
      <c r="BD112" s="352" t="n">
        <f aca="true">IF(AND($D112="Serviço",BD$12&lt;&gt;0,$H112&gt;0,OR(AUTOEVENTO&lt;&gt;"manual",$M112&lt;&gt;$A$15)),
        IF(Import.TipoArredondamento&lt;&gt;"TransfereGOV",
              ROUND(OFFSET($P112,0,BD$13),15-13*ORÇAMENTO!$AF$7)/$H112*OFFSET(ORÇAMENTO!$X$15,ROW(BD112)-ROW(BD$15),0),
              ROUND(ROUND(OFFSET($P112,0,BD$13),15-13*ORÇAMENTO!$AF$7)*OFFSET(ORÇAMENTO!$W$15,ROW(BD112)-ROW(BD$15),0),15-13*ORÇAMENTO!$AF$11)),
         0)</f>
        <v>13.33</v>
      </c>
      <c r="BE112" s="352" t="n">
        <f aca="true">IF(AND($D112="Serviço",BE$12&lt;&gt;0,$H112&gt;0,OR(AUTOEVENTO&lt;&gt;"manual",$M112&lt;&gt;$A$15)),
        IF(Import.TipoArredondamento&lt;&gt;"TransfereGOV",
              ROUND(OFFSET($P112,0,BE$13),15-13*ORÇAMENTO!$AF$7)/$H112*OFFSET(ORÇAMENTO!$X$15,ROW(BE112)-ROW(BE$15),0),
              ROUND(ROUND(OFFSET($P112,0,BE$13),15-13*ORÇAMENTO!$AF$7)*OFFSET(ORÇAMENTO!$W$15,ROW(BE112)-ROW(BE$15),0),15-13*ORÇAMENTO!$AF$11)),
         0)</f>
        <v>13.33</v>
      </c>
      <c r="BF112" s="352" t="n">
        <f aca="true">IF(AND($D112="Serviço",BF$12&lt;&gt;0,$H112&gt;0,OR(AUTOEVENTO&lt;&gt;"manual",$M112&lt;&gt;$A$15)),
        IF(Import.TipoArredondamento&lt;&gt;"TransfereGOV",
              ROUND(OFFSET($P112,0,BF$13),15-13*ORÇAMENTO!$AF$7)/$H112*OFFSET(ORÇAMENTO!$X$15,ROW(BF112)-ROW(BF$15),0),
              ROUND(ROUND(OFFSET($P112,0,BF$13),15-13*ORÇAMENTO!$AF$7)*OFFSET(ORÇAMENTO!$W$15,ROW(BF112)-ROW(BF$15),0),15-13*ORÇAMENTO!$AF$11)),
         0)</f>
        <v>13.33</v>
      </c>
      <c r="BG112" s="352" t="n">
        <f aca="true">IF(AND($D112="Serviço",BG$12&lt;&gt;0,$H112&gt;0,OR(AUTOEVENTO&lt;&gt;"manual",$M112&lt;&gt;$A$15)),
        IF(Import.TipoArredondamento&lt;&gt;"TransfereGOV",
              ROUND(OFFSET($P112,0,BG$13),15-13*ORÇAMENTO!$AF$7)/$H112*OFFSET(ORÇAMENTO!$X$15,ROW(BG112)-ROW(BG$15),0),
              ROUND(ROUND(OFFSET($P112,0,BG$13),15-13*ORÇAMENTO!$AF$7)*OFFSET(ORÇAMENTO!$W$15,ROW(BG112)-ROW(BG$15),0),15-13*ORÇAMENTO!$AF$11)),
         0)</f>
        <v>13.33</v>
      </c>
      <c r="BH112" s="352" t="n">
        <f aca="true">IF(AND($D112="Serviço",BH$12&lt;&gt;0,$H112&gt;0,OR(AUTOEVENTO&lt;&gt;"manual",$M112&lt;&gt;$A$15)),
        IF(Import.TipoArredondamento&lt;&gt;"TransfereGOV",
              ROUND(OFFSET($P112,0,BH$13),15-13*ORÇAMENTO!$AF$7)/$H112*OFFSET(ORÇAMENTO!$X$15,ROW(BH112)-ROW(BH$15),0),
              ROUND(ROUND(OFFSET($P112,0,BH$13),15-13*ORÇAMENTO!$AF$7)*OFFSET(ORÇAMENTO!$W$15,ROW(BH112)-ROW(BH$15),0),15-13*ORÇAMENTO!$AF$11)),
         0)</f>
        <v>13.33</v>
      </c>
      <c r="BI112" s="352" t="n">
        <f aca="true">IF(AND($D112="Serviço",BI$12&lt;&gt;0,$H112&gt;0,OR(AUTOEVENTO&lt;&gt;"manual",$M112&lt;&gt;$A$15)),
        IF(Import.TipoArredondamento&lt;&gt;"TransfereGOV",
              ROUND(OFFSET($P112,0,BI$13),15-13*ORÇAMENTO!$AF$7)/$H112*OFFSET(ORÇAMENTO!$X$15,ROW(BI112)-ROW(BI$15),0),
              ROUND(ROUND(OFFSET($P112,0,BI$13),15-13*ORÇAMENTO!$AF$7)*OFFSET(ORÇAMENTO!$W$15,ROW(BI112)-ROW(BI$15),0),15-13*ORÇAMENTO!$AF$11)),
         0)</f>
        <v>13.33</v>
      </c>
      <c r="BJ112" s="352" t="n">
        <f aca="true">IF(AND($D112="Serviço",BJ$12&lt;&gt;0,$H112&gt;0,OR(AUTOEVENTO&lt;&gt;"manual",$M112&lt;&gt;$A$15)),
        IF(Import.TipoArredondamento&lt;&gt;"TransfereGOV",
              ROUND(OFFSET($P112,0,BJ$13),15-13*ORÇAMENTO!$AF$7)/$H112*OFFSET(ORÇAMENTO!$X$15,ROW(BJ112)-ROW(BJ$15),0),
              ROUND(ROUND(OFFSET($P112,0,BJ$13),15-13*ORÇAMENTO!$AF$7)*OFFSET(ORÇAMENTO!$W$15,ROW(BJ112)-ROW(BJ$15),0),15-13*ORÇAMENTO!$AF$11)),
         0)</f>
        <v>13.33</v>
      </c>
      <c r="BK112" s="352" t="n">
        <f aca="true">IF(AND($D112="Serviço",BK$12&lt;&gt;0,$H112&gt;0,OR(AUTOEVENTO&lt;&gt;"manual",$M112&lt;&gt;$A$15)),
        IF(Import.TipoArredondamento&lt;&gt;"TransfereGOV",
              ROUND(OFFSET($P112,0,BK$13),15-13*ORÇAMENTO!$AF$7)/$H112*OFFSET(ORÇAMENTO!$X$15,ROW(BK112)-ROW(BK$15),0),
              ROUND(ROUND(OFFSET($P112,0,BK$13),15-13*ORÇAMENTO!$AF$7)*OFFSET(ORÇAMENTO!$W$15,ROW(BK112)-ROW(BK$15),0),15-13*ORÇAMENTO!$AF$11)),
         0)</f>
        <v>13.33</v>
      </c>
      <c r="BL112" s="352" t="n">
        <f aca="true">IF(AND($D112="Serviço",BL$12&lt;&gt;0,$H112&gt;0,OR(AUTOEVENTO&lt;&gt;"manual",$M112&lt;&gt;$A$15)),
        IF(Import.TipoArredondamento&lt;&gt;"TransfereGOV",
              ROUND(OFFSET($P112,0,BL$13),15-13*ORÇAMENTO!$AF$7)/$H112*OFFSET(ORÇAMENTO!$X$15,ROW(BL112)-ROW(BL$15),0),
              ROUND(ROUND(OFFSET($P112,0,BL$13),15-13*ORÇAMENTO!$AF$7)*OFFSET(ORÇAMENTO!$W$15,ROW(BL112)-ROW(BL$15),0),15-13*ORÇAMENTO!$AF$11)),
         0)</f>
        <v>13.33</v>
      </c>
      <c r="BM112" s="352" t="n">
        <f aca="true">IF(AND($D112="Serviço",BM$12&lt;&gt;0,$H112&gt;0,OR(AUTOEVENTO&lt;&gt;"manual",$M112&lt;&gt;$A$15)),
        IF(Import.TipoArredondamento&lt;&gt;"TransfereGOV",
              ROUND(OFFSET($P112,0,BM$13),15-13*ORÇAMENTO!$AF$7)/$H112*OFFSET(ORÇAMENTO!$X$15,ROW(BM112)-ROW(BM$15),0),
              ROUND(ROUND(OFFSET($P112,0,BM$13),15-13*ORÇAMENTO!$AF$7)*OFFSET(ORÇAMENTO!$W$15,ROW(BM112)-ROW(BM$15),0),15-13*ORÇAMENTO!$AF$11)),
         0)</f>
        <v>13.33</v>
      </c>
      <c r="BN112" s="352" t="n">
        <f aca="true">IF(AND($D112="Serviço",BN$12&lt;&gt;0,$H112&gt;0,OR(AUTOEVENTO&lt;&gt;"manual",$M112&lt;&gt;$A$15)),
        IF(Import.TipoArredondamento&lt;&gt;"TransfereGOV",
              ROUND(OFFSET($P112,0,BN$13),15-13*ORÇAMENTO!$AF$7)/$H112*OFFSET(ORÇAMENTO!$X$15,ROW(BN112)-ROW(BN$15),0),
              ROUND(ROUND(OFFSET($P112,0,BN$13),15-13*ORÇAMENTO!$AF$7)*OFFSET(ORÇAMENTO!$W$15,ROW(BN112)-ROW(BN$15),0),15-13*ORÇAMENTO!$AF$11)),
         0)</f>
        <v>13.33</v>
      </c>
      <c r="BO112" s="352" t="n">
        <f aca="true">IF(AND($D112="Serviço",BO$12&lt;&gt;0,$H112&gt;0,OR(AUTOEVENTO&lt;&gt;"manual",$M112&lt;&gt;$A$15)),
        IF(Import.TipoArredondamento&lt;&gt;"TransfereGOV",
              ROUND(OFFSET($P112,0,BO$13),15-13*ORÇAMENTO!$AF$7)/$H112*OFFSET(ORÇAMENTO!$X$15,ROW(BO112)-ROW(BO$15),0),
              ROUND(ROUND(OFFSET($P112,0,BO$13),15-13*ORÇAMENTO!$AF$7)*OFFSET(ORÇAMENTO!$W$15,ROW(BO112)-ROW(BO$15),0),15-13*ORÇAMENTO!$AF$11)),
         0)</f>
        <v>13.33</v>
      </c>
      <c r="BP112" s="352" t="n">
        <f aca="true">IF(AND($D112="Serviço",BP$12&lt;&gt;0,$H112&gt;0,OR(AUTOEVENTO&lt;&gt;"manual",$M112&lt;&gt;$A$15)),
        IF(Import.TipoArredondamento&lt;&gt;"TransfereGOV",
              ROUND(OFFSET($P112,0,BP$13),15-13*ORÇAMENTO!$AF$7)/$H112*OFFSET(ORÇAMENTO!$X$15,ROW(BP112)-ROW(BP$15),0),
              ROUND(ROUND(OFFSET($P112,0,BP$13),15-13*ORÇAMENTO!$AF$7)*OFFSET(ORÇAMENTO!$W$15,ROW(BP112)-ROW(BP$15),0),15-13*ORÇAMENTO!$AF$11)),
         0)</f>
        <v>13.33</v>
      </c>
      <c r="BQ112" s="352" t="n">
        <f aca="true">IF(AND($D112="Serviço",BQ$12&lt;&gt;0,$H112&gt;0,OR(AUTOEVENTO&lt;&gt;"manual",$M112&lt;&gt;$A$15)),
        IF(Import.TipoArredondamento&lt;&gt;"TransfereGOV",
              ROUND(OFFSET($P112,0,BQ$13),15-13*ORÇAMENTO!$AF$7)/$H112*OFFSET(ORÇAMENTO!$X$15,ROW(BQ112)-ROW(BQ$15),0),
              ROUND(ROUND(OFFSET($P112,0,BQ$13),15-13*ORÇAMENTO!$AF$7)*OFFSET(ORÇAMENTO!$W$15,ROW(BQ112)-ROW(BQ$15),0),15-13*ORÇAMENTO!$AF$11)),
         0)</f>
        <v>0</v>
      </c>
      <c r="BS112" s="353" t="n">
        <f aca="true">IF(OR($D112&lt;&gt;"Serviço",AND(AUTOEVENTO="Manual",$M112=$A$15)),0,
         IF(OFFSET(CRONOPLE!$F$15,$M112-$A$15,BS$13)=0,10^12,OFFSET(CRONOPLE!$F$15,$M112-$A$15,BS$13)))</f>
        <v>1</v>
      </c>
      <c r="BT112" s="353" t="n">
        <f aca="true">IF(OR($D112&lt;&gt;"Serviço",AND(AUTOEVENTO="Manual",$M112=$A$15)),0,
         IF(OFFSET(CRONOPLE!$F$15,$M112-$A$15,BT$13)=0,10^12,OFFSET(CRONOPLE!$F$15,$M112-$A$15,BT$13)))</f>
        <v>2</v>
      </c>
      <c r="BU112" s="353" t="n">
        <f aca="true">IF(OR($D112&lt;&gt;"Serviço",AND(AUTOEVENTO="Manual",$M112=$A$15)),0,
         IF(OFFSET(CRONOPLE!$F$15,$M112-$A$15,BU$13)=0,10^12,OFFSET(CRONOPLE!$F$15,$M112-$A$15,BU$13)))</f>
        <v>3</v>
      </c>
      <c r="BV112" s="353" t="n">
        <f aca="true">IF(OR($D112&lt;&gt;"Serviço",AND(AUTOEVENTO="Manual",$M112=$A$15)),0,
         IF(OFFSET(CRONOPLE!$F$15,$M112-$A$15,BV$13)=0,10^12,OFFSET(CRONOPLE!$F$15,$M112-$A$15,BV$13)))</f>
        <v>4</v>
      </c>
      <c r="BW112" s="353" t="n">
        <f aca="true">IF(OR($D112&lt;&gt;"Serviço",AND(AUTOEVENTO="Manual",$M112=$A$15)),0,
         IF(OFFSET(CRONOPLE!$F$15,$M112-$A$15,BW$13)=0,10^12,OFFSET(CRONOPLE!$F$15,$M112-$A$15,BW$13)))</f>
        <v>5</v>
      </c>
      <c r="BX112" s="353" t="n">
        <f aca="true">IF(OR($D112&lt;&gt;"Serviço",AND(AUTOEVENTO="Manual",$M112=$A$15)),0,
         IF(OFFSET(CRONOPLE!$F$15,$M112-$A$15,BX$13)=0,10^12,OFFSET(CRONOPLE!$F$15,$M112-$A$15,BX$13)))</f>
        <v>6</v>
      </c>
      <c r="BY112" s="353" t="n">
        <f aca="true">IF(OR($D112&lt;&gt;"Serviço",AND(AUTOEVENTO="Manual",$M112=$A$15)),0,
         IF(OFFSET(CRONOPLE!$F$15,$M112-$A$15,BY$13)=0,10^12,OFFSET(CRONOPLE!$F$15,$M112-$A$15,BY$13)))</f>
        <v>7</v>
      </c>
      <c r="BZ112" s="353" t="n">
        <f aca="true">IF(OR($D112&lt;&gt;"Serviço",AND(AUTOEVENTO="Manual",$M112=$A$15)),0,
         IF(OFFSET(CRONOPLE!$F$15,$M112-$A$15,BZ$13)=0,10^12,OFFSET(CRONOPLE!$F$15,$M112-$A$15,BZ$13)))</f>
        <v>8</v>
      </c>
      <c r="CA112" s="353" t="n">
        <f aca="true">IF(OR($D112&lt;&gt;"Serviço",AND(AUTOEVENTO="Manual",$M112=$A$15)),0,
         IF(OFFSET(CRONOPLE!$F$15,$M112-$A$15,CA$13)=0,10^12,OFFSET(CRONOPLE!$F$15,$M112-$A$15,CA$13)))</f>
        <v>9</v>
      </c>
      <c r="CB112" s="353" t="n">
        <f aca="true">IF(OR($D112&lt;&gt;"Serviço",AND(AUTOEVENTO="Manual",$M112=$A$15)),0,
         IF(OFFSET(CRONOPLE!$F$15,$M112-$A$15,CB$13)=0,10^12,OFFSET(CRONOPLE!$F$15,$M112-$A$15,CB$13)))</f>
        <v>10</v>
      </c>
      <c r="CC112" s="353" t="n">
        <f aca="true">IF(OR($D112&lt;&gt;"Serviço",AND(AUTOEVENTO="Manual",$M112=$A$15)),0,
         IF(OFFSET(CRONOPLE!$F$15,$M112-$A$15,CC$13)=0,10^12,OFFSET(CRONOPLE!$F$15,$M112-$A$15,CC$13)))</f>
        <v>11</v>
      </c>
      <c r="CD112" s="353" t="n">
        <f aca="true">IF(OR($D112&lt;&gt;"Serviço",AND(AUTOEVENTO="Manual",$M112=$A$15)),0,
         IF(OFFSET(CRONOPLE!$F$15,$M112-$A$15,CD$13)=0,10^12,OFFSET(CRONOPLE!$F$15,$M112-$A$15,CD$13)))</f>
        <v>12</v>
      </c>
      <c r="CE112" s="353" t="n">
        <f aca="true">IF(OR($D112&lt;&gt;"Serviço",AND(AUTOEVENTO="Manual",$M112=$A$15)),0,
         IF(OFFSET(CRONOPLE!$F$15,$M112-$A$15,CE$13)=0,10^12,OFFSET(CRONOPLE!$F$15,$M112-$A$15,CE$13)))</f>
        <v>13</v>
      </c>
      <c r="CF112" s="353" t="n">
        <f aca="true">IF(OR($D112&lt;&gt;"Serviço",AND(AUTOEVENTO="Manual",$M112=$A$15)),0,
         IF(OFFSET(CRONOPLE!$F$15,$M112-$A$15,CF$13)=0,10^12,OFFSET(CRONOPLE!$F$15,$M112-$A$15,CF$13)))</f>
        <v>14</v>
      </c>
      <c r="CG112" s="353" t="n">
        <f aca="true">IF(OR($D112&lt;&gt;"Serviço",AND(AUTOEVENTO="Manual",$M112=$A$15)),0,
         IF(OFFSET(CRONOPLE!$F$15,$M112-$A$15,CG$13)=0,10^12,OFFSET(CRONOPLE!$F$15,$M112-$A$15,CG$13)))</f>
        <v>15</v>
      </c>
      <c r="CH112" s="353" t="n">
        <f aca="true">IF(OR($D112&lt;&gt;"Serviço",AND(AUTOEVENTO="Manual",$M112=$A$15)),0,
         IF(OFFSET(CRONOPLE!$F$15,$M112-$A$15,CH$13)=0,10^12,OFFSET(CRONOPLE!$F$15,$M112-$A$15,CH$13)))</f>
        <v>16</v>
      </c>
      <c r="CI112" s="353" t="n">
        <f aca="true">IF(OR($D112&lt;&gt;"Serviço",AND(AUTOEVENTO="Manual",$M112=$A$15)),0,
         IF(OFFSET(CRONOPLE!$F$15,$M112-$A$15,CI$13)=0,10^12,OFFSET(CRONOPLE!$F$15,$M112-$A$15,CI$13)))</f>
        <v>17</v>
      </c>
      <c r="CJ112" s="353" t="n">
        <f aca="true">IF(OR($D112&lt;&gt;"Serviço",AND(AUTOEVENTO="Manual",$M112=$A$15)),0,
         IF(OFFSET(CRONOPLE!$F$15,$M112-$A$15,CJ$13)=0,10^12,OFFSET(CRONOPLE!$F$15,$M112-$A$15,CJ$13)))</f>
        <v>18</v>
      </c>
      <c r="CK112" s="353" t="n">
        <f aca="true">IF(OR($D112&lt;&gt;"Serviço",AND(AUTOEVENTO="Manual",$M112=$A$15)),0,
         IF(OFFSET(CRONOPLE!$F$15,$M112-$A$15,CK$13)=0,10^12,OFFSET(CRONOPLE!$F$15,$M112-$A$15,CK$13)))</f>
        <v>19</v>
      </c>
      <c r="CL112" s="353" t="n">
        <f aca="true">IF(OR($D112&lt;&gt;"Serviço",AND(AUTOEVENTO="Manual",$M112=$A$15)),0,
         IF(OFFSET(CRONOPLE!$F$15,$M112-$A$15,CL$13)=0,10^12,OFFSET(CRONOPLE!$F$15,$M112-$A$15,CL$13)))</f>
        <v>20</v>
      </c>
      <c r="CM112" s="353" t="n">
        <f aca="true">IF(OR($D112&lt;&gt;"Serviço",AND(AUTOEVENTO="Manual",$M112=$A$15)),0,
         IF(OFFSET(CRONOPLE!$F$15,$M112-$A$15,CM$13)=0,10^12,OFFSET(CRONOPLE!$F$15,$M112-$A$15,CM$13)))</f>
        <v>21</v>
      </c>
      <c r="CN112" s="353" t="n">
        <f aca="true">IF(OR($D112&lt;&gt;"Serviço",AND(AUTOEVENTO="Manual",$M112=$A$15)),0,
         IF(OFFSET(CRONOPLE!$F$15,$M112-$A$15,CN$13)=0,10^12,OFFSET(CRONOPLE!$F$15,$M112-$A$15,CN$13)))</f>
        <v>22</v>
      </c>
      <c r="CO112" s="353" t="n">
        <f aca="true">IF(OR($D112&lt;&gt;"Serviço",AND(AUTOEVENTO="Manual",$M112=$A$15)),0,
         IF(OFFSET(CRONOPLE!$F$15,$M112-$A$15,CO$13)=0,10^12,OFFSET(CRONOPLE!$F$15,$M112-$A$15,CO$13)))</f>
        <v>23</v>
      </c>
      <c r="CP112" s="353" t="n">
        <f aca="true">IF(OR($D112&lt;&gt;"Serviço",AND(AUTOEVENTO="Manual",$M112=$A$15)),0,
         IF(OFFSET(CRONOPLE!$F$15,$M112-$A$15,CP$13)=0,10^12,OFFSET(CRONOPLE!$F$15,$M112-$A$15,CP$13)))</f>
        <v>24</v>
      </c>
      <c r="CQ112" s="353" t="n">
        <f aca="true">IF(OR($D112&lt;&gt;"Serviço",AND(AUTOEVENTO="Manual",$M112=$A$15)),0,
         IF(OFFSET(CRONOPLE!$F$15,$M112-$A$15,CQ$13)=0,10^12,OFFSET(CRONOPLE!$F$15,$M112-$A$15,CQ$13)))</f>
        <v>25</v>
      </c>
      <c r="CR112" s="353" t="n">
        <f aca="true">IF(OR($D112&lt;&gt;"Serviço",AND(AUTOEVENTO="Manual",$M112=$A$15)),0,
         IF(OFFSET(CRONOPLE!$F$15,$M112-$A$15,CR$13)=0,10^12,OFFSET(CRONOPLE!$F$15,$M112-$A$15,CR$13)))</f>
        <v>1000000000000</v>
      </c>
      <c r="CT112" s="354" t="n">
        <f aca="true">IF(OR($D112&lt;&gt;"Serviço",AND(AUTOEVENTO="Manual",$M112=$A$15),$M112&gt;(ROW(PLE.lastrow)-ROW(PLE.firstrow))),0,
           IF(OFFSET(PLE!$G$15,$M112-$A$15,CT$13)="",10^12,OFFSET(PLE!$G$15,$M112-$A$15,CT$13)))</f>
        <v>1000000000000</v>
      </c>
      <c r="CU112" s="354" t="n">
        <f aca="true">IF(OR($D112&lt;&gt;"Serviço",AND(AUTOEVENTO="Manual",$M112=$A$15),$M112&gt;(ROW(PLE.lastrow)-ROW(PLE.firstrow))),0,
           IF(OFFSET(PLE!$G$15,$M112-$A$15,CU$13)="",10^12,OFFSET(PLE!$G$15,$M112-$A$15,CU$13)))</f>
        <v>1000000000000</v>
      </c>
      <c r="CV112" s="354" t="n">
        <f aca="true">IF(OR($D112&lt;&gt;"Serviço",AND(AUTOEVENTO="Manual",$M112=$A$15),$M112&gt;(ROW(PLE.lastrow)-ROW(PLE.firstrow))),0,
           IF(OFFSET(PLE!$G$15,$M112-$A$15,CV$13)="",10^12,OFFSET(PLE!$G$15,$M112-$A$15,CV$13)))</f>
        <v>1000000000000</v>
      </c>
      <c r="CW112" s="354" t="n">
        <f aca="true">IF(OR($D112&lt;&gt;"Serviço",AND(AUTOEVENTO="Manual",$M112=$A$15),$M112&gt;(ROW(PLE.lastrow)-ROW(PLE.firstrow))),0,
           IF(OFFSET(PLE!$G$15,$M112-$A$15,CW$13)="",10^12,OFFSET(PLE!$G$15,$M112-$A$15,CW$13)))</f>
        <v>1000000000000</v>
      </c>
      <c r="CX112" s="354" t="n">
        <f aca="true">IF(OR($D112&lt;&gt;"Serviço",AND(AUTOEVENTO="Manual",$M112=$A$15),$M112&gt;(ROW(PLE.lastrow)-ROW(PLE.firstrow))),0,
           IF(OFFSET(PLE!$G$15,$M112-$A$15,CX$13)="",10^12,OFFSET(PLE!$G$15,$M112-$A$15,CX$13)))</f>
        <v>1000000000000</v>
      </c>
      <c r="CY112" s="354" t="n">
        <f aca="true">IF(OR($D112&lt;&gt;"Serviço",AND(AUTOEVENTO="Manual",$M112=$A$15),$M112&gt;(ROW(PLE.lastrow)-ROW(PLE.firstrow))),0,
           IF(OFFSET(PLE!$G$15,$M112-$A$15,CY$13)="",10^12,OFFSET(PLE!$G$15,$M112-$A$15,CY$13)))</f>
        <v>1000000000000</v>
      </c>
      <c r="CZ112" s="354" t="n">
        <f aca="true">IF(OR($D112&lt;&gt;"Serviço",AND(AUTOEVENTO="Manual",$M112=$A$15),$M112&gt;(ROW(PLE.lastrow)-ROW(PLE.firstrow))),0,
           IF(OFFSET(PLE!$G$15,$M112-$A$15,CZ$13)="",10^12,OFFSET(PLE!$G$15,$M112-$A$15,CZ$13)))</f>
        <v>1000000000000</v>
      </c>
      <c r="DA112" s="354" t="n">
        <f aca="true">IF(OR($D112&lt;&gt;"Serviço",AND(AUTOEVENTO="Manual",$M112=$A$15),$M112&gt;(ROW(PLE.lastrow)-ROW(PLE.firstrow))),0,
           IF(OFFSET(PLE!$G$15,$M112-$A$15,DA$13)="",10^12,OFFSET(PLE!$G$15,$M112-$A$15,DA$13)))</f>
        <v>1000000000000</v>
      </c>
      <c r="DB112" s="354" t="n">
        <f aca="true">IF(OR($D112&lt;&gt;"Serviço",AND(AUTOEVENTO="Manual",$M112=$A$15),$M112&gt;(ROW(PLE.lastrow)-ROW(PLE.firstrow))),0,
           IF(OFFSET(PLE!$G$15,$M112-$A$15,DB$13)="",10^12,OFFSET(PLE!$G$15,$M112-$A$15,DB$13)))</f>
        <v>1000000000000</v>
      </c>
      <c r="DC112" s="354" t="n">
        <f aca="true">IF(OR($D112&lt;&gt;"Serviço",AND(AUTOEVENTO="Manual",$M112=$A$15),$M112&gt;(ROW(PLE.lastrow)-ROW(PLE.firstrow))),0,
           IF(OFFSET(PLE!$G$15,$M112-$A$15,DC$13)="",10^12,OFFSET(PLE!$G$15,$M112-$A$15,DC$13)))</f>
        <v>1000000000000</v>
      </c>
      <c r="DD112" s="354" t="n">
        <f aca="true">IF(OR($D112&lt;&gt;"Serviço",AND(AUTOEVENTO="Manual",$M112=$A$15),$M112&gt;(ROW(PLE.lastrow)-ROW(PLE.firstrow))),0,
           IF(OFFSET(PLE!$G$15,$M112-$A$15,DD$13)="",10^12,OFFSET(PLE!$G$15,$M112-$A$15,DD$13)))</f>
        <v>1000000000000</v>
      </c>
      <c r="DE112" s="354" t="n">
        <f aca="true">IF(OR($D112&lt;&gt;"Serviço",AND(AUTOEVENTO="Manual",$M112=$A$15),$M112&gt;(ROW(PLE.lastrow)-ROW(PLE.firstrow))),0,
           IF(OFFSET(PLE!$G$15,$M112-$A$15,DE$13)="",10^12,OFFSET(PLE!$G$15,$M112-$A$15,DE$13)))</f>
        <v>1000000000000</v>
      </c>
      <c r="DF112" s="354" t="n">
        <f aca="true">IF(OR($D112&lt;&gt;"Serviço",AND(AUTOEVENTO="Manual",$M112=$A$15),$M112&gt;(ROW(PLE.lastrow)-ROW(PLE.firstrow))),0,
           IF(OFFSET(PLE!$G$15,$M112-$A$15,DF$13)="",10^12,OFFSET(PLE!$G$15,$M112-$A$15,DF$13)))</f>
        <v>1000000000000</v>
      </c>
      <c r="DG112" s="354" t="n">
        <f aca="true">IF(OR($D112&lt;&gt;"Serviço",AND(AUTOEVENTO="Manual",$M112=$A$15),$M112&gt;(ROW(PLE.lastrow)-ROW(PLE.firstrow))),0,
           IF(OFFSET(PLE!$G$15,$M112-$A$15,DG$13)="",10^12,OFFSET(PLE!$G$15,$M112-$A$15,DG$13)))</f>
        <v>1000000000000</v>
      </c>
      <c r="DH112" s="354" t="n">
        <f aca="true">IF(OR($D112&lt;&gt;"Serviço",AND(AUTOEVENTO="Manual",$M112=$A$15),$M112&gt;(ROW(PLE.lastrow)-ROW(PLE.firstrow))),0,
           IF(OFFSET(PLE!$G$15,$M112-$A$15,DH$13)="",10^12,OFFSET(PLE!$G$15,$M112-$A$15,DH$13)))</f>
        <v>1000000000000</v>
      </c>
      <c r="DI112" s="354" t="n">
        <f aca="true">IF(OR($D112&lt;&gt;"Serviço",AND(AUTOEVENTO="Manual",$M112=$A$15),$M112&gt;(ROW(PLE.lastrow)-ROW(PLE.firstrow))),0,
           IF(OFFSET(PLE!$G$15,$M112-$A$15,DI$13)="",10^12,OFFSET(PLE!$G$15,$M112-$A$15,DI$13)))</f>
        <v>1000000000000</v>
      </c>
      <c r="DJ112" s="354" t="n">
        <f aca="true">IF(OR($D112&lt;&gt;"Serviço",AND(AUTOEVENTO="Manual",$M112=$A$15),$M112&gt;(ROW(PLE.lastrow)-ROW(PLE.firstrow))),0,
           IF(OFFSET(PLE!$G$15,$M112-$A$15,DJ$13)="",10^12,OFFSET(PLE!$G$15,$M112-$A$15,DJ$13)))</f>
        <v>1000000000000</v>
      </c>
      <c r="DK112" s="354" t="n">
        <f aca="true">IF(OR($D112&lt;&gt;"Serviço",AND(AUTOEVENTO="Manual",$M112=$A$15),$M112&gt;(ROW(PLE.lastrow)-ROW(PLE.firstrow))),0,
           IF(OFFSET(PLE!$G$15,$M112-$A$15,DK$13)="",10^12,OFFSET(PLE!$G$15,$M112-$A$15,DK$13)))</f>
        <v>1000000000000</v>
      </c>
      <c r="DL112" s="354" t="n">
        <f aca="true">IF(OR($D112&lt;&gt;"Serviço",AND(AUTOEVENTO="Manual",$M112=$A$15),$M112&gt;(ROW(PLE.lastrow)-ROW(PLE.firstrow))),0,
           IF(OFFSET(PLE!$G$15,$M112-$A$15,DL$13)="",10^12,OFFSET(PLE!$G$15,$M112-$A$15,DL$13)))</f>
        <v>1000000000000</v>
      </c>
      <c r="DM112" s="354" t="n">
        <f aca="true">IF(OR($D112&lt;&gt;"Serviço",AND(AUTOEVENTO="Manual",$M112=$A$15),$M112&gt;(ROW(PLE.lastrow)-ROW(PLE.firstrow))),0,
           IF(OFFSET(PLE!$G$15,$M112-$A$15,DM$13)="",10^12,OFFSET(PLE!$G$15,$M112-$A$15,DM$13)))</f>
        <v>1000000000000</v>
      </c>
      <c r="DN112" s="354" t="n">
        <f aca="true">IF(OR($D112&lt;&gt;"Serviço",AND(AUTOEVENTO="Manual",$M112=$A$15),$M112&gt;(ROW(PLE.lastrow)-ROW(PLE.firstrow))),0,
           IF(OFFSET(PLE!$G$15,$M112-$A$15,DN$13)="",10^12,OFFSET(PLE!$G$15,$M112-$A$15,DN$13)))</f>
        <v>1000000000000</v>
      </c>
      <c r="DO112" s="354" t="n">
        <f aca="true">IF(OR($D112&lt;&gt;"Serviço",AND(AUTOEVENTO="Manual",$M112=$A$15),$M112&gt;(ROW(PLE.lastrow)-ROW(PLE.firstrow))),0,
           IF(OFFSET(PLE!$G$15,$M112-$A$15,DO$13)="",10^12,OFFSET(PLE!$G$15,$M112-$A$15,DO$13)))</f>
        <v>1000000000000</v>
      </c>
      <c r="DP112" s="354" t="n">
        <f aca="true">IF(OR($D112&lt;&gt;"Serviço",AND(AUTOEVENTO="Manual",$M112=$A$15),$M112&gt;(ROW(PLE.lastrow)-ROW(PLE.firstrow))),0,
           IF(OFFSET(PLE!$G$15,$M112-$A$15,DP$13)="",10^12,OFFSET(PLE!$G$15,$M112-$A$15,DP$13)))</f>
        <v>1000000000000</v>
      </c>
      <c r="DQ112" s="354" t="n">
        <f aca="true">IF(OR($D112&lt;&gt;"Serviço",AND(AUTOEVENTO="Manual",$M112=$A$15),$M112&gt;(ROW(PLE.lastrow)-ROW(PLE.firstrow))),0,
           IF(OFFSET(PLE!$G$15,$M112-$A$15,DQ$13)="",10^12,OFFSET(PLE!$G$15,$M112-$A$15,DQ$13)))</f>
        <v>1000000000000</v>
      </c>
      <c r="DR112" s="354" t="n">
        <f aca="true">IF(OR($D112&lt;&gt;"Serviço",AND(AUTOEVENTO="Manual",$M112=$A$15),$M112&gt;(ROW(PLE.lastrow)-ROW(PLE.firstrow))),0,
           IF(OFFSET(PLE!$G$15,$M112-$A$15,DR$13)="",10^12,OFFSET(PLE!$G$15,$M112-$A$15,DR$13)))</f>
        <v>1000000000000</v>
      </c>
      <c r="DS112" s="354" t="n">
        <f aca="true">IF(OR($D112&lt;&gt;"Serviço",AND(AUTOEVENTO="Manual",$M112=$A$15),$M112&gt;(ROW(PLE.lastrow)-ROW(PLE.firstrow))),0,
           IF(OFFSET(PLE!$G$15,$M112-$A$15,DS$13)="",10^12,OFFSET(PLE!$G$15,$M112-$A$15,DS$13)))</f>
        <v>1000000000000</v>
      </c>
    </row>
    <row r="113" customFormat="false" ht="35.05" hidden="false" customHeight="false" outlineLevel="0" collapsed="false">
      <c r="A113" s="50" t="str">
        <f aca="true">IFERROR(IF(AUTOEVENTO="Manual",IF(K113&lt;&gt;"",MIN(VALUE(LEFT(K113,FIND(".",K113)-1)),COUNTA(EVENTOS.Lista)),0),IF(OR($B113&gt;AUTOEVENTO,$B113="S",$B113=0),SUBSTITUTE(OFFSET($A113,-1,0),IF($D113="Serviço",".",""),""),ROW(A113)-ROW($A$15)&amp;".")),0)</f>
        <v>96</v>
      </c>
      <c r="B113" s="50" t="str">
        <f aca="true">OFFSET(ORÇAMENTO!C$15,ROW(B113)-ROW(B$15),0)</f>
        <v>S</v>
      </c>
      <c r="C113" s="50" t="str">
        <f aca="true">OFFSET(ORÇAMENTO!L$15,ROW(C113)-ROW(C$15),0)</f>
        <v>F</v>
      </c>
      <c r="D113" s="201" t="str">
        <f aca="true">OFFSET(ORÇAMENTO!N$15,ROW(D113)-ROW(D$15),0)</f>
        <v>Serviço</v>
      </c>
      <c r="E113" s="202" t="str">
        <f aca="true">OFFSET(ORÇAMENTO!O$15,ROW(E113)-ROW(E$15),0)</f>
        <v>1.31.2.</v>
      </c>
      <c r="F113" s="341" t="str">
        <f aca="true">OFFSET(ORÇAMENTO!R$15,ROW(F113)-ROW(F$15),0)</f>
        <v>EXECUÇÃO DE PASSEIO (CALÇADA) OU PISO DE CONCRETO COM CONCRETO MOLDADO IN LOCO, FEITO EM OBRA, ACABAMENTO CONVENCIONAL, NÃO ARMADO. AF_08/2022</v>
      </c>
      <c r="G113" s="342" t="str">
        <f aca="true">IF($D113&lt;&gt;"Serviço","",OFFSET(ORÇAMENTO!S$15,ROW(G113)-ROW(G$15),0))</f>
        <v>M3</v>
      </c>
      <c r="H113" s="207" t="n">
        <f aca="true">IF($D113&lt;&gt;"Serviço",0,IF(ACOMPANHAMENTO="BM",ROUND(OFFSET(ORÇAMENTO!AJ$15,ROW(H113)-ROW(H$15),0),15-13*ORÇAMENTO!$AF$7),SUMPRODUCT(($Q$1:$AQ$1=1)*ROUND($Q113:$AQ113,15-13*ORÇAMENTO!$AF$7))))</f>
        <v>26.5</v>
      </c>
      <c r="I113" s="343" t="s">
        <v>966</v>
      </c>
      <c r="J113" s="344" t="e">
        <f aca="false">IF(OR(B113&lt;&gt;"S",CÁLCULO.FrentesPreenchidas=0),"",IF(AND(ACOMPANHAMENTO="PLE",AUTOEVENTO="Manual",OR(H113&gt;0,ORÇAMENTO!AC113="QUANT."),OR(K113="",M113=0,N113="")),"►",IF(AND(ACOMPANHAMENTO="PLE",ORÇAMENTO!AC113="QUANT."),"►►",IF(AND(COUNTIF($P$11:$AQ$11,"▼")=0,H113&gt;0,I113=""),"◄",""))))</f>
        <v>#NAME?</v>
      </c>
      <c r="K113" s="345"/>
      <c r="L113" s="346" t="s">
        <v>876</v>
      </c>
      <c r="M113" s="347" t="n">
        <f aca="true">IF($D113&lt;&gt;"Serviço","",
          IF(AUTOEVENTO="manual",$A113,
                IF(ISERROR(MATCH($A113,$A$15:OFFSET($A113,-1,0),0)),MAX($M$15:OFFSET(M113,-1,0))+1,
                      INDEX($M$15:OFFSET(M113,-1,0),MATCH($A113,$A$15:OFFSET($A113,-1,0),0)))))</f>
        <v>19</v>
      </c>
      <c r="N113" s="348" t="str">
        <f aca="true">IF($D113&lt;&gt;"Serviço","",
         IF(AUTOEVENTO="Manual",
                IF($A113=0,"&lt;-- defina o número do agrupador",
                       OFFSET(EVENTOS!$D$15,$A113-$A$15,0)),
                OFFSET($F$15,$A113,0)))</f>
        <v>CIMENTADOS</v>
      </c>
      <c r="O113" s="349"/>
      <c r="Q113" s="349" t="n">
        <f aca="false">Q112*0.07</f>
        <v>1.0605</v>
      </c>
      <c r="R113" s="350" t="n">
        <v>1.06</v>
      </c>
      <c r="S113" s="350" t="n">
        <v>1.06</v>
      </c>
      <c r="T113" s="350" t="n">
        <v>1.06</v>
      </c>
      <c r="U113" s="350" t="n">
        <v>1.06</v>
      </c>
      <c r="V113" s="350" t="n">
        <v>1.06</v>
      </c>
      <c r="W113" s="350" t="n">
        <v>1.06</v>
      </c>
      <c r="X113" s="350" t="n">
        <v>1.06</v>
      </c>
      <c r="Y113" s="350" t="n">
        <v>1.06</v>
      </c>
      <c r="Z113" s="351" t="n">
        <v>1.06</v>
      </c>
      <c r="AA113" s="350" t="n">
        <v>1.06</v>
      </c>
      <c r="AB113" s="350" t="n">
        <v>1.06</v>
      </c>
      <c r="AC113" s="350" t="n">
        <v>1.06</v>
      </c>
      <c r="AD113" s="350" t="n">
        <v>1.06</v>
      </c>
      <c r="AE113" s="350" t="n">
        <v>1.06</v>
      </c>
      <c r="AF113" s="350" t="n">
        <v>1.06</v>
      </c>
      <c r="AG113" s="350" t="n">
        <v>1.06</v>
      </c>
      <c r="AH113" s="351" t="n">
        <v>1.06</v>
      </c>
      <c r="AI113" s="350" t="n">
        <v>1.06</v>
      </c>
      <c r="AJ113" s="350" t="n">
        <v>1.06</v>
      </c>
      <c r="AK113" s="350" t="n">
        <v>1.06</v>
      </c>
      <c r="AL113" s="350" t="n">
        <v>1.06</v>
      </c>
      <c r="AM113" s="350" t="n">
        <v>1.06</v>
      </c>
      <c r="AN113" s="350" t="n">
        <v>1.06</v>
      </c>
      <c r="AO113" s="350" t="n">
        <v>1.06</v>
      </c>
      <c r="AP113" s="351"/>
      <c r="AR113" s="352" t="n">
        <f aca="true">IF(AND($D113="Serviço",AR$12&lt;&gt;0,$H113&gt;0,OR(AUTOEVENTO&lt;&gt;"manual",$M113&lt;&gt;$A$15)),
        IF(Import.TipoArredondamento&lt;&gt;"TransfereGOV",
              ROUND(OFFSET($P113,0,AR$13),15-13*ORÇAMENTO!$AF$7)/$H113*OFFSET(ORÇAMENTO!$X$15,ROW(AR113)-ROW(AR$15),0),
              ROUND(ROUND(OFFSET($P113,0,AR$13),15-13*ORÇAMENTO!$AF$7)*OFFSET(ORÇAMENTO!$W$15,ROW(AR113)-ROW(AR$15),0),15-13*ORÇAMENTO!$AF$11)),
         0)</f>
        <v>1150.17</v>
      </c>
      <c r="AS113" s="352" t="n">
        <f aca="true">IF(AND($D113="Serviço",AS$12&lt;&gt;0,$H113&gt;0,OR(AUTOEVENTO&lt;&gt;"manual",$M113&lt;&gt;$A$15)),
        IF(Import.TipoArredondamento&lt;&gt;"TransfereGOV",
              ROUND(OFFSET($P113,0,AS$13),15-13*ORÇAMENTO!$AF$7)/$H113*OFFSET(ORÇAMENTO!$X$15,ROW(AS113)-ROW(AS$15),0),
              ROUND(ROUND(OFFSET($P113,0,AS$13),15-13*ORÇAMENTO!$AF$7)*OFFSET(ORÇAMENTO!$W$15,ROW(AS113)-ROW(AS$15),0),15-13*ORÇAMENTO!$AF$11)),
         0)</f>
        <v>1150.17</v>
      </c>
      <c r="AT113" s="352" t="n">
        <f aca="true">IF(AND($D113="Serviço",AT$12&lt;&gt;0,$H113&gt;0,OR(AUTOEVENTO&lt;&gt;"manual",$M113&lt;&gt;$A$15)),
        IF(Import.TipoArredondamento&lt;&gt;"TransfereGOV",
              ROUND(OFFSET($P113,0,AT$13),15-13*ORÇAMENTO!$AF$7)/$H113*OFFSET(ORÇAMENTO!$X$15,ROW(AT113)-ROW(AT$15),0),
              ROUND(ROUND(OFFSET($P113,0,AT$13),15-13*ORÇAMENTO!$AF$7)*OFFSET(ORÇAMENTO!$W$15,ROW(AT113)-ROW(AT$15),0),15-13*ORÇAMENTO!$AF$11)),
         0)</f>
        <v>1150.17</v>
      </c>
      <c r="AU113" s="352" t="n">
        <f aca="true">IF(AND($D113="Serviço",AU$12&lt;&gt;0,$H113&gt;0,OR(AUTOEVENTO&lt;&gt;"manual",$M113&lt;&gt;$A$15)),
        IF(Import.TipoArredondamento&lt;&gt;"TransfereGOV",
              ROUND(OFFSET($P113,0,AU$13),15-13*ORÇAMENTO!$AF$7)/$H113*OFFSET(ORÇAMENTO!$X$15,ROW(AU113)-ROW(AU$15),0),
              ROUND(ROUND(OFFSET($P113,0,AU$13),15-13*ORÇAMENTO!$AF$7)*OFFSET(ORÇAMENTO!$W$15,ROW(AU113)-ROW(AU$15),0),15-13*ORÇAMENTO!$AF$11)),
         0)</f>
        <v>1150.17</v>
      </c>
      <c r="AV113" s="352" t="n">
        <f aca="true">IF(AND($D113="Serviço",AV$12&lt;&gt;0,$H113&gt;0,OR(AUTOEVENTO&lt;&gt;"manual",$M113&lt;&gt;$A$15)),
        IF(Import.TipoArredondamento&lt;&gt;"TransfereGOV",
              ROUND(OFFSET($P113,0,AV$13),15-13*ORÇAMENTO!$AF$7)/$H113*OFFSET(ORÇAMENTO!$X$15,ROW(AV113)-ROW(AV$15),0),
              ROUND(ROUND(OFFSET($P113,0,AV$13),15-13*ORÇAMENTO!$AF$7)*OFFSET(ORÇAMENTO!$W$15,ROW(AV113)-ROW(AV$15),0),15-13*ORÇAMENTO!$AF$11)),
         0)</f>
        <v>1150.17</v>
      </c>
      <c r="AW113" s="352" t="n">
        <f aca="true">IF(AND($D113="Serviço",AW$12&lt;&gt;0,$H113&gt;0,OR(AUTOEVENTO&lt;&gt;"manual",$M113&lt;&gt;$A$15)),
        IF(Import.TipoArredondamento&lt;&gt;"TransfereGOV",
              ROUND(OFFSET($P113,0,AW$13),15-13*ORÇAMENTO!$AF$7)/$H113*OFFSET(ORÇAMENTO!$X$15,ROW(AW113)-ROW(AW$15),0),
              ROUND(ROUND(OFFSET($P113,0,AW$13),15-13*ORÇAMENTO!$AF$7)*OFFSET(ORÇAMENTO!$W$15,ROW(AW113)-ROW(AW$15),0),15-13*ORÇAMENTO!$AF$11)),
         0)</f>
        <v>1150.17</v>
      </c>
      <c r="AX113" s="352" t="n">
        <f aca="true">IF(AND($D113="Serviço",AX$12&lt;&gt;0,$H113&gt;0,OR(AUTOEVENTO&lt;&gt;"manual",$M113&lt;&gt;$A$15)),
        IF(Import.TipoArredondamento&lt;&gt;"TransfereGOV",
              ROUND(OFFSET($P113,0,AX$13),15-13*ORÇAMENTO!$AF$7)/$H113*OFFSET(ORÇAMENTO!$X$15,ROW(AX113)-ROW(AX$15),0),
              ROUND(ROUND(OFFSET($P113,0,AX$13),15-13*ORÇAMENTO!$AF$7)*OFFSET(ORÇAMENTO!$W$15,ROW(AX113)-ROW(AX$15),0),15-13*ORÇAMENTO!$AF$11)),
         0)</f>
        <v>1150.17</v>
      </c>
      <c r="AY113" s="352" t="n">
        <f aca="true">IF(AND($D113="Serviço",AY$12&lt;&gt;0,$H113&gt;0,OR(AUTOEVENTO&lt;&gt;"manual",$M113&lt;&gt;$A$15)),
        IF(Import.TipoArredondamento&lt;&gt;"TransfereGOV",
              ROUND(OFFSET($P113,0,AY$13),15-13*ORÇAMENTO!$AF$7)/$H113*OFFSET(ORÇAMENTO!$X$15,ROW(AY113)-ROW(AY$15),0),
              ROUND(ROUND(OFFSET($P113,0,AY$13),15-13*ORÇAMENTO!$AF$7)*OFFSET(ORÇAMENTO!$W$15,ROW(AY113)-ROW(AY$15),0),15-13*ORÇAMENTO!$AF$11)),
         0)</f>
        <v>1150.17</v>
      </c>
      <c r="AZ113" s="352" t="n">
        <f aca="true">IF(AND($D113="Serviço",AZ$12&lt;&gt;0,$H113&gt;0,OR(AUTOEVENTO&lt;&gt;"manual",$M113&lt;&gt;$A$15)),
        IF(Import.TipoArredondamento&lt;&gt;"TransfereGOV",
              ROUND(OFFSET($P113,0,AZ$13),15-13*ORÇAMENTO!$AF$7)/$H113*OFFSET(ORÇAMENTO!$X$15,ROW(AZ113)-ROW(AZ$15),0),
              ROUND(ROUND(OFFSET($P113,0,AZ$13),15-13*ORÇAMENTO!$AF$7)*OFFSET(ORÇAMENTO!$W$15,ROW(AZ113)-ROW(AZ$15),0),15-13*ORÇAMENTO!$AF$11)),
         0)</f>
        <v>1150.17</v>
      </c>
      <c r="BA113" s="352" t="n">
        <f aca="true">IF(AND($D113="Serviço",BA$12&lt;&gt;0,$H113&gt;0,OR(AUTOEVENTO&lt;&gt;"manual",$M113&lt;&gt;$A$15)),
        IF(Import.TipoArredondamento&lt;&gt;"TransfereGOV",
              ROUND(OFFSET($P113,0,BA$13),15-13*ORÇAMENTO!$AF$7)/$H113*OFFSET(ORÇAMENTO!$X$15,ROW(BA113)-ROW(BA$15),0),
              ROUND(ROUND(OFFSET($P113,0,BA$13),15-13*ORÇAMENTO!$AF$7)*OFFSET(ORÇAMENTO!$W$15,ROW(BA113)-ROW(BA$15),0),15-13*ORÇAMENTO!$AF$11)),
         0)</f>
        <v>1150.17</v>
      </c>
      <c r="BB113" s="352" t="n">
        <f aca="true">IF(AND($D113="Serviço",BB$12&lt;&gt;0,$H113&gt;0,OR(AUTOEVENTO&lt;&gt;"manual",$M113&lt;&gt;$A$15)),
        IF(Import.TipoArredondamento&lt;&gt;"TransfereGOV",
              ROUND(OFFSET($P113,0,BB$13),15-13*ORÇAMENTO!$AF$7)/$H113*OFFSET(ORÇAMENTO!$X$15,ROW(BB113)-ROW(BB$15),0),
              ROUND(ROUND(OFFSET($P113,0,BB$13),15-13*ORÇAMENTO!$AF$7)*OFFSET(ORÇAMENTO!$W$15,ROW(BB113)-ROW(BB$15),0),15-13*ORÇAMENTO!$AF$11)),
         0)</f>
        <v>1150.17</v>
      </c>
      <c r="BC113" s="352" t="n">
        <f aca="true">IF(AND($D113="Serviço",BC$12&lt;&gt;0,$H113&gt;0,OR(AUTOEVENTO&lt;&gt;"manual",$M113&lt;&gt;$A$15)),
        IF(Import.TipoArredondamento&lt;&gt;"TransfereGOV",
              ROUND(OFFSET($P113,0,BC$13),15-13*ORÇAMENTO!$AF$7)/$H113*OFFSET(ORÇAMENTO!$X$15,ROW(BC113)-ROW(BC$15),0),
              ROUND(ROUND(OFFSET($P113,0,BC$13),15-13*ORÇAMENTO!$AF$7)*OFFSET(ORÇAMENTO!$W$15,ROW(BC113)-ROW(BC$15),0),15-13*ORÇAMENTO!$AF$11)),
         0)</f>
        <v>1150.17</v>
      </c>
      <c r="BD113" s="352" t="n">
        <f aca="true">IF(AND($D113="Serviço",BD$12&lt;&gt;0,$H113&gt;0,OR(AUTOEVENTO&lt;&gt;"manual",$M113&lt;&gt;$A$15)),
        IF(Import.TipoArredondamento&lt;&gt;"TransfereGOV",
              ROUND(OFFSET($P113,0,BD$13),15-13*ORÇAMENTO!$AF$7)/$H113*OFFSET(ORÇAMENTO!$X$15,ROW(BD113)-ROW(BD$15),0),
              ROUND(ROUND(OFFSET($P113,0,BD$13),15-13*ORÇAMENTO!$AF$7)*OFFSET(ORÇAMENTO!$W$15,ROW(BD113)-ROW(BD$15),0),15-13*ORÇAMENTO!$AF$11)),
         0)</f>
        <v>1150.17</v>
      </c>
      <c r="BE113" s="352" t="n">
        <f aca="true">IF(AND($D113="Serviço",BE$12&lt;&gt;0,$H113&gt;0,OR(AUTOEVENTO&lt;&gt;"manual",$M113&lt;&gt;$A$15)),
        IF(Import.TipoArredondamento&lt;&gt;"TransfereGOV",
              ROUND(OFFSET($P113,0,BE$13),15-13*ORÇAMENTO!$AF$7)/$H113*OFFSET(ORÇAMENTO!$X$15,ROW(BE113)-ROW(BE$15),0),
              ROUND(ROUND(OFFSET($P113,0,BE$13),15-13*ORÇAMENTO!$AF$7)*OFFSET(ORÇAMENTO!$W$15,ROW(BE113)-ROW(BE$15),0),15-13*ORÇAMENTO!$AF$11)),
         0)</f>
        <v>1150.17</v>
      </c>
      <c r="BF113" s="352" t="n">
        <f aca="true">IF(AND($D113="Serviço",BF$12&lt;&gt;0,$H113&gt;0,OR(AUTOEVENTO&lt;&gt;"manual",$M113&lt;&gt;$A$15)),
        IF(Import.TipoArredondamento&lt;&gt;"TransfereGOV",
              ROUND(OFFSET($P113,0,BF$13),15-13*ORÇAMENTO!$AF$7)/$H113*OFFSET(ORÇAMENTO!$X$15,ROW(BF113)-ROW(BF$15),0),
              ROUND(ROUND(OFFSET($P113,0,BF$13),15-13*ORÇAMENTO!$AF$7)*OFFSET(ORÇAMENTO!$W$15,ROW(BF113)-ROW(BF$15),0),15-13*ORÇAMENTO!$AF$11)),
         0)</f>
        <v>1150.17</v>
      </c>
      <c r="BG113" s="352" t="n">
        <f aca="true">IF(AND($D113="Serviço",BG$12&lt;&gt;0,$H113&gt;0,OR(AUTOEVENTO&lt;&gt;"manual",$M113&lt;&gt;$A$15)),
        IF(Import.TipoArredondamento&lt;&gt;"TransfereGOV",
              ROUND(OFFSET($P113,0,BG$13),15-13*ORÇAMENTO!$AF$7)/$H113*OFFSET(ORÇAMENTO!$X$15,ROW(BG113)-ROW(BG$15),0),
              ROUND(ROUND(OFFSET($P113,0,BG$13),15-13*ORÇAMENTO!$AF$7)*OFFSET(ORÇAMENTO!$W$15,ROW(BG113)-ROW(BG$15),0),15-13*ORÇAMENTO!$AF$11)),
         0)</f>
        <v>1150.17</v>
      </c>
      <c r="BH113" s="352" t="n">
        <f aca="true">IF(AND($D113="Serviço",BH$12&lt;&gt;0,$H113&gt;0,OR(AUTOEVENTO&lt;&gt;"manual",$M113&lt;&gt;$A$15)),
        IF(Import.TipoArredondamento&lt;&gt;"TransfereGOV",
              ROUND(OFFSET($P113,0,BH$13),15-13*ORÇAMENTO!$AF$7)/$H113*OFFSET(ORÇAMENTO!$X$15,ROW(BH113)-ROW(BH$15),0),
              ROUND(ROUND(OFFSET($P113,0,BH$13),15-13*ORÇAMENTO!$AF$7)*OFFSET(ORÇAMENTO!$W$15,ROW(BH113)-ROW(BH$15),0),15-13*ORÇAMENTO!$AF$11)),
         0)</f>
        <v>1150.17</v>
      </c>
      <c r="BI113" s="352" t="n">
        <f aca="true">IF(AND($D113="Serviço",BI$12&lt;&gt;0,$H113&gt;0,OR(AUTOEVENTO&lt;&gt;"manual",$M113&lt;&gt;$A$15)),
        IF(Import.TipoArredondamento&lt;&gt;"TransfereGOV",
              ROUND(OFFSET($P113,0,BI$13),15-13*ORÇAMENTO!$AF$7)/$H113*OFFSET(ORÇAMENTO!$X$15,ROW(BI113)-ROW(BI$15),0),
              ROUND(ROUND(OFFSET($P113,0,BI$13),15-13*ORÇAMENTO!$AF$7)*OFFSET(ORÇAMENTO!$W$15,ROW(BI113)-ROW(BI$15),0),15-13*ORÇAMENTO!$AF$11)),
         0)</f>
        <v>1150.17</v>
      </c>
      <c r="BJ113" s="352" t="n">
        <f aca="true">IF(AND($D113="Serviço",BJ$12&lt;&gt;0,$H113&gt;0,OR(AUTOEVENTO&lt;&gt;"manual",$M113&lt;&gt;$A$15)),
        IF(Import.TipoArredondamento&lt;&gt;"TransfereGOV",
              ROUND(OFFSET($P113,0,BJ$13),15-13*ORÇAMENTO!$AF$7)/$H113*OFFSET(ORÇAMENTO!$X$15,ROW(BJ113)-ROW(BJ$15),0),
              ROUND(ROUND(OFFSET($P113,0,BJ$13),15-13*ORÇAMENTO!$AF$7)*OFFSET(ORÇAMENTO!$W$15,ROW(BJ113)-ROW(BJ$15),0),15-13*ORÇAMENTO!$AF$11)),
         0)</f>
        <v>1150.17</v>
      </c>
      <c r="BK113" s="352" t="n">
        <f aca="true">IF(AND($D113="Serviço",BK$12&lt;&gt;0,$H113&gt;0,OR(AUTOEVENTO&lt;&gt;"manual",$M113&lt;&gt;$A$15)),
        IF(Import.TipoArredondamento&lt;&gt;"TransfereGOV",
              ROUND(OFFSET($P113,0,BK$13),15-13*ORÇAMENTO!$AF$7)/$H113*OFFSET(ORÇAMENTO!$X$15,ROW(BK113)-ROW(BK$15),0),
              ROUND(ROUND(OFFSET($P113,0,BK$13),15-13*ORÇAMENTO!$AF$7)*OFFSET(ORÇAMENTO!$W$15,ROW(BK113)-ROW(BK$15),0),15-13*ORÇAMENTO!$AF$11)),
         0)</f>
        <v>1150.17</v>
      </c>
      <c r="BL113" s="352" t="n">
        <f aca="true">IF(AND($D113="Serviço",BL$12&lt;&gt;0,$H113&gt;0,OR(AUTOEVENTO&lt;&gt;"manual",$M113&lt;&gt;$A$15)),
        IF(Import.TipoArredondamento&lt;&gt;"TransfereGOV",
              ROUND(OFFSET($P113,0,BL$13),15-13*ORÇAMENTO!$AF$7)/$H113*OFFSET(ORÇAMENTO!$X$15,ROW(BL113)-ROW(BL$15),0),
              ROUND(ROUND(OFFSET($P113,0,BL$13),15-13*ORÇAMENTO!$AF$7)*OFFSET(ORÇAMENTO!$W$15,ROW(BL113)-ROW(BL$15),0),15-13*ORÇAMENTO!$AF$11)),
         0)</f>
        <v>1150.17</v>
      </c>
      <c r="BM113" s="352" t="n">
        <f aca="true">IF(AND($D113="Serviço",BM$12&lt;&gt;0,$H113&gt;0,OR(AUTOEVENTO&lt;&gt;"manual",$M113&lt;&gt;$A$15)),
        IF(Import.TipoArredondamento&lt;&gt;"TransfereGOV",
              ROUND(OFFSET($P113,0,BM$13),15-13*ORÇAMENTO!$AF$7)/$H113*OFFSET(ORÇAMENTO!$X$15,ROW(BM113)-ROW(BM$15),0),
              ROUND(ROUND(OFFSET($P113,0,BM$13),15-13*ORÇAMENTO!$AF$7)*OFFSET(ORÇAMENTO!$W$15,ROW(BM113)-ROW(BM$15),0),15-13*ORÇAMENTO!$AF$11)),
         0)</f>
        <v>1150.17</v>
      </c>
      <c r="BN113" s="352" t="n">
        <f aca="true">IF(AND($D113="Serviço",BN$12&lt;&gt;0,$H113&gt;0,OR(AUTOEVENTO&lt;&gt;"manual",$M113&lt;&gt;$A$15)),
        IF(Import.TipoArredondamento&lt;&gt;"TransfereGOV",
              ROUND(OFFSET($P113,0,BN$13),15-13*ORÇAMENTO!$AF$7)/$H113*OFFSET(ORÇAMENTO!$X$15,ROW(BN113)-ROW(BN$15),0),
              ROUND(ROUND(OFFSET($P113,0,BN$13),15-13*ORÇAMENTO!$AF$7)*OFFSET(ORÇAMENTO!$W$15,ROW(BN113)-ROW(BN$15),0),15-13*ORÇAMENTO!$AF$11)),
         0)</f>
        <v>1150.17</v>
      </c>
      <c r="BO113" s="352" t="n">
        <f aca="true">IF(AND($D113="Serviço",BO$12&lt;&gt;0,$H113&gt;0,OR(AUTOEVENTO&lt;&gt;"manual",$M113&lt;&gt;$A$15)),
        IF(Import.TipoArredondamento&lt;&gt;"TransfereGOV",
              ROUND(OFFSET($P113,0,BO$13),15-13*ORÇAMENTO!$AF$7)/$H113*OFFSET(ORÇAMENTO!$X$15,ROW(BO113)-ROW(BO$15),0),
              ROUND(ROUND(OFFSET($P113,0,BO$13),15-13*ORÇAMENTO!$AF$7)*OFFSET(ORÇAMENTO!$W$15,ROW(BO113)-ROW(BO$15),0),15-13*ORÇAMENTO!$AF$11)),
         0)</f>
        <v>1150.17</v>
      </c>
      <c r="BP113" s="352" t="n">
        <f aca="true">IF(AND($D113="Serviço",BP$12&lt;&gt;0,$H113&gt;0,OR(AUTOEVENTO&lt;&gt;"manual",$M113&lt;&gt;$A$15)),
        IF(Import.TipoArredondamento&lt;&gt;"TransfereGOV",
              ROUND(OFFSET($P113,0,BP$13),15-13*ORÇAMENTO!$AF$7)/$H113*OFFSET(ORÇAMENTO!$X$15,ROW(BP113)-ROW(BP$15),0),
              ROUND(ROUND(OFFSET($P113,0,BP$13),15-13*ORÇAMENTO!$AF$7)*OFFSET(ORÇAMENTO!$W$15,ROW(BP113)-ROW(BP$15),0),15-13*ORÇAMENTO!$AF$11)),
         0)</f>
        <v>1150.17</v>
      </c>
      <c r="BQ113" s="352" t="n">
        <f aca="true">IF(AND($D113="Serviço",BQ$12&lt;&gt;0,$H113&gt;0,OR(AUTOEVENTO&lt;&gt;"manual",$M113&lt;&gt;$A$15)),
        IF(Import.TipoArredondamento&lt;&gt;"TransfereGOV",
              ROUND(OFFSET($P113,0,BQ$13),15-13*ORÇAMENTO!$AF$7)/$H113*OFFSET(ORÇAMENTO!$X$15,ROW(BQ113)-ROW(BQ$15),0),
              ROUND(ROUND(OFFSET($P113,0,BQ$13),15-13*ORÇAMENTO!$AF$7)*OFFSET(ORÇAMENTO!$W$15,ROW(BQ113)-ROW(BQ$15),0),15-13*ORÇAMENTO!$AF$11)),
         0)</f>
        <v>0</v>
      </c>
      <c r="BS113" s="353" t="n">
        <f aca="true">IF(OR($D113&lt;&gt;"Serviço",AND(AUTOEVENTO="Manual",$M113=$A$15)),0,
         IF(OFFSET(CRONOPLE!$F$15,$M113-$A$15,BS$13)=0,10^12,OFFSET(CRONOPLE!$F$15,$M113-$A$15,BS$13)))</f>
        <v>1</v>
      </c>
      <c r="BT113" s="353" t="n">
        <f aca="true">IF(OR($D113&lt;&gt;"Serviço",AND(AUTOEVENTO="Manual",$M113=$A$15)),0,
         IF(OFFSET(CRONOPLE!$F$15,$M113-$A$15,BT$13)=0,10^12,OFFSET(CRONOPLE!$F$15,$M113-$A$15,BT$13)))</f>
        <v>2</v>
      </c>
      <c r="BU113" s="353" t="n">
        <f aca="true">IF(OR($D113&lt;&gt;"Serviço",AND(AUTOEVENTO="Manual",$M113=$A$15)),0,
         IF(OFFSET(CRONOPLE!$F$15,$M113-$A$15,BU$13)=0,10^12,OFFSET(CRONOPLE!$F$15,$M113-$A$15,BU$13)))</f>
        <v>3</v>
      </c>
      <c r="BV113" s="353" t="n">
        <f aca="true">IF(OR($D113&lt;&gt;"Serviço",AND(AUTOEVENTO="Manual",$M113=$A$15)),0,
         IF(OFFSET(CRONOPLE!$F$15,$M113-$A$15,BV$13)=0,10^12,OFFSET(CRONOPLE!$F$15,$M113-$A$15,BV$13)))</f>
        <v>4</v>
      </c>
      <c r="BW113" s="353" t="n">
        <f aca="true">IF(OR($D113&lt;&gt;"Serviço",AND(AUTOEVENTO="Manual",$M113=$A$15)),0,
         IF(OFFSET(CRONOPLE!$F$15,$M113-$A$15,BW$13)=0,10^12,OFFSET(CRONOPLE!$F$15,$M113-$A$15,BW$13)))</f>
        <v>5</v>
      </c>
      <c r="BX113" s="353" t="n">
        <f aca="true">IF(OR($D113&lt;&gt;"Serviço",AND(AUTOEVENTO="Manual",$M113=$A$15)),0,
         IF(OFFSET(CRONOPLE!$F$15,$M113-$A$15,BX$13)=0,10^12,OFFSET(CRONOPLE!$F$15,$M113-$A$15,BX$13)))</f>
        <v>6</v>
      </c>
      <c r="BY113" s="353" t="n">
        <f aca="true">IF(OR($D113&lt;&gt;"Serviço",AND(AUTOEVENTO="Manual",$M113=$A$15)),0,
         IF(OFFSET(CRONOPLE!$F$15,$M113-$A$15,BY$13)=0,10^12,OFFSET(CRONOPLE!$F$15,$M113-$A$15,BY$13)))</f>
        <v>7</v>
      </c>
      <c r="BZ113" s="353" t="n">
        <f aca="true">IF(OR($D113&lt;&gt;"Serviço",AND(AUTOEVENTO="Manual",$M113=$A$15)),0,
         IF(OFFSET(CRONOPLE!$F$15,$M113-$A$15,BZ$13)=0,10^12,OFFSET(CRONOPLE!$F$15,$M113-$A$15,BZ$13)))</f>
        <v>8</v>
      </c>
      <c r="CA113" s="353" t="n">
        <f aca="true">IF(OR($D113&lt;&gt;"Serviço",AND(AUTOEVENTO="Manual",$M113=$A$15)),0,
         IF(OFFSET(CRONOPLE!$F$15,$M113-$A$15,CA$13)=0,10^12,OFFSET(CRONOPLE!$F$15,$M113-$A$15,CA$13)))</f>
        <v>9</v>
      </c>
      <c r="CB113" s="353" t="n">
        <f aca="true">IF(OR($D113&lt;&gt;"Serviço",AND(AUTOEVENTO="Manual",$M113=$A$15)),0,
         IF(OFFSET(CRONOPLE!$F$15,$M113-$A$15,CB$13)=0,10^12,OFFSET(CRONOPLE!$F$15,$M113-$A$15,CB$13)))</f>
        <v>10</v>
      </c>
      <c r="CC113" s="353" t="n">
        <f aca="true">IF(OR($D113&lt;&gt;"Serviço",AND(AUTOEVENTO="Manual",$M113=$A$15)),0,
         IF(OFFSET(CRONOPLE!$F$15,$M113-$A$15,CC$13)=0,10^12,OFFSET(CRONOPLE!$F$15,$M113-$A$15,CC$13)))</f>
        <v>11</v>
      </c>
      <c r="CD113" s="353" t="n">
        <f aca="true">IF(OR($D113&lt;&gt;"Serviço",AND(AUTOEVENTO="Manual",$M113=$A$15)),0,
         IF(OFFSET(CRONOPLE!$F$15,$M113-$A$15,CD$13)=0,10^12,OFFSET(CRONOPLE!$F$15,$M113-$A$15,CD$13)))</f>
        <v>12</v>
      </c>
      <c r="CE113" s="353" t="n">
        <f aca="true">IF(OR($D113&lt;&gt;"Serviço",AND(AUTOEVENTO="Manual",$M113=$A$15)),0,
         IF(OFFSET(CRONOPLE!$F$15,$M113-$A$15,CE$13)=0,10^12,OFFSET(CRONOPLE!$F$15,$M113-$A$15,CE$13)))</f>
        <v>13</v>
      </c>
      <c r="CF113" s="353" t="n">
        <f aca="true">IF(OR($D113&lt;&gt;"Serviço",AND(AUTOEVENTO="Manual",$M113=$A$15)),0,
         IF(OFFSET(CRONOPLE!$F$15,$M113-$A$15,CF$13)=0,10^12,OFFSET(CRONOPLE!$F$15,$M113-$A$15,CF$13)))</f>
        <v>14</v>
      </c>
      <c r="CG113" s="353" t="n">
        <f aca="true">IF(OR($D113&lt;&gt;"Serviço",AND(AUTOEVENTO="Manual",$M113=$A$15)),0,
         IF(OFFSET(CRONOPLE!$F$15,$M113-$A$15,CG$13)=0,10^12,OFFSET(CRONOPLE!$F$15,$M113-$A$15,CG$13)))</f>
        <v>15</v>
      </c>
      <c r="CH113" s="353" t="n">
        <f aca="true">IF(OR($D113&lt;&gt;"Serviço",AND(AUTOEVENTO="Manual",$M113=$A$15)),0,
         IF(OFFSET(CRONOPLE!$F$15,$M113-$A$15,CH$13)=0,10^12,OFFSET(CRONOPLE!$F$15,$M113-$A$15,CH$13)))</f>
        <v>16</v>
      </c>
      <c r="CI113" s="353" t="n">
        <f aca="true">IF(OR($D113&lt;&gt;"Serviço",AND(AUTOEVENTO="Manual",$M113=$A$15)),0,
         IF(OFFSET(CRONOPLE!$F$15,$M113-$A$15,CI$13)=0,10^12,OFFSET(CRONOPLE!$F$15,$M113-$A$15,CI$13)))</f>
        <v>17</v>
      </c>
      <c r="CJ113" s="353" t="n">
        <f aca="true">IF(OR($D113&lt;&gt;"Serviço",AND(AUTOEVENTO="Manual",$M113=$A$15)),0,
         IF(OFFSET(CRONOPLE!$F$15,$M113-$A$15,CJ$13)=0,10^12,OFFSET(CRONOPLE!$F$15,$M113-$A$15,CJ$13)))</f>
        <v>18</v>
      </c>
      <c r="CK113" s="353" t="n">
        <f aca="true">IF(OR($D113&lt;&gt;"Serviço",AND(AUTOEVENTO="Manual",$M113=$A$15)),0,
         IF(OFFSET(CRONOPLE!$F$15,$M113-$A$15,CK$13)=0,10^12,OFFSET(CRONOPLE!$F$15,$M113-$A$15,CK$13)))</f>
        <v>19</v>
      </c>
      <c r="CL113" s="353" t="n">
        <f aca="true">IF(OR($D113&lt;&gt;"Serviço",AND(AUTOEVENTO="Manual",$M113=$A$15)),0,
         IF(OFFSET(CRONOPLE!$F$15,$M113-$A$15,CL$13)=0,10^12,OFFSET(CRONOPLE!$F$15,$M113-$A$15,CL$13)))</f>
        <v>20</v>
      </c>
      <c r="CM113" s="353" t="n">
        <f aca="true">IF(OR($D113&lt;&gt;"Serviço",AND(AUTOEVENTO="Manual",$M113=$A$15)),0,
         IF(OFFSET(CRONOPLE!$F$15,$M113-$A$15,CM$13)=0,10^12,OFFSET(CRONOPLE!$F$15,$M113-$A$15,CM$13)))</f>
        <v>21</v>
      </c>
      <c r="CN113" s="353" t="n">
        <f aca="true">IF(OR($D113&lt;&gt;"Serviço",AND(AUTOEVENTO="Manual",$M113=$A$15)),0,
         IF(OFFSET(CRONOPLE!$F$15,$M113-$A$15,CN$13)=0,10^12,OFFSET(CRONOPLE!$F$15,$M113-$A$15,CN$13)))</f>
        <v>22</v>
      </c>
      <c r="CO113" s="353" t="n">
        <f aca="true">IF(OR($D113&lt;&gt;"Serviço",AND(AUTOEVENTO="Manual",$M113=$A$15)),0,
         IF(OFFSET(CRONOPLE!$F$15,$M113-$A$15,CO$13)=0,10^12,OFFSET(CRONOPLE!$F$15,$M113-$A$15,CO$13)))</f>
        <v>23</v>
      </c>
      <c r="CP113" s="353" t="n">
        <f aca="true">IF(OR($D113&lt;&gt;"Serviço",AND(AUTOEVENTO="Manual",$M113=$A$15)),0,
         IF(OFFSET(CRONOPLE!$F$15,$M113-$A$15,CP$13)=0,10^12,OFFSET(CRONOPLE!$F$15,$M113-$A$15,CP$13)))</f>
        <v>24</v>
      </c>
      <c r="CQ113" s="353" t="n">
        <f aca="true">IF(OR($D113&lt;&gt;"Serviço",AND(AUTOEVENTO="Manual",$M113=$A$15)),0,
         IF(OFFSET(CRONOPLE!$F$15,$M113-$A$15,CQ$13)=0,10^12,OFFSET(CRONOPLE!$F$15,$M113-$A$15,CQ$13)))</f>
        <v>25</v>
      </c>
      <c r="CR113" s="353" t="n">
        <f aca="true">IF(OR($D113&lt;&gt;"Serviço",AND(AUTOEVENTO="Manual",$M113=$A$15)),0,
         IF(OFFSET(CRONOPLE!$F$15,$M113-$A$15,CR$13)=0,10^12,OFFSET(CRONOPLE!$F$15,$M113-$A$15,CR$13)))</f>
        <v>1000000000000</v>
      </c>
      <c r="CT113" s="354" t="n">
        <f aca="true">IF(OR($D113&lt;&gt;"Serviço",AND(AUTOEVENTO="Manual",$M113=$A$15),$M113&gt;(ROW(PLE.lastrow)-ROW(PLE.firstrow))),0,
           IF(OFFSET(PLE!$G$15,$M113-$A$15,CT$13)="",10^12,OFFSET(PLE!$G$15,$M113-$A$15,CT$13)))</f>
        <v>1000000000000</v>
      </c>
      <c r="CU113" s="354" t="n">
        <f aca="true">IF(OR($D113&lt;&gt;"Serviço",AND(AUTOEVENTO="Manual",$M113=$A$15),$M113&gt;(ROW(PLE.lastrow)-ROW(PLE.firstrow))),0,
           IF(OFFSET(PLE!$G$15,$M113-$A$15,CU$13)="",10^12,OFFSET(PLE!$G$15,$M113-$A$15,CU$13)))</f>
        <v>1000000000000</v>
      </c>
      <c r="CV113" s="354" t="n">
        <f aca="true">IF(OR($D113&lt;&gt;"Serviço",AND(AUTOEVENTO="Manual",$M113=$A$15),$M113&gt;(ROW(PLE.lastrow)-ROW(PLE.firstrow))),0,
           IF(OFFSET(PLE!$G$15,$M113-$A$15,CV$13)="",10^12,OFFSET(PLE!$G$15,$M113-$A$15,CV$13)))</f>
        <v>1000000000000</v>
      </c>
      <c r="CW113" s="354" t="n">
        <f aca="true">IF(OR($D113&lt;&gt;"Serviço",AND(AUTOEVENTO="Manual",$M113=$A$15),$M113&gt;(ROW(PLE.lastrow)-ROW(PLE.firstrow))),0,
           IF(OFFSET(PLE!$G$15,$M113-$A$15,CW$13)="",10^12,OFFSET(PLE!$G$15,$M113-$A$15,CW$13)))</f>
        <v>1000000000000</v>
      </c>
      <c r="CX113" s="354" t="n">
        <f aca="true">IF(OR($D113&lt;&gt;"Serviço",AND(AUTOEVENTO="Manual",$M113=$A$15),$M113&gt;(ROW(PLE.lastrow)-ROW(PLE.firstrow))),0,
           IF(OFFSET(PLE!$G$15,$M113-$A$15,CX$13)="",10^12,OFFSET(PLE!$G$15,$M113-$A$15,CX$13)))</f>
        <v>1000000000000</v>
      </c>
      <c r="CY113" s="354" t="n">
        <f aca="true">IF(OR($D113&lt;&gt;"Serviço",AND(AUTOEVENTO="Manual",$M113=$A$15),$M113&gt;(ROW(PLE.lastrow)-ROW(PLE.firstrow))),0,
           IF(OFFSET(PLE!$G$15,$M113-$A$15,CY$13)="",10^12,OFFSET(PLE!$G$15,$M113-$A$15,CY$13)))</f>
        <v>1000000000000</v>
      </c>
      <c r="CZ113" s="354" t="n">
        <f aca="true">IF(OR($D113&lt;&gt;"Serviço",AND(AUTOEVENTO="Manual",$M113=$A$15),$M113&gt;(ROW(PLE.lastrow)-ROW(PLE.firstrow))),0,
           IF(OFFSET(PLE!$G$15,$M113-$A$15,CZ$13)="",10^12,OFFSET(PLE!$G$15,$M113-$A$15,CZ$13)))</f>
        <v>1000000000000</v>
      </c>
      <c r="DA113" s="354" t="n">
        <f aca="true">IF(OR($D113&lt;&gt;"Serviço",AND(AUTOEVENTO="Manual",$M113=$A$15),$M113&gt;(ROW(PLE.lastrow)-ROW(PLE.firstrow))),0,
           IF(OFFSET(PLE!$G$15,$M113-$A$15,DA$13)="",10^12,OFFSET(PLE!$G$15,$M113-$A$15,DA$13)))</f>
        <v>1000000000000</v>
      </c>
      <c r="DB113" s="354" t="n">
        <f aca="true">IF(OR($D113&lt;&gt;"Serviço",AND(AUTOEVENTO="Manual",$M113=$A$15),$M113&gt;(ROW(PLE.lastrow)-ROW(PLE.firstrow))),0,
           IF(OFFSET(PLE!$G$15,$M113-$A$15,DB$13)="",10^12,OFFSET(PLE!$G$15,$M113-$A$15,DB$13)))</f>
        <v>1000000000000</v>
      </c>
      <c r="DC113" s="354" t="n">
        <f aca="true">IF(OR($D113&lt;&gt;"Serviço",AND(AUTOEVENTO="Manual",$M113=$A$15),$M113&gt;(ROW(PLE.lastrow)-ROW(PLE.firstrow))),0,
           IF(OFFSET(PLE!$G$15,$M113-$A$15,DC$13)="",10^12,OFFSET(PLE!$G$15,$M113-$A$15,DC$13)))</f>
        <v>1000000000000</v>
      </c>
      <c r="DD113" s="354" t="n">
        <f aca="true">IF(OR($D113&lt;&gt;"Serviço",AND(AUTOEVENTO="Manual",$M113=$A$15),$M113&gt;(ROW(PLE.lastrow)-ROW(PLE.firstrow))),0,
           IF(OFFSET(PLE!$G$15,$M113-$A$15,DD$13)="",10^12,OFFSET(PLE!$G$15,$M113-$A$15,DD$13)))</f>
        <v>1000000000000</v>
      </c>
      <c r="DE113" s="354" t="n">
        <f aca="true">IF(OR($D113&lt;&gt;"Serviço",AND(AUTOEVENTO="Manual",$M113=$A$15),$M113&gt;(ROW(PLE.lastrow)-ROW(PLE.firstrow))),0,
           IF(OFFSET(PLE!$G$15,$M113-$A$15,DE$13)="",10^12,OFFSET(PLE!$G$15,$M113-$A$15,DE$13)))</f>
        <v>1000000000000</v>
      </c>
      <c r="DF113" s="354" t="n">
        <f aca="true">IF(OR($D113&lt;&gt;"Serviço",AND(AUTOEVENTO="Manual",$M113=$A$15),$M113&gt;(ROW(PLE.lastrow)-ROW(PLE.firstrow))),0,
           IF(OFFSET(PLE!$G$15,$M113-$A$15,DF$13)="",10^12,OFFSET(PLE!$G$15,$M113-$A$15,DF$13)))</f>
        <v>1000000000000</v>
      </c>
      <c r="DG113" s="354" t="n">
        <f aca="true">IF(OR($D113&lt;&gt;"Serviço",AND(AUTOEVENTO="Manual",$M113=$A$15),$M113&gt;(ROW(PLE.lastrow)-ROW(PLE.firstrow))),0,
           IF(OFFSET(PLE!$G$15,$M113-$A$15,DG$13)="",10^12,OFFSET(PLE!$G$15,$M113-$A$15,DG$13)))</f>
        <v>1000000000000</v>
      </c>
      <c r="DH113" s="354" t="n">
        <f aca="true">IF(OR($D113&lt;&gt;"Serviço",AND(AUTOEVENTO="Manual",$M113=$A$15),$M113&gt;(ROW(PLE.lastrow)-ROW(PLE.firstrow))),0,
           IF(OFFSET(PLE!$G$15,$M113-$A$15,DH$13)="",10^12,OFFSET(PLE!$G$15,$M113-$A$15,DH$13)))</f>
        <v>1000000000000</v>
      </c>
      <c r="DI113" s="354" t="n">
        <f aca="true">IF(OR($D113&lt;&gt;"Serviço",AND(AUTOEVENTO="Manual",$M113=$A$15),$M113&gt;(ROW(PLE.lastrow)-ROW(PLE.firstrow))),0,
           IF(OFFSET(PLE!$G$15,$M113-$A$15,DI$13)="",10^12,OFFSET(PLE!$G$15,$M113-$A$15,DI$13)))</f>
        <v>1000000000000</v>
      </c>
      <c r="DJ113" s="354" t="n">
        <f aca="true">IF(OR($D113&lt;&gt;"Serviço",AND(AUTOEVENTO="Manual",$M113=$A$15),$M113&gt;(ROW(PLE.lastrow)-ROW(PLE.firstrow))),0,
           IF(OFFSET(PLE!$G$15,$M113-$A$15,DJ$13)="",10^12,OFFSET(PLE!$G$15,$M113-$A$15,DJ$13)))</f>
        <v>1000000000000</v>
      </c>
      <c r="DK113" s="354" t="n">
        <f aca="true">IF(OR($D113&lt;&gt;"Serviço",AND(AUTOEVENTO="Manual",$M113=$A$15),$M113&gt;(ROW(PLE.lastrow)-ROW(PLE.firstrow))),0,
           IF(OFFSET(PLE!$G$15,$M113-$A$15,DK$13)="",10^12,OFFSET(PLE!$G$15,$M113-$A$15,DK$13)))</f>
        <v>1000000000000</v>
      </c>
      <c r="DL113" s="354" t="n">
        <f aca="true">IF(OR($D113&lt;&gt;"Serviço",AND(AUTOEVENTO="Manual",$M113=$A$15),$M113&gt;(ROW(PLE.lastrow)-ROW(PLE.firstrow))),0,
           IF(OFFSET(PLE!$G$15,$M113-$A$15,DL$13)="",10^12,OFFSET(PLE!$G$15,$M113-$A$15,DL$13)))</f>
        <v>1000000000000</v>
      </c>
      <c r="DM113" s="354" t="n">
        <f aca="true">IF(OR($D113&lt;&gt;"Serviço",AND(AUTOEVENTO="Manual",$M113=$A$15),$M113&gt;(ROW(PLE.lastrow)-ROW(PLE.firstrow))),0,
           IF(OFFSET(PLE!$G$15,$M113-$A$15,DM$13)="",10^12,OFFSET(PLE!$G$15,$M113-$A$15,DM$13)))</f>
        <v>1000000000000</v>
      </c>
      <c r="DN113" s="354" t="n">
        <f aca="true">IF(OR($D113&lt;&gt;"Serviço",AND(AUTOEVENTO="Manual",$M113=$A$15),$M113&gt;(ROW(PLE.lastrow)-ROW(PLE.firstrow))),0,
           IF(OFFSET(PLE!$G$15,$M113-$A$15,DN$13)="",10^12,OFFSET(PLE!$G$15,$M113-$A$15,DN$13)))</f>
        <v>1000000000000</v>
      </c>
      <c r="DO113" s="354" t="n">
        <f aca="true">IF(OR($D113&lt;&gt;"Serviço",AND(AUTOEVENTO="Manual",$M113=$A$15),$M113&gt;(ROW(PLE.lastrow)-ROW(PLE.firstrow))),0,
           IF(OFFSET(PLE!$G$15,$M113-$A$15,DO$13)="",10^12,OFFSET(PLE!$G$15,$M113-$A$15,DO$13)))</f>
        <v>1000000000000</v>
      </c>
      <c r="DP113" s="354" t="n">
        <f aca="true">IF(OR($D113&lt;&gt;"Serviço",AND(AUTOEVENTO="Manual",$M113=$A$15),$M113&gt;(ROW(PLE.lastrow)-ROW(PLE.firstrow))),0,
           IF(OFFSET(PLE!$G$15,$M113-$A$15,DP$13)="",10^12,OFFSET(PLE!$G$15,$M113-$A$15,DP$13)))</f>
        <v>1000000000000</v>
      </c>
      <c r="DQ113" s="354" t="n">
        <f aca="true">IF(OR($D113&lt;&gt;"Serviço",AND(AUTOEVENTO="Manual",$M113=$A$15),$M113&gt;(ROW(PLE.lastrow)-ROW(PLE.firstrow))),0,
           IF(OFFSET(PLE!$G$15,$M113-$A$15,DQ$13)="",10^12,OFFSET(PLE!$G$15,$M113-$A$15,DQ$13)))</f>
        <v>1000000000000</v>
      </c>
      <c r="DR113" s="354" t="n">
        <f aca="true">IF(OR($D113&lt;&gt;"Serviço",AND(AUTOEVENTO="Manual",$M113=$A$15),$M113&gt;(ROW(PLE.lastrow)-ROW(PLE.firstrow))),0,
           IF(OFFSET(PLE!$G$15,$M113-$A$15,DR$13)="",10^12,OFFSET(PLE!$G$15,$M113-$A$15,DR$13)))</f>
        <v>1000000000000</v>
      </c>
      <c r="DS113" s="354" t="n">
        <f aca="true">IF(OR($D113&lt;&gt;"Serviço",AND(AUTOEVENTO="Manual",$M113=$A$15),$M113&gt;(ROW(PLE.lastrow)-ROW(PLE.firstrow))),0,
           IF(OFFSET(PLE!$G$15,$M113-$A$15,DS$13)="",10^12,OFFSET(PLE!$G$15,$M113-$A$15,DS$13)))</f>
        <v>1000000000000</v>
      </c>
    </row>
    <row r="114" customFormat="false" ht="12.75" hidden="false" customHeight="false" outlineLevel="0" collapsed="false">
      <c r="A114" s="50" t="str">
        <f aca="true">IFERROR(IF(AUTOEVENTO="Manual",IF(K114&lt;&gt;"",MIN(VALUE(LEFT(K114,FIND(".",K114)-1)),COUNTA(EVENTOS.Lista)),0),IF(OR($B114&gt;AUTOEVENTO,$B114="S",$B114=0),SUBSTITUTE(OFFSET($A114,-1,0),IF($D114="Serviço",".",""),""),ROW(A114)-ROW($A$15)&amp;".")),0)</f>
        <v>99.</v>
      </c>
      <c r="B114" s="50" t="n">
        <f aca="true">OFFSET(ORÇAMENTO!C$15,ROW(B114)-ROW(B$15),0)</f>
        <v>2</v>
      </c>
      <c r="C114" s="50" t="str">
        <f aca="true">OFFSET(ORÇAMENTO!L$15,ROW(C114)-ROW(C$15),0)</f>
        <v>F</v>
      </c>
      <c r="D114" s="201" t="str">
        <f aca="true">OFFSET(ORÇAMENTO!N$15,ROW(D114)-ROW(D$15),0)</f>
        <v>Nível 2</v>
      </c>
      <c r="E114" s="202" t="str">
        <f aca="true">OFFSET(ORÇAMENTO!O$15,ROW(E114)-ROW(E$15),0)</f>
        <v>1.32.</v>
      </c>
      <c r="F114" s="341" t="str">
        <f aca="true">OFFSET(ORÇAMENTO!R$15,ROW(F114)-ROW(F$15),0)</f>
        <v>RODAPÉS, SOLEIRAS E PEITORIS</v>
      </c>
      <c r="G114" s="342" t="str">
        <f aca="true">IF($D114&lt;&gt;"Serviço","",OFFSET(ORÇAMENTO!S$15,ROW(G114)-ROW(G$15),0))</f>
        <v/>
      </c>
      <c r="H114" s="207" t="n">
        <f aca="true">IF($D114&lt;&gt;"Serviço",0,IF(ACOMPANHAMENTO="BM",ROUND(OFFSET(ORÇAMENTO!AJ$15,ROW(H114)-ROW(H$15),0),15-13*ORÇAMENTO!$AF$7),SUMPRODUCT(($Q$1:$AQ$1=1)*ROUND($Q114:$AQ114,15-13*ORÇAMENTO!$AF$7))))</f>
        <v>0</v>
      </c>
      <c r="I114" s="343"/>
      <c r="J114" s="344" t="str">
        <f aca="false">IF(OR(B114&lt;&gt;"S",CÁLCULO.FrentesPreenchidas=0),"",IF(AND(ACOMPANHAMENTO="PLE",AUTOEVENTO="Manual",OR(H114&gt;0,ORÇAMENTO!AC114="QUANT."),OR(K114="",M114=0,N114="")),"►",IF(AND(ACOMPANHAMENTO="PLE",ORÇAMENTO!AC114="QUANT."),"►►",IF(AND(COUNTIF($P$11:$AQ$11,"▼")=0,H114&gt;0,I114=""),"◄",""))))</f>
        <v/>
      </c>
      <c r="K114" s="345"/>
      <c r="L114" s="346" t="s">
        <v>876</v>
      </c>
      <c r="M114" s="347" t="str">
        <f aca="true">IF($D114&lt;&gt;"Serviço","",
          IF(AUTOEVENTO="manual",$A114,
                IF(ISERROR(MATCH($A114,$A$15:OFFSET($A114,-1,0),0)),MAX($M$15:OFFSET(M114,-1,0))+1,
                      INDEX($M$15:OFFSET(M114,-1,0),MATCH($A114,$A$15:OFFSET($A114,-1,0),0)))))</f>
        <v/>
      </c>
      <c r="N114" s="348" t="str">
        <f aca="true">IF($D114&lt;&gt;"Serviço","",
         IF(AUTOEVENTO="Manual",
                IF($A114=0,"&lt;-- defina o número do agrupador",
                       OFFSET(EVENTOS!$D$15,$A114-$A$15,0)),
                OFFSET($F$15,$A114,0)))</f>
        <v/>
      </c>
      <c r="O114" s="349"/>
      <c r="Q114" s="349"/>
      <c r="R114" s="350"/>
      <c r="S114" s="350"/>
      <c r="T114" s="350"/>
      <c r="U114" s="350"/>
      <c r="V114" s="350"/>
      <c r="W114" s="350"/>
      <c r="X114" s="350"/>
      <c r="Y114" s="350"/>
      <c r="Z114" s="351"/>
      <c r="AA114" s="350"/>
      <c r="AB114" s="350"/>
      <c r="AC114" s="350"/>
      <c r="AD114" s="350"/>
      <c r="AE114" s="350"/>
      <c r="AF114" s="350"/>
      <c r="AG114" s="350"/>
      <c r="AH114" s="351"/>
      <c r="AI114" s="350"/>
      <c r="AJ114" s="350"/>
      <c r="AK114" s="350"/>
      <c r="AL114" s="350"/>
      <c r="AM114" s="350"/>
      <c r="AN114" s="350"/>
      <c r="AO114" s="350"/>
      <c r="AP114" s="351"/>
      <c r="AR114" s="352" t="n">
        <f aca="true">IF(AND($D114="Serviço",AR$12&lt;&gt;0,$H114&gt;0,OR(AUTOEVENTO&lt;&gt;"manual",$M114&lt;&gt;$A$15)),
        IF(Import.TipoArredondamento&lt;&gt;"TransfereGOV",
              ROUND(OFFSET($P114,0,AR$13),15-13*ORÇAMENTO!$AF$7)/$H114*OFFSET(ORÇAMENTO!$X$15,ROW(AR114)-ROW(AR$15),0),
              ROUND(ROUND(OFFSET($P114,0,AR$13),15-13*ORÇAMENTO!$AF$7)*OFFSET(ORÇAMENTO!$W$15,ROW(AR114)-ROW(AR$15),0),15-13*ORÇAMENTO!$AF$11)),
         0)</f>
        <v>0</v>
      </c>
      <c r="AS114" s="352" t="n">
        <f aca="true">IF(AND($D114="Serviço",AS$12&lt;&gt;0,$H114&gt;0,OR(AUTOEVENTO&lt;&gt;"manual",$M114&lt;&gt;$A$15)),
        IF(Import.TipoArredondamento&lt;&gt;"TransfereGOV",
              ROUND(OFFSET($P114,0,AS$13),15-13*ORÇAMENTO!$AF$7)/$H114*OFFSET(ORÇAMENTO!$X$15,ROW(AS114)-ROW(AS$15),0),
              ROUND(ROUND(OFFSET($P114,0,AS$13),15-13*ORÇAMENTO!$AF$7)*OFFSET(ORÇAMENTO!$W$15,ROW(AS114)-ROW(AS$15),0),15-13*ORÇAMENTO!$AF$11)),
         0)</f>
        <v>0</v>
      </c>
      <c r="AT114" s="352" t="n">
        <f aca="true">IF(AND($D114="Serviço",AT$12&lt;&gt;0,$H114&gt;0,OR(AUTOEVENTO&lt;&gt;"manual",$M114&lt;&gt;$A$15)),
        IF(Import.TipoArredondamento&lt;&gt;"TransfereGOV",
              ROUND(OFFSET($P114,0,AT$13),15-13*ORÇAMENTO!$AF$7)/$H114*OFFSET(ORÇAMENTO!$X$15,ROW(AT114)-ROW(AT$15),0),
              ROUND(ROUND(OFFSET($P114,0,AT$13),15-13*ORÇAMENTO!$AF$7)*OFFSET(ORÇAMENTO!$W$15,ROW(AT114)-ROW(AT$15),0),15-13*ORÇAMENTO!$AF$11)),
         0)</f>
        <v>0</v>
      </c>
      <c r="AU114" s="352" t="n">
        <f aca="true">IF(AND($D114="Serviço",AU$12&lt;&gt;0,$H114&gt;0,OR(AUTOEVENTO&lt;&gt;"manual",$M114&lt;&gt;$A$15)),
        IF(Import.TipoArredondamento&lt;&gt;"TransfereGOV",
              ROUND(OFFSET($P114,0,AU$13),15-13*ORÇAMENTO!$AF$7)/$H114*OFFSET(ORÇAMENTO!$X$15,ROW(AU114)-ROW(AU$15),0),
              ROUND(ROUND(OFFSET($P114,0,AU$13),15-13*ORÇAMENTO!$AF$7)*OFFSET(ORÇAMENTO!$W$15,ROW(AU114)-ROW(AU$15),0),15-13*ORÇAMENTO!$AF$11)),
         0)</f>
        <v>0</v>
      </c>
      <c r="AV114" s="352" t="n">
        <f aca="true">IF(AND($D114="Serviço",AV$12&lt;&gt;0,$H114&gt;0,OR(AUTOEVENTO&lt;&gt;"manual",$M114&lt;&gt;$A$15)),
        IF(Import.TipoArredondamento&lt;&gt;"TransfereGOV",
              ROUND(OFFSET($P114,0,AV$13),15-13*ORÇAMENTO!$AF$7)/$H114*OFFSET(ORÇAMENTO!$X$15,ROW(AV114)-ROW(AV$15),0),
              ROUND(ROUND(OFFSET($P114,0,AV$13),15-13*ORÇAMENTO!$AF$7)*OFFSET(ORÇAMENTO!$W$15,ROW(AV114)-ROW(AV$15),0),15-13*ORÇAMENTO!$AF$11)),
         0)</f>
        <v>0</v>
      </c>
      <c r="AW114" s="352" t="n">
        <f aca="true">IF(AND($D114="Serviço",AW$12&lt;&gt;0,$H114&gt;0,OR(AUTOEVENTO&lt;&gt;"manual",$M114&lt;&gt;$A$15)),
        IF(Import.TipoArredondamento&lt;&gt;"TransfereGOV",
              ROUND(OFFSET($P114,0,AW$13),15-13*ORÇAMENTO!$AF$7)/$H114*OFFSET(ORÇAMENTO!$X$15,ROW(AW114)-ROW(AW$15),0),
              ROUND(ROUND(OFFSET($P114,0,AW$13),15-13*ORÇAMENTO!$AF$7)*OFFSET(ORÇAMENTO!$W$15,ROW(AW114)-ROW(AW$15),0),15-13*ORÇAMENTO!$AF$11)),
         0)</f>
        <v>0</v>
      </c>
      <c r="AX114" s="352" t="n">
        <f aca="true">IF(AND($D114="Serviço",AX$12&lt;&gt;0,$H114&gt;0,OR(AUTOEVENTO&lt;&gt;"manual",$M114&lt;&gt;$A$15)),
        IF(Import.TipoArredondamento&lt;&gt;"TransfereGOV",
              ROUND(OFFSET($P114,0,AX$13),15-13*ORÇAMENTO!$AF$7)/$H114*OFFSET(ORÇAMENTO!$X$15,ROW(AX114)-ROW(AX$15),0),
              ROUND(ROUND(OFFSET($P114,0,AX$13),15-13*ORÇAMENTO!$AF$7)*OFFSET(ORÇAMENTO!$W$15,ROW(AX114)-ROW(AX$15),0),15-13*ORÇAMENTO!$AF$11)),
         0)</f>
        <v>0</v>
      </c>
      <c r="AY114" s="352" t="n">
        <f aca="true">IF(AND($D114="Serviço",AY$12&lt;&gt;0,$H114&gt;0,OR(AUTOEVENTO&lt;&gt;"manual",$M114&lt;&gt;$A$15)),
        IF(Import.TipoArredondamento&lt;&gt;"TransfereGOV",
              ROUND(OFFSET($P114,0,AY$13),15-13*ORÇAMENTO!$AF$7)/$H114*OFFSET(ORÇAMENTO!$X$15,ROW(AY114)-ROW(AY$15),0),
              ROUND(ROUND(OFFSET($P114,0,AY$13),15-13*ORÇAMENTO!$AF$7)*OFFSET(ORÇAMENTO!$W$15,ROW(AY114)-ROW(AY$15),0),15-13*ORÇAMENTO!$AF$11)),
         0)</f>
        <v>0</v>
      </c>
      <c r="AZ114" s="352" t="n">
        <f aca="true">IF(AND($D114="Serviço",AZ$12&lt;&gt;0,$H114&gt;0,OR(AUTOEVENTO&lt;&gt;"manual",$M114&lt;&gt;$A$15)),
        IF(Import.TipoArredondamento&lt;&gt;"TransfereGOV",
              ROUND(OFFSET($P114,0,AZ$13),15-13*ORÇAMENTO!$AF$7)/$H114*OFFSET(ORÇAMENTO!$X$15,ROW(AZ114)-ROW(AZ$15),0),
              ROUND(ROUND(OFFSET($P114,0,AZ$13),15-13*ORÇAMENTO!$AF$7)*OFFSET(ORÇAMENTO!$W$15,ROW(AZ114)-ROW(AZ$15),0),15-13*ORÇAMENTO!$AF$11)),
         0)</f>
        <v>0</v>
      </c>
      <c r="BA114" s="352" t="n">
        <f aca="true">IF(AND($D114="Serviço",BA$12&lt;&gt;0,$H114&gt;0,OR(AUTOEVENTO&lt;&gt;"manual",$M114&lt;&gt;$A$15)),
        IF(Import.TipoArredondamento&lt;&gt;"TransfereGOV",
              ROUND(OFFSET($P114,0,BA$13),15-13*ORÇAMENTO!$AF$7)/$H114*OFFSET(ORÇAMENTO!$X$15,ROW(BA114)-ROW(BA$15),0),
              ROUND(ROUND(OFFSET($P114,0,BA$13),15-13*ORÇAMENTO!$AF$7)*OFFSET(ORÇAMENTO!$W$15,ROW(BA114)-ROW(BA$15),0),15-13*ORÇAMENTO!$AF$11)),
         0)</f>
        <v>0</v>
      </c>
      <c r="BB114" s="352" t="n">
        <f aca="true">IF(AND($D114="Serviço",BB$12&lt;&gt;0,$H114&gt;0,OR(AUTOEVENTO&lt;&gt;"manual",$M114&lt;&gt;$A$15)),
        IF(Import.TipoArredondamento&lt;&gt;"TransfereGOV",
              ROUND(OFFSET($P114,0,BB$13),15-13*ORÇAMENTO!$AF$7)/$H114*OFFSET(ORÇAMENTO!$X$15,ROW(BB114)-ROW(BB$15),0),
              ROUND(ROUND(OFFSET($P114,0,BB$13),15-13*ORÇAMENTO!$AF$7)*OFFSET(ORÇAMENTO!$W$15,ROW(BB114)-ROW(BB$15),0),15-13*ORÇAMENTO!$AF$11)),
         0)</f>
        <v>0</v>
      </c>
      <c r="BC114" s="352" t="n">
        <f aca="true">IF(AND($D114="Serviço",BC$12&lt;&gt;0,$H114&gt;0,OR(AUTOEVENTO&lt;&gt;"manual",$M114&lt;&gt;$A$15)),
        IF(Import.TipoArredondamento&lt;&gt;"TransfereGOV",
              ROUND(OFFSET($P114,0,BC$13),15-13*ORÇAMENTO!$AF$7)/$H114*OFFSET(ORÇAMENTO!$X$15,ROW(BC114)-ROW(BC$15),0),
              ROUND(ROUND(OFFSET($P114,0,BC$13),15-13*ORÇAMENTO!$AF$7)*OFFSET(ORÇAMENTO!$W$15,ROW(BC114)-ROW(BC$15),0),15-13*ORÇAMENTO!$AF$11)),
         0)</f>
        <v>0</v>
      </c>
      <c r="BD114" s="352" t="n">
        <f aca="true">IF(AND($D114="Serviço",BD$12&lt;&gt;0,$H114&gt;0,OR(AUTOEVENTO&lt;&gt;"manual",$M114&lt;&gt;$A$15)),
        IF(Import.TipoArredondamento&lt;&gt;"TransfereGOV",
              ROUND(OFFSET($P114,0,BD$13),15-13*ORÇAMENTO!$AF$7)/$H114*OFFSET(ORÇAMENTO!$X$15,ROW(BD114)-ROW(BD$15),0),
              ROUND(ROUND(OFFSET($P114,0,BD$13),15-13*ORÇAMENTO!$AF$7)*OFFSET(ORÇAMENTO!$W$15,ROW(BD114)-ROW(BD$15),0),15-13*ORÇAMENTO!$AF$11)),
         0)</f>
        <v>0</v>
      </c>
      <c r="BE114" s="352" t="n">
        <f aca="true">IF(AND($D114="Serviço",BE$12&lt;&gt;0,$H114&gt;0,OR(AUTOEVENTO&lt;&gt;"manual",$M114&lt;&gt;$A$15)),
        IF(Import.TipoArredondamento&lt;&gt;"TransfereGOV",
              ROUND(OFFSET($P114,0,BE$13),15-13*ORÇAMENTO!$AF$7)/$H114*OFFSET(ORÇAMENTO!$X$15,ROW(BE114)-ROW(BE$15),0),
              ROUND(ROUND(OFFSET($P114,0,BE$13),15-13*ORÇAMENTO!$AF$7)*OFFSET(ORÇAMENTO!$W$15,ROW(BE114)-ROW(BE$15),0),15-13*ORÇAMENTO!$AF$11)),
         0)</f>
        <v>0</v>
      </c>
      <c r="BF114" s="352" t="n">
        <f aca="true">IF(AND($D114="Serviço",BF$12&lt;&gt;0,$H114&gt;0,OR(AUTOEVENTO&lt;&gt;"manual",$M114&lt;&gt;$A$15)),
        IF(Import.TipoArredondamento&lt;&gt;"TransfereGOV",
              ROUND(OFFSET($P114,0,BF$13),15-13*ORÇAMENTO!$AF$7)/$H114*OFFSET(ORÇAMENTO!$X$15,ROW(BF114)-ROW(BF$15),0),
              ROUND(ROUND(OFFSET($P114,0,BF$13),15-13*ORÇAMENTO!$AF$7)*OFFSET(ORÇAMENTO!$W$15,ROW(BF114)-ROW(BF$15),0),15-13*ORÇAMENTO!$AF$11)),
         0)</f>
        <v>0</v>
      </c>
      <c r="BG114" s="352" t="n">
        <f aca="true">IF(AND($D114="Serviço",BG$12&lt;&gt;0,$H114&gt;0,OR(AUTOEVENTO&lt;&gt;"manual",$M114&lt;&gt;$A$15)),
        IF(Import.TipoArredondamento&lt;&gt;"TransfereGOV",
              ROUND(OFFSET($P114,0,BG$13),15-13*ORÇAMENTO!$AF$7)/$H114*OFFSET(ORÇAMENTO!$X$15,ROW(BG114)-ROW(BG$15),0),
              ROUND(ROUND(OFFSET($P114,0,BG$13),15-13*ORÇAMENTO!$AF$7)*OFFSET(ORÇAMENTO!$W$15,ROW(BG114)-ROW(BG$15),0),15-13*ORÇAMENTO!$AF$11)),
         0)</f>
        <v>0</v>
      </c>
      <c r="BH114" s="352" t="n">
        <f aca="true">IF(AND($D114="Serviço",BH$12&lt;&gt;0,$H114&gt;0,OR(AUTOEVENTO&lt;&gt;"manual",$M114&lt;&gt;$A$15)),
        IF(Import.TipoArredondamento&lt;&gt;"TransfereGOV",
              ROUND(OFFSET($P114,0,BH$13),15-13*ORÇAMENTO!$AF$7)/$H114*OFFSET(ORÇAMENTO!$X$15,ROW(BH114)-ROW(BH$15),0),
              ROUND(ROUND(OFFSET($P114,0,BH$13),15-13*ORÇAMENTO!$AF$7)*OFFSET(ORÇAMENTO!$W$15,ROW(BH114)-ROW(BH$15),0),15-13*ORÇAMENTO!$AF$11)),
         0)</f>
        <v>0</v>
      </c>
      <c r="BI114" s="352" t="n">
        <f aca="true">IF(AND($D114="Serviço",BI$12&lt;&gt;0,$H114&gt;0,OR(AUTOEVENTO&lt;&gt;"manual",$M114&lt;&gt;$A$15)),
        IF(Import.TipoArredondamento&lt;&gt;"TransfereGOV",
              ROUND(OFFSET($P114,0,BI$13),15-13*ORÇAMENTO!$AF$7)/$H114*OFFSET(ORÇAMENTO!$X$15,ROW(BI114)-ROW(BI$15),0),
              ROUND(ROUND(OFFSET($P114,0,BI$13),15-13*ORÇAMENTO!$AF$7)*OFFSET(ORÇAMENTO!$W$15,ROW(BI114)-ROW(BI$15),0),15-13*ORÇAMENTO!$AF$11)),
         0)</f>
        <v>0</v>
      </c>
      <c r="BJ114" s="352" t="n">
        <f aca="true">IF(AND($D114="Serviço",BJ$12&lt;&gt;0,$H114&gt;0,OR(AUTOEVENTO&lt;&gt;"manual",$M114&lt;&gt;$A$15)),
        IF(Import.TipoArredondamento&lt;&gt;"TransfereGOV",
              ROUND(OFFSET($P114,0,BJ$13),15-13*ORÇAMENTO!$AF$7)/$H114*OFFSET(ORÇAMENTO!$X$15,ROW(BJ114)-ROW(BJ$15),0),
              ROUND(ROUND(OFFSET($P114,0,BJ$13),15-13*ORÇAMENTO!$AF$7)*OFFSET(ORÇAMENTO!$W$15,ROW(BJ114)-ROW(BJ$15),0),15-13*ORÇAMENTO!$AF$11)),
         0)</f>
        <v>0</v>
      </c>
      <c r="BK114" s="352" t="n">
        <f aca="true">IF(AND($D114="Serviço",BK$12&lt;&gt;0,$H114&gt;0,OR(AUTOEVENTO&lt;&gt;"manual",$M114&lt;&gt;$A$15)),
        IF(Import.TipoArredondamento&lt;&gt;"TransfereGOV",
              ROUND(OFFSET($P114,0,BK$13),15-13*ORÇAMENTO!$AF$7)/$H114*OFFSET(ORÇAMENTO!$X$15,ROW(BK114)-ROW(BK$15),0),
              ROUND(ROUND(OFFSET($P114,0,BK$13),15-13*ORÇAMENTO!$AF$7)*OFFSET(ORÇAMENTO!$W$15,ROW(BK114)-ROW(BK$15),0),15-13*ORÇAMENTO!$AF$11)),
         0)</f>
        <v>0</v>
      </c>
      <c r="BL114" s="352" t="n">
        <f aca="true">IF(AND($D114="Serviço",BL$12&lt;&gt;0,$H114&gt;0,OR(AUTOEVENTO&lt;&gt;"manual",$M114&lt;&gt;$A$15)),
        IF(Import.TipoArredondamento&lt;&gt;"TransfereGOV",
              ROUND(OFFSET($P114,0,BL$13),15-13*ORÇAMENTO!$AF$7)/$H114*OFFSET(ORÇAMENTO!$X$15,ROW(BL114)-ROW(BL$15),0),
              ROUND(ROUND(OFFSET($P114,0,BL$13),15-13*ORÇAMENTO!$AF$7)*OFFSET(ORÇAMENTO!$W$15,ROW(BL114)-ROW(BL$15),0),15-13*ORÇAMENTO!$AF$11)),
         0)</f>
        <v>0</v>
      </c>
      <c r="BM114" s="352" t="n">
        <f aca="true">IF(AND($D114="Serviço",BM$12&lt;&gt;0,$H114&gt;0,OR(AUTOEVENTO&lt;&gt;"manual",$M114&lt;&gt;$A$15)),
        IF(Import.TipoArredondamento&lt;&gt;"TransfereGOV",
              ROUND(OFFSET($P114,0,BM$13),15-13*ORÇAMENTO!$AF$7)/$H114*OFFSET(ORÇAMENTO!$X$15,ROW(BM114)-ROW(BM$15),0),
              ROUND(ROUND(OFFSET($P114,0,BM$13),15-13*ORÇAMENTO!$AF$7)*OFFSET(ORÇAMENTO!$W$15,ROW(BM114)-ROW(BM$15),0),15-13*ORÇAMENTO!$AF$11)),
         0)</f>
        <v>0</v>
      </c>
      <c r="BN114" s="352" t="n">
        <f aca="true">IF(AND($D114="Serviço",BN$12&lt;&gt;0,$H114&gt;0,OR(AUTOEVENTO&lt;&gt;"manual",$M114&lt;&gt;$A$15)),
        IF(Import.TipoArredondamento&lt;&gt;"TransfereGOV",
              ROUND(OFFSET($P114,0,BN$13),15-13*ORÇAMENTO!$AF$7)/$H114*OFFSET(ORÇAMENTO!$X$15,ROW(BN114)-ROW(BN$15),0),
              ROUND(ROUND(OFFSET($P114,0,BN$13),15-13*ORÇAMENTO!$AF$7)*OFFSET(ORÇAMENTO!$W$15,ROW(BN114)-ROW(BN$15),0),15-13*ORÇAMENTO!$AF$11)),
         0)</f>
        <v>0</v>
      </c>
      <c r="BO114" s="352" t="n">
        <f aca="true">IF(AND($D114="Serviço",BO$12&lt;&gt;0,$H114&gt;0,OR(AUTOEVENTO&lt;&gt;"manual",$M114&lt;&gt;$A$15)),
        IF(Import.TipoArredondamento&lt;&gt;"TransfereGOV",
              ROUND(OFFSET($P114,0,BO$13),15-13*ORÇAMENTO!$AF$7)/$H114*OFFSET(ORÇAMENTO!$X$15,ROW(BO114)-ROW(BO$15),0),
              ROUND(ROUND(OFFSET($P114,0,BO$13),15-13*ORÇAMENTO!$AF$7)*OFFSET(ORÇAMENTO!$W$15,ROW(BO114)-ROW(BO$15),0),15-13*ORÇAMENTO!$AF$11)),
         0)</f>
        <v>0</v>
      </c>
      <c r="BP114" s="352" t="n">
        <f aca="true">IF(AND($D114="Serviço",BP$12&lt;&gt;0,$H114&gt;0,OR(AUTOEVENTO&lt;&gt;"manual",$M114&lt;&gt;$A$15)),
        IF(Import.TipoArredondamento&lt;&gt;"TransfereGOV",
              ROUND(OFFSET($P114,0,BP$13),15-13*ORÇAMENTO!$AF$7)/$H114*OFFSET(ORÇAMENTO!$X$15,ROW(BP114)-ROW(BP$15),0),
              ROUND(ROUND(OFFSET($P114,0,BP$13),15-13*ORÇAMENTO!$AF$7)*OFFSET(ORÇAMENTO!$W$15,ROW(BP114)-ROW(BP$15),0),15-13*ORÇAMENTO!$AF$11)),
         0)</f>
        <v>0</v>
      </c>
      <c r="BQ114" s="352" t="n">
        <f aca="true">IF(AND($D114="Serviço",BQ$12&lt;&gt;0,$H114&gt;0,OR(AUTOEVENTO&lt;&gt;"manual",$M114&lt;&gt;$A$15)),
        IF(Import.TipoArredondamento&lt;&gt;"TransfereGOV",
              ROUND(OFFSET($P114,0,BQ$13),15-13*ORÇAMENTO!$AF$7)/$H114*OFFSET(ORÇAMENTO!$X$15,ROW(BQ114)-ROW(BQ$15),0),
              ROUND(ROUND(OFFSET($P114,0,BQ$13),15-13*ORÇAMENTO!$AF$7)*OFFSET(ORÇAMENTO!$W$15,ROW(BQ114)-ROW(BQ$15),0),15-13*ORÇAMENTO!$AF$11)),
         0)</f>
        <v>0</v>
      </c>
      <c r="BS114" s="353" t="n">
        <f aca="true">IF(OR($D114&lt;&gt;"Serviço",AND(AUTOEVENTO="Manual",$M114=$A$15)),0,
         IF(OFFSET(CRONOPLE!$F$15,$M114-$A$15,BS$13)=0,10^12,OFFSET(CRONOPLE!$F$15,$M114-$A$15,BS$13)))</f>
        <v>0</v>
      </c>
      <c r="BT114" s="353" t="n">
        <f aca="true">IF(OR($D114&lt;&gt;"Serviço",AND(AUTOEVENTO="Manual",$M114=$A$15)),0,
         IF(OFFSET(CRONOPLE!$F$15,$M114-$A$15,BT$13)=0,10^12,OFFSET(CRONOPLE!$F$15,$M114-$A$15,BT$13)))</f>
        <v>0</v>
      </c>
      <c r="BU114" s="353" t="n">
        <f aca="true">IF(OR($D114&lt;&gt;"Serviço",AND(AUTOEVENTO="Manual",$M114=$A$15)),0,
         IF(OFFSET(CRONOPLE!$F$15,$M114-$A$15,BU$13)=0,10^12,OFFSET(CRONOPLE!$F$15,$M114-$A$15,BU$13)))</f>
        <v>0</v>
      </c>
      <c r="BV114" s="353" t="n">
        <f aca="true">IF(OR($D114&lt;&gt;"Serviço",AND(AUTOEVENTO="Manual",$M114=$A$15)),0,
         IF(OFFSET(CRONOPLE!$F$15,$M114-$A$15,BV$13)=0,10^12,OFFSET(CRONOPLE!$F$15,$M114-$A$15,BV$13)))</f>
        <v>0</v>
      </c>
      <c r="BW114" s="353" t="n">
        <f aca="true">IF(OR($D114&lt;&gt;"Serviço",AND(AUTOEVENTO="Manual",$M114=$A$15)),0,
         IF(OFFSET(CRONOPLE!$F$15,$M114-$A$15,BW$13)=0,10^12,OFFSET(CRONOPLE!$F$15,$M114-$A$15,BW$13)))</f>
        <v>0</v>
      </c>
      <c r="BX114" s="353" t="n">
        <f aca="true">IF(OR($D114&lt;&gt;"Serviço",AND(AUTOEVENTO="Manual",$M114=$A$15)),0,
         IF(OFFSET(CRONOPLE!$F$15,$M114-$A$15,BX$13)=0,10^12,OFFSET(CRONOPLE!$F$15,$M114-$A$15,BX$13)))</f>
        <v>0</v>
      </c>
      <c r="BY114" s="353" t="n">
        <f aca="true">IF(OR($D114&lt;&gt;"Serviço",AND(AUTOEVENTO="Manual",$M114=$A$15)),0,
         IF(OFFSET(CRONOPLE!$F$15,$M114-$A$15,BY$13)=0,10^12,OFFSET(CRONOPLE!$F$15,$M114-$A$15,BY$13)))</f>
        <v>0</v>
      </c>
      <c r="BZ114" s="353" t="n">
        <f aca="true">IF(OR($D114&lt;&gt;"Serviço",AND(AUTOEVENTO="Manual",$M114=$A$15)),0,
         IF(OFFSET(CRONOPLE!$F$15,$M114-$A$15,BZ$13)=0,10^12,OFFSET(CRONOPLE!$F$15,$M114-$A$15,BZ$13)))</f>
        <v>0</v>
      </c>
      <c r="CA114" s="353" t="n">
        <f aca="true">IF(OR($D114&lt;&gt;"Serviço",AND(AUTOEVENTO="Manual",$M114=$A$15)),0,
         IF(OFFSET(CRONOPLE!$F$15,$M114-$A$15,CA$13)=0,10^12,OFFSET(CRONOPLE!$F$15,$M114-$A$15,CA$13)))</f>
        <v>0</v>
      </c>
      <c r="CB114" s="353" t="n">
        <f aca="true">IF(OR($D114&lt;&gt;"Serviço",AND(AUTOEVENTO="Manual",$M114=$A$15)),0,
         IF(OFFSET(CRONOPLE!$F$15,$M114-$A$15,CB$13)=0,10^12,OFFSET(CRONOPLE!$F$15,$M114-$A$15,CB$13)))</f>
        <v>0</v>
      </c>
      <c r="CC114" s="353" t="n">
        <f aca="true">IF(OR($D114&lt;&gt;"Serviço",AND(AUTOEVENTO="Manual",$M114=$A$15)),0,
         IF(OFFSET(CRONOPLE!$F$15,$M114-$A$15,CC$13)=0,10^12,OFFSET(CRONOPLE!$F$15,$M114-$A$15,CC$13)))</f>
        <v>0</v>
      </c>
      <c r="CD114" s="353" t="n">
        <f aca="true">IF(OR($D114&lt;&gt;"Serviço",AND(AUTOEVENTO="Manual",$M114=$A$15)),0,
         IF(OFFSET(CRONOPLE!$F$15,$M114-$A$15,CD$13)=0,10^12,OFFSET(CRONOPLE!$F$15,$M114-$A$15,CD$13)))</f>
        <v>0</v>
      </c>
      <c r="CE114" s="353" t="n">
        <f aca="true">IF(OR($D114&lt;&gt;"Serviço",AND(AUTOEVENTO="Manual",$M114=$A$15)),0,
         IF(OFFSET(CRONOPLE!$F$15,$M114-$A$15,CE$13)=0,10^12,OFFSET(CRONOPLE!$F$15,$M114-$A$15,CE$13)))</f>
        <v>0</v>
      </c>
      <c r="CF114" s="353" t="n">
        <f aca="true">IF(OR($D114&lt;&gt;"Serviço",AND(AUTOEVENTO="Manual",$M114=$A$15)),0,
         IF(OFFSET(CRONOPLE!$F$15,$M114-$A$15,CF$13)=0,10^12,OFFSET(CRONOPLE!$F$15,$M114-$A$15,CF$13)))</f>
        <v>0</v>
      </c>
      <c r="CG114" s="353" t="n">
        <f aca="true">IF(OR($D114&lt;&gt;"Serviço",AND(AUTOEVENTO="Manual",$M114=$A$15)),0,
         IF(OFFSET(CRONOPLE!$F$15,$M114-$A$15,CG$13)=0,10^12,OFFSET(CRONOPLE!$F$15,$M114-$A$15,CG$13)))</f>
        <v>0</v>
      </c>
      <c r="CH114" s="353" t="n">
        <f aca="true">IF(OR($D114&lt;&gt;"Serviço",AND(AUTOEVENTO="Manual",$M114=$A$15)),0,
         IF(OFFSET(CRONOPLE!$F$15,$M114-$A$15,CH$13)=0,10^12,OFFSET(CRONOPLE!$F$15,$M114-$A$15,CH$13)))</f>
        <v>0</v>
      </c>
      <c r="CI114" s="353" t="n">
        <f aca="true">IF(OR($D114&lt;&gt;"Serviço",AND(AUTOEVENTO="Manual",$M114=$A$15)),0,
         IF(OFFSET(CRONOPLE!$F$15,$M114-$A$15,CI$13)=0,10^12,OFFSET(CRONOPLE!$F$15,$M114-$A$15,CI$13)))</f>
        <v>0</v>
      </c>
      <c r="CJ114" s="353" t="n">
        <f aca="true">IF(OR($D114&lt;&gt;"Serviço",AND(AUTOEVENTO="Manual",$M114=$A$15)),0,
         IF(OFFSET(CRONOPLE!$F$15,$M114-$A$15,CJ$13)=0,10^12,OFFSET(CRONOPLE!$F$15,$M114-$A$15,CJ$13)))</f>
        <v>0</v>
      </c>
      <c r="CK114" s="353" t="n">
        <f aca="true">IF(OR($D114&lt;&gt;"Serviço",AND(AUTOEVENTO="Manual",$M114=$A$15)),0,
         IF(OFFSET(CRONOPLE!$F$15,$M114-$A$15,CK$13)=0,10^12,OFFSET(CRONOPLE!$F$15,$M114-$A$15,CK$13)))</f>
        <v>0</v>
      </c>
      <c r="CL114" s="353" t="n">
        <f aca="true">IF(OR($D114&lt;&gt;"Serviço",AND(AUTOEVENTO="Manual",$M114=$A$15)),0,
         IF(OFFSET(CRONOPLE!$F$15,$M114-$A$15,CL$13)=0,10^12,OFFSET(CRONOPLE!$F$15,$M114-$A$15,CL$13)))</f>
        <v>0</v>
      </c>
      <c r="CM114" s="353" t="n">
        <f aca="true">IF(OR($D114&lt;&gt;"Serviço",AND(AUTOEVENTO="Manual",$M114=$A$15)),0,
         IF(OFFSET(CRONOPLE!$F$15,$M114-$A$15,CM$13)=0,10^12,OFFSET(CRONOPLE!$F$15,$M114-$A$15,CM$13)))</f>
        <v>0</v>
      </c>
      <c r="CN114" s="353" t="n">
        <f aca="true">IF(OR($D114&lt;&gt;"Serviço",AND(AUTOEVENTO="Manual",$M114=$A$15)),0,
         IF(OFFSET(CRONOPLE!$F$15,$M114-$A$15,CN$13)=0,10^12,OFFSET(CRONOPLE!$F$15,$M114-$A$15,CN$13)))</f>
        <v>0</v>
      </c>
      <c r="CO114" s="353" t="n">
        <f aca="true">IF(OR($D114&lt;&gt;"Serviço",AND(AUTOEVENTO="Manual",$M114=$A$15)),0,
         IF(OFFSET(CRONOPLE!$F$15,$M114-$A$15,CO$13)=0,10^12,OFFSET(CRONOPLE!$F$15,$M114-$A$15,CO$13)))</f>
        <v>0</v>
      </c>
      <c r="CP114" s="353" t="n">
        <f aca="true">IF(OR($D114&lt;&gt;"Serviço",AND(AUTOEVENTO="Manual",$M114=$A$15)),0,
         IF(OFFSET(CRONOPLE!$F$15,$M114-$A$15,CP$13)=0,10^12,OFFSET(CRONOPLE!$F$15,$M114-$A$15,CP$13)))</f>
        <v>0</v>
      </c>
      <c r="CQ114" s="353" t="n">
        <f aca="true">IF(OR($D114&lt;&gt;"Serviço",AND(AUTOEVENTO="Manual",$M114=$A$15)),0,
         IF(OFFSET(CRONOPLE!$F$15,$M114-$A$15,CQ$13)=0,10^12,OFFSET(CRONOPLE!$F$15,$M114-$A$15,CQ$13)))</f>
        <v>0</v>
      </c>
      <c r="CR114" s="353" t="n">
        <f aca="true">IF(OR($D114&lt;&gt;"Serviço",AND(AUTOEVENTO="Manual",$M114=$A$15)),0,
         IF(OFFSET(CRONOPLE!$F$15,$M114-$A$15,CR$13)=0,10^12,OFFSET(CRONOPLE!$F$15,$M114-$A$15,CR$13)))</f>
        <v>0</v>
      </c>
      <c r="CT114" s="354" t="n">
        <f aca="true">IF(OR($D114&lt;&gt;"Serviço",AND(AUTOEVENTO="Manual",$M114=$A$15),$M114&gt;(ROW(PLE.lastrow)-ROW(PLE.firstrow))),0,
           IF(OFFSET(PLE!$G$15,$M114-$A$15,CT$13)="",10^12,OFFSET(PLE!$G$15,$M114-$A$15,CT$13)))</f>
        <v>0</v>
      </c>
      <c r="CU114" s="354" t="n">
        <f aca="true">IF(OR($D114&lt;&gt;"Serviço",AND(AUTOEVENTO="Manual",$M114=$A$15),$M114&gt;(ROW(PLE.lastrow)-ROW(PLE.firstrow))),0,
           IF(OFFSET(PLE!$G$15,$M114-$A$15,CU$13)="",10^12,OFFSET(PLE!$G$15,$M114-$A$15,CU$13)))</f>
        <v>0</v>
      </c>
      <c r="CV114" s="354" t="n">
        <f aca="true">IF(OR($D114&lt;&gt;"Serviço",AND(AUTOEVENTO="Manual",$M114=$A$15),$M114&gt;(ROW(PLE.lastrow)-ROW(PLE.firstrow))),0,
           IF(OFFSET(PLE!$G$15,$M114-$A$15,CV$13)="",10^12,OFFSET(PLE!$G$15,$M114-$A$15,CV$13)))</f>
        <v>0</v>
      </c>
      <c r="CW114" s="354" t="n">
        <f aca="true">IF(OR($D114&lt;&gt;"Serviço",AND(AUTOEVENTO="Manual",$M114=$A$15),$M114&gt;(ROW(PLE.lastrow)-ROW(PLE.firstrow))),0,
           IF(OFFSET(PLE!$G$15,$M114-$A$15,CW$13)="",10^12,OFFSET(PLE!$G$15,$M114-$A$15,CW$13)))</f>
        <v>0</v>
      </c>
      <c r="CX114" s="354" t="n">
        <f aca="true">IF(OR($D114&lt;&gt;"Serviço",AND(AUTOEVENTO="Manual",$M114=$A$15),$M114&gt;(ROW(PLE.lastrow)-ROW(PLE.firstrow))),0,
           IF(OFFSET(PLE!$G$15,$M114-$A$15,CX$13)="",10^12,OFFSET(PLE!$G$15,$M114-$A$15,CX$13)))</f>
        <v>0</v>
      </c>
      <c r="CY114" s="354" t="n">
        <f aca="true">IF(OR($D114&lt;&gt;"Serviço",AND(AUTOEVENTO="Manual",$M114=$A$15),$M114&gt;(ROW(PLE.lastrow)-ROW(PLE.firstrow))),0,
           IF(OFFSET(PLE!$G$15,$M114-$A$15,CY$13)="",10^12,OFFSET(PLE!$G$15,$M114-$A$15,CY$13)))</f>
        <v>0</v>
      </c>
      <c r="CZ114" s="354" t="n">
        <f aca="true">IF(OR($D114&lt;&gt;"Serviço",AND(AUTOEVENTO="Manual",$M114=$A$15),$M114&gt;(ROW(PLE.lastrow)-ROW(PLE.firstrow))),0,
           IF(OFFSET(PLE!$G$15,$M114-$A$15,CZ$13)="",10^12,OFFSET(PLE!$G$15,$M114-$A$15,CZ$13)))</f>
        <v>0</v>
      </c>
      <c r="DA114" s="354" t="n">
        <f aca="true">IF(OR($D114&lt;&gt;"Serviço",AND(AUTOEVENTO="Manual",$M114=$A$15),$M114&gt;(ROW(PLE.lastrow)-ROW(PLE.firstrow))),0,
           IF(OFFSET(PLE!$G$15,$M114-$A$15,DA$13)="",10^12,OFFSET(PLE!$G$15,$M114-$A$15,DA$13)))</f>
        <v>0</v>
      </c>
      <c r="DB114" s="354" t="n">
        <f aca="true">IF(OR($D114&lt;&gt;"Serviço",AND(AUTOEVENTO="Manual",$M114=$A$15),$M114&gt;(ROW(PLE.lastrow)-ROW(PLE.firstrow))),0,
           IF(OFFSET(PLE!$G$15,$M114-$A$15,DB$13)="",10^12,OFFSET(PLE!$G$15,$M114-$A$15,DB$13)))</f>
        <v>0</v>
      </c>
      <c r="DC114" s="354" t="n">
        <f aca="true">IF(OR($D114&lt;&gt;"Serviço",AND(AUTOEVENTO="Manual",$M114=$A$15),$M114&gt;(ROW(PLE.lastrow)-ROW(PLE.firstrow))),0,
           IF(OFFSET(PLE!$G$15,$M114-$A$15,DC$13)="",10^12,OFFSET(PLE!$G$15,$M114-$A$15,DC$13)))</f>
        <v>0</v>
      </c>
      <c r="DD114" s="354" t="n">
        <f aca="true">IF(OR($D114&lt;&gt;"Serviço",AND(AUTOEVENTO="Manual",$M114=$A$15),$M114&gt;(ROW(PLE.lastrow)-ROW(PLE.firstrow))),0,
           IF(OFFSET(PLE!$G$15,$M114-$A$15,DD$13)="",10^12,OFFSET(PLE!$G$15,$M114-$A$15,DD$13)))</f>
        <v>0</v>
      </c>
      <c r="DE114" s="354" t="n">
        <f aca="true">IF(OR($D114&lt;&gt;"Serviço",AND(AUTOEVENTO="Manual",$M114=$A$15),$M114&gt;(ROW(PLE.lastrow)-ROW(PLE.firstrow))),0,
           IF(OFFSET(PLE!$G$15,$M114-$A$15,DE$13)="",10^12,OFFSET(PLE!$G$15,$M114-$A$15,DE$13)))</f>
        <v>0</v>
      </c>
      <c r="DF114" s="354" t="n">
        <f aca="true">IF(OR($D114&lt;&gt;"Serviço",AND(AUTOEVENTO="Manual",$M114=$A$15),$M114&gt;(ROW(PLE.lastrow)-ROW(PLE.firstrow))),0,
           IF(OFFSET(PLE!$G$15,$M114-$A$15,DF$13)="",10^12,OFFSET(PLE!$G$15,$M114-$A$15,DF$13)))</f>
        <v>0</v>
      </c>
      <c r="DG114" s="354" t="n">
        <f aca="true">IF(OR($D114&lt;&gt;"Serviço",AND(AUTOEVENTO="Manual",$M114=$A$15),$M114&gt;(ROW(PLE.lastrow)-ROW(PLE.firstrow))),0,
           IF(OFFSET(PLE!$G$15,$M114-$A$15,DG$13)="",10^12,OFFSET(PLE!$G$15,$M114-$A$15,DG$13)))</f>
        <v>0</v>
      </c>
      <c r="DH114" s="354" t="n">
        <f aca="true">IF(OR($D114&lt;&gt;"Serviço",AND(AUTOEVENTO="Manual",$M114=$A$15),$M114&gt;(ROW(PLE.lastrow)-ROW(PLE.firstrow))),0,
           IF(OFFSET(PLE!$G$15,$M114-$A$15,DH$13)="",10^12,OFFSET(PLE!$G$15,$M114-$A$15,DH$13)))</f>
        <v>0</v>
      </c>
      <c r="DI114" s="354" t="n">
        <f aca="true">IF(OR($D114&lt;&gt;"Serviço",AND(AUTOEVENTO="Manual",$M114=$A$15),$M114&gt;(ROW(PLE.lastrow)-ROW(PLE.firstrow))),0,
           IF(OFFSET(PLE!$G$15,$M114-$A$15,DI$13)="",10^12,OFFSET(PLE!$G$15,$M114-$A$15,DI$13)))</f>
        <v>0</v>
      </c>
      <c r="DJ114" s="354" t="n">
        <f aca="true">IF(OR($D114&lt;&gt;"Serviço",AND(AUTOEVENTO="Manual",$M114=$A$15),$M114&gt;(ROW(PLE.lastrow)-ROW(PLE.firstrow))),0,
           IF(OFFSET(PLE!$G$15,$M114-$A$15,DJ$13)="",10^12,OFFSET(PLE!$G$15,$M114-$A$15,DJ$13)))</f>
        <v>0</v>
      </c>
      <c r="DK114" s="354" t="n">
        <f aca="true">IF(OR($D114&lt;&gt;"Serviço",AND(AUTOEVENTO="Manual",$M114=$A$15),$M114&gt;(ROW(PLE.lastrow)-ROW(PLE.firstrow))),0,
           IF(OFFSET(PLE!$G$15,$M114-$A$15,DK$13)="",10^12,OFFSET(PLE!$G$15,$M114-$A$15,DK$13)))</f>
        <v>0</v>
      </c>
      <c r="DL114" s="354" t="n">
        <f aca="true">IF(OR($D114&lt;&gt;"Serviço",AND(AUTOEVENTO="Manual",$M114=$A$15),$M114&gt;(ROW(PLE.lastrow)-ROW(PLE.firstrow))),0,
           IF(OFFSET(PLE!$G$15,$M114-$A$15,DL$13)="",10^12,OFFSET(PLE!$G$15,$M114-$A$15,DL$13)))</f>
        <v>0</v>
      </c>
      <c r="DM114" s="354" t="n">
        <f aca="true">IF(OR($D114&lt;&gt;"Serviço",AND(AUTOEVENTO="Manual",$M114=$A$15),$M114&gt;(ROW(PLE.lastrow)-ROW(PLE.firstrow))),0,
           IF(OFFSET(PLE!$G$15,$M114-$A$15,DM$13)="",10^12,OFFSET(PLE!$G$15,$M114-$A$15,DM$13)))</f>
        <v>0</v>
      </c>
      <c r="DN114" s="354" t="n">
        <f aca="true">IF(OR($D114&lt;&gt;"Serviço",AND(AUTOEVENTO="Manual",$M114=$A$15),$M114&gt;(ROW(PLE.lastrow)-ROW(PLE.firstrow))),0,
           IF(OFFSET(PLE!$G$15,$M114-$A$15,DN$13)="",10^12,OFFSET(PLE!$G$15,$M114-$A$15,DN$13)))</f>
        <v>0</v>
      </c>
      <c r="DO114" s="354" t="n">
        <f aca="true">IF(OR($D114&lt;&gt;"Serviço",AND(AUTOEVENTO="Manual",$M114=$A$15),$M114&gt;(ROW(PLE.lastrow)-ROW(PLE.firstrow))),0,
           IF(OFFSET(PLE!$G$15,$M114-$A$15,DO$13)="",10^12,OFFSET(PLE!$G$15,$M114-$A$15,DO$13)))</f>
        <v>0</v>
      </c>
      <c r="DP114" s="354" t="n">
        <f aca="true">IF(OR($D114&lt;&gt;"Serviço",AND(AUTOEVENTO="Manual",$M114=$A$15),$M114&gt;(ROW(PLE.lastrow)-ROW(PLE.firstrow))),0,
           IF(OFFSET(PLE!$G$15,$M114-$A$15,DP$13)="",10^12,OFFSET(PLE!$G$15,$M114-$A$15,DP$13)))</f>
        <v>0</v>
      </c>
      <c r="DQ114" s="354" t="n">
        <f aca="true">IF(OR($D114&lt;&gt;"Serviço",AND(AUTOEVENTO="Manual",$M114=$A$15),$M114&gt;(ROW(PLE.lastrow)-ROW(PLE.firstrow))),0,
           IF(OFFSET(PLE!$G$15,$M114-$A$15,DQ$13)="",10^12,OFFSET(PLE!$G$15,$M114-$A$15,DQ$13)))</f>
        <v>0</v>
      </c>
      <c r="DR114" s="354" t="n">
        <f aca="true">IF(OR($D114&lt;&gt;"Serviço",AND(AUTOEVENTO="Manual",$M114=$A$15),$M114&gt;(ROW(PLE.lastrow)-ROW(PLE.firstrow))),0,
           IF(OFFSET(PLE!$G$15,$M114-$A$15,DR$13)="",10^12,OFFSET(PLE!$G$15,$M114-$A$15,DR$13)))</f>
        <v>0</v>
      </c>
      <c r="DS114" s="354" t="n">
        <f aca="true">IF(OR($D114&lt;&gt;"Serviço",AND(AUTOEVENTO="Manual",$M114=$A$15),$M114&gt;(ROW(PLE.lastrow)-ROW(PLE.firstrow))),0,
           IF(OFFSET(PLE!$G$15,$M114-$A$15,DS$13)="",10^12,OFFSET(PLE!$G$15,$M114-$A$15,DS$13)))</f>
        <v>0</v>
      </c>
    </row>
    <row r="115" customFormat="false" ht="23.85" hidden="false" customHeight="false" outlineLevel="0" collapsed="false">
      <c r="A115" s="50" t="str">
        <f aca="true">IFERROR(IF(AUTOEVENTO="Manual",IF(K115&lt;&gt;"",MIN(VALUE(LEFT(K115,FIND(".",K115)-1)),COUNTA(EVENTOS.Lista)),0),IF(OR($B115&gt;AUTOEVENTO,$B115="S",$B115=0),SUBSTITUTE(OFFSET($A115,-1,0),IF($D115="Serviço",".",""),""),ROW(A115)-ROW($A$15)&amp;".")),0)</f>
        <v>99</v>
      </c>
      <c r="B115" s="50" t="str">
        <f aca="true">OFFSET(ORÇAMENTO!C$15,ROW(B115)-ROW(B$15),0)</f>
        <v>S</v>
      </c>
      <c r="C115" s="50" t="str">
        <f aca="true">OFFSET(ORÇAMENTO!L$15,ROW(C115)-ROW(C$15),0)</f>
        <v>F</v>
      </c>
      <c r="D115" s="201" t="str">
        <f aca="true">OFFSET(ORÇAMENTO!N$15,ROW(D115)-ROW(D$15),0)</f>
        <v>Serviço</v>
      </c>
      <c r="E115" s="202" t="str">
        <f aca="true">OFFSET(ORÇAMENTO!O$15,ROW(E115)-ROW(E$15),0)</f>
        <v>1.32.1.</v>
      </c>
      <c r="F115" s="341" t="str">
        <f aca="true">OFFSET(ORÇAMENTO!R$15,ROW(F115)-ROW(F$15),0)</f>
        <v>RODAPÉ CERÂMICO DE 7CM DE ALTURA COM PLACAS TIPO ESMALTADA DE DIMENSÕES 35X35CM. AF_02/2023</v>
      </c>
      <c r="G115" s="342" t="str">
        <f aca="true">IF($D115&lt;&gt;"Serviço","",OFFSET(ORÇAMENTO!S$15,ROW(G115)-ROW(G$15),0))</f>
        <v>M</v>
      </c>
      <c r="H115" s="207" t="n">
        <f aca="true">IF($D115&lt;&gt;"Serviço",0,IF(ACOMPANHAMENTO="BM",ROUND(OFFSET(ORÇAMENTO!AJ$15,ROW(H115)-ROW(H$15),0),15-13*ORÇAMENTO!$AF$7),SUMPRODUCT(($Q$1:$AQ$1=1)*ROUND($Q115:$AQ115,15-13*ORÇAMENTO!$AF$7))))</f>
        <v>117.75</v>
      </c>
      <c r="I115" s="343" t="s">
        <v>967</v>
      </c>
      <c r="J115" s="344" t="e">
        <f aca="false">IF(OR(B115&lt;&gt;"S",CÁLCULO.FrentesPreenchidas=0),"",IF(AND(ACOMPANHAMENTO="PLE",AUTOEVENTO="Manual",OR(H115&gt;0,ORÇAMENTO!AC115="QUANT."),OR(K115="",M115=0,N115="")),"►",IF(AND(ACOMPANHAMENTO="PLE",ORÇAMENTO!AC115="QUANT."),"►►",IF(AND(COUNTIF($P$11:$AQ$11,"▼")=0,H115&gt;0,I115=""),"◄",""))))</f>
        <v>#NAME?</v>
      </c>
      <c r="K115" s="345"/>
      <c r="L115" s="346" t="s">
        <v>876</v>
      </c>
      <c r="M115" s="347" t="n">
        <f aca="true">IF($D115&lt;&gt;"Serviço","",
          IF(AUTOEVENTO="manual",$A115,
                IF(ISERROR(MATCH($A115,$A$15:OFFSET($A115,-1,0),0)),MAX($M$15:OFFSET(M115,-1,0))+1,
                      INDEX($M$15:OFFSET(M115,-1,0),MATCH($A115,$A$15:OFFSET($A115,-1,0),0)))))</f>
        <v>20</v>
      </c>
      <c r="N115" s="348" t="str">
        <f aca="true">IF($D115&lt;&gt;"Serviço","",
         IF(AUTOEVENTO="Manual",
                IF($A115=0,"&lt;-- defina o número do agrupador",
                       OFFSET(EVENTOS!$D$15,$A115-$A$15,0)),
                OFFSET($F$15,$A115,0)))</f>
        <v>RODAPÉS, SOLEIRAS E PEITORIS</v>
      </c>
      <c r="O115" s="349"/>
      <c r="Q115" s="349" t="n">
        <v>4.71</v>
      </c>
      <c r="R115" s="350" t="n">
        <f aca="false">Q115</f>
        <v>4.71</v>
      </c>
      <c r="S115" s="350" t="n">
        <f aca="false">R115</f>
        <v>4.71</v>
      </c>
      <c r="T115" s="350" t="n">
        <f aca="false">S115</f>
        <v>4.71</v>
      </c>
      <c r="U115" s="350" t="n">
        <f aca="false">T115</f>
        <v>4.71</v>
      </c>
      <c r="V115" s="350" t="n">
        <f aca="false">U115</f>
        <v>4.71</v>
      </c>
      <c r="W115" s="350" t="n">
        <f aca="false">V115</f>
        <v>4.71</v>
      </c>
      <c r="X115" s="350" t="n">
        <f aca="false">W115</f>
        <v>4.71</v>
      </c>
      <c r="Y115" s="350" t="n">
        <f aca="false">X115</f>
        <v>4.71</v>
      </c>
      <c r="Z115" s="351" t="n">
        <f aca="false">Y115</f>
        <v>4.71</v>
      </c>
      <c r="AA115" s="350" t="n">
        <f aca="false">Z115</f>
        <v>4.71</v>
      </c>
      <c r="AB115" s="350" t="n">
        <f aca="false">AA115</f>
        <v>4.71</v>
      </c>
      <c r="AC115" s="350" t="n">
        <f aca="false">AB115</f>
        <v>4.71</v>
      </c>
      <c r="AD115" s="350" t="n">
        <f aca="false">AC115</f>
        <v>4.71</v>
      </c>
      <c r="AE115" s="350" t="n">
        <f aca="false">AD115</f>
        <v>4.71</v>
      </c>
      <c r="AF115" s="350" t="n">
        <f aca="false">AE115</f>
        <v>4.71</v>
      </c>
      <c r="AG115" s="350" t="n">
        <f aca="false">AF115</f>
        <v>4.71</v>
      </c>
      <c r="AH115" s="351" t="n">
        <f aca="false">AG115</f>
        <v>4.71</v>
      </c>
      <c r="AI115" s="350" t="n">
        <f aca="false">AH115</f>
        <v>4.71</v>
      </c>
      <c r="AJ115" s="350" t="n">
        <f aca="false">AI115</f>
        <v>4.71</v>
      </c>
      <c r="AK115" s="350" t="n">
        <f aca="false">AJ115</f>
        <v>4.71</v>
      </c>
      <c r="AL115" s="350" t="n">
        <f aca="false">AK115</f>
        <v>4.71</v>
      </c>
      <c r="AM115" s="350" t="n">
        <f aca="false">AL115</f>
        <v>4.71</v>
      </c>
      <c r="AN115" s="350" t="n">
        <f aca="false">AM115</f>
        <v>4.71</v>
      </c>
      <c r="AO115" s="350" t="n">
        <f aca="false">AN115</f>
        <v>4.71</v>
      </c>
      <c r="AP115" s="351"/>
      <c r="AR115" s="352" t="n">
        <f aca="true">IF(AND($D115="Serviço",AR$12&lt;&gt;0,$H115&gt;0,OR(AUTOEVENTO&lt;&gt;"manual",$M115&lt;&gt;$A$15)),
        IF(Import.TipoArredondamento&lt;&gt;"TransfereGOV",
              ROUND(OFFSET($P115,0,AR$13),15-13*ORÇAMENTO!$AF$7)/$H115*OFFSET(ORÇAMENTO!$X$15,ROW(AR115)-ROW(AR$15),0),
              ROUND(ROUND(OFFSET($P115,0,AR$13),15-13*ORÇAMENTO!$AF$7)*OFFSET(ORÇAMENTO!$W$15,ROW(AR115)-ROW(AR$15),0),15-13*ORÇAMENTO!$AF$11)),
         0)</f>
        <v>45.36</v>
      </c>
      <c r="AS115" s="352" t="n">
        <f aca="true">IF(AND($D115="Serviço",AS$12&lt;&gt;0,$H115&gt;0,OR(AUTOEVENTO&lt;&gt;"manual",$M115&lt;&gt;$A$15)),
        IF(Import.TipoArredondamento&lt;&gt;"TransfereGOV",
              ROUND(OFFSET($P115,0,AS$13),15-13*ORÇAMENTO!$AF$7)/$H115*OFFSET(ORÇAMENTO!$X$15,ROW(AS115)-ROW(AS$15),0),
              ROUND(ROUND(OFFSET($P115,0,AS$13),15-13*ORÇAMENTO!$AF$7)*OFFSET(ORÇAMENTO!$W$15,ROW(AS115)-ROW(AS$15),0),15-13*ORÇAMENTO!$AF$11)),
         0)</f>
        <v>45.36</v>
      </c>
      <c r="AT115" s="352" t="n">
        <f aca="true">IF(AND($D115="Serviço",AT$12&lt;&gt;0,$H115&gt;0,OR(AUTOEVENTO&lt;&gt;"manual",$M115&lt;&gt;$A$15)),
        IF(Import.TipoArredondamento&lt;&gt;"TransfereGOV",
              ROUND(OFFSET($P115,0,AT$13),15-13*ORÇAMENTO!$AF$7)/$H115*OFFSET(ORÇAMENTO!$X$15,ROW(AT115)-ROW(AT$15),0),
              ROUND(ROUND(OFFSET($P115,0,AT$13),15-13*ORÇAMENTO!$AF$7)*OFFSET(ORÇAMENTO!$W$15,ROW(AT115)-ROW(AT$15),0),15-13*ORÇAMENTO!$AF$11)),
         0)</f>
        <v>45.36</v>
      </c>
      <c r="AU115" s="352" t="n">
        <f aca="true">IF(AND($D115="Serviço",AU$12&lt;&gt;0,$H115&gt;0,OR(AUTOEVENTO&lt;&gt;"manual",$M115&lt;&gt;$A$15)),
        IF(Import.TipoArredondamento&lt;&gt;"TransfereGOV",
              ROUND(OFFSET($P115,0,AU$13),15-13*ORÇAMENTO!$AF$7)/$H115*OFFSET(ORÇAMENTO!$X$15,ROW(AU115)-ROW(AU$15),0),
              ROUND(ROUND(OFFSET($P115,0,AU$13),15-13*ORÇAMENTO!$AF$7)*OFFSET(ORÇAMENTO!$W$15,ROW(AU115)-ROW(AU$15),0),15-13*ORÇAMENTO!$AF$11)),
         0)</f>
        <v>45.36</v>
      </c>
      <c r="AV115" s="352" t="n">
        <f aca="true">IF(AND($D115="Serviço",AV$12&lt;&gt;0,$H115&gt;0,OR(AUTOEVENTO&lt;&gt;"manual",$M115&lt;&gt;$A$15)),
        IF(Import.TipoArredondamento&lt;&gt;"TransfereGOV",
              ROUND(OFFSET($P115,0,AV$13),15-13*ORÇAMENTO!$AF$7)/$H115*OFFSET(ORÇAMENTO!$X$15,ROW(AV115)-ROW(AV$15),0),
              ROUND(ROUND(OFFSET($P115,0,AV$13),15-13*ORÇAMENTO!$AF$7)*OFFSET(ORÇAMENTO!$W$15,ROW(AV115)-ROW(AV$15),0),15-13*ORÇAMENTO!$AF$11)),
         0)</f>
        <v>45.36</v>
      </c>
      <c r="AW115" s="352" t="n">
        <f aca="true">IF(AND($D115="Serviço",AW$12&lt;&gt;0,$H115&gt;0,OR(AUTOEVENTO&lt;&gt;"manual",$M115&lt;&gt;$A$15)),
        IF(Import.TipoArredondamento&lt;&gt;"TransfereGOV",
              ROUND(OFFSET($P115,0,AW$13),15-13*ORÇAMENTO!$AF$7)/$H115*OFFSET(ORÇAMENTO!$X$15,ROW(AW115)-ROW(AW$15),0),
              ROUND(ROUND(OFFSET($P115,0,AW$13),15-13*ORÇAMENTO!$AF$7)*OFFSET(ORÇAMENTO!$W$15,ROW(AW115)-ROW(AW$15),0),15-13*ORÇAMENTO!$AF$11)),
         0)</f>
        <v>45.36</v>
      </c>
      <c r="AX115" s="352" t="n">
        <f aca="true">IF(AND($D115="Serviço",AX$12&lt;&gt;0,$H115&gt;0,OR(AUTOEVENTO&lt;&gt;"manual",$M115&lt;&gt;$A$15)),
        IF(Import.TipoArredondamento&lt;&gt;"TransfereGOV",
              ROUND(OFFSET($P115,0,AX$13),15-13*ORÇAMENTO!$AF$7)/$H115*OFFSET(ORÇAMENTO!$X$15,ROW(AX115)-ROW(AX$15),0),
              ROUND(ROUND(OFFSET($P115,0,AX$13),15-13*ORÇAMENTO!$AF$7)*OFFSET(ORÇAMENTO!$W$15,ROW(AX115)-ROW(AX$15),0),15-13*ORÇAMENTO!$AF$11)),
         0)</f>
        <v>45.36</v>
      </c>
      <c r="AY115" s="352" t="n">
        <f aca="true">IF(AND($D115="Serviço",AY$12&lt;&gt;0,$H115&gt;0,OR(AUTOEVENTO&lt;&gt;"manual",$M115&lt;&gt;$A$15)),
        IF(Import.TipoArredondamento&lt;&gt;"TransfereGOV",
              ROUND(OFFSET($P115,0,AY$13),15-13*ORÇAMENTO!$AF$7)/$H115*OFFSET(ORÇAMENTO!$X$15,ROW(AY115)-ROW(AY$15),0),
              ROUND(ROUND(OFFSET($P115,0,AY$13),15-13*ORÇAMENTO!$AF$7)*OFFSET(ORÇAMENTO!$W$15,ROW(AY115)-ROW(AY$15),0),15-13*ORÇAMENTO!$AF$11)),
         0)</f>
        <v>45.36</v>
      </c>
      <c r="AZ115" s="352" t="n">
        <f aca="true">IF(AND($D115="Serviço",AZ$12&lt;&gt;0,$H115&gt;0,OR(AUTOEVENTO&lt;&gt;"manual",$M115&lt;&gt;$A$15)),
        IF(Import.TipoArredondamento&lt;&gt;"TransfereGOV",
              ROUND(OFFSET($P115,0,AZ$13),15-13*ORÇAMENTO!$AF$7)/$H115*OFFSET(ORÇAMENTO!$X$15,ROW(AZ115)-ROW(AZ$15),0),
              ROUND(ROUND(OFFSET($P115,0,AZ$13),15-13*ORÇAMENTO!$AF$7)*OFFSET(ORÇAMENTO!$W$15,ROW(AZ115)-ROW(AZ$15),0),15-13*ORÇAMENTO!$AF$11)),
         0)</f>
        <v>45.36</v>
      </c>
      <c r="BA115" s="352" t="n">
        <f aca="true">IF(AND($D115="Serviço",BA$12&lt;&gt;0,$H115&gt;0,OR(AUTOEVENTO&lt;&gt;"manual",$M115&lt;&gt;$A$15)),
        IF(Import.TipoArredondamento&lt;&gt;"TransfereGOV",
              ROUND(OFFSET($P115,0,BA$13),15-13*ORÇAMENTO!$AF$7)/$H115*OFFSET(ORÇAMENTO!$X$15,ROW(BA115)-ROW(BA$15),0),
              ROUND(ROUND(OFFSET($P115,0,BA$13),15-13*ORÇAMENTO!$AF$7)*OFFSET(ORÇAMENTO!$W$15,ROW(BA115)-ROW(BA$15),0),15-13*ORÇAMENTO!$AF$11)),
         0)</f>
        <v>45.36</v>
      </c>
      <c r="BB115" s="352" t="n">
        <f aca="true">IF(AND($D115="Serviço",BB$12&lt;&gt;0,$H115&gt;0,OR(AUTOEVENTO&lt;&gt;"manual",$M115&lt;&gt;$A$15)),
        IF(Import.TipoArredondamento&lt;&gt;"TransfereGOV",
              ROUND(OFFSET($P115,0,BB$13),15-13*ORÇAMENTO!$AF$7)/$H115*OFFSET(ORÇAMENTO!$X$15,ROW(BB115)-ROW(BB$15),0),
              ROUND(ROUND(OFFSET($P115,0,BB$13),15-13*ORÇAMENTO!$AF$7)*OFFSET(ORÇAMENTO!$W$15,ROW(BB115)-ROW(BB$15),0),15-13*ORÇAMENTO!$AF$11)),
         0)</f>
        <v>45.36</v>
      </c>
      <c r="BC115" s="352" t="n">
        <f aca="true">IF(AND($D115="Serviço",BC$12&lt;&gt;0,$H115&gt;0,OR(AUTOEVENTO&lt;&gt;"manual",$M115&lt;&gt;$A$15)),
        IF(Import.TipoArredondamento&lt;&gt;"TransfereGOV",
              ROUND(OFFSET($P115,0,BC$13),15-13*ORÇAMENTO!$AF$7)/$H115*OFFSET(ORÇAMENTO!$X$15,ROW(BC115)-ROW(BC$15),0),
              ROUND(ROUND(OFFSET($P115,0,BC$13),15-13*ORÇAMENTO!$AF$7)*OFFSET(ORÇAMENTO!$W$15,ROW(BC115)-ROW(BC$15),0),15-13*ORÇAMENTO!$AF$11)),
         0)</f>
        <v>45.36</v>
      </c>
      <c r="BD115" s="352" t="n">
        <f aca="true">IF(AND($D115="Serviço",BD$12&lt;&gt;0,$H115&gt;0,OR(AUTOEVENTO&lt;&gt;"manual",$M115&lt;&gt;$A$15)),
        IF(Import.TipoArredondamento&lt;&gt;"TransfereGOV",
              ROUND(OFFSET($P115,0,BD$13),15-13*ORÇAMENTO!$AF$7)/$H115*OFFSET(ORÇAMENTO!$X$15,ROW(BD115)-ROW(BD$15),0),
              ROUND(ROUND(OFFSET($P115,0,BD$13),15-13*ORÇAMENTO!$AF$7)*OFFSET(ORÇAMENTO!$W$15,ROW(BD115)-ROW(BD$15),0),15-13*ORÇAMENTO!$AF$11)),
         0)</f>
        <v>45.36</v>
      </c>
      <c r="BE115" s="352" t="n">
        <f aca="true">IF(AND($D115="Serviço",BE$12&lt;&gt;0,$H115&gt;0,OR(AUTOEVENTO&lt;&gt;"manual",$M115&lt;&gt;$A$15)),
        IF(Import.TipoArredondamento&lt;&gt;"TransfereGOV",
              ROUND(OFFSET($P115,0,BE$13),15-13*ORÇAMENTO!$AF$7)/$H115*OFFSET(ORÇAMENTO!$X$15,ROW(BE115)-ROW(BE$15),0),
              ROUND(ROUND(OFFSET($P115,0,BE$13),15-13*ORÇAMENTO!$AF$7)*OFFSET(ORÇAMENTO!$W$15,ROW(BE115)-ROW(BE$15),0),15-13*ORÇAMENTO!$AF$11)),
         0)</f>
        <v>45.36</v>
      </c>
      <c r="BF115" s="352" t="n">
        <f aca="true">IF(AND($D115="Serviço",BF$12&lt;&gt;0,$H115&gt;0,OR(AUTOEVENTO&lt;&gt;"manual",$M115&lt;&gt;$A$15)),
        IF(Import.TipoArredondamento&lt;&gt;"TransfereGOV",
              ROUND(OFFSET($P115,0,BF$13),15-13*ORÇAMENTO!$AF$7)/$H115*OFFSET(ORÇAMENTO!$X$15,ROW(BF115)-ROW(BF$15),0),
              ROUND(ROUND(OFFSET($P115,0,BF$13),15-13*ORÇAMENTO!$AF$7)*OFFSET(ORÇAMENTO!$W$15,ROW(BF115)-ROW(BF$15),0),15-13*ORÇAMENTO!$AF$11)),
         0)</f>
        <v>45.36</v>
      </c>
      <c r="BG115" s="352" t="n">
        <f aca="true">IF(AND($D115="Serviço",BG$12&lt;&gt;0,$H115&gt;0,OR(AUTOEVENTO&lt;&gt;"manual",$M115&lt;&gt;$A$15)),
        IF(Import.TipoArredondamento&lt;&gt;"TransfereGOV",
              ROUND(OFFSET($P115,0,BG$13),15-13*ORÇAMENTO!$AF$7)/$H115*OFFSET(ORÇAMENTO!$X$15,ROW(BG115)-ROW(BG$15),0),
              ROUND(ROUND(OFFSET($P115,0,BG$13),15-13*ORÇAMENTO!$AF$7)*OFFSET(ORÇAMENTO!$W$15,ROW(BG115)-ROW(BG$15),0),15-13*ORÇAMENTO!$AF$11)),
         0)</f>
        <v>45.36</v>
      </c>
      <c r="BH115" s="352" t="n">
        <f aca="true">IF(AND($D115="Serviço",BH$12&lt;&gt;0,$H115&gt;0,OR(AUTOEVENTO&lt;&gt;"manual",$M115&lt;&gt;$A$15)),
        IF(Import.TipoArredondamento&lt;&gt;"TransfereGOV",
              ROUND(OFFSET($P115,0,BH$13),15-13*ORÇAMENTO!$AF$7)/$H115*OFFSET(ORÇAMENTO!$X$15,ROW(BH115)-ROW(BH$15),0),
              ROUND(ROUND(OFFSET($P115,0,BH$13),15-13*ORÇAMENTO!$AF$7)*OFFSET(ORÇAMENTO!$W$15,ROW(BH115)-ROW(BH$15),0),15-13*ORÇAMENTO!$AF$11)),
         0)</f>
        <v>45.36</v>
      </c>
      <c r="BI115" s="352" t="n">
        <f aca="true">IF(AND($D115="Serviço",BI$12&lt;&gt;0,$H115&gt;0,OR(AUTOEVENTO&lt;&gt;"manual",$M115&lt;&gt;$A$15)),
        IF(Import.TipoArredondamento&lt;&gt;"TransfereGOV",
              ROUND(OFFSET($P115,0,BI$13),15-13*ORÇAMENTO!$AF$7)/$H115*OFFSET(ORÇAMENTO!$X$15,ROW(BI115)-ROW(BI$15),0),
              ROUND(ROUND(OFFSET($P115,0,BI$13),15-13*ORÇAMENTO!$AF$7)*OFFSET(ORÇAMENTO!$W$15,ROW(BI115)-ROW(BI$15),0),15-13*ORÇAMENTO!$AF$11)),
         0)</f>
        <v>45.36</v>
      </c>
      <c r="BJ115" s="352" t="n">
        <f aca="true">IF(AND($D115="Serviço",BJ$12&lt;&gt;0,$H115&gt;0,OR(AUTOEVENTO&lt;&gt;"manual",$M115&lt;&gt;$A$15)),
        IF(Import.TipoArredondamento&lt;&gt;"TransfereGOV",
              ROUND(OFFSET($P115,0,BJ$13),15-13*ORÇAMENTO!$AF$7)/$H115*OFFSET(ORÇAMENTO!$X$15,ROW(BJ115)-ROW(BJ$15),0),
              ROUND(ROUND(OFFSET($P115,0,BJ$13),15-13*ORÇAMENTO!$AF$7)*OFFSET(ORÇAMENTO!$W$15,ROW(BJ115)-ROW(BJ$15),0),15-13*ORÇAMENTO!$AF$11)),
         0)</f>
        <v>45.36</v>
      </c>
      <c r="BK115" s="352" t="n">
        <f aca="true">IF(AND($D115="Serviço",BK$12&lt;&gt;0,$H115&gt;0,OR(AUTOEVENTO&lt;&gt;"manual",$M115&lt;&gt;$A$15)),
        IF(Import.TipoArredondamento&lt;&gt;"TransfereGOV",
              ROUND(OFFSET($P115,0,BK$13),15-13*ORÇAMENTO!$AF$7)/$H115*OFFSET(ORÇAMENTO!$X$15,ROW(BK115)-ROW(BK$15),0),
              ROUND(ROUND(OFFSET($P115,0,BK$13),15-13*ORÇAMENTO!$AF$7)*OFFSET(ORÇAMENTO!$W$15,ROW(BK115)-ROW(BK$15),0),15-13*ORÇAMENTO!$AF$11)),
         0)</f>
        <v>45.36</v>
      </c>
      <c r="BL115" s="352" t="n">
        <f aca="true">IF(AND($D115="Serviço",BL$12&lt;&gt;0,$H115&gt;0,OR(AUTOEVENTO&lt;&gt;"manual",$M115&lt;&gt;$A$15)),
        IF(Import.TipoArredondamento&lt;&gt;"TransfereGOV",
              ROUND(OFFSET($P115,0,BL$13),15-13*ORÇAMENTO!$AF$7)/$H115*OFFSET(ORÇAMENTO!$X$15,ROW(BL115)-ROW(BL$15),0),
              ROUND(ROUND(OFFSET($P115,0,BL$13),15-13*ORÇAMENTO!$AF$7)*OFFSET(ORÇAMENTO!$W$15,ROW(BL115)-ROW(BL$15),0),15-13*ORÇAMENTO!$AF$11)),
         0)</f>
        <v>45.36</v>
      </c>
      <c r="BM115" s="352" t="n">
        <f aca="true">IF(AND($D115="Serviço",BM$12&lt;&gt;0,$H115&gt;0,OR(AUTOEVENTO&lt;&gt;"manual",$M115&lt;&gt;$A$15)),
        IF(Import.TipoArredondamento&lt;&gt;"TransfereGOV",
              ROUND(OFFSET($P115,0,BM$13),15-13*ORÇAMENTO!$AF$7)/$H115*OFFSET(ORÇAMENTO!$X$15,ROW(BM115)-ROW(BM$15),0),
              ROUND(ROUND(OFFSET($P115,0,BM$13),15-13*ORÇAMENTO!$AF$7)*OFFSET(ORÇAMENTO!$W$15,ROW(BM115)-ROW(BM$15),0),15-13*ORÇAMENTO!$AF$11)),
         0)</f>
        <v>45.36</v>
      </c>
      <c r="BN115" s="352" t="n">
        <f aca="true">IF(AND($D115="Serviço",BN$12&lt;&gt;0,$H115&gt;0,OR(AUTOEVENTO&lt;&gt;"manual",$M115&lt;&gt;$A$15)),
        IF(Import.TipoArredondamento&lt;&gt;"TransfereGOV",
              ROUND(OFFSET($P115,0,BN$13),15-13*ORÇAMENTO!$AF$7)/$H115*OFFSET(ORÇAMENTO!$X$15,ROW(BN115)-ROW(BN$15),0),
              ROUND(ROUND(OFFSET($P115,0,BN$13),15-13*ORÇAMENTO!$AF$7)*OFFSET(ORÇAMENTO!$W$15,ROW(BN115)-ROW(BN$15),0),15-13*ORÇAMENTO!$AF$11)),
         0)</f>
        <v>45.36</v>
      </c>
      <c r="BO115" s="352" t="n">
        <f aca="true">IF(AND($D115="Serviço",BO$12&lt;&gt;0,$H115&gt;0,OR(AUTOEVENTO&lt;&gt;"manual",$M115&lt;&gt;$A$15)),
        IF(Import.TipoArredondamento&lt;&gt;"TransfereGOV",
              ROUND(OFFSET($P115,0,BO$13),15-13*ORÇAMENTO!$AF$7)/$H115*OFFSET(ORÇAMENTO!$X$15,ROW(BO115)-ROW(BO$15),0),
              ROUND(ROUND(OFFSET($P115,0,BO$13),15-13*ORÇAMENTO!$AF$7)*OFFSET(ORÇAMENTO!$W$15,ROW(BO115)-ROW(BO$15),0),15-13*ORÇAMENTO!$AF$11)),
         0)</f>
        <v>45.36</v>
      </c>
      <c r="BP115" s="352" t="n">
        <f aca="true">IF(AND($D115="Serviço",BP$12&lt;&gt;0,$H115&gt;0,OR(AUTOEVENTO&lt;&gt;"manual",$M115&lt;&gt;$A$15)),
        IF(Import.TipoArredondamento&lt;&gt;"TransfereGOV",
              ROUND(OFFSET($P115,0,BP$13),15-13*ORÇAMENTO!$AF$7)/$H115*OFFSET(ORÇAMENTO!$X$15,ROW(BP115)-ROW(BP$15),0),
              ROUND(ROUND(OFFSET($P115,0,BP$13),15-13*ORÇAMENTO!$AF$7)*OFFSET(ORÇAMENTO!$W$15,ROW(BP115)-ROW(BP$15),0),15-13*ORÇAMENTO!$AF$11)),
         0)</f>
        <v>45.36</v>
      </c>
      <c r="BQ115" s="352" t="n">
        <f aca="true">IF(AND($D115="Serviço",BQ$12&lt;&gt;0,$H115&gt;0,OR(AUTOEVENTO&lt;&gt;"manual",$M115&lt;&gt;$A$15)),
        IF(Import.TipoArredondamento&lt;&gt;"TransfereGOV",
              ROUND(OFFSET($P115,0,BQ$13),15-13*ORÇAMENTO!$AF$7)/$H115*OFFSET(ORÇAMENTO!$X$15,ROW(BQ115)-ROW(BQ$15),0),
              ROUND(ROUND(OFFSET($P115,0,BQ$13),15-13*ORÇAMENTO!$AF$7)*OFFSET(ORÇAMENTO!$W$15,ROW(BQ115)-ROW(BQ$15),0),15-13*ORÇAMENTO!$AF$11)),
         0)</f>
        <v>0</v>
      </c>
      <c r="BS115" s="353" t="n">
        <f aca="true">IF(OR($D115&lt;&gt;"Serviço",AND(AUTOEVENTO="Manual",$M115=$A$15)),0,
         IF(OFFSET(CRONOPLE!$F$15,$M115-$A$15,BS$13)=0,10^12,OFFSET(CRONOPLE!$F$15,$M115-$A$15,BS$13)))</f>
        <v>1</v>
      </c>
      <c r="BT115" s="353" t="n">
        <f aca="true">IF(OR($D115&lt;&gt;"Serviço",AND(AUTOEVENTO="Manual",$M115=$A$15)),0,
         IF(OFFSET(CRONOPLE!$F$15,$M115-$A$15,BT$13)=0,10^12,OFFSET(CRONOPLE!$F$15,$M115-$A$15,BT$13)))</f>
        <v>2</v>
      </c>
      <c r="BU115" s="353" t="n">
        <f aca="true">IF(OR($D115&lt;&gt;"Serviço",AND(AUTOEVENTO="Manual",$M115=$A$15)),0,
         IF(OFFSET(CRONOPLE!$F$15,$M115-$A$15,BU$13)=0,10^12,OFFSET(CRONOPLE!$F$15,$M115-$A$15,BU$13)))</f>
        <v>3</v>
      </c>
      <c r="BV115" s="353" t="n">
        <f aca="true">IF(OR($D115&lt;&gt;"Serviço",AND(AUTOEVENTO="Manual",$M115=$A$15)),0,
         IF(OFFSET(CRONOPLE!$F$15,$M115-$A$15,BV$13)=0,10^12,OFFSET(CRONOPLE!$F$15,$M115-$A$15,BV$13)))</f>
        <v>4</v>
      </c>
      <c r="BW115" s="353" t="n">
        <f aca="true">IF(OR($D115&lt;&gt;"Serviço",AND(AUTOEVENTO="Manual",$M115=$A$15)),0,
         IF(OFFSET(CRONOPLE!$F$15,$M115-$A$15,BW$13)=0,10^12,OFFSET(CRONOPLE!$F$15,$M115-$A$15,BW$13)))</f>
        <v>5</v>
      </c>
      <c r="BX115" s="353" t="n">
        <f aca="true">IF(OR($D115&lt;&gt;"Serviço",AND(AUTOEVENTO="Manual",$M115=$A$15)),0,
         IF(OFFSET(CRONOPLE!$F$15,$M115-$A$15,BX$13)=0,10^12,OFFSET(CRONOPLE!$F$15,$M115-$A$15,BX$13)))</f>
        <v>6</v>
      </c>
      <c r="BY115" s="353" t="n">
        <f aca="true">IF(OR($D115&lt;&gt;"Serviço",AND(AUTOEVENTO="Manual",$M115=$A$15)),0,
         IF(OFFSET(CRONOPLE!$F$15,$M115-$A$15,BY$13)=0,10^12,OFFSET(CRONOPLE!$F$15,$M115-$A$15,BY$13)))</f>
        <v>7</v>
      </c>
      <c r="BZ115" s="353" t="n">
        <f aca="true">IF(OR($D115&lt;&gt;"Serviço",AND(AUTOEVENTO="Manual",$M115=$A$15)),0,
         IF(OFFSET(CRONOPLE!$F$15,$M115-$A$15,BZ$13)=0,10^12,OFFSET(CRONOPLE!$F$15,$M115-$A$15,BZ$13)))</f>
        <v>8</v>
      </c>
      <c r="CA115" s="353" t="n">
        <f aca="true">IF(OR($D115&lt;&gt;"Serviço",AND(AUTOEVENTO="Manual",$M115=$A$15)),0,
         IF(OFFSET(CRONOPLE!$F$15,$M115-$A$15,CA$13)=0,10^12,OFFSET(CRONOPLE!$F$15,$M115-$A$15,CA$13)))</f>
        <v>9</v>
      </c>
      <c r="CB115" s="353" t="n">
        <f aca="true">IF(OR($D115&lt;&gt;"Serviço",AND(AUTOEVENTO="Manual",$M115=$A$15)),0,
         IF(OFFSET(CRONOPLE!$F$15,$M115-$A$15,CB$13)=0,10^12,OFFSET(CRONOPLE!$F$15,$M115-$A$15,CB$13)))</f>
        <v>10</v>
      </c>
      <c r="CC115" s="353" t="n">
        <f aca="true">IF(OR($D115&lt;&gt;"Serviço",AND(AUTOEVENTO="Manual",$M115=$A$15)),0,
         IF(OFFSET(CRONOPLE!$F$15,$M115-$A$15,CC$13)=0,10^12,OFFSET(CRONOPLE!$F$15,$M115-$A$15,CC$13)))</f>
        <v>11</v>
      </c>
      <c r="CD115" s="353" t="n">
        <f aca="true">IF(OR($D115&lt;&gt;"Serviço",AND(AUTOEVENTO="Manual",$M115=$A$15)),0,
         IF(OFFSET(CRONOPLE!$F$15,$M115-$A$15,CD$13)=0,10^12,OFFSET(CRONOPLE!$F$15,$M115-$A$15,CD$13)))</f>
        <v>12</v>
      </c>
      <c r="CE115" s="353" t="n">
        <f aca="true">IF(OR($D115&lt;&gt;"Serviço",AND(AUTOEVENTO="Manual",$M115=$A$15)),0,
         IF(OFFSET(CRONOPLE!$F$15,$M115-$A$15,CE$13)=0,10^12,OFFSET(CRONOPLE!$F$15,$M115-$A$15,CE$13)))</f>
        <v>13</v>
      </c>
      <c r="CF115" s="353" t="n">
        <f aca="true">IF(OR($D115&lt;&gt;"Serviço",AND(AUTOEVENTO="Manual",$M115=$A$15)),0,
         IF(OFFSET(CRONOPLE!$F$15,$M115-$A$15,CF$13)=0,10^12,OFFSET(CRONOPLE!$F$15,$M115-$A$15,CF$13)))</f>
        <v>14</v>
      </c>
      <c r="CG115" s="353" t="n">
        <f aca="true">IF(OR($D115&lt;&gt;"Serviço",AND(AUTOEVENTO="Manual",$M115=$A$15)),0,
         IF(OFFSET(CRONOPLE!$F$15,$M115-$A$15,CG$13)=0,10^12,OFFSET(CRONOPLE!$F$15,$M115-$A$15,CG$13)))</f>
        <v>15</v>
      </c>
      <c r="CH115" s="353" t="n">
        <f aca="true">IF(OR($D115&lt;&gt;"Serviço",AND(AUTOEVENTO="Manual",$M115=$A$15)),0,
         IF(OFFSET(CRONOPLE!$F$15,$M115-$A$15,CH$13)=0,10^12,OFFSET(CRONOPLE!$F$15,$M115-$A$15,CH$13)))</f>
        <v>16</v>
      </c>
      <c r="CI115" s="353" t="n">
        <f aca="true">IF(OR($D115&lt;&gt;"Serviço",AND(AUTOEVENTO="Manual",$M115=$A$15)),0,
         IF(OFFSET(CRONOPLE!$F$15,$M115-$A$15,CI$13)=0,10^12,OFFSET(CRONOPLE!$F$15,$M115-$A$15,CI$13)))</f>
        <v>17</v>
      </c>
      <c r="CJ115" s="353" t="n">
        <f aca="true">IF(OR($D115&lt;&gt;"Serviço",AND(AUTOEVENTO="Manual",$M115=$A$15)),0,
         IF(OFFSET(CRONOPLE!$F$15,$M115-$A$15,CJ$13)=0,10^12,OFFSET(CRONOPLE!$F$15,$M115-$A$15,CJ$13)))</f>
        <v>18</v>
      </c>
      <c r="CK115" s="353" t="n">
        <f aca="true">IF(OR($D115&lt;&gt;"Serviço",AND(AUTOEVENTO="Manual",$M115=$A$15)),0,
         IF(OFFSET(CRONOPLE!$F$15,$M115-$A$15,CK$13)=0,10^12,OFFSET(CRONOPLE!$F$15,$M115-$A$15,CK$13)))</f>
        <v>19</v>
      </c>
      <c r="CL115" s="353" t="n">
        <f aca="true">IF(OR($D115&lt;&gt;"Serviço",AND(AUTOEVENTO="Manual",$M115=$A$15)),0,
         IF(OFFSET(CRONOPLE!$F$15,$M115-$A$15,CL$13)=0,10^12,OFFSET(CRONOPLE!$F$15,$M115-$A$15,CL$13)))</f>
        <v>20</v>
      </c>
      <c r="CM115" s="353" t="n">
        <f aca="true">IF(OR($D115&lt;&gt;"Serviço",AND(AUTOEVENTO="Manual",$M115=$A$15)),0,
         IF(OFFSET(CRONOPLE!$F$15,$M115-$A$15,CM$13)=0,10^12,OFFSET(CRONOPLE!$F$15,$M115-$A$15,CM$13)))</f>
        <v>21</v>
      </c>
      <c r="CN115" s="353" t="n">
        <f aca="true">IF(OR($D115&lt;&gt;"Serviço",AND(AUTOEVENTO="Manual",$M115=$A$15)),0,
         IF(OFFSET(CRONOPLE!$F$15,$M115-$A$15,CN$13)=0,10^12,OFFSET(CRONOPLE!$F$15,$M115-$A$15,CN$13)))</f>
        <v>22</v>
      </c>
      <c r="CO115" s="353" t="n">
        <f aca="true">IF(OR($D115&lt;&gt;"Serviço",AND(AUTOEVENTO="Manual",$M115=$A$15)),0,
         IF(OFFSET(CRONOPLE!$F$15,$M115-$A$15,CO$13)=0,10^12,OFFSET(CRONOPLE!$F$15,$M115-$A$15,CO$13)))</f>
        <v>23</v>
      </c>
      <c r="CP115" s="353" t="n">
        <f aca="true">IF(OR($D115&lt;&gt;"Serviço",AND(AUTOEVENTO="Manual",$M115=$A$15)),0,
         IF(OFFSET(CRONOPLE!$F$15,$M115-$A$15,CP$13)=0,10^12,OFFSET(CRONOPLE!$F$15,$M115-$A$15,CP$13)))</f>
        <v>24</v>
      </c>
      <c r="CQ115" s="353" t="n">
        <f aca="true">IF(OR($D115&lt;&gt;"Serviço",AND(AUTOEVENTO="Manual",$M115=$A$15)),0,
         IF(OFFSET(CRONOPLE!$F$15,$M115-$A$15,CQ$13)=0,10^12,OFFSET(CRONOPLE!$F$15,$M115-$A$15,CQ$13)))</f>
        <v>25</v>
      </c>
      <c r="CR115" s="353" t="n">
        <f aca="true">IF(OR($D115&lt;&gt;"Serviço",AND(AUTOEVENTO="Manual",$M115=$A$15)),0,
         IF(OFFSET(CRONOPLE!$F$15,$M115-$A$15,CR$13)=0,10^12,OFFSET(CRONOPLE!$F$15,$M115-$A$15,CR$13)))</f>
        <v>1000000000000</v>
      </c>
      <c r="CT115" s="354" t="n">
        <f aca="true">IF(OR($D115&lt;&gt;"Serviço",AND(AUTOEVENTO="Manual",$M115=$A$15),$M115&gt;(ROW(PLE.lastrow)-ROW(PLE.firstrow))),0,
           IF(OFFSET(PLE!$G$15,$M115-$A$15,CT$13)="",10^12,OFFSET(PLE!$G$15,$M115-$A$15,CT$13)))</f>
        <v>1000000000000</v>
      </c>
      <c r="CU115" s="354" t="n">
        <f aca="true">IF(OR($D115&lt;&gt;"Serviço",AND(AUTOEVENTO="Manual",$M115=$A$15),$M115&gt;(ROW(PLE.lastrow)-ROW(PLE.firstrow))),0,
           IF(OFFSET(PLE!$G$15,$M115-$A$15,CU$13)="",10^12,OFFSET(PLE!$G$15,$M115-$A$15,CU$13)))</f>
        <v>1000000000000</v>
      </c>
      <c r="CV115" s="354" t="n">
        <f aca="true">IF(OR($D115&lt;&gt;"Serviço",AND(AUTOEVENTO="Manual",$M115=$A$15),$M115&gt;(ROW(PLE.lastrow)-ROW(PLE.firstrow))),0,
           IF(OFFSET(PLE!$G$15,$M115-$A$15,CV$13)="",10^12,OFFSET(PLE!$G$15,$M115-$A$15,CV$13)))</f>
        <v>1000000000000</v>
      </c>
      <c r="CW115" s="354" t="n">
        <f aca="true">IF(OR($D115&lt;&gt;"Serviço",AND(AUTOEVENTO="Manual",$M115=$A$15),$M115&gt;(ROW(PLE.lastrow)-ROW(PLE.firstrow))),0,
           IF(OFFSET(PLE!$G$15,$M115-$A$15,CW$13)="",10^12,OFFSET(PLE!$G$15,$M115-$A$15,CW$13)))</f>
        <v>1000000000000</v>
      </c>
      <c r="CX115" s="354" t="n">
        <f aca="true">IF(OR($D115&lt;&gt;"Serviço",AND(AUTOEVENTO="Manual",$M115=$A$15),$M115&gt;(ROW(PLE.lastrow)-ROW(PLE.firstrow))),0,
           IF(OFFSET(PLE!$G$15,$M115-$A$15,CX$13)="",10^12,OFFSET(PLE!$G$15,$M115-$A$15,CX$13)))</f>
        <v>1000000000000</v>
      </c>
      <c r="CY115" s="354" t="n">
        <f aca="true">IF(OR($D115&lt;&gt;"Serviço",AND(AUTOEVENTO="Manual",$M115=$A$15),$M115&gt;(ROW(PLE.lastrow)-ROW(PLE.firstrow))),0,
           IF(OFFSET(PLE!$G$15,$M115-$A$15,CY$13)="",10^12,OFFSET(PLE!$G$15,$M115-$A$15,CY$13)))</f>
        <v>1000000000000</v>
      </c>
      <c r="CZ115" s="354" t="n">
        <f aca="true">IF(OR($D115&lt;&gt;"Serviço",AND(AUTOEVENTO="Manual",$M115=$A$15),$M115&gt;(ROW(PLE.lastrow)-ROW(PLE.firstrow))),0,
           IF(OFFSET(PLE!$G$15,$M115-$A$15,CZ$13)="",10^12,OFFSET(PLE!$G$15,$M115-$A$15,CZ$13)))</f>
        <v>1000000000000</v>
      </c>
      <c r="DA115" s="354" t="n">
        <f aca="true">IF(OR($D115&lt;&gt;"Serviço",AND(AUTOEVENTO="Manual",$M115=$A$15),$M115&gt;(ROW(PLE.lastrow)-ROW(PLE.firstrow))),0,
           IF(OFFSET(PLE!$G$15,$M115-$A$15,DA$13)="",10^12,OFFSET(PLE!$G$15,$M115-$A$15,DA$13)))</f>
        <v>1000000000000</v>
      </c>
      <c r="DB115" s="354" t="n">
        <f aca="true">IF(OR($D115&lt;&gt;"Serviço",AND(AUTOEVENTO="Manual",$M115=$A$15),$M115&gt;(ROW(PLE.lastrow)-ROW(PLE.firstrow))),0,
           IF(OFFSET(PLE!$G$15,$M115-$A$15,DB$13)="",10^12,OFFSET(PLE!$G$15,$M115-$A$15,DB$13)))</f>
        <v>1000000000000</v>
      </c>
      <c r="DC115" s="354" t="n">
        <f aca="true">IF(OR($D115&lt;&gt;"Serviço",AND(AUTOEVENTO="Manual",$M115=$A$15),$M115&gt;(ROW(PLE.lastrow)-ROW(PLE.firstrow))),0,
           IF(OFFSET(PLE!$G$15,$M115-$A$15,DC$13)="",10^12,OFFSET(PLE!$G$15,$M115-$A$15,DC$13)))</f>
        <v>1000000000000</v>
      </c>
      <c r="DD115" s="354" t="n">
        <f aca="true">IF(OR($D115&lt;&gt;"Serviço",AND(AUTOEVENTO="Manual",$M115=$A$15),$M115&gt;(ROW(PLE.lastrow)-ROW(PLE.firstrow))),0,
           IF(OFFSET(PLE!$G$15,$M115-$A$15,DD$13)="",10^12,OFFSET(PLE!$G$15,$M115-$A$15,DD$13)))</f>
        <v>1000000000000</v>
      </c>
      <c r="DE115" s="354" t="n">
        <f aca="true">IF(OR($D115&lt;&gt;"Serviço",AND(AUTOEVENTO="Manual",$M115=$A$15),$M115&gt;(ROW(PLE.lastrow)-ROW(PLE.firstrow))),0,
           IF(OFFSET(PLE!$G$15,$M115-$A$15,DE$13)="",10^12,OFFSET(PLE!$G$15,$M115-$A$15,DE$13)))</f>
        <v>1000000000000</v>
      </c>
      <c r="DF115" s="354" t="n">
        <f aca="true">IF(OR($D115&lt;&gt;"Serviço",AND(AUTOEVENTO="Manual",$M115=$A$15),$M115&gt;(ROW(PLE.lastrow)-ROW(PLE.firstrow))),0,
           IF(OFFSET(PLE!$G$15,$M115-$A$15,DF$13)="",10^12,OFFSET(PLE!$G$15,$M115-$A$15,DF$13)))</f>
        <v>1000000000000</v>
      </c>
      <c r="DG115" s="354" t="n">
        <f aca="true">IF(OR($D115&lt;&gt;"Serviço",AND(AUTOEVENTO="Manual",$M115=$A$15),$M115&gt;(ROW(PLE.lastrow)-ROW(PLE.firstrow))),0,
           IF(OFFSET(PLE!$G$15,$M115-$A$15,DG$13)="",10^12,OFFSET(PLE!$G$15,$M115-$A$15,DG$13)))</f>
        <v>1000000000000</v>
      </c>
      <c r="DH115" s="354" t="n">
        <f aca="true">IF(OR($D115&lt;&gt;"Serviço",AND(AUTOEVENTO="Manual",$M115=$A$15),$M115&gt;(ROW(PLE.lastrow)-ROW(PLE.firstrow))),0,
           IF(OFFSET(PLE!$G$15,$M115-$A$15,DH$13)="",10^12,OFFSET(PLE!$G$15,$M115-$A$15,DH$13)))</f>
        <v>1000000000000</v>
      </c>
      <c r="DI115" s="354" t="n">
        <f aca="true">IF(OR($D115&lt;&gt;"Serviço",AND(AUTOEVENTO="Manual",$M115=$A$15),$M115&gt;(ROW(PLE.lastrow)-ROW(PLE.firstrow))),0,
           IF(OFFSET(PLE!$G$15,$M115-$A$15,DI$13)="",10^12,OFFSET(PLE!$G$15,$M115-$A$15,DI$13)))</f>
        <v>1000000000000</v>
      </c>
      <c r="DJ115" s="354" t="n">
        <f aca="true">IF(OR($D115&lt;&gt;"Serviço",AND(AUTOEVENTO="Manual",$M115=$A$15),$M115&gt;(ROW(PLE.lastrow)-ROW(PLE.firstrow))),0,
           IF(OFFSET(PLE!$G$15,$M115-$A$15,DJ$13)="",10^12,OFFSET(PLE!$G$15,$M115-$A$15,DJ$13)))</f>
        <v>1000000000000</v>
      </c>
      <c r="DK115" s="354" t="n">
        <f aca="true">IF(OR($D115&lt;&gt;"Serviço",AND(AUTOEVENTO="Manual",$M115=$A$15),$M115&gt;(ROW(PLE.lastrow)-ROW(PLE.firstrow))),0,
           IF(OFFSET(PLE!$G$15,$M115-$A$15,DK$13)="",10^12,OFFSET(PLE!$G$15,$M115-$A$15,DK$13)))</f>
        <v>1000000000000</v>
      </c>
      <c r="DL115" s="354" t="n">
        <f aca="true">IF(OR($D115&lt;&gt;"Serviço",AND(AUTOEVENTO="Manual",$M115=$A$15),$M115&gt;(ROW(PLE.lastrow)-ROW(PLE.firstrow))),0,
           IF(OFFSET(PLE!$G$15,$M115-$A$15,DL$13)="",10^12,OFFSET(PLE!$G$15,$M115-$A$15,DL$13)))</f>
        <v>1000000000000</v>
      </c>
      <c r="DM115" s="354" t="n">
        <f aca="true">IF(OR($D115&lt;&gt;"Serviço",AND(AUTOEVENTO="Manual",$M115=$A$15),$M115&gt;(ROW(PLE.lastrow)-ROW(PLE.firstrow))),0,
           IF(OFFSET(PLE!$G$15,$M115-$A$15,DM$13)="",10^12,OFFSET(PLE!$G$15,$M115-$A$15,DM$13)))</f>
        <v>1000000000000</v>
      </c>
      <c r="DN115" s="354" t="n">
        <f aca="true">IF(OR($D115&lt;&gt;"Serviço",AND(AUTOEVENTO="Manual",$M115=$A$15),$M115&gt;(ROW(PLE.lastrow)-ROW(PLE.firstrow))),0,
           IF(OFFSET(PLE!$G$15,$M115-$A$15,DN$13)="",10^12,OFFSET(PLE!$G$15,$M115-$A$15,DN$13)))</f>
        <v>1000000000000</v>
      </c>
      <c r="DO115" s="354" t="n">
        <f aca="true">IF(OR($D115&lt;&gt;"Serviço",AND(AUTOEVENTO="Manual",$M115=$A$15),$M115&gt;(ROW(PLE.lastrow)-ROW(PLE.firstrow))),0,
           IF(OFFSET(PLE!$G$15,$M115-$A$15,DO$13)="",10^12,OFFSET(PLE!$G$15,$M115-$A$15,DO$13)))</f>
        <v>1000000000000</v>
      </c>
      <c r="DP115" s="354" t="n">
        <f aca="true">IF(OR($D115&lt;&gt;"Serviço",AND(AUTOEVENTO="Manual",$M115=$A$15),$M115&gt;(ROW(PLE.lastrow)-ROW(PLE.firstrow))),0,
           IF(OFFSET(PLE!$G$15,$M115-$A$15,DP$13)="",10^12,OFFSET(PLE!$G$15,$M115-$A$15,DP$13)))</f>
        <v>1000000000000</v>
      </c>
      <c r="DQ115" s="354" t="n">
        <f aca="true">IF(OR($D115&lt;&gt;"Serviço",AND(AUTOEVENTO="Manual",$M115=$A$15),$M115&gt;(ROW(PLE.lastrow)-ROW(PLE.firstrow))),0,
           IF(OFFSET(PLE!$G$15,$M115-$A$15,DQ$13)="",10^12,OFFSET(PLE!$G$15,$M115-$A$15,DQ$13)))</f>
        <v>1000000000000</v>
      </c>
      <c r="DR115" s="354" t="n">
        <f aca="true">IF(OR($D115&lt;&gt;"Serviço",AND(AUTOEVENTO="Manual",$M115=$A$15),$M115&gt;(ROW(PLE.lastrow)-ROW(PLE.firstrow))),0,
           IF(OFFSET(PLE!$G$15,$M115-$A$15,DR$13)="",10^12,OFFSET(PLE!$G$15,$M115-$A$15,DR$13)))</f>
        <v>1000000000000</v>
      </c>
      <c r="DS115" s="354" t="n">
        <f aca="true">IF(OR($D115&lt;&gt;"Serviço",AND(AUTOEVENTO="Manual",$M115=$A$15),$M115&gt;(ROW(PLE.lastrow)-ROW(PLE.firstrow))),0,
           IF(OFFSET(PLE!$G$15,$M115-$A$15,DS$13)="",10^12,OFFSET(PLE!$G$15,$M115-$A$15,DS$13)))</f>
        <v>1000000000000</v>
      </c>
    </row>
    <row r="116" customFormat="false" ht="23.85" hidden="false" customHeight="false" outlineLevel="0" collapsed="false">
      <c r="A116" s="50" t="str">
        <f aca="true">IFERROR(IF(AUTOEVENTO="Manual",IF(K116&lt;&gt;"",MIN(VALUE(LEFT(K116,FIND(".",K116)-1)),COUNTA(EVENTOS.Lista)),0),IF(OR($B116&gt;AUTOEVENTO,$B116="S",$B116=0),SUBSTITUTE(OFFSET($A116,-1,0),IF($D116="Serviço",".",""),""),ROW(A116)-ROW($A$15)&amp;".")),0)</f>
        <v>99</v>
      </c>
      <c r="B116" s="50" t="str">
        <f aca="true">OFFSET(ORÇAMENTO!C$15,ROW(B116)-ROW(B$15),0)</f>
        <v>S</v>
      </c>
      <c r="C116" s="50" t="str">
        <f aca="true">OFFSET(ORÇAMENTO!L$15,ROW(C116)-ROW(C$15),0)</f>
        <v>F</v>
      </c>
      <c r="D116" s="201" t="str">
        <f aca="true">OFFSET(ORÇAMENTO!N$15,ROW(D116)-ROW(D$15),0)</f>
        <v>Serviço</v>
      </c>
      <c r="E116" s="202" t="str">
        <f aca="true">OFFSET(ORÇAMENTO!O$15,ROW(E116)-ROW(E$15),0)</f>
        <v>1.32.2.</v>
      </c>
      <c r="F116" s="341" t="str">
        <f aca="true">OFFSET(ORÇAMENTO!R$15,ROW(F116)-ROW(F$15),0)</f>
        <v>PEITORIL LINEAR EM GRANITO OU MÁRMORE, L = 15CM, ASSENTADO COM ARGAMASSA 1:6 COM ADITIVO. AF_11/2020</v>
      </c>
      <c r="G116" s="342" t="str">
        <f aca="true">IF($D116&lt;&gt;"Serviço","",OFFSET(ORÇAMENTO!S$15,ROW(G116)-ROW(G$15),0))</f>
        <v>M</v>
      </c>
      <c r="H116" s="207" t="n">
        <f aca="true">IF($D116&lt;&gt;"Serviço",0,IF(ACOMPANHAMENTO="BM",ROUND(OFFSET(ORÇAMENTO!AJ$15,ROW(H116)-ROW(H$15),0),15-13*ORÇAMENTO!$AF$7),SUMPRODUCT(($Q$1:$AQ$1=1)*ROUND($Q116:$AQ116,15-13*ORÇAMENTO!$AF$7))))</f>
        <v>150</v>
      </c>
      <c r="I116" s="343" t="s">
        <v>968</v>
      </c>
      <c r="J116" s="344" t="e">
        <f aca="false">IF(OR(B116&lt;&gt;"S",CÁLCULO.FrentesPreenchidas=0),"",IF(AND(ACOMPANHAMENTO="PLE",AUTOEVENTO="Manual",OR(H116&gt;0,ORÇAMENTO!AC116="QUANT."),OR(K116="",M116=0,N116="")),"►",IF(AND(ACOMPANHAMENTO="PLE",ORÇAMENTO!AC116="QUANT."),"►►",IF(AND(COUNTIF($P$11:$AQ$11,"▼")=0,H116&gt;0,I116=""),"◄",""))))</f>
        <v>#NAME?</v>
      </c>
      <c r="K116" s="345"/>
      <c r="L116" s="346" t="s">
        <v>876</v>
      </c>
      <c r="M116" s="347" t="n">
        <f aca="true">IF($D116&lt;&gt;"Serviço","",
          IF(AUTOEVENTO="manual",$A116,
                IF(ISERROR(MATCH($A116,$A$15:OFFSET($A116,-1,0),0)),MAX($M$15:OFFSET(M116,-1,0))+1,
                      INDEX($M$15:OFFSET(M116,-1,0),MATCH($A116,$A$15:OFFSET($A116,-1,0),0)))))</f>
        <v>20</v>
      </c>
      <c r="N116" s="348" t="str">
        <f aca="true">IF($D116&lt;&gt;"Serviço","",
         IF(AUTOEVENTO="Manual",
                IF($A116=0,"&lt;-- defina o número do agrupador",
                       OFFSET(EVENTOS!$D$15,$A116-$A$15,0)),
                OFFSET($F$15,$A116,0)))</f>
        <v>RODAPÉS, SOLEIRAS E PEITORIS</v>
      </c>
      <c r="O116" s="349"/>
      <c r="Q116" s="349" t="n">
        <v>6</v>
      </c>
      <c r="R116" s="350" t="n">
        <f aca="false">Q116</f>
        <v>6</v>
      </c>
      <c r="S116" s="350" t="n">
        <f aca="false">R116</f>
        <v>6</v>
      </c>
      <c r="T116" s="350" t="n">
        <f aca="false">S116</f>
        <v>6</v>
      </c>
      <c r="U116" s="350" t="n">
        <f aca="false">T116</f>
        <v>6</v>
      </c>
      <c r="V116" s="350" t="n">
        <f aca="false">U116</f>
        <v>6</v>
      </c>
      <c r="W116" s="350" t="n">
        <f aca="false">V116</f>
        <v>6</v>
      </c>
      <c r="X116" s="350" t="n">
        <f aca="false">W116</f>
        <v>6</v>
      </c>
      <c r="Y116" s="350" t="n">
        <f aca="false">X116</f>
        <v>6</v>
      </c>
      <c r="Z116" s="351" t="n">
        <f aca="false">Y116</f>
        <v>6</v>
      </c>
      <c r="AA116" s="350" t="n">
        <f aca="false">Z116</f>
        <v>6</v>
      </c>
      <c r="AB116" s="350" t="n">
        <f aca="false">AA116</f>
        <v>6</v>
      </c>
      <c r="AC116" s="350" t="n">
        <f aca="false">AB116</f>
        <v>6</v>
      </c>
      <c r="AD116" s="350" t="n">
        <f aca="false">AC116</f>
        <v>6</v>
      </c>
      <c r="AE116" s="350" t="n">
        <f aca="false">AD116</f>
        <v>6</v>
      </c>
      <c r="AF116" s="350" t="n">
        <f aca="false">AE116</f>
        <v>6</v>
      </c>
      <c r="AG116" s="350" t="n">
        <f aca="false">AF116</f>
        <v>6</v>
      </c>
      <c r="AH116" s="351" t="n">
        <f aca="false">AG116</f>
        <v>6</v>
      </c>
      <c r="AI116" s="350" t="n">
        <f aca="false">AH116</f>
        <v>6</v>
      </c>
      <c r="AJ116" s="350" t="n">
        <f aca="false">AI116</f>
        <v>6</v>
      </c>
      <c r="AK116" s="350" t="n">
        <f aca="false">AJ116</f>
        <v>6</v>
      </c>
      <c r="AL116" s="350" t="n">
        <f aca="false">AK116</f>
        <v>6</v>
      </c>
      <c r="AM116" s="350" t="n">
        <f aca="false">AL116</f>
        <v>6</v>
      </c>
      <c r="AN116" s="350" t="n">
        <f aca="false">AM116</f>
        <v>6</v>
      </c>
      <c r="AO116" s="350" t="n">
        <f aca="false">AN116</f>
        <v>6</v>
      </c>
      <c r="AP116" s="351"/>
      <c r="AR116" s="352" t="n">
        <f aca="true">IF(AND($D116="Serviço",AR$12&lt;&gt;0,$H116&gt;0,OR(AUTOEVENTO&lt;&gt;"manual",$M116&lt;&gt;$A$15)),
        IF(Import.TipoArredondamento&lt;&gt;"TransfereGOV",
              ROUND(OFFSET($P116,0,AR$13),15-13*ORÇAMENTO!$AF$7)/$H116*OFFSET(ORÇAMENTO!$X$15,ROW(AR116)-ROW(AR$15),0),
              ROUND(ROUND(OFFSET($P116,0,AR$13),15-13*ORÇAMENTO!$AF$7)*OFFSET(ORÇAMENTO!$W$15,ROW(AR116)-ROW(AR$15),0),15-13*ORÇAMENTO!$AF$11)),
         0)</f>
        <v>881.94</v>
      </c>
      <c r="AS116" s="352" t="n">
        <f aca="true">IF(AND($D116="Serviço",AS$12&lt;&gt;0,$H116&gt;0,OR(AUTOEVENTO&lt;&gt;"manual",$M116&lt;&gt;$A$15)),
        IF(Import.TipoArredondamento&lt;&gt;"TransfereGOV",
              ROUND(OFFSET($P116,0,AS$13),15-13*ORÇAMENTO!$AF$7)/$H116*OFFSET(ORÇAMENTO!$X$15,ROW(AS116)-ROW(AS$15),0),
              ROUND(ROUND(OFFSET($P116,0,AS$13),15-13*ORÇAMENTO!$AF$7)*OFFSET(ORÇAMENTO!$W$15,ROW(AS116)-ROW(AS$15),0),15-13*ORÇAMENTO!$AF$11)),
         0)</f>
        <v>881.94</v>
      </c>
      <c r="AT116" s="352" t="n">
        <f aca="true">IF(AND($D116="Serviço",AT$12&lt;&gt;0,$H116&gt;0,OR(AUTOEVENTO&lt;&gt;"manual",$M116&lt;&gt;$A$15)),
        IF(Import.TipoArredondamento&lt;&gt;"TransfereGOV",
              ROUND(OFFSET($P116,0,AT$13),15-13*ORÇAMENTO!$AF$7)/$H116*OFFSET(ORÇAMENTO!$X$15,ROW(AT116)-ROW(AT$15),0),
              ROUND(ROUND(OFFSET($P116,0,AT$13),15-13*ORÇAMENTO!$AF$7)*OFFSET(ORÇAMENTO!$W$15,ROW(AT116)-ROW(AT$15),0),15-13*ORÇAMENTO!$AF$11)),
         0)</f>
        <v>881.94</v>
      </c>
      <c r="AU116" s="352" t="n">
        <f aca="true">IF(AND($D116="Serviço",AU$12&lt;&gt;0,$H116&gt;0,OR(AUTOEVENTO&lt;&gt;"manual",$M116&lt;&gt;$A$15)),
        IF(Import.TipoArredondamento&lt;&gt;"TransfereGOV",
              ROUND(OFFSET($P116,0,AU$13),15-13*ORÇAMENTO!$AF$7)/$H116*OFFSET(ORÇAMENTO!$X$15,ROW(AU116)-ROW(AU$15),0),
              ROUND(ROUND(OFFSET($P116,0,AU$13),15-13*ORÇAMENTO!$AF$7)*OFFSET(ORÇAMENTO!$W$15,ROW(AU116)-ROW(AU$15),0),15-13*ORÇAMENTO!$AF$11)),
         0)</f>
        <v>881.94</v>
      </c>
      <c r="AV116" s="352" t="n">
        <f aca="true">IF(AND($D116="Serviço",AV$12&lt;&gt;0,$H116&gt;0,OR(AUTOEVENTO&lt;&gt;"manual",$M116&lt;&gt;$A$15)),
        IF(Import.TipoArredondamento&lt;&gt;"TransfereGOV",
              ROUND(OFFSET($P116,0,AV$13),15-13*ORÇAMENTO!$AF$7)/$H116*OFFSET(ORÇAMENTO!$X$15,ROW(AV116)-ROW(AV$15),0),
              ROUND(ROUND(OFFSET($P116,0,AV$13),15-13*ORÇAMENTO!$AF$7)*OFFSET(ORÇAMENTO!$W$15,ROW(AV116)-ROW(AV$15),0),15-13*ORÇAMENTO!$AF$11)),
         0)</f>
        <v>881.94</v>
      </c>
      <c r="AW116" s="352" t="n">
        <f aca="true">IF(AND($D116="Serviço",AW$12&lt;&gt;0,$H116&gt;0,OR(AUTOEVENTO&lt;&gt;"manual",$M116&lt;&gt;$A$15)),
        IF(Import.TipoArredondamento&lt;&gt;"TransfereGOV",
              ROUND(OFFSET($P116,0,AW$13),15-13*ORÇAMENTO!$AF$7)/$H116*OFFSET(ORÇAMENTO!$X$15,ROW(AW116)-ROW(AW$15),0),
              ROUND(ROUND(OFFSET($P116,0,AW$13),15-13*ORÇAMENTO!$AF$7)*OFFSET(ORÇAMENTO!$W$15,ROW(AW116)-ROW(AW$15),0),15-13*ORÇAMENTO!$AF$11)),
         0)</f>
        <v>881.94</v>
      </c>
      <c r="AX116" s="352" t="n">
        <f aca="true">IF(AND($D116="Serviço",AX$12&lt;&gt;0,$H116&gt;0,OR(AUTOEVENTO&lt;&gt;"manual",$M116&lt;&gt;$A$15)),
        IF(Import.TipoArredondamento&lt;&gt;"TransfereGOV",
              ROUND(OFFSET($P116,0,AX$13),15-13*ORÇAMENTO!$AF$7)/$H116*OFFSET(ORÇAMENTO!$X$15,ROW(AX116)-ROW(AX$15),0),
              ROUND(ROUND(OFFSET($P116,0,AX$13),15-13*ORÇAMENTO!$AF$7)*OFFSET(ORÇAMENTO!$W$15,ROW(AX116)-ROW(AX$15),0),15-13*ORÇAMENTO!$AF$11)),
         0)</f>
        <v>881.94</v>
      </c>
      <c r="AY116" s="352" t="n">
        <f aca="true">IF(AND($D116="Serviço",AY$12&lt;&gt;0,$H116&gt;0,OR(AUTOEVENTO&lt;&gt;"manual",$M116&lt;&gt;$A$15)),
        IF(Import.TipoArredondamento&lt;&gt;"TransfereGOV",
              ROUND(OFFSET($P116,0,AY$13),15-13*ORÇAMENTO!$AF$7)/$H116*OFFSET(ORÇAMENTO!$X$15,ROW(AY116)-ROW(AY$15),0),
              ROUND(ROUND(OFFSET($P116,0,AY$13),15-13*ORÇAMENTO!$AF$7)*OFFSET(ORÇAMENTO!$W$15,ROW(AY116)-ROW(AY$15),0),15-13*ORÇAMENTO!$AF$11)),
         0)</f>
        <v>881.94</v>
      </c>
      <c r="AZ116" s="352" t="n">
        <f aca="true">IF(AND($D116="Serviço",AZ$12&lt;&gt;0,$H116&gt;0,OR(AUTOEVENTO&lt;&gt;"manual",$M116&lt;&gt;$A$15)),
        IF(Import.TipoArredondamento&lt;&gt;"TransfereGOV",
              ROUND(OFFSET($P116,0,AZ$13),15-13*ORÇAMENTO!$AF$7)/$H116*OFFSET(ORÇAMENTO!$X$15,ROW(AZ116)-ROW(AZ$15),0),
              ROUND(ROUND(OFFSET($P116,0,AZ$13),15-13*ORÇAMENTO!$AF$7)*OFFSET(ORÇAMENTO!$W$15,ROW(AZ116)-ROW(AZ$15),0),15-13*ORÇAMENTO!$AF$11)),
         0)</f>
        <v>881.94</v>
      </c>
      <c r="BA116" s="352" t="n">
        <f aca="true">IF(AND($D116="Serviço",BA$12&lt;&gt;0,$H116&gt;0,OR(AUTOEVENTO&lt;&gt;"manual",$M116&lt;&gt;$A$15)),
        IF(Import.TipoArredondamento&lt;&gt;"TransfereGOV",
              ROUND(OFFSET($P116,0,BA$13),15-13*ORÇAMENTO!$AF$7)/$H116*OFFSET(ORÇAMENTO!$X$15,ROW(BA116)-ROW(BA$15),0),
              ROUND(ROUND(OFFSET($P116,0,BA$13),15-13*ORÇAMENTO!$AF$7)*OFFSET(ORÇAMENTO!$W$15,ROW(BA116)-ROW(BA$15),0),15-13*ORÇAMENTO!$AF$11)),
         0)</f>
        <v>881.94</v>
      </c>
      <c r="BB116" s="352" t="n">
        <f aca="true">IF(AND($D116="Serviço",BB$12&lt;&gt;0,$H116&gt;0,OR(AUTOEVENTO&lt;&gt;"manual",$M116&lt;&gt;$A$15)),
        IF(Import.TipoArredondamento&lt;&gt;"TransfereGOV",
              ROUND(OFFSET($P116,0,BB$13),15-13*ORÇAMENTO!$AF$7)/$H116*OFFSET(ORÇAMENTO!$X$15,ROW(BB116)-ROW(BB$15),0),
              ROUND(ROUND(OFFSET($P116,0,BB$13),15-13*ORÇAMENTO!$AF$7)*OFFSET(ORÇAMENTO!$W$15,ROW(BB116)-ROW(BB$15),0),15-13*ORÇAMENTO!$AF$11)),
         0)</f>
        <v>881.94</v>
      </c>
      <c r="BC116" s="352" t="n">
        <f aca="true">IF(AND($D116="Serviço",BC$12&lt;&gt;0,$H116&gt;0,OR(AUTOEVENTO&lt;&gt;"manual",$M116&lt;&gt;$A$15)),
        IF(Import.TipoArredondamento&lt;&gt;"TransfereGOV",
              ROUND(OFFSET($P116,0,BC$13),15-13*ORÇAMENTO!$AF$7)/$H116*OFFSET(ORÇAMENTO!$X$15,ROW(BC116)-ROW(BC$15),0),
              ROUND(ROUND(OFFSET($P116,0,BC$13),15-13*ORÇAMENTO!$AF$7)*OFFSET(ORÇAMENTO!$W$15,ROW(BC116)-ROW(BC$15),0),15-13*ORÇAMENTO!$AF$11)),
         0)</f>
        <v>881.94</v>
      </c>
      <c r="BD116" s="352" t="n">
        <f aca="true">IF(AND($D116="Serviço",BD$12&lt;&gt;0,$H116&gt;0,OR(AUTOEVENTO&lt;&gt;"manual",$M116&lt;&gt;$A$15)),
        IF(Import.TipoArredondamento&lt;&gt;"TransfereGOV",
              ROUND(OFFSET($P116,0,BD$13),15-13*ORÇAMENTO!$AF$7)/$H116*OFFSET(ORÇAMENTO!$X$15,ROW(BD116)-ROW(BD$15),0),
              ROUND(ROUND(OFFSET($P116,0,BD$13),15-13*ORÇAMENTO!$AF$7)*OFFSET(ORÇAMENTO!$W$15,ROW(BD116)-ROW(BD$15),0),15-13*ORÇAMENTO!$AF$11)),
         0)</f>
        <v>881.94</v>
      </c>
      <c r="BE116" s="352" t="n">
        <f aca="true">IF(AND($D116="Serviço",BE$12&lt;&gt;0,$H116&gt;0,OR(AUTOEVENTO&lt;&gt;"manual",$M116&lt;&gt;$A$15)),
        IF(Import.TipoArredondamento&lt;&gt;"TransfereGOV",
              ROUND(OFFSET($P116,0,BE$13),15-13*ORÇAMENTO!$AF$7)/$H116*OFFSET(ORÇAMENTO!$X$15,ROW(BE116)-ROW(BE$15),0),
              ROUND(ROUND(OFFSET($P116,0,BE$13),15-13*ORÇAMENTO!$AF$7)*OFFSET(ORÇAMENTO!$W$15,ROW(BE116)-ROW(BE$15),0),15-13*ORÇAMENTO!$AF$11)),
         0)</f>
        <v>881.94</v>
      </c>
      <c r="BF116" s="352" t="n">
        <f aca="true">IF(AND($D116="Serviço",BF$12&lt;&gt;0,$H116&gt;0,OR(AUTOEVENTO&lt;&gt;"manual",$M116&lt;&gt;$A$15)),
        IF(Import.TipoArredondamento&lt;&gt;"TransfereGOV",
              ROUND(OFFSET($P116,0,BF$13),15-13*ORÇAMENTO!$AF$7)/$H116*OFFSET(ORÇAMENTO!$X$15,ROW(BF116)-ROW(BF$15),0),
              ROUND(ROUND(OFFSET($P116,0,BF$13),15-13*ORÇAMENTO!$AF$7)*OFFSET(ORÇAMENTO!$W$15,ROW(BF116)-ROW(BF$15),0),15-13*ORÇAMENTO!$AF$11)),
         0)</f>
        <v>881.94</v>
      </c>
      <c r="BG116" s="352" t="n">
        <f aca="true">IF(AND($D116="Serviço",BG$12&lt;&gt;0,$H116&gt;0,OR(AUTOEVENTO&lt;&gt;"manual",$M116&lt;&gt;$A$15)),
        IF(Import.TipoArredondamento&lt;&gt;"TransfereGOV",
              ROUND(OFFSET($P116,0,BG$13),15-13*ORÇAMENTO!$AF$7)/$H116*OFFSET(ORÇAMENTO!$X$15,ROW(BG116)-ROW(BG$15),0),
              ROUND(ROUND(OFFSET($P116,0,BG$13),15-13*ORÇAMENTO!$AF$7)*OFFSET(ORÇAMENTO!$W$15,ROW(BG116)-ROW(BG$15),0),15-13*ORÇAMENTO!$AF$11)),
         0)</f>
        <v>881.94</v>
      </c>
      <c r="BH116" s="352" t="n">
        <f aca="true">IF(AND($D116="Serviço",BH$12&lt;&gt;0,$H116&gt;0,OR(AUTOEVENTO&lt;&gt;"manual",$M116&lt;&gt;$A$15)),
        IF(Import.TipoArredondamento&lt;&gt;"TransfereGOV",
              ROUND(OFFSET($P116,0,BH$13),15-13*ORÇAMENTO!$AF$7)/$H116*OFFSET(ORÇAMENTO!$X$15,ROW(BH116)-ROW(BH$15),0),
              ROUND(ROUND(OFFSET($P116,0,BH$13),15-13*ORÇAMENTO!$AF$7)*OFFSET(ORÇAMENTO!$W$15,ROW(BH116)-ROW(BH$15),0),15-13*ORÇAMENTO!$AF$11)),
         0)</f>
        <v>881.94</v>
      </c>
      <c r="BI116" s="352" t="n">
        <f aca="true">IF(AND($D116="Serviço",BI$12&lt;&gt;0,$H116&gt;0,OR(AUTOEVENTO&lt;&gt;"manual",$M116&lt;&gt;$A$15)),
        IF(Import.TipoArredondamento&lt;&gt;"TransfereGOV",
              ROUND(OFFSET($P116,0,BI$13),15-13*ORÇAMENTO!$AF$7)/$H116*OFFSET(ORÇAMENTO!$X$15,ROW(BI116)-ROW(BI$15),0),
              ROUND(ROUND(OFFSET($P116,0,BI$13),15-13*ORÇAMENTO!$AF$7)*OFFSET(ORÇAMENTO!$W$15,ROW(BI116)-ROW(BI$15),0),15-13*ORÇAMENTO!$AF$11)),
         0)</f>
        <v>881.94</v>
      </c>
      <c r="BJ116" s="352" t="n">
        <f aca="true">IF(AND($D116="Serviço",BJ$12&lt;&gt;0,$H116&gt;0,OR(AUTOEVENTO&lt;&gt;"manual",$M116&lt;&gt;$A$15)),
        IF(Import.TipoArredondamento&lt;&gt;"TransfereGOV",
              ROUND(OFFSET($P116,0,BJ$13),15-13*ORÇAMENTO!$AF$7)/$H116*OFFSET(ORÇAMENTO!$X$15,ROW(BJ116)-ROW(BJ$15),0),
              ROUND(ROUND(OFFSET($P116,0,BJ$13),15-13*ORÇAMENTO!$AF$7)*OFFSET(ORÇAMENTO!$W$15,ROW(BJ116)-ROW(BJ$15),0),15-13*ORÇAMENTO!$AF$11)),
         0)</f>
        <v>881.94</v>
      </c>
      <c r="BK116" s="352" t="n">
        <f aca="true">IF(AND($D116="Serviço",BK$12&lt;&gt;0,$H116&gt;0,OR(AUTOEVENTO&lt;&gt;"manual",$M116&lt;&gt;$A$15)),
        IF(Import.TipoArredondamento&lt;&gt;"TransfereGOV",
              ROUND(OFFSET($P116,0,BK$13),15-13*ORÇAMENTO!$AF$7)/$H116*OFFSET(ORÇAMENTO!$X$15,ROW(BK116)-ROW(BK$15),0),
              ROUND(ROUND(OFFSET($P116,0,BK$13),15-13*ORÇAMENTO!$AF$7)*OFFSET(ORÇAMENTO!$W$15,ROW(BK116)-ROW(BK$15),0),15-13*ORÇAMENTO!$AF$11)),
         0)</f>
        <v>881.94</v>
      </c>
      <c r="BL116" s="352" t="n">
        <f aca="true">IF(AND($D116="Serviço",BL$12&lt;&gt;0,$H116&gt;0,OR(AUTOEVENTO&lt;&gt;"manual",$M116&lt;&gt;$A$15)),
        IF(Import.TipoArredondamento&lt;&gt;"TransfereGOV",
              ROUND(OFFSET($P116,0,BL$13),15-13*ORÇAMENTO!$AF$7)/$H116*OFFSET(ORÇAMENTO!$X$15,ROW(BL116)-ROW(BL$15),0),
              ROUND(ROUND(OFFSET($P116,0,BL$13),15-13*ORÇAMENTO!$AF$7)*OFFSET(ORÇAMENTO!$W$15,ROW(BL116)-ROW(BL$15),0),15-13*ORÇAMENTO!$AF$11)),
         0)</f>
        <v>881.94</v>
      </c>
      <c r="BM116" s="352" t="n">
        <f aca="true">IF(AND($D116="Serviço",BM$12&lt;&gt;0,$H116&gt;0,OR(AUTOEVENTO&lt;&gt;"manual",$M116&lt;&gt;$A$15)),
        IF(Import.TipoArredondamento&lt;&gt;"TransfereGOV",
              ROUND(OFFSET($P116,0,BM$13),15-13*ORÇAMENTO!$AF$7)/$H116*OFFSET(ORÇAMENTO!$X$15,ROW(BM116)-ROW(BM$15),0),
              ROUND(ROUND(OFFSET($P116,0,BM$13),15-13*ORÇAMENTO!$AF$7)*OFFSET(ORÇAMENTO!$W$15,ROW(BM116)-ROW(BM$15),0),15-13*ORÇAMENTO!$AF$11)),
         0)</f>
        <v>881.94</v>
      </c>
      <c r="BN116" s="352" t="n">
        <f aca="true">IF(AND($D116="Serviço",BN$12&lt;&gt;0,$H116&gt;0,OR(AUTOEVENTO&lt;&gt;"manual",$M116&lt;&gt;$A$15)),
        IF(Import.TipoArredondamento&lt;&gt;"TransfereGOV",
              ROUND(OFFSET($P116,0,BN$13),15-13*ORÇAMENTO!$AF$7)/$H116*OFFSET(ORÇAMENTO!$X$15,ROW(BN116)-ROW(BN$15),0),
              ROUND(ROUND(OFFSET($P116,0,BN$13),15-13*ORÇAMENTO!$AF$7)*OFFSET(ORÇAMENTO!$W$15,ROW(BN116)-ROW(BN$15),0),15-13*ORÇAMENTO!$AF$11)),
         0)</f>
        <v>881.94</v>
      </c>
      <c r="BO116" s="352" t="n">
        <f aca="true">IF(AND($D116="Serviço",BO$12&lt;&gt;0,$H116&gt;0,OR(AUTOEVENTO&lt;&gt;"manual",$M116&lt;&gt;$A$15)),
        IF(Import.TipoArredondamento&lt;&gt;"TransfereGOV",
              ROUND(OFFSET($P116,0,BO$13),15-13*ORÇAMENTO!$AF$7)/$H116*OFFSET(ORÇAMENTO!$X$15,ROW(BO116)-ROW(BO$15),0),
              ROUND(ROUND(OFFSET($P116,0,BO$13),15-13*ORÇAMENTO!$AF$7)*OFFSET(ORÇAMENTO!$W$15,ROW(BO116)-ROW(BO$15),0),15-13*ORÇAMENTO!$AF$11)),
         0)</f>
        <v>881.94</v>
      </c>
      <c r="BP116" s="352" t="n">
        <f aca="true">IF(AND($D116="Serviço",BP$12&lt;&gt;0,$H116&gt;0,OR(AUTOEVENTO&lt;&gt;"manual",$M116&lt;&gt;$A$15)),
        IF(Import.TipoArredondamento&lt;&gt;"TransfereGOV",
              ROUND(OFFSET($P116,0,BP$13),15-13*ORÇAMENTO!$AF$7)/$H116*OFFSET(ORÇAMENTO!$X$15,ROW(BP116)-ROW(BP$15),0),
              ROUND(ROUND(OFFSET($P116,0,BP$13),15-13*ORÇAMENTO!$AF$7)*OFFSET(ORÇAMENTO!$W$15,ROW(BP116)-ROW(BP$15),0),15-13*ORÇAMENTO!$AF$11)),
         0)</f>
        <v>881.94</v>
      </c>
      <c r="BQ116" s="352" t="n">
        <f aca="true">IF(AND($D116="Serviço",BQ$12&lt;&gt;0,$H116&gt;0,OR(AUTOEVENTO&lt;&gt;"manual",$M116&lt;&gt;$A$15)),
        IF(Import.TipoArredondamento&lt;&gt;"TransfereGOV",
              ROUND(OFFSET($P116,0,BQ$13),15-13*ORÇAMENTO!$AF$7)/$H116*OFFSET(ORÇAMENTO!$X$15,ROW(BQ116)-ROW(BQ$15),0),
              ROUND(ROUND(OFFSET($P116,0,BQ$13),15-13*ORÇAMENTO!$AF$7)*OFFSET(ORÇAMENTO!$W$15,ROW(BQ116)-ROW(BQ$15),0),15-13*ORÇAMENTO!$AF$11)),
         0)</f>
        <v>0</v>
      </c>
      <c r="BS116" s="353" t="n">
        <f aca="true">IF(OR($D116&lt;&gt;"Serviço",AND(AUTOEVENTO="Manual",$M116=$A$15)),0,
         IF(OFFSET(CRONOPLE!$F$15,$M116-$A$15,BS$13)=0,10^12,OFFSET(CRONOPLE!$F$15,$M116-$A$15,BS$13)))</f>
        <v>1</v>
      </c>
      <c r="BT116" s="353" t="n">
        <f aca="true">IF(OR($D116&lt;&gt;"Serviço",AND(AUTOEVENTO="Manual",$M116=$A$15)),0,
         IF(OFFSET(CRONOPLE!$F$15,$M116-$A$15,BT$13)=0,10^12,OFFSET(CRONOPLE!$F$15,$M116-$A$15,BT$13)))</f>
        <v>2</v>
      </c>
      <c r="BU116" s="353" t="n">
        <f aca="true">IF(OR($D116&lt;&gt;"Serviço",AND(AUTOEVENTO="Manual",$M116=$A$15)),0,
         IF(OFFSET(CRONOPLE!$F$15,$M116-$A$15,BU$13)=0,10^12,OFFSET(CRONOPLE!$F$15,$M116-$A$15,BU$13)))</f>
        <v>3</v>
      </c>
      <c r="BV116" s="353" t="n">
        <f aca="true">IF(OR($D116&lt;&gt;"Serviço",AND(AUTOEVENTO="Manual",$M116=$A$15)),0,
         IF(OFFSET(CRONOPLE!$F$15,$M116-$A$15,BV$13)=0,10^12,OFFSET(CRONOPLE!$F$15,$M116-$A$15,BV$13)))</f>
        <v>4</v>
      </c>
      <c r="BW116" s="353" t="n">
        <f aca="true">IF(OR($D116&lt;&gt;"Serviço",AND(AUTOEVENTO="Manual",$M116=$A$15)),0,
         IF(OFFSET(CRONOPLE!$F$15,$M116-$A$15,BW$13)=0,10^12,OFFSET(CRONOPLE!$F$15,$M116-$A$15,BW$13)))</f>
        <v>5</v>
      </c>
      <c r="BX116" s="353" t="n">
        <f aca="true">IF(OR($D116&lt;&gt;"Serviço",AND(AUTOEVENTO="Manual",$M116=$A$15)),0,
         IF(OFFSET(CRONOPLE!$F$15,$M116-$A$15,BX$13)=0,10^12,OFFSET(CRONOPLE!$F$15,$M116-$A$15,BX$13)))</f>
        <v>6</v>
      </c>
      <c r="BY116" s="353" t="n">
        <f aca="true">IF(OR($D116&lt;&gt;"Serviço",AND(AUTOEVENTO="Manual",$M116=$A$15)),0,
         IF(OFFSET(CRONOPLE!$F$15,$M116-$A$15,BY$13)=0,10^12,OFFSET(CRONOPLE!$F$15,$M116-$A$15,BY$13)))</f>
        <v>7</v>
      </c>
      <c r="BZ116" s="353" t="n">
        <f aca="true">IF(OR($D116&lt;&gt;"Serviço",AND(AUTOEVENTO="Manual",$M116=$A$15)),0,
         IF(OFFSET(CRONOPLE!$F$15,$M116-$A$15,BZ$13)=0,10^12,OFFSET(CRONOPLE!$F$15,$M116-$A$15,BZ$13)))</f>
        <v>8</v>
      </c>
      <c r="CA116" s="353" t="n">
        <f aca="true">IF(OR($D116&lt;&gt;"Serviço",AND(AUTOEVENTO="Manual",$M116=$A$15)),0,
         IF(OFFSET(CRONOPLE!$F$15,$M116-$A$15,CA$13)=0,10^12,OFFSET(CRONOPLE!$F$15,$M116-$A$15,CA$13)))</f>
        <v>9</v>
      </c>
      <c r="CB116" s="353" t="n">
        <f aca="true">IF(OR($D116&lt;&gt;"Serviço",AND(AUTOEVENTO="Manual",$M116=$A$15)),0,
         IF(OFFSET(CRONOPLE!$F$15,$M116-$A$15,CB$13)=0,10^12,OFFSET(CRONOPLE!$F$15,$M116-$A$15,CB$13)))</f>
        <v>10</v>
      </c>
      <c r="CC116" s="353" t="n">
        <f aca="true">IF(OR($D116&lt;&gt;"Serviço",AND(AUTOEVENTO="Manual",$M116=$A$15)),0,
         IF(OFFSET(CRONOPLE!$F$15,$M116-$A$15,CC$13)=0,10^12,OFFSET(CRONOPLE!$F$15,$M116-$A$15,CC$13)))</f>
        <v>11</v>
      </c>
      <c r="CD116" s="353" t="n">
        <f aca="true">IF(OR($D116&lt;&gt;"Serviço",AND(AUTOEVENTO="Manual",$M116=$A$15)),0,
         IF(OFFSET(CRONOPLE!$F$15,$M116-$A$15,CD$13)=0,10^12,OFFSET(CRONOPLE!$F$15,$M116-$A$15,CD$13)))</f>
        <v>12</v>
      </c>
      <c r="CE116" s="353" t="n">
        <f aca="true">IF(OR($D116&lt;&gt;"Serviço",AND(AUTOEVENTO="Manual",$M116=$A$15)),0,
         IF(OFFSET(CRONOPLE!$F$15,$M116-$A$15,CE$13)=0,10^12,OFFSET(CRONOPLE!$F$15,$M116-$A$15,CE$13)))</f>
        <v>13</v>
      </c>
      <c r="CF116" s="353" t="n">
        <f aca="true">IF(OR($D116&lt;&gt;"Serviço",AND(AUTOEVENTO="Manual",$M116=$A$15)),0,
         IF(OFFSET(CRONOPLE!$F$15,$M116-$A$15,CF$13)=0,10^12,OFFSET(CRONOPLE!$F$15,$M116-$A$15,CF$13)))</f>
        <v>14</v>
      </c>
      <c r="CG116" s="353" t="n">
        <f aca="true">IF(OR($D116&lt;&gt;"Serviço",AND(AUTOEVENTO="Manual",$M116=$A$15)),0,
         IF(OFFSET(CRONOPLE!$F$15,$M116-$A$15,CG$13)=0,10^12,OFFSET(CRONOPLE!$F$15,$M116-$A$15,CG$13)))</f>
        <v>15</v>
      </c>
      <c r="CH116" s="353" t="n">
        <f aca="true">IF(OR($D116&lt;&gt;"Serviço",AND(AUTOEVENTO="Manual",$M116=$A$15)),0,
         IF(OFFSET(CRONOPLE!$F$15,$M116-$A$15,CH$13)=0,10^12,OFFSET(CRONOPLE!$F$15,$M116-$A$15,CH$13)))</f>
        <v>16</v>
      </c>
      <c r="CI116" s="353" t="n">
        <f aca="true">IF(OR($D116&lt;&gt;"Serviço",AND(AUTOEVENTO="Manual",$M116=$A$15)),0,
         IF(OFFSET(CRONOPLE!$F$15,$M116-$A$15,CI$13)=0,10^12,OFFSET(CRONOPLE!$F$15,$M116-$A$15,CI$13)))</f>
        <v>17</v>
      </c>
      <c r="CJ116" s="353" t="n">
        <f aca="true">IF(OR($D116&lt;&gt;"Serviço",AND(AUTOEVENTO="Manual",$M116=$A$15)),0,
         IF(OFFSET(CRONOPLE!$F$15,$M116-$A$15,CJ$13)=0,10^12,OFFSET(CRONOPLE!$F$15,$M116-$A$15,CJ$13)))</f>
        <v>18</v>
      </c>
      <c r="CK116" s="353" t="n">
        <f aca="true">IF(OR($D116&lt;&gt;"Serviço",AND(AUTOEVENTO="Manual",$M116=$A$15)),0,
         IF(OFFSET(CRONOPLE!$F$15,$M116-$A$15,CK$13)=0,10^12,OFFSET(CRONOPLE!$F$15,$M116-$A$15,CK$13)))</f>
        <v>19</v>
      </c>
      <c r="CL116" s="353" t="n">
        <f aca="true">IF(OR($D116&lt;&gt;"Serviço",AND(AUTOEVENTO="Manual",$M116=$A$15)),0,
         IF(OFFSET(CRONOPLE!$F$15,$M116-$A$15,CL$13)=0,10^12,OFFSET(CRONOPLE!$F$15,$M116-$A$15,CL$13)))</f>
        <v>20</v>
      </c>
      <c r="CM116" s="353" t="n">
        <f aca="true">IF(OR($D116&lt;&gt;"Serviço",AND(AUTOEVENTO="Manual",$M116=$A$15)),0,
         IF(OFFSET(CRONOPLE!$F$15,$M116-$A$15,CM$13)=0,10^12,OFFSET(CRONOPLE!$F$15,$M116-$A$15,CM$13)))</f>
        <v>21</v>
      </c>
      <c r="CN116" s="353" t="n">
        <f aca="true">IF(OR($D116&lt;&gt;"Serviço",AND(AUTOEVENTO="Manual",$M116=$A$15)),0,
         IF(OFFSET(CRONOPLE!$F$15,$M116-$A$15,CN$13)=0,10^12,OFFSET(CRONOPLE!$F$15,$M116-$A$15,CN$13)))</f>
        <v>22</v>
      </c>
      <c r="CO116" s="353" t="n">
        <f aca="true">IF(OR($D116&lt;&gt;"Serviço",AND(AUTOEVENTO="Manual",$M116=$A$15)),0,
         IF(OFFSET(CRONOPLE!$F$15,$M116-$A$15,CO$13)=0,10^12,OFFSET(CRONOPLE!$F$15,$M116-$A$15,CO$13)))</f>
        <v>23</v>
      </c>
      <c r="CP116" s="353" t="n">
        <f aca="true">IF(OR($D116&lt;&gt;"Serviço",AND(AUTOEVENTO="Manual",$M116=$A$15)),0,
         IF(OFFSET(CRONOPLE!$F$15,$M116-$A$15,CP$13)=0,10^12,OFFSET(CRONOPLE!$F$15,$M116-$A$15,CP$13)))</f>
        <v>24</v>
      </c>
      <c r="CQ116" s="353" t="n">
        <f aca="true">IF(OR($D116&lt;&gt;"Serviço",AND(AUTOEVENTO="Manual",$M116=$A$15)),0,
         IF(OFFSET(CRONOPLE!$F$15,$M116-$A$15,CQ$13)=0,10^12,OFFSET(CRONOPLE!$F$15,$M116-$A$15,CQ$13)))</f>
        <v>25</v>
      </c>
      <c r="CR116" s="353" t="n">
        <f aca="true">IF(OR($D116&lt;&gt;"Serviço",AND(AUTOEVENTO="Manual",$M116=$A$15)),0,
         IF(OFFSET(CRONOPLE!$F$15,$M116-$A$15,CR$13)=0,10^12,OFFSET(CRONOPLE!$F$15,$M116-$A$15,CR$13)))</f>
        <v>1000000000000</v>
      </c>
      <c r="CT116" s="354" t="n">
        <f aca="true">IF(OR($D116&lt;&gt;"Serviço",AND(AUTOEVENTO="Manual",$M116=$A$15),$M116&gt;(ROW(PLE.lastrow)-ROW(PLE.firstrow))),0,
           IF(OFFSET(PLE!$G$15,$M116-$A$15,CT$13)="",10^12,OFFSET(PLE!$G$15,$M116-$A$15,CT$13)))</f>
        <v>1000000000000</v>
      </c>
      <c r="CU116" s="354" t="n">
        <f aca="true">IF(OR($D116&lt;&gt;"Serviço",AND(AUTOEVENTO="Manual",$M116=$A$15),$M116&gt;(ROW(PLE.lastrow)-ROW(PLE.firstrow))),0,
           IF(OFFSET(PLE!$G$15,$M116-$A$15,CU$13)="",10^12,OFFSET(PLE!$G$15,$M116-$A$15,CU$13)))</f>
        <v>1000000000000</v>
      </c>
      <c r="CV116" s="354" t="n">
        <f aca="true">IF(OR($D116&lt;&gt;"Serviço",AND(AUTOEVENTO="Manual",$M116=$A$15),$M116&gt;(ROW(PLE.lastrow)-ROW(PLE.firstrow))),0,
           IF(OFFSET(PLE!$G$15,$M116-$A$15,CV$13)="",10^12,OFFSET(PLE!$G$15,$M116-$A$15,CV$13)))</f>
        <v>1000000000000</v>
      </c>
      <c r="CW116" s="354" t="n">
        <f aca="true">IF(OR($D116&lt;&gt;"Serviço",AND(AUTOEVENTO="Manual",$M116=$A$15),$M116&gt;(ROW(PLE.lastrow)-ROW(PLE.firstrow))),0,
           IF(OFFSET(PLE!$G$15,$M116-$A$15,CW$13)="",10^12,OFFSET(PLE!$G$15,$M116-$A$15,CW$13)))</f>
        <v>1000000000000</v>
      </c>
      <c r="CX116" s="354" t="n">
        <f aca="true">IF(OR($D116&lt;&gt;"Serviço",AND(AUTOEVENTO="Manual",$M116=$A$15),$M116&gt;(ROW(PLE.lastrow)-ROW(PLE.firstrow))),0,
           IF(OFFSET(PLE!$G$15,$M116-$A$15,CX$13)="",10^12,OFFSET(PLE!$G$15,$M116-$A$15,CX$13)))</f>
        <v>1000000000000</v>
      </c>
      <c r="CY116" s="354" t="n">
        <f aca="true">IF(OR($D116&lt;&gt;"Serviço",AND(AUTOEVENTO="Manual",$M116=$A$15),$M116&gt;(ROW(PLE.lastrow)-ROW(PLE.firstrow))),0,
           IF(OFFSET(PLE!$G$15,$M116-$A$15,CY$13)="",10^12,OFFSET(PLE!$G$15,$M116-$A$15,CY$13)))</f>
        <v>1000000000000</v>
      </c>
      <c r="CZ116" s="354" t="n">
        <f aca="true">IF(OR($D116&lt;&gt;"Serviço",AND(AUTOEVENTO="Manual",$M116=$A$15),$M116&gt;(ROW(PLE.lastrow)-ROW(PLE.firstrow))),0,
           IF(OFFSET(PLE!$G$15,$M116-$A$15,CZ$13)="",10^12,OFFSET(PLE!$G$15,$M116-$A$15,CZ$13)))</f>
        <v>1000000000000</v>
      </c>
      <c r="DA116" s="354" t="n">
        <f aca="true">IF(OR($D116&lt;&gt;"Serviço",AND(AUTOEVENTO="Manual",$M116=$A$15),$M116&gt;(ROW(PLE.lastrow)-ROW(PLE.firstrow))),0,
           IF(OFFSET(PLE!$G$15,$M116-$A$15,DA$13)="",10^12,OFFSET(PLE!$G$15,$M116-$A$15,DA$13)))</f>
        <v>1000000000000</v>
      </c>
      <c r="DB116" s="354" t="n">
        <f aca="true">IF(OR($D116&lt;&gt;"Serviço",AND(AUTOEVENTO="Manual",$M116=$A$15),$M116&gt;(ROW(PLE.lastrow)-ROW(PLE.firstrow))),0,
           IF(OFFSET(PLE!$G$15,$M116-$A$15,DB$13)="",10^12,OFFSET(PLE!$G$15,$M116-$A$15,DB$13)))</f>
        <v>1000000000000</v>
      </c>
      <c r="DC116" s="354" t="n">
        <f aca="true">IF(OR($D116&lt;&gt;"Serviço",AND(AUTOEVENTO="Manual",$M116=$A$15),$M116&gt;(ROW(PLE.lastrow)-ROW(PLE.firstrow))),0,
           IF(OFFSET(PLE!$G$15,$M116-$A$15,DC$13)="",10^12,OFFSET(PLE!$G$15,$M116-$A$15,DC$13)))</f>
        <v>1000000000000</v>
      </c>
      <c r="DD116" s="354" t="n">
        <f aca="true">IF(OR($D116&lt;&gt;"Serviço",AND(AUTOEVENTO="Manual",$M116=$A$15),$M116&gt;(ROW(PLE.lastrow)-ROW(PLE.firstrow))),0,
           IF(OFFSET(PLE!$G$15,$M116-$A$15,DD$13)="",10^12,OFFSET(PLE!$G$15,$M116-$A$15,DD$13)))</f>
        <v>1000000000000</v>
      </c>
      <c r="DE116" s="354" t="n">
        <f aca="true">IF(OR($D116&lt;&gt;"Serviço",AND(AUTOEVENTO="Manual",$M116=$A$15),$M116&gt;(ROW(PLE.lastrow)-ROW(PLE.firstrow))),0,
           IF(OFFSET(PLE!$G$15,$M116-$A$15,DE$13)="",10^12,OFFSET(PLE!$G$15,$M116-$A$15,DE$13)))</f>
        <v>1000000000000</v>
      </c>
      <c r="DF116" s="354" t="n">
        <f aca="true">IF(OR($D116&lt;&gt;"Serviço",AND(AUTOEVENTO="Manual",$M116=$A$15),$M116&gt;(ROW(PLE.lastrow)-ROW(PLE.firstrow))),0,
           IF(OFFSET(PLE!$G$15,$M116-$A$15,DF$13)="",10^12,OFFSET(PLE!$G$15,$M116-$A$15,DF$13)))</f>
        <v>1000000000000</v>
      </c>
      <c r="DG116" s="354" t="n">
        <f aca="true">IF(OR($D116&lt;&gt;"Serviço",AND(AUTOEVENTO="Manual",$M116=$A$15),$M116&gt;(ROW(PLE.lastrow)-ROW(PLE.firstrow))),0,
           IF(OFFSET(PLE!$G$15,$M116-$A$15,DG$13)="",10^12,OFFSET(PLE!$G$15,$M116-$A$15,DG$13)))</f>
        <v>1000000000000</v>
      </c>
      <c r="DH116" s="354" t="n">
        <f aca="true">IF(OR($D116&lt;&gt;"Serviço",AND(AUTOEVENTO="Manual",$M116=$A$15),$M116&gt;(ROW(PLE.lastrow)-ROW(PLE.firstrow))),0,
           IF(OFFSET(PLE!$G$15,$M116-$A$15,DH$13)="",10^12,OFFSET(PLE!$G$15,$M116-$A$15,DH$13)))</f>
        <v>1000000000000</v>
      </c>
      <c r="DI116" s="354" t="n">
        <f aca="true">IF(OR($D116&lt;&gt;"Serviço",AND(AUTOEVENTO="Manual",$M116=$A$15),$M116&gt;(ROW(PLE.lastrow)-ROW(PLE.firstrow))),0,
           IF(OFFSET(PLE!$G$15,$M116-$A$15,DI$13)="",10^12,OFFSET(PLE!$G$15,$M116-$A$15,DI$13)))</f>
        <v>1000000000000</v>
      </c>
      <c r="DJ116" s="354" t="n">
        <f aca="true">IF(OR($D116&lt;&gt;"Serviço",AND(AUTOEVENTO="Manual",$M116=$A$15),$M116&gt;(ROW(PLE.lastrow)-ROW(PLE.firstrow))),0,
           IF(OFFSET(PLE!$G$15,$M116-$A$15,DJ$13)="",10^12,OFFSET(PLE!$G$15,$M116-$A$15,DJ$13)))</f>
        <v>1000000000000</v>
      </c>
      <c r="DK116" s="354" t="n">
        <f aca="true">IF(OR($D116&lt;&gt;"Serviço",AND(AUTOEVENTO="Manual",$M116=$A$15),$M116&gt;(ROW(PLE.lastrow)-ROW(PLE.firstrow))),0,
           IF(OFFSET(PLE!$G$15,$M116-$A$15,DK$13)="",10^12,OFFSET(PLE!$G$15,$M116-$A$15,DK$13)))</f>
        <v>1000000000000</v>
      </c>
      <c r="DL116" s="354" t="n">
        <f aca="true">IF(OR($D116&lt;&gt;"Serviço",AND(AUTOEVENTO="Manual",$M116=$A$15),$M116&gt;(ROW(PLE.lastrow)-ROW(PLE.firstrow))),0,
           IF(OFFSET(PLE!$G$15,$M116-$A$15,DL$13)="",10^12,OFFSET(PLE!$G$15,$M116-$A$15,DL$13)))</f>
        <v>1000000000000</v>
      </c>
      <c r="DM116" s="354" t="n">
        <f aca="true">IF(OR($D116&lt;&gt;"Serviço",AND(AUTOEVENTO="Manual",$M116=$A$15),$M116&gt;(ROW(PLE.lastrow)-ROW(PLE.firstrow))),0,
           IF(OFFSET(PLE!$G$15,$M116-$A$15,DM$13)="",10^12,OFFSET(PLE!$G$15,$M116-$A$15,DM$13)))</f>
        <v>1000000000000</v>
      </c>
      <c r="DN116" s="354" t="n">
        <f aca="true">IF(OR($D116&lt;&gt;"Serviço",AND(AUTOEVENTO="Manual",$M116=$A$15),$M116&gt;(ROW(PLE.lastrow)-ROW(PLE.firstrow))),0,
           IF(OFFSET(PLE!$G$15,$M116-$A$15,DN$13)="",10^12,OFFSET(PLE!$G$15,$M116-$A$15,DN$13)))</f>
        <v>1000000000000</v>
      </c>
      <c r="DO116" s="354" t="n">
        <f aca="true">IF(OR($D116&lt;&gt;"Serviço",AND(AUTOEVENTO="Manual",$M116=$A$15),$M116&gt;(ROW(PLE.lastrow)-ROW(PLE.firstrow))),0,
           IF(OFFSET(PLE!$G$15,$M116-$A$15,DO$13)="",10^12,OFFSET(PLE!$G$15,$M116-$A$15,DO$13)))</f>
        <v>1000000000000</v>
      </c>
      <c r="DP116" s="354" t="n">
        <f aca="true">IF(OR($D116&lt;&gt;"Serviço",AND(AUTOEVENTO="Manual",$M116=$A$15),$M116&gt;(ROW(PLE.lastrow)-ROW(PLE.firstrow))),0,
           IF(OFFSET(PLE!$G$15,$M116-$A$15,DP$13)="",10^12,OFFSET(PLE!$G$15,$M116-$A$15,DP$13)))</f>
        <v>1000000000000</v>
      </c>
      <c r="DQ116" s="354" t="n">
        <f aca="true">IF(OR($D116&lt;&gt;"Serviço",AND(AUTOEVENTO="Manual",$M116=$A$15),$M116&gt;(ROW(PLE.lastrow)-ROW(PLE.firstrow))),0,
           IF(OFFSET(PLE!$G$15,$M116-$A$15,DQ$13)="",10^12,OFFSET(PLE!$G$15,$M116-$A$15,DQ$13)))</f>
        <v>1000000000000</v>
      </c>
      <c r="DR116" s="354" t="n">
        <f aca="true">IF(OR($D116&lt;&gt;"Serviço",AND(AUTOEVENTO="Manual",$M116=$A$15),$M116&gt;(ROW(PLE.lastrow)-ROW(PLE.firstrow))),0,
           IF(OFFSET(PLE!$G$15,$M116-$A$15,DR$13)="",10^12,OFFSET(PLE!$G$15,$M116-$A$15,DR$13)))</f>
        <v>1000000000000</v>
      </c>
      <c r="DS116" s="354" t="n">
        <f aca="true">IF(OR($D116&lt;&gt;"Serviço",AND(AUTOEVENTO="Manual",$M116=$A$15),$M116&gt;(ROW(PLE.lastrow)-ROW(PLE.firstrow))),0,
           IF(OFFSET(PLE!$G$15,$M116-$A$15,DS$13)="",10^12,OFFSET(PLE!$G$15,$M116-$A$15,DS$13)))</f>
        <v>1000000000000</v>
      </c>
    </row>
    <row r="117" customFormat="false" ht="12.75" hidden="false" customHeight="false" outlineLevel="0" collapsed="false">
      <c r="A117" s="50" t="str">
        <f aca="true">IFERROR(IF(AUTOEVENTO="Manual",IF(K117&lt;&gt;"",MIN(VALUE(LEFT(K117,FIND(".",K117)-1)),COUNTA(EVENTOS.Lista)),0),IF(OR($B117&gt;AUTOEVENTO,$B117="S",$B117=0),SUBSTITUTE(OFFSET($A117,-1,0),IF($D117="Serviço",".",""),""),ROW(A117)-ROW($A$15)&amp;".")),0)</f>
        <v>102.</v>
      </c>
      <c r="B117" s="50" t="n">
        <f aca="true">OFFSET(ORÇAMENTO!C$15,ROW(B117)-ROW(B$15),0)</f>
        <v>2</v>
      </c>
      <c r="C117" s="50" t="str">
        <f aca="true">OFFSET(ORÇAMENTO!L$15,ROW(C117)-ROW(C$15),0)</f>
        <v>F</v>
      </c>
      <c r="D117" s="201" t="str">
        <f aca="true">OFFSET(ORÇAMENTO!N$15,ROW(D117)-ROW(D$15),0)</f>
        <v>Nível 2</v>
      </c>
      <c r="E117" s="202" t="str">
        <f aca="true">OFFSET(ORÇAMENTO!O$15,ROW(E117)-ROW(E$15),0)</f>
        <v>1.33.</v>
      </c>
      <c r="F117" s="341" t="str">
        <f aca="true">OFFSET(ORÇAMENTO!R$15,ROW(F117)-ROW(F$15),0)</f>
        <v>PAVIMENTAÇÕES ESPECIAIS</v>
      </c>
      <c r="G117" s="342" t="str">
        <f aca="true">IF($D117&lt;&gt;"Serviço","",OFFSET(ORÇAMENTO!S$15,ROW(G117)-ROW(G$15),0))</f>
        <v/>
      </c>
      <c r="H117" s="207" t="n">
        <f aca="true">IF($D117&lt;&gt;"Serviço",0,IF(ACOMPANHAMENTO="BM",ROUND(OFFSET(ORÇAMENTO!AJ$15,ROW(H117)-ROW(H$15),0),15-13*ORÇAMENTO!$AF$7),SUMPRODUCT(($Q$1:$AQ$1=1)*ROUND($Q117:$AQ117,15-13*ORÇAMENTO!$AF$7))))</f>
        <v>0</v>
      </c>
      <c r="I117" s="343"/>
      <c r="J117" s="344" t="str">
        <f aca="false">IF(OR(B117&lt;&gt;"S",CÁLCULO.FrentesPreenchidas=0),"",IF(AND(ACOMPANHAMENTO="PLE",AUTOEVENTO="Manual",OR(H117&gt;0,ORÇAMENTO!AC117="QUANT."),OR(K117="",M117=0,N117="")),"►",IF(AND(ACOMPANHAMENTO="PLE",ORÇAMENTO!AC117="QUANT."),"►►",IF(AND(COUNTIF($P$11:$AQ$11,"▼")=0,H117&gt;0,I117=""),"◄",""))))</f>
        <v/>
      </c>
      <c r="K117" s="345"/>
      <c r="L117" s="346" t="s">
        <v>876</v>
      </c>
      <c r="M117" s="347" t="str">
        <f aca="true">IF($D117&lt;&gt;"Serviço","",
          IF(AUTOEVENTO="manual",$A117,
                IF(ISERROR(MATCH($A117,$A$15:OFFSET($A117,-1,0),0)),MAX($M$15:OFFSET(M117,-1,0))+1,
                      INDEX($M$15:OFFSET(M117,-1,0),MATCH($A117,$A$15:OFFSET($A117,-1,0),0)))))</f>
        <v/>
      </c>
      <c r="N117" s="348" t="str">
        <f aca="true">IF($D117&lt;&gt;"Serviço","",
         IF(AUTOEVENTO="Manual",
                IF($A117=0,"&lt;-- defina o número do agrupador",
                       OFFSET(EVENTOS!$D$15,$A117-$A$15,0)),
                OFFSET($F$15,$A117,0)))</f>
        <v/>
      </c>
      <c r="O117" s="349"/>
      <c r="Q117" s="349"/>
      <c r="R117" s="350"/>
      <c r="S117" s="350"/>
      <c r="T117" s="350"/>
      <c r="U117" s="350"/>
      <c r="V117" s="350"/>
      <c r="W117" s="350"/>
      <c r="X117" s="350"/>
      <c r="Y117" s="350"/>
      <c r="Z117" s="351"/>
      <c r="AA117" s="350"/>
      <c r="AB117" s="350"/>
      <c r="AC117" s="350"/>
      <c r="AD117" s="350"/>
      <c r="AE117" s="350"/>
      <c r="AF117" s="350"/>
      <c r="AG117" s="350"/>
      <c r="AH117" s="351"/>
      <c r="AI117" s="350"/>
      <c r="AJ117" s="350"/>
      <c r="AK117" s="350"/>
      <c r="AL117" s="350"/>
      <c r="AM117" s="350"/>
      <c r="AN117" s="350"/>
      <c r="AO117" s="350"/>
      <c r="AP117" s="351"/>
      <c r="AR117" s="352" t="n">
        <f aca="true">IF(AND($D117="Serviço",AR$12&lt;&gt;0,$H117&gt;0,OR(AUTOEVENTO&lt;&gt;"manual",$M117&lt;&gt;$A$15)),
        IF(Import.TipoArredondamento&lt;&gt;"TransfereGOV",
              ROUND(OFFSET($P117,0,AR$13),15-13*ORÇAMENTO!$AF$7)/$H117*OFFSET(ORÇAMENTO!$X$15,ROW(AR117)-ROW(AR$15),0),
              ROUND(ROUND(OFFSET($P117,0,AR$13),15-13*ORÇAMENTO!$AF$7)*OFFSET(ORÇAMENTO!$W$15,ROW(AR117)-ROW(AR$15),0),15-13*ORÇAMENTO!$AF$11)),
         0)</f>
        <v>0</v>
      </c>
      <c r="AS117" s="352" t="n">
        <f aca="true">IF(AND($D117="Serviço",AS$12&lt;&gt;0,$H117&gt;0,OR(AUTOEVENTO&lt;&gt;"manual",$M117&lt;&gt;$A$15)),
        IF(Import.TipoArredondamento&lt;&gt;"TransfereGOV",
              ROUND(OFFSET($P117,0,AS$13),15-13*ORÇAMENTO!$AF$7)/$H117*OFFSET(ORÇAMENTO!$X$15,ROW(AS117)-ROW(AS$15),0),
              ROUND(ROUND(OFFSET($P117,0,AS$13),15-13*ORÇAMENTO!$AF$7)*OFFSET(ORÇAMENTO!$W$15,ROW(AS117)-ROW(AS$15),0),15-13*ORÇAMENTO!$AF$11)),
         0)</f>
        <v>0</v>
      </c>
      <c r="AT117" s="352" t="n">
        <f aca="true">IF(AND($D117="Serviço",AT$12&lt;&gt;0,$H117&gt;0,OR(AUTOEVENTO&lt;&gt;"manual",$M117&lt;&gt;$A$15)),
        IF(Import.TipoArredondamento&lt;&gt;"TransfereGOV",
              ROUND(OFFSET($P117,0,AT$13),15-13*ORÇAMENTO!$AF$7)/$H117*OFFSET(ORÇAMENTO!$X$15,ROW(AT117)-ROW(AT$15),0),
              ROUND(ROUND(OFFSET($P117,0,AT$13),15-13*ORÇAMENTO!$AF$7)*OFFSET(ORÇAMENTO!$W$15,ROW(AT117)-ROW(AT$15),0),15-13*ORÇAMENTO!$AF$11)),
         0)</f>
        <v>0</v>
      </c>
      <c r="AU117" s="352" t="n">
        <f aca="true">IF(AND($D117="Serviço",AU$12&lt;&gt;0,$H117&gt;0,OR(AUTOEVENTO&lt;&gt;"manual",$M117&lt;&gt;$A$15)),
        IF(Import.TipoArredondamento&lt;&gt;"TransfereGOV",
              ROUND(OFFSET($P117,0,AU$13),15-13*ORÇAMENTO!$AF$7)/$H117*OFFSET(ORÇAMENTO!$X$15,ROW(AU117)-ROW(AU$15),0),
              ROUND(ROUND(OFFSET($P117,0,AU$13),15-13*ORÇAMENTO!$AF$7)*OFFSET(ORÇAMENTO!$W$15,ROW(AU117)-ROW(AU$15),0),15-13*ORÇAMENTO!$AF$11)),
         0)</f>
        <v>0</v>
      </c>
      <c r="AV117" s="352" t="n">
        <f aca="true">IF(AND($D117="Serviço",AV$12&lt;&gt;0,$H117&gt;0,OR(AUTOEVENTO&lt;&gt;"manual",$M117&lt;&gt;$A$15)),
        IF(Import.TipoArredondamento&lt;&gt;"TransfereGOV",
              ROUND(OFFSET($P117,0,AV$13),15-13*ORÇAMENTO!$AF$7)/$H117*OFFSET(ORÇAMENTO!$X$15,ROW(AV117)-ROW(AV$15),0),
              ROUND(ROUND(OFFSET($P117,0,AV$13),15-13*ORÇAMENTO!$AF$7)*OFFSET(ORÇAMENTO!$W$15,ROW(AV117)-ROW(AV$15),0),15-13*ORÇAMENTO!$AF$11)),
         0)</f>
        <v>0</v>
      </c>
      <c r="AW117" s="352" t="n">
        <f aca="true">IF(AND($D117="Serviço",AW$12&lt;&gt;0,$H117&gt;0,OR(AUTOEVENTO&lt;&gt;"manual",$M117&lt;&gt;$A$15)),
        IF(Import.TipoArredondamento&lt;&gt;"TransfereGOV",
              ROUND(OFFSET($P117,0,AW$13),15-13*ORÇAMENTO!$AF$7)/$H117*OFFSET(ORÇAMENTO!$X$15,ROW(AW117)-ROW(AW$15),0),
              ROUND(ROUND(OFFSET($P117,0,AW$13),15-13*ORÇAMENTO!$AF$7)*OFFSET(ORÇAMENTO!$W$15,ROW(AW117)-ROW(AW$15),0),15-13*ORÇAMENTO!$AF$11)),
         0)</f>
        <v>0</v>
      </c>
      <c r="AX117" s="352" t="n">
        <f aca="true">IF(AND($D117="Serviço",AX$12&lt;&gt;0,$H117&gt;0,OR(AUTOEVENTO&lt;&gt;"manual",$M117&lt;&gt;$A$15)),
        IF(Import.TipoArredondamento&lt;&gt;"TransfereGOV",
              ROUND(OFFSET($P117,0,AX$13),15-13*ORÇAMENTO!$AF$7)/$H117*OFFSET(ORÇAMENTO!$X$15,ROW(AX117)-ROW(AX$15),0),
              ROUND(ROUND(OFFSET($P117,0,AX$13),15-13*ORÇAMENTO!$AF$7)*OFFSET(ORÇAMENTO!$W$15,ROW(AX117)-ROW(AX$15),0),15-13*ORÇAMENTO!$AF$11)),
         0)</f>
        <v>0</v>
      </c>
      <c r="AY117" s="352" t="n">
        <f aca="true">IF(AND($D117="Serviço",AY$12&lt;&gt;0,$H117&gt;0,OR(AUTOEVENTO&lt;&gt;"manual",$M117&lt;&gt;$A$15)),
        IF(Import.TipoArredondamento&lt;&gt;"TransfereGOV",
              ROUND(OFFSET($P117,0,AY$13),15-13*ORÇAMENTO!$AF$7)/$H117*OFFSET(ORÇAMENTO!$X$15,ROW(AY117)-ROW(AY$15),0),
              ROUND(ROUND(OFFSET($P117,0,AY$13),15-13*ORÇAMENTO!$AF$7)*OFFSET(ORÇAMENTO!$W$15,ROW(AY117)-ROW(AY$15),0),15-13*ORÇAMENTO!$AF$11)),
         0)</f>
        <v>0</v>
      </c>
      <c r="AZ117" s="352" t="n">
        <f aca="true">IF(AND($D117="Serviço",AZ$12&lt;&gt;0,$H117&gt;0,OR(AUTOEVENTO&lt;&gt;"manual",$M117&lt;&gt;$A$15)),
        IF(Import.TipoArredondamento&lt;&gt;"TransfereGOV",
              ROUND(OFFSET($P117,0,AZ$13),15-13*ORÇAMENTO!$AF$7)/$H117*OFFSET(ORÇAMENTO!$X$15,ROW(AZ117)-ROW(AZ$15),0),
              ROUND(ROUND(OFFSET($P117,0,AZ$13),15-13*ORÇAMENTO!$AF$7)*OFFSET(ORÇAMENTO!$W$15,ROW(AZ117)-ROW(AZ$15),0),15-13*ORÇAMENTO!$AF$11)),
         0)</f>
        <v>0</v>
      </c>
      <c r="BA117" s="352" t="n">
        <f aca="true">IF(AND($D117="Serviço",BA$12&lt;&gt;0,$H117&gt;0,OR(AUTOEVENTO&lt;&gt;"manual",$M117&lt;&gt;$A$15)),
        IF(Import.TipoArredondamento&lt;&gt;"TransfereGOV",
              ROUND(OFFSET($P117,0,BA$13),15-13*ORÇAMENTO!$AF$7)/$H117*OFFSET(ORÇAMENTO!$X$15,ROW(BA117)-ROW(BA$15),0),
              ROUND(ROUND(OFFSET($P117,0,BA$13),15-13*ORÇAMENTO!$AF$7)*OFFSET(ORÇAMENTO!$W$15,ROW(BA117)-ROW(BA$15),0),15-13*ORÇAMENTO!$AF$11)),
         0)</f>
        <v>0</v>
      </c>
      <c r="BB117" s="352" t="n">
        <f aca="true">IF(AND($D117="Serviço",BB$12&lt;&gt;0,$H117&gt;0,OR(AUTOEVENTO&lt;&gt;"manual",$M117&lt;&gt;$A$15)),
        IF(Import.TipoArredondamento&lt;&gt;"TransfereGOV",
              ROUND(OFFSET($P117,0,BB$13),15-13*ORÇAMENTO!$AF$7)/$H117*OFFSET(ORÇAMENTO!$X$15,ROW(BB117)-ROW(BB$15),0),
              ROUND(ROUND(OFFSET($P117,0,BB$13),15-13*ORÇAMENTO!$AF$7)*OFFSET(ORÇAMENTO!$W$15,ROW(BB117)-ROW(BB$15),0),15-13*ORÇAMENTO!$AF$11)),
         0)</f>
        <v>0</v>
      </c>
      <c r="BC117" s="352" t="n">
        <f aca="true">IF(AND($D117="Serviço",BC$12&lt;&gt;0,$H117&gt;0,OR(AUTOEVENTO&lt;&gt;"manual",$M117&lt;&gt;$A$15)),
        IF(Import.TipoArredondamento&lt;&gt;"TransfereGOV",
              ROUND(OFFSET($P117,0,BC$13),15-13*ORÇAMENTO!$AF$7)/$H117*OFFSET(ORÇAMENTO!$X$15,ROW(BC117)-ROW(BC$15),0),
              ROUND(ROUND(OFFSET($P117,0,BC$13),15-13*ORÇAMENTO!$AF$7)*OFFSET(ORÇAMENTO!$W$15,ROW(BC117)-ROW(BC$15),0),15-13*ORÇAMENTO!$AF$11)),
         0)</f>
        <v>0</v>
      </c>
      <c r="BD117" s="352" t="n">
        <f aca="true">IF(AND($D117="Serviço",BD$12&lt;&gt;0,$H117&gt;0,OR(AUTOEVENTO&lt;&gt;"manual",$M117&lt;&gt;$A$15)),
        IF(Import.TipoArredondamento&lt;&gt;"TransfereGOV",
              ROUND(OFFSET($P117,0,BD$13),15-13*ORÇAMENTO!$AF$7)/$H117*OFFSET(ORÇAMENTO!$X$15,ROW(BD117)-ROW(BD$15),0),
              ROUND(ROUND(OFFSET($P117,0,BD$13),15-13*ORÇAMENTO!$AF$7)*OFFSET(ORÇAMENTO!$W$15,ROW(BD117)-ROW(BD$15),0),15-13*ORÇAMENTO!$AF$11)),
         0)</f>
        <v>0</v>
      </c>
      <c r="BE117" s="352" t="n">
        <f aca="true">IF(AND($D117="Serviço",BE$12&lt;&gt;0,$H117&gt;0,OR(AUTOEVENTO&lt;&gt;"manual",$M117&lt;&gt;$A$15)),
        IF(Import.TipoArredondamento&lt;&gt;"TransfereGOV",
              ROUND(OFFSET($P117,0,BE$13),15-13*ORÇAMENTO!$AF$7)/$H117*OFFSET(ORÇAMENTO!$X$15,ROW(BE117)-ROW(BE$15),0),
              ROUND(ROUND(OFFSET($P117,0,BE$13),15-13*ORÇAMENTO!$AF$7)*OFFSET(ORÇAMENTO!$W$15,ROW(BE117)-ROW(BE$15),0),15-13*ORÇAMENTO!$AF$11)),
         0)</f>
        <v>0</v>
      </c>
      <c r="BF117" s="352" t="n">
        <f aca="true">IF(AND($D117="Serviço",BF$12&lt;&gt;0,$H117&gt;0,OR(AUTOEVENTO&lt;&gt;"manual",$M117&lt;&gt;$A$15)),
        IF(Import.TipoArredondamento&lt;&gt;"TransfereGOV",
              ROUND(OFFSET($P117,0,BF$13),15-13*ORÇAMENTO!$AF$7)/$H117*OFFSET(ORÇAMENTO!$X$15,ROW(BF117)-ROW(BF$15),0),
              ROUND(ROUND(OFFSET($P117,0,BF$13),15-13*ORÇAMENTO!$AF$7)*OFFSET(ORÇAMENTO!$W$15,ROW(BF117)-ROW(BF$15),0),15-13*ORÇAMENTO!$AF$11)),
         0)</f>
        <v>0</v>
      </c>
      <c r="BG117" s="352" t="n">
        <f aca="true">IF(AND($D117="Serviço",BG$12&lt;&gt;0,$H117&gt;0,OR(AUTOEVENTO&lt;&gt;"manual",$M117&lt;&gt;$A$15)),
        IF(Import.TipoArredondamento&lt;&gt;"TransfereGOV",
              ROUND(OFFSET($P117,0,BG$13),15-13*ORÇAMENTO!$AF$7)/$H117*OFFSET(ORÇAMENTO!$X$15,ROW(BG117)-ROW(BG$15),0),
              ROUND(ROUND(OFFSET($P117,0,BG$13),15-13*ORÇAMENTO!$AF$7)*OFFSET(ORÇAMENTO!$W$15,ROW(BG117)-ROW(BG$15),0),15-13*ORÇAMENTO!$AF$11)),
         0)</f>
        <v>0</v>
      </c>
      <c r="BH117" s="352" t="n">
        <f aca="true">IF(AND($D117="Serviço",BH$12&lt;&gt;0,$H117&gt;0,OR(AUTOEVENTO&lt;&gt;"manual",$M117&lt;&gt;$A$15)),
        IF(Import.TipoArredondamento&lt;&gt;"TransfereGOV",
              ROUND(OFFSET($P117,0,BH$13),15-13*ORÇAMENTO!$AF$7)/$H117*OFFSET(ORÇAMENTO!$X$15,ROW(BH117)-ROW(BH$15),0),
              ROUND(ROUND(OFFSET($P117,0,BH$13),15-13*ORÇAMENTO!$AF$7)*OFFSET(ORÇAMENTO!$W$15,ROW(BH117)-ROW(BH$15),0),15-13*ORÇAMENTO!$AF$11)),
         0)</f>
        <v>0</v>
      </c>
      <c r="BI117" s="352" t="n">
        <f aca="true">IF(AND($D117="Serviço",BI$12&lt;&gt;0,$H117&gt;0,OR(AUTOEVENTO&lt;&gt;"manual",$M117&lt;&gt;$A$15)),
        IF(Import.TipoArredondamento&lt;&gt;"TransfereGOV",
              ROUND(OFFSET($P117,0,BI$13),15-13*ORÇAMENTO!$AF$7)/$H117*OFFSET(ORÇAMENTO!$X$15,ROW(BI117)-ROW(BI$15),0),
              ROUND(ROUND(OFFSET($P117,0,BI$13),15-13*ORÇAMENTO!$AF$7)*OFFSET(ORÇAMENTO!$W$15,ROW(BI117)-ROW(BI$15),0),15-13*ORÇAMENTO!$AF$11)),
         0)</f>
        <v>0</v>
      </c>
      <c r="BJ117" s="352" t="n">
        <f aca="true">IF(AND($D117="Serviço",BJ$12&lt;&gt;0,$H117&gt;0,OR(AUTOEVENTO&lt;&gt;"manual",$M117&lt;&gt;$A$15)),
        IF(Import.TipoArredondamento&lt;&gt;"TransfereGOV",
              ROUND(OFFSET($P117,0,BJ$13),15-13*ORÇAMENTO!$AF$7)/$H117*OFFSET(ORÇAMENTO!$X$15,ROW(BJ117)-ROW(BJ$15),0),
              ROUND(ROUND(OFFSET($P117,0,BJ$13),15-13*ORÇAMENTO!$AF$7)*OFFSET(ORÇAMENTO!$W$15,ROW(BJ117)-ROW(BJ$15),0),15-13*ORÇAMENTO!$AF$11)),
         0)</f>
        <v>0</v>
      </c>
      <c r="BK117" s="352" t="n">
        <f aca="true">IF(AND($D117="Serviço",BK$12&lt;&gt;0,$H117&gt;0,OR(AUTOEVENTO&lt;&gt;"manual",$M117&lt;&gt;$A$15)),
        IF(Import.TipoArredondamento&lt;&gt;"TransfereGOV",
              ROUND(OFFSET($P117,0,BK$13),15-13*ORÇAMENTO!$AF$7)/$H117*OFFSET(ORÇAMENTO!$X$15,ROW(BK117)-ROW(BK$15),0),
              ROUND(ROUND(OFFSET($P117,0,BK$13),15-13*ORÇAMENTO!$AF$7)*OFFSET(ORÇAMENTO!$W$15,ROW(BK117)-ROW(BK$15),0),15-13*ORÇAMENTO!$AF$11)),
         0)</f>
        <v>0</v>
      </c>
      <c r="BL117" s="352" t="n">
        <f aca="true">IF(AND($D117="Serviço",BL$12&lt;&gt;0,$H117&gt;0,OR(AUTOEVENTO&lt;&gt;"manual",$M117&lt;&gt;$A$15)),
        IF(Import.TipoArredondamento&lt;&gt;"TransfereGOV",
              ROUND(OFFSET($P117,0,BL$13),15-13*ORÇAMENTO!$AF$7)/$H117*OFFSET(ORÇAMENTO!$X$15,ROW(BL117)-ROW(BL$15),0),
              ROUND(ROUND(OFFSET($P117,0,BL$13),15-13*ORÇAMENTO!$AF$7)*OFFSET(ORÇAMENTO!$W$15,ROW(BL117)-ROW(BL$15),0),15-13*ORÇAMENTO!$AF$11)),
         0)</f>
        <v>0</v>
      </c>
      <c r="BM117" s="352" t="n">
        <f aca="true">IF(AND($D117="Serviço",BM$12&lt;&gt;0,$H117&gt;0,OR(AUTOEVENTO&lt;&gt;"manual",$M117&lt;&gt;$A$15)),
        IF(Import.TipoArredondamento&lt;&gt;"TransfereGOV",
              ROUND(OFFSET($P117,0,BM$13),15-13*ORÇAMENTO!$AF$7)/$H117*OFFSET(ORÇAMENTO!$X$15,ROW(BM117)-ROW(BM$15),0),
              ROUND(ROUND(OFFSET($P117,0,BM$13),15-13*ORÇAMENTO!$AF$7)*OFFSET(ORÇAMENTO!$W$15,ROW(BM117)-ROW(BM$15),0),15-13*ORÇAMENTO!$AF$11)),
         0)</f>
        <v>0</v>
      </c>
      <c r="BN117" s="352" t="n">
        <f aca="true">IF(AND($D117="Serviço",BN$12&lt;&gt;0,$H117&gt;0,OR(AUTOEVENTO&lt;&gt;"manual",$M117&lt;&gt;$A$15)),
        IF(Import.TipoArredondamento&lt;&gt;"TransfereGOV",
              ROUND(OFFSET($P117,0,BN$13),15-13*ORÇAMENTO!$AF$7)/$H117*OFFSET(ORÇAMENTO!$X$15,ROW(BN117)-ROW(BN$15),0),
              ROUND(ROUND(OFFSET($P117,0,BN$13),15-13*ORÇAMENTO!$AF$7)*OFFSET(ORÇAMENTO!$W$15,ROW(BN117)-ROW(BN$15),0),15-13*ORÇAMENTO!$AF$11)),
         0)</f>
        <v>0</v>
      </c>
      <c r="BO117" s="352" t="n">
        <f aca="true">IF(AND($D117="Serviço",BO$12&lt;&gt;0,$H117&gt;0,OR(AUTOEVENTO&lt;&gt;"manual",$M117&lt;&gt;$A$15)),
        IF(Import.TipoArredondamento&lt;&gt;"TransfereGOV",
              ROUND(OFFSET($P117,0,BO$13),15-13*ORÇAMENTO!$AF$7)/$H117*OFFSET(ORÇAMENTO!$X$15,ROW(BO117)-ROW(BO$15),0),
              ROUND(ROUND(OFFSET($P117,0,BO$13),15-13*ORÇAMENTO!$AF$7)*OFFSET(ORÇAMENTO!$W$15,ROW(BO117)-ROW(BO$15),0),15-13*ORÇAMENTO!$AF$11)),
         0)</f>
        <v>0</v>
      </c>
      <c r="BP117" s="352" t="n">
        <f aca="true">IF(AND($D117="Serviço",BP$12&lt;&gt;0,$H117&gt;0,OR(AUTOEVENTO&lt;&gt;"manual",$M117&lt;&gt;$A$15)),
        IF(Import.TipoArredondamento&lt;&gt;"TransfereGOV",
              ROUND(OFFSET($P117,0,BP$13),15-13*ORÇAMENTO!$AF$7)/$H117*OFFSET(ORÇAMENTO!$X$15,ROW(BP117)-ROW(BP$15),0),
              ROUND(ROUND(OFFSET($P117,0,BP$13),15-13*ORÇAMENTO!$AF$7)*OFFSET(ORÇAMENTO!$W$15,ROW(BP117)-ROW(BP$15),0),15-13*ORÇAMENTO!$AF$11)),
         0)</f>
        <v>0</v>
      </c>
      <c r="BQ117" s="352" t="n">
        <f aca="true">IF(AND($D117="Serviço",BQ$12&lt;&gt;0,$H117&gt;0,OR(AUTOEVENTO&lt;&gt;"manual",$M117&lt;&gt;$A$15)),
        IF(Import.TipoArredondamento&lt;&gt;"TransfereGOV",
              ROUND(OFFSET($P117,0,BQ$13),15-13*ORÇAMENTO!$AF$7)/$H117*OFFSET(ORÇAMENTO!$X$15,ROW(BQ117)-ROW(BQ$15),0),
              ROUND(ROUND(OFFSET($P117,0,BQ$13),15-13*ORÇAMENTO!$AF$7)*OFFSET(ORÇAMENTO!$W$15,ROW(BQ117)-ROW(BQ$15),0),15-13*ORÇAMENTO!$AF$11)),
         0)</f>
        <v>0</v>
      </c>
      <c r="BS117" s="353" t="n">
        <f aca="true">IF(OR($D117&lt;&gt;"Serviço",AND(AUTOEVENTO="Manual",$M117=$A$15)),0,
         IF(OFFSET(CRONOPLE!$F$15,$M117-$A$15,BS$13)=0,10^12,OFFSET(CRONOPLE!$F$15,$M117-$A$15,BS$13)))</f>
        <v>0</v>
      </c>
      <c r="BT117" s="353" t="n">
        <f aca="true">IF(OR($D117&lt;&gt;"Serviço",AND(AUTOEVENTO="Manual",$M117=$A$15)),0,
         IF(OFFSET(CRONOPLE!$F$15,$M117-$A$15,BT$13)=0,10^12,OFFSET(CRONOPLE!$F$15,$M117-$A$15,BT$13)))</f>
        <v>0</v>
      </c>
      <c r="BU117" s="353" t="n">
        <f aca="true">IF(OR($D117&lt;&gt;"Serviço",AND(AUTOEVENTO="Manual",$M117=$A$15)),0,
         IF(OFFSET(CRONOPLE!$F$15,$M117-$A$15,BU$13)=0,10^12,OFFSET(CRONOPLE!$F$15,$M117-$A$15,BU$13)))</f>
        <v>0</v>
      </c>
      <c r="BV117" s="353" t="n">
        <f aca="true">IF(OR($D117&lt;&gt;"Serviço",AND(AUTOEVENTO="Manual",$M117=$A$15)),0,
         IF(OFFSET(CRONOPLE!$F$15,$M117-$A$15,BV$13)=0,10^12,OFFSET(CRONOPLE!$F$15,$M117-$A$15,BV$13)))</f>
        <v>0</v>
      </c>
      <c r="BW117" s="353" t="n">
        <f aca="true">IF(OR($D117&lt;&gt;"Serviço",AND(AUTOEVENTO="Manual",$M117=$A$15)),0,
         IF(OFFSET(CRONOPLE!$F$15,$M117-$A$15,BW$13)=0,10^12,OFFSET(CRONOPLE!$F$15,$M117-$A$15,BW$13)))</f>
        <v>0</v>
      </c>
      <c r="BX117" s="353" t="n">
        <f aca="true">IF(OR($D117&lt;&gt;"Serviço",AND(AUTOEVENTO="Manual",$M117=$A$15)),0,
         IF(OFFSET(CRONOPLE!$F$15,$M117-$A$15,BX$13)=0,10^12,OFFSET(CRONOPLE!$F$15,$M117-$A$15,BX$13)))</f>
        <v>0</v>
      </c>
      <c r="BY117" s="353" t="n">
        <f aca="true">IF(OR($D117&lt;&gt;"Serviço",AND(AUTOEVENTO="Manual",$M117=$A$15)),0,
         IF(OFFSET(CRONOPLE!$F$15,$M117-$A$15,BY$13)=0,10^12,OFFSET(CRONOPLE!$F$15,$M117-$A$15,BY$13)))</f>
        <v>0</v>
      </c>
      <c r="BZ117" s="353" t="n">
        <f aca="true">IF(OR($D117&lt;&gt;"Serviço",AND(AUTOEVENTO="Manual",$M117=$A$15)),0,
         IF(OFFSET(CRONOPLE!$F$15,$M117-$A$15,BZ$13)=0,10^12,OFFSET(CRONOPLE!$F$15,$M117-$A$15,BZ$13)))</f>
        <v>0</v>
      </c>
      <c r="CA117" s="353" t="n">
        <f aca="true">IF(OR($D117&lt;&gt;"Serviço",AND(AUTOEVENTO="Manual",$M117=$A$15)),0,
         IF(OFFSET(CRONOPLE!$F$15,$M117-$A$15,CA$13)=0,10^12,OFFSET(CRONOPLE!$F$15,$M117-$A$15,CA$13)))</f>
        <v>0</v>
      </c>
      <c r="CB117" s="353" t="n">
        <f aca="true">IF(OR($D117&lt;&gt;"Serviço",AND(AUTOEVENTO="Manual",$M117=$A$15)),0,
         IF(OFFSET(CRONOPLE!$F$15,$M117-$A$15,CB$13)=0,10^12,OFFSET(CRONOPLE!$F$15,$M117-$A$15,CB$13)))</f>
        <v>0</v>
      </c>
      <c r="CC117" s="353" t="n">
        <f aca="true">IF(OR($D117&lt;&gt;"Serviço",AND(AUTOEVENTO="Manual",$M117=$A$15)),0,
         IF(OFFSET(CRONOPLE!$F$15,$M117-$A$15,CC$13)=0,10^12,OFFSET(CRONOPLE!$F$15,$M117-$A$15,CC$13)))</f>
        <v>0</v>
      </c>
      <c r="CD117" s="353" t="n">
        <f aca="true">IF(OR($D117&lt;&gt;"Serviço",AND(AUTOEVENTO="Manual",$M117=$A$15)),0,
         IF(OFFSET(CRONOPLE!$F$15,$M117-$A$15,CD$13)=0,10^12,OFFSET(CRONOPLE!$F$15,$M117-$A$15,CD$13)))</f>
        <v>0</v>
      </c>
      <c r="CE117" s="353" t="n">
        <f aca="true">IF(OR($D117&lt;&gt;"Serviço",AND(AUTOEVENTO="Manual",$M117=$A$15)),0,
         IF(OFFSET(CRONOPLE!$F$15,$M117-$A$15,CE$13)=0,10^12,OFFSET(CRONOPLE!$F$15,$M117-$A$15,CE$13)))</f>
        <v>0</v>
      </c>
      <c r="CF117" s="353" t="n">
        <f aca="true">IF(OR($D117&lt;&gt;"Serviço",AND(AUTOEVENTO="Manual",$M117=$A$15)),0,
         IF(OFFSET(CRONOPLE!$F$15,$M117-$A$15,CF$13)=0,10^12,OFFSET(CRONOPLE!$F$15,$M117-$A$15,CF$13)))</f>
        <v>0</v>
      </c>
      <c r="CG117" s="353" t="n">
        <f aca="true">IF(OR($D117&lt;&gt;"Serviço",AND(AUTOEVENTO="Manual",$M117=$A$15)),0,
         IF(OFFSET(CRONOPLE!$F$15,$M117-$A$15,CG$13)=0,10^12,OFFSET(CRONOPLE!$F$15,$M117-$A$15,CG$13)))</f>
        <v>0</v>
      </c>
      <c r="CH117" s="353" t="n">
        <f aca="true">IF(OR($D117&lt;&gt;"Serviço",AND(AUTOEVENTO="Manual",$M117=$A$15)),0,
         IF(OFFSET(CRONOPLE!$F$15,$M117-$A$15,CH$13)=0,10^12,OFFSET(CRONOPLE!$F$15,$M117-$A$15,CH$13)))</f>
        <v>0</v>
      </c>
      <c r="CI117" s="353" t="n">
        <f aca="true">IF(OR($D117&lt;&gt;"Serviço",AND(AUTOEVENTO="Manual",$M117=$A$15)),0,
         IF(OFFSET(CRONOPLE!$F$15,$M117-$A$15,CI$13)=0,10^12,OFFSET(CRONOPLE!$F$15,$M117-$A$15,CI$13)))</f>
        <v>0</v>
      </c>
      <c r="CJ117" s="353" t="n">
        <f aca="true">IF(OR($D117&lt;&gt;"Serviço",AND(AUTOEVENTO="Manual",$M117=$A$15)),0,
         IF(OFFSET(CRONOPLE!$F$15,$M117-$A$15,CJ$13)=0,10^12,OFFSET(CRONOPLE!$F$15,$M117-$A$15,CJ$13)))</f>
        <v>0</v>
      </c>
      <c r="CK117" s="353" t="n">
        <f aca="true">IF(OR($D117&lt;&gt;"Serviço",AND(AUTOEVENTO="Manual",$M117=$A$15)),0,
         IF(OFFSET(CRONOPLE!$F$15,$M117-$A$15,CK$13)=0,10^12,OFFSET(CRONOPLE!$F$15,$M117-$A$15,CK$13)))</f>
        <v>0</v>
      </c>
      <c r="CL117" s="353" t="n">
        <f aca="true">IF(OR($D117&lt;&gt;"Serviço",AND(AUTOEVENTO="Manual",$M117=$A$15)),0,
         IF(OFFSET(CRONOPLE!$F$15,$M117-$A$15,CL$13)=0,10^12,OFFSET(CRONOPLE!$F$15,$M117-$A$15,CL$13)))</f>
        <v>0</v>
      </c>
      <c r="CM117" s="353" t="n">
        <f aca="true">IF(OR($D117&lt;&gt;"Serviço",AND(AUTOEVENTO="Manual",$M117=$A$15)),0,
         IF(OFFSET(CRONOPLE!$F$15,$M117-$A$15,CM$13)=0,10^12,OFFSET(CRONOPLE!$F$15,$M117-$A$15,CM$13)))</f>
        <v>0</v>
      </c>
      <c r="CN117" s="353" t="n">
        <f aca="true">IF(OR($D117&lt;&gt;"Serviço",AND(AUTOEVENTO="Manual",$M117=$A$15)),0,
         IF(OFFSET(CRONOPLE!$F$15,$M117-$A$15,CN$13)=0,10^12,OFFSET(CRONOPLE!$F$15,$M117-$A$15,CN$13)))</f>
        <v>0</v>
      </c>
      <c r="CO117" s="353" t="n">
        <f aca="true">IF(OR($D117&lt;&gt;"Serviço",AND(AUTOEVENTO="Manual",$M117=$A$15)),0,
         IF(OFFSET(CRONOPLE!$F$15,$M117-$A$15,CO$13)=0,10^12,OFFSET(CRONOPLE!$F$15,$M117-$A$15,CO$13)))</f>
        <v>0</v>
      </c>
      <c r="CP117" s="353" t="n">
        <f aca="true">IF(OR($D117&lt;&gt;"Serviço",AND(AUTOEVENTO="Manual",$M117=$A$15)),0,
         IF(OFFSET(CRONOPLE!$F$15,$M117-$A$15,CP$13)=0,10^12,OFFSET(CRONOPLE!$F$15,$M117-$A$15,CP$13)))</f>
        <v>0</v>
      </c>
      <c r="CQ117" s="353" t="n">
        <f aca="true">IF(OR($D117&lt;&gt;"Serviço",AND(AUTOEVENTO="Manual",$M117=$A$15)),0,
         IF(OFFSET(CRONOPLE!$F$15,$M117-$A$15,CQ$13)=0,10^12,OFFSET(CRONOPLE!$F$15,$M117-$A$15,CQ$13)))</f>
        <v>0</v>
      </c>
      <c r="CR117" s="353" t="n">
        <f aca="true">IF(OR($D117&lt;&gt;"Serviço",AND(AUTOEVENTO="Manual",$M117=$A$15)),0,
         IF(OFFSET(CRONOPLE!$F$15,$M117-$A$15,CR$13)=0,10^12,OFFSET(CRONOPLE!$F$15,$M117-$A$15,CR$13)))</f>
        <v>0</v>
      </c>
      <c r="CT117" s="354" t="n">
        <f aca="true">IF(OR($D117&lt;&gt;"Serviço",AND(AUTOEVENTO="Manual",$M117=$A$15),$M117&gt;(ROW(PLE.lastrow)-ROW(PLE.firstrow))),0,
           IF(OFFSET(PLE!$G$15,$M117-$A$15,CT$13)="",10^12,OFFSET(PLE!$G$15,$M117-$A$15,CT$13)))</f>
        <v>0</v>
      </c>
      <c r="CU117" s="354" t="n">
        <f aca="true">IF(OR($D117&lt;&gt;"Serviço",AND(AUTOEVENTO="Manual",$M117=$A$15),$M117&gt;(ROW(PLE.lastrow)-ROW(PLE.firstrow))),0,
           IF(OFFSET(PLE!$G$15,$M117-$A$15,CU$13)="",10^12,OFFSET(PLE!$G$15,$M117-$A$15,CU$13)))</f>
        <v>0</v>
      </c>
      <c r="CV117" s="354" t="n">
        <f aca="true">IF(OR($D117&lt;&gt;"Serviço",AND(AUTOEVENTO="Manual",$M117=$A$15),$M117&gt;(ROW(PLE.lastrow)-ROW(PLE.firstrow))),0,
           IF(OFFSET(PLE!$G$15,$M117-$A$15,CV$13)="",10^12,OFFSET(PLE!$G$15,$M117-$A$15,CV$13)))</f>
        <v>0</v>
      </c>
      <c r="CW117" s="354" t="n">
        <f aca="true">IF(OR($D117&lt;&gt;"Serviço",AND(AUTOEVENTO="Manual",$M117=$A$15),$M117&gt;(ROW(PLE.lastrow)-ROW(PLE.firstrow))),0,
           IF(OFFSET(PLE!$G$15,$M117-$A$15,CW$13)="",10^12,OFFSET(PLE!$G$15,$M117-$A$15,CW$13)))</f>
        <v>0</v>
      </c>
      <c r="CX117" s="354" t="n">
        <f aca="true">IF(OR($D117&lt;&gt;"Serviço",AND(AUTOEVENTO="Manual",$M117=$A$15),$M117&gt;(ROW(PLE.lastrow)-ROW(PLE.firstrow))),0,
           IF(OFFSET(PLE!$G$15,$M117-$A$15,CX$13)="",10^12,OFFSET(PLE!$G$15,$M117-$A$15,CX$13)))</f>
        <v>0</v>
      </c>
      <c r="CY117" s="354" t="n">
        <f aca="true">IF(OR($D117&lt;&gt;"Serviço",AND(AUTOEVENTO="Manual",$M117=$A$15),$M117&gt;(ROW(PLE.lastrow)-ROW(PLE.firstrow))),0,
           IF(OFFSET(PLE!$G$15,$M117-$A$15,CY$13)="",10^12,OFFSET(PLE!$G$15,$M117-$A$15,CY$13)))</f>
        <v>0</v>
      </c>
      <c r="CZ117" s="354" t="n">
        <f aca="true">IF(OR($D117&lt;&gt;"Serviço",AND(AUTOEVENTO="Manual",$M117=$A$15),$M117&gt;(ROW(PLE.lastrow)-ROW(PLE.firstrow))),0,
           IF(OFFSET(PLE!$G$15,$M117-$A$15,CZ$13)="",10^12,OFFSET(PLE!$G$15,$M117-$A$15,CZ$13)))</f>
        <v>0</v>
      </c>
      <c r="DA117" s="354" t="n">
        <f aca="true">IF(OR($D117&lt;&gt;"Serviço",AND(AUTOEVENTO="Manual",$M117=$A$15),$M117&gt;(ROW(PLE.lastrow)-ROW(PLE.firstrow))),0,
           IF(OFFSET(PLE!$G$15,$M117-$A$15,DA$13)="",10^12,OFFSET(PLE!$G$15,$M117-$A$15,DA$13)))</f>
        <v>0</v>
      </c>
      <c r="DB117" s="354" t="n">
        <f aca="true">IF(OR($D117&lt;&gt;"Serviço",AND(AUTOEVENTO="Manual",$M117=$A$15),$M117&gt;(ROW(PLE.lastrow)-ROW(PLE.firstrow))),0,
           IF(OFFSET(PLE!$G$15,$M117-$A$15,DB$13)="",10^12,OFFSET(PLE!$G$15,$M117-$A$15,DB$13)))</f>
        <v>0</v>
      </c>
      <c r="DC117" s="354" t="n">
        <f aca="true">IF(OR($D117&lt;&gt;"Serviço",AND(AUTOEVENTO="Manual",$M117=$A$15),$M117&gt;(ROW(PLE.lastrow)-ROW(PLE.firstrow))),0,
           IF(OFFSET(PLE!$G$15,$M117-$A$15,DC$13)="",10^12,OFFSET(PLE!$G$15,$M117-$A$15,DC$13)))</f>
        <v>0</v>
      </c>
      <c r="DD117" s="354" t="n">
        <f aca="true">IF(OR($D117&lt;&gt;"Serviço",AND(AUTOEVENTO="Manual",$M117=$A$15),$M117&gt;(ROW(PLE.lastrow)-ROW(PLE.firstrow))),0,
           IF(OFFSET(PLE!$G$15,$M117-$A$15,DD$13)="",10^12,OFFSET(PLE!$G$15,$M117-$A$15,DD$13)))</f>
        <v>0</v>
      </c>
      <c r="DE117" s="354" t="n">
        <f aca="true">IF(OR($D117&lt;&gt;"Serviço",AND(AUTOEVENTO="Manual",$M117=$A$15),$M117&gt;(ROW(PLE.lastrow)-ROW(PLE.firstrow))),0,
           IF(OFFSET(PLE!$G$15,$M117-$A$15,DE$13)="",10^12,OFFSET(PLE!$G$15,$M117-$A$15,DE$13)))</f>
        <v>0</v>
      </c>
      <c r="DF117" s="354" t="n">
        <f aca="true">IF(OR($D117&lt;&gt;"Serviço",AND(AUTOEVENTO="Manual",$M117=$A$15),$M117&gt;(ROW(PLE.lastrow)-ROW(PLE.firstrow))),0,
           IF(OFFSET(PLE!$G$15,$M117-$A$15,DF$13)="",10^12,OFFSET(PLE!$G$15,$M117-$A$15,DF$13)))</f>
        <v>0</v>
      </c>
      <c r="DG117" s="354" t="n">
        <f aca="true">IF(OR($D117&lt;&gt;"Serviço",AND(AUTOEVENTO="Manual",$M117=$A$15),$M117&gt;(ROW(PLE.lastrow)-ROW(PLE.firstrow))),0,
           IF(OFFSET(PLE!$G$15,$M117-$A$15,DG$13)="",10^12,OFFSET(PLE!$G$15,$M117-$A$15,DG$13)))</f>
        <v>0</v>
      </c>
      <c r="DH117" s="354" t="n">
        <f aca="true">IF(OR($D117&lt;&gt;"Serviço",AND(AUTOEVENTO="Manual",$M117=$A$15),$M117&gt;(ROW(PLE.lastrow)-ROW(PLE.firstrow))),0,
           IF(OFFSET(PLE!$G$15,$M117-$A$15,DH$13)="",10^12,OFFSET(PLE!$G$15,$M117-$A$15,DH$13)))</f>
        <v>0</v>
      </c>
      <c r="DI117" s="354" t="n">
        <f aca="true">IF(OR($D117&lt;&gt;"Serviço",AND(AUTOEVENTO="Manual",$M117=$A$15),$M117&gt;(ROW(PLE.lastrow)-ROW(PLE.firstrow))),0,
           IF(OFFSET(PLE!$G$15,$M117-$A$15,DI$13)="",10^12,OFFSET(PLE!$G$15,$M117-$A$15,DI$13)))</f>
        <v>0</v>
      </c>
      <c r="DJ117" s="354" t="n">
        <f aca="true">IF(OR($D117&lt;&gt;"Serviço",AND(AUTOEVENTO="Manual",$M117=$A$15),$M117&gt;(ROW(PLE.lastrow)-ROW(PLE.firstrow))),0,
           IF(OFFSET(PLE!$G$15,$M117-$A$15,DJ$13)="",10^12,OFFSET(PLE!$G$15,$M117-$A$15,DJ$13)))</f>
        <v>0</v>
      </c>
      <c r="DK117" s="354" t="n">
        <f aca="true">IF(OR($D117&lt;&gt;"Serviço",AND(AUTOEVENTO="Manual",$M117=$A$15),$M117&gt;(ROW(PLE.lastrow)-ROW(PLE.firstrow))),0,
           IF(OFFSET(PLE!$G$15,$M117-$A$15,DK$13)="",10^12,OFFSET(PLE!$G$15,$M117-$A$15,DK$13)))</f>
        <v>0</v>
      </c>
      <c r="DL117" s="354" t="n">
        <f aca="true">IF(OR($D117&lt;&gt;"Serviço",AND(AUTOEVENTO="Manual",$M117=$A$15),$M117&gt;(ROW(PLE.lastrow)-ROW(PLE.firstrow))),0,
           IF(OFFSET(PLE!$G$15,$M117-$A$15,DL$13)="",10^12,OFFSET(PLE!$G$15,$M117-$A$15,DL$13)))</f>
        <v>0</v>
      </c>
      <c r="DM117" s="354" t="n">
        <f aca="true">IF(OR($D117&lt;&gt;"Serviço",AND(AUTOEVENTO="Manual",$M117=$A$15),$M117&gt;(ROW(PLE.lastrow)-ROW(PLE.firstrow))),0,
           IF(OFFSET(PLE!$G$15,$M117-$A$15,DM$13)="",10^12,OFFSET(PLE!$G$15,$M117-$A$15,DM$13)))</f>
        <v>0</v>
      </c>
      <c r="DN117" s="354" t="n">
        <f aca="true">IF(OR($D117&lt;&gt;"Serviço",AND(AUTOEVENTO="Manual",$M117=$A$15),$M117&gt;(ROW(PLE.lastrow)-ROW(PLE.firstrow))),0,
           IF(OFFSET(PLE!$G$15,$M117-$A$15,DN$13)="",10^12,OFFSET(PLE!$G$15,$M117-$A$15,DN$13)))</f>
        <v>0</v>
      </c>
      <c r="DO117" s="354" t="n">
        <f aca="true">IF(OR($D117&lt;&gt;"Serviço",AND(AUTOEVENTO="Manual",$M117=$A$15),$M117&gt;(ROW(PLE.lastrow)-ROW(PLE.firstrow))),0,
           IF(OFFSET(PLE!$G$15,$M117-$A$15,DO$13)="",10^12,OFFSET(PLE!$G$15,$M117-$A$15,DO$13)))</f>
        <v>0</v>
      </c>
      <c r="DP117" s="354" t="n">
        <f aca="true">IF(OR($D117&lt;&gt;"Serviço",AND(AUTOEVENTO="Manual",$M117=$A$15),$M117&gt;(ROW(PLE.lastrow)-ROW(PLE.firstrow))),0,
           IF(OFFSET(PLE!$G$15,$M117-$A$15,DP$13)="",10^12,OFFSET(PLE!$G$15,$M117-$A$15,DP$13)))</f>
        <v>0</v>
      </c>
      <c r="DQ117" s="354" t="n">
        <f aca="true">IF(OR($D117&lt;&gt;"Serviço",AND(AUTOEVENTO="Manual",$M117=$A$15),$M117&gt;(ROW(PLE.lastrow)-ROW(PLE.firstrow))),0,
           IF(OFFSET(PLE!$G$15,$M117-$A$15,DQ$13)="",10^12,OFFSET(PLE!$G$15,$M117-$A$15,DQ$13)))</f>
        <v>0</v>
      </c>
      <c r="DR117" s="354" t="n">
        <f aca="true">IF(OR($D117&lt;&gt;"Serviço",AND(AUTOEVENTO="Manual",$M117=$A$15),$M117&gt;(ROW(PLE.lastrow)-ROW(PLE.firstrow))),0,
           IF(OFFSET(PLE!$G$15,$M117-$A$15,DR$13)="",10^12,OFFSET(PLE!$G$15,$M117-$A$15,DR$13)))</f>
        <v>0</v>
      </c>
      <c r="DS117" s="354" t="n">
        <f aca="true">IF(OR($D117&lt;&gt;"Serviço",AND(AUTOEVENTO="Manual",$M117=$A$15),$M117&gt;(ROW(PLE.lastrow)-ROW(PLE.firstrow))),0,
           IF(OFFSET(PLE!$G$15,$M117-$A$15,DS$13)="",10^12,OFFSET(PLE!$G$15,$M117-$A$15,DS$13)))</f>
        <v>0</v>
      </c>
    </row>
    <row r="118" customFormat="false" ht="12.75" hidden="false" customHeight="false" outlineLevel="0" collapsed="false">
      <c r="A118" s="50" t="str">
        <f aca="true">IFERROR(IF(AUTOEVENTO="Manual",IF(K118&lt;&gt;"",MIN(VALUE(LEFT(K118,FIND(".",K118)-1)),COUNTA(EVENTOS.Lista)),0),IF(OR($B118&gt;AUTOEVENTO,$B118="S",$B118=0),SUBSTITUTE(OFFSET($A118,-1,0),IF($D118="Serviço",".",""),""),ROW(A118)-ROW($A$15)&amp;".")),0)</f>
        <v>103.</v>
      </c>
      <c r="B118" s="50" t="n">
        <f aca="true">OFFSET(ORÇAMENTO!C$15,ROW(B118)-ROW(B$15),0)</f>
        <v>2</v>
      </c>
      <c r="C118" s="50" t="str">
        <f aca="true">OFFSET(ORÇAMENTO!L$15,ROW(C118)-ROW(C$15),0)</f>
        <v>F</v>
      </c>
      <c r="D118" s="201" t="str">
        <f aca="true">OFFSET(ORÇAMENTO!N$15,ROW(D118)-ROW(D$15),0)</f>
        <v>Nível 2</v>
      </c>
      <c r="E118" s="202" t="str">
        <f aca="true">OFFSET(ORÇAMENTO!O$15,ROW(E118)-ROW(E$15),0)</f>
        <v>1.34.</v>
      </c>
      <c r="F118" s="341" t="str">
        <f aca="true">OFFSET(ORÇAMENTO!R$15,ROW(F118)-ROW(F$15),0)</f>
        <v>INSTALAÇÕES</v>
      </c>
      <c r="G118" s="342" t="str">
        <f aca="true">IF($D118&lt;&gt;"Serviço","",OFFSET(ORÇAMENTO!S$15,ROW(G118)-ROW(G$15),0))</f>
        <v/>
      </c>
      <c r="H118" s="207" t="n">
        <f aca="true">IF($D118&lt;&gt;"Serviço",0,IF(ACOMPANHAMENTO="BM",ROUND(OFFSET(ORÇAMENTO!AJ$15,ROW(H118)-ROW(H$15),0),15-13*ORÇAMENTO!$AF$7),SUMPRODUCT(($Q$1:$AQ$1=1)*ROUND($Q118:$AQ118,15-13*ORÇAMENTO!$AF$7))))</f>
        <v>0</v>
      </c>
      <c r="I118" s="343"/>
      <c r="J118" s="344" t="str">
        <f aca="false">IF(OR(B118&lt;&gt;"S",CÁLCULO.FrentesPreenchidas=0),"",IF(AND(ACOMPANHAMENTO="PLE",AUTOEVENTO="Manual",OR(H118&gt;0,ORÇAMENTO!AC118="QUANT."),OR(K118="",M118=0,N118="")),"►",IF(AND(ACOMPANHAMENTO="PLE",ORÇAMENTO!AC118="QUANT."),"►►",IF(AND(COUNTIF($P$11:$AQ$11,"▼")=0,H118&gt;0,I118=""),"◄",""))))</f>
        <v/>
      </c>
      <c r="K118" s="345"/>
      <c r="L118" s="346" t="s">
        <v>876</v>
      </c>
      <c r="M118" s="347" t="str">
        <f aca="true">IF($D118&lt;&gt;"Serviço","",
          IF(AUTOEVENTO="manual",$A118,
                IF(ISERROR(MATCH($A118,$A$15:OFFSET($A118,-1,0),0)),MAX($M$15:OFFSET(M118,-1,0))+1,
                      INDEX($M$15:OFFSET(M118,-1,0),MATCH($A118,$A$15:OFFSET($A118,-1,0),0)))))</f>
        <v/>
      </c>
      <c r="N118" s="348" t="str">
        <f aca="true">IF($D118&lt;&gt;"Serviço","",
         IF(AUTOEVENTO="Manual",
                IF($A118=0,"&lt;-- defina o número do agrupador",
                       OFFSET(EVENTOS!$D$15,$A118-$A$15,0)),
                OFFSET($F$15,$A118,0)))</f>
        <v/>
      </c>
      <c r="O118" s="349"/>
      <c r="Q118" s="349"/>
      <c r="R118" s="350"/>
      <c r="S118" s="350"/>
      <c r="T118" s="350"/>
      <c r="U118" s="350"/>
      <c r="V118" s="350"/>
      <c r="W118" s="350"/>
      <c r="X118" s="350"/>
      <c r="Y118" s="350"/>
      <c r="Z118" s="351"/>
      <c r="AA118" s="350"/>
      <c r="AB118" s="350"/>
      <c r="AC118" s="350"/>
      <c r="AD118" s="350"/>
      <c r="AE118" s="350"/>
      <c r="AF118" s="350"/>
      <c r="AG118" s="350"/>
      <c r="AH118" s="351"/>
      <c r="AI118" s="350"/>
      <c r="AJ118" s="350"/>
      <c r="AK118" s="350"/>
      <c r="AL118" s="350"/>
      <c r="AM118" s="350"/>
      <c r="AN118" s="350"/>
      <c r="AO118" s="350"/>
      <c r="AP118" s="351"/>
      <c r="AR118" s="352" t="n">
        <f aca="true">IF(AND($D118="Serviço",AR$12&lt;&gt;0,$H118&gt;0,OR(AUTOEVENTO&lt;&gt;"manual",$M118&lt;&gt;$A$15)),
        IF(Import.TipoArredondamento&lt;&gt;"TransfereGOV",
              ROUND(OFFSET($P118,0,AR$13),15-13*ORÇAMENTO!$AF$7)/$H118*OFFSET(ORÇAMENTO!$X$15,ROW(AR118)-ROW(AR$15),0),
              ROUND(ROUND(OFFSET($P118,0,AR$13),15-13*ORÇAMENTO!$AF$7)*OFFSET(ORÇAMENTO!$W$15,ROW(AR118)-ROW(AR$15),0),15-13*ORÇAMENTO!$AF$11)),
         0)</f>
        <v>0</v>
      </c>
      <c r="AS118" s="352" t="n">
        <f aca="true">IF(AND($D118="Serviço",AS$12&lt;&gt;0,$H118&gt;0,OR(AUTOEVENTO&lt;&gt;"manual",$M118&lt;&gt;$A$15)),
        IF(Import.TipoArredondamento&lt;&gt;"TransfereGOV",
              ROUND(OFFSET($P118,0,AS$13),15-13*ORÇAMENTO!$AF$7)/$H118*OFFSET(ORÇAMENTO!$X$15,ROW(AS118)-ROW(AS$15),0),
              ROUND(ROUND(OFFSET($P118,0,AS$13),15-13*ORÇAMENTO!$AF$7)*OFFSET(ORÇAMENTO!$W$15,ROW(AS118)-ROW(AS$15),0),15-13*ORÇAMENTO!$AF$11)),
         0)</f>
        <v>0</v>
      </c>
      <c r="AT118" s="352" t="n">
        <f aca="true">IF(AND($D118="Serviço",AT$12&lt;&gt;0,$H118&gt;0,OR(AUTOEVENTO&lt;&gt;"manual",$M118&lt;&gt;$A$15)),
        IF(Import.TipoArredondamento&lt;&gt;"TransfereGOV",
              ROUND(OFFSET($P118,0,AT$13),15-13*ORÇAMENTO!$AF$7)/$H118*OFFSET(ORÇAMENTO!$X$15,ROW(AT118)-ROW(AT$15),0),
              ROUND(ROUND(OFFSET($P118,0,AT$13),15-13*ORÇAMENTO!$AF$7)*OFFSET(ORÇAMENTO!$W$15,ROW(AT118)-ROW(AT$15),0),15-13*ORÇAMENTO!$AF$11)),
         0)</f>
        <v>0</v>
      </c>
      <c r="AU118" s="352" t="n">
        <f aca="true">IF(AND($D118="Serviço",AU$12&lt;&gt;0,$H118&gt;0,OR(AUTOEVENTO&lt;&gt;"manual",$M118&lt;&gt;$A$15)),
        IF(Import.TipoArredondamento&lt;&gt;"TransfereGOV",
              ROUND(OFFSET($P118,0,AU$13),15-13*ORÇAMENTO!$AF$7)/$H118*OFFSET(ORÇAMENTO!$X$15,ROW(AU118)-ROW(AU$15),0),
              ROUND(ROUND(OFFSET($P118,0,AU$13),15-13*ORÇAMENTO!$AF$7)*OFFSET(ORÇAMENTO!$W$15,ROW(AU118)-ROW(AU$15),0),15-13*ORÇAMENTO!$AF$11)),
         0)</f>
        <v>0</v>
      </c>
      <c r="AV118" s="352" t="n">
        <f aca="true">IF(AND($D118="Serviço",AV$12&lt;&gt;0,$H118&gt;0,OR(AUTOEVENTO&lt;&gt;"manual",$M118&lt;&gt;$A$15)),
        IF(Import.TipoArredondamento&lt;&gt;"TransfereGOV",
              ROUND(OFFSET($P118,0,AV$13),15-13*ORÇAMENTO!$AF$7)/$H118*OFFSET(ORÇAMENTO!$X$15,ROW(AV118)-ROW(AV$15),0),
              ROUND(ROUND(OFFSET($P118,0,AV$13),15-13*ORÇAMENTO!$AF$7)*OFFSET(ORÇAMENTO!$W$15,ROW(AV118)-ROW(AV$15),0),15-13*ORÇAMENTO!$AF$11)),
         0)</f>
        <v>0</v>
      </c>
      <c r="AW118" s="352" t="n">
        <f aca="true">IF(AND($D118="Serviço",AW$12&lt;&gt;0,$H118&gt;0,OR(AUTOEVENTO&lt;&gt;"manual",$M118&lt;&gt;$A$15)),
        IF(Import.TipoArredondamento&lt;&gt;"TransfereGOV",
              ROUND(OFFSET($P118,0,AW$13),15-13*ORÇAMENTO!$AF$7)/$H118*OFFSET(ORÇAMENTO!$X$15,ROW(AW118)-ROW(AW$15),0),
              ROUND(ROUND(OFFSET($P118,0,AW$13),15-13*ORÇAMENTO!$AF$7)*OFFSET(ORÇAMENTO!$W$15,ROW(AW118)-ROW(AW$15),0),15-13*ORÇAMENTO!$AF$11)),
         0)</f>
        <v>0</v>
      </c>
      <c r="AX118" s="352" t="n">
        <f aca="true">IF(AND($D118="Serviço",AX$12&lt;&gt;0,$H118&gt;0,OR(AUTOEVENTO&lt;&gt;"manual",$M118&lt;&gt;$A$15)),
        IF(Import.TipoArredondamento&lt;&gt;"TransfereGOV",
              ROUND(OFFSET($P118,0,AX$13),15-13*ORÇAMENTO!$AF$7)/$H118*OFFSET(ORÇAMENTO!$X$15,ROW(AX118)-ROW(AX$15),0),
              ROUND(ROUND(OFFSET($P118,0,AX$13),15-13*ORÇAMENTO!$AF$7)*OFFSET(ORÇAMENTO!$W$15,ROW(AX118)-ROW(AX$15),0),15-13*ORÇAMENTO!$AF$11)),
         0)</f>
        <v>0</v>
      </c>
      <c r="AY118" s="352" t="n">
        <f aca="true">IF(AND($D118="Serviço",AY$12&lt;&gt;0,$H118&gt;0,OR(AUTOEVENTO&lt;&gt;"manual",$M118&lt;&gt;$A$15)),
        IF(Import.TipoArredondamento&lt;&gt;"TransfereGOV",
              ROUND(OFFSET($P118,0,AY$13),15-13*ORÇAMENTO!$AF$7)/$H118*OFFSET(ORÇAMENTO!$X$15,ROW(AY118)-ROW(AY$15),0),
              ROUND(ROUND(OFFSET($P118,0,AY$13),15-13*ORÇAMENTO!$AF$7)*OFFSET(ORÇAMENTO!$W$15,ROW(AY118)-ROW(AY$15),0),15-13*ORÇAMENTO!$AF$11)),
         0)</f>
        <v>0</v>
      </c>
      <c r="AZ118" s="352" t="n">
        <f aca="true">IF(AND($D118="Serviço",AZ$12&lt;&gt;0,$H118&gt;0,OR(AUTOEVENTO&lt;&gt;"manual",$M118&lt;&gt;$A$15)),
        IF(Import.TipoArredondamento&lt;&gt;"TransfereGOV",
              ROUND(OFFSET($P118,0,AZ$13),15-13*ORÇAMENTO!$AF$7)/$H118*OFFSET(ORÇAMENTO!$X$15,ROW(AZ118)-ROW(AZ$15),0),
              ROUND(ROUND(OFFSET($P118,0,AZ$13),15-13*ORÇAMENTO!$AF$7)*OFFSET(ORÇAMENTO!$W$15,ROW(AZ118)-ROW(AZ$15),0),15-13*ORÇAMENTO!$AF$11)),
         0)</f>
        <v>0</v>
      </c>
      <c r="BA118" s="352" t="n">
        <f aca="true">IF(AND($D118="Serviço",BA$12&lt;&gt;0,$H118&gt;0,OR(AUTOEVENTO&lt;&gt;"manual",$M118&lt;&gt;$A$15)),
        IF(Import.TipoArredondamento&lt;&gt;"TransfereGOV",
              ROUND(OFFSET($P118,0,BA$13),15-13*ORÇAMENTO!$AF$7)/$H118*OFFSET(ORÇAMENTO!$X$15,ROW(BA118)-ROW(BA$15),0),
              ROUND(ROUND(OFFSET($P118,0,BA$13),15-13*ORÇAMENTO!$AF$7)*OFFSET(ORÇAMENTO!$W$15,ROW(BA118)-ROW(BA$15),0),15-13*ORÇAMENTO!$AF$11)),
         0)</f>
        <v>0</v>
      </c>
      <c r="BB118" s="352" t="n">
        <f aca="true">IF(AND($D118="Serviço",BB$12&lt;&gt;0,$H118&gt;0,OR(AUTOEVENTO&lt;&gt;"manual",$M118&lt;&gt;$A$15)),
        IF(Import.TipoArredondamento&lt;&gt;"TransfereGOV",
              ROUND(OFFSET($P118,0,BB$13),15-13*ORÇAMENTO!$AF$7)/$H118*OFFSET(ORÇAMENTO!$X$15,ROW(BB118)-ROW(BB$15),0),
              ROUND(ROUND(OFFSET($P118,0,BB$13),15-13*ORÇAMENTO!$AF$7)*OFFSET(ORÇAMENTO!$W$15,ROW(BB118)-ROW(BB$15),0),15-13*ORÇAMENTO!$AF$11)),
         0)</f>
        <v>0</v>
      </c>
      <c r="BC118" s="352" t="n">
        <f aca="true">IF(AND($D118="Serviço",BC$12&lt;&gt;0,$H118&gt;0,OR(AUTOEVENTO&lt;&gt;"manual",$M118&lt;&gt;$A$15)),
        IF(Import.TipoArredondamento&lt;&gt;"TransfereGOV",
              ROUND(OFFSET($P118,0,BC$13),15-13*ORÇAMENTO!$AF$7)/$H118*OFFSET(ORÇAMENTO!$X$15,ROW(BC118)-ROW(BC$15),0),
              ROUND(ROUND(OFFSET($P118,0,BC$13),15-13*ORÇAMENTO!$AF$7)*OFFSET(ORÇAMENTO!$W$15,ROW(BC118)-ROW(BC$15),0),15-13*ORÇAMENTO!$AF$11)),
         0)</f>
        <v>0</v>
      </c>
      <c r="BD118" s="352" t="n">
        <f aca="true">IF(AND($D118="Serviço",BD$12&lt;&gt;0,$H118&gt;0,OR(AUTOEVENTO&lt;&gt;"manual",$M118&lt;&gt;$A$15)),
        IF(Import.TipoArredondamento&lt;&gt;"TransfereGOV",
              ROUND(OFFSET($P118,0,BD$13),15-13*ORÇAMENTO!$AF$7)/$H118*OFFSET(ORÇAMENTO!$X$15,ROW(BD118)-ROW(BD$15),0),
              ROUND(ROUND(OFFSET($P118,0,BD$13),15-13*ORÇAMENTO!$AF$7)*OFFSET(ORÇAMENTO!$W$15,ROW(BD118)-ROW(BD$15),0),15-13*ORÇAMENTO!$AF$11)),
         0)</f>
        <v>0</v>
      </c>
      <c r="BE118" s="352" t="n">
        <f aca="true">IF(AND($D118="Serviço",BE$12&lt;&gt;0,$H118&gt;0,OR(AUTOEVENTO&lt;&gt;"manual",$M118&lt;&gt;$A$15)),
        IF(Import.TipoArredondamento&lt;&gt;"TransfereGOV",
              ROUND(OFFSET($P118,0,BE$13),15-13*ORÇAMENTO!$AF$7)/$H118*OFFSET(ORÇAMENTO!$X$15,ROW(BE118)-ROW(BE$15),0),
              ROUND(ROUND(OFFSET($P118,0,BE$13),15-13*ORÇAMENTO!$AF$7)*OFFSET(ORÇAMENTO!$W$15,ROW(BE118)-ROW(BE$15),0),15-13*ORÇAMENTO!$AF$11)),
         0)</f>
        <v>0</v>
      </c>
      <c r="BF118" s="352" t="n">
        <f aca="true">IF(AND($D118="Serviço",BF$12&lt;&gt;0,$H118&gt;0,OR(AUTOEVENTO&lt;&gt;"manual",$M118&lt;&gt;$A$15)),
        IF(Import.TipoArredondamento&lt;&gt;"TransfereGOV",
              ROUND(OFFSET($P118,0,BF$13),15-13*ORÇAMENTO!$AF$7)/$H118*OFFSET(ORÇAMENTO!$X$15,ROW(BF118)-ROW(BF$15),0),
              ROUND(ROUND(OFFSET($P118,0,BF$13),15-13*ORÇAMENTO!$AF$7)*OFFSET(ORÇAMENTO!$W$15,ROW(BF118)-ROW(BF$15),0),15-13*ORÇAMENTO!$AF$11)),
         0)</f>
        <v>0</v>
      </c>
      <c r="BG118" s="352" t="n">
        <f aca="true">IF(AND($D118="Serviço",BG$12&lt;&gt;0,$H118&gt;0,OR(AUTOEVENTO&lt;&gt;"manual",$M118&lt;&gt;$A$15)),
        IF(Import.TipoArredondamento&lt;&gt;"TransfereGOV",
              ROUND(OFFSET($P118,0,BG$13),15-13*ORÇAMENTO!$AF$7)/$H118*OFFSET(ORÇAMENTO!$X$15,ROW(BG118)-ROW(BG$15),0),
              ROUND(ROUND(OFFSET($P118,0,BG$13),15-13*ORÇAMENTO!$AF$7)*OFFSET(ORÇAMENTO!$W$15,ROW(BG118)-ROW(BG$15),0),15-13*ORÇAMENTO!$AF$11)),
         0)</f>
        <v>0</v>
      </c>
      <c r="BH118" s="352" t="n">
        <f aca="true">IF(AND($D118="Serviço",BH$12&lt;&gt;0,$H118&gt;0,OR(AUTOEVENTO&lt;&gt;"manual",$M118&lt;&gt;$A$15)),
        IF(Import.TipoArredondamento&lt;&gt;"TransfereGOV",
              ROUND(OFFSET($P118,0,BH$13),15-13*ORÇAMENTO!$AF$7)/$H118*OFFSET(ORÇAMENTO!$X$15,ROW(BH118)-ROW(BH$15),0),
              ROUND(ROUND(OFFSET($P118,0,BH$13),15-13*ORÇAMENTO!$AF$7)*OFFSET(ORÇAMENTO!$W$15,ROW(BH118)-ROW(BH$15),0),15-13*ORÇAMENTO!$AF$11)),
         0)</f>
        <v>0</v>
      </c>
      <c r="BI118" s="352" t="n">
        <f aca="true">IF(AND($D118="Serviço",BI$12&lt;&gt;0,$H118&gt;0,OR(AUTOEVENTO&lt;&gt;"manual",$M118&lt;&gt;$A$15)),
        IF(Import.TipoArredondamento&lt;&gt;"TransfereGOV",
              ROUND(OFFSET($P118,0,BI$13),15-13*ORÇAMENTO!$AF$7)/$H118*OFFSET(ORÇAMENTO!$X$15,ROW(BI118)-ROW(BI$15),0),
              ROUND(ROUND(OFFSET($P118,0,BI$13),15-13*ORÇAMENTO!$AF$7)*OFFSET(ORÇAMENTO!$W$15,ROW(BI118)-ROW(BI$15),0),15-13*ORÇAMENTO!$AF$11)),
         0)</f>
        <v>0</v>
      </c>
      <c r="BJ118" s="352" t="n">
        <f aca="true">IF(AND($D118="Serviço",BJ$12&lt;&gt;0,$H118&gt;0,OR(AUTOEVENTO&lt;&gt;"manual",$M118&lt;&gt;$A$15)),
        IF(Import.TipoArredondamento&lt;&gt;"TransfereGOV",
              ROUND(OFFSET($P118,0,BJ$13),15-13*ORÇAMENTO!$AF$7)/$H118*OFFSET(ORÇAMENTO!$X$15,ROW(BJ118)-ROW(BJ$15),0),
              ROUND(ROUND(OFFSET($P118,0,BJ$13),15-13*ORÇAMENTO!$AF$7)*OFFSET(ORÇAMENTO!$W$15,ROW(BJ118)-ROW(BJ$15),0),15-13*ORÇAMENTO!$AF$11)),
         0)</f>
        <v>0</v>
      </c>
      <c r="BK118" s="352" t="n">
        <f aca="true">IF(AND($D118="Serviço",BK$12&lt;&gt;0,$H118&gt;0,OR(AUTOEVENTO&lt;&gt;"manual",$M118&lt;&gt;$A$15)),
        IF(Import.TipoArredondamento&lt;&gt;"TransfereGOV",
              ROUND(OFFSET($P118,0,BK$13),15-13*ORÇAMENTO!$AF$7)/$H118*OFFSET(ORÇAMENTO!$X$15,ROW(BK118)-ROW(BK$15),0),
              ROUND(ROUND(OFFSET($P118,0,BK$13),15-13*ORÇAMENTO!$AF$7)*OFFSET(ORÇAMENTO!$W$15,ROW(BK118)-ROW(BK$15),0),15-13*ORÇAMENTO!$AF$11)),
         0)</f>
        <v>0</v>
      </c>
      <c r="BL118" s="352" t="n">
        <f aca="true">IF(AND($D118="Serviço",BL$12&lt;&gt;0,$H118&gt;0,OR(AUTOEVENTO&lt;&gt;"manual",$M118&lt;&gt;$A$15)),
        IF(Import.TipoArredondamento&lt;&gt;"TransfereGOV",
              ROUND(OFFSET($P118,0,BL$13),15-13*ORÇAMENTO!$AF$7)/$H118*OFFSET(ORÇAMENTO!$X$15,ROW(BL118)-ROW(BL$15),0),
              ROUND(ROUND(OFFSET($P118,0,BL$13),15-13*ORÇAMENTO!$AF$7)*OFFSET(ORÇAMENTO!$W$15,ROW(BL118)-ROW(BL$15),0),15-13*ORÇAMENTO!$AF$11)),
         0)</f>
        <v>0</v>
      </c>
      <c r="BM118" s="352" t="n">
        <f aca="true">IF(AND($D118="Serviço",BM$12&lt;&gt;0,$H118&gt;0,OR(AUTOEVENTO&lt;&gt;"manual",$M118&lt;&gt;$A$15)),
        IF(Import.TipoArredondamento&lt;&gt;"TransfereGOV",
              ROUND(OFFSET($P118,0,BM$13),15-13*ORÇAMENTO!$AF$7)/$H118*OFFSET(ORÇAMENTO!$X$15,ROW(BM118)-ROW(BM$15),0),
              ROUND(ROUND(OFFSET($P118,0,BM$13),15-13*ORÇAMENTO!$AF$7)*OFFSET(ORÇAMENTO!$W$15,ROW(BM118)-ROW(BM$15),0),15-13*ORÇAMENTO!$AF$11)),
         0)</f>
        <v>0</v>
      </c>
      <c r="BN118" s="352" t="n">
        <f aca="true">IF(AND($D118="Serviço",BN$12&lt;&gt;0,$H118&gt;0,OR(AUTOEVENTO&lt;&gt;"manual",$M118&lt;&gt;$A$15)),
        IF(Import.TipoArredondamento&lt;&gt;"TransfereGOV",
              ROUND(OFFSET($P118,0,BN$13),15-13*ORÇAMENTO!$AF$7)/$H118*OFFSET(ORÇAMENTO!$X$15,ROW(BN118)-ROW(BN$15),0),
              ROUND(ROUND(OFFSET($P118,0,BN$13),15-13*ORÇAMENTO!$AF$7)*OFFSET(ORÇAMENTO!$W$15,ROW(BN118)-ROW(BN$15),0),15-13*ORÇAMENTO!$AF$11)),
         0)</f>
        <v>0</v>
      </c>
      <c r="BO118" s="352" t="n">
        <f aca="true">IF(AND($D118="Serviço",BO$12&lt;&gt;0,$H118&gt;0,OR(AUTOEVENTO&lt;&gt;"manual",$M118&lt;&gt;$A$15)),
        IF(Import.TipoArredondamento&lt;&gt;"TransfereGOV",
              ROUND(OFFSET($P118,0,BO$13),15-13*ORÇAMENTO!$AF$7)/$H118*OFFSET(ORÇAMENTO!$X$15,ROW(BO118)-ROW(BO$15),0),
              ROUND(ROUND(OFFSET($P118,0,BO$13),15-13*ORÇAMENTO!$AF$7)*OFFSET(ORÇAMENTO!$W$15,ROW(BO118)-ROW(BO$15),0),15-13*ORÇAMENTO!$AF$11)),
         0)</f>
        <v>0</v>
      </c>
      <c r="BP118" s="352" t="n">
        <f aca="true">IF(AND($D118="Serviço",BP$12&lt;&gt;0,$H118&gt;0,OR(AUTOEVENTO&lt;&gt;"manual",$M118&lt;&gt;$A$15)),
        IF(Import.TipoArredondamento&lt;&gt;"TransfereGOV",
              ROUND(OFFSET($P118,0,BP$13),15-13*ORÇAMENTO!$AF$7)/$H118*OFFSET(ORÇAMENTO!$X$15,ROW(BP118)-ROW(BP$15),0),
              ROUND(ROUND(OFFSET($P118,0,BP$13),15-13*ORÇAMENTO!$AF$7)*OFFSET(ORÇAMENTO!$W$15,ROW(BP118)-ROW(BP$15),0),15-13*ORÇAMENTO!$AF$11)),
         0)</f>
        <v>0</v>
      </c>
      <c r="BQ118" s="352" t="n">
        <f aca="true">IF(AND($D118="Serviço",BQ$12&lt;&gt;0,$H118&gt;0,OR(AUTOEVENTO&lt;&gt;"manual",$M118&lt;&gt;$A$15)),
        IF(Import.TipoArredondamento&lt;&gt;"TransfereGOV",
              ROUND(OFFSET($P118,0,BQ$13),15-13*ORÇAMENTO!$AF$7)/$H118*OFFSET(ORÇAMENTO!$X$15,ROW(BQ118)-ROW(BQ$15),0),
              ROUND(ROUND(OFFSET($P118,0,BQ$13),15-13*ORÇAMENTO!$AF$7)*OFFSET(ORÇAMENTO!$W$15,ROW(BQ118)-ROW(BQ$15),0),15-13*ORÇAMENTO!$AF$11)),
         0)</f>
        <v>0</v>
      </c>
      <c r="BS118" s="353" t="n">
        <f aca="true">IF(OR($D118&lt;&gt;"Serviço",AND(AUTOEVENTO="Manual",$M118=$A$15)),0,
         IF(OFFSET(CRONOPLE!$F$15,$M118-$A$15,BS$13)=0,10^12,OFFSET(CRONOPLE!$F$15,$M118-$A$15,BS$13)))</f>
        <v>0</v>
      </c>
      <c r="BT118" s="353" t="n">
        <f aca="true">IF(OR($D118&lt;&gt;"Serviço",AND(AUTOEVENTO="Manual",$M118=$A$15)),0,
         IF(OFFSET(CRONOPLE!$F$15,$M118-$A$15,BT$13)=0,10^12,OFFSET(CRONOPLE!$F$15,$M118-$A$15,BT$13)))</f>
        <v>0</v>
      </c>
      <c r="BU118" s="353" t="n">
        <f aca="true">IF(OR($D118&lt;&gt;"Serviço",AND(AUTOEVENTO="Manual",$M118=$A$15)),0,
         IF(OFFSET(CRONOPLE!$F$15,$M118-$A$15,BU$13)=0,10^12,OFFSET(CRONOPLE!$F$15,$M118-$A$15,BU$13)))</f>
        <v>0</v>
      </c>
      <c r="BV118" s="353" t="n">
        <f aca="true">IF(OR($D118&lt;&gt;"Serviço",AND(AUTOEVENTO="Manual",$M118=$A$15)),0,
         IF(OFFSET(CRONOPLE!$F$15,$M118-$A$15,BV$13)=0,10^12,OFFSET(CRONOPLE!$F$15,$M118-$A$15,BV$13)))</f>
        <v>0</v>
      </c>
      <c r="BW118" s="353" t="n">
        <f aca="true">IF(OR($D118&lt;&gt;"Serviço",AND(AUTOEVENTO="Manual",$M118=$A$15)),0,
         IF(OFFSET(CRONOPLE!$F$15,$M118-$A$15,BW$13)=0,10^12,OFFSET(CRONOPLE!$F$15,$M118-$A$15,BW$13)))</f>
        <v>0</v>
      </c>
      <c r="BX118" s="353" t="n">
        <f aca="true">IF(OR($D118&lt;&gt;"Serviço",AND(AUTOEVENTO="Manual",$M118=$A$15)),0,
         IF(OFFSET(CRONOPLE!$F$15,$M118-$A$15,BX$13)=0,10^12,OFFSET(CRONOPLE!$F$15,$M118-$A$15,BX$13)))</f>
        <v>0</v>
      </c>
      <c r="BY118" s="353" t="n">
        <f aca="true">IF(OR($D118&lt;&gt;"Serviço",AND(AUTOEVENTO="Manual",$M118=$A$15)),0,
         IF(OFFSET(CRONOPLE!$F$15,$M118-$A$15,BY$13)=0,10^12,OFFSET(CRONOPLE!$F$15,$M118-$A$15,BY$13)))</f>
        <v>0</v>
      </c>
      <c r="BZ118" s="353" t="n">
        <f aca="true">IF(OR($D118&lt;&gt;"Serviço",AND(AUTOEVENTO="Manual",$M118=$A$15)),0,
         IF(OFFSET(CRONOPLE!$F$15,$M118-$A$15,BZ$13)=0,10^12,OFFSET(CRONOPLE!$F$15,$M118-$A$15,BZ$13)))</f>
        <v>0</v>
      </c>
      <c r="CA118" s="353" t="n">
        <f aca="true">IF(OR($D118&lt;&gt;"Serviço",AND(AUTOEVENTO="Manual",$M118=$A$15)),0,
         IF(OFFSET(CRONOPLE!$F$15,$M118-$A$15,CA$13)=0,10^12,OFFSET(CRONOPLE!$F$15,$M118-$A$15,CA$13)))</f>
        <v>0</v>
      </c>
      <c r="CB118" s="353" t="n">
        <f aca="true">IF(OR($D118&lt;&gt;"Serviço",AND(AUTOEVENTO="Manual",$M118=$A$15)),0,
         IF(OFFSET(CRONOPLE!$F$15,$M118-$A$15,CB$13)=0,10^12,OFFSET(CRONOPLE!$F$15,$M118-$A$15,CB$13)))</f>
        <v>0</v>
      </c>
      <c r="CC118" s="353" t="n">
        <f aca="true">IF(OR($D118&lt;&gt;"Serviço",AND(AUTOEVENTO="Manual",$M118=$A$15)),0,
         IF(OFFSET(CRONOPLE!$F$15,$M118-$A$15,CC$13)=0,10^12,OFFSET(CRONOPLE!$F$15,$M118-$A$15,CC$13)))</f>
        <v>0</v>
      </c>
      <c r="CD118" s="353" t="n">
        <f aca="true">IF(OR($D118&lt;&gt;"Serviço",AND(AUTOEVENTO="Manual",$M118=$A$15)),0,
         IF(OFFSET(CRONOPLE!$F$15,$M118-$A$15,CD$13)=0,10^12,OFFSET(CRONOPLE!$F$15,$M118-$A$15,CD$13)))</f>
        <v>0</v>
      </c>
      <c r="CE118" s="353" t="n">
        <f aca="true">IF(OR($D118&lt;&gt;"Serviço",AND(AUTOEVENTO="Manual",$M118=$A$15)),0,
         IF(OFFSET(CRONOPLE!$F$15,$M118-$A$15,CE$13)=0,10^12,OFFSET(CRONOPLE!$F$15,$M118-$A$15,CE$13)))</f>
        <v>0</v>
      </c>
      <c r="CF118" s="353" t="n">
        <f aca="true">IF(OR($D118&lt;&gt;"Serviço",AND(AUTOEVENTO="Manual",$M118=$A$15)),0,
         IF(OFFSET(CRONOPLE!$F$15,$M118-$A$15,CF$13)=0,10^12,OFFSET(CRONOPLE!$F$15,$M118-$A$15,CF$13)))</f>
        <v>0</v>
      </c>
      <c r="CG118" s="353" t="n">
        <f aca="true">IF(OR($D118&lt;&gt;"Serviço",AND(AUTOEVENTO="Manual",$M118=$A$15)),0,
         IF(OFFSET(CRONOPLE!$F$15,$M118-$A$15,CG$13)=0,10^12,OFFSET(CRONOPLE!$F$15,$M118-$A$15,CG$13)))</f>
        <v>0</v>
      </c>
      <c r="CH118" s="353" t="n">
        <f aca="true">IF(OR($D118&lt;&gt;"Serviço",AND(AUTOEVENTO="Manual",$M118=$A$15)),0,
         IF(OFFSET(CRONOPLE!$F$15,$M118-$A$15,CH$13)=0,10^12,OFFSET(CRONOPLE!$F$15,$M118-$A$15,CH$13)))</f>
        <v>0</v>
      </c>
      <c r="CI118" s="353" t="n">
        <f aca="true">IF(OR($D118&lt;&gt;"Serviço",AND(AUTOEVENTO="Manual",$M118=$A$15)),0,
         IF(OFFSET(CRONOPLE!$F$15,$M118-$A$15,CI$13)=0,10^12,OFFSET(CRONOPLE!$F$15,$M118-$A$15,CI$13)))</f>
        <v>0</v>
      </c>
      <c r="CJ118" s="353" t="n">
        <f aca="true">IF(OR($D118&lt;&gt;"Serviço",AND(AUTOEVENTO="Manual",$M118=$A$15)),0,
         IF(OFFSET(CRONOPLE!$F$15,$M118-$A$15,CJ$13)=0,10^12,OFFSET(CRONOPLE!$F$15,$M118-$A$15,CJ$13)))</f>
        <v>0</v>
      </c>
      <c r="CK118" s="353" t="n">
        <f aca="true">IF(OR($D118&lt;&gt;"Serviço",AND(AUTOEVENTO="Manual",$M118=$A$15)),0,
         IF(OFFSET(CRONOPLE!$F$15,$M118-$A$15,CK$13)=0,10^12,OFFSET(CRONOPLE!$F$15,$M118-$A$15,CK$13)))</f>
        <v>0</v>
      </c>
      <c r="CL118" s="353" t="n">
        <f aca="true">IF(OR($D118&lt;&gt;"Serviço",AND(AUTOEVENTO="Manual",$M118=$A$15)),0,
         IF(OFFSET(CRONOPLE!$F$15,$M118-$A$15,CL$13)=0,10^12,OFFSET(CRONOPLE!$F$15,$M118-$A$15,CL$13)))</f>
        <v>0</v>
      </c>
      <c r="CM118" s="353" t="n">
        <f aca="true">IF(OR($D118&lt;&gt;"Serviço",AND(AUTOEVENTO="Manual",$M118=$A$15)),0,
         IF(OFFSET(CRONOPLE!$F$15,$M118-$A$15,CM$13)=0,10^12,OFFSET(CRONOPLE!$F$15,$M118-$A$15,CM$13)))</f>
        <v>0</v>
      </c>
      <c r="CN118" s="353" t="n">
        <f aca="true">IF(OR($D118&lt;&gt;"Serviço",AND(AUTOEVENTO="Manual",$M118=$A$15)),0,
         IF(OFFSET(CRONOPLE!$F$15,$M118-$A$15,CN$13)=0,10^12,OFFSET(CRONOPLE!$F$15,$M118-$A$15,CN$13)))</f>
        <v>0</v>
      </c>
      <c r="CO118" s="353" t="n">
        <f aca="true">IF(OR($D118&lt;&gt;"Serviço",AND(AUTOEVENTO="Manual",$M118=$A$15)),0,
         IF(OFFSET(CRONOPLE!$F$15,$M118-$A$15,CO$13)=0,10^12,OFFSET(CRONOPLE!$F$15,$M118-$A$15,CO$13)))</f>
        <v>0</v>
      </c>
      <c r="CP118" s="353" t="n">
        <f aca="true">IF(OR($D118&lt;&gt;"Serviço",AND(AUTOEVENTO="Manual",$M118=$A$15)),0,
         IF(OFFSET(CRONOPLE!$F$15,$M118-$A$15,CP$13)=0,10^12,OFFSET(CRONOPLE!$F$15,$M118-$A$15,CP$13)))</f>
        <v>0</v>
      </c>
      <c r="CQ118" s="353" t="n">
        <f aca="true">IF(OR($D118&lt;&gt;"Serviço",AND(AUTOEVENTO="Manual",$M118=$A$15)),0,
         IF(OFFSET(CRONOPLE!$F$15,$M118-$A$15,CQ$13)=0,10^12,OFFSET(CRONOPLE!$F$15,$M118-$A$15,CQ$13)))</f>
        <v>0</v>
      </c>
      <c r="CR118" s="353" t="n">
        <f aca="true">IF(OR($D118&lt;&gt;"Serviço",AND(AUTOEVENTO="Manual",$M118=$A$15)),0,
         IF(OFFSET(CRONOPLE!$F$15,$M118-$A$15,CR$13)=0,10^12,OFFSET(CRONOPLE!$F$15,$M118-$A$15,CR$13)))</f>
        <v>0</v>
      </c>
      <c r="CT118" s="354" t="n">
        <f aca="true">IF(OR($D118&lt;&gt;"Serviço",AND(AUTOEVENTO="Manual",$M118=$A$15),$M118&gt;(ROW(PLE.lastrow)-ROW(PLE.firstrow))),0,
           IF(OFFSET(PLE!$G$15,$M118-$A$15,CT$13)="",10^12,OFFSET(PLE!$G$15,$M118-$A$15,CT$13)))</f>
        <v>0</v>
      </c>
      <c r="CU118" s="354" t="n">
        <f aca="true">IF(OR($D118&lt;&gt;"Serviço",AND(AUTOEVENTO="Manual",$M118=$A$15),$M118&gt;(ROW(PLE.lastrow)-ROW(PLE.firstrow))),0,
           IF(OFFSET(PLE!$G$15,$M118-$A$15,CU$13)="",10^12,OFFSET(PLE!$G$15,$M118-$A$15,CU$13)))</f>
        <v>0</v>
      </c>
      <c r="CV118" s="354" t="n">
        <f aca="true">IF(OR($D118&lt;&gt;"Serviço",AND(AUTOEVENTO="Manual",$M118=$A$15),$M118&gt;(ROW(PLE.lastrow)-ROW(PLE.firstrow))),0,
           IF(OFFSET(PLE!$G$15,$M118-$A$15,CV$13)="",10^12,OFFSET(PLE!$G$15,$M118-$A$15,CV$13)))</f>
        <v>0</v>
      </c>
      <c r="CW118" s="354" t="n">
        <f aca="true">IF(OR($D118&lt;&gt;"Serviço",AND(AUTOEVENTO="Manual",$M118=$A$15),$M118&gt;(ROW(PLE.lastrow)-ROW(PLE.firstrow))),0,
           IF(OFFSET(PLE!$G$15,$M118-$A$15,CW$13)="",10^12,OFFSET(PLE!$G$15,$M118-$A$15,CW$13)))</f>
        <v>0</v>
      </c>
      <c r="CX118" s="354" t="n">
        <f aca="true">IF(OR($D118&lt;&gt;"Serviço",AND(AUTOEVENTO="Manual",$M118=$A$15),$M118&gt;(ROW(PLE.lastrow)-ROW(PLE.firstrow))),0,
           IF(OFFSET(PLE!$G$15,$M118-$A$15,CX$13)="",10^12,OFFSET(PLE!$G$15,$M118-$A$15,CX$13)))</f>
        <v>0</v>
      </c>
      <c r="CY118" s="354" t="n">
        <f aca="true">IF(OR($D118&lt;&gt;"Serviço",AND(AUTOEVENTO="Manual",$M118=$A$15),$M118&gt;(ROW(PLE.lastrow)-ROW(PLE.firstrow))),0,
           IF(OFFSET(PLE!$G$15,$M118-$A$15,CY$13)="",10^12,OFFSET(PLE!$G$15,$M118-$A$15,CY$13)))</f>
        <v>0</v>
      </c>
      <c r="CZ118" s="354" t="n">
        <f aca="true">IF(OR($D118&lt;&gt;"Serviço",AND(AUTOEVENTO="Manual",$M118=$A$15),$M118&gt;(ROW(PLE.lastrow)-ROW(PLE.firstrow))),0,
           IF(OFFSET(PLE!$G$15,$M118-$A$15,CZ$13)="",10^12,OFFSET(PLE!$G$15,$M118-$A$15,CZ$13)))</f>
        <v>0</v>
      </c>
      <c r="DA118" s="354" t="n">
        <f aca="true">IF(OR($D118&lt;&gt;"Serviço",AND(AUTOEVENTO="Manual",$M118=$A$15),$M118&gt;(ROW(PLE.lastrow)-ROW(PLE.firstrow))),0,
           IF(OFFSET(PLE!$G$15,$M118-$A$15,DA$13)="",10^12,OFFSET(PLE!$G$15,$M118-$A$15,DA$13)))</f>
        <v>0</v>
      </c>
      <c r="DB118" s="354" t="n">
        <f aca="true">IF(OR($D118&lt;&gt;"Serviço",AND(AUTOEVENTO="Manual",$M118=$A$15),$M118&gt;(ROW(PLE.lastrow)-ROW(PLE.firstrow))),0,
           IF(OFFSET(PLE!$G$15,$M118-$A$15,DB$13)="",10^12,OFFSET(PLE!$G$15,$M118-$A$15,DB$13)))</f>
        <v>0</v>
      </c>
      <c r="DC118" s="354" t="n">
        <f aca="true">IF(OR($D118&lt;&gt;"Serviço",AND(AUTOEVENTO="Manual",$M118=$A$15),$M118&gt;(ROW(PLE.lastrow)-ROW(PLE.firstrow))),0,
           IF(OFFSET(PLE!$G$15,$M118-$A$15,DC$13)="",10^12,OFFSET(PLE!$G$15,$M118-$A$15,DC$13)))</f>
        <v>0</v>
      </c>
      <c r="DD118" s="354" t="n">
        <f aca="true">IF(OR($D118&lt;&gt;"Serviço",AND(AUTOEVENTO="Manual",$M118=$A$15),$M118&gt;(ROW(PLE.lastrow)-ROW(PLE.firstrow))),0,
           IF(OFFSET(PLE!$G$15,$M118-$A$15,DD$13)="",10^12,OFFSET(PLE!$G$15,$M118-$A$15,DD$13)))</f>
        <v>0</v>
      </c>
      <c r="DE118" s="354" t="n">
        <f aca="true">IF(OR($D118&lt;&gt;"Serviço",AND(AUTOEVENTO="Manual",$M118=$A$15),$M118&gt;(ROW(PLE.lastrow)-ROW(PLE.firstrow))),0,
           IF(OFFSET(PLE!$G$15,$M118-$A$15,DE$13)="",10^12,OFFSET(PLE!$G$15,$M118-$A$15,DE$13)))</f>
        <v>0</v>
      </c>
      <c r="DF118" s="354" t="n">
        <f aca="true">IF(OR($D118&lt;&gt;"Serviço",AND(AUTOEVENTO="Manual",$M118=$A$15),$M118&gt;(ROW(PLE.lastrow)-ROW(PLE.firstrow))),0,
           IF(OFFSET(PLE!$G$15,$M118-$A$15,DF$13)="",10^12,OFFSET(PLE!$G$15,$M118-$A$15,DF$13)))</f>
        <v>0</v>
      </c>
      <c r="DG118" s="354" t="n">
        <f aca="true">IF(OR($D118&lt;&gt;"Serviço",AND(AUTOEVENTO="Manual",$M118=$A$15),$M118&gt;(ROW(PLE.lastrow)-ROW(PLE.firstrow))),0,
           IF(OFFSET(PLE!$G$15,$M118-$A$15,DG$13)="",10^12,OFFSET(PLE!$G$15,$M118-$A$15,DG$13)))</f>
        <v>0</v>
      </c>
      <c r="DH118" s="354" t="n">
        <f aca="true">IF(OR($D118&lt;&gt;"Serviço",AND(AUTOEVENTO="Manual",$M118=$A$15),$M118&gt;(ROW(PLE.lastrow)-ROW(PLE.firstrow))),0,
           IF(OFFSET(PLE!$G$15,$M118-$A$15,DH$13)="",10^12,OFFSET(PLE!$G$15,$M118-$A$15,DH$13)))</f>
        <v>0</v>
      </c>
      <c r="DI118" s="354" t="n">
        <f aca="true">IF(OR($D118&lt;&gt;"Serviço",AND(AUTOEVENTO="Manual",$M118=$A$15),$M118&gt;(ROW(PLE.lastrow)-ROW(PLE.firstrow))),0,
           IF(OFFSET(PLE!$G$15,$M118-$A$15,DI$13)="",10^12,OFFSET(PLE!$G$15,$M118-$A$15,DI$13)))</f>
        <v>0</v>
      </c>
      <c r="DJ118" s="354" t="n">
        <f aca="true">IF(OR($D118&lt;&gt;"Serviço",AND(AUTOEVENTO="Manual",$M118=$A$15),$M118&gt;(ROW(PLE.lastrow)-ROW(PLE.firstrow))),0,
           IF(OFFSET(PLE!$G$15,$M118-$A$15,DJ$13)="",10^12,OFFSET(PLE!$G$15,$M118-$A$15,DJ$13)))</f>
        <v>0</v>
      </c>
      <c r="DK118" s="354" t="n">
        <f aca="true">IF(OR($D118&lt;&gt;"Serviço",AND(AUTOEVENTO="Manual",$M118=$A$15),$M118&gt;(ROW(PLE.lastrow)-ROW(PLE.firstrow))),0,
           IF(OFFSET(PLE!$G$15,$M118-$A$15,DK$13)="",10^12,OFFSET(PLE!$G$15,$M118-$A$15,DK$13)))</f>
        <v>0</v>
      </c>
      <c r="DL118" s="354" t="n">
        <f aca="true">IF(OR($D118&lt;&gt;"Serviço",AND(AUTOEVENTO="Manual",$M118=$A$15),$M118&gt;(ROW(PLE.lastrow)-ROW(PLE.firstrow))),0,
           IF(OFFSET(PLE!$G$15,$M118-$A$15,DL$13)="",10^12,OFFSET(PLE!$G$15,$M118-$A$15,DL$13)))</f>
        <v>0</v>
      </c>
      <c r="DM118" s="354" t="n">
        <f aca="true">IF(OR($D118&lt;&gt;"Serviço",AND(AUTOEVENTO="Manual",$M118=$A$15),$M118&gt;(ROW(PLE.lastrow)-ROW(PLE.firstrow))),0,
           IF(OFFSET(PLE!$G$15,$M118-$A$15,DM$13)="",10^12,OFFSET(PLE!$G$15,$M118-$A$15,DM$13)))</f>
        <v>0</v>
      </c>
      <c r="DN118" s="354" t="n">
        <f aca="true">IF(OR($D118&lt;&gt;"Serviço",AND(AUTOEVENTO="Manual",$M118=$A$15),$M118&gt;(ROW(PLE.lastrow)-ROW(PLE.firstrow))),0,
           IF(OFFSET(PLE!$G$15,$M118-$A$15,DN$13)="",10^12,OFFSET(PLE!$G$15,$M118-$A$15,DN$13)))</f>
        <v>0</v>
      </c>
      <c r="DO118" s="354" t="n">
        <f aca="true">IF(OR($D118&lt;&gt;"Serviço",AND(AUTOEVENTO="Manual",$M118=$A$15),$M118&gt;(ROW(PLE.lastrow)-ROW(PLE.firstrow))),0,
           IF(OFFSET(PLE!$G$15,$M118-$A$15,DO$13)="",10^12,OFFSET(PLE!$G$15,$M118-$A$15,DO$13)))</f>
        <v>0</v>
      </c>
      <c r="DP118" s="354" t="n">
        <f aca="true">IF(OR($D118&lt;&gt;"Serviço",AND(AUTOEVENTO="Manual",$M118=$A$15),$M118&gt;(ROW(PLE.lastrow)-ROW(PLE.firstrow))),0,
           IF(OFFSET(PLE!$G$15,$M118-$A$15,DP$13)="",10^12,OFFSET(PLE!$G$15,$M118-$A$15,DP$13)))</f>
        <v>0</v>
      </c>
      <c r="DQ118" s="354" t="n">
        <f aca="true">IF(OR($D118&lt;&gt;"Serviço",AND(AUTOEVENTO="Manual",$M118=$A$15),$M118&gt;(ROW(PLE.lastrow)-ROW(PLE.firstrow))),0,
           IF(OFFSET(PLE!$G$15,$M118-$A$15,DQ$13)="",10^12,OFFSET(PLE!$G$15,$M118-$A$15,DQ$13)))</f>
        <v>0</v>
      </c>
      <c r="DR118" s="354" t="n">
        <f aca="true">IF(OR($D118&lt;&gt;"Serviço",AND(AUTOEVENTO="Manual",$M118=$A$15),$M118&gt;(ROW(PLE.lastrow)-ROW(PLE.firstrow))),0,
           IF(OFFSET(PLE!$G$15,$M118-$A$15,DR$13)="",10^12,OFFSET(PLE!$G$15,$M118-$A$15,DR$13)))</f>
        <v>0</v>
      </c>
      <c r="DS118" s="354" t="n">
        <f aca="true">IF(OR($D118&lt;&gt;"Serviço",AND(AUTOEVENTO="Manual",$M118=$A$15),$M118&gt;(ROW(PLE.lastrow)-ROW(PLE.firstrow))),0,
           IF(OFFSET(PLE!$G$15,$M118-$A$15,DS$13)="",10^12,OFFSET(PLE!$G$15,$M118-$A$15,DS$13)))</f>
        <v>0</v>
      </c>
    </row>
    <row r="119" customFormat="false" ht="12.75" hidden="false" customHeight="false" outlineLevel="0" collapsed="false">
      <c r="A119" s="50" t="str">
        <f aca="true">IFERROR(IF(AUTOEVENTO="Manual",IF(K119&lt;&gt;"",MIN(VALUE(LEFT(K119,FIND(".",K119)-1)),COUNTA(EVENTOS.Lista)),0),IF(OR($B119&gt;AUTOEVENTO,$B119="S",$B119=0),SUBSTITUTE(OFFSET($A119,-1,0),IF($D119="Serviço",".",""),""),ROW(A119)-ROW($A$15)&amp;".")),0)</f>
        <v>104.</v>
      </c>
      <c r="B119" s="50" t="n">
        <f aca="true">OFFSET(ORÇAMENTO!C$15,ROW(B119)-ROW(B$15),0)</f>
        <v>2</v>
      </c>
      <c r="C119" s="50" t="str">
        <f aca="true">OFFSET(ORÇAMENTO!L$15,ROW(C119)-ROW(C$15),0)</f>
        <v>F</v>
      </c>
      <c r="D119" s="201" t="str">
        <f aca="true">OFFSET(ORÇAMENTO!N$15,ROW(D119)-ROW(D$15),0)</f>
        <v>Nível 2</v>
      </c>
      <c r="E119" s="202" t="str">
        <f aca="true">OFFSET(ORÇAMENTO!O$15,ROW(E119)-ROW(E$15),0)</f>
        <v>1.35.</v>
      </c>
      <c r="F119" s="341" t="str">
        <f aca="true">OFFSET(ORÇAMENTO!R$15,ROW(F119)-ROW(F$15),0)</f>
        <v>ELÉTRICAS / TELEFÔNICAS</v>
      </c>
      <c r="G119" s="342" t="str">
        <f aca="true">IF($D119&lt;&gt;"Serviço","",OFFSET(ORÇAMENTO!S$15,ROW(G119)-ROW(G$15),0))</f>
        <v/>
      </c>
      <c r="H119" s="207" t="n">
        <f aca="true">IF($D119&lt;&gt;"Serviço",0,IF(ACOMPANHAMENTO="BM",ROUND(OFFSET(ORÇAMENTO!AJ$15,ROW(H119)-ROW(H$15),0),15-13*ORÇAMENTO!$AF$7),SUMPRODUCT(($Q$1:$AQ$1=1)*ROUND($Q119:$AQ119,15-13*ORÇAMENTO!$AF$7))))</f>
        <v>0</v>
      </c>
      <c r="I119" s="343"/>
      <c r="J119" s="344" t="str">
        <f aca="false">IF(OR(B119&lt;&gt;"S",CÁLCULO.FrentesPreenchidas=0),"",IF(AND(ACOMPANHAMENTO="PLE",AUTOEVENTO="Manual",OR(H119&gt;0,ORÇAMENTO!AC119="QUANT."),OR(K119="",M119=0,N119="")),"►",IF(AND(ACOMPANHAMENTO="PLE",ORÇAMENTO!AC119="QUANT."),"►►",IF(AND(COUNTIF($P$11:$AQ$11,"▼")=0,H119&gt;0,I119=""),"◄",""))))</f>
        <v/>
      </c>
      <c r="K119" s="345"/>
      <c r="L119" s="346" t="s">
        <v>876</v>
      </c>
      <c r="M119" s="347" t="str">
        <f aca="true">IF($D119&lt;&gt;"Serviço","",
          IF(AUTOEVENTO="manual",$A119,
                IF(ISERROR(MATCH($A119,$A$15:OFFSET($A119,-1,0),0)),MAX($M$15:OFFSET(M119,-1,0))+1,
                      INDEX($M$15:OFFSET(M119,-1,0),MATCH($A119,$A$15:OFFSET($A119,-1,0),0)))))</f>
        <v/>
      </c>
      <c r="N119" s="348" t="str">
        <f aca="true">IF($D119&lt;&gt;"Serviço","",
         IF(AUTOEVENTO="Manual",
                IF($A119=0,"&lt;-- defina o número do agrupador",
                       OFFSET(EVENTOS!$D$15,$A119-$A$15,0)),
                OFFSET($F$15,$A119,0)))</f>
        <v/>
      </c>
      <c r="O119" s="349"/>
      <c r="Q119" s="349"/>
      <c r="R119" s="350"/>
      <c r="S119" s="350"/>
      <c r="T119" s="350"/>
      <c r="U119" s="350"/>
      <c r="V119" s="350"/>
      <c r="W119" s="350"/>
      <c r="X119" s="350"/>
      <c r="Y119" s="350"/>
      <c r="Z119" s="351"/>
      <c r="AA119" s="350"/>
      <c r="AB119" s="350"/>
      <c r="AC119" s="350"/>
      <c r="AD119" s="350"/>
      <c r="AE119" s="350"/>
      <c r="AF119" s="350"/>
      <c r="AG119" s="350"/>
      <c r="AH119" s="351"/>
      <c r="AI119" s="350"/>
      <c r="AJ119" s="350"/>
      <c r="AK119" s="350"/>
      <c r="AL119" s="350"/>
      <c r="AM119" s="350"/>
      <c r="AN119" s="350"/>
      <c r="AO119" s="350"/>
      <c r="AP119" s="351"/>
      <c r="AR119" s="352" t="n">
        <f aca="true">IF(AND($D119="Serviço",AR$12&lt;&gt;0,$H119&gt;0,OR(AUTOEVENTO&lt;&gt;"manual",$M119&lt;&gt;$A$15)),
        IF(Import.TipoArredondamento&lt;&gt;"TransfereGOV",
              ROUND(OFFSET($P119,0,AR$13),15-13*ORÇAMENTO!$AF$7)/$H119*OFFSET(ORÇAMENTO!$X$15,ROW(AR119)-ROW(AR$15),0),
              ROUND(ROUND(OFFSET($P119,0,AR$13),15-13*ORÇAMENTO!$AF$7)*OFFSET(ORÇAMENTO!$W$15,ROW(AR119)-ROW(AR$15),0),15-13*ORÇAMENTO!$AF$11)),
         0)</f>
        <v>0</v>
      </c>
      <c r="AS119" s="352" t="n">
        <f aca="true">IF(AND($D119="Serviço",AS$12&lt;&gt;0,$H119&gt;0,OR(AUTOEVENTO&lt;&gt;"manual",$M119&lt;&gt;$A$15)),
        IF(Import.TipoArredondamento&lt;&gt;"TransfereGOV",
              ROUND(OFFSET($P119,0,AS$13),15-13*ORÇAMENTO!$AF$7)/$H119*OFFSET(ORÇAMENTO!$X$15,ROW(AS119)-ROW(AS$15),0),
              ROUND(ROUND(OFFSET($P119,0,AS$13),15-13*ORÇAMENTO!$AF$7)*OFFSET(ORÇAMENTO!$W$15,ROW(AS119)-ROW(AS$15),0),15-13*ORÇAMENTO!$AF$11)),
         0)</f>
        <v>0</v>
      </c>
      <c r="AT119" s="352" t="n">
        <f aca="true">IF(AND($D119="Serviço",AT$12&lt;&gt;0,$H119&gt;0,OR(AUTOEVENTO&lt;&gt;"manual",$M119&lt;&gt;$A$15)),
        IF(Import.TipoArredondamento&lt;&gt;"TransfereGOV",
              ROUND(OFFSET($P119,0,AT$13),15-13*ORÇAMENTO!$AF$7)/$H119*OFFSET(ORÇAMENTO!$X$15,ROW(AT119)-ROW(AT$15),0),
              ROUND(ROUND(OFFSET($P119,0,AT$13),15-13*ORÇAMENTO!$AF$7)*OFFSET(ORÇAMENTO!$W$15,ROW(AT119)-ROW(AT$15),0),15-13*ORÇAMENTO!$AF$11)),
         0)</f>
        <v>0</v>
      </c>
      <c r="AU119" s="352" t="n">
        <f aca="true">IF(AND($D119="Serviço",AU$12&lt;&gt;0,$H119&gt;0,OR(AUTOEVENTO&lt;&gt;"manual",$M119&lt;&gt;$A$15)),
        IF(Import.TipoArredondamento&lt;&gt;"TransfereGOV",
              ROUND(OFFSET($P119,0,AU$13),15-13*ORÇAMENTO!$AF$7)/$H119*OFFSET(ORÇAMENTO!$X$15,ROW(AU119)-ROW(AU$15),0),
              ROUND(ROUND(OFFSET($P119,0,AU$13),15-13*ORÇAMENTO!$AF$7)*OFFSET(ORÇAMENTO!$W$15,ROW(AU119)-ROW(AU$15),0),15-13*ORÇAMENTO!$AF$11)),
         0)</f>
        <v>0</v>
      </c>
      <c r="AV119" s="352" t="n">
        <f aca="true">IF(AND($D119="Serviço",AV$12&lt;&gt;0,$H119&gt;0,OR(AUTOEVENTO&lt;&gt;"manual",$M119&lt;&gt;$A$15)),
        IF(Import.TipoArredondamento&lt;&gt;"TransfereGOV",
              ROUND(OFFSET($P119,0,AV$13),15-13*ORÇAMENTO!$AF$7)/$H119*OFFSET(ORÇAMENTO!$X$15,ROW(AV119)-ROW(AV$15),0),
              ROUND(ROUND(OFFSET($P119,0,AV$13),15-13*ORÇAMENTO!$AF$7)*OFFSET(ORÇAMENTO!$W$15,ROW(AV119)-ROW(AV$15),0),15-13*ORÇAMENTO!$AF$11)),
         0)</f>
        <v>0</v>
      </c>
      <c r="AW119" s="352" t="n">
        <f aca="true">IF(AND($D119="Serviço",AW$12&lt;&gt;0,$H119&gt;0,OR(AUTOEVENTO&lt;&gt;"manual",$M119&lt;&gt;$A$15)),
        IF(Import.TipoArredondamento&lt;&gt;"TransfereGOV",
              ROUND(OFFSET($P119,0,AW$13),15-13*ORÇAMENTO!$AF$7)/$H119*OFFSET(ORÇAMENTO!$X$15,ROW(AW119)-ROW(AW$15),0),
              ROUND(ROUND(OFFSET($P119,0,AW$13),15-13*ORÇAMENTO!$AF$7)*OFFSET(ORÇAMENTO!$W$15,ROW(AW119)-ROW(AW$15),0),15-13*ORÇAMENTO!$AF$11)),
         0)</f>
        <v>0</v>
      </c>
      <c r="AX119" s="352" t="n">
        <f aca="true">IF(AND($D119="Serviço",AX$12&lt;&gt;0,$H119&gt;0,OR(AUTOEVENTO&lt;&gt;"manual",$M119&lt;&gt;$A$15)),
        IF(Import.TipoArredondamento&lt;&gt;"TransfereGOV",
              ROUND(OFFSET($P119,0,AX$13),15-13*ORÇAMENTO!$AF$7)/$H119*OFFSET(ORÇAMENTO!$X$15,ROW(AX119)-ROW(AX$15),0),
              ROUND(ROUND(OFFSET($P119,0,AX$13),15-13*ORÇAMENTO!$AF$7)*OFFSET(ORÇAMENTO!$W$15,ROW(AX119)-ROW(AX$15),0),15-13*ORÇAMENTO!$AF$11)),
         0)</f>
        <v>0</v>
      </c>
      <c r="AY119" s="352" t="n">
        <f aca="true">IF(AND($D119="Serviço",AY$12&lt;&gt;0,$H119&gt;0,OR(AUTOEVENTO&lt;&gt;"manual",$M119&lt;&gt;$A$15)),
        IF(Import.TipoArredondamento&lt;&gt;"TransfereGOV",
              ROUND(OFFSET($P119,0,AY$13),15-13*ORÇAMENTO!$AF$7)/$H119*OFFSET(ORÇAMENTO!$X$15,ROW(AY119)-ROW(AY$15),0),
              ROUND(ROUND(OFFSET($P119,0,AY$13),15-13*ORÇAMENTO!$AF$7)*OFFSET(ORÇAMENTO!$W$15,ROW(AY119)-ROW(AY$15),0),15-13*ORÇAMENTO!$AF$11)),
         0)</f>
        <v>0</v>
      </c>
      <c r="AZ119" s="352" t="n">
        <f aca="true">IF(AND($D119="Serviço",AZ$12&lt;&gt;0,$H119&gt;0,OR(AUTOEVENTO&lt;&gt;"manual",$M119&lt;&gt;$A$15)),
        IF(Import.TipoArredondamento&lt;&gt;"TransfereGOV",
              ROUND(OFFSET($P119,0,AZ$13),15-13*ORÇAMENTO!$AF$7)/$H119*OFFSET(ORÇAMENTO!$X$15,ROW(AZ119)-ROW(AZ$15),0),
              ROUND(ROUND(OFFSET($P119,0,AZ$13),15-13*ORÇAMENTO!$AF$7)*OFFSET(ORÇAMENTO!$W$15,ROW(AZ119)-ROW(AZ$15),0),15-13*ORÇAMENTO!$AF$11)),
         0)</f>
        <v>0</v>
      </c>
      <c r="BA119" s="352" t="n">
        <f aca="true">IF(AND($D119="Serviço",BA$12&lt;&gt;0,$H119&gt;0,OR(AUTOEVENTO&lt;&gt;"manual",$M119&lt;&gt;$A$15)),
        IF(Import.TipoArredondamento&lt;&gt;"TransfereGOV",
              ROUND(OFFSET($P119,0,BA$13),15-13*ORÇAMENTO!$AF$7)/$H119*OFFSET(ORÇAMENTO!$X$15,ROW(BA119)-ROW(BA$15),0),
              ROUND(ROUND(OFFSET($P119,0,BA$13),15-13*ORÇAMENTO!$AF$7)*OFFSET(ORÇAMENTO!$W$15,ROW(BA119)-ROW(BA$15),0),15-13*ORÇAMENTO!$AF$11)),
         0)</f>
        <v>0</v>
      </c>
      <c r="BB119" s="352" t="n">
        <f aca="true">IF(AND($D119="Serviço",BB$12&lt;&gt;0,$H119&gt;0,OR(AUTOEVENTO&lt;&gt;"manual",$M119&lt;&gt;$A$15)),
        IF(Import.TipoArredondamento&lt;&gt;"TransfereGOV",
              ROUND(OFFSET($P119,0,BB$13),15-13*ORÇAMENTO!$AF$7)/$H119*OFFSET(ORÇAMENTO!$X$15,ROW(BB119)-ROW(BB$15),0),
              ROUND(ROUND(OFFSET($P119,0,BB$13),15-13*ORÇAMENTO!$AF$7)*OFFSET(ORÇAMENTO!$W$15,ROW(BB119)-ROW(BB$15),0),15-13*ORÇAMENTO!$AF$11)),
         0)</f>
        <v>0</v>
      </c>
      <c r="BC119" s="352" t="n">
        <f aca="true">IF(AND($D119="Serviço",BC$12&lt;&gt;0,$H119&gt;0,OR(AUTOEVENTO&lt;&gt;"manual",$M119&lt;&gt;$A$15)),
        IF(Import.TipoArredondamento&lt;&gt;"TransfereGOV",
              ROUND(OFFSET($P119,0,BC$13),15-13*ORÇAMENTO!$AF$7)/$H119*OFFSET(ORÇAMENTO!$X$15,ROW(BC119)-ROW(BC$15),0),
              ROUND(ROUND(OFFSET($P119,0,BC$13),15-13*ORÇAMENTO!$AF$7)*OFFSET(ORÇAMENTO!$W$15,ROW(BC119)-ROW(BC$15),0),15-13*ORÇAMENTO!$AF$11)),
         0)</f>
        <v>0</v>
      </c>
      <c r="BD119" s="352" t="n">
        <f aca="true">IF(AND($D119="Serviço",BD$12&lt;&gt;0,$H119&gt;0,OR(AUTOEVENTO&lt;&gt;"manual",$M119&lt;&gt;$A$15)),
        IF(Import.TipoArredondamento&lt;&gt;"TransfereGOV",
              ROUND(OFFSET($P119,0,BD$13),15-13*ORÇAMENTO!$AF$7)/$H119*OFFSET(ORÇAMENTO!$X$15,ROW(BD119)-ROW(BD$15),0),
              ROUND(ROUND(OFFSET($P119,0,BD$13),15-13*ORÇAMENTO!$AF$7)*OFFSET(ORÇAMENTO!$W$15,ROW(BD119)-ROW(BD$15),0),15-13*ORÇAMENTO!$AF$11)),
         0)</f>
        <v>0</v>
      </c>
      <c r="BE119" s="352" t="n">
        <f aca="true">IF(AND($D119="Serviço",BE$12&lt;&gt;0,$H119&gt;0,OR(AUTOEVENTO&lt;&gt;"manual",$M119&lt;&gt;$A$15)),
        IF(Import.TipoArredondamento&lt;&gt;"TransfereGOV",
              ROUND(OFFSET($P119,0,BE$13),15-13*ORÇAMENTO!$AF$7)/$H119*OFFSET(ORÇAMENTO!$X$15,ROW(BE119)-ROW(BE$15),0),
              ROUND(ROUND(OFFSET($P119,0,BE$13),15-13*ORÇAMENTO!$AF$7)*OFFSET(ORÇAMENTO!$W$15,ROW(BE119)-ROW(BE$15),0),15-13*ORÇAMENTO!$AF$11)),
         0)</f>
        <v>0</v>
      </c>
      <c r="BF119" s="352" t="n">
        <f aca="true">IF(AND($D119="Serviço",BF$12&lt;&gt;0,$H119&gt;0,OR(AUTOEVENTO&lt;&gt;"manual",$M119&lt;&gt;$A$15)),
        IF(Import.TipoArredondamento&lt;&gt;"TransfereGOV",
              ROUND(OFFSET($P119,0,BF$13),15-13*ORÇAMENTO!$AF$7)/$H119*OFFSET(ORÇAMENTO!$X$15,ROW(BF119)-ROW(BF$15),0),
              ROUND(ROUND(OFFSET($P119,0,BF$13),15-13*ORÇAMENTO!$AF$7)*OFFSET(ORÇAMENTO!$W$15,ROW(BF119)-ROW(BF$15),0),15-13*ORÇAMENTO!$AF$11)),
         0)</f>
        <v>0</v>
      </c>
      <c r="BG119" s="352" t="n">
        <f aca="true">IF(AND($D119="Serviço",BG$12&lt;&gt;0,$H119&gt;0,OR(AUTOEVENTO&lt;&gt;"manual",$M119&lt;&gt;$A$15)),
        IF(Import.TipoArredondamento&lt;&gt;"TransfereGOV",
              ROUND(OFFSET($P119,0,BG$13),15-13*ORÇAMENTO!$AF$7)/$H119*OFFSET(ORÇAMENTO!$X$15,ROW(BG119)-ROW(BG$15),0),
              ROUND(ROUND(OFFSET($P119,0,BG$13),15-13*ORÇAMENTO!$AF$7)*OFFSET(ORÇAMENTO!$W$15,ROW(BG119)-ROW(BG$15),0),15-13*ORÇAMENTO!$AF$11)),
         0)</f>
        <v>0</v>
      </c>
      <c r="BH119" s="352" t="n">
        <f aca="true">IF(AND($D119="Serviço",BH$12&lt;&gt;0,$H119&gt;0,OR(AUTOEVENTO&lt;&gt;"manual",$M119&lt;&gt;$A$15)),
        IF(Import.TipoArredondamento&lt;&gt;"TransfereGOV",
              ROUND(OFFSET($P119,0,BH$13),15-13*ORÇAMENTO!$AF$7)/$H119*OFFSET(ORÇAMENTO!$X$15,ROW(BH119)-ROW(BH$15),0),
              ROUND(ROUND(OFFSET($P119,0,BH$13),15-13*ORÇAMENTO!$AF$7)*OFFSET(ORÇAMENTO!$W$15,ROW(BH119)-ROW(BH$15),0),15-13*ORÇAMENTO!$AF$11)),
         0)</f>
        <v>0</v>
      </c>
      <c r="BI119" s="352" t="n">
        <f aca="true">IF(AND($D119="Serviço",BI$12&lt;&gt;0,$H119&gt;0,OR(AUTOEVENTO&lt;&gt;"manual",$M119&lt;&gt;$A$15)),
        IF(Import.TipoArredondamento&lt;&gt;"TransfereGOV",
              ROUND(OFFSET($P119,0,BI$13),15-13*ORÇAMENTO!$AF$7)/$H119*OFFSET(ORÇAMENTO!$X$15,ROW(BI119)-ROW(BI$15),0),
              ROUND(ROUND(OFFSET($P119,0,BI$13),15-13*ORÇAMENTO!$AF$7)*OFFSET(ORÇAMENTO!$W$15,ROW(BI119)-ROW(BI$15),0),15-13*ORÇAMENTO!$AF$11)),
         0)</f>
        <v>0</v>
      </c>
      <c r="BJ119" s="352" t="n">
        <f aca="true">IF(AND($D119="Serviço",BJ$12&lt;&gt;0,$H119&gt;0,OR(AUTOEVENTO&lt;&gt;"manual",$M119&lt;&gt;$A$15)),
        IF(Import.TipoArredondamento&lt;&gt;"TransfereGOV",
              ROUND(OFFSET($P119,0,BJ$13),15-13*ORÇAMENTO!$AF$7)/$H119*OFFSET(ORÇAMENTO!$X$15,ROW(BJ119)-ROW(BJ$15),0),
              ROUND(ROUND(OFFSET($P119,0,BJ$13),15-13*ORÇAMENTO!$AF$7)*OFFSET(ORÇAMENTO!$W$15,ROW(BJ119)-ROW(BJ$15),0),15-13*ORÇAMENTO!$AF$11)),
         0)</f>
        <v>0</v>
      </c>
      <c r="BK119" s="352" t="n">
        <f aca="true">IF(AND($D119="Serviço",BK$12&lt;&gt;0,$H119&gt;0,OR(AUTOEVENTO&lt;&gt;"manual",$M119&lt;&gt;$A$15)),
        IF(Import.TipoArredondamento&lt;&gt;"TransfereGOV",
              ROUND(OFFSET($P119,0,BK$13),15-13*ORÇAMENTO!$AF$7)/$H119*OFFSET(ORÇAMENTO!$X$15,ROW(BK119)-ROW(BK$15),0),
              ROUND(ROUND(OFFSET($P119,0,BK$13),15-13*ORÇAMENTO!$AF$7)*OFFSET(ORÇAMENTO!$W$15,ROW(BK119)-ROW(BK$15),0),15-13*ORÇAMENTO!$AF$11)),
         0)</f>
        <v>0</v>
      </c>
      <c r="BL119" s="352" t="n">
        <f aca="true">IF(AND($D119="Serviço",BL$12&lt;&gt;0,$H119&gt;0,OR(AUTOEVENTO&lt;&gt;"manual",$M119&lt;&gt;$A$15)),
        IF(Import.TipoArredondamento&lt;&gt;"TransfereGOV",
              ROUND(OFFSET($P119,0,BL$13),15-13*ORÇAMENTO!$AF$7)/$H119*OFFSET(ORÇAMENTO!$X$15,ROW(BL119)-ROW(BL$15),0),
              ROUND(ROUND(OFFSET($P119,0,BL$13),15-13*ORÇAMENTO!$AF$7)*OFFSET(ORÇAMENTO!$W$15,ROW(BL119)-ROW(BL$15),0),15-13*ORÇAMENTO!$AF$11)),
         0)</f>
        <v>0</v>
      </c>
      <c r="BM119" s="352" t="n">
        <f aca="true">IF(AND($D119="Serviço",BM$12&lt;&gt;0,$H119&gt;0,OR(AUTOEVENTO&lt;&gt;"manual",$M119&lt;&gt;$A$15)),
        IF(Import.TipoArredondamento&lt;&gt;"TransfereGOV",
              ROUND(OFFSET($P119,0,BM$13),15-13*ORÇAMENTO!$AF$7)/$H119*OFFSET(ORÇAMENTO!$X$15,ROW(BM119)-ROW(BM$15),0),
              ROUND(ROUND(OFFSET($P119,0,BM$13),15-13*ORÇAMENTO!$AF$7)*OFFSET(ORÇAMENTO!$W$15,ROW(BM119)-ROW(BM$15),0),15-13*ORÇAMENTO!$AF$11)),
         0)</f>
        <v>0</v>
      </c>
      <c r="BN119" s="352" t="n">
        <f aca="true">IF(AND($D119="Serviço",BN$12&lt;&gt;0,$H119&gt;0,OR(AUTOEVENTO&lt;&gt;"manual",$M119&lt;&gt;$A$15)),
        IF(Import.TipoArredondamento&lt;&gt;"TransfereGOV",
              ROUND(OFFSET($P119,0,BN$13),15-13*ORÇAMENTO!$AF$7)/$H119*OFFSET(ORÇAMENTO!$X$15,ROW(BN119)-ROW(BN$15),0),
              ROUND(ROUND(OFFSET($P119,0,BN$13),15-13*ORÇAMENTO!$AF$7)*OFFSET(ORÇAMENTO!$W$15,ROW(BN119)-ROW(BN$15),0),15-13*ORÇAMENTO!$AF$11)),
         0)</f>
        <v>0</v>
      </c>
      <c r="BO119" s="352" t="n">
        <f aca="true">IF(AND($D119="Serviço",BO$12&lt;&gt;0,$H119&gt;0,OR(AUTOEVENTO&lt;&gt;"manual",$M119&lt;&gt;$A$15)),
        IF(Import.TipoArredondamento&lt;&gt;"TransfereGOV",
              ROUND(OFFSET($P119,0,BO$13),15-13*ORÇAMENTO!$AF$7)/$H119*OFFSET(ORÇAMENTO!$X$15,ROW(BO119)-ROW(BO$15),0),
              ROUND(ROUND(OFFSET($P119,0,BO$13),15-13*ORÇAMENTO!$AF$7)*OFFSET(ORÇAMENTO!$W$15,ROW(BO119)-ROW(BO$15),0),15-13*ORÇAMENTO!$AF$11)),
         0)</f>
        <v>0</v>
      </c>
      <c r="BP119" s="352" t="n">
        <f aca="true">IF(AND($D119="Serviço",BP$12&lt;&gt;0,$H119&gt;0,OR(AUTOEVENTO&lt;&gt;"manual",$M119&lt;&gt;$A$15)),
        IF(Import.TipoArredondamento&lt;&gt;"TransfereGOV",
              ROUND(OFFSET($P119,0,BP$13),15-13*ORÇAMENTO!$AF$7)/$H119*OFFSET(ORÇAMENTO!$X$15,ROW(BP119)-ROW(BP$15),0),
              ROUND(ROUND(OFFSET($P119,0,BP$13),15-13*ORÇAMENTO!$AF$7)*OFFSET(ORÇAMENTO!$W$15,ROW(BP119)-ROW(BP$15),0),15-13*ORÇAMENTO!$AF$11)),
         0)</f>
        <v>0</v>
      </c>
      <c r="BQ119" s="352" t="n">
        <f aca="true">IF(AND($D119="Serviço",BQ$12&lt;&gt;0,$H119&gt;0,OR(AUTOEVENTO&lt;&gt;"manual",$M119&lt;&gt;$A$15)),
        IF(Import.TipoArredondamento&lt;&gt;"TransfereGOV",
              ROUND(OFFSET($P119,0,BQ$13),15-13*ORÇAMENTO!$AF$7)/$H119*OFFSET(ORÇAMENTO!$X$15,ROW(BQ119)-ROW(BQ$15),0),
              ROUND(ROUND(OFFSET($P119,0,BQ$13),15-13*ORÇAMENTO!$AF$7)*OFFSET(ORÇAMENTO!$W$15,ROW(BQ119)-ROW(BQ$15),0),15-13*ORÇAMENTO!$AF$11)),
         0)</f>
        <v>0</v>
      </c>
      <c r="BS119" s="353" t="n">
        <f aca="true">IF(OR($D119&lt;&gt;"Serviço",AND(AUTOEVENTO="Manual",$M119=$A$15)),0,
         IF(OFFSET(CRONOPLE!$F$15,$M119-$A$15,BS$13)=0,10^12,OFFSET(CRONOPLE!$F$15,$M119-$A$15,BS$13)))</f>
        <v>0</v>
      </c>
      <c r="BT119" s="353" t="n">
        <f aca="true">IF(OR($D119&lt;&gt;"Serviço",AND(AUTOEVENTO="Manual",$M119=$A$15)),0,
         IF(OFFSET(CRONOPLE!$F$15,$M119-$A$15,BT$13)=0,10^12,OFFSET(CRONOPLE!$F$15,$M119-$A$15,BT$13)))</f>
        <v>0</v>
      </c>
      <c r="BU119" s="353" t="n">
        <f aca="true">IF(OR($D119&lt;&gt;"Serviço",AND(AUTOEVENTO="Manual",$M119=$A$15)),0,
         IF(OFFSET(CRONOPLE!$F$15,$M119-$A$15,BU$13)=0,10^12,OFFSET(CRONOPLE!$F$15,$M119-$A$15,BU$13)))</f>
        <v>0</v>
      </c>
      <c r="BV119" s="353" t="n">
        <f aca="true">IF(OR($D119&lt;&gt;"Serviço",AND(AUTOEVENTO="Manual",$M119=$A$15)),0,
         IF(OFFSET(CRONOPLE!$F$15,$M119-$A$15,BV$13)=0,10^12,OFFSET(CRONOPLE!$F$15,$M119-$A$15,BV$13)))</f>
        <v>0</v>
      </c>
      <c r="BW119" s="353" t="n">
        <f aca="true">IF(OR($D119&lt;&gt;"Serviço",AND(AUTOEVENTO="Manual",$M119=$A$15)),0,
         IF(OFFSET(CRONOPLE!$F$15,$M119-$A$15,BW$13)=0,10^12,OFFSET(CRONOPLE!$F$15,$M119-$A$15,BW$13)))</f>
        <v>0</v>
      </c>
      <c r="BX119" s="353" t="n">
        <f aca="true">IF(OR($D119&lt;&gt;"Serviço",AND(AUTOEVENTO="Manual",$M119=$A$15)),0,
         IF(OFFSET(CRONOPLE!$F$15,$M119-$A$15,BX$13)=0,10^12,OFFSET(CRONOPLE!$F$15,$M119-$A$15,BX$13)))</f>
        <v>0</v>
      </c>
      <c r="BY119" s="353" t="n">
        <f aca="true">IF(OR($D119&lt;&gt;"Serviço",AND(AUTOEVENTO="Manual",$M119=$A$15)),0,
         IF(OFFSET(CRONOPLE!$F$15,$M119-$A$15,BY$13)=0,10^12,OFFSET(CRONOPLE!$F$15,$M119-$A$15,BY$13)))</f>
        <v>0</v>
      </c>
      <c r="BZ119" s="353" t="n">
        <f aca="true">IF(OR($D119&lt;&gt;"Serviço",AND(AUTOEVENTO="Manual",$M119=$A$15)),0,
         IF(OFFSET(CRONOPLE!$F$15,$M119-$A$15,BZ$13)=0,10^12,OFFSET(CRONOPLE!$F$15,$M119-$A$15,BZ$13)))</f>
        <v>0</v>
      </c>
      <c r="CA119" s="353" t="n">
        <f aca="true">IF(OR($D119&lt;&gt;"Serviço",AND(AUTOEVENTO="Manual",$M119=$A$15)),0,
         IF(OFFSET(CRONOPLE!$F$15,$M119-$A$15,CA$13)=0,10^12,OFFSET(CRONOPLE!$F$15,$M119-$A$15,CA$13)))</f>
        <v>0</v>
      </c>
      <c r="CB119" s="353" t="n">
        <f aca="true">IF(OR($D119&lt;&gt;"Serviço",AND(AUTOEVENTO="Manual",$M119=$A$15)),0,
         IF(OFFSET(CRONOPLE!$F$15,$M119-$A$15,CB$13)=0,10^12,OFFSET(CRONOPLE!$F$15,$M119-$A$15,CB$13)))</f>
        <v>0</v>
      </c>
      <c r="CC119" s="353" t="n">
        <f aca="true">IF(OR($D119&lt;&gt;"Serviço",AND(AUTOEVENTO="Manual",$M119=$A$15)),0,
         IF(OFFSET(CRONOPLE!$F$15,$M119-$A$15,CC$13)=0,10^12,OFFSET(CRONOPLE!$F$15,$M119-$A$15,CC$13)))</f>
        <v>0</v>
      </c>
      <c r="CD119" s="353" t="n">
        <f aca="true">IF(OR($D119&lt;&gt;"Serviço",AND(AUTOEVENTO="Manual",$M119=$A$15)),0,
         IF(OFFSET(CRONOPLE!$F$15,$M119-$A$15,CD$13)=0,10^12,OFFSET(CRONOPLE!$F$15,$M119-$A$15,CD$13)))</f>
        <v>0</v>
      </c>
      <c r="CE119" s="353" t="n">
        <f aca="true">IF(OR($D119&lt;&gt;"Serviço",AND(AUTOEVENTO="Manual",$M119=$A$15)),0,
         IF(OFFSET(CRONOPLE!$F$15,$M119-$A$15,CE$13)=0,10^12,OFFSET(CRONOPLE!$F$15,$M119-$A$15,CE$13)))</f>
        <v>0</v>
      </c>
      <c r="CF119" s="353" t="n">
        <f aca="true">IF(OR($D119&lt;&gt;"Serviço",AND(AUTOEVENTO="Manual",$M119=$A$15)),0,
         IF(OFFSET(CRONOPLE!$F$15,$M119-$A$15,CF$13)=0,10^12,OFFSET(CRONOPLE!$F$15,$M119-$A$15,CF$13)))</f>
        <v>0</v>
      </c>
      <c r="CG119" s="353" t="n">
        <f aca="true">IF(OR($D119&lt;&gt;"Serviço",AND(AUTOEVENTO="Manual",$M119=$A$15)),0,
         IF(OFFSET(CRONOPLE!$F$15,$M119-$A$15,CG$13)=0,10^12,OFFSET(CRONOPLE!$F$15,$M119-$A$15,CG$13)))</f>
        <v>0</v>
      </c>
      <c r="CH119" s="353" t="n">
        <f aca="true">IF(OR($D119&lt;&gt;"Serviço",AND(AUTOEVENTO="Manual",$M119=$A$15)),0,
         IF(OFFSET(CRONOPLE!$F$15,$M119-$A$15,CH$13)=0,10^12,OFFSET(CRONOPLE!$F$15,$M119-$A$15,CH$13)))</f>
        <v>0</v>
      </c>
      <c r="CI119" s="353" t="n">
        <f aca="true">IF(OR($D119&lt;&gt;"Serviço",AND(AUTOEVENTO="Manual",$M119=$A$15)),0,
         IF(OFFSET(CRONOPLE!$F$15,$M119-$A$15,CI$13)=0,10^12,OFFSET(CRONOPLE!$F$15,$M119-$A$15,CI$13)))</f>
        <v>0</v>
      </c>
      <c r="CJ119" s="353" t="n">
        <f aca="true">IF(OR($D119&lt;&gt;"Serviço",AND(AUTOEVENTO="Manual",$M119=$A$15)),0,
         IF(OFFSET(CRONOPLE!$F$15,$M119-$A$15,CJ$13)=0,10^12,OFFSET(CRONOPLE!$F$15,$M119-$A$15,CJ$13)))</f>
        <v>0</v>
      </c>
      <c r="CK119" s="353" t="n">
        <f aca="true">IF(OR($D119&lt;&gt;"Serviço",AND(AUTOEVENTO="Manual",$M119=$A$15)),0,
         IF(OFFSET(CRONOPLE!$F$15,$M119-$A$15,CK$13)=0,10^12,OFFSET(CRONOPLE!$F$15,$M119-$A$15,CK$13)))</f>
        <v>0</v>
      </c>
      <c r="CL119" s="353" t="n">
        <f aca="true">IF(OR($D119&lt;&gt;"Serviço",AND(AUTOEVENTO="Manual",$M119=$A$15)),0,
         IF(OFFSET(CRONOPLE!$F$15,$M119-$A$15,CL$13)=0,10^12,OFFSET(CRONOPLE!$F$15,$M119-$A$15,CL$13)))</f>
        <v>0</v>
      </c>
      <c r="CM119" s="353" t="n">
        <f aca="true">IF(OR($D119&lt;&gt;"Serviço",AND(AUTOEVENTO="Manual",$M119=$A$15)),0,
         IF(OFFSET(CRONOPLE!$F$15,$M119-$A$15,CM$13)=0,10^12,OFFSET(CRONOPLE!$F$15,$M119-$A$15,CM$13)))</f>
        <v>0</v>
      </c>
      <c r="CN119" s="353" t="n">
        <f aca="true">IF(OR($D119&lt;&gt;"Serviço",AND(AUTOEVENTO="Manual",$M119=$A$15)),0,
         IF(OFFSET(CRONOPLE!$F$15,$M119-$A$15,CN$13)=0,10^12,OFFSET(CRONOPLE!$F$15,$M119-$A$15,CN$13)))</f>
        <v>0</v>
      </c>
      <c r="CO119" s="353" t="n">
        <f aca="true">IF(OR($D119&lt;&gt;"Serviço",AND(AUTOEVENTO="Manual",$M119=$A$15)),0,
         IF(OFFSET(CRONOPLE!$F$15,$M119-$A$15,CO$13)=0,10^12,OFFSET(CRONOPLE!$F$15,$M119-$A$15,CO$13)))</f>
        <v>0</v>
      </c>
      <c r="CP119" s="353" t="n">
        <f aca="true">IF(OR($D119&lt;&gt;"Serviço",AND(AUTOEVENTO="Manual",$M119=$A$15)),0,
         IF(OFFSET(CRONOPLE!$F$15,$M119-$A$15,CP$13)=0,10^12,OFFSET(CRONOPLE!$F$15,$M119-$A$15,CP$13)))</f>
        <v>0</v>
      </c>
      <c r="CQ119" s="353" t="n">
        <f aca="true">IF(OR($D119&lt;&gt;"Serviço",AND(AUTOEVENTO="Manual",$M119=$A$15)),0,
         IF(OFFSET(CRONOPLE!$F$15,$M119-$A$15,CQ$13)=0,10^12,OFFSET(CRONOPLE!$F$15,$M119-$A$15,CQ$13)))</f>
        <v>0</v>
      </c>
      <c r="CR119" s="353" t="n">
        <f aca="true">IF(OR($D119&lt;&gt;"Serviço",AND(AUTOEVENTO="Manual",$M119=$A$15)),0,
         IF(OFFSET(CRONOPLE!$F$15,$M119-$A$15,CR$13)=0,10^12,OFFSET(CRONOPLE!$F$15,$M119-$A$15,CR$13)))</f>
        <v>0</v>
      </c>
      <c r="CT119" s="354" t="n">
        <f aca="true">IF(OR($D119&lt;&gt;"Serviço",AND(AUTOEVENTO="Manual",$M119=$A$15),$M119&gt;(ROW(PLE.lastrow)-ROW(PLE.firstrow))),0,
           IF(OFFSET(PLE!$G$15,$M119-$A$15,CT$13)="",10^12,OFFSET(PLE!$G$15,$M119-$A$15,CT$13)))</f>
        <v>0</v>
      </c>
      <c r="CU119" s="354" t="n">
        <f aca="true">IF(OR($D119&lt;&gt;"Serviço",AND(AUTOEVENTO="Manual",$M119=$A$15),$M119&gt;(ROW(PLE.lastrow)-ROW(PLE.firstrow))),0,
           IF(OFFSET(PLE!$G$15,$M119-$A$15,CU$13)="",10^12,OFFSET(PLE!$G$15,$M119-$A$15,CU$13)))</f>
        <v>0</v>
      </c>
      <c r="CV119" s="354" t="n">
        <f aca="true">IF(OR($D119&lt;&gt;"Serviço",AND(AUTOEVENTO="Manual",$M119=$A$15),$M119&gt;(ROW(PLE.lastrow)-ROW(PLE.firstrow))),0,
           IF(OFFSET(PLE!$G$15,$M119-$A$15,CV$13)="",10^12,OFFSET(PLE!$G$15,$M119-$A$15,CV$13)))</f>
        <v>0</v>
      </c>
      <c r="CW119" s="354" t="n">
        <f aca="true">IF(OR($D119&lt;&gt;"Serviço",AND(AUTOEVENTO="Manual",$M119=$A$15),$M119&gt;(ROW(PLE.lastrow)-ROW(PLE.firstrow))),0,
           IF(OFFSET(PLE!$G$15,$M119-$A$15,CW$13)="",10^12,OFFSET(PLE!$G$15,$M119-$A$15,CW$13)))</f>
        <v>0</v>
      </c>
      <c r="CX119" s="354" t="n">
        <f aca="true">IF(OR($D119&lt;&gt;"Serviço",AND(AUTOEVENTO="Manual",$M119=$A$15),$M119&gt;(ROW(PLE.lastrow)-ROW(PLE.firstrow))),0,
           IF(OFFSET(PLE!$G$15,$M119-$A$15,CX$13)="",10^12,OFFSET(PLE!$G$15,$M119-$A$15,CX$13)))</f>
        <v>0</v>
      </c>
      <c r="CY119" s="354" t="n">
        <f aca="true">IF(OR($D119&lt;&gt;"Serviço",AND(AUTOEVENTO="Manual",$M119=$A$15),$M119&gt;(ROW(PLE.lastrow)-ROW(PLE.firstrow))),0,
           IF(OFFSET(PLE!$G$15,$M119-$A$15,CY$13)="",10^12,OFFSET(PLE!$G$15,$M119-$A$15,CY$13)))</f>
        <v>0</v>
      </c>
      <c r="CZ119" s="354" t="n">
        <f aca="true">IF(OR($D119&lt;&gt;"Serviço",AND(AUTOEVENTO="Manual",$M119=$A$15),$M119&gt;(ROW(PLE.lastrow)-ROW(PLE.firstrow))),0,
           IF(OFFSET(PLE!$G$15,$M119-$A$15,CZ$13)="",10^12,OFFSET(PLE!$G$15,$M119-$A$15,CZ$13)))</f>
        <v>0</v>
      </c>
      <c r="DA119" s="354" t="n">
        <f aca="true">IF(OR($D119&lt;&gt;"Serviço",AND(AUTOEVENTO="Manual",$M119=$A$15),$M119&gt;(ROW(PLE.lastrow)-ROW(PLE.firstrow))),0,
           IF(OFFSET(PLE!$G$15,$M119-$A$15,DA$13)="",10^12,OFFSET(PLE!$G$15,$M119-$A$15,DA$13)))</f>
        <v>0</v>
      </c>
      <c r="DB119" s="354" t="n">
        <f aca="true">IF(OR($D119&lt;&gt;"Serviço",AND(AUTOEVENTO="Manual",$M119=$A$15),$M119&gt;(ROW(PLE.lastrow)-ROW(PLE.firstrow))),0,
           IF(OFFSET(PLE!$G$15,$M119-$A$15,DB$13)="",10^12,OFFSET(PLE!$G$15,$M119-$A$15,DB$13)))</f>
        <v>0</v>
      </c>
      <c r="DC119" s="354" t="n">
        <f aca="true">IF(OR($D119&lt;&gt;"Serviço",AND(AUTOEVENTO="Manual",$M119=$A$15),$M119&gt;(ROW(PLE.lastrow)-ROW(PLE.firstrow))),0,
           IF(OFFSET(PLE!$G$15,$M119-$A$15,DC$13)="",10^12,OFFSET(PLE!$G$15,$M119-$A$15,DC$13)))</f>
        <v>0</v>
      </c>
      <c r="DD119" s="354" t="n">
        <f aca="true">IF(OR($D119&lt;&gt;"Serviço",AND(AUTOEVENTO="Manual",$M119=$A$15),$M119&gt;(ROW(PLE.lastrow)-ROW(PLE.firstrow))),0,
           IF(OFFSET(PLE!$G$15,$M119-$A$15,DD$13)="",10^12,OFFSET(PLE!$G$15,$M119-$A$15,DD$13)))</f>
        <v>0</v>
      </c>
      <c r="DE119" s="354" t="n">
        <f aca="true">IF(OR($D119&lt;&gt;"Serviço",AND(AUTOEVENTO="Manual",$M119=$A$15),$M119&gt;(ROW(PLE.lastrow)-ROW(PLE.firstrow))),0,
           IF(OFFSET(PLE!$G$15,$M119-$A$15,DE$13)="",10^12,OFFSET(PLE!$G$15,$M119-$A$15,DE$13)))</f>
        <v>0</v>
      </c>
      <c r="DF119" s="354" t="n">
        <f aca="true">IF(OR($D119&lt;&gt;"Serviço",AND(AUTOEVENTO="Manual",$M119=$A$15),$M119&gt;(ROW(PLE.lastrow)-ROW(PLE.firstrow))),0,
           IF(OFFSET(PLE!$G$15,$M119-$A$15,DF$13)="",10^12,OFFSET(PLE!$G$15,$M119-$A$15,DF$13)))</f>
        <v>0</v>
      </c>
      <c r="DG119" s="354" t="n">
        <f aca="true">IF(OR($D119&lt;&gt;"Serviço",AND(AUTOEVENTO="Manual",$M119=$A$15),$M119&gt;(ROW(PLE.lastrow)-ROW(PLE.firstrow))),0,
           IF(OFFSET(PLE!$G$15,$M119-$A$15,DG$13)="",10^12,OFFSET(PLE!$G$15,$M119-$A$15,DG$13)))</f>
        <v>0</v>
      </c>
      <c r="DH119" s="354" t="n">
        <f aca="true">IF(OR($D119&lt;&gt;"Serviço",AND(AUTOEVENTO="Manual",$M119=$A$15),$M119&gt;(ROW(PLE.lastrow)-ROW(PLE.firstrow))),0,
           IF(OFFSET(PLE!$G$15,$M119-$A$15,DH$13)="",10^12,OFFSET(PLE!$G$15,$M119-$A$15,DH$13)))</f>
        <v>0</v>
      </c>
      <c r="DI119" s="354" t="n">
        <f aca="true">IF(OR($D119&lt;&gt;"Serviço",AND(AUTOEVENTO="Manual",$M119=$A$15),$M119&gt;(ROW(PLE.lastrow)-ROW(PLE.firstrow))),0,
           IF(OFFSET(PLE!$G$15,$M119-$A$15,DI$13)="",10^12,OFFSET(PLE!$G$15,$M119-$A$15,DI$13)))</f>
        <v>0</v>
      </c>
      <c r="DJ119" s="354" t="n">
        <f aca="true">IF(OR($D119&lt;&gt;"Serviço",AND(AUTOEVENTO="Manual",$M119=$A$15),$M119&gt;(ROW(PLE.lastrow)-ROW(PLE.firstrow))),0,
           IF(OFFSET(PLE!$G$15,$M119-$A$15,DJ$13)="",10^12,OFFSET(PLE!$G$15,$M119-$A$15,DJ$13)))</f>
        <v>0</v>
      </c>
      <c r="DK119" s="354" t="n">
        <f aca="true">IF(OR($D119&lt;&gt;"Serviço",AND(AUTOEVENTO="Manual",$M119=$A$15),$M119&gt;(ROW(PLE.lastrow)-ROW(PLE.firstrow))),0,
           IF(OFFSET(PLE!$G$15,$M119-$A$15,DK$13)="",10^12,OFFSET(PLE!$G$15,$M119-$A$15,DK$13)))</f>
        <v>0</v>
      </c>
      <c r="DL119" s="354" t="n">
        <f aca="true">IF(OR($D119&lt;&gt;"Serviço",AND(AUTOEVENTO="Manual",$M119=$A$15),$M119&gt;(ROW(PLE.lastrow)-ROW(PLE.firstrow))),0,
           IF(OFFSET(PLE!$G$15,$M119-$A$15,DL$13)="",10^12,OFFSET(PLE!$G$15,$M119-$A$15,DL$13)))</f>
        <v>0</v>
      </c>
      <c r="DM119" s="354" t="n">
        <f aca="true">IF(OR($D119&lt;&gt;"Serviço",AND(AUTOEVENTO="Manual",$M119=$A$15),$M119&gt;(ROW(PLE.lastrow)-ROW(PLE.firstrow))),0,
           IF(OFFSET(PLE!$G$15,$M119-$A$15,DM$13)="",10^12,OFFSET(PLE!$G$15,$M119-$A$15,DM$13)))</f>
        <v>0</v>
      </c>
      <c r="DN119" s="354" t="n">
        <f aca="true">IF(OR($D119&lt;&gt;"Serviço",AND(AUTOEVENTO="Manual",$M119=$A$15),$M119&gt;(ROW(PLE.lastrow)-ROW(PLE.firstrow))),0,
           IF(OFFSET(PLE!$G$15,$M119-$A$15,DN$13)="",10^12,OFFSET(PLE!$G$15,$M119-$A$15,DN$13)))</f>
        <v>0</v>
      </c>
      <c r="DO119" s="354" t="n">
        <f aca="true">IF(OR($D119&lt;&gt;"Serviço",AND(AUTOEVENTO="Manual",$M119=$A$15),$M119&gt;(ROW(PLE.lastrow)-ROW(PLE.firstrow))),0,
           IF(OFFSET(PLE!$G$15,$M119-$A$15,DO$13)="",10^12,OFFSET(PLE!$G$15,$M119-$A$15,DO$13)))</f>
        <v>0</v>
      </c>
      <c r="DP119" s="354" t="n">
        <f aca="true">IF(OR($D119&lt;&gt;"Serviço",AND(AUTOEVENTO="Manual",$M119=$A$15),$M119&gt;(ROW(PLE.lastrow)-ROW(PLE.firstrow))),0,
           IF(OFFSET(PLE!$G$15,$M119-$A$15,DP$13)="",10^12,OFFSET(PLE!$G$15,$M119-$A$15,DP$13)))</f>
        <v>0</v>
      </c>
      <c r="DQ119" s="354" t="n">
        <f aca="true">IF(OR($D119&lt;&gt;"Serviço",AND(AUTOEVENTO="Manual",$M119=$A$15),$M119&gt;(ROW(PLE.lastrow)-ROW(PLE.firstrow))),0,
           IF(OFFSET(PLE!$G$15,$M119-$A$15,DQ$13)="",10^12,OFFSET(PLE!$G$15,$M119-$A$15,DQ$13)))</f>
        <v>0</v>
      </c>
      <c r="DR119" s="354" t="n">
        <f aca="true">IF(OR($D119&lt;&gt;"Serviço",AND(AUTOEVENTO="Manual",$M119=$A$15),$M119&gt;(ROW(PLE.lastrow)-ROW(PLE.firstrow))),0,
           IF(OFFSET(PLE!$G$15,$M119-$A$15,DR$13)="",10^12,OFFSET(PLE!$G$15,$M119-$A$15,DR$13)))</f>
        <v>0</v>
      </c>
      <c r="DS119" s="354" t="n">
        <f aca="true">IF(OR($D119&lt;&gt;"Serviço",AND(AUTOEVENTO="Manual",$M119=$A$15),$M119&gt;(ROW(PLE.lastrow)-ROW(PLE.firstrow))),0,
           IF(OFFSET(PLE!$G$15,$M119-$A$15,DS$13)="",10^12,OFFSET(PLE!$G$15,$M119-$A$15,DS$13)))</f>
        <v>0</v>
      </c>
    </row>
    <row r="120" customFormat="false" ht="12.75" hidden="false" customHeight="false" outlineLevel="0" collapsed="false">
      <c r="A120" s="50" t="str">
        <f aca="true">IFERROR(IF(AUTOEVENTO="Manual",IF(K120&lt;&gt;"",MIN(VALUE(LEFT(K120,FIND(".",K120)-1)),COUNTA(EVENTOS.Lista)),0),IF(OR($B120&gt;AUTOEVENTO,$B120="S",$B120=0),SUBSTITUTE(OFFSET($A120,-1,0),IF($D120="Serviço",".",""),""),ROW(A120)-ROW($A$15)&amp;".")),0)</f>
        <v>105.</v>
      </c>
      <c r="B120" s="50" t="n">
        <f aca="true">OFFSET(ORÇAMENTO!C$15,ROW(B120)-ROW(B$15),0)</f>
        <v>2</v>
      </c>
      <c r="C120" s="50" t="str">
        <f aca="true">OFFSET(ORÇAMENTO!L$15,ROW(C120)-ROW(C$15),0)</f>
        <v>F</v>
      </c>
      <c r="D120" s="201" t="str">
        <f aca="true">OFFSET(ORÇAMENTO!N$15,ROW(D120)-ROW(D$15),0)</f>
        <v>Nível 2</v>
      </c>
      <c r="E120" s="202" t="str">
        <f aca="true">OFFSET(ORÇAMENTO!O$15,ROW(E120)-ROW(E$15),0)</f>
        <v>1.36.</v>
      </c>
      <c r="F120" s="341" t="str">
        <f aca="true">OFFSET(ORÇAMENTO!R$15,ROW(F120)-ROW(F$15),0)</f>
        <v>CENTRO DE DISTRIBUIÇÃO</v>
      </c>
      <c r="G120" s="342" t="str">
        <f aca="true">IF($D120&lt;&gt;"Serviço","",OFFSET(ORÇAMENTO!S$15,ROW(G120)-ROW(G$15),0))</f>
        <v/>
      </c>
      <c r="H120" s="207" t="n">
        <f aca="true">IF($D120&lt;&gt;"Serviço",0,IF(ACOMPANHAMENTO="BM",ROUND(OFFSET(ORÇAMENTO!AJ$15,ROW(H120)-ROW(H$15),0),15-13*ORÇAMENTO!$AF$7),SUMPRODUCT(($Q$1:$AQ$1=1)*ROUND($Q120:$AQ120,15-13*ORÇAMENTO!$AF$7))))</f>
        <v>0</v>
      </c>
      <c r="I120" s="343"/>
      <c r="J120" s="344" t="str">
        <f aca="false">IF(OR(B120&lt;&gt;"S",CÁLCULO.FrentesPreenchidas=0),"",IF(AND(ACOMPANHAMENTO="PLE",AUTOEVENTO="Manual",OR(H120&gt;0,ORÇAMENTO!AC120="QUANT."),OR(K120="",M120=0,N120="")),"►",IF(AND(ACOMPANHAMENTO="PLE",ORÇAMENTO!AC120="QUANT."),"►►",IF(AND(COUNTIF($P$11:$AQ$11,"▼")=0,H120&gt;0,I120=""),"◄",""))))</f>
        <v/>
      </c>
      <c r="K120" s="345"/>
      <c r="L120" s="346" t="s">
        <v>876</v>
      </c>
      <c r="M120" s="347" t="str">
        <f aca="true">IF($D120&lt;&gt;"Serviço","",
          IF(AUTOEVENTO="manual",$A120,
                IF(ISERROR(MATCH($A120,$A$15:OFFSET($A120,-1,0),0)),MAX($M$15:OFFSET(M120,-1,0))+1,
                      INDEX($M$15:OFFSET(M120,-1,0),MATCH($A120,$A$15:OFFSET($A120,-1,0),0)))))</f>
        <v/>
      </c>
      <c r="N120" s="348" t="str">
        <f aca="true">IF($D120&lt;&gt;"Serviço","",
         IF(AUTOEVENTO="Manual",
                IF($A120=0,"&lt;-- defina o número do agrupador",
                       OFFSET(EVENTOS!$D$15,$A120-$A$15,0)),
                OFFSET($F$15,$A120,0)))</f>
        <v/>
      </c>
      <c r="O120" s="349"/>
      <c r="Q120" s="349"/>
      <c r="R120" s="350"/>
      <c r="S120" s="350"/>
      <c r="T120" s="350"/>
      <c r="U120" s="350"/>
      <c r="V120" s="350"/>
      <c r="W120" s="350"/>
      <c r="X120" s="350"/>
      <c r="Y120" s="350"/>
      <c r="Z120" s="351"/>
      <c r="AA120" s="350"/>
      <c r="AB120" s="350"/>
      <c r="AC120" s="350"/>
      <c r="AD120" s="350"/>
      <c r="AE120" s="350"/>
      <c r="AF120" s="350"/>
      <c r="AG120" s="350"/>
      <c r="AH120" s="351"/>
      <c r="AI120" s="350"/>
      <c r="AJ120" s="350"/>
      <c r="AK120" s="350"/>
      <c r="AL120" s="350"/>
      <c r="AM120" s="350"/>
      <c r="AN120" s="350"/>
      <c r="AO120" s="350"/>
      <c r="AP120" s="351"/>
      <c r="AR120" s="352" t="n">
        <f aca="true">IF(AND($D120="Serviço",AR$12&lt;&gt;0,$H120&gt;0,OR(AUTOEVENTO&lt;&gt;"manual",$M120&lt;&gt;$A$15)),
        IF(Import.TipoArredondamento&lt;&gt;"TransfereGOV",
              ROUND(OFFSET($P120,0,AR$13),15-13*ORÇAMENTO!$AF$7)/$H120*OFFSET(ORÇAMENTO!$X$15,ROW(AR120)-ROW(AR$15),0),
              ROUND(ROUND(OFFSET($P120,0,AR$13),15-13*ORÇAMENTO!$AF$7)*OFFSET(ORÇAMENTO!$W$15,ROW(AR120)-ROW(AR$15),0),15-13*ORÇAMENTO!$AF$11)),
         0)</f>
        <v>0</v>
      </c>
      <c r="AS120" s="352" t="n">
        <f aca="true">IF(AND($D120="Serviço",AS$12&lt;&gt;0,$H120&gt;0,OR(AUTOEVENTO&lt;&gt;"manual",$M120&lt;&gt;$A$15)),
        IF(Import.TipoArredondamento&lt;&gt;"TransfereGOV",
              ROUND(OFFSET($P120,0,AS$13),15-13*ORÇAMENTO!$AF$7)/$H120*OFFSET(ORÇAMENTO!$X$15,ROW(AS120)-ROW(AS$15),0),
              ROUND(ROUND(OFFSET($P120,0,AS$13),15-13*ORÇAMENTO!$AF$7)*OFFSET(ORÇAMENTO!$W$15,ROW(AS120)-ROW(AS$15),0),15-13*ORÇAMENTO!$AF$11)),
         0)</f>
        <v>0</v>
      </c>
      <c r="AT120" s="352" t="n">
        <f aca="true">IF(AND($D120="Serviço",AT$12&lt;&gt;0,$H120&gt;0,OR(AUTOEVENTO&lt;&gt;"manual",$M120&lt;&gt;$A$15)),
        IF(Import.TipoArredondamento&lt;&gt;"TransfereGOV",
              ROUND(OFFSET($P120,0,AT$13),15-13*ORÇAMENTO!$AF$7)/$H120*OFFSET(ORÇAMENTO!$X$15,ROW(AT120)-ROW(AT$15),0),
              ROUND(ROUND(OFFSET($P120,0,AT$13),15-13*ORÇAMENTO!$AF$7)*OFFSET(ORÇAMENTO!$W$15,ROW(AT120)-ROW(AT$15),0),15-13*ORÇAMENTO!$AF$11)),
         0)</f>
        <v>0</v>
      </c>
      <c r="AU120" s="352" t="n">
        <f aca="true">IF(AND($D120="Serviço",AU$12&lt;&gt;0,$H120&gt;0,OR(AUTOEVENTO&lt;&gt;"manual",$M120&lt;&gt;$A$15)),
        IF(Import.TipoArredondamento&lt;&gt;"TransfereGOV",
              ROUND(OFFSET($P120,0,AU$13),15-13*ORÇAMENTO!$AF$7)/$H120*OFFSET(ORÇAMENTO!$X$15,ROW(AU120)-ROW(AU$15),0),
              ROUND(ROUND(OFFSET($P120,0,AU$13),15-13*ORÇAMENTO!$AF$7)*OFFSET(ORÇAMENTO!$W$15,ROW(AU120)-ROW(AU$15),0),15-13*ORÇAMENTO!$AF$11)),
         0)</f>
        <v>0</v>
      </c>
      <c r="AV120" s="352" t="n">
        <f aca="true">IF(AND($D120="Serviço",AV$12&lt;&gt;0,$H120&gt;0,OR(AUTOEVENTO&lt;&gt;"manual",$M120&lt;&gt;$A$15)),
        IF(Import.TipoArredondamento&lt;&gt;"TransfereGOV",
              ROUND(OFFSET($P120,0,AV$13),15-13*ORÇAMENTO!$AF$7)/$H120*OFFSET(ORÇAMENTO!$X$15,ROW(AV120)-ROW(AV$15),0),
              ROUND(ROUND(OFFSET($P120,0,AV$13),15-13*ORÇAMENTO!$AF$7)*OFFSET(ORÇAMENTO!$W$15,ROW(AV120)-ROW(AV$15),0),15-13*ORÇAMENTO!$AF$11)),
         0)</f>
        <v>0</v>
      </c>
      <c r="AW120" s="352" t="n">
        <f aca="true">IF(AND($D120="Serviço",AW$12&lt;&gt;0,$H120&gt;0,OR(AUTOEVENTO&lt;&gt;"manual",$M120&lt;&gt;$A$15)),
        IF(Import.TipoArredondamento&lt;&gt;"TransfereGOV",
              ROUND(OFFSET($P120,0,AW$13),15-13*ORÇAMENTO!$AF$7)/$H120*OFFSET(ORÇAMENTO!$X$15,ROW(AW120)-ROW(AW$15),0),
              ROUND(ROUND(OFFSET($P120,0,AW$13),15-13*ORÇAMENTO!$AF$7)*OFFSET(ORÇAMENTO!$W$15,ROW(AW120)-ROW(AW$15),0),15-13*ORÇAMENTO!$AF$11)),
         0)</f>
        <v>0</v>
      </c>
      <c r="AX120" s="352" t="n">
        <f aca="true">IF(AND($D120="Serviço",AX$12&lt;&gt;0,$H120&gt;0,OR(AUTOEVENTO&lt;&gt;"manual",$M120&lt;&gt;$A$15)),
        IF(Import.TipoArredondamento&lt;&gt;"TransfereGOV",
              ROUND(OFFSET($P120,0,AX$13),15-13*ORÇAMENTO!$AF$7)/$H120*OFFSET(ORÇAMENTO!$X$15,ROW(AX120)-ROW(AX$15),0),
              ROUND(ROUND(OFFSET($P120,0,AX$13),15-13*ORÇAMENTO!$AF$7)*OFFSET(ORÇAMENTO!$W$15,ROW(AX120)-ROW(AX$15),0),15-13*ORÇAMENTO!$AF$11)),
         0)</f>
        <v>0</v>
      </c>
      <c r="AY120" s="352" t="n">
        <f aca="true">IF(AND($D120="Serviço",AY$12&lt;&gt;0,$H120&gt;0,OR(AUTOEVENTO&lt;&gt;"manual",$M120&lt;&gt;$A$15)),
        IF(Import.TipoArredondamento&lt;&gt;"TransfereGOV",
              ROUND(OFFSET($P120,0,AY$13),15-13*ORÇAMENTO!$AF$7)/$H120*OFFSET(ORÇAMENTO!$X$15,ROW(AY120)-ROW(AY$15),0),
              ROUND(ROUND(OFFSET($P120,0,AY$13),15-13*ORÇAMENTO!$AF$7)*OFFSET(ORÇAMENTO!$W$15,ROW(AY120)-ROW(AY$15),0),15-13*ORÇAMENTO!$AF$11)),
         0)</f>
        <v>0</v>
      </c>
      <c r="AZ120" s="352" t="n">
        <f aca="true">IF(AND($D120="Serviço",AZ$12&lt;&gt;0,$H120&gt;0,OR(AUTOEVENTO&lt;&gt;"manual",$M120&lt;&gt;$A$15)),
        IF(Import.TipoArredondamento&lt;&gt;"TransfereGOV",
              ROUND(OFFSET($P120,0,AZ$13),15-13*ORÇAMENTO!$AF$7)/$H120*OFFSET(ORÇAMENTO!$X$15,ROW(AZ120)-ROW(AZ$15),0),
              ROUND(ROUND(OFFSET($P120,0,AZ$13),15-13*ORÇAMENTO!$AF$7)*OFFSET(ORÇAMENTO!$W$15,ROW(AZ120)-ROW(AZ$15),0),15-13*ORÇAMENTO!$AF$11)),
         0)</f>
        <v>0</v>
      </c>
      <c r="BA120" s="352" t="n">
        <f aca="true">IF(AND($D120="Serviço",BA$12&lt;&gt;0,$H120&gt;0,OR(AUTOEVENTO&lt;&gt;"manual",$M120&lt;&gt;$A$15)),
        IF(Import.TipoArredondamento&lt;&gt;"TransfereGOV",
              ROUND(OFFSET($P120,0,BA$13),15-13*ORÇAMENTO!$AF$7)/$H120*OFFSET(ORÇAMENTO!$X$15,ROW(BA120)-ROW(BA$15),0),
              ROUND(ROUND(OFFSET($P120,0,BA$13),15-13*ORÇAMENTO!$AF$7)*OFFSET(ORÇAMENTO!$W$15,ROW(BA120)-ROW(BA$15),0),15-13*ORÇAMENTO!$AF$11)),
         0)</f>
        <v>0</v>
      </c>
      <c r="BB120" s="352" t="n">
        <f aca="true">IF(AND($D120="Serviço",BB$12&lt;&gt;0,$H120&gt;0,OR(AUTOEVENTO&lt;&gt;"manual",$M120&lt;&gt;$A$15)),
        IF(Import.TipoArredondamento&lt;&gt;"TransfereGOV",
              ROUND(OFFSET($P120,0,BB$13),15-13*ORÇAMENTO!$AF$7)/$H120*OFFSET(ORÇAMENTO!$X$15,ROW(BB120)-ROW(BB$15),0),
              ROUND(ROUND(OFFSET($P120,0,BB$13),15-13*ORÇAMENTO!$AF$7)*OFFSET(ORÇAMENTO!$W$15,ROW(BB120)-ROW(BB$15),0),15-13*ORÇAMENTO!$AF$11)),
         0)</f>
        <v>0</v>
      </c>
      <c r="BC120" s="352" t="n">
        <f aca="true">IF(AND($D120="Serviço",BC$12&lt;&gt;0,$H120&gt;0,OR(AUTOEVENTO&lt;&gt;"manual",$M120&lt;&gt;$A$15)),
        IF(Import.TipoArredondamento&lt;&gt;"TransfereGOV",
              ROUND(OFFSET($P120,0,BC$13),15-13*ORÇAMENTO!$AF$7)/$H120*OFFSET(ORÇAMENTO!$X$15,ROW(BC120)-ROW(BC$15),0),
              ROUND(ROUND(OFFSET($P120,0,BC$13),15-13*ORÇAMENTO!$AF$7)*OFFSET(ORÇAMENTO!$W$15,ROW(BC120)-ROW(BC$15),0),15-13*ORÇAMENTO!$AF$11)),
         0)</f>
        <v>0</v>
      </c>
      <c r="BD120" s="352" t="n">
        <f aca="true">IF(AND($D120="Serviço",BD$12&lt;&gt;0,$H120&gt;0,OR(AUTOEVENTO&lt;&gt;"manual",$M120&lt;&gt;$A$15)),
        IF(Import.TipoArredondamento&lt;&gt;"TransfereGOV",
              ROUND(OFFSET($P120,0,BD$13),15-13*ORÇAMENTO!$AF$7)/$H120*OFFSET(ORÇAMENTO!$X$15,ROW(BD120)-ROW(BD$15),0),
              ROUND(ROUND(OFFSET($P120,0,BD$13),15-13*ORÇAMENTO!$AF$7)*OFFSET(ORÇAMENTO!$W$15,ROW(BD120)-ROW(BD$15),0),15-13*ORÇAMENTO!$AF$11)),
         0)</f>
        <v>0</v>
      </c>
      <c r="BE120" s="352" t="n">
        <f aca="true">IF(AND($D120="Serviço",BE$12&lt;&gt;0,$H120&gt;0,OR(AUTOEVENTO&lt;&gt;"manual",$M120&lt;&gt;$A$15)),
        IF(Import.TipoArredondamento&lt;&gt;"TransfereGOV",
              ROUND(OFFSET($P120,0,BE$13),15-13*ORÇAMENTO!$AF$7)/$H120*OFFSET(ORÇAMENTO!$X$15,ROW(BE120)-ROW(BE$15),0),
              ROUND(ROUND(OFFSET($P120,0,BE$13),15-13*ORÇAMENTO!$AF$7)*OFFSET(ORÇAMENTO!$W$15,ROW(BE120)-ROW(BE$15),0),15-13*ORÇAMENTO!$AF$11)),
         0)</f>
        <v>0</v>
      </c>
      <c r="BF120" s="352" t="n">
        <f aca="true">IF(AND($D120="Serviço",BF$12&lt;&gt;0,$H120&gt;0,OR(AUTOEVENTO&lt;&gt;"manual",$M120&lt;&gt;$A$15)),
        IF(Import.TipoArredondamento&lt;&gt;"TransfereGOV",
              ROUND(OFFSET($P120,0,BF$13),15-13*ORÇAMENTO!$AF$7)/$H120*OFFSET(ORÇAMENTO!$X$15,ROW(BF120)-ROW(BF$15),0),
              ROUND(ROUND(OFFSET($P120,0,BF$13),15-13*ORÇAMENTO!$AF$7)*OFFSET(ORÇAMENTO!$W$15,ROW(BF120)-ROW(BF$15),0),15-13*ORÇAMENTO!$AF$11)),
         0)</f>
        <v>0</v>
      </c>
      <c r="BG120" s="352" t="n">
        <f aca="true">IF(AND($D120="Serviço",BG$12&lt;&gt;0,$H120&gt;0,OR(AUTOEVENTO&lt;&gt;"manual",$M120&lt;&gt;$A$15)),
        IF(Import.TipoArredondamento&lt;&gt;"TransfereGOV",
              ROUND(OFFSET($P120,0,BG$13),15-13*ORÇAMENTO!$AF$7)/$H120*OFFSET(ORÇAMENTO!$X$15,ROW(BG120)-ROW(BG$15),0),
              ROUND(ROUND(OFFSET($P120,0,BG$13),15-13*ORÇAMENTO!$AF$7)*OFFSET(ORÇAMENTO!$W$15,ROW(BG120)-ROW(BG$15),0),15-13*ORÇAMENTO!$AF$11)),
         0)</f>
        <v>0</v>
      </c>
      <c r="BH120" s="352" t="n">
        <f aca="true">IF(AND($D120="Serviço",BH$12&lt;&gt;0,$H120&gt;0,OR(AUTOEVENTO&lt;&gt;"manual",$M120&lt;&gt;$A$15)),
        IF(Import.TipoArredondamento&lt;&gt;"TransfereGOV",
              ROUND(OFFSET($P120,0,BH$13),15-13*ORÇAMENTO!$AF$7)/$H120*OFFSET(ORÇAMENTO!$X$15,ROW(BH120)-ROW(BH$15),0),
              ROUND(ROUND(OFFSET($P120,0,BH$13),15-13*ORÇAMENTO!$AF$7)*OFFSET(ORÇAMENTO!$W$15,ROW(BH120)-ROW(BH$15),0),15-13*ORÇAMENTO!$AF$11)),
         0)</f>
        <v>0</v>
      </c>
      <c r="BI120" s="352" t="n">
        <f aca="true">IF(AND($D120="Serviço",BI$12&lt;&gt;0,$H120&gt;0,OR(AUTOEVENTO&lt;&gt;"manual",$M120&lt;&gt;$A$15)),
        IF(Import.TipoArredondamento&lt;&gt;"TransfereGOV",
              ROUND(OFFSET($P120,0,BI$13),15-13*ORÇAMENTO!$AF$7)/$H120*OFFSET(ORÇAMENTO!$X$15,ROW(BI120)-ROW(BI$15),0),
              ROUND(ROUND(OFFSET($P120,0,BI$13),15-13*ORÇAMENTO!$AF$7)*OFFSET(ORÇAMENTO!$W$15,ROW(BI120)-ROW(BI$15),0),15-13*ORÇAMENTO!$AF$11)),
         0)</f>
        <v>0</v>
      </c>
      <c r="BJ120" s="352" t="n">
        <f aca="true">IF(AND($D120="Serviço",BJ$12&lt;&gt;0,$H120&gt;0,OR(AUTOEVENTO&lt;&gt;"manual",$M120&lt;&gt;$A$15)),
        IF(Import.TipoArredondamento&lt;&gt;"TransfereGOV",
              ROUND(OFFSET($P120,0,BJ$13),15-13*ORÇAMENTO!$AF$7)/$H120*OFFSET(ORÇAMENTO!$X$15,ROW(BJ120)-ROW(BJ$15),0),
              ROUND(ROUND(OFFSET($P120,0,BJ$13),15-13*ORÇAMENTO!$AF$7)*OFFSET(ORÇAMENTO!$W$15,ROW(BJ120)-ROW(BJ$15),0),15-13*ORÇAMENTO!$AF$11)),
         0)</f>
        <v>0</v>
      </c>
      <c r="BK120" s="352" t="n">
        <f aca="true">IF(AND($D120="Serviço",BK$12&lt;&gt;0,$H120&gt;0,OR(AUTOEVENTO&lt;&gt;"manual",$M120&lt;&gt;$A$15)),
        IF(Import.TipoArredondamento&lt;&gt;"TransfereGOV",
              ROUND(OFFSET($P120,0,BK$13),15-13*ORÇAMENTO!$AF$7)/$H120*OFFSET(ORÇAMENTO!$X$15,ROW(BK120)-ROW(BK$15),0),
              ROUND(ROUND(OFFSET($P120,0,BK$13),15-13*ORÇAMENTO!$AF$7)*OFFSET(ORÇAMENTO!$W$15,ROW(BK120)-ROW(BK$15),0),15-13*ORÇAMENTO!$AF$11)),
         0)</f>
        <v>0</v>
      </c>
      <c r="BL120" s="352" t="n">
        <f aca="true">IF(AND($D120="Serviço",BL$12&lt;&gt;0,$H120&gt;0,OR(AUTOEVENTO&lt;&gt;"manual",$M120&lt;&gt;$A$15)),
        IF(Import.TipoArredondamento&lt;&gt;"TransfereGOV",
              ROUND(OFFSET($P120,0,BL$13),15-13*ORÇAMENTO!$AF$7)/$H120*OFFSET(ORÇAMENTO!$X$15,ROW(BL120)-ROW(BL$15),0),
              ROUND(ROUND(OFFSET($P120,0,BL$13),15-13*ORÇAMENTO!$AF$7)*OFFSET(ORÇAMENTO!$W$15,ROW(BL120)-ROW(BL$15),0),15-13*ORÇAMENTO!$AF$11)),
         0)</f>
        <v>0</v>
      </c>
      <c r="BM120" s="352" t="n">
        <f aca="true">IF(AND($D120="Serviço",BM$12&lt;&gt;0,$H120&gt;0,OR(AUTOEVENTO&lt;&gt;"manual",$M120&lt;&gt;$A$15)),
        IF(Import.TipoArredondamento&lt;&gt;"TransfereGOV",
              ROUND(OFFSET($P120,0,BM$13),15-13*ORÇAMENTO!$AF$7)/$H120*OFFSET(ORÇAMENTO!$X$15,ROW(BM120)-ROW(BM$15),0),
              ROUND(ROUND(OFFSET($P120,0,BM$13),15-13*ORÇAMENTO!$AF$7)*OFFSET(ORÇAMENTO!$W$15,ROW(BM120)-ROW(BM$15),0),15-13*ORÇAMENTO!$AF$11)),
         0)</f>
        <v>0</v>
      </c>
      <c r="BN120" s="352" t="n">
        <f aca="true">IF(AND($D120="Serviço",BN$12&lt;&gt;0,$H120&gt;0,OR(AUTOEVENTO&lt;&gt;"manual",$M120&lt;&gt;$A$15)),
        IF(Import.TipoArredondamento&lt;&gt;"TransfereGOV",
              ROUND(OFFSET($P120,0,BN$13),15-13*ORÇAMENTO!$AF$7)/$H120*OFFSET(ORÇAMENTO!$X$15,ROW(BN120)-ROW(BN$15),0),
              ROUND(ROUND(OFFSET($P120,0,BN$13),15-13*ORÇAMENTO!$AF$7)*OFFSET(ORÇAMENTO!$W$15,ROW(BN120)-ROW(BN$15),0),15-13*ORÇAMENTO!$AF$11)),
         0)</f>
        <v>0</v>
      </c>
      <c r="BO120" s="352" t="n">
        <f aca="true">IF(AND($D120="Serviço",BO$12&lt;&gt;0,$H120&gt;0,OR(AUTOEVENTO&lt;&gt;"manual",$M120&lt;&gt;$A$15)),
        IF(Import.TipoArredondamento&lt;&gt;"TransfereGOV",
              ROUND(OFFSET($P120,0,BO$13),15-13*ORÇAMENTO!$AF$7)/$H120*OFFSET(ORÇAMENTO!$X$15,ROW(BO120)-ROW(BO$15),0),
              ROUND(ROUND(OFFSET($P120,0,BO$13),15-13*ORÇAMENTO!$AF$7)*OFFSET(ORÇAMENTO!$W$15,ROW(BO120)-ROW(BO$15),0),15-13*ORÇAMENTO!$AF$11)),
         0)</f>
        <v>0</v>
      </c>
      <c r="BP120" s="352" t="n">
        <f aca="true">IF(AND($D120="Serviço",BP$12&lt;&gt;0,$H120&gt;0,OR(AUTOEVENTO&lt;&gt;"manual",$M120&lt;&gt;$A$15)),
        IF(Import.TipoArredondamento&lt;&gt;"TransfereGOV",
              ROUND(OFFSET($P120,0,BP$13),15-13*ORÇAMENTO!$AF$7)/$H120*OFFSET(ORÇAMENTO!$X$15,ROW(BP120)-ROW(BP$15),0),
              ROUND(ROUND(OFFSET($P120,0,BP$13),15-13*ORÇAMENTO!$AF$7)*OFFSET(ORÇAMENTO!$W$15,ROW(BP120)-ROW(BP$15),0),15-13*ORÇAMENTO!$AF$11)),
         0)</f>
        <v>0</v>
      </c>
      <c r="BQ120" s="352" t="n">
        <f aca="true">IF(AND($D120="Serviço",BQ$12&lt;&gt;0,$H120&gt;0,OR(AUTOEVENTO&lt;&gt;"manual",$M120&lt;&gt;$A$15)),
        IF(Import.TipoArredondamento&lt;&gt;"TransfereGOV",
              ROUND(OFFSET($P120,0,BQ$13),15-13*ORÇAMENTO!$AF$7)/$H120*OFFSET(ORÇAMENTO!$X$15,ROW(BQ120)-ROW(BQ$15),0),
              ROUND(ROUND(OFFSET($P120,0,BQ$13),15-13*ORÇAMENTO!$AF$7)*OFFSET(ORÇAMENTO!$W$15,ROW(BQ120)-ROW(BQ$15),0),15-13*ORÇAMENTO!$AF$11)),
         0)</f>
        <v>0</v>
      </c>
      <c r="BS120" s="353" t="n">
        <f aca="true">IF(OR($D120&lt;&gt;"Serviço",AND(AUTOEVENTO="Manual",$M120=$A$15)),0,
         IF(OFFSET(CRONOPLE!$F$15,$M120-$A$15,BS$13)=0,10^12,OFFSET(CRONOPLE!$F$15,$M120-$A$15,BS$13)))</f>
        <v>0</v>
      </c>
      <c r="BT120" s="353" t="n">
        <f aca="true">IF(OR($D120&lt;&gt;"Serviço",AND(AUTOEVENTO="Manual",$M120=$A$15)),0,
         IF(OFFSET(CRONOPLE!$F$15,$M120-$A$15,BT$13)=0,10^12,OFFSET(CRONOPLE!$F$15,$M120-$A$15,BT$13)))</f>
        <v>0</v>
      </c>
      <c r="BU120" s="353" t="n">
        <f aca="true">IF(OR($D120&lt;&gt;"Serviço",AND(AUTOEVENTO="Manual",$M120=$A$15)),0,
         IF(OFFSET(CRONOPLE!$F$15,$M120-$A$15,BU$13)=0,10^12,OFFSET(CRONOPLE!$F$15,$M120-$A$15,BU$13)))</f>
        <v>0</v>
      </c>
      <c r="BV120" s="353" t="n">
        <f aca="true">IF(OR($D120&lt;&gt;"Serviço",AND(AUTOEVENTO="Manual",$M120=$A$15)),0,
         IF(OFFSET(CRONOPLE!$F$15,$M120-$A$15,BV$13)=0,10^12,OFFSET(CRONOPLE!$F$15,$M120-$A$15,BV$13)))</f>
        <v>0</v>
      </c>
      <c r="BW120" s="353" t="n">
        <f aca="true">IF(OR($D120&lt;&gt;"Serviço",AND(AUTOEVENTO="Manual",$M120=$A$15)),0,
         IF(OFFSET(CRONOPLE!$F$15,$M120-$A$15,BW$13)=0,10^12,OFFSET(CRONOPLE!$F$15,$M120-$A$15,BW$13)))</f>
        <v>0</v>
      </c>
      <c r="BX120" s="353" t="n">
        <f aca="true">IF(OR($D120&lt;&gt;"Serviço",AND(AUTOEVENTO="Manual",$M120=$A$15)),0,
         IF(OFFSET(CRONOPLE!$F$15,$M120-$A$15,BX$13)=0,10^12,OFFSET(CRONOPLE!$F$15,$M120-$A$15,BX$13)))</f>
        <v>0</v>
      </c>
      <c r="BY120" s="353" t="n">
        <f aca="true">IF(OR($D120&lt;&gt;"Serviço",AND(AUTOEVENTO="Manual",$M120=$A$15)),0,
         IF(OFFSET(CRONOPLE!$F$15,$M120-$A$15,BY$13)=0,10^12,OFFSET(CRONOPLE!$F$15,$M120-$A$15,BY$13)))</f>
        <v>0</v>
      </c>
      <c r="BZ120" s="353" t="n">
        <f aca="true">IF(OR($D120&lt;&gt;"Serviço",AND(AUTOEVENTO="Manual",$M120=$A$15)),0,
         IF(OFFSET(CRONOPLE!$F$15,$M120-$A$15,BZ$13)=0,10^12,OFFSET(CRONOPLE!$F$15,$M120-$A$15,BZ$13)))</f>
        <v>0</v>
      </c>
      <c r="CA120" s="353" t="n">
        <f aca="true">IF(OR($D120&lt;&gt;"Serviço",AND(AUTOEVENTO="Manual",$M120=$A$15)),0,
         IF(OFFSET(CRONOPLE!$F$15,$M120-$A$15,CA$13)=0,10^12,OFFSET(CRONOPLE!$F$15,$M120-$A$15,CA$13)))</f>
        <v>0</v>
      </c>
      <c r="CB120" s="353" t="n">
        <f aca="true">IF(OR($D120&lt;&gt;"Serviço",AND(AUTOEVENTO="Manual",$M120=$A$15)),0,
         IF(OFFSET(CRONOPLE!$F$15,$M120-$A$15,CB$13)=0,10^12,OFFSET(CRONOPLE!$F$15,$M120-$A$15,CB$13)))</f>
        <v>0</v>
      </c>
      <c r="CC120" s="353" t="n">
        <f aca="true">IF(OR($D120&lt;&gt;"Serviço",AND(AUTOEVENTO="Manual",$M120=$A$15)),0,
         IF(OFFSET(CRONOPLE!$F$15,$M120-$A$15,CC$13)=0,10^12,OFFSET(CRONOPLE!$F$15,$M120-$A$15,CC$13)))</f>
        <v>0</v>
      </c>
      <c r="CD120" s="353" t="n">
        <f aca="true">IF(OR($D120&lt;&gt;"Serviço",AND(AUTOEVENTO="Manual",$M120=$A$15)),0,
         IF(OFFSET(CRONOPLE!$F$15,$M120-$A$15,CD$13)=0,10^12,OFFSET(CRONOPLE!$F$15,$M120-$A$15,CD$13)))</f>
        <v>0</v>
      </c>
      <c r="CE120" s="353" t="n">
        <f aca="true">IF(OR($D120&lt;&gt;"Serviço",AND(AUTOEVENTO="Manual",$M120=$A$15)),0,
         IF(OFFSET(CRONOPLE!$F$15,$M120-$A$15,CE$13)=0,10^12,OFFSET(CRONOPLE!$F$15,$M120-$A$15,CE$13)))</f>
        <v>0</v>
      </c>
      <c r="CF120" s="353" t="n">
        <f aca="true">IF(OR($D120&lt;&gt;"Serviço",AND(AUTOEVENTO="Manual",$M120=$A$15)),0,
         IF(OFFSET(CRONOPLE!$F$15,$M120-$A$15,CF$13)=0,10^12,OFFSET(CRONOPLE!$F$15,$M120-$A$15,CF$13)))</f>
        <v>0</v>
      </c>
      <c r="CG120" s="353" t="n">
        <f aca="true">IF(OR($D120&lt;&gt;"Serviço",AND(AUTOEVENTO="Manual",$M120=$A$15)),0,
         IF(OFFSET(CRONOPLE!$F$15,$M120-$A$15,CG$13)=0,10^12,OFFSET(CRONOPLE!$F$15,$M120-$A$15,CG$13)))</f>
        <v>0</v>
      </c>
      <c r="CH120" s="353" t="n">
        <f aca="true">IF(OR($D120&lt;&gt;"Serviço",AND(AUTOEVENTO="Manual",$M120=$A$15)),0,
         IF(OFFSET(CRONOPLE!$F$15,$M120-$A$15,CH$13)=0,10^12,OFFSET(CRONOPLE!$F$15,$M120-$A$15,CH$13)))</f>
        <v>0</v>
      </c>
      <c r="CI120" s="353" t="n">
        <f aca="true">IF(OR($D120&lt;&gt;"Serviço",AND(AUTOEVENTO="Manual",$M120=$A$15)),0,
         IF(OFFSET(CRONOPLE!$F$15,$M120-$A$15,CI$13)=0,10^12,OFFSET(CRONOPLE!$F$15,$M120-$A$15,CI$13)))</f>
        <v>0</v>
      </c>
      <c r="CJ120" s="353" t="n">
        <f aca="true">IF(OR($D120&lt;&gt;"Serviço",AND(AUTOEVENTO="Manual",$M120=$A$15)),0,
         IF(OFFSET(CRONOPLE!$F$15,$M120-$A$15,CJ$13)=0,10^12,OFFSET(CRONOPLE!$F$15,$M120-$A$15,CJ$13)))</f>
        <v>0</v>
      </c>
      <c r="CK120" s="353" t="n">
        <f aca="true">IF(OR($D120&lt;&gt;"Serviço",AND(AUTOEVENTO="Manual",$M120=$A$15)),0,
         IF(OFFSET(CRONOPLE!$F$15,$M120-$A$15,CK$13)=0,10^12,OFFSET(CRONOPLE!$F$15,$M120-$A$15,CK$13)))</f>
        <v>0</v>
      </c>
      <c r="CL120" s="353" t="n">
        <f aca="true">IF(OR($D120&lt;&gt;"Serviço",AND(AUTOEVENTO="Manual",$M120=$A$15)),0,
         IF(OFFSET(CRONOPLE!$F$15,$M120-$A$15,CL$13)=0,10^12,OFFSET(CRONOPLE!$F$15,$M120-$A$15,CL$13)))</f>
        <v>0</v>
      </c>
      <c r="CM120" s="353" t="n">
        <f aca="true">IF(OR($D120&lt;&gt;"Serviço",AND(AUTOEVENTO="Manual",$M120=$A$15)),0,
         IF(OFFSET(CRONOPLE!$F$15,$M120-$A$15,CM$13)=0,10^12,OFFSET(CRONOPLE!$F$15,$M120-$A$15,CM$13)))</f>
        <v>0</v>
      </c>
      <c r="CN120" s="353" t="n">
        <f aca="true">IF(OR($D120&lt;&gt;"Serviço",AND(AUTOEVENTO="Manual",$M120=$A$15)),0,
         IF(OFFSET(CRONOPLE!$F$15,$M120-$A$15,CN$13)=0,10^12,OFFSET(CRONOPLE!$F$15,$M120-$A$15,CN$13)))</f>
        <v>0</v>
      </c>
      <c r="CO120" s="353" t="n">
        <f aca="true">IF(OR($D120&lt;&gt;"Serviço",AND(AUTOEVENTO="Manual",$M120=$A$15)),0,
         IF(OFFSET(CRONOPLE!$F$15,$M120-$A$15,CO$13)=0,10^12,OFFSET(CRONOPLE!$F$15,$M120-$A$15,CO$13)))</f>
        <v>0</v>
      </c>
      <c r="CP120" s="353" t="n">
        <f aca="true">IF(OR($D120&lt;&gt;"Serviço",AND(AUTOEVENTO="Manual",$M120=$A$15)),0,
         IF(OFFSET(CRONOPLE!$F$15,$M120-$A$15,CP$13)=0,10^12,OFFSET(CRONOPLE!$F$15,$M120-$A$15,CP$13)))</f>
        <v>0</v>
      </c>
      <c r="CQ120" s="353" t="n">
        <f aca="true">IF(OR($D120&lt;&gt;"Serviço",AND(AUTOEVENTO="Manual",$M120=$A$15)),0,
         IF(OFFSET(CRONOPLE!$F$15,$M120-$A$15,CQ$13)=0,10^12,OFFSET(CRONOPLE!$F$15,$M120-$A$15,CQ$13)))</f>
        <v>0</v>
      </c>
      <c r="CR120" s="353" t="n">
        <f aca="true">IF(OR($D120&lt;&gt;"Serviço",AND(AUTOEVENTO="Manual",$M120=$A$15)),0,
         IF(OFFSET(CRONOPLE!$F$15,$M120-$A$15,CR$13)=0,10^12,OFFSET(CRONOPLE!$F$15,$M120-$A$15,CR$13)))</f>
        <v>0</v>
      </c>
      <c r="CT120" s="354" t="n">
        <f aca="true">IF(OR($D120&lt;&gt;"Serviço",AND(AUTOEVENTO="Manual",$M120=$A$15),$M120&gt;(ROW(PLE.lastrow)-ROW(PLE.firstrow))),0,
           IF(OFFSET(PLE!$G$15,$M120-$A$15,CT$13)="",10^12,OFFSET(PLE!$G$15,$M120-$A$15,CT$13)))</f>
        <v>0</v>
      </c>
      <c r="CU120" s="354" t="n">
        <f aca="true">IF(OR($D120&lt;&gt;"Serviço",AND(AUTOEVENTO="Manual",$M120=$A$15),$M120&gt;(ROW(PLE.lastrow)-ROW(PLE.firstrow))),0,
           IF(OFFSET(PLE!$G$15,$M120-$A$15,CU$13)="",10^12,OFFSET(PLE!$G$15,$M120-$A$15,CU$13)))</f>
        <v>0</v>
      </c>
      <c r="CV120" s="354" t="n">
        <f aca="true">IF(OR($D120&lt;&gt;"Serviço",AND(AUTOEVENTO="Manual",$M120=$A$15),$M120&gt;(ROW(PLE.lastrow)-ROW(PLE.firstrow))),0,
           IF(OFFSET(PLE!$G$15,$M120-$A$15,CV$13)="",10^12,OFFSET(PLE!$G$15,$M120-$A$15,CV$13)))</f>
        <v>0</v>
      </c>
      <c r="CW120" s="354" t="n">
        <f aca="true">IF(OR($D120&lt;&gt;"Serviço",AND(AUTOEVENTO="Manual",$M120=$A$15),$M120&gt;(ROW(PLE.lastrow)-ROW(PLE.firstrow))),0,
           IF(OFFSET(PLE!$G$15,$M120-$A$15,CW$13)="",10^12,OFFSET(PLE!$G$15,$M120-$A$15,CW$13)))</f>
        <v>0</v>
      </c>
      <c r="CX120" s="354" t="n">
        <f aca="true">IF(OR($D120&lt;&gt;"Serviço",AND(AUTOEVENTO="Manual",$M120=$A$15),$M120&gt;(ROW(PLE.lastrow)-ROW(PLE.firstrow))),0,
           IF(OFFSET(PLE!$G$15,$M120-$A$15,CX$13)="",10^12,OFFSET(PLE!$G$15,$M120-$A$15,CX$13)))</f>
        <v>0</v>
      </c>
      <c r="CY120" s="354" t="n">
        <f aca="true">IF(OR($D120&lt;&gt;"Serviço",AND(AUTOEVENTO="Manual",$M120=$A$15),$M120&gt;(ROW(PLE.lastrow)-ROW(PLE.firstrow))),0,
           IF(OFFSET(PLE!$G$15,$M120-$A$15,CY$13)="",10^12,OFFSET(PLE!$G$15,$M120-$A$15,CY$13)))</f>
        <v>0</v>
      </c>
      <c r="CZ120" s="354" t="n">
        <f aca="true">IF(OR($D120&lt;&gt;"Serviço",AND(AUTOEVENTO="Manual",$M120=$A$15),$M120&gt;(ROW(PLE.lastrow)-ROW(PLE.firstrow))),0,
           IF(OFFSET(PLE!$G$15,$M120-$A$15,CZ$13)="",10^12,OFFSET(PLE!$G$15,$M120-$A$15,CZ$13)))</f>
        <v>0</v>
      </c>
      <c r="DA120" s="354" t="n">
        <f aca="true">IF(OR($D120&lt;&gt;"Serviço",AND(AUTOEVENTO="Manual",$M120=$A$15),$M120&gt;(ROW(PLE.lastrow)-ROW(PLE.firstrow))),0,
           IF(OFFSET(PLE!$G$15,$M120-$A$15,DA$13)="",10^12,OFFSET(PLE!$G$15,$M120-$A$15,DA$13)))</f>
        <v>0</v>
      </c>
      <c r="DB120" s="354" t="n">
        <f aca="true">IF(OR($D120&lt;&gt;"Serviço",AND(AUTOEVENTO="Manual",$M120=$A$15),$M120&gt;(ROW(PLE.lastrow)-ROW(PLE.firstrow))),0,
           IF(OFFSET(PLE!$G$15,$M120-$A$15,DB$13)="",10^12,OFFSET(PLE!$G$15,$M120-$A$15,DB$13)))</f>
        <v>0</v>
      </c>
      <c r="DC120" s="354" t="n">
        <f aca="true">IF(OR($D120&lt;&gt;"Serviço",AND(AUTOEVENTO="Manual",$M120=$A$15),$M120&gt;(ROW(PLE.lastrow)-ROW(PLE.firstrow))),0,
           IF(OFFSET(PLE!$G$15,$M120-$A$15,DC$13)="",10^12,OFFSET(PLE!$G$15,$M120-$A$15,DC$13)))</f>
        <v>0</v>
      </c>
      <c r="DD120" s="354" t="n">
        <f aca="true">IF(OR($D120&lt;&gt;"Serviço",AND(AUTOEVENTO="Manual",$M120=$A$15),$M120&gt;(ROW(PLE.lastrow)-ROW(PLE.firstrow))),0,
           IF(OFFSET(PLE!$G$15,$M120-$A$15,DD$13)="",10^12,OFFSET(PLE!$G$15,$M120-$A$15,DD$13)))</f>
        <v>0</v>
      </c>
      <c r="DE120" s="354" t="n">
        <f aca="true">IF(OR($D120&lt;&gt;"Serviço",AND(AUTOEVENTO="Manual",$M120=$A$15),$M120&gt;(ROW(PLE.lastrow)-ROW(PLE.firstrow))),0,
           IF(OFFSET(PLE!$G$15,$M120-$A$15,DE$13)="",10^12,OFFSET(PLE!$G$15,$M120-$A$15,DE$13)))</f>
        <v>0</v>
      </c>
      <c r="DF120" s="354" t="n">
        <f aca="true">IF(OR($D120&lt;&gt;"Serviço",AND(AUTOEVENTO="Manual",$M120=$A$15),$M120&gt;(ROW(PLE.lastrow)-ROW(PLE.firstrow))),0,
           IF(OFFSET(PLE!$G$15,$M120-$A$15,DF$13)="",10^12,OFFSET(PLE!$G$15,$M120-$A$15,DF$13)))</f>
        <v>0</v>
      </c>
      <c r="DG120" s="354" t="n">
        <f aca="true">IF(OR($D120&lt;&gt;"Serviço",AND(AUTOEVENTO="Manual",$M120=$A$15),$M120&gt;(ROW(PLE.lastrow)-ROW(PLE.firstrow))),0,
           IF(OFFSET(PLE!$G$15,$M120-$A$15,DG$13)="",10^12,OFFSET(PLE!$G$15,$M120-$A$15,DG$13)))</f>
        <v>0</v>
      </c>
      <c r="DH120" s="354" t="n">
        <f aca="true">IF(OR($D120&lt;&gt;"Serviço",AND(AUTOEVENTO="Manual",$M120=$A$15),$M120&gt;(ROW(PLE.lastrow)-ROW(PLE.firstrow))),0,
           IF(OFFSET(PLE!$G$15,$M120-$A$15,DH$13)="",10^12,OFFSET(PLE!$G$15,$M120-$A$15,DH$13)))</f>
        <v>0</v>
      </c>
      <c r="DI120" s="354" t="n">
        <f aca="true">IF(OR($D120&lt;&gt;"Serviço",AND(AUTOEVENTO="Manual",$M120=$A$15),$M120&gt;(ROW(PLE.lastrow)-ROW(PLE.firstrow))),0,
           IF(OFFSET(PLE!$G$15,$M120-$A$15,DI$13)="",10^12,OFFSET(PLE!$G$15,$M120-$A$15,DI$13)))</f>
        <v>0</v>
      </c>
      <c r="DJ120" s="354" t="n">
        <f aca="true">IF(OR($D120&lt;&gt;"Serviço",AND(AUTOEVENTO="Manual",$M120=$A$15),$M120&gt;(ROW(PLE.lastrow)-ROW(PLE.firstrow))),0,
           IF(OFFSET(PLE!$G$15,$M120-$A$15,DJ$13)="",10^12,OFFSET(PLE!$G$15,$M120-$A$15,DJ$13)))</f>
        <v>0</v>
      </c>
      <c r="DK120" s="354" t="n">
        <f aca="true">IF(OR($D120&lt;&gt;"Serviço",AND(AUTOEVENTO="Manual",$M120=$A$15),$M120&gt;(ROW(PLE.lastrow)-ROW(PLE.firstrow))),0,
           IF(OFFSET(PLE!$G$15,$M120-$A$15,DK$13)="",10^12,OFFSET(PLE!$G$15,$M120-$A$15,DK$13)))</f>
        <v>0</v>
      </c>
      <c r="DL120" s="354" t="n">
        <f aca="true">IF(OR($D120&lt;&gt;"Serviço",AND(AUTOEVENTO="Manual",$M120=$A$15),$M120&gt;(ROW(PLE.lastrow)-ROW(PLE.firstrow))),0,
           IF(OFFSET(PLE!$G$15,$M120-$A$15,DL$13)="",10^12,OFFSET(PLE!$G$15,$M120-$A$15,DL$13)))</f>
        <v>0</v>
      </c>
      <c r="DM120" s="354" t="n">
        <f aca="true">IF(OR($D120&lt;&gt;"Serviço",AND(AUTOEVENTO="Manual",$M120=$A$15),$M120&gt;(ROW(PLE.lastrow)-ROW(PLE.firstrow))),0,
           IF(OFFSET(PLE!$G$15,$M120-$A$15,DM$13)="",10^12,OFFSET(PLE!$G$15,$M120-$A$15,DM$13)))</f>
        <v>0</v>
      </c>
      <c r="DN120" s="354" t="n">
        <f aca="true">IF(OR($D120&lt;&gt;"Serviço",AND(AUTOEVENTO="Manual",$M120=$A$15),$M120&gt;(ROW(PLE.lastrow)-ROW(PLE.firstrow))),0,
           IF(OFFSET(PLE!$G$15,$M120-$A$15,DN$13)="",10^12,OFFSET(PLE!$G$15,$M120-$A$15,DN$13)))</f>
        <v>0</v>
      </c>
      <c r="DO120" s="354" t="n">
        <f aca="true">IF(OR($D120&lt;&gt;"Serviço",AND(AUTOEVENTO="Manual",$M120=$A$15),$M120&gt;(ROW(PLE.lastrow)-ROW(PLE.firstrow))),0,
           IF(OFFSET(PLE!$G$15,$M120-$A$15,DO$13)="",10^12,OFFSET(PLE!$G$15,$M120-$A$15,DO$13)))</f>
        <v>0</v>
      </c>
      <c r="DP120" s="354" t="n">
        <f aca="true">IF(OR($D120&lt;&gt;"Serviço",AND(AUTOEVENTO="Manual",$M120=$A$15),$M120&gt;(ROW(PLE.lastrow)-ROW(PLE.firstrow))),0,
           IF(OFFSET(PLE!$G$15,$M120-$A$15,DP$13)="",10^12,OFFSET(PLE!$G$15,$M120-$A$15,DP$13)))</f>
        <v>0</v>
      </c>
      <c r="DQ120" s="354" t="n">
        <f aca="true">IF(OR($D120&lt;&gt;"Serviço",AND(AUTOEVENTO="Manual",$M120=$A$15),$M120&gt;(ROW(PLE.lastrow)-ROW(PLE.firstrow))),0,
           IF(OFFSET(PLE!$G$15,$M120-$A$15,DQ$13)="",10^12,OFFSET(PLE!$G$15,$M120-$A$15,DQ$13)))</f>
        <v>0</v>
      </c>
      <c r="DR120" s="354" t="n">
        <f aca="true">IF(OR($D120&lt;&gt;"Serviço",AND(AUTOEVENTO="Manual",$M120=$A$15),$M120&gt;(ROW(PLE.lastrow)-ROW(PLE.firstrow))),0,
           IF(OFFSET(PLE!$G$15,$M120-$A$15,DR$13)="",10^12,OFFSET(PLE!$G$15,$M120-$A$15,DR$13)))</f>
        <v>0</v>
      </c>
      <c r="DS120" s="354" t="n">
        <f aca="true">IF(OR($D120&lt;&gt;"Serviço",AND(AUTOEVENTO="Manual",$M120=$A$15),$M120&gt;(ROW(PLE.lastrow)-ROW(PLE.firstrow))),0,
           IF(OFFSET(PLE!$G$15,$M120-$A$15,DS$13)="",10^12,OFFSET(PLE!$G$15,$M120-$A$15,DS$13)))</f>
        <v>0</v>
      </c>
    </row>
    <row r="121" customFormat="false" ht="23.85" hidden="false" customHeight="false" outlineLevel="0" collapsed="false">
      <c r="A121" s="50" t="str">
        <f aca="true">IFERROR(IF(AUTOEVENTO="Manual",IF(K121&lt;&gt;"",MIN(VALUE(LEFT(K121,FIND(".",K121)-1)),COUNTA(EVENTOS.Lista)),0),IF(OR($B121&gt;AUTOEVENTO,$B121="S",$B121=0),SUBSTITUTE(OFFSET($A121,-1,0),IF($D121="Serviço",".",""),""),ROW(A121)-ROW($A$15)&amp;".")),0)</f>
        <v>105</v>
      </c>
      <c r="B121" s="50" t="str">
        <f aca="true">OFFSET(ORÇAMENTO!C$15,ROW(B121)-ROW(B$15),0)</f>
        <v>S</v>
      </c>
      <c r="C121" s="50" t="str">
        <f aca="true">OFFSET(ORÇAMENTO!L$15,ROW(C121)-ROW(C$15),0)</f>
        <v>F</v>
      </c>
      <c r="D121" s="201" t="str">
        <f aca="true">OFFSET(ORÇAMENTO!N$15,ROW(D121)-ROW(D$15),0)</f>
        <v>Serviço</v>
      </c>
      <c r="E121" s="202" t="str">
        <f aca="true">OFFSET(ORÇAMENTO!O$15,ROW(E121)-ROW(E$15),0)</f>
        <v>1.36.1.</v>
      </c>
      <c r="F121" s="341" t="str">
        <f aca="true">OFFSET(ORÇAMENTO!R$15,ROW(F121)-ROW(F$15),0)</f>
        <v>DISJUNTOR MONOPOLAR TIPO DIN, CORRENTE NOMINAL DE 10A - FORNECIMENTO E INSTALAÇÃO. AF_07/2025</v>
      </c>
      <c r="G121" s="342" t="str">
        <f aca="true">IF($D121&lt;&gt;"Serviço","",OFFSET(ORÇAMENTO!S$15,ROW(G121)-ROW(G$15),0))</f>
        <v>UN</v>
      </c>
      <c r="H121" s="207" t="n">
        <f aca="true">IF($D121&lt;&gt;"Serviço",0,IF(ACOMPANHAMENTO="BM",ROUND(OFFSET(ORÇAMENTO!AJ$15,ROW(H121)-ROW(H$15),0),15-13*ORÇAMENTO!$AF$7),SUMPRODUCT(($Q$1:$AQ$1=1)*ROUND($Q121:$AQ121,15-13*ORÇAMENTO!$AF$7))))</f>
        <v>25</v>
      </c>
      <c r="I121" s="343" t="s">
        <v>969</v>
      </c>
      <c r="J121" s="344" t="e">
        <f aca="false">IF(OR(B121&lt;&gt;"S",CÁLCULO.FrentesPreenchidas=0),"",IF(AND(ACOMPANHAMENTO="PLE",AUTOEVENTO="Manual",OR(H121&gt;0,ORÇAMENTO!AC121="QUANT."),OR(K121="",M121=0,N121="")),"►",IF(AND(ACOMPANHAMENTO="PLE",ORÇAMENTO!AC121="QUANT."),"►►",IF(AND(COUNTIF($P$11:$AQ$11,"▼")=0,H121&gt;0,I121=""),"◄",""))))</f>
        <v>#NAME?</v>
      </c>
      <c r="K121" s="345"/>
      <c r="L121" s="346" t="s">
        <v>876</v>
      </c>
      <c r="M121" s="347" t="n">
        <f aca="true">IF($D121&lt;&gt;"Serviço","",
          IF(AUTOEVENTO="manual",$A121,
                IF(ISERROR(MATCH($A121,$A$15:OFFSET($A121,-1,0),0)),MAX($M$15:OFFSET(M121,-1,0))+1,
                      INDEX($M$15:OFFSET(M121,-1,0),MATCH($A121,$A$15:OFFSET($A121,-1,0),0)))))</f>
        <v>21</v>
      </c>
      <c r="N121" s="348" t="str">
        <f aca="true">IF($D121&lt;&gt;"Serviço","",
         IF(AUTOEVENTO="Manual",
                IF($A121=0,"&lt;-- defina o número do agrupador",
                       OFFSET(EVENTOS!$D$15,$A121-$A$15,0)),
                OFFSET($F$15,$A121,0)))</f>
        <v>CENTRO DE DISTRIBUIÇÃO</v>
      </c>
      <c r="O121" s="349"/>
      <c r="Q121" s="349" t="n">
        <v>1</v>
      </c>
      <c r="R121" s="350" t="n">
        <f aca="false">Q121</f>
        <v>1</v>
      </c>
      <c r="S121" s="350" t="n">
        <f aca="false">R121</f>
        <v>1</v>
      </c>
      <c r="T121" s="350" t="n">
        <f aca="false">S121</f>
        <v>1</v>
      </c>
      <c r="U121" s="350" t="n">
        <f aca="false">T121</f>
        <v>1</v>
      </c>
      <c r="V121" s="350" t="n">
        <f aca="false">U121</f>
        <v>1</v>
      </c>
      <c r="W121" s="350" t="n">
        <f aca="false">V121</f>
        <v>1</v>
      </c>
      <c r="X121" s="350" t="n">
        <f aca="false">W121</f>
        <v>1</v>
      </c>
      <c r="Y121" s="350" t="n">
        <f aca="false">X121</f>
        <v>1</v>
      </c>
      <c r="Z121" s="351" t="n">
        <f aca="false">Y121</f>
        <v>1</v>
      </c>
      <c r="AA121" s="350" t="n">
        <f aca="false">Z121</f>
        <v>1</v>
      </c>
      <c r="AB121" s="350" t="n">
        <f aca="false">AA121</f>
        <v>1</v>
      </c>
      <c r="AC121" s="350" t="n">
        <f aca="false">AB121</f>
        <v>1</v>
      </c>
      <c r="AD121" s="350" t="n">
        <f aca="false">AC121</f>
        <v>1</v>
      </c>
      <c r="AE121" s="350" t="n">
        <f aca="false">AD121</f>
        <v>1</v>
      </c>
      <c r="AF121" s="350" t="n">
        <f aca="false">AE121</f>
        <v>1</v>
      </c>
      <c r="AG121" s="350" t="n">
        <f aca="false">AF121</f>
        <v>1</v>
      </c>
      <c r="AH121" s="351" t="n">
        <f aca="false">AG121</f>
        <v>1</v>
      </c>
      <c r="AI121" s="350" t="n">
        <f aca="false">AH121</f>
        <v>1</v>
      </c>
      <c r="AJ121" s="350" t="n">
        <f aca="false">AI121</f>
        <v>1</v>
      </c>
      <c r="AK121" s="350" t="n">
        <f aca="false">AJ121</f>
        <v>1</v>
      </c>
      <c r="AL121" s="350" t="n">
        <f aca="false">AK121</f>
        <v>1</v>
      </c>
      <c r="AM121" s="350" t="n">
        <f aca="false">AL121</f>
        <v>1</v>
      </c>
      <c r="AN121" s="350" t="n">
        <f aca="false">AM121</f>
        <v>1</v>
      </c>
      <c r="AO121" s="350" t="n">
        <f aca="false">AN121</f>
        <v>1</v>
      </c>
      <c r="AP121" s="351"/>
      <c r="AR121" s="352" t="n">
        <f aca="true">IF(AND($D121="Serviço",AR$12&lt;&gt;0,$H121&gt;0,OR(AUTOEVENTO&lt;&gt;"manual",$M121&lt;&gt;$A$15)),
        IF(Import.TipoArredondamento&lt;&gt;"TransfereGOV",
              ROUND(OFFSET($P121,0,AR$13),15-13*ORÇAMENTO!$AF$7)/$H121*OFFSET(ORÇAMENTO!$X$15,ROW(AR121)-ROW(AR$15),0),
              ROUND(ROUND(OFFSET($P121,0,AR$13),15-13*ORÇAMENTO!$AF$7)*OFFSET(ORÇAMENTO!$W$15,ROW(AR121)-ROW(AR$15),0),15-13*ORÇAMENTO!$AF$11)),
         0)</f>
        <v>18.63</v>
      </c>
      <c r="AS121" s="352" t="n">
        <f aca="true">IF(AND($D121="Serviço",AS$12&lt;&gt;0,$H121&gt;0,OR(AUTOEVENTO&lt;&gt;"manual",$M121&lt;&gt;$A$15)),
        IF(Import.TipoArredondamento&lt;&gt;"TransfereGOV",
              ROUND(OFFSET($P121,0,AS$13),15-13*ORÇAMENTO!$AF$7)/$H121*OFFSET(ORÇAMENTO!$X$15,ROW(AS121)-ROW(AS$15),0),
              ROUND(ROUND(OFFSET($P121,0,AS$13),15-13*ORÇAMENTO!$AF$7)*OFFSET(ORÇAMENTO!$W$15,ROW(AS121)-ROW(AS$15),0),15-13*ORÇAMENTO!$AF$11)),
         0)</f>
        <v>18.63</v>
      </c>
      <c r="AT121" s="352" t="n">
        <f aca="true">IF(AND($D121="Serviço",AT$12&lt;&gt;0,$H121&gt;0,OR(AUTOEVENTO&lt;&gt;"manual",$M121&lt;&gt;$A$15)),
        IF(Import.TipoArredondamento&lt;&gt;"TransfereGOV",
              ROUND(OFFSET($P121,0,AT$13),15-13*ORÇAMENTO!$AF$7)/$H121*OFFSET(ORÇAMENTO!$X$15,ROW(AT121)-ROW(AT$15),0),
              ROUND(ROUND(OFFSET($P121,0,AT$13),15-13*ORÇAMENTO!$AF$7)*OFFSET(ORÇAMENTO!$W$15,ROW(AT121)-ROW(AT$15),0),15-13*ORÇAMENTO!$AF$11)),
         0)</f>
        <v>18.63</v>
      </c>
      <c r="AU121" s="352" t="n">
        <f aca="true">IF(AND($D121="Serviço",AU$12&lt;&gt;0,$H121&gt;0,OR(AUTOEVENTO&lt;&gt;"manual",$M121&lt;&gt;$A$15)),
        IF(Import.TipoArredondamento&lt;&gt;"TransfereGOV",
              ROUND(OFFSET($P121,0,AU$13),15-13*ORÇAMENTO!$AF$7)/$H121*OFFSET(ORÇAMENTO!$X$15,ROW(AU121)-ROW(AU$15),0),
              ROUND(ROUND(OFFSET($P121,0,AU$13),15-13*ORÇAMENTO!$AF$7)*OFFSET(ORÇAMENTO!$W$15,ROW(AU121)-ROW(AU$15),0),15-13*ORÇAMENTO!$AF$11)),
         0)</f>
        <v>18.63</v>
      </c>
      <c r="AV121" s="352" t="n">
        <f aca="true">IF(AND($D121="Serviço",AV$12&lt;&gt;0,$H121&gt;0,OR(AUTOEVENTO&lt;&gt;"manual",$M121&lt;&gt;$A$15)),
        IF(Import.TipoArredondamento&lt;&gt;"TransfereGOV",
              ROUND(OFFSET($P121,0,AV$13),15-13*ORÇAMENTO!$AF$7)/$H121*OFFSET(ORÇAMENTO!$X$15,ROW(AV121)-ROW(AV$15),0),
              ROUND(ROUND(OFFSET($P121,0,AV$13),15-13*ORÇAMENTO!$AF$7)*OFFSET(ORÇAMENTO!$W$15,ROW(AV121)-ROW(AV$15),0),15-13*ORÇAMENTO!$AF$11)),
         0)</f>
        <v>18.63</v>
      </c>
      <c r="AW121" s="352" t="n">
        <f aca="true">IF(AND($D121="Serviço",AW$12&lt;&gt;0,$H121&gt;0,OR(AUTOEVENTO&lt;&gt;"manual",$M121&lt;&gt;$A$15)),
        IF(Import.TipoArredondamento&lt;&gt;"TransfereGOV",
              ROUND(OFFSET($P121,0,AW$13),15-13*ORÇAMENTO!$AF$7)/$H121*OFFSET(ORÇAMENTO!$X$15,ROW(AW121)-ROW(AW$15),0),
              ROUND(ROUND(OFFSET($P121,0,AW$13),15-13*ORÇAMENTO!$AF$7)*OFFSET(ORÇAMENTO!$W$15,ROW(AW121)-ROW(AW$15),0),15-13*ORÇAMENTO!$AF$11)),
         0)</f>
        <v>18.63</v>
      </c>
      <c r="AX121" s="352" t="n">
        <f aca="true">IF(AND($D121="Serviço",AX$12&lt;&gt;0,$H121&gt;0,OR(AUTOEVENTO&lt;&gt;"manual",$M121&lt;&gt;$A$15)),
        IF(Import.TipoArredondamento&lt;&gt;"TransfereGOV",
              ROUND(OFFSET($P121,0,AX$13),15-13*ORÇAMENTO!$AF$7)/$H121*OFFSET(ORÇAMENTO!$X$15,ROW(AX121)-ROW(AX$15),0),
              ROUND(ROUND(OFFSET($P121,0,AX$13),15-13*ORÇAMENTO!$AF$7)*OFFSET(ORÇAMENTO!$W$15,ROW(AX121)-ROW(AX$15),0),15-13*ORÇAMENTO!$AF$11)),
         0)</f>
        <v>18.63</v>
      </c>
      <c r="AY121" s="352" t="n">
        <f aca="true">IF(AND($D121="Serviço",AY$12&lt;&gt;0,$H121&gt;0,OR(AUTOEVENTO&lt;&gt;"manual",$M121&lt;&gt;$A$15)),
        IF(Import.TipoArredondamento&lt;&gt;"TransfereGOV",
              ROUND(OFFSET($P121,0,AY$13),15-13*ORÇAMENTO!$AF$7)/$H121*OFFSET(ORÇAMENTO!$X$15,ROW(AY121)-ROW(AY$15),0),
              ROUND(ROUND(OFFSET($P121,0,AY$13),15-13*ORÇAMENTO!$AF$7)*OFFSET(ORÇAMENTO!$W$15,ROW(AY121)-ROW(AY$15),0),15-13*ORÇAMENTO!$AF$11)),
         0)</f>
        <v>18.63</v>
      </c>
      <c r="AZ121" s="352" t="n">
        <f aca="true">IF(AND($D121="Serviço",AZ$12&lt;&gt;0,$H121&gt;0,OR(AUTOEVENTO&lt;&gt;"manual",$M121&lt;&gt;$A$15)),
        IF(Import.TipoArredondamento&lt;&gt;"TransfereGOV",
              ROUND(OFFSET($P121,0,AZ$13),15-13*ORÇAMENTO!$AF$7)/$H121*OFFSET(ORÇAMENTO!$X$15,ROW(AZ121)-ROW(AZ$15),0),
              ROUND(ROUND(OFFSET($P121,0,AZ$13),15-13*ORÇAMENTO!$AF$7)*OFFSET(ORÇAMENTO!$W$15,ROW(AZ121)-ROW(AZ$15),0),15-13*ORÇAMENTO!$AF$11)),
         0)</f>
        <v>18.63</v>
      </c>
      <c r="BA121" s="352" t="n">
        <f aca="true">IF(AND($D121="Serviço",BA$12&lt;&gt;0,$H121&gt;0,OR(AUTOEVENTO&lt;&gt;"manual",$M121&lt;&gt;$A$15)),
        IF(Import.TipoArredondamento&lt;&gt;"TransfereGOV",
              ROUND(OFFSET($P121,0,BA$13),15-13*ORÇAMENTO!$AF$7)/$H121*OFFSET(ORÇAMENTO!$X$15,ROW(BA121)-ROW(BA$15),0),
              ROUND(ROUND(OFFSET($P121,0,BA$13),15-13*ORÇAMENTO!$AF$7)*OFFSET(ORÇAMENTO!$W$15,ROW(BA121)-ROW(BA$15),0),15-13*ORÇAMENTO!$AF$11)),
         0)</f>
        <v>18.63</v>
      </c>
      <c r="BB121" s="352" t="n">
        <f aca="true">IF(AND($D121="Serviço",BB$12&lt;&gt;0,$H121&gt;0,OR(AUTOEVENTO&lt;&gt;"manual",$M121&lt;&gt;$A$15)),
        IF(Import.TipoArredondamento&lt;&gt;"TransfereGOV",
              ROUND(OFFSET($P121,0,BB$13),15-13*ORÇAMENTO!$AF$7)/$H121*OFFSET(ORÇAMENTO!$X$15,ROW(BB121)-ROW(BB$15),0),
              ROUND(ROUND(OFFSET($P121,0,BB$13),15-13*ORÇAMENTO!$AF$7)*OFFSET(ORÇAMENTO!$W$15,ROW(BB121)-ROW(BB$15),0),15-13*ORÇAMENTO!$AF$11)),
         0)</f>
        <v>18.63</v>
      </c>
      <c r="BC121" s="352" t="n">
        <f aca="true">IF(AND($D121="Serviço",BC$12&lt;&gt;0,$H121&gt;0,OR(AUTOEVENTO&lt;&gt;"manual",$M121&lt;&gt;$A$15)),
        IF(Import.TipoArredondamento&lt;&gt;"TransfereGOV",
              ROUND(OFFSET($P121,0,BC$13),15-13*ORÇAMENTO!$AF$7)/$H121*OFFSET(ORÇAMENTO!$X$15,ROW(BC121)-ROW(BC$15),0),
              ROUND(ROUND(OFFSET($P121,0,BC$13),15-13*ORÇAMENTO!$AF$7)*OFFSET(ORÇAMENTO!$W$15,ROW(BC121)-ROW(BC$15),0),15-13*ORÇAMENTO!$AF$11)),
         0)</f>
        <v>18.63</v>
      </c>
      <c r="BD121" s="352" t="n">
        <f aca="true">IF(AND($D121="Serviço",BD$12&lt;&gt;0,$H121&gt;0,OR(AUTOEVENTO&lt;&gt;"manual",$M121&lt;&gt;$A$15)),
        IF(Import.TipoArredondamento&lt;&gt;"TransfereGOV",
              ROUND(OFFSET($P121,0,BD$13),15-13*ORÇAMENTO!$AF$7)/$H121*OFFSET(ORÇAMENTO!$X$15,ROW(BD121)-ROW(BD$15),0),
              ROUND(ROUND(OFFSET($P121,0,BD$13),15-13*ORÇAMENTO!$AF$7)*OFFSET(ORÇAMENTO!$W$15,ROW(BD121)-ROW(BD$15),0),15-13*ORÇAMENTO!$AF$11)),
         0)</f>
        <v>18.63</v>
      </c>
      <c r="BE121" s="352" t="n">
        <f aca="true">IF(AND($D121="Serviço",BE$12&lt;&gt;0,$H121&gt;0,OR(AUTOEVENTO&lt;&gt;"manual",$M121&lt;&gt;$A$15)),
        IF(Import.TipoArredondamento&lt;&gt;"TransfereGOV",
              ROUND(OFFSET($P121,0,BE$13),15-13*ORÇAMENTO!$AF$7)/$H121*OFFSET(ORÇAMENTO!$X$15,ROW(BE121)-ROW(BE$15),0),
              ROUND(ROUND(OFFSET($P121,0,BE$13),15-13*ORÇAMENTO!$AF$7)*OFFSET(ORÇAMENTO!$W$15,ROW(BE121)-ROW(BE$15),0),15-13*ORÇAMENTO!$AF$11)),
         0)</f>
        <v>18.63</v>
      </c>
      <c r="BF121" s="352" t="n">
        <f aca="true">IF(AND($D121="Serviço",BF$12&lt;&gt;0,$H121&gt;0,OR(AUTOEVENTO&lt;&gt;"manual",$M121&lt;&gt;$A$15)),
        IF(Import.TipoArredondamento&lt;&gt;"TransfereGOV",
              ROUND(OFFSET($P121,0,BF$13),15-13*ORÇAMENTO!$AF$7)/$H121*OFFSET(ORÇAMENTO!$X$15,ROW(BF121)-ROW(BF$15),0),
              ROUND(ROUND(OFFSET($P121,0,BF$13),15-13*ORÇAMENTO!$AF$7)*OFFSET(ORÇAMENTO!$W$15,ROW(BF121)-ROW(BF$15),0),15-13*ORÇAMENTO!$AF$11)),
         0)</f>
        <v>18.63</v>
      </c>
      <c r="BG121" s="352" t="n">
        <f aca="true">IF(AND($D121="Serviço",BG$12&lt;&gt;0,$H121&gt;0,OR(AUTOEVENTO&lt;&gt;"manual",$M121&lt;&gt;$A$15)),
        IF(Import.TipoArredondamento&lt;&gt;"TransfereGOV",
              ROUND(OFFSET($P121,0,BG$13),15-13*ORÇAMENTO!$AF$7)/$H121*OFFSET(ORÇAMENTO!$X$15,ROW(BG121)-ROW(BG$15),0),
              ROUND(ROUND(OFFSET($P121,0,BG$13),15-13*ORÇAMENTO!$AF$7)*OFFSET(ORÇAMENTO!$W$15,ROW(BG121)-ROW(BG$15),0),15-13*ORÇAMENTO!$AF$11)),
         0)</f>
        <v>18.63</v>
      </c>
      <c r="BH121" s="352" t="n">
        <f aca="true">IF(AND($D121="Serviço",BH$12&lt;&gt;0,$H121&gt;0,OR(AUTOEVENTO&lt;&gt;"manual",$M121&lt;&gt;$A$15)),
        IF(Import.TipoArredondamento&lt;&gt;"TransfereGOV",
              ROUND(OFFSET($P121,0,BH$13),15-13*ORÇAMENTO!$AF$7)/$H121*OFFSET(ORÇAMENTO!$X$15,ROW(BH121)-ROW(BH$15),0),
              ROUND(ROUND(OFFSET($P121,0,BH$13),15-13*ORÇAMENTO!$AF$7)*OFFSET(ORÇAMENTO!$W$15,ROW(BH121)-ROW(BH$15),0),15-13*ORÇAMENTO!$AF$11)),
         0)</f>
        <v>18.63</v>
      </c>
      <c r="BI121" s="352" t="n">
        <f aca="true">IF(AND($D121="Serviço",BI$12&lt;&gt;0,$H121&gt;0,OR(AUTOEVENTO&lt;&gt;"manual",$M121&lt;&gt;$A$15)),
        IF(Import.TipoArredondamento&lt;&gt;"TransfereGOV",
              ROUND(OFFSET($P121,0,BI$13),15-13*ORÇAMENTO!$AF$7)/$H121*OFFSET(ORÇAMENTO!$X$15,ROW(BI121)-ROW(BI$15),0),
              ROUND(ROUND(OFFSET($P121,0,BI$13),15-13*ORÇAMENTO!$AF$7)*OFFSET(ORÇAMENTO!$W$15,ROW(BI121)-ROW(BI$15),0),15-13*ORÇAMENTO!$AF$11)),
         0)</f>
        <v>18.63</v>
      </c>
      <c r="BJ121" s="352" t="n">
        <f aca="true">IF(AND($D121="Serviço",BJ$12&lt;&gt;0,$H121&gt;0,OR(AUTOEVENTO&lt;&gt;"manual",$M121&lt;&gt;$A$15)),
        IF(Import.TipoArredondamento&lt;&gt;"TransfereGOV",
              ROUND(OFFSET($P121,0,BJ$13),15-13*ORÇAMENTO!$AF$7)/$H121*OFFSET(ORÇAMENTO!$X$15,ROW(BJ121)-ROW(BJ$15),0),
              ROUND(ROUND(OFFSET($P121,0,BJ$13),15-13*ORÇAMENTO!$AF$7)*OFFSET(ORÇAMENTO!$W$15,ROW(BJ121)-ROW(BJ$15),0),15-13*ORÇAMENTO!$AF$11)),
         0)</f>
        <v>18.63</v>
      </c>
      <c r="BK121" s="352" t="n">
        <f aca="true">IF(AND($D121="Serviço",BK$12&lt;&gt;0,$H121&gt;0,OR(AUTOEVENTO&lt;&gt;"manual",$M121&lt;&gt;$A$15)),
        IF(Import.TipoArredondamento&lt;&gt;"TransfereGOV",
              ROUND(OFFSET($P121,0,BK$13),15-13*ORÇAMENTO!$AF$7)/$H121*OFFSET(ORÇAMENTO!$X$15,ROW(BK121)-ROW(BK$15),0),
              ROUND(ROUND(OFFSET($P121,0,BK$13),15-13*ORÇAMENTO!$AF$7)*OFFSET(ORÇAMENTO!$W$15,ROW(BK121)-ROW(BK$15),0),15-13*ORÇAMENTO!$AF$11)),
         0)</f>
        <v>18.63</v>
      </c>
      <c r="BL121" s="352" t="n">
        <f aca="true">IF(AND($D121="Serviço",BL$12&lt;&gt;0,$H121&gt;0,OR(AUTOEVENTO&lt;&gt;"manual",$M121&lt;&gt;$A$15)),
        IF(Import.TipoArredondamento&lt;&gt;"TransfereGOV",
              ROUND(OFFSET($P121,0,BL$13),15-13*ORÇAMENTO!$AF$7)/$H121*OFFSET(ORÇAMENTO!$X$15,ROW(BL121)-ROW(BL$15),0),
              ROUND(ROUND(OFFSET($P121,0,BL$13),15-13*ORÇAMENTO!$AF$7)*OFFSET(ORÇAMENTO!$W$15,ROW(BL121)-ROW(BL$15),0),15-13*ORÇAMENTO!$AF$11)),
         0)</f>
        <v>18.63</v>
      </c>
      <c r="BM121" s="352" t="n">
        <f aca="true">IF(AND($D121="Serviço",BM$12&lt;&gt;0,$H121&gt;0,OR(AUTOEVENTO&lt;&gt;"manual",$M121&lt;&gt;$A$15)),
        IF(Import.TipoArredondamento&lt;&gt;"TransfereGOV",
              ROUND(OFFSET($P121,0,BM$13),15-13*ORÇAMENTO!$AF$7)/$H121*OFFSET(ORÇAMENTO!$X$15,ROW(BM121)-ROW(BM$15),0),
              ROUND(ROUND(OFFSET($P121,0,BM$13),15-13*ORÇAMENTO!$AF$7)*OFFSET(ORÇAMENTO!$W$15,ROW(BM121)-ROW(BM$15),0),15-13*ORÇAMENTO!$AF$11)),
         0)</f>
        <v>18.63</v>
      </c>
      <c r="BN121" s="352" t="n">
        <f aca="true">IF(AND($D121="Serviço",BN$12&lt;&gt;0,$H121&gt;0,OR(AUTOEVENTO&lt;&gt;"manual",$M121&lt;&gt;$A$15)),
        IF(Import.TipoArredondamento&lt;&gt;"TransfereGOV",
              ROUND(OFFSET($P121,0,BN$13),15-13*ORÇAMENTO!$AF$7)/$H121*OFFSET(ORÇAMENTO!$X$15,ROW(BN121)-ROW(BN$15),0),
              ROUND(ROUND(OFFSET($P121,0,BN$13),15-13*ORÇAMENTO!$AF$7)*OFFSET(ORÇAMENTO!$W$15,ROW(BN121)-ROW(BN$15),0),15-13*ORÇAMENTO!$AF$11)),
         0)</f>
        <v>18.63</v>
      </c>
      <c r="BO121" s="352" t="n">
        <f aca="true">IF(AND($D121="Serviço",BO$12&lt;&gt;0,$H121&gt;0,OR(AUTOEVENTO&lt;&gt;"manual",$M121&lt;&gt;$A$15)),
        IF(Import.TipoArredondamento&lt;&gt;"TransfereGOV",
              ROUND(OFFSET($P121,0,BO$13),15-13*ORÇAMENTO!$AF$7)/$H121*OFFSET(ORÇAMENTO!$X$15,ROW(BO121)-ROW(BO$15),0),
              ROUND(ROUND(OFFSET($P121,0,BO$13),15-13*ORÇAMENTO!$AF$7)*OFFSET(ORÇAMENTO!$W$15,ROW(BO121)-ROW(BO$15),0),15-13*ORÇAMENTO!$AF$11)),
         0)</f>
        <v>18.63</v>
      </c>
      <c r="BP121" s="352" t="n">
        <f aca="true">IF(AND($D121="Serviço",BP$12&lt;&gt;0,$H121&gt;0,OR(AUTOEVENTO&lt;&gt;"manual",$M121&lt;&gt;$A$15)),
        IF(Import.TipoArredondamento&lt;&gt;"TransfereGOV",
              ROUND(OFFSET($P121,0,BP$13),15-13*ORÇAMENTO!$AF$7)/$H121*OFFSET(ORÇAMENTO!$X$15,ROW(BP121)-ROW(BP$15),0),
              ROUND(ROUND(OFFSET($P121,0,BP$13),15-13*ORÇAMENTO!$AF$7)*OFFSET(ORÇAMENTO!$W$15,ROW(BP121)-ROW(BP$15),0),15-13*ORÇAMENTO!$AF$11)),
         0)</f>
        <v>18.63</v>
      </c>
      <c r="BQ121" s="352" t="n">
        <f aca="true">IF(AND($D121="Serviço",BQ$12&lt;&gt;0,$H121&gt;0,OR(AUTOEVENTO&lt;&gt;"manual",$M121&lt;&gt;$A$15)),
        IF(Import.TipoArredondamento&lt;&gt;"TransfereGOV",
              ROUND(OFFSET($P121,0,BQ$13),15-13*ORÇAMENTO!$AF$7)/$H121*OFFSET(ORÇAMENTO!$X$15,ROW(BQ121)-ROW(BQ$15),0),
              ROUND(ROUND(OFFSET($P121,0,BQ$13),15-13*ORÇAMENTO!$AF$7)*OFFSET(ORÇAMENTO!$W$15,ROW(BQ121)-ROW(BQ$15),0),15-13*ORÇAMENTO!$AF$11)),
         0)</f>
        <v>0</v>
      </c>
      <c r="BS121" s="353" t="n">
        <f aca="true">IF(OR($D121&lt;&gt;"Serviço",AND(AUTOEVENTO="Manual",$M121=$A$15)),0,
         IF(OFFSET(CRONOPLE!$F$15,$M121-$A$15,BS$13)=0,10^12,OFFSET(CRONOPLE!$F$15,$M121-$A$15,BS$13)))</f>
        <v>1</v>
      </c>
      <c r="BT121" s="353" t="n">
        <f aca="true">IF(OR($D121&lt;&gt;"Serviço",AND(AUTOEVENTO="Manual",$M121=$A$15)),0,
         IF(OFFSET(CRONOPLE!$F$15,$M121-$A$15,BT$13)=0,10^12,OFFSET(CRONOPLE!$F$15,$M121-$A$15,BT$13)))</f>
        <v>2</v>
      </c>
      <c r="BU121" s="353" t="n">
        <f aca="true">IF(OR($D121&lt;&gt;"Serviço",AND(AUTOEVENTO="Manual",$M121=$A$15)),0,
         IF(OFFSET(CRONOPLE!$F$15,$M121-$A$15,BU$13)=0,10^12,OFFSET(CRONOPLE!$F$15,$M121-$A$15,BU$13)))</f>
        <v>3</v>
      </c>
      <c r="BV121" s="353" t="n">
        <f aca="true">IF(OR($D121&lt;&gt;"Serviço",AND(AUTOEVENTO="Manual",$M121=$A$15)),0,
         IF(OFFSET(CRONOPLE!$F$15,$M121-$A$15,BV$13)=0,10^12,OFFSET(CRONOPLE!$F$15,$M121-$A$15,BV$13)))</f>
        <v>4</v>
      </c>
      <c r="BW121" s="353" t="n">
        <f aca="true">IF(OR($D121&lt;&gt;"Serviço",AND(AUTOEVENTO="Manual",$M121=$A$15)),0,
         IF(OFFSET(CRONOPLE!$F$15,$M121-$A$15,BW$13)=0,10^12,OFFSET(CRONOPLE!$F$15,$M121-$A$15,BW$13)))</f>
        <v>5</v>
      </c>
      <c r="BX121" s="353" t="n">
        <f aca="true">IF(OR($D121&lt;&gt;"Serviço",AND(AUTOEVENTO="Manual",$M121=$A$15)),0,
         IF(OFFSET(CRONOPLE!$F$15,$M121-$A$15,BX$13)=0,10^12,OFFSET(CRONOPLE!$F$15,$M121-$A$15,BX$13)))</f>
        <v>6</v>
      </c>
      <c r="BY121" s="353" t="n">
        <f aca="true">IF(OR($D121&lt;&gt;"Serviço",AND(AUTOEVENTO="Manual",$M121=$A$15)),0,
         IF(OFFSET(CRONOPLE!$F$15,$M121-$A$15,BY$13)=0,10^12,OFFSET(CRONOPLE!$F$15,$M121-$A$15,BY$13)))</f>
        <v>7</v>
      </c>
      <c r="BZ121" s="353" t="n">
        <f aca="true">IF(OR($D121&lt;&gt;"Serviço",AND(AUTOEVENTO="Manual",$M121=$A$15)),0,
         IF(OFFSET(CRONOPLE!$F$15,$M121-$A$15,BZ$13)=0,10^12,OFFSET(CRONOPLE!$F$15,$M121-$A$15,BZ$13)))</f>
        <v>8</v>
      </c>
      <c r="CA121" s="353" t="n">
        <f aca="true">IF(OR($D121&lt;&gt;"Serviço",AND(AUTOEVENTO="Manual",$M121=$A$15)),0,
         IF(OFFSET(CRONOPLE!$F$15,$M121-$A$15,CA$13)=0,10^12,OFFSET(CRONOPLE!$F$15,$M121-$A$15,CA$13)))</f>
        <v>9</v>
      </c>
      <c r="CB121" s="353" t="n">
        <f aca="true">IF(OR($D121&lt;&gt;"Serviço",AND(AUTOEVENTO="Manual",$M121=$A$15)),0,
         IF(OFFSET(CRONOPLE!$F$15,$M121-$A$15,CB$13)=0,10^12,OFFSET(CRONOPLE!$F$15,$M121-$A$15,CB$13)))</f>
        <v>10</v>
      </c>
      <c r="CC121" s="353" t="n">
        <f aca="true">IF(OR($D121&lt;&gt;"Serviço",AND(AUTOEVENTO="Manual",$M121=$A$15)),0,
         IF(OFFSET(CRONOPLE!$F$15,$M121-$A$15,CC$13)=0,10^12,OFFSET(CRONOPLE!$F$15,$M121-$A$15,CC$13)))</f>
        <v>11</v>
      </c>
      <c r="CD121" s="353" t="n">
        <f aca="true">IF(OR($D121&lt;&gt;"Serviço",AND(AUTOEVENTO="Manual",$M121=$A$15)),0,
         IF(OFFSET(CRONOPLE!$F$15,$M121-$A$15,CD$13)=0,10^12,OFFSET(CRONOPLE!$F$15,$M121-$A$15,CD$13)))</f>
        <v>12</v>
      </c>
      <c r="CE121" s="353" t="n">
        <f aca="true">IF(OR($D121&lt;&gt;"Serviço",AND(AUTOEVENTO="Manual",$M121=$A$15)),0,
         IF(OFFSET(CRONOPLE!$F$15,$M121-$A$15,CE$13)=0,10^12,OFFSET(CRONOPLE!$F$15,$M121-$A$15,CE$13)))</f>
        <v>13</v>
      </c>
      <c r="CF121" s="353" t="n">
        <f aca="true">IF(OR($D121&lt;&gt;"Serviço",AND(AUTOEVENTO="Manual",$M121=$A$15)),0,
         IF(OFFSET(CRONOPLE!$F$15,$M121-$A$15,CF$13)=0,10^12,OFFSET(CRONOPLE!$F$15,$M121-$A$15,CF$13)))</f>
        <v>14</v>
      </c>
      <c r="CG121" s="353" t="n">
        <f aca="true">IF(OR($D121&lt;&gt;"Serviço",AND(AUTOEVENTO="Manual",$M121=$A$15)),0,
         IF(OFFSET(CRONOPLE!$F$15,$M121-$A$15,CG$13)=0,10^12,OFFSET(CRONOPLE!$F$15,$M121-$A$15,CG$13)))</f>
        <v>15</v>
      </c>
      <c r="CH121" s="353" t="n">
        <f aca="true">IF(OR($D121&lt;&gt;"Serviço",AND(AUTOEVENTO="Manual",$M121=$A$15)),0,
         IF(OFFSET(CRONOPLE!$F$15,$M121-$A$15,CH$13)=0,10^12,OFFSET(CRONOPLE!$F$15,$M121-$A$15,CH$13)))</f>
        <v>16</v>
      </c>
      <c r="CI121" s="353" t="n">
        <f aca="true">IF(OR($D121&lt;&gt;"Serviço",AND(AUTOEVENTO="Manual",$M121=$A$15)),0,
         IF(OFFSET(CRONOPLE!$F$15,$M121-$A$15,CI$13)=0,10^12,OFFSET(CRONOPLE!$F$15,$M121-$A$15,CI$13)))</f>
        <v>17</v>
      </c>
      <c r="CJ121" s="353" t="n">
        <f aca="true">IF(OR($D121&lt;&gt;"Serviço",AND(AUTOEVENTO="Manual",$M121=$A$15)),0,
         IF(OFFSET(CRONOPLE!$F$15,$M121-$A$15,CJ$13)=0,10^12,OFFSET(CRONOPLE!$F$15,$M121-$A$15,CJ$13)))</f>
        <v>18</v>
      </c>
      <c r="CK121" s="353" t="n">
        <f aca="true">IF(OR($D121&lt;&gt;"Serviço",AND(AUTOEVENTO="Manual",$M121=$A$15)),0,
         IF(OFFSET(CRONOPLE!$F$15,$M121-$A$15,CK$13)=0,10^12,OFFSET(CRONOPLE!$F$15,$M121-$A$15,CK$13)))</f>
        <v>19</v>
      </c>
      <c r="CL121" s="353" t="n">
        <f aca="true">IF(OR($D121&lt;&gt;"Serviço",AND(AUTOEVENTO="Manual",$M121=$A$15)),0,
         IF(OFFSET(CRONOPLE!$F$15,$M121-$A$15,CL$13)=0,10^12,OFFSET(CRONOPLE!$F$15,$M121-$A$15,CL$13)))</f>
        <v>20</v>
      </c>
      <c r="CM121" s="353" t="n">
        <f aca="true">IF(OR($D121&lt;&gt;"Serviço",AND(AUTOEVENTO="Manual",$M121=$A$15)),0,
         IF(OFFSET(CRONOPLE!$F$15,$M121-$A$15,CM$13)=0,10^12,OFFSET(CRONOPLE!$F$15,$M121-$A$15,CM$13)))</f>
        <v>21</v>
      </c>
      <c r="CN121" s="353" t="n">
        <f aca="true">IF(OR($D121&lt;&gt;"Serviço",AND(AUTOEVENTO="Manual",$M121=$A$15)),0,
         IF(OFFSET(CRONOPLE!$F$15,$M121-$A$15,CN$13)=0,10^12,OFFSET(CRONOPLE!$F$15,$M121-$A$15,CN$13)))</f>
        <v>22</v>
      </c>
      <c r="CO121" s="353" t="n">
        <f aca="true">IF(OR($D121&lt;&gt;"Serviço",AND(AUTOEVENTO="Manual",$M121=$A$15)),0,
         IF(OFFSET(CRONOPLE!$F$15,$M121-$A$15,CO$13)=0,10^12,OFFSET(CRONOPLE!$F$15,$M121-$A$15,CO$13)))</f>
        <v>23</v>
      </c>
      <c r="CP121" s="353" t="n">
        <f aca="true">IF(OR($D121&lt;&gt;"Serviço",AND(AUTOEVENTO="Manual",$M121=$A$15)),0,
         IF(OFFSET(CRONOPLE!$F$15,$M121-$A$15,CP$13)=0,10^12,OFFSET(CRONOPLE!$F$15,$M121-$A$15,CP$13)))</f>
        <v>24</v>
      </c>
      <c r="CQ121" s="353" t="n">
        <f aca="true">IF(OR($D121&lt;&gt;"Serviço",AND(AUTOEVENTO="Manual",$M121=$A$15)),0,
         IF(OFFSET(CRONOPLE!$F$15,$M121-$A$15,CQ$13)=0,10^12,OFFSET(CRONOPLE!$F$15,$M121-$A$15,CQ$13)))</f>
        <v>25</v>
      </c>
      <c r="CR121" s="353" t="n">
        <f aca="true">IF(OR($D121&lt;&gt;"Serviço",AND(AUTOEVENTO="Manual",$M121=$A$15)),0,
         IF(OFFSET(CRONOPLE!$F$15,$M121-$A$15,CR$13)=0,10^12,OFFSET(CRONOPLE!$F$15,$M121-$A$15,CR$13)))</f>
        <v>1000000000000</v>
      </c>
      <c r="CT121" s="354" t="n">
        <f aca="true">IF(OR($D121&lt;&gt;"Serviço",AND(AUTOEVENTO="Manual",$M121=$A$15),$M121&gt;(ROW(PLE.lastrow)-ROW(PLE.firstrow))),0,
           IF(OFFSET(PLE!$G$15,$M121-$A$15,CT$13)="",10^12,OFFSET(PLE!$G$15,$M121-$A$15,CT$13)))</f>
        <v>1000000000000</v>
      </c>
      <c r="CU121" s="354" t="n">
        <f aca="true">IF(OR($D121&lt;&gt;"Serviço",AND(AUTOEVENTO="Manual",$M121=$A$15),$M121&gt;(ROW(PLE.lastrow)-ROW(PLE.firstrow))),0,
           IF(OFFSET(PLE!$G$15,$M121-$A$15,CU$13)="",10^12,OFFSET(PLE!$G$15,$M121-$A$15,CU$13)))</f>
        <v>1000000000000</v>
      </c>
      <c r="CV121" s="354" t="n">
        <f aca="true">IF(OR($D121&lt;&gt;"Serviço",AND(AUTOEVENTO="Manual",$M121=$A$15),$M121&gt;(ROW(PLE.lastrow)-ROW(PLE.firstrow))),0,
           IF(OFFSET(PLE!$G$15,$M121-$A$15,CV$13)="",10^12,OFFSET(PLE!$G$15,$M121-$A$15,CV$13)))</f>
        <v>1000000000000</v>
      </c>
      <c r="CW121" s="354" t="n">
        <f aca="true">IF(OR($D121&lt;&gt;"Serviço",AND(AUTOEVENTO="Manual",$M121=$A$15),$M121&gt;(ROW(PLE.lastrow)-ROW(PLE.firstrow))),0,
           IF(OFFSET(PLE!$G$15,$M121-$A$15,CW$13)="",10^12,OFFSET(PLE!$G$15,$M121-$A$15,CW$13)))</f>
        <v>1000000000000</v>
      </c>
      <c r="CX121" s="354" t="n">
        <f aca="true">IF(OR($D121&lt;&gt;"Serviço",AND(AUTOEVENTO="Manual",$M121=$A$15),$M121&gt;(ROW(PLE.lastrow)-ROW(PLE.firstrow))),0,
           IF(OFFSET(PLE!$G$15,$M121-$A$15,CX$13)="",10^12,OFFSET(PLE!$G$15,$M121-$A$15,CX$13)))</f>
        <v>1000000000000</v>
      </c>
      <c r="CY121" s="354" t="n">
        <f aca="true">IF(OR($D121&lt;&gt;"Serviço",AND(AUTOEVENTO="Manual",$M121=$A$15),$M121&gt;(ROW(PLE.lastrow)-ROW(PLE.firstrow))),0,
           IF(OFFSET(PLE!$G$15,$M121-$A$15,CY$13)="",10^12,OFFSET(PLE!$G$15,$M121-$A$15,CY$13)))</f>
        <v>1000000000000</v>
      </c>
      <c r="CZ121" s="354" t="n">
        <f aca="true">IF(OR($D121&lt;&gt;"Serviço",AND(AUTOEVENTO="Manual",$M121=$A$15),$M121&gt;(ROW(PLE.lastrow)-ROW(PLE.firstrow))),0,
           IF(OFFSET(PLE!$G$15,$M121-$A$15,CZ$13)="",10^12,OFFSET(PLE!$G$15,$M121-$A$15,CZ$13)))</f>
        <v>1000000000000</v>
      </c>
      <c r="DA121" s="354" t="n">
        <f aca="true">IF(OR($D121&lt;&gt;"Serviço",AND(AUTOEVENTO="Manual",$M121=$A$15),$M121&gt;(ROW(PLE.lastrow)-ROW(PLE.firstrow))),0,
           IF(OFFSET(PLE!$G$15,$M121-$A$15,DA$13)="",10^12,OFFSET(PLE!$G$15,$M121-$A$15,DA$13)))</f>
        <v>1000000000000</v>
      </c>
      <c r="DB121" s="354" t="n">
        <f aca="true">IF(OR($D121&lt;&gt;"Serviço",AND(AUTOEVENTO="Manual",$M121=$A$15),$M121&gt;(ROW(PLE.lastrow)-ROW(PLE.firstrow))),0,
           IF(OFFSET(PLE!$G$15,$M121-$A$15,DB$13)="",10^12,OFFSET(PLE!$G$15,$M121-$A$15,DB$13)))</f>
        <v>1000000000000</v>
      </c>
      <c r="DC121" s="354" t="n">
        <f aca="true">IF(OR($D121&lt;&gt;"Serviço",AND(AUTOEVENTO="Manual",$M121=$A$15),$M121&gt;(ROW(PLE.lastrow)-ROW(PLE.firstrow))),0,
           IF(OFFSET(PLE!$G$15,$M121-$A$15,DC$13)="",10^12,OFFSET(PLE!$G$15,$M121-$A$15,DC$13)))</f>
        <v>1000000000000</v>
      </c>
      <c r="DD121" s="354" t="n">
        <f aca="true">IF(OR($D121&lt;&gt;"Serviço",AND(AUTOEVENTO="Manual",$M121=$A$15),$M121&gt;(ROW(PLE.lastrow)-ROW(PLE.firstrow))),0,
           IF(OFFSET(PLE!$G$15,$M121-$A$15,DD$13)="",10^12,OFFSET(PLE!$G$15,$M121-$A$15,DD$13)))</f>
        <v>1000000000000</v>
      </c>
      <c r="DE121" s="354" t="n">
        <f aca="true">IF(OR($D121&lt;&gt;"Serviço",AND(AUTOEVENTO="Manual",$M121=$A$15),$M121&gt;(ROW(PLE.lastrow)-ROW(PLE.firstrow))),0,
           IF(OFFSET(PLE!$G$15,$M121-$A$15,DE$13)="",10^12,OFFSET(PLE!$G$15,$M121-$A$15,DE$13)))</f>
        <v>1000000000000</v>
      </c>
      <c r="DF121" s="354" t="n">
        <f aca="true">IF(OR($D121&lt;&gt;"Serviço",AND(AUTOEVENTO="Manual",$M121=$A$15),$M121&gt;(ROW(PLE.lastrow)-ROW(PLE.firstrow))),0,
           IF(OFFSET(PLE!$G$15,$M121-$A$15,DF$13)="",10^12,OFFSET(PLE!$G$15,$M121-$A$15,DF$13)))</f>
        <v>1000000000000</v>
      </c>
      <c r="DG121" s="354" t="n">
        <f aca="true">IF(OR($D121&lt;&gt;"Serviço",AND(AUTOEVENTO="Manual",$M121=$A$15),$M121&gt;(ROW(PLE.lastrow)-ROW(PLE.firstrow))),0,
           IF(OFFSET(PLE!$G$15,$M121-$A$15,DG$13)="",10^12,OFFSET(PLE!$G$15,$M121-$A$15,DG$13)))</f>
        <v>1000000000000</v>
      </c>
      <c r="DH121" s="354" t="n">
        <f aca="true">IF(OR($D121&lt;&gt;"Serviço",AND(AUTOEVENTO="Manual",$M121=$A$15),$M121&gt;(ROW(PLE.lastrow)-ROW(PLE.firstrow))),0,
           IF(OFFSET(PLE!$G$15,$M121-$A$15,DH$13)="",10^12,OFFSET(PLE!$G$15,$M121-$A$15,DH$13)))</f>
        <v>1000000000000</v>
      </c>
      <c r="DI121" s="354" t="n">
        <f aca="true">IF(OR($D121&lt;&gt;"Serviço",AND(AUTOEVENTO="Manual",$M121=$A$15),$M121&gt;(ROW(PLE.lastrow)-ROW(PLE.firstrow))),0,
           IF(OFFSET(PLE!$G$15,$M121-$A$15,DI$13)="",10^12,OFFSET(PLE!$G$15,$M121-$A$15,DI$13)))</f>
        <v>1000000000000</v>
      </c>
      <c r="DJ121" s="354" t="n">
        <f aca="true">IF(OR($D121&lt;&gt;"Serviço",AND(AUTOEVENTO="Manual",$M121=$A$15),$M121&gt;(ROW(PLE.lastrow)-ROW(PLE.firstrow))),0,
           IF(OFFSET(PLE!$G$15,$M121-$A$15,DJ$13)="",10^12,OFFSET(PLE!$G$15,$M121-$A$15,DJ$13)))</f>
        <v>1000000000000</v>
      </c>
      <c r="DK121" s="354" t="n">
        <f aca="true">IF(OR($D121&lt;&gt;"Serviço",AND(AUTOEVENTO="Manual",$M121=$A$15),$M121&gt;(ROW(PLE.lastrow)-ROW(PLE.firstrow))),0,
           IF(OFFSET(PLE!$G$15,$M121-$A$15,DK$13)="",10^12,OFFSET(PLE!$G$15,$M121-$A$15,DK$13)))</f>
        <v>1000000000000</v>
      </c>
      <c r="DL121" s="354" t="n">
        <f aca="true">IF(OR($D121&lt;&gt;"Serviço",AND(AUTOEVENTO="Manual",$M121=$A$15),$M121&gt;(ROW(PLE.lastrow)-ROW(PLE.firstrow))),0,
           IF(OFFSET(PLE!$G$15,$M121-$A$15,DL$13)="",10^12,OFFSET(PLE!$G$15,$M121-$A$15,DL$13)))</f>
        <v>1000000000000</v>
      </c>
      <c r="DM121" s="354" t="n">
        <f aca="true">IF(OR($D121&lt;&gt;"Serviço",AND(AUTOEVENTO="Manual",$M121=$A$15),$M121&gt;(ROW(PLE.lastrow)-ROW(PLE.firstrow))),0,
           IF(OFFSET(PLE!$G$15,$M121-$A$15,DM$13)="",10^12,OFFSET(PLE!$G$15,$M121-$A$15,DM$13)))</f>
        <v>1000000000000</v>
      </c>
      <c r="DN121" s="354" t="n">
        <f aca="true">IF(OR($D121&lt;&gt;"Serviço",AND(AUTOEVENTO="Manual",$M121=$A$15),$M121&gt;(ROW(PLE.lastrow)-ROW(PLE.firstrow))),0,
           IF(OFFSET(PLE!$G$15,$M121-$A$15,DN$13)="",10^12,OFFSET(PLE!$G$15,$M121-$A$15,DN$13)))</f>
        <v>1000000000000</v>
      </c>
      <c r="DO121" s="354" t="n">
        <f aca="true">IF(OR($D121&lt;&gt;"Serviço",AND(AUTOEVENTO="Manual",$M121=$A$15),$M121&gt;(ROW(PLE.lastrow)-ROW(PLE.firstrow))),0,
           IF(OFFSET(PLE!$G$15,$M121-$A$15,DO$13)="",10^12,OFFSET(PLE!$G$15,$M121-$A$15,DO$13)))</f>
        <v>1000000000000</v>
      </c>
      <c r="DP121" s="354" t="n">
        <f aca="true">IF(OR($D121&lt;&gt;"Serviço",AND(AUTOEVENTO="Manual",$M121=$A$15),$M121&gt;(ROW(PLE.lastrow)-ROW(PLE.firstrow))),0,
           IF(OFFSET(PLE!$G$15,$M121-$A$15,DP$13)="",10^12,OFFSET(PLE!$G$15,$M121-$A$15,DP$13)))</f>
        <v>1000000000000</v>
      </c>
      <c r="DQ121" s="354" t="n">
        <f aca="true">IF(OR($D121&lt;&gt;"Serviço",AND(AUTOEVENTO="Manual",$M121=$A$15),$M121&gt;(ROW(PLE.lastrow)-ROW(PLE.firstrow))),0,
           IF(OFFSET(PLE!$G$15,$M121-$A$15,DQ$13)="",10^12,OFFSET(PLE!$G$15,$M121-$A$15,DQ$13)))</f>
        <v>1000000000000</v>
      </c>
      <c r="DR121" s="354" t="n">
        <f aca="true">IF(OR($D121&lt;&gt;"Serviço",AND(AUTOEVENTO="Manual",$M121=$A$15),$M121&gt;(ROW(PLE.lastrow)-ROW(PLE.firstrow))),0,
           IF(OFFSET(PLE!$G$15,$M121-$A$15,DR$13)="",10^12,OFFSET(PLE!$G$15,$M121-$A$15,DR$13)))</f>
        <v>1000000000000</v>
      </c>
      <c r="DS121" s="354" t="n">
        <f aca="true">IF(OR($D121&lt;&gt;"Serviço",AND(AUTOEVENTO="Manual",$M121=$A$15),$M121&gt;(ROW(PLE.lastrow)-ROW(PLE.firstrow))),0,
           IF(OFFSET(PLE!$G$15,$M121-$A$15,DS$13)="",10^12,OFFSET(PLE!$G$15,$M121-$A$15,DS$13)))</f>
        <v>1000000000000</v>
      </c>
    </row>
    <row r="122" customFormat="false" ht="23.85" hidden="false" customHeight="false" outlineLevel="0" collapsed="false">
      <c r="A122" s="50" t="str">
        <f aca="true">IFERROR(IF(AUTOEVENTO="Manual",IF(K122&lt;&gt;"",MIN(VALUE(LEFT(K122,FIND(".",K122)-1)),COUNTA(EVENTOS.Lista)),0),IF(OR($B122&gt;AUTOEVENTO,$B122="S",$B122=0),SUBSTITUTE(OFFSET($A122,-1,0),IF($D122="Serviço",".",""),""),ROW(A122)-ROW($A$15)&amp;".")),0)</f>
        <v>105</v>
      </c>
      <c r="B122" s="50" t="str">
        <f aca="true">OFFSET(ORÇAMENTO!C$15,ROW(B122)-ROW(B$15),0)</f>
        <v>S</v>
      </c>
      <c r="C122" s="50" t="str">
        <f aca="true">OFFSET(ORÇAMENTO!L$15,ROW(C122)-ROW(C$15),0)</f>
        <v>F</v>
      </c>
      <c r="D122" s="201" t="str">
        <f aca="true">OFFSET(ORÇAMENTO!N$15,ROW(D122)-ROW(D$15),0)</f>
        <v>Serviço</v>
      </c>
      <c r="E122" s="202" t="str">
        <f aca="true">OFFSET(ORÇAMENTO!O$15,ROW(E122)-ROW(E$15),0)</f>
        <v>1.36.2.</v>
      </c>
      <c r="F122" s="341" t="str">
        <f aca="true">OFFSET(ORÇAMENTO!R$15,ROW(F122)-ROW(F$15),0)</f>
        <v>DISJUNTOR MONOPOLAR TIPO DIN, CORRENTE NOMINAL DE 20A - FORNECIMENTO E INSTALAÇÃO. AF_07/2025</v>
      </c>
      <c r="G122" s="342" t="str">
        <f aca="true">IF($D122&lt;&gt;"Serviço","",OFFSET(ORÇAMENTO!S$15,ROW(G122)-ROW(G$15),0))</f>
        <v>UN</v>
      </c>
      <c r="H122" s="207" t="n">
        <f aca="true">IF($D122&lt;&gt;"Serviço",0,IF(ACOMPANHAMENTO="BM",ROUND(OFFSET(ORÇAMENTO!AJ$15,ROW(H122)-ROW(H$15),0),15-13*ORÇAMENTO!$AF$7),SUMPRODUCT(($Q$1:$AQ$1=1)*ROUND($Q122:$AQ122,15-13*ORÇAMENTO!$AF$7))))</f>
        <v>75</v>
      </c>
      <c r="I122" s="343" t="s">
        <v>970</v>
      </c>
      <c r="J122" s="344" t="e">
        <f aca="false">IF(OR(B122&lt;&gt;"S",CÁLCULO.FrentesPreenchidas=0),"",IF(AND(ACOMPANHAMENTO="PLE",AUTOEVENTO="Manual",OR(H122&gt;0,ORÇAMENTO!AC122="QUANT."),OR(K122="",M122=0,N122="")),"►",IF(AND(ACOMPANHAMENTO="PLE",ORÇAMENTO!AC122="QUANT."),"►►",IF(AND(COUNTIF($P$11:$AQ$11,"▼")=0,H122&gt;0,I122=""),"◄",""))))</f>
        <v>#NAME?</v>
      </c>
      <c r="K122" s="345"/>
      <c r="L122" s="346" t="s">
        <v>876</v>
      </c>
      <c r="M122" s="347" t="n">
        <f aca="true">IF($D122&lt;&gt;"Serviço","",
          IF(AUTOEVENTO="manual",$A122,
                IF(ISERROR(MATCH($A122,$A$15:OFFSET($A122,-1,0),0)),MAX($M$15:OFFSET(M122,-1,0))+1,
                      INDEX($M$15:OFFSET(M122,-1,0),MATCH($A122,$A$15:OFFSET($A122,-1,0),0)))))</f>
        <v>21</v>
      </c>
      <c r="N122" s="348" t="str">
        <f aca="true">IF($D122&lt;&gt;"Serviço","",
         IF(AUTOEVENTO="Manual",
                IF($A122=0,"&lt;-- defina o número do agrupador",
                       OFFSET(EVENTOS!$D$15,$A122-$A$15,0)),
                OFFSET($F$15,$A122,0)))</f>
        <v>CENTRO DE DISTRIBUIÇÃO</v>
      </c>
      <c r="O122" s="349"/>
      <c r="Q122" s="349" t="n">
        <v>3</v>
      </c>
      <c r="R122" s="350" t="n">
        <f aca="false">Q122</f>
        <v>3</v>
      </c>
      <c r="S122" s="350" t="n">
        <f aca="false">R122</f>
        <v>3</v>
      </c>
      <c r="T122" s="350" t="n">
        <f aca="false">S122</f>
        <v>3</v>
      </c>
      <c r="U122" s="350" t="n">
        <f aca="false">T122</f>
        <v>3</v>
      </c>
      <c r="V122" s="350" t="n">
        <f aca="false">U122</f>
        <v>3</v>
      </c>
      <c r="W122" s="350" t="n">
        <f aca="false">V122</f>
        <v>3</v>
      </c>
      <c r="X122" s="350" t="n">
        <f aca="false">W122</f>
        <v>3</v>
      </c>
      <c r="Y122" s="350" t="n">
        <f aca="false">X122</f>
        <v>3</v>
      </c>
      <c r="Z122" s="351" t="n">
        <f aca="false">Y122</f>
        <v>3</v>
      </c>
      <c r="AA122" s="350" t="n">
        <f aca="false">Z122</f>
        <v>3</v>
      </c>
      <c r="AB122" s="350" t="n">
        <f aca="false">AA122</f>
        <v>3</v>
      </c>
      <c r="AC122" s="350" t="n">
        <f aca="false">AB122</f>
        <v>3</v>
      </c>
      <c r="AD122" s="350" t="n">
        <f aca="false">AC122</f>
        <v>3</v>
      </c>
      <c r="AE122" s="350" t="n">
        <f aca="false">AD122</f>
        <v>3</v>
      </c>
      <c r="AF122" s="350" t="n">
        <f aca="false">AE122</f>
        <v>3</v>
      </c>
      <c r="AG122" s="350" t="n">
        <f aca="false">AF122</f>
        <v>3</v>
      </c>
      <c r="AH122" s="351" t="n">
        <f aca="false">AG122</f>
        <v>3</v>
      </c>
      <c r="AI122" s="350" t="n">
        <f aca="false">AH122</f>
        <v>3</v>
      </c>
      <c r="AJ122" s="350" t="n">
        <f aca="false">AI122</f>
        <v>3</v>
      </c>
      <c r="AK122" s="350" t="n">
        <f aca="false">AJ122</f>
        <v>3</v>
      </c>
      <c r="AL122" s="350" t="n">
        <f aca="false">AK122</f>
        <v>3</v>
      </c>
      <c r="AM122" s="350" t="n">
        <f aca="false">AL122</f>
        <v>3</v>
      </c>
      <c r="AN122" s="350" t="n">
        <f aca="false">AM122</f>
        <v>3</v>
      </c>
      <c r="AO122" s="350" t="n">
        <f aca="false">AN122</f>
        <v>3</v>
      </c>
      <c r="AP122" s="351"/>
      <c r="AR122" s="352" t="n">
        <f aca="true">IF(AND($D122="Serviço",AR$12&lt;&gt;0,$H122&gt;0,OR(AUTOEVENTO&lt;&gt;"manual",$M122&lt;&gt;$A$15)),
        IF(Import.TipoArredondamento&lt;&gt;"TransfereGOV",
              ROUND(OFFSET($P122,0,AR$13),15-13*ORÇAMENTO!$AF$7)/$H122*OFFSET(ORÇAMENTO!$X$15,ROW(AR122)-ROW(AR$15),0),
              ROUND(ROUND(OFFSET($P122,0,AR$13),15-13*ORÇAMENTO!$AF$7)*OFFSET(ORÇAMENTO!$W$15,ROW(AR122)-ROW(AR$15),0),15-13*ORÇAMENTO!$AF$11)),
         0)</f>
        <v>59.85</v>
      </c>
      <c r="AS122" s="352" t="n">
        <f aca="true">IF(AND($D122="Serviço",AS$12&lt;&gt;0,$H122&gt;0,OR(AUTOEVENTO&lt;&gt;"manual",$M122&lt;&gt;$A$15)),
        IF(Import.TipoArredondamento&lt;&gt;"TransfereGOV",
              ROUND(OFFSET($P122,0,AS$13),15-13*ORÇAMENTO!$AF$7)/$H122*OFFSET(ORÇAMENTO!$X$15,ROW(AS122)-ROW(AS$15),0),
              ROUND(ROUND(OFFSET($P122,0,AS$13),15-13*ORÇAMENTO!$AF$7)*OFFSET(ORÇAMENTO!$W$15,ROW(AS122)-ROW(AS$15),0),15-13*ORÇAMENTO!$AF$11)),
         0)</f>
        <v>59.85</v>
      </c>
      <c r="AT122" s="352" t="n">
        <f aca="true">IF(AND($D122="Serviço",AT$12&lt;&gt;0,$H122&gt;0,OR(AUTOEVENTO&lt;&gt;"manual",$M122&lt;&gt;$A$15)),
        IF(Import.TipoArredondamento&lt;&gt;"TransfereGOV",
              ROUND(OFFSET($P122,0,AT$13),15-13*ORÇAMENTO!$AF$7)/$H122*OFFSET(ORÇAMENTO!$X$15,ROW(AT122)-ROW(AT$15),0),
              ROUND(ROUND(OFFSET($P122,0,AT$13),15-13*ORÇAMENTO!$AF$7)*OFFSET(ORÇAMENTO!$W$15,ROW(AT122)-ROW(AT$15),0),15-13*ORÇAMENTO!$AF$11)),
         0)</f>
        <v>59.85</v>
      </c>
      <c r="AU122" s="352" t="n">
        <f aca="true">IF(AND($D122="Serviço",AU$12&lt;&gt;0,$H122&gt;0,OR(AUTOEVENTO&lt;&gt;"manual",$M122&lt;&gt;$A$15)),
        IF(Import.TipoArredondamento&lt;&gt;"TransfereGOV",
              ROUND(OFFSET($P122,0,AU$13),15-13*ORÇAMENTO!$AF$7)/$H122*OFFSET(ORÇAMENTO!$X$15,ROW(AU122)-ROW(AU$15),0),
              ROUND(ROUND(OFFSET($P122,0,AU$13),15-13*ORÇAMENTO!$AF$7)*OFFSET(ORÇAMENTO!$W$15,ROW(AU122)-ROW(AU$15),0),15-13*ORÇAMENTO!$AF$11)),
         0)</f>
        <v>59.85</v>
      </c>
      <c r="AV122" s="352" t="n">
        <f aca="true">IF(AND($D122="Serviço",AV$12&lt;&gt;0,$H122&gt;0,OR(AUTOEVENTO&lt;&gt;"manual",$M122&lt;&gt;$A$15)),
        IF(Import.TipoArredondamento&lt;&gt;"TransfereGOV",
              ROUND(OFFSET($P122,0,AV$13),15-13*ORÇAMENTO!$AF$7)/$H122*OFFSET(ORÇAMENTO!$X$15,ROW(AV122)-ROW(AV$15),0),
              ROUND(ROUND(OFFSET($P122,0,AV$13),15-13*ORÇAMENTO!$AF$7)*OFFSET(ORÇAMENTO!$W$15,ROW(AV122)-ROW(AV$15),0),15-13*ORÇAMENTO!$AF$11)),
         0)</f>
        <v>59.85</v>
      </c>
      <c r="AW122" s="352" t="n">
        <f aca="true">IF(AND($D122="Serviço",AW$12&lt;&gt;0,$H122&gt;0,OR(AUTOEVENTO&lt;&gt;"manual",$M122&lt;&gt;$A$15)),
        IF(Import.TipoArredondamento&lt;&gt;"TransfereGOV",
              ROUND(OFFSET($P122,0,AW$13),15-13*ORÇAMENTO!$AF$7)/$H122*OFFSET(ORÇAMENTO!$X$15,ROW(AW122)-ROW(AW$15),0),
              ROUND(ROUND(OFFSET($P122,0,AW$13),15-13*ORÇAMENTO!$AF$7)*OFFSET(ORÇAMENTO!$W$15,ROW(AW122)-ROW(AW$15),0),15-13*ORÇAMENTO!$AF$11)),
         0)</f>
        <v>59.85</v>
      </c>
      <c r="AX122" s="352" t="n">
        <f aca="true">IF(AND($D122="Serviço",AX$12&lt;&gt;0,$H122&gt;0,OR(AUTOEVENTO&lt;&gt;"manual",$M122&lt;&gt;$A$15)),
        IF(Import.TipoArredondamento&lt;&gt;"TransfereGOV",
              ROUND(OFFSET($P122,0,AX$13),15-13*ORÇAMENTO!$AF$7)/$H122*OFFSET(ORÇAMENTO!$X$15,ROW(AX122)-ROW(AX$15),0),
              ROUND(ROUND(OFFSET($P122,0,AX$13),15-13*ORÇAMENTO!$AF$7)*OFFSET(ORÇAMENTO!$W$15,ROW(AX122)-ROW(AX$15),0),15-13*ORÇAMENTO!$AF$11)),
         0)</f>
        <v>59.85</v>
      </c>
      <c r="AY122" s="352" t="n">
        <f aca="true">IF(AND($D122="Serviço",AY$12&lt;&gt;0,$H122&gt;0,OR(AUTOEVENTO&lt;&gt;"manual",$M122&lt;&gt;$A$15)),
        IF(Import.TipoArredondamento&lt;&gt;"TransfereGOV",
              ROUND(OFFSET($P122,0,AY$13),15-13*ORÇAMENTO!$AF$7)/$H122*OFFSET(ORÇAMENTO!$X$15,ROW(AY122)-ROW(AY$15),0),
              ROUND(ROUND(OFFSET($P122,0,AY$13),15-13*ORÇAMENTO!$AF$7)*OFFSET(ORÇAMENTO!$W$15,ROW(AY122)-ROW(AY$15),0),15-13*ORÇAMENTO!$AF$11)),
         0)</f>
        <v>59.85</v>
      </c>
      <c r="AZ122" s="352" t="n">
        <f aca="true">IF(AND($D122="Serviço",AZ$12&lt;&gt;0,$H122&gt;0,OR(AUTOEVENTO&lt;&gt;"manual",$M122&lt;&gt;$A$15)),
        IF(Import.TipoArredondamento&lt;&gt;"TransfereGOV",
              ROUND(OFFSET($P122,0,AZ$13),15-13*ORÇAMENTO!$AF$7)/$H122*OFFSET(ORÇAMENTO!$X$15,ROW(AZ122)-ROW(AZ$15),0),
              ROUND(ROUND(OFFSET($P122,0,AZ$13),15-13*ORÇAMENTO!$AF$7)*OFFSET(ORÇAMENTO!$W$15,ROW(AZ122)-ROW(AZ$15),0),15-13*ORÇAMENTO!$AF$11)),
         0)</f>
        <v>59.85</v>
      </c>
      <c r="BA122" s="352" t="n">
        <f aca="true">IF(AND($D122="Serviço",BA$12&lt;&gt;0,$H122&gt;0,OR(AUTOEVENTO&lt;&gt;"manual",$M122&lt;&gt;$A$15)),
        IF(Import.TipoArredondamento&lt;&gt;"TransfereGOV",
              ROUND(OFFSET($P122,0,BA$13),15-13*ORÇAMENTO!$AF$7)/$H122*OFFSET(ORÇAMENTO!$X$15,ROW(BA122)-ROW(BA$15),0),
              ROUND(ROUND(OFFSET($P122,0,BA$13),15-13*ORÇAMENTO!$AF$7)*OFFSET(ORÇAMENTO!$W$15,ROW(BA122)-ROW(BA$15),0),15-13*ORÇAMENTO!$AF$11)),
         0)</f>
        <v>59.85</v>
      </c>
      <c r="BB122" s="352" t="n">
        <f aca="true">IF(AND($D122="Serviço",BB$12&lt;&gt;0,$H122&gt;0,OR(AUTOEVENTO&lt;&gt;"manual",$M122&lt;&gt;$A$15)),
        IF(Import.TipoArredondamento&lt;&gt;"TransfereGOV",
              ROUND(OFFSET($P122,0,BB$13),15-13*ORÇAMENTO!$AF$7)/$H122*OFFSET(ORÇAMENTO!$X$15,ROW(BB122)-ROW(BB$15),0),
              ROUND(ROUND(OFFSET($P122,0,BB$13),15-13*ORÇAMENTO!$AF$7)*OFFSET(ORÇAMENTO!$W$15,ROW(BB122)-ROW(BB$15),0),15-13*ORÇAMENTO!$AF$11)),
         0)</f>
        <v>59.85</v>
      </c>
      <c r="BC122" s="352" t="n">
        <f aca="true">IF(AND($D122="Serviço",BC$12&lt;&gt;0,$H122&gt;0,OR(AUTOEVENTO&lt;&gt;"manual",$M122&lt;&gt;$A$15)),
        IF(Import.TipoArredondamento&lt;&gt;"TransfereGOV",
              ROUND(OFFSET($P122,0,BC$13),15-13*ORÇAMENTO!$AF$7)/$H122*OFFSET(ORÇAMENTO!$X$15,ROW(BC122)-ROW(BC$15),0),
              ROUND(ROUND(OFFSET($P122,0,BC$13),15-13*ORÇAMENTO!$AF$7)*OFFSET(ORÇAMENTO!$W$15,ROW(BC122)-ROW(BC$15),0),15-13*ORÇAMENTO!$AF$11)),
         0)</f>
        <v>59.85</v>
      </c>
      <c r="BD122" s="352" t="n">
        <f aca="true">IF(AND($D122="Serviço",BD$12&lt;&gt;0,$H122&gt;0,OR(AUTOEVENTO&lt;&gt;"manual",$M122&lt;&gt;$A$15)),
        IF(Import.TipoArredondamento&lt;&gt;"TransfereGOV",
              ROUND(OFFSET($P122,0,BD$13),15-13*ORÇAMENTO!$AF$7)/$H122*OFFSET(ORÇAMENTO!$X$15,ROW(BD122)-ROW(BD$15),0),
              ROUND(ROUND(OFFSET($P122,0,BD$13),15-13*ORÇAMENTO!$AF$7)*OFFSET(ORÇAMENTO!$W$15,ROW(BD122)-ROW(BD$15),0),15-13*ORÇAMENTO!$AF$11)),
         0)</f>
        <v>59.85</v>
      </c>
      <c r="BE122" s="352" t="n">
        <f aca="true">IF(AND($D122="Serviço",BE$12&lt;&gt;0,$H122&gt;0,OR(AUTOEVENTO&lt;&gt;"manual",$M122&lt;&gt;$A$15)),
        IF(Import.TipoArredondamento&lt;&gt;"TransfereGOV",
              ROUND(OFFSET($P122,0,BE$13),15-13*ORÇAMENTO!$AF$7)/$H122*OFFSET(ORÇAMENTO!$X$15,ROW(BE122)-ROW(BE$15),0),
              ROUND(ROUND(OFFSET($P122,0,BE$13),15-13*ORÇAMENTO!$AF$7)*OFFSET(ORÇAMENTO!$W$15,ROW(BE122)-ROW(BE$15),0),15-13*ORÇAMENTO!$AF$11)),
         0)</f>
        <v>59.85</v>
      </c>
      <c r="BF122" s="352" t="n">
        <f aca="true">IF(AND($D122="Serviço",BF$12&lt;&gt;0,$H122&gt;0,OR(AUTOEVENTO&lt;&gt;"manual",$M122&lt;&gt;$A$15)),
        IF(Import.TipoArredondamento&lt;&gt;"TransfereGOV",
              ROUND(OFFSET($P122,0,BF$13),15-13*ORÇAMENTO!$AF$7)/$H122*OFFSET(ORÇAMENTO!$X$15,ROW(BF122)-ROW(BF$15),0),
              ROUND(ROUND(OFFSET($P122,0,BF$13),15-13*ORÇAMENTO!$AF$7)*OFFSET(ORÇAMENTO!$W$15,ROW(BF122)-ROW(BF$15),0),15-13*ORÇAMENTO!$AF$11)),
         0)</f>
        <v>59.85</v>
      </c>
      <c r="BG122" s="352" t="n">
        <f aca="true">IF(AND($D122="Serviço",BG$12&lt;&gt;0,$H122&gt;0,OR(AUTOEVENTO&lt;&gt;"manual",$M122&lt;&gt;$A$15)),
        IF(Import.TipoArredondamento&lt;&gt;"TransfereGOV",
              ROUND(OFFSET($P122,0,BG$13),15-13*ORÇAMENTO!$AF$7)/$H122*OFFSET(ORÇAMENTO!$X$15,ROW(BG122)-ROW(BG$15),0),
              ROUND(ROUND(OFFSET($P122,0,BG$13),15-13*ORÇAMENTO!$AF$7)*OFFSET(ORÇAMENTO!$W$15,ROW(BG122)-ROW(BG$15),0),15-13*ORÇAMENTO!$AF$11)),
         0)</f>
        <v>59.85</v>
      </c>
      <c r="BH122" s="352" t="n">
        <f aca="true">IF(AND($D122="Serviço",BH$12&lt;&gt;0,$H122&gt;0,OR(AUTOEVENTO&lt;&gt;"manual",$M122&lt;&gt;$A$15)),
        IF(Import.TipoArredondamento&lt;&gt;"TransfereGOV",
              ROUND(OFFSET($P122,0,BH$13),15-13*ORÇAMENTO!$AF$7)/$H122*OFFSET(ORÇAMENTO!$X$15,ROW(BH122)-ROW(BH$15),0),
              ROUND(ROUND(OFFSET($P122,0,BH$13),15-13*ORÇAMENTO!$AF$7)*OFFSET(ORÇAMENTO!$W$15,ROW(BH122)-ROW(BH$15),0),15-13*ORÇAMENTO!$AF$11)),
         0)</f>
        <v>59.85</v>
      </c>
      <c r="BI122" s="352" t="n">
        <f aca="true">IF(AND($D122="Serviço",BI$12&lt;&gt;0,$H122&gt;0,OR(AUTOEVENTO&lt;&gt;"manual",$M122&lt;&gt;$A$15)),
        IF(Import.TipoArredondamento&lt;&gt;"TransfereGOV",
              ROUND(OFFSET($P122,0,BI$13),15-13*ORÇAMENTO!$AF$7)/$H122*OFFSET(ORÇAMENTO!$X$15,ROW(BI122)-ROW(BI$15),0),
              ROUND(ROUND(OFFSET($P122,0,BI$13),15-13*ORÇAMENTO!$AF$7)*OFFSET(ORÇAMENTO!$W$15,ROW(BI122)-ROW(BI$15),0),15-13*ORÇAMENTO!$AF$11)),
         0)</f>
        <v>59.85</v>
      </c>
      <c r="BJ122" s="352" t="n">
        <f aca="true">IF(AND($D122="Serviço",BJ$12&lt;&gt;0,$H122&gt;0,OR(AUTOEVENTO&lt;&gt;"manual",$M122&lt;&gt;$A$15)),
        IF(Import.TipoArredondamento&lt;&gt;"TransfereGOV",
              ROUND(OFFSET($P122,0,BJ$13),15-13*ORÇAMENTO!$AF$7)/$H122*OFFSET(ORÇAMENTO!$X$15,ROW(BJ122)-ROW(BJ$15),0),
              ROUND(ROUND(OFFSET($P122,0,BJ$13),15-13*ORÇAMENTO!$AF$7)*OFFSET(ORÇAMENTO!$W$15,ROW(BJ122)-ROW(BJ$15),0),15-13*ORÇAMENTO!$AF$11)),
         0)</f>
        <v>59.85</v>
      </c>
      <c r="BK122" s="352" t="n">
        <f aca="true">IF(AND($D122="Serviço",BK$12&lt;&gt;0,$H122&gt;0,OR(AUTOEVENTO&lt;&gt;"manual",$M122&lt;&gt;$A$15)),
        IF(Import.TipoArredondamento&lt;&gt;"TransfereGOV",
              ROUND(OFFSET($P122,0,BK$13),15-13*ORÇAMENTO!$AF$7)/$H122*OFFSET(ORÇAMENTO!$X$15,ROW(BK122)-ROW(BK$15),0),
              ROUND(ROUND(OFFSET($P122,0,BK$13),15-13*ORÇAMENTO!$AF$7)*OFFSET(ORÇAMENTO!$W$15,ROW(BK122)-ROW(BK$15),0),15-13*ORÇAMENTO!$AF$11)),
         0)</f>
        <v>59.85</v>
      </c>
      <c r="BL122" s="352" t="n">
        <f aca="true">IF(AND($D122="Serviço",BL$12&lt;&gt;0,$H122&gt;0,OR(AUTOEVENTO&lt;&gt;"manual",$M122&lt;&gt;$A$15)),
        IF(Import.TipoArredondamento&lt;&gt;"TransfereGOV",
              ROUND(OFFSET($P122,0,BL$13),15-13*ORÇAMENTO!$AF$7)/$H122*OFFSET(ORÇAMENTO!$X$15,ROW(BL122)-ROW(BL$15),0),
              ROUND(ROUND(OFFSET($P122,0,BL$13),15-13*ORÇAMENTO!$AF$7)*OFFSET(ORÇAMENTO!$W$15,ROW(BL122)-ROW(BL$15),0),15-13*ORÇAMENTO!$AF$11)),
         0)</f>
        <v>59.85</v>
      </c>
      <c r="BM122" s="352" t="n">
        <f aca="true">IF(AND($D122="Serviço",BM$12&lt;&gt;0,$H122&gt;0,OR(AUTOEVENTO&lt;&gt;"manual",$M122&lt;&gt;$A$15)),
        IF(Import.TipoArredondamento&lt;&gt;"TransfereGOV",
              ROUND(OFFSET($P122,0,BM$13),15-13*ORÇAMENTO!$AF$7)/$H122*OFFSET(ORÇAMENTO!$X$15,ROW(BM122)-ROW(BM$15),0),
              ROUND(ROUND(OFFSET($P122,0,BM$13),15-13*ORÇAMENTO!$AF$7)*OFFSET(ORÇAMENTO!$W$15,ROW(BM122)-ROW(BM$15),0),15-13*ORÇAMENTO!$AF$11)),
         0)</f>
        <v>59.85</v>
      </c>
      <c r="BN122" s="352" t="n">
        <f aca="true">IF(AND($D122="Serviço",BN$12&lt;&gt;0,$H122&gt;0,OR(AUTOEVENTO&lt;&gt;"manual",$M122&lt;&gt;$A$15)),
        IF(Import.TipoArredondamento&lt;&gt;"TransfereGOV",
              ROUND(OFFSET($P122,0,BN$13),15-13*ORÇAMENTO!$AF$7)/$H122*OFFSET(ORÇAMENTO!$X$15,ROW(BN122)-ROW(BN$15),0),
              ROUND(ROUND(OFFSET($P122,0,BN$13),15-13*ORÇAMENTO!$AF$7)*OFFSET(ORÇAMENTO!$W$15,ROW(BN122)-ROW(BN$15),0),15-13*ORÇAMENTO!$AF$11)),
         0)</f>
        <v>59.85</v>
      </c>
      <c r="BO122" s="352" t="n">
        <f aca="true">IF(AND($D122="Serviço",BO$12&lt;&gt;0,$H122&gt;0,OR(AUTOEVENTO&lt;&gt;"manual",$M122&lt;&gt;$A$15)),
        IF(Import.TipoArredondamento&lt;&gt;"TransfereGOV",
              ROUND(OFFSET($P122,0,BO$13),15-13*ORÇAMENTO!$AF$7)/$H122*OFFSET(ORÇAMENTO!$X$15,ROW(BO122)-ROW(BO$15),0),
              ROUND(ROUND(OFFSET($P122,0,BO$13),15-13*ORÇAMENTO!$AF$7)*OFFSET(ORÇAMENTO!$W$15,ROW(BO122)-ROW(BO$15),0),15-13*ORÇAMENTO!$AF$11)),
         0)</f>
        <v>59.85</v>
      </c>
      <c r="BP122" s="352" t="n">
        <f aca="true">IF(AND($D122="Serviço",BP$12&lt;&gt;0,$H122&gt;0,OR(AUTOEVENTO&lt;&gt;"manual",$M122&lt;&gt;$A$15)),
        IF(Import.TipoArredondamento&lt;&gt;"TransfereGOV",
              ROUND(OFFSET($P122,0,BP$13),15-13*ORÇAMENTO!$AF$7)/$H122*OFFSET(ORÇAMENTO!$X$15,ROW(BP122)-ROW(BP$15),0),
              ROUND(ROUND(OFFSET($P122,0,BP$13),15-13*ORÇAMENTO!$AF$7)*OFFSET(ORÇAMENTO!$W$15,ROW(BP122)-ROW(BP$15),0),15-13*ORÇAMENTO!$AF$11)),
         0)</f>
        <v>59.85</v>
      </c>
      <c r="BQ122" s="352" t="n">
        <f aca="true">IF(AND($D122="Serviço",BQ$12&lt;&gt;0,$H122&gt;0,OR(AUTOEVENTO&lt;&gt;"manual",$M122&lt;&gt;$A$15)),
        IF(Import.TipoArredondamento&lt;&gt;"TransfereGOV",
              ROUND(OFFSET($P122,0,BQ$13),15-13*ORÇAMENTO!$AF$7)/$H122*OFFSET(ORÇAMENTO!$X$15,ROW(BQ122)-ROW(BQ$15),0),
              ROUND(ROUND(OFFSET($P122,0,BQ$13),15-13*ORÇAMENTO!$AF$7)*OFFSET(ORÇAMENTO!$W$15,ROW(BQ122)-ROW(BQ$15),0),15-13*ORÇAMENTO!$AF$11)),
         0)</f>
        <v>0</v>
      </c>
      <c r="BS122" s="353" t="n">
        <f aca="true">IF(OR($D122&lt;&gt;"Serviço",AND(AUTOEVENTO="Manual",$M122=$A$15)),0,
         IF(OFFSET(CRONOPLE!$F$15,$M122-$A$15,BS$13)=0,10^12,OFFSET(CRONOPLE!$F$15,$M122-$A$15,BS$13)))</f>
        <v>1</v>
      </c>
      <c r="BT122" s="353" t="n">
        <f aca="true">IF(OR($D122&lt;&gt;"Serviço",AND(AUTOEVENTO="Manual",$M122=$A$15)),0,
         IF(OFFSET(CRONOPLE!$F$15,$M122-$A$15,BT$13)=0,10^12,OFFSET(CRONOPLE!$F$15,$M122-$A$15,BT$13)))</f>
        <v>2</v>
      </c>
      <c r="BU122" s="353" t="n">
        <f aca="true">IF(OR($D122&lt;&gt;"Serviço",AND(AUTOEVENTO="Manual",$M122=$A$15)),0,
         IF(OFFSET(CRONOPLE!$F$15,$M122-$A$15,BU$13)=0,10^12,OFFSET(CRONOPLE!$F$15,$M122-$A$15,BU$13)))</f>
        <v>3</v>
      </c>
      <c r="BV122" s="353" t="n">
        <f aca="true">IF(OR($D122&lt;&gt;"Serviço",AND(AUTOEVENTO="Manual",$M122=$A$15)),0,
         IF(OFFSET(CRONOPLE!$F$15,$M122-$A$15,BV$13)=0,10^12,OFFSET(CRONOPLE!$F$15,$M122-$A$15,BV$13)))</f>
        <v>4</v>
      </c>
      <c r="BW122" s="353" t="n">
        <f aca="true">IF(OR($D122&lt;&gt;"Serviço",AND(AUTOEVENTO="Manual",$M122=$A$15)),0,
         IF(OFFSET(CRONOPLE!$F$15,$M122-$A$15,BW$13)=0,10^12,OFFSET(CRONOPLE!$F$15,$M122-$A$15,BW$13)))</f>
        <v>5</v>
      </c>
      <c r="BX122" s="353" t="n">
        <f aca="true">IF(OR($D122&lt;&gt;"Serviço",AND(AUTOEVENTO="Manual",$M122=$A$15)),0,
         IF(OFFSET(CRONOPLE!$F$15,$M122-$A$15,BX$13)=0,10^12,OFFSET(CRONOPLE!$F$15,$M122-$A$15,BX$13)))</f>
        <v>6</v>
      </c>
      <c r="BY122" s="353" t="n">
        <f aca="true">IF(OR($D122&lt;&gt;"Serviço",AND(AUTOEVENTO="Manual",$M122=$A$15)),0,
         IF(OFFSET(CRONOPLE!$F$15,$M122-$A$15,BY$13)=0,10^12,OFFSET(CRONOPLE!$F$15,$M122-$A$15,BY$13)))</f>
        <v>7</v>
      </c>
      <c r="BZ122" s="353" t="n">
        <f aca="true">IF(OR($D122&lt;&gt;"Serviço",AND(AUTOEVENTO="Manual",$M122=$A$15)),0,
         IF(OFFSET(CRONOPLE!$F$15,$M122-$A$15,BZ$13)=0,10^12,OFFSET(CRONOPLE!$F$15,$M122-$A$15,BZ$13)))</f>
        <v>8</v>
      </c>
      <c r="CA122" s="353" t="n">
        <f aca="true">IF(OR($D122&lt;&gt;"Serviço",AND(AUTOEVENTO="Manual",$M122=$A$15)),0,
         IF(OFFSET(CRONOPLE!$F$15,$M122-$A$15,CA$13)=0,10^12,OFFSET(CRONOPLE!$F$15,$M122-$A$15,CA$13)))</f>
        <v>9</v>
      </c>
      <c r="CB122" s="353" t="n">
        <f aca="true">IF(OR($D122&lt;&gt;"Serviço",AND(AUTOEVENTO="Manual",$M122=$A$15)),0,
         IF(OFFSET(CRONOPLE!$F$15,$M122-$A$15,CB$13)=0,10^12,OFFSET(CRONOPLE!$F$15,$M122-$A$15,CB$13)))</f>
        <v>10</v>
      </c>
      <c r="CC122" s="353" t="n">
        <f aca="true">IF(OR($D122&lt;&gt;"Serviço",AND(AUTOEVENTO="Manual",$M122=$A$15)),0,
         IF(OFFSET(CRONOPLE!$F$15,$M122-$A$15,CC$13)=0,10^12,OFFSET(CRONOPLE!$F$15,$M122-$A$15,CC$13)))</f>
        <v>11</v>
      </c>
      <c r="CD122" s="353" t="n">
        <f aca="true">IF(OR($D122&lt;&gt;"Serviço",AND(AUTOEVENTO="Manual",$M122=$A$15)),0,
         IF(OFFSET(CRONOPLE!$F$15,$M122-$A$15,CD$13)=0,10^12,OFFSET(CRONOPLE!$F$15,$M122-$A$15,CD$13)))</f>
        <v>12</v>
      </c>
      <c r="CE122" s="353" t="n">
        <f aca="true">IF(OR($D122&lt;&gt;"Serviço",AND(AUTOEVENTO="Manual",$M122=$A$15)),0,
         IF(OFFSET(CRONOPLE!$F$15,$M122-$A$15,CE$13)=0,10^12,OFFSET(CRONOPLE!$F$15,$M122-$A$15,CE$13)))</f>
        <v>13</v>
      </c>
      <c r="CF122" s="353" t="n">
        <f aca="true">IF(OR($D122&lt;&gt;"Serviço",AND(AUTOEVENTO="Manual",$M122=$A$15)),0,
         IF(OFFSET(CRONOPLE!$F$15,$M122-$A$15,CF$13)=0,10^12,OFFSET(CRONOPLE!$F$15,$M122-$A$15,CF$13)))</f>
        <v>14</v>
      </c>
      <c r="CG122" s="353" t="n">
        <f aca="true">IF(OR($D122&lt;&gt;"Serviço",AND(AUTOEVENTO="Manual",$M122=$A$15)),0,
         IF(OFFSET(CRONOPLE!$F$15,$M122-$A$15,CG$13)=0,10^12,OFFSET(CRONOPLE!$F$15,$M122-$A$15,CG$13)))</f>
        <v>15</v>
      </c>
      <c r="CH122" s="353" t="n">
        <f aca="true">IF(OR($D122&lt;&gt;"Serviço",AND(AUTOEVENTO="Manual",$M122=$A$15)),0,
         IF(OFFSET(CRONOPLE!$F$15,$M122-$A$15,CH$13)=0,10^12,OFFSET(CRONOPLE!$F$15,$M122-$A$15,CH$13)))</f>
        <v>16</v>
      </c>
      <c r="CI122" s="353" t="n">
        <f aca="true">IF(OR($D122&lt;&gt;"Serviço",AND(AUTOEVENTO="Manual",$M122=$A$15)),0,
         IF(OFFSET(CRONOPLE!$F$15,$M122-$A$15,CI$13)=0,10^12,OFFSET(CRONOPLE!$F$15,$M122-$A$15,CI$13)))</f>
        <v>17</v>
      </c>
      <c r="CJ122" s="353" t="n">
        <f aca="true">IF(OR($D122&lt;&gt;"Serviço",AND(AUTOEVENTO="Manual",$M122=$A$15)),0,
         IF(OFFSET(CRONOPLE!$F$15,$M122-$A$15,CJ$13)=0,10^12,OFFSET(CRONOPLE!$F$15,$M122-$A$15,CJ$13)))</f>
        <v>18</v>
      </c>
      <c r="CK122" s="353" t="n">
        <f aca="true">IF(OR($D122&lt;&gt;"Serviço",AND(AUTOEVENTO="Manual",$M122=$A$15)),0,
         IF(OFFSET(CRONOPLE!$F$15,$M122-$A$15,CK$13)=0,10^12,OFFSET(CRONOPLE!$F$15,$M122-$A$15,CK$13)))</f>
        <v>19</v>
      </c>
      <c r="CL122" s="353" t="n">
        <f aca="true">IF(OR($D122&lt;&gt;"Serviço",AND(AUTOEVENTO="Manual",$M122=$A$15)),0,
         IF(OFFSET(CRONOPLE!$F$15,$M122-$A$15,CL$13)=0,10^12,OFFSET(CRONOPLE!$F$15,$M122-$A$15,CL$13)))</f>
        <v>20</v>
      </c>
      <c r="CM122" s="353" t="n">
        <f aca="true">IF(OR($D122&lt;&gt;"Serviço",AND(AUTOEVENTO="Manual",$M122=$A$15)),0,
         IF(OFFSET(CRONOPLE!$F$15,$M122-$A$15,CM$13)=0,10^12,OFFSET(CRONOPLE!$F$15,$M122-$A$15,CM$13)))</f>
        <v>21</v>
      </c>
      <c r="CN122" s="353" t="n">
        <f aca="true">IF(OR($D122&lt;&gt;"Serviço",AND(AUTOEVENTO="Manual",$M122=$A$15)),0,
         IF(OFFSET(CRONOPLE!$F$15,$M122-$A$15,CN$13)=0,10^12,OFFSET(CRONOPLE!$F$15,$M122-$A$15,CN$13)))</f>
        <v>22</v>
      </c>
      <c r="CO122" s="353" t="n">
        <f aca="true">IF(OR($D122&lt;&gt;"Serviço",AND(AUTOEVENTO="Manual",$M122=$A$15)),0,
         IF(OFFSET(CRONOPLE!$F$15,$M122-$A$15,CO$13)=0,10^12,OFFSET(CRONOPLE!$F$15,$M122-$A$15,CO$13)))</f>
        <v>23</v>
      </c>
      <c r="CP122" s="353" t="n">
        <f aca="true">IF(OR($D122&lt;&gt;"Serviço",AND(AUTOEVENTO="Manual",$M122=$A$15)),0,
         IF(OFFSET(CRONOPLE!$F$15,$M122-$A$15,CP$13)=0,10^12,OFFSET(CRONOPLE!$F$15,$M122-$A$15,CP$13)))</f>
        <v>24</v>
      </c>
      <c r="CQ122" s="353" t="n">
        <f aca="true">IF(OR($D122&lt;&gt;"Serviço",AND(AUTOEVENTO="Manual",$M122=$A$15)),0,
         IF(OFFSET(CRONOPLE!$F$15,$M122-$A$15,CQ$13)=0,10^12,OFFSET(CRONOPLE!$F$15,$M122-$A$15,CQ$13)))</f>
        <v>25</v>
      </c>
      <c r="CR122" s="353" t="n">
        <f aca="true">IF(OR($D122&lt;&gt;"Serviço",AND(AUTOEVENTO="Manual",$M122=$A$15)),0,
         IF(OFFSET(CRONOPLE!$F$15,$M122-$A$15,CR$13)=0,10^12,OFFSET(CRONOPLE!$F$15,$M122-$A$15,CR$13)))</f>
        <v>1000000000000</v>
      </c>
      <c r="CT122" s="354" t="n">
        <f aca="true">IF(OR($D122&lt;&gt;"Serviço",AND(AUTOEVENTO="Manual",$M122=$A$15),$M122&gt;(ROW(PLE.lastrow)-ROW(PLE.firstrow))),0,
           IF(OFFSET(PLE!$G$15,$M122-$A$15,CT$13)="",10^12,OFFSET(PLE!$G$15,$M122-$A$15,CT$13)))</f>
        <v>1000000000000</v>
      </c>
      <c r="CU122" s="354" t="n">
        <f aca="true">IF(OR($D122&lt;&gt;"Serviço",AND(AUTOEVENTO="Manual",$M122=$A$15),$M122&gt;(ROW(PLE.lastrow)-ROW(PLE.firstrow))),0,
           IF(OFFSET(PLE!$G$15,$M122-$A$15,CU$13)="",10^12,OFFSET(PLE!$G$15,$M122-$A$15,CU$13)))</f>
        <v>1000000000000</v>
      </c>
      <c r="CV122" s="354" t="n">
        <f aca="true">IF(OR($D122&lt;&gt;"Serviço",AND(AUTOEVENTO="Manual",$M122=$A$15),$M122&gt;(ROW(PLE.lastrow)-ROW(PLE.firstrow))),0,
           IF(OFFSET(PLE!$G$15,$M122-$A$15,CV$13)="",10^12,OFFSET(PLE!$G$15,$M122-$A$15,CV$13)))</f>
        <v>1000000000000</v>
      </c>
      <c r="CW122" s="354" t="n">
        <f aca="true">IF(OR($D122&lt;&gt;"Serviço",AND(AUTOEVENTO="Manual",$M122=$A$15),$M122&gt;(ROW(PLE.lastrow)-ROW(PLE.firstrow))),0,
           IF(OFFSET(PLE!$G$15,$M122-$A$15,CW$13)="",10^12,OFFSET(PLE!$G$15,$M122-$A$15,CW$13)))</f>
        <v>1000000000000</v>
      </c>
      <c r="CX122" s="354" t="n">
        <f aca="true">IF(OR($D122&lt;&gt;"Serviço",AND(AUTOEVENTO="Manual",$M122=$A$15),$M122&gt;(ROW(PLE.lastrow)-ROW(PLE.firstrow))),0,
           IF(OFFSET(PLE!$G$15,$M122-$A$15,CX$13)="",10^12,OFFSET(PLE!$G$15,$M122-$A$15,CX$13)))</f>
        <v>1000000000000</v>
      </c>
      <c r="CY122" s="354" t="n">
        <f aca="true">IF(OR($D122&lt;&gt;"Serviço",AND(AUTOEVENTO="Manual",$M122=$A$15),$M122&gt;(ROW(PLE.lastrow)-ROW(PLE.firstrow))),0,
           IF(OFFSET(PLE!$G$15,$M122-$A$15,CY$13)="",10^12,OFFSET(PLE!$G$15,$M122-$A$15,CY$13)))</f>
        <v>1000000000000</v>
      </c>
      <c r="CZ122" s="354" t="n">
        <f aca="true">IF(OR($D122&lt;&gt;"Serviço",AND(AUTOEVENTO="Manual",$M122=$A$15),$M122&gt;(ROW(PLE.lastrow)-ROW(PLE.firstrow))),0,
           IF(OFFSET(PLE!$G$15,$M122-$A$15,CZ$13)="",10^12,OFFSET(PLE!$G$15,$M122-$A$15,CZ$13)))</f>
        <v>1000000000000</v>
      </c>
      <c r="DA122" s="354" t="n">
        <f aca="true">IF(OR($D122&lt;&gt;"Serviço",AND(AUTOEVENTO="Manual",$M122=$A$15),$M122&gt;(ROW(PLE.lastrow)-ROW(PLE.firstrow))),0,
           IF(OFFSET(PLE!$G$15,$M122-$A$15,DA$13)="",10^12,OFFSET(PLE!$G$15,$M122-$A$15,DA$13)))</f>
        <v>1000000000000</v>
      </c>
      <c r="DB122" s="354" t="n">
        <f aca="true">IF(OR($D122&lt;&gt;"Serviço",AND(AUTOEVENTO="Manual",$M122=$A$15),$M122&gt;(ROW(PLE.lastrow)-ROW(PLE.firstrow))),0,
           IF(OFFSET(PLE!$G$15,$M122-$A$15,DB$13)="",10^12,OFFSET(PLE!$G$15,$M122-$A$15,DB$13)))</f>
        <v>1000000000000</v>
      </c>
      <c r="DC122" s="354" t="n">
        <f aca="true">IF(OR($D122&lt;&gt;"Serviço",AND(AUTOEVENTO="Manual",$M122=$A$15),$M122&gt;(ROW(PLE.lastrow)-ROW(PLE.firstrow))),0,
           IF(OFFSET(PLE!$G$15,$M122-$A$15,DC$13)="",10^12,OFFSET(PLE!$G$15,$M122-$A$15,DC$13)))</f>
        <v>1000000000000</v>
      </c>
      <c r="DD122" s="354" t="n">
        <f aca="true">IF(OR($D122&lt;&gt;"Serviço",AND(AUTOEVENTO="Manual",$M122=$A$15),$M122&gt;(ROW(PLE.lastrow)-ROW(PLE.firstrow))),0,
           IF(OFFSET(PLE!$G$15,$M122-$A$15,DD$13)="",10^12,OFFSET(PLE!$G$15,$M122-$A$15,DD$13)))</f>
        <v>1000000000000</v>
      </c>
      <c r="DE122" s="354" t="n">
        <f aca="true">IF(OR($D122&lt;&gt;"Serviço",AND(AUTOEVENTO="Manual",$M122=$A$15),$M122&gt;(ROW(PLE.lastrow)-ROW(PLE.firstrow))),0,
           IF(OFFSET(PLE!$G$15,$M122-$A$15,DE$13)="",10^12,OFFSET(PLE!$G$15,$M122-$A$15,DE$13)))</f>
        <v>1000000000000</v>
      </c>
      <c r="DF122" s="354" t="n">
        <f aca="true">IF(OR($D122&lt;&gt;"Serviço",AND(AUTOEVENTO="Manual",$M122=$A$15),$M122&gt;(ROW(PLE.lastrow)-ROW(PLE.firstrow))),0,
           IF(OFFSET(PLE!$G$15,$M122-$A$15,DF$13)="",10^12,OFFSET(PLE!$G$15,$M122-$A$15,DF$13)))</f>
        <v>1000000000000</v>
      </c>
      <c r="DG122" s="354" t="n">
        <f aca="true">IF(OR($D122&lt;&gt;"Serviço",AND(AUTOEVENTO="Manual",$M122=$A$15),$M122&gt;(ROW(PLE.lastrow)-ROW(PLE.firstrow))),0,
           IF(OFFSET(PLE!$G$15,$M122-$A$15,DG$13)="",10^12,OFFSET(PLE!$G$15,$M122-$A$15,DG$13)))</f>
        <v>1000000000000</v>
      </c>
      <c r="DH122" s="354" t="n">
        <f aca="true">IF(OR($D122&lt;&gt;"Serviço",AND(AUTOEVENTO="Manual",$M122=$A$15),$M122&gt;(ROW(PLE.lastrow)-ROW(PLE.firstrow))),0,
           IF(OFFSET(PLE!$G$15,$M122-$A$15,DH$13)="",10^12,OFFSET(PLE!$G$15,$M122-$A$15,DH$13)))</f>
        <v>1000000000000</v>
      </c>
      <c r="DI122" s="354" t="n">
        <f aca="true">IF(OR($D122&lt;&gt;"Serviço",AND(AUTOEVENTO="Manual",$M122=$A$15),$M122&gt;(ROW(PLE.lastrow)-ROW(PLE.firstrow))),0,
           IF(OFFSET(PLE!$G$15,$M122-$A$15,DI$13)="",10^12,OFFSET(PLE!$G$15,$M122-$A$15,DI$13)))</f>
        <v>1000000000000</v>
      </c>
      <c r="DJ122" s="354" t="n">
        <f aca="true">IF(OR($D122&lt;&gt;"Serviço",AND(AUTOEVENTO="Manual",$M122=$A$15),$M122&gt;(ROW(PLE.lastrow)-ROW(PLE.firstrow))),0,
           IF(OFFSET(PLE!$G$15,$M122-$A$15,DJ$13)="",10^12,OFFSET(PLE!$G$15,$M122-$A$15,DJ$13)))</f>
        <v>1000000000000</v>
      </c>
      <c r="DK122" s="354" t="n">
        <f aca="true">IF(OR($D122&lt;&gt;"Serviço",AND(AUTOEVENTO="Manual",$M122=$A$15),$M122&gt;(ROW(PLE.lastrow)-ROW(PLE.firstrow))),0,
           IF(OFFSET(PLE!$G$15,$M122-$A$15,DK$13)="",10^12,OFFSET(PLE!$G$15,$M122-$A$15,DK$13)))</f>
        <v>1000000000000</v>
      </c>
      <c r="DL122" s="354" t="n">
        <f aca="true">IF(OR($D122&lt;&gt;"Serviço",AND(AUTOEVENTO="Manual",$M122=$A$15),$M122&gt;(ROW(PLE.lastrow)-ROW(PLE.firstrow))),0,
           IF(OFFSET(PLE!$G$15,$M122-$A$15,DL$13)="",10^12,OFFSET(PLE!$G$15,$M122-$A$15,DL$13)))</f>
        <v>1000000000000</v>
      </c>
      <c r="DM122" s="354" t="n">
        <f aca="true">IF(OR($D122&lt;&gt;"Serviço",AND(AUTOEVENTO="Manual",$M122=$A$15),$M122&gt;(ROW(PLE.lastrow)-ROW(PLE.firstrow))),0,
           IF(OFFSET(PLE!$G$15,$M122-$A$15,DM$13)="",10^12,OFFSET(PLE!$G$15,$M122-$A$15,DM$13)))</f>
        <v>1000000000000</v>
      </c>
      <c r="DN122" s="354" t="n">
        <f aca="true">IF(OR($D122&lt;&gt;"Serviço",AND(AUTOEVENTO="Manual",$M122=$A$15),$M122&gt;(ROW(PLE.lastrow)-ROW(PLE.firstrow))),0,
           IF(OFFSET(PLE!$G$15,$M122-$A$15,DN$13)="",10^12,OFFSET(PLE!$G$15,$M122-$A$15,DN$13)))</f>
        <v>1000000000000</v>
      </c>
      <c r="DO122" s="354" t="n">
        <f aca="true">IF(OR($D122&lt;&gt;"Serviço",AND(AUTOEVENTO="Manual",$M122=$A$15),$M122&gt;(ROW(PLE.lastrow)-ROW(PLE.firstrow))),0,
           IF(OFFSET(PLE!$G$15,$M122-$A$15,DO$13)="",10^12,OFFSET(PLE!$G$15,$M122-$A$15,DO$13)))</f>
        <v>1000000000000</v>
      </c>
      <c r="DP122" s="354" t="n">
        <f aca="true">IF(OR($D122&lt;&gt;"Serviço",AND(AUTOEVENTO="Manual",$M122=$A$15),$M122&gt;(ROW(PLE.lastrow)-ROW(PLE.firstrow))),0,
           IF(OFFSET(PLE!$G$15,$M122-$A$15,DP$13)="",10^12,OFFSET(PLE!$G$15,$M122-$A$15,DP$13)))</f>
        <v>1000000000000</v>
      </c>
      <c r="DQ122" s="354" t="n">
        <f aca="true">IF(OR($D122&lt;&gt;"Serviço",AND(AUTOEVENTO="Manual",$M122=$A$15),$M122&gt;(ROW(PLE.lastrow)-ROW(PLE.firstrow))),0,
           IF(OFFSET(PLE!$G$15,$M122-$A$15,DQ$13)="",10^12,OFFSET(PLE!$G$15,$M122-$A$15,DQ$13)))</f>
        <v>1000000000000</v>
      </c>
      <c r="DR122" s="354" t="n">
        <f aca="true">IF(OR($D122&lt;&gt;"Serviço",AND(AUTOEVENTO="Manual",$M122=$A$15),$M122&gt;(ROW(PLE.lastrow)-ROW(PLE.firstrow))),0,
           IF(OFFSET(PLE!$G$15,$M122-$A$15,DR$13)="",10^12,OFFSET(PLE!$G$15,$M122-$A$15,DR$13)))</f>
        <v>1000000000000</v>
      </c>
      <c r="DS122" s="354" t="n">
        <f aca="true">IF(OR($D122&lt;&gt;"Serviço",AND(AUTOEVENTO="Manual",$M122=$A$15),$M122&gt;(ROW(PLE.lastrow)-ROW(PLE.firstrow))),0,
           IF(OFFSET(PLE!$G$15,$M122-$A$15,DS$13)="",10^12,OFFSET(PLE!$G$15,$M122-$A$15,DS$13)))</f>
        <v>1000000000000</v>
      </c>
    </row>
    <row r="123" customFormat="false" ht="23.85" hidden="false" customHeight="false" outlineLevel="0" collapsed="false">
      <c r="A123" s="50" t="str">
        <f aca="true">IFERROR(IF(AUTOEVENTO="Manual",IF(K123&lt;&gt;"",MIN(VALUE(LEFT(K123,FIND(".",K123)-1)),COUNTA(EVENTOS.Lista)),0),IF(OR($B123&gt;AUTOEVENTO,$B123="S",$B123=0),SUBSTITUTE(OFFSET($A123,-1,0),IF($D123="Serviço",".",""),""),ROW(A123)-ROW($A$15)&amp;".")),0)</f>
        <v>105</v>
      </c>
      <c r="B123" s="50" t="str">
        <f aca="true">OFFSET(ORÇAMENTO!C$15,ROW(B123)-ROW(B$15),0)</f>
        <v>S</v>
      </c>
      <c r="C123" s="50" t="str">
        <f aca="true">OFFSET(ORÇAMENTO!L$15,ROW(C123)-ROW(C$15),0)</f>
        <v>F</v>
      </c>
      <c r="D123" s="201" t="str">
        <f aca="true">OFFSET(ORÇAMENTO!N$15,ROW(D123)-ROW(D$15),0)</f>
        <v>Serviço</v>
      </c>
      <c r="E123" s="202" t="str">
        <f aca="true">OFFSET(ORÇAMENTO!O$15,ROW(E123)-ROW(E$15),0)</f>
        <v>1.36.3.</v>
      </c>
      <c r="F123" s="341" t="str">
        <f aca="true">OFFSET(ORÇAMENTO!R$15,ROW(F123)-ROW(F$15),0)</f>
        <v>DISJUNTOR BIPOLAR TIPO DR, CORRENTE NOMINAL DE 40A - FORNECIMENTO E INSTALAÇÃO. AF_07/2025</v>
      </c>
      <c r="G123" s="342" t="str">
        <f aca="true">IF($D123&lt;&gt;"Serviço","",OFFSET(ORÇAMENTO!S$15,ROW(G123)-ROW(G$15),0))</f>
        <v>UN</v>
      </c>
      <c r="H123" s="207" t="n">
        <f aca="true">IF($D123&lt;&gt;"Serviço",0,IF(ACOMPANHAMENTO="BM",ROUND(OFFSET(ORÇAMENTO!AJ$15,ROW(H123)-ROW(H$15),0),15-13*ORÇAMENTO!$AF$7),SUMPRODUCT(($Q$1:$AQ$1=1)*ROUND($Q123:$AQ123,15-13*ORÇAMENTO!$AF$7))))</f>
        <v>25</v>
      </c>
      <c r="I123" s="343" t="s">
        <v>969</v>
      </c>
      <c r="J123" s="344" t="e">
        <f aca="false">IF(OR(B123&lt;&gt;"S",CÁLCULO.FrentesPreenchidas=0),"",IF(AND(ACOMPANHAMENTO="PLE",AUTOEVENTO="Manual",OR(H123&gt;0,ORÇAMENTO!AC123="QUANT."),OR(K123="",M123=0,N123="")),"►",IF(AND(ACOMPANHAMENTO="PLE",ORÇAMENTO!AC123="QUANT."),"►►",IF(AND(COUNTIF($P$11:$AQ$11,"▼")=0,H123&gt;0,I123=""),"◄",""))))</f>
        <v>#NAME?</v>
      </c>
      <c r="K123" s="345"/>
      <c r="L123" s="346" t="s">
        <v>876</v>
      </c>
      <c r="M123" s="347" t="n">
        <f aca="true">IF($D123&lt;&gt;"Serviço","",
          IF(AUTOEVENTO="manual",$A123,
                IF(ISERROR(MATCH($A123,$A$15:OFFSET($A123,-1,0),0)),MAX($M$15:OFFSET(M123,-1,0))+1,
                      INDEX($M$15:OFFSET(M123,-1,0),MATCH($A123,$A$15:OFFSET($A123,-1,0),0)))))</f>
        <v>21</v>
      </c>
      <c r="N123" s="348" t="str">
        <f aca="true">IF($D123&lt;&gt;"Serviço","",
         IF(AUTOEVENTO="Manual",
                IF($A123=0,"&lt;-- defina o número do agrupador",
                       OFFSET(EVENTOS!$D$15,$A123-$A$15,0)),
                OFFSET($F$15,$A123,0)))</f>
        <v>CENTRO DE DISTRIBUIÇÃO</v>
      </c>
      <c r="O123" s="349"/>
      <c r="Q123" s="349" t="n">
        <v>1</v>
      </c>
      <c r="R123" s="350" t="n">
        <f aca="false">Q123</f>
        <v>1</v>
      </c>
      <c r="S123" s="350" t="n">
        <f aca="false">R123</f>
        <v>1</v>
      </c>
      <c r="T123" s="350" t="n">
        <f aca="false">S123</f>
        <v>1</v>
      </c>
      <c r="U123" s="350" t="n">
        <f aca="false">T123</f>
        <v>1</v>
      </c>
      <c r="V123" s="350" t="n">
        <f aca="false">U123</f>
        <v>1</v>
      </c>
      <c r="W123" s="350" t="n">
        <f aca="false">V123</f>
        <v>1</v>
      </c>
      <c r="X123" s="350" t="n">
        <f aca="false">W123</f>
        <v>1</v>
      </c>
      <c r="Y123" s="350" t="n">
        <f aca="false">X123</f>
        <v>1</v>
      </c>
      <c r="Z123" s="351" t="n">
        <f aca="false">Y123</f>
        <v>1</v>
      </c>
      <c r="AA123" s="350" t="n">
        <f aca="false">Z123</f>
        <v>1</v>
      </c>
      <c r="AB123" s="350" t="n">
        <f aca="false">AA123</f>
        <v>1</v>
      </c>
      <c r="AC123" s="350" t="n">
        <f aca="false">AB123</f>
        <v>1</v>
      </c>
      <c r="AD123" s="350" t="n">
        <f aca="false">AC123</f>
        <v>1</v>
      </c>
      <c r="AE123" s="350" t="n">
        <f aca="false">AD123</f>
        <v>1</v>
      </c>
      <c r="AF123" s="350" t="n">
        <f aca="false">AE123</f>
        <v>1</v>
      </c>
      <c r="AG123" s="350" t="n">
        <f aca="false">AF123</f>
        <v>1</v>
      </c>
      <c r="AH123" s="351" t="n">
        <f aca="false">AG123</f>
        <v>1</v>
      </c>
      <c r="AI123" s="350" t="n">
        <f aca="false">AH123</f>
        <v>1</v>
      </c>
      <c r="AJ123" s="350" t="n">
        <f aca="false">AI123</f>
        <v>1</v>
      </c>
      <c r="AK123" s="350" t="n">
        <f aca="false">AJ123</f>
        <v>1</v>
      </c>
      <c r="AL123" s="350" t="n">
        <f aca="false">AK123</f>
        <v>1</v>
      </c>
      <c r="AM123" s="350" t="n">
        <f aca="false">AL123</f>
        <v>1</v>
      </c>
      <c r="AN123" s="350" t="n">
        <f aca="false">AM123</f>
        <v>1</v>
      </c>
      <c r="AO123" s="350" t="n">
        <f aca="false">AN123</f>
        <v>1</v>
      </c>
      <c r="AP123" s="351"/>
      <c r="AR123" s="352" t="n">
        <f aca="true">IF(AND($D123="Serviço",AR$12&lt;&gt;0,$H123&gt;0,OR(AUTOEVENTO&lt;&gt;"manual",$M123&lt;&gt;$A$15)),
        IF(Import.TipoArredondamento&lt;&gt;"TransfereGOV",
              ROUND(OFFSET($P123,0,AR$13),15-13*ORÇAMENTO!$AF$7)/$H123*OFFSET(ORÇAMENTO!$X$15,ROW(AR123)-ROW(AR$15),0),
              ROUND(ROUND(OFFSET($P123,0,AR$13),15-13*ORÇAMENTO!$AF$7)*OFFSET(ORÇAMENTO!$W$15,ROW(AR123)-ROW(AR$15),0),15-13*ORÇAMENTO!$AF$11)),
         0)</f>
        <v>249.77</v>
      </c>
      <c r="AS123" s="352" t="n">
        <f aca="true">IF(AND($D123="Serviço",AS$12&lt;&gt;0,$H123&gt;0,OR(AUTOEVENTO&lt;&gt;"manual",$M123&lt;&gt;$A$15)),
        IF(Import.TipoArredondamento&lt;&gt;"TransfereGOV",
              ROUND(OFFSET($P123,0,AS$13),15-13*ORÇAMENTO!$AF$7)/$H123*OFFSET(ORÇAMENTO!$X$15,ROW(AS123)-ROW(AS$15),0),
              ROUND(ROUND(OFFSET($P123,0,AS$13),15-13*ORÇAMENTO!$AF$7)*OFFSET(ORÇAMENTO!$W$15,ROW(AS123)-ROW(AS$15),0),15-13*ORÇAMENTO!$AF$11)),
         0)</f>
        <v>249.77</v>
      </c>
      <c r="AT123" s="352" t="n">
        <f aca="true">IF(AND($D123="Serviço",AT$12&lt;&gt;0,$H123&gt;0,OR(AUTOEVENTO&lt;&gt;"manual",$M123&lt;&gt;$A$15)),
        IF(Import.TipoArredondamento&lt;&gt;"TransfereGOV",
              ROUND(OFFSET($P123,0,AT$13),15-13*ORÇAMENTO!$AF$7)/$H123*OFFSET(ORÇAMENTO!$X$15,ROW(AT123)-ROW(AT$15),0),
              ROUND(ROUND(OFFSET($P123,0,AT$13),15-13*ORÇAMENTO!$AF$7)*OFFSET(ORÇAMENTO!$W$15,ROW(AT123)-ROW(AT$15),0),15-13*ORÇAMENTO!$AF$11)),
         0)</f>
        <v>249.77</v>
      </c>
      <c r="AU123" s="352" t="n">
        <f aca="true">IF(AND($D123="Serviço",AU$12&lt;&gt;0,$H123&gt;0,OR(AUTOEVENTO&lt;&gt;"manual",$M123&lt;&gt;$A$15)),
        IF(Import.TipoArredondamento&lt;&gt;"TransfereGOV",
              ROUND(OFFSET($P123,0,AU$13),15-13*ORÇAMENTO!$AF$7)/$H123*OFFSET(ORÇAMENTO!$X$15,ROW(AU123)-ROW(AU$15),0),
              ROUND(ROUND(OFFSET($P123,0,AU$13),15-13*ORÇAMENTO!$AF$7)*OFFSET(ORÇAMENTO!$W$15,ROW(AU123)-ROW(AU$15),0),15-13*ORÇAMENTO!$AF$11)),
         0)</f>
        <v>249.77</v>
      </c>
      <c r="AV123" s="352" t="n">
        <f aca="true">IF(AND($D123="Serviço",AV$12&lt;&gt;0,$H123&gt;0,OR(AUTOEVENTO&lt;&gt;"manual",$M123&lt;&gt;$A$15)),
        IF(Import.TipoArredondamento&lt;&gt;"TransfereGOV",
              ROUND(OFFSET($P123,0,AV$13),15-13*ORÇAMENTO!$AF$7)/$H123*OFFSET(ORÇAMENTO!$X$15,ROW(AV123)-ROW(AV$15),0),
              ROUND(ROUND(OFFSET($P123,0,AV$13),15-13*ORÇAMENTO!$AF$7)*OFFSET(ORÇAMENTO!$W$15,ROW(AV123)-ROW(AV$15),0),15-13*ORÇAMENTO!$AF$11)),
         0)</f>
        <v>249.77</v>
      </c>
      <c r="AW123" s="352" t="n">
        <f aca="true">IF(AND($D123="Serviço",AW$12&lt;&gt;0,$H123&gt;0,OR(AUTOEVENTO&lt;&gt;"manual",$M123&lt;&gt;$A$15)),
        IF(Import.TipoArredondamento&lt;&gt;"TransfereGOV",
              ROUND(OFFSET($P123,0,AW$13),15-13*ORÇAMENTO!$AF$7)/$H123*OFFSET(ORÇAMENTO!$X$15,ROW(AW123)-ROW(AW$15),0),
              ROUND(ROUND(OFFSET($P123,0,AW$13),15-13*ORÇAMENTO!$AF$7)*OFFSET(ORÇAMENTO!$W$15,ROW(AW123)-ROW(AW$15),0),15-13*ORÇAMENTO!$AF$11)),
         0)</f>
        <v>249.77</v>
      </c>
      <c r="AX123" s="352" t="n">
        <f aca="true">IF(AND($D123="Serviço",AX$12&lt;&gt;0,$H123&gt;0,OR(AUTOEVENTO&lt;&gt;"manual",$M123&lt;&gt;$A$15)),
        IF(Import.TipoArredondamento&lt;&gt;"TransfereGOV",
              ROUND(OFFSET($P123,0,AX$13),15-13*ORÇAMENTO!$AF$7)/$H123*OFFSET(ORÇAMENTO!$X$15,ROW(AX123)-ROW(AX$15),0),
              ROUND(ROUND(OFFSET($P123,0,AX$13),15-13*ORÇAMENTO!$AF$7)*OFFSET(ORÇAMENTO!$W$15,ROW(AX123)-ROW(AX$15),0),15-13*ORÇAMENTO!$AF$11)),
         0)</f>
        <v>249.77</v>
      </c>
      <c r="AY123" s="352" t="n">
        <f aca="true">IF(AND($D123="Serviço",AY$12&lt;&gt;0,$H123&gt;0,OR(AUTOEVENTO&lt;&gt;"manual",$M123&lt;&gt;$A$15)),
        IF(Import.TipoArredondamento&lt;&gt;"TransfereGOV",
              ROUND(OFFSET($P123,0,AY$13),15-13*ORÇAMENTO!$AF$7)/$H123*OFFSET(ORÇAMENTO!$X$15,ROW(AY123)-ROW(AY$15),0),
              ROUND(ROUND(OFFSET($P123,0,AY$13),15-13*ORÇAMENTO!$AF$7)*OFFSET(ORÇAMENTO!$W$15,ROW(AY123)-ROW(AY$15),0),15-13*ORÇAMENTO!$AF$11)),
         0)</f>
        <v>249.77</v>
      </c>
      <c r="AZ123" s="352" t="n">
        <f aca="true">IF(AND($D123="Serviço",AZ$12&lt;&gt;0,$H123&gt;0,OR(AUTOEVENTO&lt;&gt;"manual",$M123&lt;&gt;$A$15)),
        IF(Import.TipoArredondamento&lt;&gt;"TransfereGOV",
              ROUND(OFFSET($P123,0,AZ$13),15-13*ORÇAMENTO!$AF$7)/$H123*OFFSET(ORÇAMENTO!$X$15,ROW(AZ123)-ROW(AZ$15),0),
              ROUND(ROUND(OFFSET($P123,0,AZ$13),15-13*ORÇAMENTO!$AF$7)*OFFSET(ORÇAMENTO!$W$15,ROW(AZ123)-ROW(AZ$15),0),15-13*ORÇAMENTO!$AF$11)),
         0)</f>
        <v>249.77</v>
      </c>
      <c r="BA123" s="352" t="n">
        <f aca="true">IF(AND($D123="Serviço",BA$12&lt;&gt;0,$H123&gt;0,OR(AUTOEVENTO&lt;&gt;"manual",$M123&lt;&gt;$A$15)),
        IF(Import.TipoArredondamento&lt;&gt;"TransfereGOV",
              ROUND(OFFSET($P123,0,BA$13),15-13*ORÇAMENTO!$AF$7)/$H123*OFFSET(ORÇAMENTO!$X$15,ROW(BA123)-ROW(BA$15),0),
              ROUND(ROUND(OFFSET($P123,0,BA$13),15-13*ORÇAMENTO!$AF$7)*OFFSET(ORÇAMENTO!$W$15,ROW(BA123)-ROW(BA$15),0),15-13*ORÇAMENTO!$AF$11)),
         0)</f>
        <v>249.77</v>
      </c>
      <c r="BB123" s="352" t="n">
        <f aca="true">IF(AND($D123="Serviço",BB$12&lt;&gt;0,$H123&gt;0,OR(AUTOEVENTO&lt;&gt;"manual",$M123&lt;&gt;$A$15)),
        IF(Import.TipoArredondamento&lt;&gt;"TransfereGOV",
              ROUND(OFFSET($P123,0,BB$13),15-13*ORÇAMENTO!$AF$7)/$H123*OFFSET(ORÇAMENTO!$X$15,ROW(BB123)-ROW(BB$15),0),
              ROUND(ROUND(OFFSET($P123,0,BB$13),15-13*ORÇAMENTO!$AF$7)*OFFSET(ORÇAMENTO!$W$15,ROW(BB123)-ROW(BB$15),0),15-13*ORÇAMENTO!$AF$11)),
         0)</f>
        <v>249.77</v>
      </c>
      <c r="BC123" s="352" t="n">
        <f aca="true">IF(AND($D123="Serviço",BC$12&lt;&gt;0,$H123&gt;0,OR(AUTOEVENTO&lt;&gt;"manual",$M123&lt;&gt;$A$15)),
        IF(Import.TipoArredondamento&lt;&gt;"TransfereGOV",
              ROUND(OFFSET($P123,0,BC$13),15-13*ORÇAMENTO!$AF$7)/$H123*OFFSET(ORÇAMENTO!$X$15,ROW(BC123)-ROW(BC$15),0),
              ROUND(ROUND(OFFSET($P123,0,BC$13),15-13*ORÇAMENTO!$AF$7)*OFFSET(ORÇAMENTO!$W$15,ROW(BC123)-ROW(BC$15),0),15-13*ORÇAMENTO!$AF$11)),
         0)</f>
        <v>249.77</v>
      </c>
      <c r="BD123" s="352" t="n">
        <f aca="true">IF(AND($D123="Serviço",BD$12&lt;&gt;0,$H123&gt;0,OR(AUTOEVENTO&lt;&gt;"manual",$M123&lt;&gt;$A$15)),
        IF(Import.TipoArredondamento&lt;&gt;"TransfereGOV",
              ROUND(OFFSET($P123,0,BD$13),15-13*ORÇAMENTO!$AF$7)/$H123*OFFSET(ORÇAMENTO!$X$15,ROW(BD123)-ROW(BD$15),0),
              ROUND(ROUND(OFFSET($P123,0,BD$13),15-13*ORÇAMENTO!$AF$7)*OFFSET(ORÇAMENTO!$W$15,ROW(BD123)-ROW(BD$15),0),15-13*ORÇAMENTO!$AF$11)),
         0)</f>
        <v>249.77</v>
      </c>
      <c r="BE123" s="352" t="n">
        <f aca="true">IF(AND($D123="Serviço",BE$12&lt;&gt;0,$H123&gt;0,OR(AUTOEVENTO&lt;&gt;"manual",$M123&lt;&gt;$A$15)),
        IF(Import.TipoArredondamento&lt;&gt;"TransfereGOV",
              ROUND(OFFSET($P123,0,BE$13),15-13*ORÇAMENTO!$AF$7)/$H123*OFFSET(ORÇAMENTO!$X$15,ROW(BE123)-ROW(BE$15),0),
              ROUND(ROUND(OFFSET($P123,0,BE$13),15-13*ORÇAMENTO!$AF$7)*OFFSET(ORÇAMENTO!$W$15,ROW(BE123)-ROW(BE$15),0),15-13*ORÇAMENTO!$AF$11)),
         0)</f>
        <v>249.77</v>
      </c>
      <c r="BF123" s="352" t="n">
        <f aca="true">IF(AND($D123="Serviço",BF$12&lt;&gt;0,$H123&gt;0,OR(AUTOEVENTO&lt;&gt;"manual",$M123&lt;&gt;$A$15)),
        IF(Import.TipoArredondamento&lt;&gt;"TransfereGOV",
              ROUND(OFFSET($P123,0,BF$13),15-13*ORÇAMENTO!$AF$7)/$H123*OFFSET(ORÇAMENTO!$X$15,ROW(BF123)-ROW(BF$15),0),
              ROUND(ROUND(OFFSET($P123,0,BF$13),15-13*ORÇAMENTO!$AF$7)*OFFSET(ORÇAMENTO!$W$15,ROW(BF123)-ROW(BF$15),0),15-13*ORÇAMENTO!$AF$11)),
         0)</f>
        <v>249.77</v>
      </c>
      <c r="BG123" s="352" t="n">
        <f aca="true">IF(AND($D123="Serviço",BG$12&lt;&gt;0,$H123&gt;0,OR(AUTOEVENTO&lt;&gt;"manual",$M123&lt;&gt;$A$15)),
        IF(Import.TipoArredondamento&lt;&gt;"TransfereGOV",
              ROUND(OFFSET($P123,0,BG$13),15-13*ORÇAMENTO!$AF$7)/$H123*OFFSET(ORÇAMENTO!$X$15,ROW(BG123)-ROW(BG$15),0),
              ROUND(ROUND(OFFSET($P123,0,BG$13),15-13*ORÇAMENTO!$AF$7)*OFFSET(ORÇAMENTO!$W$15,ROW(BG123)-ROW(BG$15),0),15-13*ORÇAMENTO!$AF$11)),
         0)</f>
        <v>249.77</v>
      </c>
      <c r="BH123" s="352" t="n">
        <f aca="true">IF(AND($D123="Serviço",BH$12&lt;&gt;0,$H123&gt;0,OR(AUTOEVENTO&lt;&gt;"manual",$M123&lt;&gt;$A$15)),
        IF(Import.TipoArredondamento&lt;&gt;"TransfereGOV",
              ROUND(OFFSET($P123,0,BH$13),15-13*ORÇAMENTO!$AF$7)/$H123*OFFSET(ORÇAMENTO!$X$15,ROW(BH123)-ROW(BH$15),0),
              ROUND(ROUND(OFFSET($P123,0,BH$13),15-13*ORÇAMENTO!$AF$7)*OFFSET(ORÇAMENTO!$W$15,ROW(BH123)-ROW(BH$15),0),15-13*ORÇAMENTO!$AF$11)),
         0)</f>
        <v>249.77</v>
      </c>
      <c r="BI123" s="352" t="n">
        <f aca="true">IF(AND($D123="Serviço",BI$12&lt;&gt;0,$H123&gt;0,OR(AUTOEVENTO&lt;&gt;"manual",$M123&lt;&gt;$A$15)),
        IF(Import.TipoArredondamento&lt;&gt;"TransfereGOV",
              ROUND(OFFSET($P123,0,BI$13),15-13*ORÇAMENTO!$AF$7)/$H123*OFFSET(ORÇAMENTO!$X$15,ROW(BI123)-ROW(BI$15),0),
              ROUND(ROUND(OFFSET($P123,0,BI$13),15-13*ORÇAMENTO!$AF$7)*OFFSET(ORÇAMENTO!$W$15,ROW(BI123)-ROW(BI$15),0),15-13*ORÇAMENTO!$AF$11)),
         0)</f>
        <v>249.77</v>
      </c>
      <c r="BJ123" s="352" t="n">
        <f aca="true">IF(AND($D123="Serviço",BJ$12&lt;&gt;0,$H123&gt;0,OR(AUTOEVENTO&lt;&gt;"manual",$M123&lt;&gt;$A$15)),
        IF(Import.TipoArredondamento&lt;&gt;"TransfereGOV",
              ROUND(OFFSET($P123,0,BJ$13),15-13*ORÇAMENTO!$AF$7)/$H123*OFFSET(ORÇAMENTO!$X$15,ROW(BJ123)-ROW(BJ$15),0),
              ROUND(ROUND(OFFSET($P123,0,BJ$13),15-13*ORÇAMENTO!$AF$7)*OFFSET(ORÇAMENTO!$W$15,ROW(BJ123)-ROW(BJ$15),0),15-13*ORÇAMENTO!$AF$11)),
         0)</f>
        <v>249.77</v>
      </c>
      <c r="BK123" s="352" t="n">
        <f aca="true">IF(AND($D123="Serviço",BK$12&lt;&gt;0,$H123&gt;0,OR(AUTOEVENTO&lt;&gt;"manual",$M123&lt;&gt;$A$15)),
        IF(Import.TipoArredondamento&lt;&gt;"TransfereGOV",
              ROUND(OFFSET($P123,0,BK$13),15-13*ORÇAMENTO!$AF$7)/$H123*OFFSET(ORÇAMENTO!$X$15,ROW(BK123)-ROW(BK$15),0),
              ROUND(ROUND(OFFSET($P123,0,BK$13),15-13*ORÇAMENTO!$AF$7)*OFFSET(ORÇAMENTO!$W$15,ROW(BK123)-ROW(BK$15),0),15-13*ORÇAMENTO!$AF$11)),
         0)</f>
        <v>249.77</v>
      </c>
      <c r="BL123" s="352" t="n">
        <f aca="true">IF(AND($D123="Serviço",BL$12&lt;&gt;0,$H123&gt;0,OR(AUTOEVENTO&lt;&gt;"manual",$M123&lt;&gt;$A$15)),
        IF(Import.TipoArredondamento&lt;&gt;"TransfereGOV",
              ROUND(OFFSET($P123,0,BL$13),15-13*ORÇAMENTO!$AF$7)/$H123*OFFSET(ORÇAMENTO!$X$15,ROW(BL123)-ROW(BL$15),0),
              ROUND(ROUND(OFFSET($P123,0,BL$13),15-13*ORÇAMENTO!$AF$7)*OFFSET(ORÇAMENTO!$W$15,ROW(BL123)-ROW(BL$15),0),15-13*ORÇAMENTO!$AF$11)),
         0)</f>
        <v>249.77</v>
      </c>
      <c r="BM123" s="352" t="n">
        <f aca="true">IF(AND($D123="Serviço",BM$12&lt;&gt;0,$H123&gt;0,OR(AUTOEVENTO&lt;&gt;"manual",$M123&lt;&gt;$A$15)),
        IF(Import.TipoArredondamento&lt;&gt;"TransfereGOV",
              ROUND(OFFSET($P123,0,BM$13),15-13*ORÇAMENTO!$AF$7)/$H123*OFFSET(ORÇAMENTO!$X$15,ROW(BM123)-ROW(BM$15),0),
              ROUND(ROUND(OFFSET($P123,0,BM$13),15-13*ORÇAMENTO!$AF$7)*OFFSET(ORÇAMENTO!$W$15,ROW(BM123)-ROW(BM$15),0),15-13*ORÇAMENTO!$AF$11)),
         0)</f>
        <v>249.77</v>
      </c>
      <c r="BN123" s="352" t="n">
        <f aca="true">IF(AND($D123="Serviço",BN$12&lt;&gt;0,$H123&gt;0,OR(AUTOEVENTO&lt;&gt;"manual",$M123&lt;&gt;$A$15)),
        IF(Import.TipoArredondamento&lt;&gt;"TransfereGOV",
              ROUND(OFFSET($P123,0,BN$13),15-13*ORÇAMENTO!$AF$7)/$H123*OFFSET(ORÇAMENTO!$X$15,ROW(BN123)-ROW(BN$15),0),
              ROUND(ROUND(OFFSET($P123,0,BN$13),15-13*ORÇAMENTO!$AF$7)*OFFSET(ORÇAMENTO!$W$15,ROW(BN123)-ROW(BN$15),0),15-13*ORÇAMENTO!$AF$11)),
         0)</f>
        <v>249.77</v>
      </c>
      <c r="BO123" s="352" t="n">
        <f aca="true">IF(AND($D123="Serviço",BO$12&lt;&gt;0,$H123&gt;0,OR(AUTOEVENTO&lt;&gt;"manual",$M123&lt;&gt;$A$15)),
        IF(Import.TipoArredondamento&lt;&gt;"TransfereGOV",
              ROUND(OFFSET($P123,0,BO$13),15-13*ORÇAMENTO!$AF$7)/$H123*OFFSET(ORÇAMENTO!$X$15,ROW(BO123)-ROW(BO$15),0),
              ROUND(ROUND(OFFSET($P123,0,BO$13),15-13*ORÇAMENTO!$AF$7)*OFFSET(ORÇAMENTO!$W$15,ROW(BO123)-ROW(BO$15),0),15-13*ORÇAMENTO!$AF$11)),
         0)</f>
        <v>249.77</v>
      </c>
      <c r="BP123" s="352" t="n">
        <f aca="true">IF(AND($D123="Serviço",BP$12&lt;&gt;0,$H123&gt;0,OR(AUTOEVENTO&lt;&gt;"manual",$M123&lt;&gt;$A$15)),
        IF(Import.TipoArredondamento&lt;&gt;"TransfereGOV",
              ROUND(OFFSET($P123,0,BP$13),15-13*ORÇAMENTO!$AF$7)/$H123*OFFSET(ORÇAMENTO!$X$15,ROW(BP123)-ROW(BP$15),0),
              ROUND(ROUND(OFFSET($P123,0,BP$13),15-13*ORÇAMENTO!$AF$7)*OFFSET(ORÇAMENTO!$W$15,ROW(BP123)-ROW(BP$15),0),15-13*ORÇAMENTO!$AF$11)),
         0)</f>
        <v>249.77</v>
      </c>
      <c r="BQ123" s="352" t="n">
        <f aca="true">IF(AND($D123="Serviço",BQ$12&lt;&gt;0,$H123&gt;0,OR(AUTOEVENTO&lt;&gt;"manual",$M123&lt;&gt;$A$15)),
        IF(Import.TipoArredondamento&lt;&gt;"TransfereGOV",
              ROUND(OFFSET($P123,0,BQ$13),15-13*ORÇAMENTO!$AF$7)/$H123*OFFSET(ORÇAMENTO!$X$15,ROW(BQ123)-ROW(BQ$15),0),
              ROUND(ROUND(OFFSET($P123,0,BQ$13),15-13*ORÇAMENTO!$AF$7)*OFFSET(ORÇAMENTO!$W$15,ROW(BQ123)-ROW(BQ$15),0),15-13*ORÇAMENTO!$AF$11)),
         0)</f>
        <v>0</v>
      </c>
      <c r="BS123" s="353" t="n">
        <f aca="true">IF(OR($D123&lt;&gt;"Serviço",AND(AUTOEVENTO="Manual",$M123=$A$15)),0,
         IF(OFFSET(CRONOPLE!$F$15,$M123-$A$15,BS$13)=0,10^12,OFFSET(CRONOPLE!$F$15,$M123-$A$15,BS$13)))</f>
        <v>1</v>
      </c>
      <c r="BT123" s="353" t="n">
        <f aca="true">IF(OR($D123&lt;&gt;"Serviço",AND(AUTOEVENTO="Manual",$M123=$A$15)),0,
         IF(OFFSET(CRONOPLE!$F$15,$M123-$A$15,BT$13)=0,10^12,OFFSET(CRONOPLE!$F$15,$M123-$A$15,BT$13)))</f>
        <v>2</v>
      </c>
      <c r="BU123" s="353" t="n">
        <f aca="true">IF(OR($D123&lt;&gt;"Serviço",AND(AUTOEVENTO="Manual",$M123=$A$15)),0,
         IF(OFFSET(CRONOPLE!$F$15,$M123-$A$15,BU$13)=0,10^12,OFFSET(CRONOPLE!$F$15,$M123-$A$15,BU$13)))</f>
        <v>3</v>
      </c>
      <c r="BV123" s="353" t="n">
        <f aca="true">IF(OR($D123&lt;&gt;"Serviço",AND(AUTOEVENTO="Manual",$M123=$A$15)),0,
         IF(OFFSET(CRONOPLE!$F$15,$M123-$A$15,BV$13)=0,10^12,OFFSET(CRONOPLE!$F$15,$M123-$A$15,BV$13)))</f>
        <v>4</v>
      </c>
      <c r="BW123" s="353" t="n">
        <f aca="true">IF(OR($D123&lt;&gt;"Serviço",AND(AUTOEVENTO="Manual",$M123=$A$15)),0,
         IF(OFFSET(CRONOPLE!$F$15,$M123-$A$15,BW$13)=0,10^12,OFFSET(CRONOPLE!$F$15,$M123-$A$15,BW$13)))</f>
        <v>5</v>
      </c>
      <c r="BX123" s="353" t="n">
        <f aca="true">IF(OR($D123&lt;&gt;"Serviço",AND(AUTOEVENTO="Manual",$M123=$A$15)),0,
         IF(OFFSET(CRONOPLE!$F$15,$M123-$A$15,BX$13)=0,10^12,OFFSET(CRONOPLE!$F$15,$M123-$A$15,BX$13)))</f>
        <v>6</v>
      </c>
      <c r="BY123" s="353" t="n">
        <f aca="true">IF(OR($D123&lt;&gt;"Serviço",AND(AUTOEVENTO="Manual",$M123=$A$15)),0,
         IF(OFFSET(CRONOPLE!$F$15,$M123-$A$15,BY$13)=0,10^12,OFFSET(CRONOPLE!$F$15,$M123-$A$15,BY$13)))</f>
        <v>7</v>
      </c>
      <c r="BZ123" s="353" t="n">
        <f aca="true">IF(OR($D123&lt;&gt;"Serviço",AND(AUTOEVENTO="Manual",$M123=$A$15)),0,
         IF(OFFSET(CRONOPLE!$F$15,$M123-$A$15,BZ$13)=0,10^12,OFFSET(CRONOPLE!$F$15,$M123-$A$15,BZ$13)))</f>
        <v>8</v>
      </c>
      <c r="CA123" s="353" t="n">
        <f aca="true">IF(OR($D123&lt;&gt;"Serviço",AND(AUTOEVENTO="Manual",$M123=$A$15)),0,
         IF(OFFSET(CRONOPLE!$F$15,$M123-$A$15,CA$13)=0,10^12,OFFSET(CRONOPLE!$F$15,$M123-$A$15,CA$13)))</f>
        <v>9</v>
      </c>
      <c r="CB123" s="353" t="n">
        <f aca="true">IF(OR($D123&lt;&gt;"Serviço",AND(AUTOEVENTO="Manual",$M123=$A$15)),0,
         IF(OFFSET(CRONOPLE!$F$15,$M123-$A$15,CB$13)=0,10^12,OFFSET(CRONOPLE!$F$15,$M123-$A$15,CB$13)))</f>
        <v>10</v>
      </c>
      <c r="CC123" s="353" t="n">
        <f aca="true">IF(OR($D123&lt;&gt;"Serviço",AND(AUTOEVENTO="Manual",$M123=$A$15)),0,
         IF(OFFSET(CRONOPLE!$F$15,$M123-$A$15,CC$13)=0,10^12,OFFSET(CRONOPLE!$F$15,$M123-$A$15,CC$13)))</f>
        <v>11</v>
      </c>
      <c r="CD123" s="353" t="n">
        <f aca="true">IF(OR($D123&lt;&gt;"Serviço",AND(AUTOEVENTO="Manual",$M123=$A$15)),0,
         IF(OFFSET(CRONOPLE!$F$15,$M123-$A$15,CD$13)=0,10^12,OFFSET(CRONOPLE!$F$15,$M123-$A$15,CD$13)))</f>
        <v>12</v>
      </c>
      <c r="CE123" s="353" t="n">
        <f aca="true">IF(OR($D123&lt;&gt;"Serviço",AND(AUTOEVENTO="Manual",$M123=$A$15)),0,
         IF(OFFSET(CRONOPLE!$F$15,$M123-$A$15,CE$13)=0,10^12,OFFSET(CRONOPLE!$F$15,$M123-$A$15,CE$13)))</f>
        <v>13</v>
      </c>
      <c r="CF123" s="353" t="n">
        <f aca="true">IF(OR($D123&lt;&gt;"Serviço",AND(AUTOEVENTO="Manual",$M123=$A$15)),0,
         IF(OFFSET(CRONOPLE!$F$15,$M123-$A$15,CF$13)=0,10^12,OFFSET(CRONOPLE!$F$15,$M123-$A$15,CF$13)))</f>
        <v>14</v>
      </c>
      <c r="CG123" s="353" t="n">
        <f aca="true">IF(OR($D123&lt;&gt;"Serviço",AND(AUTOEVENTO="Manual",$M123=$A$15)),0,
         IF(OFFSET(CRONOPLE!$F$15,$M123-$A$15,CG$13)=0,10^12,OFFSET(CRONOPLE!$F$15,$M123-$A$15,CG$13)))</f>
        <v>15</v>
      </c>
      <c r="CH123" s="353" t="n">
        <f aca="true">IF(OR($D123&lt;&gt;"Serviço",AND(AUTOEVENTO="Manual",$M123=$A$15)),0,
         IF(OFFSET(CRONOPLE!$F$15,$M123-$A$15,CH$13)=0,10^12,OFFSET(CRONOPLE!$F$15,$M123-$A$15,CH$13)))</f>
        <v>16</v>
      </c>
      <c r="CI123" s="353" t="n">
        <f aca="true">IF(OR($D123&lt;&gt;"Serviço",AND(AUTOEVENTO="Manual",$M123=$A$15)),0,
         IF(OFFSET(CRONOPLE!$F$15,$M123-$A$15,CI$13)=0,10^12,OFFSET(CRONOPLE!$F$15,$M123-$A$15,CI$13)))</f>
        <v>17</v>
      </c>
      <c r="CJ123" s="353" t="n">
        <f aca="true">IF(OR($D123&lt;&gt;"Serviço",AND(AUTOEVENTO="Manual",$M123=$A$15)),0,
         IF(OFFSET(CRONOPLE!$F$15,$M123-$A$15,CJ$13)=0,10^12,OFFSET(CRONOPLE!$F$15,$M123-$A$15,CJ$13)))</f>
        <v>18</v>
      </c>
      <c r="CK123" s="353" t="n">
        <f aca="true">IF(OR($D123&lt;&gt;"Serviço",AND(AUTOEVENTO="Manual",$M123=$A$15)),0,
         IF(OFFSET(CRONOPLE!$F$15,$M123-$A$15,CK$13)=0,10^12,OFFSET(CRONOPLE!$F$15,$M123-$A$15,CK$13)))</f>
        <v>19</v>
      </c>
      <c r="CL123" s="353" t="n">
        <f aca="true">IF(OR($D123&lt;&gt;"Serviço",AND(AUTOEVENTO="Manual",$M123=$A$15)),0,
         IF(OFFSET(CRONOPLE!$F$15,$M123-$A$15,CL$13)=0,10^12,OFFSET(CRONOPLE!$F$15,$M123-$A$15,CL$13)))</f>
        <v>20</v>
      </c>
      <c r="CM123" s="353" t="n">
        <f aca="true">IF(OR($D123&lt;&gt;"Serviço",AND(AUTOEVENTO="Manual",$M123=$A$15)),0,
         IF(OFFSET(CRONOPLE!$F$15,$M123-$A$15,CM$13)=0,10^12,OFFSET(CRONOPLE!$F$15,$M123-$A$15,CM$13)))</f>
        <v>21</v>
      </c>
      <c r="CN123" s="353" t="n">
        <f aca="true">IF(OR($D123&lt;&gt;"Serviço",AND(AUTOEVENTO="Manual",$M123=$A$15)),0,
         IF(OFFSET(CRONOPLE!$F$15,$M123-$A$15,CN$13)=0,10^12,OFFSET(CRONOPLE!$F$15,$M123-$A$15,CN$13)))</f>
        <v>22</v>
      </c>
      <c r="CO123" s="353" t="n">
        <f aca="true">IF(OR($D123&lt;&gt;"Serviço",AND(AUTOEVENTO="Manual",$M123=$A$15)),0,
         IF(OFFSET(CRONOPLE!$F$15,$M123-$A$15,CO$13)=0,10^12,OFFSET(CRONOPLE!$F$15,$M123-$A$15,CO$13)))</f>
        <v>23</v>
      </c>
      <c r="CP123" s="353" t="n">
        <f aca="true">IF(OR($D123&lt;&gt;"Serviço",AND(AUTOEVENTO="Manual",$M123=$A$15)),0,
         IF(OFFSET(CRONOPLE!$F$15,$M123-$A$15,CP$13)=0,10^12,OFFSET(CRONOPLE!$F$15,$M123-$A$15,CP$13)))</f>
        <v>24</v>
      </c>
      <c r="CQ123" s="353" t="n">
        <f aca="true">IF(OR($D123&lt;&gt;"Serviço",AND(AUTOEVENTO="Manual",$M123=$A$15)),0,
         IF(OFFSET(CRONOPLE!$F$15,$M123-$A$15,CQ$13)=0,10^12,OFFSET(CRONOPLE!$F$15,$M123-$A$15,CQ$13)))</f>
        <v>25</v>
      </c>
      <c r="CR123" s="353" t="n">
        <f aca="true">IF(OR($D123&lt;&gt;"Serviço",AND(AUTOEVENTO="Manual",$M123=$A$15)),0,
         IF(OFFSET(CRONOPLE!$F$15,$M123-$A$15,CR$13)=0,10^12,OFFSET(CRONOPLE!$F$15,$M123-$A$15,CR$13)))</f>
        <v>1000000000000</v>
      </c>
      <c r="CT123" s="354" t="n">
        <f aca="true">IF(OR($D123&lt;&gt;"Serviço",AND(AUTOEVENTO="Manual",$M123=$A$15),$M123&gt;(ROW(PLE.lastrow)-ROW(PLE.firstrow))),0,
           IF(OFFSET(PLE!$G$15,$M123-$A$15,CT$13)="",10^12,OFFSET(PLE!$G$15,$M123-$A$15,CT$13)))</f>
        <v>1000000000000</v>
      </c>
      <c r="CU123" s="354" t="n">
        <f aca="true">IF(OR($D123&lt;&gt;"Serviço",AND(AUTOEVENTO="Manual",$M123=$A$15),$M123&gt;(ROW(PLE.lastrow)-ROW(PLE.firstrow))),0,
           IF(OFFSET(PLE!$G$15,$M123-$A$15,CU$13)="",10^12,OFFSET(PLE!$G$15,$M123-$A$15,CU$13)))</f>
        <v>1000000000000</v>
      </c>
      <c r="CV123" s="354" t="n">
        <f aca="true">IF(OR($D123&lt;&gt;"Serviço",AND(AUTOEVENTO="Manual",$M123=$A$15),$M123&gt;(ROW(PLE.lastrow)-ROW(PLE.firstrow))),0,
           IF(OFFSET(PLE!$G$15,$M123-$A$15,CV$13)="",10^12,OFFSET(PLE!$G$15,$M123-$A$15,CV$13)))</f>
        <v>1000000000000</v>
      </c>
      <c r="CW123" s="354" t="n">
        <f aca="true">IF(OR($D123&lt;&gt;"Serviço",AND(AUTOEVENTO="Manual",$M123=$A$15),$M123&gt;(ROW(PLE.lastrow)-ROW(PLE.firstrow))),0,
           IF(OFFSET(PLE!$G$15,$M123-$A$15,CW$13)="",10^12,OFFSET(PLE!$G$15,$M123-$A$15,CW$13)))</f>
        <v>1000000000000</v>
      </c>
      <c r="CX123" s="354" t="n">
        <f aca="true">IF(OR($D123&lt;&gt;"Serviço",AND(AUTOEVENTO="Manual",$M123=$A$15),$M123&gt;(ROW(PLE.lastrow)-ROW(PLE.firstrow))),0,
           IF(OFFSET(PLE!$G$15,$M123-$A$15,CX$13)="",10^12,OFFSET(PLE!$G$15,$M123-$A$15,CX$13)))</f>
        <v>1000000000000</v>
      </c>
      <c r="CY123" s="354" t="n">
        <f aca="true">IF(OR($D123&lt;&gt;"Serviço",AND(AUTOEVENTO="Manual",$M123=$A$15),$M123&gt;(ROW(PLE.lastrow)-ROW(PLE.firstrow))),0,
           IF(OFFSET(PLE!$G$15,$M123-$A$15,CY$13)="",10^12,OFFSET(PLE!$G$15,$M123-$A$15,CY$13)))</f>
        <v>1000000000000</v>
      </c>
      <c r="CZ123" s="354" t="n">
        <f aca="true">IF(OR($D123&lt;&gt;"Serviço",AND(AUTOEVENTO="Manual",$M123=$A$15),$M123&gt;(ROW(PLE.lastrow)-ROW(PLE.firstrow))),0,
           IF(OFFSET(PLE!$G$15,$M123-$A$15,CZ$13)="",10^12,OFFSET(PLE!$G$15,$M123-$A$15,CZ$13)))</f>
        <v>1000000000000</v>
      </c>
      <c r="DA123" s="354" t="n">
        <f aca="true">IF(OR($D123&lt;&gt;"Serviço",AND(AUTOEVENTO="Manual",$M123=$A$15),$M123&gt;(ROW(PLE.lastrow)-ROW(PLE.firstrow))),0,
           IF(OFFSET(PLE!$G$15,$M123-$A$15,DA$13)="",10^12,OFFSET(PLE!$G$15,$M123-$A$15,DA$13)))</f>
        <v>1000000000000</v>
      </c>
      <c r="DB123" s="354" t="n">
        <f aca="true">IF(OR($D123&lt;&gt;"Serviço",AND(AUTOEVENTO="Manual",$M123=$A$15),$M123&gt;(ROW(PLE.lastrow)-ROW(PLE.firstrow))),0,
           IF(OFFSET(PLE!$G$15,$M123-$A$15,DB$13)="",10^12,OFFSET(PLE!$G$15,$M123-$A$15,DB$13)))</f>
        <v>1000000000000</v>
      </c>
      <c r="DC123" s="354" t="n">
        <f aca="true">IF(OR($D123&lt;&gt;"Serviço",AND(AUTOEVENTO="Manual",$M123=$A$15),$M123&gt;(ROW(PLE.lastrow)-ROW(PLE.firstrow))),0,
           IF(OFFSET(PLE!$G$15,$M123-$A$15,DC$13)="",10^12,OFFSET(PLE!$G$15,$M123-$A$15,DC$13)))</f>
        <v>1000000000000</v>
      </c>
      <c r="DD123" s="354" t="n">
        <f aca="true">IF(OR($D123&lt;&gt;"Serviço",AND(AUTOEVENTO="Manual",$M123=$A$15),$M123&gt;(ROW(PLE.lastrow)-ROW(PLE.firstrow))),0,
           IF(OFFSET(PLE!$G$15,$M123-$A$15,DD$13)="",10^12,OFFSET(PLE!$G$15,$M123-$A$15,DD$13)))</f>
        <v>1000000000000</v>
      </c>
      <c r="DE123" s="354" t="n">
        <f aca="true">IF(OR($D123&lt;&gt;"Serviço",AND(AUTOEVENTO="Manual",$M123=$A$15),$M123&gt;(ROW(PLE.lastrow)-ROW(PLE.firstrow))),0,
           IF(OFFSET(PLE!$G$15,$M123-$A$15,DE$13)="",10^12,OFFSET(PLE!$G$15,$M123-$A$15,DE$13)))</f>
        <v>1000000000000</v>
      </c>
      <c r="DF123" s="354" t="n">
        <f aca="true">IF(OR($D123&lt;&gt;"Serviço",AND(AUTOEVENTO="Manual",$M123=$A$15),$M123&gt;(ROW(PLE.lastrow)-ROW(PLE.firstrow))),0,
           IF(OFFSET(PLE!$G$15,$M123-$A$15,DF$13)="",10^12,OFFSET(PLE!$G$15,$M123-$A$15,DF$13)))</f>
        <v>1000000000000</v>
      </c>
      <c r="DG123" s="354" t="n">
        <f aca="true">IF(OR($D123&lt;&gt;"Serviço",AND(AUTOEVENTO="Manual",$M123=$A$15),$M123&gt;(ROW(PLE.lastrow)-ROW(PLE.firstrow))),0,
           IF(OFFSET(PLE!$G$15,$M123-$A$15,DG$13)="",10^12,OFFSET(PLE!$G$15,$M123-$A$15,DG$13)))</f>
        <v>1000000000000</v>
      </c>
      <c r="DH123" s="354" t="n">
        <f aca="true">IF(OR($D123&lt;&gt;"Serviço",AND(AUTOEVENTO="Manual",$M123=$A$15),$M123&gt;(ROW(PLE.lastrow)-ROW(PLE.firstrow))),0,
           IF(OFFSET(PLE!$G$15,$M123-$A$15,DH$13)="",10^12,OFFSET(PLE!$G$15,$M123-$A$15,DH$13)))</f>
        <v>1000000000000</v>
      </c>
      <c r="DI123" s="354" t="n">
        <f aca="true">IF(OR($D123&lt;&gt;"Serviço",AND(AUTOEVENTO="Manual",$M123=$A$15),$M123&gt;(ROW(PLE.lastrow)-ROW(PLE.firstrow))),0,
           IF(OFFSET(PLE!$G$15,$M123-$A$15,DI$13)="",10^12,OFFSET(PLE!$G$15,$M123-$A$15,DI$13)))</f>
        <v>1000000000000</v>
      </c>
      <c r="DJ123" s="354" t="n">
        <f aca="true">IF(OR($D123&lt;&gt;"Serviço",AND(AUTOEVENTO="Manual",$M123=$A$15),$M123&gt;(ROW(PLE.lastrow)-ROW(PLE.firstrow))),0,
           IF(OFFSET(PLE!$G$15,$M123-$A$15,DJ$13)="",10^12,OFFSET(PLE!$G$15,$M123-$A$15,DJ$13)))</f>
        <v>1000000000000</v>
      </c>
      <c r="DK123" s="354" t="n">
        <f aca="true">IF(OR($D123&lt;&gt;"Serviço",AND(AUTOEVENTO="Manual",$M123=$A$15),$M123&gt;(ROW(PLE.lastrow)-ROW(PLE.firstrow))),0,
           IF(OFFSET(PLE!$G$15,$M123-$A$15,DK$13)="",10^12,OFFSET(PLE!$G$15,$M123-$A$15,DK$13)))</f>
        <v>1000000000000</v>
      </c>
      <c r="DL123" s="354" t="n">
        <f aca="true">IF(OR($D123&lt;&gt;"Serviço",AND(AUTOEVENTO="Manual",$M123=$A$15),$M123&gt;(ROW(PLE.lastrow)-ROW(PLE.firstrow))),0,
           IF(OFFSET(PLE!$G$15,$M123-$A$15,DL$13)="",10^12,OFFSET(PLE!$G$15,$M123-$A$15,DL$13)))</f>
        <v>1000000000000</v>
      </c>
      <c r="DM123" s="354" t="n">
        <f aca="true">IF(OR($D123&lt;&gt;"Serviço",AND(AUTOEVENTO="Manual",$M123=$A$15),$M123&gt;(ROW(PLE.lastrow)-ROW(PLE.firstrow))),0,
           IF(OFFSET(PLE!$G$15,$M123-$A$15,DM$13)="",10^12,OFFSET(PLE!$G$15,$M123-$A$15,DM$13)))</f>
        <v>1000000000000</v>
      </c>
      <c r="DN123" s="354" t="n">
        <f aca="true">IF(OR($D123&lt;&gt;"Serviço",AND(AUTOEVENTO="Manual",$M123=$A$15),$M123&gt;(ROW(PLE.lastrow)-ROW(PLE.firstrow))),0,
           IF(OFFSET(PLE!$G$15,$M123-$A$15,DN$13)="",10^12,OFFSET(PLE!$G$15,$M123-$A$15,DN$13)))</f>
        <v>1000000000000</v>
      </c>
      <c r="DO123" s="354" t="n">
        <f aca="true">IF(OR($D123&lt;&gt;"Serviço",AND(AUTOEVENTO="Manual",$M123=$A$15),$M123&gt;(ROW(PLE.lastrow)-ROW(PLE.firstrow))),0,
           IF(OFFSET(PLE!$G$15,$M123-$A$15,DO$13)="",10^12,OFFSET(PLE!$G$15,$M123-$A$15,DO$13)))</f>
        <v>1000000000000</v>
      </c>
      <c r="DP123" s="354" t="n">
        <f aca="true">IF(OR($D123&lt;&gt;"Serviço",AND(AUTOEVENTO="Manual",$M123=$A$15),$M123&gt;(ROW(PLE.lastrow)-ROW(PLE.firstrow))),0,
           IF(OFFSET(PLE!$G$15,$M123-$A$15,DP$13)="",10^12,OFFSET(PLE!$G$15,$M123-$A$15,DP$13)))</f>
        <v>1000000000000</v>
      </c>
      <c r="DQ123" s="354" t="n">
        <f aca="true">IF(OR($D123&lt;&gt;"Serviço",AND(AUTOEVENTO="Manual",$M123=$A$15),$M123&gt;(ROW(PLE.lastrow)-ROW(PLE.firstrow))),0,
           IF(OFFSET(PLE!$G$15,$M123-$A$15,DQ$13)="",10^12,OFFSET(PLE!$G$15,$M123-$A$15,DQ$13)))</f>
        <v>1000000000000</v>
      </c>
      <c r="DR123" s="354" t="n">
        <f aca="true">IF(OR($D123&lt;&gt;"Serviço",AND(AUTOEVENTO="Manual",$M123=$A$15),$M123&gt;(ROW(PLE.lastrow)-ROW(PLE.firstrow))),0,
           IF(OFFSET(PLE!$G$15,$M123-$A$15,DR$13)="",10^12,OFFSET(PLE!$G$15,$M123-$A$15,DR$13)))</f>
        <v>1000000000000</v>
      </c>
      <c r="DS123" s="354" t="n">
        <f aca="true">IF(OR($D123&lt;&gt;"Serviço",AND(AUTOEVENTO="Manual",$M123=$A$15),$M123&gt;(ROW(PLE.lastrow)-ROW(PLE.firstrow))),0,
           IF(OFFSET(PLE!$G$15,$M123-$A$15,DS$13)="",10^12,OFFSET(PLE!$G$15,$M123-$A$15,DS$13)))</f>
        <v>1000000000000</v>
      </c>
    </row>
    <row r="124" customFormat="false" ht="35.05" hidden="false" customHeight="false" outlineLevel="0" collapsed="false">
      <c r="A124" s="50" t="str">
        <f aca="true">IFERROR(IF(AUTOEVENTO="Manual",IF(K124&lt;&gt;"",MIN(VALUE(LEFT(K124,FIND(".",K124)-1)),COUNTA(EVENTOS.Lista)),0),IF(OR($B124&gt;AUTOEVENTO,$B124="S",$B124=0),SUBSTITUTE(OFFSET($A124,-1,0),IF($D124="Serviço",".",""),""),ROW(A124)-ROW($A$15)&amp;".")),0)</f>
        <v>105</v>
      </c>
      <c r="B124" s="50" t="str">
        <f aca="true">OFFSET(ORÇAMENTO!C$15,ROW(B124)-ROW(B$15),0)</f>
        <v>S</v>
      </c>
      <c r="C124" s="50" t="str">
        <f aca="true">OFFSET(ORÇAMENTO!L$15,ROW(C124)-ROW(C$15),0)</f>
        <v>F</v>
      </c>
      <c r="D124" s="201" t="str">
        <f aca="true">OFFSET(ORÇAMENTO!N$15,ROW(D124)-ROW(D$15),0)</f>
        <v>Serviço</v>
      </c>
      <c r="E124" s="202" t="str">
        <f aca="true">OFFSET(ORÇAMENTO!O$15,ROW(E124)-ROW(E$15),0)</f>
        <v>1.36.4.</v>
      </c>
      <c r="F124" s="341" t="str">
        <f aca="true">OFFSET(ORÇAMENTO!R$15,ROW(F124)-ROW(F$15),0)</f>
        <v>ENTRADA DE ENERGIA ELÉTRICA, AÉREA, MONOFÁSICA, COM CAIXA DE EMBUTIR, CABO DE 10 MM2 E DISJUNTOR DIN 50A (NÃO INCLUSO O POSTE DE CONCRETO). AF_07/2020_PS</v>
      </c>
      <c r="G124" s="342" t="str">
        <f aca="true">IF($D124&lt;&gt;"Serviço","",OFFSET(ORÇAMENTO!S$15,ROW(G124)-ROW(G$15),0))</f>
        <v>UN</v>
      </c>
      <c r="H124" s="207" t="n">
        <f aca="true">IF($D124&lt;&gt;"Serviço",0,IF(ACOMPANHAMENTO="BM",ROUND(OFFSET(ORÇAMENTO!AJ$15,ROW(H124)-ROW(H$15),0),15-13*ORÇAMENTO!$AF$7),SUMPRODUCT(($Q$1:$AQ$1=1)*ROUND($Q124:$AQ124,15-13*ORÇAMENTO!$AF$7))))</f>
        <v>25</v>
      </c>
      <c r="I124" s="343" t="s">
        <v>969</v>
      </c>
      <c r="J124" s="344" t="e">
        <f aca="false">IF(OR(B124&lt;&gt;"S",CÁLCULO.FrentesPreenchidas=0),"",IF(AND(ACOMPANHAMENTO="PLE",AUTOEVENTO="Manual",OR(H124&gt;0,ORÇAMENTO!AC124="QUANT."),OR(K124="",M124=0,N124="")),"►",IF(AND(ACOMPANHAMENTO="PLE",ORÇAMENTO!AC124="QUANT."),"►►",IF(AND(COUNTIF($P$11:$AQ$11,"▼")=0,H124&gt;0,I124=""),"◄",""))))</f>
        <v>#NAME?</v>
      </c>
      <c r="K124" s="345"/>
      <c r="L124" s="346" t="s">
        <v>876</v>
      </c>
      <c r="M124" s="347" t="n">
        <f aca="true">IF($D124&lt;&gt;"Serviço","",
          IF(AUTOEVENTO="manual",$A124,
                IF(ISERROR(MATCH($A124,$A$15:OFFSET($A124,-1,0),0)),MAX($M$15:OFFSET(M124,-1,0))+1,
                      INDEX($M$15:OFFSET(M124,-1,0),MATCH($A124,$A$15:OFFSET($A124,-1,0),0)))))</f>
        <v>21</v>
      </c>
      <c r="N124" s="348" t="str">
        <f aca="true">IF($D124&lt;&gt;"Serviço","",
         IF(AUTOEVENTO="Manual",
                IF($A124=0,"&lt;-- defina o número do agrupador",
                       OFFSET(EVENTOS!$D$15,$A124-$A$15,0)),
                OFFSET($F$15,$A124,0)))</f>
        <v>CENTRO DE DISTRIBUIÇÃO</v>
      </c>
      <c r="O124" s="349"/>
      <c r="Q124" s="349" t="n">
        <v>1</v>
      </c>
      <c r="R124" s="350" t="n">
        <f aca="false">Q124</f>
        <v>1</v>
      </c>
      <c r="S124" s="350" t="n">
        <f aca="false">R124</f>
        <v>1</v>
      </c>
      <c r="T124" s="350" t="n">
        <f aca="false">S124</f>
        <v>1</v>
      </c>
      <c r="U124" s="350" t="n">
        <f aca="false">T124</f>
        <v>1</v>
      </c>
      <c r="V124" s="350" t="n">
        <f aca="false">U124</f>
        <v>1</v>
      </c>
      <c r="W124" s="350" t="n">
        <f aca="false">V124</f>
        <v>1</v>
      </c>
      <c r="X124" s="350" t="n">
        <f aca="false">W124</f>
        <v>1</v>
      </c>
      <c r="Y124" s="350" t="n">
        <f aca="false">X124</f>
        <v>1</v>
      </c>
      <c r="Z124" s="351" t="n">
        <f aca="false">Y124</f>
        <v>1</v>
      </c>
      <c r="AA124" s="350" t="n">
        <f aca="false">Z124</f>
        <v>1</v>
      </c>
      <c r="AB124" s="350" t="n">
        <f aca="false">AA124</f>
        <v>1</v>
      </c>
      <c r="AC124" s="350" t="n">
        <f aca="false">AB124</f>
        <v>1</v>
      </c>
      <c r="AD124" s="350" t="n">
        <f aca="false">AC124</f>
        <v>1</v>
      </c>
      <c r="AE124" s="350" t="n">
        <f aca="false">AD124</f>
        <v>1</v>
      </c>
      <c r="AF124" s="350" t="n">
        <f aca="false">AE124</f>
        <v>1</v>
      </c>
      <c r="AG124" s="350" t="n">
        <f aca="false">AF124</f>
        <v>1</v>
      </c>
      <c r="AH124" s="351" t="n">
        <f aca="false">AG124</f>
        <v>1</v>
      </c>
      <c r="AI124" s="350" t="n">
        <f aca="false">AH124</f>
        <v>1</v>
      </c>
      <c r="AJ124" s="350" t="n">
        <f aca="false">AI124</f>
        <v>1</v>
      </c>
      <c r="AK124" s="350" t="n">
        <f aca="false">AJ124</f>
        <v>1</v>
      </c>
      <c r="AL124" s="350" t="n">
        <f aca="false">AK124</f>
        <v>1</v>
      </c>
      <c r="AM124" s="350" t="n">
        <f aca="false">AL124</f>
        <v>1</v>
      </c>
      <c r="AN124" s="350" t="n">
        <f aca="false">AM124</f>
        <v>1</v>
      </c>
      <c r="AO124" s="350" t="n">
        <f aca="false">AN124</f>
        <v>1</v>
      </c>
      <c r="AP124" s="351"/>
      <c r="AR124" s="352" t="n">
        <f aca="true">IF(AND($D124="Serviço",AR$12&lt;&gt;0,$H124&gt;0,OR(AUTOEVENTO&lt;&gt;"manual",$M124&lt;&gt;$A$15)),
        IF(Import.TipoArredondamento&lt;&gt;"TransfereGOV",
              ROUND(OFFSET($P124,0,AR$13),15-13*ORÇAMENTO!$AF$7)/$H124*OFFSET(ORÇAMENTO!$X$15,ROW(AR124)-ROW(AR$15),0),
              ROUND(ROUND(OFFSET($P124,0,AR$13),15-13*ORÇAMENTO!$AF$7)*OFFSET(ORÇAMENTO!$W$15,ROW(AR124)-ROW(AR$15),0),15-13*ORÇAMENTO!$AF$11)),
         0)</f>
        <v>2062.96</v>
      </c>
      <c r="AS124" s="352" t="n">
        <f aca="true">IF(AND($D124="Serviço",AS$12&lt;&gt;0,$H124&gt;0,OR(AUTOEVENTO&lt;&gt;"manual",$M124&lt;&gt;$A$15)),
        IF(Import.TipoArredondamento&lt;&gt;"TransfereGOV",
              ROUND(OFFSET($P124,0,AS$13),15-13*ORÇAMENTO!$AF$7)/$H124*OFFSET(ORÇAMENTO!$X$15,ROW(AS124)-ROW(AS$15),0),
              ROUND(ROUND(OFFSET($P124,0,AS$13),15-13*ORÇAMENTO!$AF$7)*OFFSET(ORÇAMENTO!$W$15,ROW(AS124)-ROW(AS$15),0),15-13*ORÇAMENTO!$AF$11)),
         0)</f>
        <v>2062.96</v>
      </c>
      <c r="AT124" s="352" t="n">
        <f aca="true">IF(AND($D124="Serviço",AT$12&lt;&gt;0,$H124&gt;0,OR(AUTOEVENTO&lt;&gt;"manual",$M124&lt;&gt;$A$15)),
        IF(Import.TipoArredondamento&lt;&gt;"TransfereGOV",
              ROUND(OFFSET($P124,0,AT$13),15-13*ORÇAMENTO!$AF$7)/$H124*OFFSET(ORÇAMENTO!$X$15,ROW(AT124)-ROW(AT$15),0),
              ROUND(ROUND(OFFSET($P124,0,AT$13),15-13*ORÇAMENTO!$AF$7)*OFFSET(ORÇAMENTO!$W$15,ROW(AT124)-ROW(AT$15),0),15-13*ORÇAMENTO!$AF$11)),
         0)</f>
        <v>2062.96</v>
      </c>
      <c r="AU124" s="352" t="n">
        <f aca="true">IF(AND($D124="Serviço",AU$12&lt;&gt;0,$H124&gt;0,OR(AUTOEVENTO&lt;&gt;"manual",$M124&lt;&gt;$A$15)),
        IF(Import.TipoArredondamento&lt;&gt;"TransfereGOV",
              ROUND(OFFSET($P124,0,AU$13),15-13*ORÇAMENTO!$AF$7)/$H124*OFFSET(ORÇAMENTO!$X$15,ROW(AU124)-ROW(AU$15),0),
              ROUND(ROUND(OFFSET($P124,0,AU$13),15-13*ORÇAMENTO!$AF$7)*OFFSET(ORÇAMENTO!$W$15,ROW(AU124)-ROW(AU$15),0),15-13*ORÇAMENTO!$AF$11)),
         0)</f>
        <v>2062.96</v>
      </c>
      <c r="AV124" s="352" t="n">
        <f aca="true">IF(AND($D124="Serviço",AV$12&lt;&gt;0,$H124&gt;0,OR(AUTOEVENTO&lt;&gt;"manual",$M124&lt;&gt;$A$15)),
        IF(Import.TipoArredondamento&lt;&gt;"TransfereGOV",
              ROUND(OFFSET($P124,0,AV$13),15-13*ORÇAMENTO!$AF$7)/$H124*OFFSET(ORÇAMENTO!$X$15,ROW(AV124)-ROW(AV$15),0),
              ROUND(ROUND(OFFSET($P124,0,AV$13),15-13*ORÇAMENTO!$AF$7)*OFFSET(ORÇAMENTO!$W$15,ROW(AV124)-ROW(AV$15),0),15-13*ORÇAMENTO!$AF$11)),
         0)</f>
        <v>2062.96</v>
      </c>
      <c r="AW124" s="352" t="n">
        <f aca="true">IF(AND($D124="Serviço",AW$12&lt;&gt;0,$H124&gt;0,OR(AUTOEVENTO&lt;&gt;"manual",$M124&lt;&gt;$A$15)),
        IF(Import.TipoArredondamento&lt;&gt;"TransfereGOV",
              ROUND(OFFSET($P124,0,AW$13),15-13*ORÇAMENTO!$AF$7)/$H124*OFFSET(ORÇAMENTO!$X$15,ROW(AW124)-ROW(AW$15),0),
              ROUND(ROUND(OFFSET($P124,0,AW$13),15-13*ORÇAMENTO!$AF$7)*OFFSET(ORÇAMENTO!$W$15,ROW(AW124)-ROW(AW$15),0),15-13*ORÇAMENTO!$AF$11)),
         0)</f>
        <v>2062.96</v>
      </c>
      <c r="AX124" s="352" t="n">
        <f aca="true">IF(AND($D124="Serviço",AX$12&lt;&gt;0,$H124&gt;0,OR(AUTOEVENTO&lt;&gt;"manual",$M124&lt;&gt;$A$15)),
        IF(Import.TipoArredondamento&lt;&gt;"TransfereGOV",
              ROUND(OFFSET($P124,0,AX$13),15-13*ORÇAMENTO!$AF$7)/$H124*OFFSET(ORÇAMENTO!$X$15,ROW(AX124)-ROW(AX$15),0),
              ROUND(ROUND(OFFSET($P124,0,AX$13),15-13*ORÇAMENTO!$AF$7)*OFFSET(ORÇAMENTO!$W$15,ROW(AX124)-ROW(AX$15),0),15-13*ORÇAMENTO!$AF$11)),
         0)</f>
        <v>2062.96</v>
      </c>
      <c r="AY124" s="352" t="n">
        <f aca="true">IF(AND($D124="Serviço",AY$12&lt;&gt;0,$H124&gt;0,OR(AUTOEVENTO&lt;&gt;"manual",$M124&lt;&gt;$A$15)),
        IF(Import.TipoArredondamento&lt;&gt;"TransfereGOV",
              ROUND(OFFSET($P124,0,AY$13),15-13*ORÇAMENTO!$AF$7)/$H124*OFFSET(ORÇAMENTO!$X$15,ROW(AY124)-ROW(AY$15),0),
              ROUND(ROUND(OFFSET($P124,0,AY$13),15-13*ORÇAMENTO!$AF$7)*OFFSET(ORÇAMENTO!$W$15,ROW(AY124)-ROW(AY$15),0),15-13*ORÇAMENTO!$AF$11)),
         0)</f>
        <v>2062.96</v>
      </c>
      <c r="AZ124" s="352" t="n">
        <f aca="true">IF(AND($D124="Serviço",AZ$12&lt;&gt;0,$H124&gt;0,OR(AUTOEVENTO&lt;&gt;"manual",$M124&lt;&gt;$A$15)),
        IF(Import.TipoArredondamento&lt;&gt;"TransfereGOV",
              ROUND(OFFSET($P124,0,AZ$13),15-13*ORÇAMENTO!$AF$7)/$H124*OFFSET(ORÇAMENTO!$X$15,ROW(AZ124)-ROW(AZ$15),0),
              ROUND(ROUND(OFFSET($P124,0,AZ$13),15-13*ORÇAMENTO!$AF$7)*OFFSET(ORÇAMENTO!$W$15,ROW(AZ124)-ROW(AZ$15),0),15-13*ORÇAMENTO!$AF$11)),
         0)</f>
        <v>2062.96</v>
      </c>
      <c r="BA124" s="352" t="n">
        <f aca="true">IF(AND($D124="Serviço",BA$12&lt;&gt;0,$H124&gt;0,OR(AUTOEVENTO&lt;&gt;"manual",$M124&lt;&gt;$A$15)),
        IF(Import.TipoArredondamento&lt;&gt;"TransfereGOV",
              ROUND(OFFSET($P124,0,BA$13),15-13*ORÇAMENTO!$AF$7)/$H124*OFFSET(ORÇAMENTO!$X$15,ROW(BA124)-ROW(BA$15),0),
              ROUND(ROUND(OFFSET($P124,0,BA$13),15-13*ORÇAMENTO!$AF$7)*OFFSET(ORÇAMENTO!$W$15,ROW(BA124)-ROW(BA$15),0),15-13*ORÇAMENTO!$AF$11)),
         0)</f>
        <v>2062.96</v>
      </c>
      <c r="BB124" s="352" t="n">
        <f aca="true">IF(AND($D124="Serviço",BB$12&lt;&gt;0,$H124&gt;0,OR(AUTOEVENTO&lt;&gt;"manual",$M124&lt;&gt;$A$15)),
        IF(Import.TipoArredondamento&lt;&gt;"TransfereGOV",
              ROUND(OFFSET($P124,0,BB$13),15-13*ORÇAMENTO!$AF$7)/$H124*OFFSET(ORÇAMENTO!$X$15,ROW(BB124)-ROW(BB$15),0),
              ROUND(ROUND(OFFSET($P124,0,BB$13),15-13*ORÇAMENTO!$AF$7)*OFFSET(ORÇAMENTO!$W$15,ROW(BB124)-ROW(BB$15),0),15-13*ORÇAMENTO!$AF$11)),
         0)</f>
        <v>2062.96</v>
      </c>
      <c r="BC124" s="352" t="n">
        <f aca="true">IF(AND($D124="Serviço",BC$12&lt;&gt;0,$H124&gt;0,OR(AUTOEVENTO&lt;&gt;"manual",$M124&lt;&gt;$A$15)),
        IF(Import.TipoArredondamento&lt;&gt;"TransfereGOV",
              ROUND(OFFSET($P124,0,BC$13),15-13*ORÇAMENTO!$AF$7)/$H124*OFFSET(ORÇAMENTO!$X$15,ROW(BC124)-ROW(BC$15),0),
              ROUND(ROUND(OFFSET($P124,0,BC$13),15-13*ORÇAMENTO!$AF$7)*OFFSET(ORÇAMENTO!$W$15,ROW(BC124)-ROW(BC$15),0),15-13*ORÇAMENTO!$AF$11)),
         0)</f>
        <v>2062.96</v>
      </c>
      <c r="BD124" s="352" t="n">
        <f aca="true">IF(AND($D124="Serviço",BD$12&lt;&gt;0,$H124&gt;0,OR(AUTOEVENTO&lt;&gt;"manual",$M124&lt;&gt;$A$15)),
        IF(Import.TipoArredondamento&lt;&gt;"TransfereGOV",
              ROUND(OFFSET($P124,0,BD$13),15-13*ORÇAMENTO!$AF$7)/$H124*OFFSET(ORÇAMENTO!$X$15,ROW(BD124)-ROW(BD$15),0),
              ROUND(ROUND(OFFSET($P124,0,BD$13),15-13*ORÇAMENTO!$AF$7)*OFFSET(ORÇAMENTO!$W$15,ROW(BD124)-ROW(BD$15),0),15-13*ORÇAMENTO!$AF$11)),
         0)</f>
        <v>2062.96</v>
      </c>
      <c r="BE124" s="352" t="n">
        <f aca="true">IF(AND($D124="Serviço",BE$12&lt;&gt;0,$H124&gt;0,OR(AUTOEVENTO&lt;&gt;"manual",$M124&lt;&gt;$A$15)),
        IF(Import.TipoArredondamento&lt;&gt;"TransfereGOV",
              ROUND(OFFSET($P124,0,BE$13),15-13*ORÇAMENTO!$AF$7)/$H124*OFFSET(ORÇAMENTO!$X$15,ROW(BE124)-ROW(BE$15),0),
              ROUND(ROUND(OFFSET($P124,0,BE$13),15-13*ORÇAMENTO!$AF$7)*OFFSET(ORÇAMENTO!$W$15,ROW(BE124)-ROW(BE$15),0),15-13*ORÇAMENTO!$AF$11)),
         0)</f>
        <v>2062.96</v>
      </c>
      <c r="BF124" s="352" t="n">
        <f aca="true">IF(AND($D124="Serviço",BF$12&lt;&gt;0,$H124&gt;0,OR(AUTOEVENTO&lt;&gt;"manual",$M124&lt;&gt;$A$15)),
        IF(Import.TipoArredondamento&lt;&gt;"TransfereGOV",
              ROUND(OFFSET($P124,0,BF$13),15-13*ORÇAMENTO!$AF$7)/$H124*OFFSET(ORÇAMENTO!$X$15,ROW(BF124)-ROW(BF$15),0),
              ROUND(ROUND(OFFSET($P124,0,BF$13),15-13*ORÇAMENTO!$AF$7)*OFFSET(ORÇAMENTO!$W$15,ROW(BF124)-ROW(BF$15),0),15-13*ORÇAMENTO!$AF$11)),
         0)</f>
        <v>2062.96</v>
      </c>
      <c r="BG124" s="352" t="n">
        <f aca="true">IF(AND($D124="Serviço",BG$12&lt;&gt;0,$H124&gt;0,OR(AUTOEVENTO&lt;&gt;"manual",$M124&lt;&gt;$A$15)),
        IF(Import.TipoArredondamento&lt;&gt;"TransfereGOV",
              ROUND(OFFSET($P124,0,BG$13),15-13*ORÇAMENTO!$AF$7)/$H124*OFFSET(ORÇAMENTO!$X$15,ROW(BG124)-ROW(BG$15),0),
              ROUND(ROUND(OFFSET($P124,0,BG$13),15-13*ORÇAMENTO!$AF$7)*OFFSET(ORÇAMENTO!$W$15,ROW(BG124)-ROW(BG$15),0),15-13*ORÇAMENTO!$AF$11)),
         0)</f>
        <v>2062.96</v>
      </c>
      <c r="BH124" s="352" t="n">
        <f aca="true">IF(AND($D124="Serviço",BH$12&lt;&gt;0,$H124&gt;0,OR(AUTOEVENTO&lt;&gt;"manual",$M124&lt;&gt;$A$15)),
        IF(Import.TipoArredondamento&lt;&gt;"TransfereGOV",
              ROUND(OFFSET($P124,0,BH$13),15-13*ORÇAMENTO!$AF$7)/$H124*OFFSET(ORÇAMENTO!$X$15,ROW(BH124)-ROW(BH$15),0),
              ROUND(ROUND(OFFSET($P124,0,BH$13),15-13*ORÇAMENTO!$AF$7)*OFFSET(ORÇAMENTO!$W$15,ROW(BH124)-ROW(BH$15),0),15-13*ORÇAMENTO!$AF$11)),
         0)</f>
        <v>2062.96</v>
      </c>
      <c r="BI124" s="352" t="n">
        <f aca="true">IF(AND($D124="Serviço",BI$12&lt;&gt;0,$H124&gt;0,OR(AUTOEVENTO&lt;&gt;"manual",$M124&lt;&gt;$A$15)),
        IF(Import.TipoArredondamento&lt;&gt;"TransfereGOV",
              ROUND(OFFSET($P124,0,BI$13),15-13*ORÇAMENTO!$AF$7)/$H124*OFFSET(ORÇAMENTO!$X$15,ROW(BI124)-ROW(BI$15),0),
              ROUND(ROUND(OFFSET($P124,0,BI$13),15-13*ORÇAMENTO!$AF$7)*OFFSET(ORÇAMENTO!$W$15,ROW(BI124)-ROW(BI$15),0),15-13*ORÇAMENTO!$AF$11)),
         0)</f>
        <v>2062.96</v>
      </c>
      <c r="BJ124" s="352" t="n">
        <f aca="true">IF(AND($D124="Serviço",BJ$12&lt;&gt;0,$H124&gt;0,OR(AUTOEVENTO&lt;&gt;"manual",$M124&lt;&gt;$A$15)),
        IF(Import.TipoArredondamento&lt;&gt;"TransfereGOV",
              ROUND(OFFSET($P124,0,BJ$13),15-13*ORÇAMENTO!$AF$7)/$H124*OFFSET(ORÇAMENTO!$X$15,ROW(BJ124)-ROW(BJ$15),0),
              ROUND(ROUND(OFFSET($P124,0,BJ$13),15-13*ORÇAMENTO!$AF$7)*OFFSET(ORÇAMENTO!$W$15,ROW(BJ124)-ROW(BJ$15),0),15-13*ORÇAMENTO!$AF$11)),
         0)</f>
        <v>2062.96</v>
      </c>
      <c r="BK124" s="352" t="n">
        <f aca="true">IF(AND($D124="Serviço",BK$12&lt;&gt;0,$H124&gt;0,OR(AUTOEVENTO&lt;&gt;"manual",$M124&lt;&gt;$A$15)),
        IF(Import.TipoArredondamento&lt;&gt;"TransfereGOV",
              ROUND(OFFSET($P124,0,BK$13),15-13*ORÇAMENTO!$AF$7)/$H124*OFFSET(ORÇAMENTO!$X$15,ROW(BK124)-ROW(BK$15),0),
              ROUND(ROUND(OFFSET($P124,0,BK$13),15-13*ORÇAMENTO!$AF$7)*OFFSET(ORÇAMENTO!$W$15,ROW(BK124)-ROW(BK$15),0),15-13*ORÇAMENTO!$AF$11)),
         0)</f>
        <v>2062.96</v>
      </c>
      <c r="BL124" s="352" t="n">
        <f aca="true">IF(AND($D124="Serviço",BL$12&lt;&gt;0,$H124&gt;0,OR(AUTOEVENTO&lt;&gt;"manual",$M124&lt;&gt;$A$15)),
        IF(Import.TipoArredondamento&lt;&gt;"TransfereGOV",
              ROUND(OFFSET($P124,0,BL$13),15-13*ORÇAMENTO!$AF$7)/$H124*OFFSET(ORÇAMENTO!$X$15,ROW(BL124)-ROW(BL$15),0),
              ROUND(ROUND(OFFSET($P124,0,BL$13),15-13*ORÇAMENTO!$AF$7)*OFFSET(ORÇAMENTO!$W$15,ROW(BL124)-ROW(BL$15),0),15-13*ORÇAMENTO!$AF$11)),
         0)</f>
        <v>2062.96</v>
      </c>
      <c r="BM124" s="352" t="n">
        <f aca="true">IF(AND($D124="Serviço",BM$12&lt;&gt;0,$H124&gt;0,OR(AUTOEVENTO&lt;&gt;"manual",$M124&lt;&gt;$A$15)),
        IF(Import.TipoArredondamento&lt;&gt;"TransfereGOV",
              ROUND(OFFSET($P124,0,BM$13),15-13*ORÇAMENTO!$AF$7)/$H124*OFFSET(ORÇAMENTO!$X$15,ROW(BM124)-ROW(BM$15),0),
              ROUND(ROUND(OFFSET($P124,0,BM$13),15-13*ORÇAMENTO!$AF$7)*OFFSET(ORÇAMENTO!$W$15,ROW(BM124)-ROW(BM$15),0),15-13*ORÇAMENTO!$AF$11)),
         0)</f>
        <v>2062.96</v>
      </c>
      <c r="BN124" s="352" t="n">
        <f aca="true">IF(AND($D124="Serviço",BN$12&lt;&gt;0,$H124&gt;0,OR(AUTOEVENTO&lt;&gt;"manual",$M124&lt;&gt;$A$15)),
        IF(Import.TipoArredondamento&lt;&gt;"TransfereGOV",
              ROUND(OFFSET($P124,0,BN$13),15-13*ORÇAMENTO!$AF$7)/$H124*OFFSET(ORÇAMENTO!$X$15,ROW(BN124)-ROW(BN$15),0),
              ROUND(ROUND(OFFSET($P124,0,BN$13),15-13*ORÇAMENTO!$AF$7)*OFFSET(ORÇAMENTO!$W$15,ROW(BN124)-ROW(BN$15),0),15-13*ORÇAMENTO!$AF$11)),
         0)</f>
        <v>2062.96</v>
      </c>
      <c r="BO124" s="352" t="n">
        <f aca="true">IF(AND($D124="Serviço",BO$12&lt;&gt;0,$H124&gt;0,OR(AUTOEVENTO&lt;&gt;"manual",$M124&lt;&gt;$A$15)),
        IF(Import.TipoArredondamento&lt;&gt;"TransfereGOV",
              ROUND(OFFSET($P124,0,BO$13),15-13*ORÇAMENTO!$AF$7)/$H124*OFFSET(ORÇAMENTO!$X$15,ROW(BO124)-ROW(BO$15),0),
              ROUND(ROUND(OFFSET($P124,0,BO$13),15-13*ORÇAMENTO!$AF$7)*OFFSET(ORÇAMENTO!$W$15,ROW(BO124)-ROW(BO$15),0),15-13*ORÇAMENTO!$AF$11)),
         0)</f>
        <v>2062.96</v>
      </c>
      <c r="BP124" s="352" t="n">
        <f aca="true">IF(AND($D124="Serviço",BP$12&lt;&gt;0,$H124&gt;0,OR(AUTOEVENTO&lt;&gt;"manual",$M124&lt;&gt;$A$15)),
        IF(Import.TipoArredondamento&lt;&gt;"TransfereGOV",
              ROUND(OFFSET($P124,0,BP$13),15-13*ORÇAMENTO!$AF$7)/$H124*OFFSET(ORÇAMENTO!$X$15,ROW(BP124)-ROW(BP$15),0),
              ROUND(ROUND(OFFSET($P124,0,BP$13),15-13*ORÇAMENTO!$AF$7)*OFFSET(ORÇAMENTO!$W$15,ROW(BP124)-ROW(BP$15),0),15-13*ORÇAMENTO!$AF$11)),
         0)</f>
        <v>2062.96</v>
      </c>
      <c r="BQ124" s="352" t="n">
        <f aca="true">IF(AND($D124="Serviço",BQ$12&lt;&gt;0,$H124&gt;0,OR(AUTOEVENTO&lt;&gt;"manual",$M124&lt;&gt;$A$15)),
        IF(Import.TipoArredondamento&lt;&gt;"TransfereGOV",
              ROUND(OFFSET($P124,0,BQ$13),15-13*ORÇAMENTO!$AF$7)/$H124*OFFSET(ORÇAMENTO!$X$15,ROW(BQ124)-ROW(BQ$15),0),
              ROUND(ROUND(OFFSET($P124,0,BQ$13),15-13*ORÇAMENTO!$AF$7)*OFFSET(ORÇAMENTO!$W$15,ROW(BQ124)-ROW(BQ$15),0),15-13*ORÇAMENTO!$AF$11)),
         0)</f>
        <v>0</v>
      </c>
      <c r="BS124" s="353" t="n">
        <f aca="true">IF(OR($D124&lt;&gt;"Serviço",AND(AUTOEVENTO="Manual",$M124=$A$15)),0,
         IF(OFFSET(CRONOPLE!$F$15,$M124-$A$15,BS$13)=0,10^12,OFFSET(CRONOPLE!$F$15,$M124-$A$15,BS$13)))</f>
        <v>1</v>
      </c>
      <c r="BT124" s="353" t="n">
        <f aca="true">IF(OR($D124&lt;&gt;"Serviço",AND(AUTOEVENTO="Manual",$M124=$A$15)),0,
         IF(OFFSET(CRONOPLE!$F$15,$M124-$A$15,BT$13)=0,10^12,OFFSET(CRONOPLE!$F$15,$M124-$A$15,BT$13)))</f>
        <v>2</v>
      </c>
      <c r="BU124" s="353" t="n">
        <f aca="true">IF(OR($D124&lt;&gt;"Serviço",AND(AUTOEVENTO="Manual",$M124=$A$15)),0,
         IF(OFFSET(CRONOPLE!$F$15,$M124-$A$15,BU$13)=0,10^12,OFFSET(CRONOPLE!$F$15,$M124-$A$15,BU$13)))</f>
        <v>3</v>
      </c>
      <c r="BV124" s="353" t="n">
        <f aca="true">IF(OR($D124&lt;&gt;"Serviço",AND(AUTOEVENTO="Manual",$M124=$A$15)),0,
         IF(OFFSET(CRONOPLE!$F$15,$M124-$A$15,BV$13)=0,10^12,OFFSET(CRONOPLE!$F$15,$M124-$A$15,BV$13)))</f>
        <v>4</v>
      </c>
      <c r="BW124" s="353" t="n">
        <f aca="true">IF(OR($D124&lt;&gt;"Serviço",AND(AUTOEVENTO="Manual",$M124=$A$15)),0,
         IF(OFFSET(CRONOPLE!$F$15,$M124-$A$15,BW$13)=0,10^12,OFFSET(CRONOPLE!$F$15,$M124-$A$15,BW$13)))</f>
        <v>5</v>
      </c>
      <c r="BX124" s="353" t="n">
        <f aca="true">IF(OR($D124&lt;&gt;"Serviço",AND(AUTOEVENTO="Manual",$M124=$A$15)),0,
         IF(OFFSET(CRONOPLE!$F$15,$M124-$A$15,BX$13)=0,10^12,OFFSET(CRONOPLE!$F$15,$M124-$A$15,BX$13)))</f>
        <v>6</v>
      </c>
      <c r="BY124" s="353" t="n">
        <f aca="true">IF(OR($D124&lt;&gt;"Serviço",AND(AUTOEVENTO="Manual",$M124=$A$15)),0,
         IF(OFFSET(CRONOPLE!$F$15,$M124-$A$15,BY$13)=0,10^12,OFFSET(CRONOPLE!$F$15,$M124-$A$15,BY$13)))</f>
        <v>7</v>
      </c>
      <c r="BZ124" s="353" t="n">
        <f aca="true">IF(OR($D124&lt;&gt;"Serviço",AND(AUTOEVENTO="Manual",$M124=$A$15)),0,
         IF(OFFSET(CRONOPLE!$F$15,$M124-$A$15,BZ$13)=0,10^12,OFFSET(CRONOPLE!$F$15,$M124-$A$15,BZ$13)))</f>
        <v>8</v>
      </c>
      <c r="CA124" s="353" t="n">
        <f aca="true">IF(OR($D124&lt;&gt;"Serviço",AND(AUTOEVENTO="Manual",$M124=$A$15)),0,
         IF(OFFSET(CRONOPLE!$F$15,$M124-$A$15,CA$13)=0,10^12,OFFSET(CRONOPLE!$F$15,$M124-$A$15,CA$13)))</f>
        <v>9</v>
      </c>
      <c r="CB124" s="353" t="n">
        <f aca="true">IF(OR($D124&lt;&gt;"Serviço",AND(AUTOEVENTO="Manual",$M124=$A$15)),0,
         IF(OFFSET(CRONOPLE!$F$15,$M124-$A$15,CB$13)=0,10^12,OFFSET(CRONOPLE!$F$15,$M124-$A$15,CB$13)))</f>
        <v>10</v>
      </c>
      <c r="CC124" s="353" t="n">
        <f aca="true">IF(OR($D124&lt;&gt;"Serviço",AND(AUTOEVENTO="Manual",$M124=$A$15)),0,
         IF(OFFSET(CRONOPLE!$F$15,$M124-$A$15,CC$13)=0,10^12,OFFSET(CRONOPLE!$F$15,$M124-$A$15,CC$13)))</f>
        <v>11</v>
      </c>
      <c r="CD124" s="353" t="n">
        <f aca="true">IF(OR($D124&lt;&gt;"Serviço",AND(AUTOEVENTO="Manual",$M124=$A$15)),0,
         IF(OFFSET(CRONOPLE!$F$15,$M124-$A$15,CD$13)=0,10^12,OFFSET(CRONOPLE!$F$15,$M124-$A$15,CD$13)))</f>
        <v>12</v>
      </c>
      <c r="CE124" s="353" t="n">
        <f aca="true">IF(OR($D124&lt;&gt;"Serviço",AND(AUTOEVENTO="Manual",$M124=$A$15)),0,
         IF(OFFSET(CRONOPLE!$F$15,$M124-$A$15,CE$13)=0,10^12,OFFSET(CRONOPLE!$F$15,$M124-$A$15,CE$13)))</f>
        <v>13</v>
      </c>
      <c r="CF124" s="353" t="n">
        <f aca="true">IF(OR($D124&lt;&gt;"Serviço",AND(AUTOEVENTO="Manual",$M124=$A$15)),0,
         IF(OFFSET(CRONOPLE!$F$15,$M124-$A$15,CF$13)=0,10^12,OFFSET(CRONOPLE!$F$15,$M124-$A$15,CF$13)))</f>
        <v>14</v>
      </c>
      <c r="CG124" s="353" t="n">
        <f aca="true">IF(OR($D124&lt;&gt;"Serviço",AND(AUTOEVENTO="Manual",$M124=$A$15)),0,
         IF(OFFSET(CRONOPLE!$F$15,$M124-$A$15,CG$13)=0,10^12,OFFSET(CRONOPLE!$F$15,$M124-$A$15,CG$13)))</f>
        <v>15</v>
      </c>
      <c r="CH124" s="353" t="n">
        <f aca="true">IF(OR($D124&lt;&gt;"Serviço",AND(AUTOEVENTO="Manual",$M124=$A$15)),0,
         IF(OFFSET(CRONOPLE!$F$15,$M124-$A$15,CH$13)=0,10^12,OFFSET(CRONOPLE!$F$15,$M124-$A$15,CH$13)))</f>
        <v>16</v>
      </c>
      <c r="CI124" s="353" t="n">
        <f aca="true">IF(OR($D124&lt;&gt;"Serviço",AND(AUTOEVENTO="Manual",$M124=$A$15)),0,
         IF(OFFSET(CRONOPLE!$F$15,$M124-$A$15,CI$13)=0,10^12,OFFSET(CRONOPLE!$F$15,$M124-$A$15,CI$13)))</f>
        <v>17</v>
      </c>
      <c r="CJ124" s="353" t="n">
        <f aca="true">IF(OR($D124&lt;&gt;"Serviço",AND(AUTOEVENTO="Manual",$M124=$A$15)),0,
         IF(OFFSET(CRONOPLE!$F$15,$M124-$A$15,CJ$13)=0,10^12,OFFSET(CRONOPLE!$F$15,$M124-$A$15,CJ$13)))</f>
        <v>18</v>
      </c>
      <c r="CK124" s="353" t="n">
        <f aca="true">IF(OR($D124&lt;&gt;"Serviço",AND(AUTOEVENTO="Manual",$M124=$A$15)),0,
         IF(OFFSET(CRONOPLE!$F$15,$M124-$A$15,CK$13)=0,10^12,OFFSET(CRONOPLE!$F$15,$M124-$A$15,CK$13)))</f>
        <v>19</v>
      </c>
      <c r="CL124" s="353" t="n">
        <f aca="true">IF(OR($D124&lt;&gt;"Serviço",AND(AUTOEVENTO="Manual",$M124=$A$15)),0,
         IF(OFFSET(CRONOPLE!$F$15,$M124-$A$15,CL$13)=0,10^12,OFFSET(CRONOPLE!$F$15,$M124-$A$15,CL$13)))</f>
        <v>20</v>
      </c>
      <c r="CM124" s="353" t="n">
        <f aca="true">IF(OR($D124&lt;&gt;"Serviço",AND(AUTOEVENTO="Manual",$M124=$A$15)),0,
         IF(OFFSET(CRONOPLE!$F$15,$M124-$A$15,CM$13)=0,10^12,OFFSET(CRONOPLE!$F$15,$M124-$A$15,CM$13)))</f>
        <v>21</v>
      </c>
      <c r="CN124" s="353" t="n">
        <f aca="true">IF(OR($D124&lt;&gt;"Serviço",AND(AUTOEVENTO="Manual",$M124=$A$15)),0,
         IF(OFFSET(CRONOPLE!$F$15,$M124-$A$15,CN$13)=0,10^12,OFFSET(CRONOPLE!$F$15,$M124-$A$15,CN$13)))</f>
        <v>22</v>
      </c>
      <c r="CO124" s="353" t="n">
        <f aca="true">IF(OR($D124&lt;&gt;"Serviço",AND(AUTOEVENTO="Manual",$M124=$A$15)),0,
         IF(OFFSET(CRONOPLE!$F$15,$M124-$A$15,CO$13)=0,10^12,OFFSET(CRONOPLE!$F$15,$M124-$A$15,CO$13)))</f>
        <v>23</v>
      </c>
      <c r="CP124" s="353" t="n">
        <f aca="true">IF(OR($D124&lt;&gt;"Serviço",AND(AUTOEVENTO="Manual",$M124=$A$15)),0,
         IF(OFFSET(CRONOPLE!$F$15,$M124-$A$15,CP$13)=0,10^12,OFFSET(CRONOPLE!$F$15,$M124-$A$15,CP$13)))</f>
        <v>24</v>
      </c>
      <c r="CQ124" s="353" t="n">
        <f aca="true">IF(OR($D124&lt;&gt;"Serviço",AND(AUTOEVENTO="Manual",$M124=$A$15)),0,
         IF(OFFSET(CRONOPLE!$F$15,$M124-$A$15,CQ$13)=0,10^12,OFFSET(CRONOPLE!$F$15,$M124-$A$15,CQ$13)))</f>
        <v>25</v>
      </c>
      <c r="CR124" s="353" t="n">
        <f aca="true">IF(OR($D124&lt;&gt;"Serviço",AND(AUTOEVENTO="Manual",$M124=$A$15)),0,
         IF(OFFSET(CRONOPLE!$F$15,$M124-$A$15,CR$13)=0,10^12,OFFSET(CRONOPLE!$F$15,$M124-$A$15,CR$13)))</f>
        <v>1000000000000</v>
      </c>
      <c r="CT124" s="354" t="n">
        <f aca="true">IF(OR($D124&lt;&gt;"Serviço",AND(AUTOEVENTO="Manual",$M124=$A$15),$M124&gt;(ROW(PLE.lastrow)-ROW(PLE.firstrow))),0,
           IF(OFFSET(PLE!$G$15,$M124-$A$15,CT$13)="",10^12,OFFSET(PLE!$G$15,$M124-$A$15,CT$13)))</f>
        <v>1000000000000</v>
      </c>
      <c r="CU124" s="354" t="n">
        <f aca="true">IF(OR($D124&lt;&gt;"Serviço",AND(AUTOEVENTO="Manual",$M124=$A$15),$M124&gt;(ROW(PLE.lastrow)-ROW(PLE.firstrow))),0,
           IF(OFFSET(PLE!$G$15,$M124-$A$15,CU$13)="",10^12,OFFSET(PLE!$G$15,$M124-$A$15,CU$13)))</f>
        <v>1000000000000</v>
      </c>
      <c r="CV124" s="354" t="n">
        <f aca="true">IF(OR($D124&lt;&gt;"Serviço",AND(AUTOEVENTO="Manual",$M124=$A$15),$M124&gt;(ROW(PLE.lastrow)-ROW(PLE.firstrow))),0,
           IF(OFFSET(PLE!$G$15,$M124-$A$15,CV$13)="",10^12,OFFSET(PLE!$G$15,$M124-$A$15,CV$13)))</f>
        <v>1000000000000</v>
      </c>
      <c r="CW124" s="354" t="n">
        <f aca="true">IF(OR($D124&lt;&gt;"Serviço",AND(AUTOEVENTO="Manual",$M124=$A$15),$M124&gt;(ROW(PLE.lastrow)-ROW(PLE.firstrow))),0,
           IF(OFFSET(PLE!$G$15,$M124-$A$15,CW$13)="",10^12,OFFSET(PLE!$G$15,$M124-$A$15,CW$13)))</f>
        <v>1000000000000</v>
      </c>
      <c r="CX124" s="354" t="n">
        <f aca="true">IF(OR($D124&lt;&gt;"Serviço",AND(AUTOEVENTO="Manual",$M124=$A$15),$M124&gt;(ROW(PLE.lastrow)-ROW(PLE.firstrow))),0,
           IF(OFFSET(PLE!$G$15,$M124-$A$15,CX$13)="",10^12,OFFSET(PLE!$G$15,$M124-$A$15,CX$13)))</f>
        <v>1000000000000</v>
      </c>
      <c r="CY124" s="354" t="n">
        <f aca="true">IF(OR($D124&lt;&gt;"Serviço",AND(AUTOEVENTO="Manual",$M124=$A$15),$M124&gt;(ROW(PLE.lastrow)-ROW(PLE.firstrow))),0,
           IF(OFFSET(PLE!$G$15,$M124-$A$15,CY$13)="",10^12,OFFSET(PLE!$G$15,$M124-$A$15,CY$13)))</f>
        <v>1000000000000</v>
      </c>
      <c r="CZ124" s="354" t="n">
        <f aca="true">IF(OR($D124&lt;&gt;"Serviço",AND(AUTOEVENTO="Manual",$M124=$A$15),$M124&gt;(ROW(PLE.lastrow)-ROW(PLE.firstrow))),0,
           IF(OFFSET(PLE!$G$15,$M124-$A$15,CZ$13)="",10^12,OFFSET(PLE!$G$15,$M124-$A$15,CZ$13)))</f>
        <v>1000000000000</v>
      </c>
      <c r="DA124" s="354" t="n">
        <f aca="true">IF(OR($D124&lt;&gt;"Serviço",AND(AUTOEVENTO="Manual",$M124=$A$15),$M124&gt;(ROW(PLE.lastrow)-ROW(PLE.firstrow))),0,
           IF(OFFSET(PLE!$G$15,$M124-$A$15,DA$13)="",10^12,OFFSET(PLE!$G$15,$M124-$A$15,DA$13)))</f>
        <v>1000000000000</v>
      </c>
      <c r="DB124" s="354" t="n">
        <f aca="true">IF(OR($D124&lt;&gt;"Serviço",AND(AUTOEVENTO="Manual",$M124=$A$15),$M124&gt;(ROW(PLE.lastrow)-ROW(PLE.firstrow))),0,
           IF(OFFSET(PLE!$G$15,$M124-$A$15,DB$13)="",10^12,OFFSET(PLE!$G$15,$M124-$A$15,DB$13)))</f>
        <v>1000000000000</v>
      </c>
      <c r="DC124" s="354" t="n">
        <f aca="true">IF(OR($D124&lt;&gt;"Serviço",AND(AUTOEVENTO="Manual",$M124=$A$15),$M124&gt;(ROW(PLE.lastrow)-ROW(PLE.firstrow))),0,
           IF(OFFSET(PLE!$G$15,$M124-$A$15,DC$13)="",10^12,OFFSET(PLE!$G$15,$M124-$A$15,DC$13)))</f>
        <v>1000000000000</v>
      </c>
      <c r="DD124" s="354" t="n">
        <f aca="true">IF(OR($D124&lt;&gt;"Serviço",AND(AUTOEVENTO="Manual",$M124=$A$15),$M124&gt;(ROW(PLE.lastrow)-ROW(PLE.firstrow))),0,
           IF(OFFSET(PLE!$G$15,$M124-$A$15,DD$13)="",10^12,OFFSET(PLE!$G$15,$M124-$A$15,DD$13)))</f>
        <v>1000000000000</v>
      </c>
      <c r="DE124" s="354" t="n">
        <f aca="true">IF(OR($D124&lt;&gt;"Serviço",AND(AUTOEVENTO="Manual",$M124=$A$15),$M124&gt;(ROW(PLE.lastrow)-ROW(PLE.firstrow))),0,
           IF(OFFSET(PLE!$G$15,$M124-$A$15,DE$13)="",10^12,OFFSET(PLE!$G$15,$M124-$A$15,DE$13)))</f>
        <v>1000000000000</v>
      </c>
      <c r="DF124" s="354" t="n">
        <f aca="true">IF(OR($D124&lt;&gt;"Serviço",AND(AUTOEVENTO="Manual",$M124=$A$15),$M124&gt;(ROW(PLE.lastrow)-ROW(PLE.firstrow))),0,
           IF(OFFSET(PLE!$G$15,$M124-$A$15,DF$13)="",10^12,OFFSET(PLE!$G$15,$M124-$A$15,DF$13)))</f>
        <v>1000000000000</v>
      </c>
      <c r="DG124" s="354" t="n">
        <f aca="true">IF(OR($D124&lt;&gt;"Serviço",AND(AUTOEVENTO="Manual",$M124=$A$15),$M124&gt;(ROW(PLE.lastrow)-ROW(PLE.firstrow))),0,
           IF(OFFSET(PLE!$G$15,$M124-$A$15,DG$13)="",10^12,OFFSET(PLE!$G$15,$M124-$A$15,DG$13)))</f>
        <v>1000000000000</v>
      </c>
      <c r="DH124" s="354" t="n">
        <f aca="true">IF(OR($D124&lt;&gt;"Serviço",AND(AUTOEVENTO="Manual",$M124=$A$15),$M124&gt;(ROW(PLE.lastrow)-ROW(PLE.firstrow))),0,
           IF(OFFSET(PLE!$G$15,$M124-$A$15,DH$13)="",10^12,OFFSET(PLE!$G$15,$M124-$A$15,DH$13)))</f>
        <v>1000000000000</v>
      </c>
      <c r="DI124" s="354" t="n">
        <f aca="true">IF(OR($D124&lt;&gt;"Serviço",AND(AUTOEVENTO="Manual",$M124=$A$15),$M124&gt;(ROW(PLE.lastrow)-ROW(PLE.firstrow))),0,
           IF(OFFSET(PLE!$G$15,$M124-$A$15,DI$13)="",10^12,OFFSET(PLE!$G$15,$M124-$A$15,DI$13)))</f>
        <v>1000000000000</v>
      </c>
      <c r="DJ124" s="354" t="n">
        <f aca="true">IF(OR($D124&lt;&gt;"Serviço",AND(AUTOEVENTO="Manual",$M124=$A$15),$M124&gt;(ROW(PLE.lastrow)-ROW(PLE.firstrow))),0,
           IF(OFFSET(PLE!$G$15,$M124-$A$15,DJ$13)="",10^12,OFFSET(PLE!$G$15,$M124-$A$15,DJ$13)))</f>
        <v>1000000000000</v>
      </c>
      <c r="DK124" s="354" t="n">
        <f aca="true">IF(OR($D124&lt;&gt;"Serviço",AND(AUTOEVENTO="Manual",$M124=$A$15),$M124&gt;(ROW(PLE.lastrow)-ROW(PLE.firstrow))),0,
           IF(OFFSET(PLE!$G$15,$M124-$A$15,DK$13)="",10^12,OFFSET(PLE!$G$15,$M124-$A$15,DK$13)))</f>
        <v>1000000000000</v>
      </c>
      <c r="DL124" s="354" t="n">
        <f aca="true">IF(OR($D124&lt;&gt;"Serviço",AND(AUTOEVENTO="Manual",$M124=$A$15),$M124&gt;(ROW(PLE.lastrow)-ROW(PLE.firstrow))),0,
           IF(OFFSET(PLE!$G$15,$M124-$A$15,DL$13)="",10^12,OFFSET(PLE!$G$15,$M124-$A$15,DL$13)))</f>
        <v>1000000000000</v>
      </c>
      <c r="DM124" s="354" t="n">
        <f aca="true">IF(OR($D124&lt;&gt;"Serviço",AND(AUTOEVENTO="Manual",$M124=$A$15),$M124&gt;(ROW(PLE.lastrow)-ROW(PLE.firstrow))),0,
           IF(OFFSET(PLE!$G$15,$M124-$A$15,DM$13)="",10^12,OFFSET(PLE!$G$15,$M124-$A$15,DM$13)))</f>
        <v>1000000000000</v>
      </c>
      <c r="DN124" s="354" t="n">
        <f aca="true">IF(OR($D124&lt;&gt;"Serviço",AND(AUTOEVENTO="Manual",$M124=$A$15),$M124&gt;(ROW(PLE.lastrow)-ROW(PLE.firstrow))),0,
           IF(OFFSET(PLE!$G$15,$M124-$A$15,DN$13)="",10^12,OFFSET(PLE!$G$15,$M124-$A$15,DN$13)))</f>
        <v>1000000000000</v>
      </c>
      <c r="DO124" s="354" t="n">
        <f aca="true">IF(OR($D124&lt;&gt;"Serviço",AND(AUTOEVENTO="Manual",$M124=$A$15),$M124&gt;(ROW(PLE.lastrow)-ROW(PLE.firstrow))),0,
           IF(OFFSET(PLE!$G$15,$M124-$A$15,DO$13)="",10^12,OFFSET(PLE!$G$15,$M124-$A$15,DO$13)))</f>
        <v>1000000000000</v>
      </c>
      <c r="DP124" s="354" t="n">
        <f aca="true">IF(OR($D124&lt;&gt;"Serviço",AND(AUTOEVENTO="Manual",$M124=$A$15),$M124&gt;(ROW(PLE.lastrow)-ROW(PLE.firstrow))),0,
           IF(OFFSET(PLE!$G$15,$M124-$A$15,DP$13)="",10^12,OFFSET(PLE!$G$15,$M124-$A$15,DP$13)))</f>
        <v>1000000000000</v>
      </c>
      <c r="DQ124" s="354" t="n">
        <f aca="true">IF(OR($D124&lt;&gt;"Serviço",AND(AUTOEVENTO="Manual",$M124=$A$15),$M124&gt;(ROW(PLE.lastrow)-ROW(PLE.firstrow))),0,
           IF(OFFSET(PLE!$G$15,$M124-$A$15,DQ$13)="",10^12,OFFSET(PLE!$G$15,$M124-$A$15,DQ$13)))</f>
        <v>1000000000000</v>
      </c>
      <c r="DR124" s="354" t="n">
        <f aca="true">IF(OR($D124&lt;&gt;"Serviço",AND(AUTOEVENTO="Manual",$M124=$A$15),$M124&gt;(ROW(PLE.lastrow)-ROW(PLE.firstrow))),0,
           IF(OFFSET(PLE!$G$15,$M124-$A$15,DR$13)="",10^12,OFFSET(PLE!$G$15,$M124-$A$15,DR$13)))</f>
        <v>1000000000000</v>
      </c>
      <c r="DS124" s="354" t="n">
        <f aca="true">IF(OR($D124&lt;&gt;"Serviço",AND(AUTOEVENTO="Manual",$M124=$A$15),$M124&gt;(ROW(PLE.lastrow)-ROW(PLE.firstrow))),0,
           IF(OFFSET(PLE!$G$15,$M124-$A$15,DS$13)="",10^12,OFFSET(PLE!$G$15,$M124-$A$15,DS$13)))</f>
        <v>1000000000000</v>
      </c>
    </row>
    <row r="125" customFormat="false" ht="23.85" hidden="false" customHeight="false" outlineLevel="0" collapsed="false">
      <c r="A125" s="50" t="str">
        <f aca="true">IFERROR(IF(AUTOEVENTO="Manual",IF(K125&lt;&gt;"",MIN(VALUE(LEFT(K125,FIND(".",K125)-1)),COUNTA(EVENTOS.Lista)),0),IF(OR($B125&gt;AUTOEVENTO,$B125="S",$B125=0),SUBSTITUTE(OFFSET($A125,-1,0),IF($D125="Serviço",".",""),""),ROW(A125)-ROW($A$15)&amp;".")),0)</f>
        <v>105</v>
      </c>
      <c r="B125" s="50" t="str">
        <f aca="true">OFFSET(ORÇAMENTO!C$15,ROW(B125)-ROW(B$15),0)</f>
        <v>S</v>
      </c>
      <c r="C125" s="50" t="str">
        <f aca="true">OFFSET(ORÇAMENTO!L$15,ROW(C125)-ROW(C$15),0)</f>
        <v>F</v>
      </c>
      <c r="D125" s="201" t="str">
        <f aca="true">OFFSET(ORÇAMENTO!N$15,ROW(D125)-ROW(D$15),0)</f>
        <v>Serviço</v>
      </c>
      <c r="E125" s="202" t="str">
        <f aca="true">OFFSET(ORÇAMENTO!O$15,ROW(E125)-ROW(E$15),0)</f>
        <v>1.36.5.</v>
      </c>
      <c r="F125" s="341" t="str">
        <f aca="true">OFFSET(ORÇAMENTO!R$15,ROW(F125)-ROW(F$15),0)</f>
        <v>QUADRO DE DISTRIBUIÇÃO DE LUZ EM PVC PARA 12 DISJUNTORES - FORNECIMENTO E INSTALAÇÃO.</v>
      </c>
      <c r="G125" s="342" t="str">
        <f aca="true">IF($D125&lt;&gt;"Serviço","",OFFSET(ORÇAMENTO!S$15,ROW(G125)-ROW(G$15),0))</f>
        <v>UN</v>
      </c>
      <c r="H125" s="207" t="n">
        <f aca="true">IF($D125&lt;&gt;"Serviço",0,IF(ACOMPANHAMENTO="BM",ROUND(OFFSET(ORÇAMENTO!AJ$15,ROW(H125)-ROW(H$15),0),15-13*ORÇAMENTO!$AF$7),SUMPRODUCT(($Q$1:$AQ$1=1)*ROUND($Q125:$AQ125,15-13*ORÇAMENTO!$AF$7))))</f>
        <v>25</v>
      </c>
      <c r="I125" s="343" t="s">
        <v>969</v>
      </c>
      <c r="J125" s="344" t="e">
        <f aca="false">IF(OR(B125&lt;&gt;"S",CÁLCULO.FrentesPreenchidas=0),"",IF(AND(ACOMPANHAMENTO="PLE",AUTOEVENTO="Manual",OR(H125&gt;0,ORÇAMENTO!AC125="QUANT."),OR(K125="",M125=0,N125="")),"►",IF(AND(ACOMPANHAMENTO="PLE",ORÇAMENTO!AC125="QUANT."),"►►",IF(AND(COUNTIF($P$11:$AQ$11,"▼")=0,H125&gt;0,I125=""),"◄",""))))</f>
        <v>#NAME?</v>
      </c>
      <c r="K125" s="345"/>
      <c r="L125" s="346" t="s">
        <v>876</v>
      </c>
      <c r="M125" s="347" t="n">
        <f aca="true">IF($D125&lt;&gt;"Serviço","",
          IF(AUTOEVENTO="manual",$A125,
                IF(ISERROR(MATCH($A125,$A$15:OFFSET($A125,-1,0),0)),MAX($M$15:OFFSET(M125,-1,0))+1,
                      INDEX($M$15:OFFSET(M125,-1,0),MATCH($A125,$A$15:OFFSET($A125,-1,0),0)))))</f>
        <v>21</v>
      </c>
      <c r="N125" s="348" t="str">
        <f aca="true">IF($D125&lt;&gt;"Serviço","",
         IF(AUTOEVENTO="Manual",
                IF($A125=0,"&lt;-- defina o número do agrupador",
                       OFFSET(EVENTOS!$D$15,$A125-$A$15,0)),
                OFFSET($F$15,$A125,0)))</f>
        <v>CENTRO DE DISTRIBUIÇÃO</v>
      </c>
      <c r="O125" s="349"/>
      <c r="Q125" s="349" t="n">
        <v>1</v>
      </c>
      <c r="R125" s="350" t="n">
        <f aca="false">Q125</f>
        <v>1</v>
      </c>
      <c r="S125" s="350" t="n">
        <f aca="false">R125</f>
        <v>1</v>
      </c>
      <c r="T125" s="350" t="n">
        <f aca="false">S125</f>
        <v>1</v>
      </c>
      <c r="U125" s="350" t="n">
        <f aca="false">T125</f>
        <v>1</v>
      </c>
      <c r="V125" s="350" t="n">
        <f aca="false">U125</f>
        <v>1</v>
      </c>
      <c r="W125" s="350" t="n">
        <f aca="false">V125</f>
        <v>1</v>
      </c>
      <c r="X125" s="350" t="n">
        <f aca="false">W125</f>
        <v>1</v>
      </c>
      <c r="Y125" s="350" t="n">
        <f aca="false">X125</f>
        <v>1</v>
      </c>
      <c r="Z125" s="351" t="n">
        <f aca="false">Y125</f>
        <v>1</v>
      </c>
      <c r="AA125" s="350" t="n">
        <f aca="false">Z125</f>
        <v>1</v>
      </c>
      <c r="AB125" s="350" t="n">
        <f aca="false">AA125</f>
        <v>1</v>
      </c>
      <c r="AC125" s="350" t="n">
        <f aca="false">AB125</f>
        <v>1</v>
      </c>
      <c r="AD125" s="350" t="n">
        <f aca="false">AC125</f>
        <v>1</v>
      </c>
      <c r="AE125" s="350" t="n">
        <f aca="false">AD125</f>
        <v>1</v>
      </c>
      <c r="AF125" s="350" t="n">
        <f aca="false">AE125</f>
        <v>1</v>
      </c>
      <c r="AG125" s="350" t="n">
        <f aca="false">AF125</f>
        <v>1</v>
      </c>
      <c r="AH125" s="351" t="n">
        <f aca="false">AG125</f>
        <v>1</v>
      </c>
      <c r="AI125" s="350" t="n">
        <f aca="false">AH125</f>
        <v>1</v>
      </c>
      <c r="AJ125" s="350" t="n">
        <f aca="false">AI125</f>
        <v>1</v>
      </c>
      <c r="AK125" s="350" t="n">
        <f aca="false">AJ125</f>
        <v>1</v>
      </c>
      <c r="AL125" s="350" t="n">
        <f aca="false">AK125</f>
        <v>1</v>
      </c>
      <c r="AM125" s="350" t="n">
        <f aca="false">AL125</f>
        <v>1</v>
      </c>
      <c r="AN125" s="350" t="n">
        <f aca="false">AM125</f>
        <v>1</v>
      </c>
      <c r="AO125" s="350" t="n">
        <f aca="false">AN125</f>
        <v>1</v>
      </c>
      <c r="AP125" s="351"/>
      <c r="AR125" s="352" t="n">
        <f aca="true">IF(AND($D125="Serviço",AR$12&lt;&gt;0,$H125&gt;0,OR(AUTOEVENTO&lt;&gt;"manual",$M125&lt;&gt;$A$15)),
        IF(Import.TipoArredondamento&lt;&gt;"TransfereGOV",
              ROUND(OFFSET($P125,0,AR$13),15-13*ORÇAMENTO!$AF$7)/$H125*OFFSET(ORÇAMENTO!$X$15,ROW(AR125)-ROW(AR$15),0),
              ROUND(ROUND(OFFSET($P125,0,AR$13),15-13*ORÇAMENTO!$AF$7)*OFFSET(ORÇAMENTO!$W$15,ROW(AR125)-ROW(AR$15),0),15-13*ORÇAMENTO!$AF$11)),
         0)</f>
        <v>320.85</v>
      </c>
      <c r="AS125" s="352" t="n">
        <f aca="true">IF(AND($D125="Serviço",AS$12&lt;&gt;0,$H125&gt;0,OR(AUTOEVENTO&lt;&gt;"manual",$M125&lt;&gt;$A$15)),
        IF(Import.TipoArredondamento&lt;&gt;"TransfereGOV",
              ROUND(OFFSET($P125,0,AS$13),15-13*ORÇAMENTO!$AF$7)/$H125*OFFSET(ORÇAMENTO!$X$15,ROW(AS125)-ROW(AS$15),0),
              ROUND(ROUND(OFFSET($P125,0,AS$13),15-13*ORÇAMENTO!$AF$7)*OFFSET(ORÇAMENTO!$W$15,ROW(AS125)-ROW(AS$15),0),15-13*ORÇAMENTO!$AF$11)),
         0)</f>
        <v>320.85</v>
      </c>
      <c r="AT125" s="352" t="n">
        <f aca="true">IF(AND($D125="Serviço",AT$12&lt;&gt;0,$H125&gt;0,OR(AUTOEVENTO&lt;&gt;"manual",$M125&lt;&gt;$A$15)),
        IF(Import.TipoArredondamento&lt;&gt;"TransfereGOV",
              ROUND(OFFSET($P125,0,AT$13),15-13*ORÇAMENTO!$AF$7)/$H125*OFFSET(ORÇAMENTO!$X$15,ROW(AT125)-ROW(AT$15),0),
              ROUND(ROUND(OFFSET($P125,0,AT$13),15-13*ORÇAMENTO!$AF$7)*OFFSET(ORÇAMENTO!$W$15,ROW(AT125)-ROW(AT$15),0),15-13*ORÇAMENTO!$AF$11)),
         0)</f>
        <v>320.85</v>
      </c>
      <c r="AU125" s="352" t="n">
        <f aca="true">IF(AND($D125="Serviço",AU$12&lt;&gt;0,$H125&gt;0,OR(AUTOEVENTO&lt;&gt;"manual",$M125&lt;&gt;$A$15)),
        IF(Import.TipoArredondamento&lt;&gt;"TransfereGOV",
              ROUND(OFFSET($P125,0,AU$13),15-13*ORÇAMENTO!$AF$7)/$H125*OFFSET(ORÇAMENTO!$X$15,ROW(AU125)-ROW(AU$15),0),
              ROUND(ROUND(OFFSET($P125,0,AU$13),15-13*ORÇAMENTO!$AF$7)*OFFSET(ORÇAMENTO!$W$15,ROW(AU125)-ROW(AU$15),0),15-13*ORÇAMENTO!$AF$11)),
         0)</f>
        <v>320.85</v>
      </c>
      <c r="AV125" s="352" t="n">
        <f aca="true">IF(AND($D125="Serviço",AV$12&lt;&gt;0,$H125&gt;0,OR(AUTOEVENTO&lt;&gt;"manual",$M125&lt;&gt;$A$15)),
        IF(Import.TipoArredondamento&lt;&gt;"TransfereGOV",
              ROUND(OFFSET($P125,0,AV$13),15-13*ORÇAMENTO!$AF$7)/$H125*OFFSET(ORÇAMENTO!$X$15,ROW(AV125)-ROW(AV$15),0),
              ROUND(ROUND(OFFSET($P125,0,AV$13),15-13*ORÇAMENTO!$AF$7)*OFFSET(ORÇAMENTO!$W$15,ROW(AV125)-ROW(AV$15),0),15-13*ORÇAMENTO!$AF$11)),
         0)</f>
        <v>320.85</v>
      </c>
      <c r="AW125" s="352" t="n">
        <f aca="true">IF(AND($D125="Serviço",AW$12&lt;&gt;0,$H125&gt;0,OR(AUTOEVENTO&lt;&gt;"manual",$M125&lt;&gt;$A$15)),
        IF(Import.TipoArredondamento&lt;&gt;"TransfereGOV",
              ROUND(OFFSET($P125,0,AW$13),15-13*ORÇAMENTO!$AF$7)/$H125*OFFSET(ORÇAMENTO!$X$15,ROW(AW125)-ROW(AW$15),0),
              ROUND(ROUND(OFFSET($P125,0,AW$13),15-13*ORÇAMENTO!$AF$7)*OFFSET(ORÇAMENTO!$W$15,ROW(AW125)-ROW(AW$15),0),15-13*ORÇAMENTO!$AF$11)),
         0)</f>
        <v>320.85</v>
      </c>
      <c r="AX125" s="352" t="n">
        <f aca="true">IF(AND($D125="Serviço",AX$12&lt;&gt;0,$H125&gt;0,OR(AUTOEVENTO&lt;&gt;"manual",$M125&lt;&gt;$A$15)),
        IF(Import.TipoArredondamento&lt;&gt;"TransfereGOV",
              ROUND(OFFSET($P125,0,AX$13),15-13*ORÇAMENTO!$AF$7)/$H125*OFFSET(ORÇAMENTO!$X$15,ROW(AX125)-ROW(AX$15),0),
              ROUND(ROUND(OFFSET($P125,0,AX$13),15-13*ORÇAMENTO!$AF$7)*OFFSET(ORÇAMENTO!$W$15,ROW(AX125)-ROW(AX$15),0),15-13*ORÇAMENTO!$AF$11)),
         0)</f>
        <v>320.85</v>
      </c>
      <c r="AY125" s="352" t="n">
        <f aca="true">IF(AND($D125="Serviço",AY$12&lt;&gt;0,$H125&gt;0,OR(AUTOEVENTO&lt;&gt;"manual",$M125&lt;&gt;$A$15)),
        IF(Import.TipoArredondamento&lt;&gt;"TransfereGOV",
              ROUND(OFFSET($P125,0,AY$13),15-13*ORÇAMENTO!$AF$7)/$H125*OFFSET(ORÇAMENTO!$X$15,ROW(AY125)-ROW(AY$15),0),
              ROUND(ROUND(OFFSET($P125,0,AY$13),15-13*ORÇAMENTO!$AF$7)*OFFSET(ORÇAMENTO!$W$15,ROW(AY125)-ROW(AY$15),0),15-13*ORÇAMENTO!$AF$11)),
         0)</f>
        <v>320.85</v>
      </c>
      <c r="AZ125" s="352" t="n">
        <f aca="true">IF(AND($D125="Serviço",AZ$12&lt;&gt;0,$H125&gt;0,OR(AUTOEVENTO&lt;&gt;"manual",$M125&lt;&gt;$A$15)),
        IF(Import.TipoArredondamento&lt;&gt;"TransfereGOV",
              ROUND(OFFSET($P125,0,AZ$13),15-13*ORÇAMENTO!$AF$7)/$H125*OFFSET(ORÇAMENTO!$X$15,ROW(AZ125)-ROW(AZ$15),0),
              ROUND(ROUND(OFFSET($P125,0,AZ$13),15-13*ORÇAMENTO!$AF$7)*OFFSET(ORÇAMENTO!$W$15,ROW(AZ125)-ROW(AZ$15),0),15-13*ORÇAMENTO!$AF$11)),
         0)</f>
        <v>320.85</v>
      </c>
      <c r="BA125" s="352" t="n">
        <f aca="true">IF(AND($D125="Serviço",BA$12&lt;&gt;0,$H125&gt;0,OR(AUTOEVENTO&lt;&gt;"manual",$M125&lt;&gt;$A$15)),
        IF(Import.TipoArredondamento&lt;&gt;"TransfereGOV",
              ROUND(OFFSET($P125,0,BA$13),15-13*ORÇAMENTO!$AF$7)/$H125*OFFSET(ORÇAMENTO!$X$15,ROW(BA125)-ROW(BA$15),0),
              ROUND(ROUND(OFFSET($P125,0,BA$13),15-13*ORÇAMENTO!$AF$7)*OFFSET(ORÇAMENTO!$W$15,ROW(BA125)-ROW(BA$15),0),15-13*ORÇAMENTO!$AF$11)),
         0)</f>
        <v>320.85</v>
      </c>
      <c r="BB125" s="352" t="n">
        <f aca="true">IF(AND($D125="Serviço",BB$12&lt;&gt;0,$H125&gt;0,OR(AUTOEVENTO&lt;&gt;"manual",$M125&lt;&gt;$A$15)),
        IF(Import.TipoArredondamento&lt;&gt;"TransfereGOV",
              ROUND(OFFSET($P125,0,BB$13),15-13*ORÇAMENTO!$AF$7)/$H125*OFFSET(ORÇAMENTO!$X$15,ROW(BB125)-ROW(BB$15),0),
              ROUND(ROUND(OFFSET($P125,0,BB$13),15-13*ORÇAMENTO!$AF$7)*OFFSET(ORÇAMENTO!$W$15,ROW(BB125)-ROW(BB$15),0),15-13*ORÇAMENTO!$AF$11)),
         0)</f>
        <v>320.85</v>
      </c>
      <c r="BC125" s="352" t="n">
        <f aca="true">IF(AND($D125="Serviço",BC$12&lt;&gt;0,$H125&gt;0,OR(AUTOEVENTO&lt;&gt;"manual",$M125&lt;&gt;$A$15)),
        IF(Import.TipoArredondamento&lt;&gt;"TransfereGOV",
              ROUND(OFFSET($P125,0,BC$13),15-13*ORÇAMENTO!$AF$7)/$H125*OFFSET(ORÇAMENTO!$X$15,ROW(BC125)-ROW(BC$15),0),
              ROUND(ROUND(OFFSET($P125,0,BC$13),15-13*ORÇAMENTO!$AF$7)*OFFSET(ORÇAMENTO!$W$15,ROW(BC125)-ROW(BC$15),0),15-13*ORÇAMENTO!$AF$11)),
         0)</f>
        <v>320.85</v>
      </c>
      <c r="BD125" s="352" t="n">
        <f aca="true">IF(AND($D125="Serviço",BD$12&lt;&gt;0,$H125&gt;0,OR(AUTOEVENTO&lt;&gt;"manual",$M125&lt;&gt;$A$15)),
        IF(Import.TipoArredondamento&lt;&gt;"TransfereGOV",
              ROUND(OFFSET($P125,0,BD$13),15-13*ORÇAMENTO!$AF$7)/$H125*OFFSET(ORÇAMENTO!$X$15,ROW(BD125)-ROW(BD$15),0),
              ROUND(ROUND(OFFSET($P125,0,BD$13),15-13*ORÇAMENTO!$AF$7)*OFFSET(ORÇAMENTO!$W$15,ROW(BD125)-ROW(BD$15),0),15-13*ORÇAMENTO!$AF$11)),
         0)</f>
        <v>320.85</v>
      </c>
      <c r="BE125" s="352" t="n">
        <f aca="true">IF(AND($D125="Serviço",BE$12&lt;&gt;0,$H125&gt;0,OR(AUTOEVENTO&lt;&gt;"manual",$M125&lt;&gt;$A$15)),
        IF(Import.TipoArredondamento&lt;&gt;"TransfereGOV",
              ROUND(OFFSET($P125,0,BE$13),15-13*ORÇAMENTO!$AF$7)/$H125*OFFSET(ORÇAMENTO!$X$15,ROW(BE125)-ROW(BE$15),0),
              ROUND(ROUND(OFFSET($P125,0,BE$13),15-13*ORÇAMENTO!$AF$7)*OFFSET(ORÇAMENTO!$W$15,ROW(BE125)-ROW(BE$15),0),15-13*ORÇAMENTO!$AF$11)),
         0)</f>
        <v>320.85</v>
      </c>
      <c r="BF125" s="352" t="n">
        <f aca="true">IF(AND($D125="Serviço",BF$12&lt;&gt;0,$H125&gt;0,OR(AUTOEVENTO&lt;&gt;"manual",$M125&lt;&gt;$A$15)),
        IF(Import.TipoArredondamento&lt;&gt;"TransfereGOV",
              ROUND(OFFSET($P125,0,BF$13),15-13*ORÇAMENTO!$AF$7)/$H125*OFFSET(ORÇAMENTO!$X$15,ROW(BF125)-ROW(BF$15),0),
              ROUND(ROUND(OFFSET($P125,0,BF$13),15-13*ORÇAMENTO!$AF$7)*OFFSET(ORÇAMENTO!$W$15,ROW(BF125)-ROW(BF$15),0),15-13*ORÇAMENTO!$AF$11)),
         0)</f>
        <v>320.85</v>
      </c>
      <c r="BG125" s="352" t="n">
        <f aca="true">IF(AND($D125="Serviço",BG$12&lt;&gt;0,$H125&gt;0,OR(AUTOEVENTO&lt;&gt;"manual",$M125&lt;&gt;$A$15)),
        IF(Import.TipoArredondamento&lt;&gt;"TransfereGOV",
              ROUND(OFFSET($P125,0,BG$13),15-13*ORÇAMENTO!$AF$7)/$H125*OFFSET(ORÇAMENTO!$X$15,ROW(BG125)-ROW(BG$15),0),
              ROUND(ROUND(OFFSET($P125,0,BG$13),15-13*ORÇAMENTO!$AF$7)*OFFSET(ORÇAMENTO!$W$15,ROW(BG125)-ROW(BG$15),0),15-13*ORÇAMENTO!$AF$11)),
         0)</f>
        <v>320.85</v>
      </c>
      <c r="BH125" s="352" t="n">
        <f aca="true">IF(AND($D125="Serviço",BH$12&lt;&gt;0,$H125&gt;0,OR(AUTOEVENTO&lt;&gt;"manual",$M125&lt;&gt;$A$15)),
        IF(Import.TipoArredondamento&lt;&gt;"TransfereGOV",
              ROUND(OFFSET($P125,0,BH$13),15-13*ORÇAMENTO!$AF$7)/$H125*OFFSET(ORÇAMENTO!$X$15,ROW(BH125)-ROW(BH$15),0),
              ROUND(ROUND(OFFSET($P125,0,BH$13),15-13*ORÇAMENTO!$AF$7)*OFFSET(ORÇAMENTO!$W$15,ROW(BH125)-ROW(BH$15),0),15-13*ORÇAMENTO!$AF$11)),
         0)</f>
        <v>320.85</v>
      </c>
      <c r="BI125" s="352" t="n">
        <f aca="true">IF(AND($D125="Serviço",BI$12&lt;&gt;0,$H125&gt;0,OR(AUTOEVENTO&lt;&gt;"manual",$M125&lt;&gt;$A$15)),
        IF(Import.TipoArredondamento&lt;&gt;"TransfereGOV",
              ROUND(OFFSET($P125,0,BI$13),15-13*ORÇAMENTO!$AF$7)/$H125*OFFSET(ORÇAMENTO!$X$15,ROW(BI125)-ROW(BI$15),0),
              ROUND(ROUND(OFFSET($P125,0,BI$13),15-13*ORÇAMENTO!$AF$7)*OFFSET(ORÇAMENTO!$W$15,ROW(BI125)-ROW(BI$15),0),15-13*ORÇAMENTO!$AF$11)),
         0)</f>
        <v>320.85</v>
      </c>
      <c r="BJ125" s="352" t="n">
        <f aca="true">IF(AND($D125="Serviço",BJ$12&lt;&gt;0,$H125&gt;0,OR(AUTOEVENTO&lt;&gt;"manual",$M125&lt;&gt;$A$15)),
        IF(Import.TipoArredondamento&lt;&gt;"TransfereGOV",
              ROUND(OFFSET($P125,0,BJ$13),15-13*ORÇAMENTO!$AF$7)/$H125*OFFSET(ORÇAMENTO!$X$15,ROW(BJ125)-ROW(BJ$15),0),
              ROUND(ROUND(OFFSET($P125,0,BJ$13),15-13*ORÇAMENTO!$AF$7)*OFFSET(ORÇAMENTO!$W$15,ROW(BJ125)-ROW(BJ$15),0),15-13*ORÇAMENTO!$AF$11)),
         0)</f>
        <v>320.85</v>
      </c>
      <c r="BK125" s="352" t="n">
        <f aca="true">IF(AND($D125="Serviço",BK$12&lt;&gt;0,$H125&gt;0,OR(AUTOEVENTO&lt;&gt;"manual",$M125&lt;&gt;$A$15)),
        IF(Import.TipoArredondamento&lt;&gt;"TransfereGOV",
              ROUND(OFFSET($P125,0,BK$13),15-13*ORÇAMENTO!$AF$7)/$H125*OFFSET(ORÇAMENTO!$X$15,ROW(BK125)-ROW(BK$15),0),
              ROUND(ROUND(OFFSET($P125,0,BK$13),15-13*ORÇAMENTO!$AF$7)*OFFSET(ORÇAMENTO!$W$15,ROW(BK125)-ROW(BK$15),0),15-13*ORÇAMENTO!$AF$11)),
         0)</f>
        <v>320.85</v>
      </c>
      <c r="BL125" s="352" t="n">
        <f aca="true">IF(AND($D125="Serviço",BL$12&lt;&gt;0,$H125&gt;0,OR(AUTOEVENTO&lt;&gt;"manual",$M125&lt;&gt;$A$15)),
        IF(Import.TipoArredondamento&lt;&gt;"TransfereGOV",
              ROUND(OFFSET($P125,0,BL$13),15-13*ORÇAMENTO!$AF$7)/$H125*OFFSET(ORÇAMENTO!$X$15,ROW(BL125)-ROW(BL$15),0),
              ROUND(ROUND(OFFSET($P125,0,BL$13),15-13*ORÇAMENTO!$AF$7)*OFFSET(ORÇAMENTO!$W$15,ROW(BL125)-ROW(BL$15),0),15-13*ORÇAMENTO!$AF$11)),
         0)</f>
        <v>320.85</v>
      </c>
      <c r="BM125" s="352" t="n">
        <f aca="true">IF(AND($D125="Serviço",BM$12&lt;&gt;0,$H125&gt;0,OR(AUTOEVENTO&lt;&gt;"manual",$M125&lt;&gt;$A$15)),
        IF(Import.TipoArredondamento&lt;&gt;"TransfereGOV",
              ROUND(OFFSET($P125,0,BM$13),15-13*ORÇAMENTO!$AF$7)/$H125*OFFSET(ORÇAMENTO!$X$15,ROW(BM125)-ROW(BM$15),0),
              ROUND(ROUND(OFFSET($P125,0,BM$13),15-13*ORÇAMENTO!$AF$7)*OFFSET(ORÇAMENTO!$W$15,ROW(BM125)-ROW(BM$15),0),15-13*ORÇAMENTO!$AF$11)),
         0)</f>
        <v>320.85</v>
      </c>
      <c r="BN125" s="352" t="n">
        <f aca="true">IF(AND($D125="Serviço",BN$12&lt;&gt;0,$H125&gt;0,OR(AUTOEVENTO&lt;&gt;"manual",$M125&lt;&gt;$A$15)),
        IF(Import.TipoArredondamento&lt;&gt;"TransfereGOV",
              ROUND(OFFSET($P125,0,BN$13),15-13*ORÇAMENTO!$AF$7)/$H125*OFFSET(ORÇAMENTO!$X$15,ROW(BN125)-ROW(BN$15),0),
              ROUND(ROUND(OFFSET($P125,0,BN$13),15-13*ORÇAMENTO!$AF$7)*OFFSET(ORÇAMENTO!$W$15,ROW(BN125)-ROW(BN$15),0),15-13*ORÇAMENTO!$AF$11)),
         0)</f>
        <v>320.85</v>
      </c>
      <c r="BO125" s="352" t="n">
        <f aca="true">IF(AND($D125="Serviço",BO$12&lt;&gt;0,$H125&gt;0,OR(AUTOEVENTO&lt;&gt;"manual",$M125&lt;&gt;$A$15)),
        IF(Import.TipoArredondamento&lt;&gt;"TransfereGOV",
              ROUND(OFFSET($P125,0,BO$13),15-13*ORÇAMENTO!$AF$7)/$H125*OFFSET(ORÇAMENTO!$X$15,ROW(BO125)-ROW(BO$15),0),
              ROUND(ROUND(OFFSET($P125,0,BO$13),15-13*ORÇAMENTO!$AF$7)*OFFSET(ORÇAMENTO!$W$15,ROW(BO125)-ROW(BO$15),0),15-13*ORÇAMENTO!$AF$11)),
         0)</f>
        <v>320.85</v>
      </c>
      <c r="BP125" s="352" t="n">
        <f aca="true">IF(AND($D125="Serviço",BP$12&lt;&gt;0,$H125&gt;0,OR(AUTOEVENTO&lt;&gt;"manual",$M125&lt;&gt;$A$15)),
        IF(Import.TipoArredondamento&lt;&gt;"TransfereGOV",
              ROUND(OFFSET($P125,0,BP$13),15-13*ORÇAMENTO!$AF$7)/$H125*OFFSET(ORÇAMENTO!$X$15,ROW(BP125)-ROW(BP$15),0),
              ROUND(ROUND(OFFSET($P125,0,BP$13),15-13*ORÇAMENTO!$AF$7)*OFFSET(ORÇAMENTO!$W$15,ROW(BP125)-ROW(BP$15),0),15-13*ORÇAMENTO!$AF$11)),
         0)</f>
        <v>320.85</v>
      </c>
      <c r="BQ125" s="352" t="n">
        <f aca="true">IF(AND($D125="Serviço",BQ$12&lt;&gt;0,$H125&gt;0,OR(AUTOEVENTO&lt;&gt;"manual",$M125&lt;&gt;$A$15)),
        IF(Import.TipoArredondamento&lt;&gt;"TransfereGOV",
              ROUND(OFFSET($P125,0,BQ$13),15-13*ORÇAMENTO!$AF$7)/$H125*OFFSET(ORÇAMENTO!$X$15,ROW(BQ125)-ROW(BQ$15),0),
              ROUND(ROUND(OFFSET($P125,0,BQ$13),15-13*ORÇAMENTO!$AF$7)*OFFSET(ORÇAMENTO!$W$15,ROW(BQ125)-ROW(BQ$15),0),15-13*ORÇAMENTO!$AF$11)),
         0)</f>
        <v>0</v>
      </c>
      <c r="BS125" s="353" t="n">
        <f aca="true">IF(OR($D125&lt;&gt;"Serviço",AND(AUTOEVENTO="Manual",$M125=$A$15)),0,
         IF(OFFSET(CRONOPLE!$F$15,$M125-$A$15,BS$13)=0,10^12,OFFSET(CRONOPLE!$F$15,$M125-$A$15,BS$13)))</f>
        <v>1</v>
      </c>
      <c r="BT125" s="353" t="n">
        <f aca="true">IF(OR($D125&lt;&gt;"Serviço",AND(AUTOEVENTO="Manual",$M125=$A$15)),0,
         IF(OFFSET(CRONOPLE!$F$15,$M125-$A$15,BT$13)=0,10^12,OFFSET(CRONOPLE!$F$15,$M125-$A$15,BT$13)))</f>
        <v>2</v>
      </c>
      <c r="BU125" s="353" t="n">
        <f aca="true">IF(OR($D125&lt;&gt;"Serviço",AND(AUTOEVENTO="Manual",$M125=$A$15)),0,
         IF(OFFSET(CRONOPLE!$F$15,$M125-$A$15,BU$13)=0,10^12,OFFSET(CRONOPLE!$F$15,$M125-$A$15,BU$13)))</f>
        <v>3</v>
      </c>
      <c r="BV125" s="353" t="n">
        <f aca="true">IF(OR($D125&lt;&gt;"Serviço",AND(AUTOEVENTO="Manual",$M125=$A$15)),0,
         IF(OFFSET(CRONOPLE!$F$15,$M125-$A$15,BV$13)=0,10^12,OFFSET(CRONOPLE!$F$15,$M125-$A$15,BV$13)))</f>
        <v>4</v>
      </c>
      <c r="BW125" s="353" t="n">
        <f aca="true">IF(OR($D125&lt;&gt;"Serviço",AND(AUTOEVENTO="Manual",$M125=$A$15)),0,
         IF(OFFSET(CRONOPLE!$F$15,$M125-$A$15,BW$13)=0,10^12,OFFSET(CRONOPLE!$F$15,$M125-$A$15,BW$13)))</f>
        <v>5</v>
      </c>
      <c r="BX125" s="353" t="n">
        <f aca="true">IF(OR($D125&lt;&gt;"Serviço",AND(AUTOEVENTO="Manual",$M125=$A$15)),0,
         IF(OFFSET(CRONOPLE!$F$15,$M125-$A$15,BX$13)=0,10^12,OFFSET(CRONOPLE!$F$15,$M125-$A$15,BX$13)))</f>
        <v>6</v>
      </c>
      <c r="BY125" s="353" t="n">
        <f aca="true">IF(OR($D125&lt;&gt;"Serviço",AND(AUTOEVENTO="Manual",$M125=$A$15)),0,
         IF(OFFSET(CRONOPLE!$F$15,$M125-$A$15,BY$13)=0,10^12,OFFSET(CRONOPLE!$F$15,$M125-$A$15,BY$13)))</f>
        <v>7</v>
      </c>
      <c r="BZ125" s="353" t="n">
        <f aca="true">IF(OR($D125&lt;&gt;"Serviço",AND(AUTOEVENTO="Manual",$M125=$A$15)),0,
         IF(OFFSET(CRONOPLE!$F$15,$M125-$A$15,BZ$13)=0,10^12,OFFSET(CRONOPLE!$F$15,$M125-$A$15,BZ$13)))</f>
        <v>8</v>
      </c>
      <c r="CA125" s="353" t="n">
        <f aca="true">IF(OR($D125&lt;&gt;"Serviço",AND(AUTOEVENTO="Manual",$M125=$A$15)),0,
         IF(OFFSET(CRONOPLE!$F$15,$M125-$A$15,CA$13)=0,10^12,OFFSET(CRONOPLE!$F$15,$M125-$A$15,CA$13)))</f>
        <v>9</v>
      </c>
      <c r="CB125" s="353" t="n">
        <f aca="true">IF(OR($D125&lt;&gt;"Serviço",AND(AUTOEVENTO="Manual",$M125=$A$15)),0,
         IF(OFFSET(CRONOPLE!$F$15,$M125-$A$15,CB$13)=0,10^12,OFFSET(CRONOPLE!$F$15,$M125-$A$15,CB$13)))</f>
        <v>10</v>
      </c>
      <c r="CC125" s="353" t="n">
        <f aca="true">IF(OR($D125&lt;&gt;"Serviço",AND(AUTOEVENTO="Manual",$M125=$A$15)),0,
         IF(OFFSET(CRONOPLE!$F$15,$M125-$A$15,CC$13)=0,10^12,OFFSET(CRONOPLE!$F$15,$M125-$A$15,CC$13)))</f>
        <v>11</v>
      </c>
      <c r="CD125" s="353" t="n">
        <f aca="true">IF(OR($D125&lt;&gt;"Serviço",AND(AUTOEVENTO="Manual",$M125=$A$15)),0,
         IF(OFFSET(CRONOPLE!$F$15,$M125-$A$15,CD$13)=0,10^12,OFFSET(CRONOPLE!$F$15,$M125-$A$15,CD$13)))</f>
        <v>12</v>
      </c>
      <c r="CE125" s="353" t="n">
        <f aca="true">IF(OR($D125&lt;&gt;"Serviço",AND(AUTOEVENTO="Manual",$M125=$A$15)),0,
         IF(OFFSET(CRONOPLE!$F$15,$M125-$A$15,CE$13)=0,10^12,OFFSET(CRONOPLE!$F$15,$M125-$A$15,CE$13)))</f>
        <v>13</v>
      </c>
      <c r="CF125" s="353" t="n">
        <f aca="true">IF(OR($D125&lt;&gt;"Serviço",AND(AUTOEVENTO="Manual",$M125=$A$15)),0,
         IF(OFFSET(CRONOPLE!$F$15,$M125-$A$15,CF$13)=0,10^12,OFFSET(CRONOPLE!$F$15,$M125-$A$15,CF$13)))</f>
        <v>14</v>
      </c>
      <c r="CG125" s="353" t="n">
        <f aca="true">IF(OR($D125&lt;&gt;"Serviço",AND(AUTOEVENTO="Manual",$M125=$A$15)),0,
         IF(OFFSET(CRONOPLE!$F$15,$M125-$A$15,CG$13)=0,10^12,OFFSET(CRONOPLE!$F$15,$M125-$A$15,CG$13)))</f>
        <v>15</v>
      </c>
      <c r="CH125" s="353" t="n">
        <f aca="true">IF(OR($D125&lt;&gt;"Serviço",AND(AUTOEVENTO="Manual",$M125=$A$15)),0,
         IF(OFFSET(CRONOPLE!$F$15,$M125-$A$15,CH$13)=0,10^12,OFFSET(CRONOPLE!$F$15,$M125-$A$15,CH$13)))</f>
        <v>16</v>
      </c>
      <c r="CI125" s="353" t="n">
        <f aca="true">IF(OR($D125&lt;&gt;"Serviço",AND(AUTOEVENTO="Manual",$M125=$A$15)),0,
         IF(OFFSET(CRONOPLE!$F$15,$M125-$A$15,CI$13)=0,10^12,OFFSET(CRONOPLE!$F$15,$M125-$A$15,CI$13)))</f>
        <v>17</v>
      </c>
      <c r="CJ125" s="353" t="n">
        <f aca="true">IF(OR($D125&lt;&gt;"Serviço",AND(AUTOEVENTO="Manual",$M125=$A$15)),0,
         IF(OFFSET(CRONOPLE!$F$15,$M125-$A$15,CJ$13)=0,10^12,OFFSET(CRONOPLE!$F$15,$M125-$A$15,CJ$13)))</f>
        <v>18</v>
      </c>
      <c r="CK125" s="353" t="n">
        <f aca="true">IF(OR($D125&lt;&gt;"Serviço",AND(AUTOEVENTO="Manual",$M125=$A$15)),0,
         IF(OFFSET(CRONOPLE!$F$15,$M125-$A$15,CK$13)=0,10^12,OFFSET(CRONOPLE!$F$15,$M125-$A$15,CK$13)))</f>
        <v>19</v>
      </c>
      <c r="CL125" s="353" t="n">
        <f aca="true">IF(OR($D125&lt;&gt;"Serviço",AND(AUTOEVENTO="Manual",$M125=$A$15)),0,
         IF(OFFSET(CRONOPLE!$F$15,$M125-$A$15,CL$13)=0,10^12,OFFSET(CRONOPLE!$F$15,$M125-$A$15,CL$13)))</f>
        <v>20</v>
      </c>
      <c r="CM125" s="353" t="n">
        <f aca="true">IF(OR($D125&lt;&gt;"Serviço",AND(AUTOEVENTO="Manual",$M125=$A$15)),0,
         IF(OFFSET(CRONOPLE!$F$15,$M125-$A$15,CM$13)=0,10^12,OFFSET(CRONOPLE!$F$15,$M125-$A$15,CM$13)))</f>
        <v>21</v>
      </c>
      <c r="CN125" s="353" t="n">
        <f aca="true">IF(OR($D125&lt;&gt;"Serviço",AND(AUTOEVENTO="Manual",$M125=$A$15)),0,
         IF(OFFSET(CRONOPLE!$F$15,$M125-$A$15,CN$13)=0,10^12,OFFSET(CRONOPLE!$F$15,$M125-$A$15,CN$13)))</f>
        <v>22</v>
      </c>
      <c r="CO125" s="353" t="n">
        <f aca="true">IF(OR($D125&lt;&gt;"Serviço",AND(AUTOEVENTO="Manual",$M125=$A$15)),0,
         IF(OFFSET(CRONOPLE!$F$15,$M125-$A$15,CO$13)=0,10^12,OFFSET(CRONOPLE!$F$15,$M125-$A$15,CO$13)))</f>
        <v>23</v>
      </c>
      <c r="CP125" s="353" t="n">
        <f aca="true">IF(OR($D125&lt;&gt;"Serviço",AND(AUTOEVENTO="Manual",$M125=$A$15)),0,
         IF(OFFSET(CRONOPLE!$F$15,$M125-$A$15,CP$13)=0,10^12,OFFSET(CRONOPLE!$F$15,$M125-$A$15,CP$13)))</f>
        <v>24</v>
      </c>
      <c r="CQ125" s="353" t="n">
        <f aca="true">IF(OR($D125&lt;&gt;"Serviço",AND(AUTOEVENTO="Manual",$M125=$A$15)),0,
         IF(OFFSET(CRONOPLE!$F$15,$M125-$A$15,CQ$13)=0,10^12,OFFSET(CRONOPLE!$F$15,$M125-$A$15,CQ$13)))</f>
        <v>25</v>
      </c>
      <c r="CR125" s="353" t="n">
        <f aca="true">IF(OR($D125&lt;&gt;"Serviço",AND(AUTOEVENTO="Manual",$M125=$A$15)),0,
         IF(OFFSET(CRONOPLE!$F$15,$M125-$A$15,CR$13)=0,10^12,OFFSET(CRONOPLE!$F$15,$M125-$A$15,CR$13)))</f>
        <v>1000000000000</v>
      </c>
      <c r="CT125" s="354" t="n">
        <f aca="true">IF(OR($D125&lt;&gt;"Serviço",AND(AUTOEVENTO="Manual",$M125=$A$15),$M125&gt;(ROW(PLE.lastrow)-ROW(PLE.firstrow))),0,
           IF(OFFSET(PLE!$G$15,$M125-$A$15,CT$13)="",10^12,OFFSET(PLE!$G$15,$M125-$A$15,CT$13)))</f>
        <v>1000000000000</v>
      </c>
      <c r="CU125" s="354" t="n">
        <f aca="true">IF(OR($D125&lt;&gt;"Serviço",AND(AUTOEVENTO="Manual",$M125=$A$15),$M125&gt;(ROW(PLE.lastrow)-ROW(PLE.firstrow))),0,
           IF(OFFSET(PLE!$G$15,$M125-$A$15,CU$13)="",10^12,OFFSET(PLE!$G$15,$M125-$A$15,CU$13)))</f>
        <v>1000000000000</v>
      </c>
      <c r="CV125" s="354" t="n">
        <f aca="true">IF(OR($D125&lt;&gt;"Serviço",AND(AUTOEVENTO="Manual",$M125=$A$15),$M125&gt;(ROW(PLE.lastrow)-ROW(PLE.firstrow))),0,
           IF(OFFSET(PLE!$G$15,$M125-$A$15,CV$13)="",10^12,OFFSET(PLE!$G$15,$M125-$A$15,CV$13)))</f>
        <v>1000000000000</v>
      </c>
      <c r="CW125" s="354" t="n">
        <f aca="true">IF(OR($D125&lt;&gt;"Serviço",AND(AUTOEVENTO="Manual",$M125=$A$15),$M125&gt;(ROW(PLE.lastrow)-ROW(PLE.firstrow))),0,
           IF(OFFSET(PLE!$G$15,$M125-$A$15,CW$13)="",10^12,OFFSET(PLE!$G$15,$M125-$A$15,CW$13)))</f>
        <v>1000000000000</v>
      </c>
      <c r="CX125" s="354" t="n">
        <f aca="true">IF(OR($D125&lt;&gt;"Serviço",AND(AUTOEVENTO="Manual",$M125=$A$15),$M125&gt;(ROW(PLE.lastrow)-ROW(PLE.firstrow))),0,
           IF(OFFSET(PLE!$G$15,$M125-$A$15,CX$13)="",10^12,OFFSET(PLE!$G$15,$M125-$A$15,CX$13)))</f>
        <v>1000000000000</v>
      </c>
      <c r="CY125" s="354" t="n">
        <f aca="true">IF(OR($D125&lt;&gt;"Serviço",AND(AUTOEVENTO="Manual",$M125=$A$15),$M125&gt;(ROW(PLE.lastrow)-ROW(PLE.firstrow))),0,
           IF(OFFSET(PLE!$G$15,$M125-$A$15,CY$13)="",10^12,OFFSET(PLE!$G$15,$M125-$A$15,CY$13)))</f>
        <v>1000000000000</v>
      </c>
      <c r="CZ125" s="354" t="n">
        <f aca="true">IF(OR($D125&lt;&gt;"Serviço",AND(AUTOEVENTO="Manual",$M125=$A$15),$M125&gt;(ROW(PLE.lastrow)-ROW(PLE.firstrow))),0,
           IF(OFFSET(PLE!$G$15,$M125-$A$15,CZ$13)="",10^12,OFFSET(PLE!$G$15,$M125-$A$15,CZ$13)))</f>
        <v>1000000000000</v>
      </c>
      <c r="DA125" s="354" t="n">
        <f aca="true">IF(OR($D125&lt;&gt;"Serviço",AND(AUTOEVENTO="Manual",$M125=$A$15),$M125&gt;(ROW(PLE.lastrow)-ROW(PLE.firstrow))),0,
           IF(OFFSET(PLE!$G$15,$M125-$A$15,DA$13)="",10^12,OFFSET(PLE!$G$15,$M125-$A$15,DA$13)))</f>
        <v>1000000000000</v>
      </c>
      <c r="DB125" s="354" t="n">
        <f aca="true">IF(OR($D125&lt;&gt;"Serviço",AND(AUTOEVENTO="Manual",$M125=$A$15),$M125&gt;(ROW(PLE.lastrow)-ROW(PLE.firstrow))),0,
           IF(OFFSET(PLE!$G$15,$M125-$A$15,DB$13)="",10^12,OFFSET(PLE!$G$15,$M125-$A$15,DB$13)))</f>
        <v>1000000000000</v>
      </c>
      <c r="DC125" s="354" t="n">
        <f aca="true">IF(OR($D125&lt;&gt;"Serviço",AND(AUTOEVENTO="Manual",$M125=$A$15),$M125&gt;(ROW(PLE.lastrow)-ROW(PLE.firstrow))),0,
           IF(OFFSET(PLE!$G$15,$M125-$A$15,DC$13)="",10^12,OFFSET(PLE!$G$15,$M125-$A$15,DC$13)))</f>
        <v>1000000000000</v>
      </c>
      <c r="DD125" s="354" t="n">
        <f aca="true">IF(OR($D125&lt;&gt;"Serviço",AND(AUTOEVENTO="Manual",$M125=$A$15),$M125&gt;(ROW(PLE.lastrow)-ROW(PLE.firstrow))),0,
           IF(OFFSET(PLE!$G$15,$M125-$A$15,DD$13)="",10^12,OFFSET(PLE!$G$15,$M125-$A$15,DD$13)))</f>
        <v>1000000000000</v>
      </c>
      <c r="DE125" s="354" t="n">
        <f aca="true">IF(OR($D125&lt;&gt;"Serviço",AND(AUTOEVENTO="Manual",$M125=$A$15),$M125&gt;(ROW(PLE.lastrow)-ROW(PLE.firstrow))),0,
           IF(OFFSET(PLE!$G$15,$M125-$A$15,DE$13)="",10^12,OFFSET(PLE!$G$15,$M125-$A$15,DE$13)))</f>
        <v>1000000000000</v>
      </c>
      <c r="DF125" s="354" t="n">
        <f aca="true">IF(OR($D125&lt;&gt;"Serviço",AND(AUTOEVENTO="Manual",$M125=$A$15),$M125&gt;(ROW(PLE.lastrow)-ROW(PLE.firstrow))),0,
           IF(OFFSET(PLE!$G$15,$M125-$A$15,DF$13)="",10^12,OFFSET(PLE!$G$15,$M125-$A$15,DF$13)))</f>
        <v>1000000000000</v>
      </c>
      <c r="DG125" s="354" t="n">
        <f aca="true">IF(OR($D125&lt;&gt;"Serviço",AND(AUTOEVENTO="Manual",$M125=$A$15),$M125&gt;(ROW(PLE.lastrow)-ROW(PLE.firstrow))),0,
           IF(OFFSET(PLE!$G$15,$M125-$A$15,DG$13)="",10^12,OFFSET(PLE!$G$15,$M125-$A$15,DG$13)))</f>
        <v>1000000000000</v>
      </c>
      <c r="DH125" s="354" t="n">
        <f aca="true">IF(OR($D125&lt;&gt;"Serviço",AND(AUTOEVENTO="Manual",$M125=$A$15),$M125&gt;(ROW(PLE.lastrow)-ROW(PLE.firstrow))),0,
           IF(OFFSET(PLE!$G$15,$M125-$A$15,DH$13)="",10^12,OFFSET(PLE!$G$15,$M125-$A$15,DH$13)))</f>
        <v>1000000000000</v>
      </c>
      <c r="DI125" s="354" t="n">
        <f aca="true">IF(OR($D125&lt;&gt;"Serviço",AND(AUTOEVENTO="Manual",$M125=$A$15),$M125&gt;(ROW(PLE.lastrow)-ROW(PLE.firstrow))),0,
           IF(OFFSET(PLE!$G$15,$M125-$A$15,DI$13)="",10^12,OFFSET(PLE!$G$15,$M125-$A$15,DI$13)))</f>
        <v>1000000000000</v>
      </c>
      <c r="DJ125" s="354" t="n">
        <f aca="true">IF(OR($D125&lt;&gt;"Serviço",AND(AUTOEVENTO="Manual",$M125=$A$15),$M125&gt;(ROW(PLE.lastrow)-ROW(PLE.firstrow))),0,
           IF(OFFSET(PLE!$G$15,$M125-$A$15,DJ$13)="",10^12,OFFSET(PLE!$G$15,$M125-$A$15,DJ$13)))</f>
        <v>1000000000000</v>
      </c>
      <c r="DK125" s="354" t="n">
        <f aca="true">IF(OR($D125&lt;&gt;"Serviço",AND(AUTOEVENTO="Manual",$M125=$A$15),$M125&gt;(ROW(PLE.lastrow)-ROW(PLE.firstrow))),0,
           IF(OFFSET(PLE!$G$15,$M125-$A$15,DK$13)="",10^12,OFFSET(PLE!$G$15,$M125-$A$15,DK$13)))</f>
        <v>1000000000000</v>
      </c>
      <c r="DL125" s="354" t="n">
        <f aca="true">IF(OR($D125&lt;&gt;"Serviço",AND(AUTOEVENTO="Manual",$M125=$A$15),$M125&gt;(ROW(PLE.lastrow)-ROW(PLE.firstrow))),0,
           IF(OFFSET(PLE!$G$15,$M125-$A$15,DL$13)="",10^12,OFFSET(PLE!$G$15,$M125-$A$15,DL$13)))</f>
        <v>1000000000000</v>
      </c>
      <c r="DM125" s="354" t="n">
        <f aca="true">IF(OR($D125&lt;&gt;"Serviço",AND(AUTOEVENTO="Manual",$M125=$A$15),$M125&gt;(ROW(PLE.lastrow)-ROW(PLE.firstrow))),0,
           IF(OFFSET(PLE!$G$15,$M125-$A$15,DM$13)="",10^12,OFFSET(PLE!$G$15,$M125-$A$15,DM$13)))</f>
        <v>1000000000000</v>
      </c>
      <c r="DN125" s="354" t="n">
        <f aca="true">IF(OR($D125&lt;&gt;"Serviço",AND(AUTOEVENTO="Manual",$M125=$A$15),$M125&gt;(ROW(PLE.lastrow)-ROW(PLE.firstrow))),0,
           IF(OFFSET(PLE!$G$15,$M125-$A$15,DN$13)="",10^12,OFFSET(PLE!$G$15,$M125-$A$15,DN$13)))</f>
        <v>1000000000000</v>
      </c>
      <c r="DO125" s="354" t="n">
        <f aca="true">IF(OR($D125&lt;&gt;"Serviço",AND(AUTOEVENTO="Manual",$M125=$A$15),$M125&gt;(ROW(PLE.lastrow)-ROW(PLE.firstrow))),0,
           IF(OFFSET(PLE!$G$15,$M125-$A$15,DO$13)="",10^12,OFFSET(PLE!$G$15,$M125-$A$15,DO$13)))</f>
        <v>1000000000000</v>
      </c>
      <c r="DP125" s="354" t="n">
        <f aca="true">IF(OR($D125&lt;&gt;"Serviço",AND(AUTOEVENTO="Manual",$M125=$A$15),$M125&gt;(ROW(PLE.lastrow)-ROW(PLE.firstrow))),0,
           IF(OFFSET(PLE!$G$15,$M125-$A$15,DP$13)="",10^12,OFFSET(PLE!$G$15,$M125-$A$15,DP$13)))</f>
        <v>1000000000000</v>
      </c>
      <c r="DQ125" s="354" t="n">
        <f aca="true">IF(OR($D125&lt;&gt;"Serviço",AND(AUTOEVENTO="Manual",$M125=$A$15),$M125&gt;(ROW(PLE.lastrow)-ROW(PLE.firstrow))),0,
           IF(OFFSET(PLE!$G$15,$M125-$A$15,DQ$13)="",10^12,OFFSET(PLE!$G$15,$M125-$A$15,DQ$13)))</f>
        <v>1000000000000</v>
      </c>
      <c r="DR125" s="354" t="n">
        <f aca="true">IF(OR($D125&lt;&gt;"Serviço",AND(AUTOEVENTO="Manual",$M125=$A$15),$M125&gt;(ROW(PLE.lastrow)-ROW(PLE.firstrow))),0,
           IF(OFFSET(PLE!$G$15,$M125-$A$15,DR$13)="",10^12,OFFSET(PLE!$G$15,$M125-$A$15,DR$13)))</f>
        <v>1000000000000</v>
      </c>
      <c r="DS125" s="354" t="n">
        <f aca="true">IF(OR($D125&lt;&gt;"Serviço",AND(AUTOEVENTO="Manual",$M125=$A$15),$M125&gt;(ROW(PLE.lastrow)-ROW(PLE.firstrow))),0,
           IF(OFFSET(PLE!$G$15,$M125-$A$15,DS$13)="",10^12,OFFSET(PLE!$G$15,$M125-$A$15,DS$13)))</f>
        <v>1000000000000</v>
      </c>
    </row>
    <row r="126" customFormat="false" ht="12.75" hidden="false" customHeight="false" outlineLevel="0" collapsed="false">
      <c r="A126" s="50" t="str">
        <f aca="true">IFERROR(IF(AUTOEVENTO="Manual",IF(K126&lt;&gt;"",MIN(VALUE(LEFT(K126,FIND(".",K126)-1)),COUNTA(EVENTOS.Lista)),0),IF(OR($B126&gt;AUTOEVENTO,$B126="S",$B126=0),SUBSTITUTE(OFFSET($A126,-1,0),IF($D126="Serviço",".",""),""),ROW(A126)-ROW($A$15)&amp;".")),0)</f>
        <v>111.</v>
      </c>
      <c r="B126" s="50" t="n">
        <f aca="true">OFFSET(ORÇAMENTO!C$15,ROW(B126)-ROW(B$15),0)</f>
        <v>2</v>
      </c>
      <c r="C126" s="50" t="str">
        <f aca="true">OFFSET(ORÇAMENTO!L$15,ROW(C126)-ROW(C$15),0)</f>
        <v>F</v>
      </c>
      <c r="D126" s="201" t="str">
        <f aca="true">OFFSET(ORÇAMENTO!N$15,ROW(D126)-ROW(D$15),0)</f>
        <v>Nível 2</v>
      </c>
      <c r="E126" s="202" t="str">
        <f aca="true">OFFSET(ORÇAMENTO!O$15,ROW(E126)-ROW(E$15),0)</f>
        <v>1.37.</v>
      </c>
      <c r="F126" s="341" t="str">
        <f aca="true">OFFSET(ORÇAMENTO!R$15,ROW(F126)-ROW(F$15),0)</f>
        <v>ILUMINAÇÃO, TOMADAS E INTERRUPTORES</v>
      </c>
      <c r="G126" s="342" t="str">
        <f aca="true">IF($D126&lt;&gt;"Serviço","",OFFSET(ORÇAMENTO!S$15,ROW(G126)-ROW(G$15),0))</f>
        <v/>
      </c>
      <c r="H126" s="207" t="n">
        <f aca="true">IF($D126&lt;&gt;"Serviço",0,IF(ACOMPANHAMENTO="BM",ROUND(OFFSET(ORÇAMENTO!AJ$15,ROW(H126)-ROW(H$15),0),15-13*ORÇAMENTO!$AF$7),SUMPRODUCT(($Q$1:$AQ$1=1)*ROUND($Q126:$AQ126,15-13*ORÇAMENTO!$AF$7))))</f>
        <v>0</v>
      </c>
      <c r="I126" s="343"/>
      <c r="J126" s="344" t="str">
        <f aca="false">IF(OR(B126&lt;&gt;"S",CÁLCULO.FrentesPreenchidas=0),"",IF(AND(ACOMPANHAMENTO="PLE",AUTOEVENTO="Manual",OR(H126&gt;0,ORÇAMENTO!AC126="QUANT."),OR(K126="",M126=0,N126="")),"►",IF(AND(ACOMPANHAMENTO="PLE",ORÇAMENTO!AC126="QUANT."),"►►",IF(AND(COUNTIF($P$11:$AQ$11,"▼")=0,H126&gt;0,I126=""),"◄",""))))</f>
        <v/>
      </c>
      <c r="K126" s="345"/>
      <c r="L126" s="346" t="s">
        <v>876</v>
      </c>
      <c r="M126" s="347" t="str">
        <f aca="true">IF($D126&lt;&gt;"Serviço","",
          IF(AUTOEVENTO="manual",$A126,
                IF(ISERROR(MATCH($A126,$A$15:OFFSET($A126,-1,0),0)),MAX($M$15:OFFSET(M126,-1,0))+1,
                      INDEX($M$15:OFFSET(M126,-1,0),MATCH($A126,$A$15:OFFSET($A126,-1,0),0)))))</f>
        <v/>
      </c>
      <c r="N126" s="348" t="str">
        <f aca="true">IF($D126&lt;&gt;"Serviço","",
         IF(AUTOEVENTO="Manual",
                IF($A126=0,"&lt;-- defina o número do agrupador",
                       OFFSET(EVENTOS!$D$15,$A126-$A$15,0)),
                OFFSET($F$15,$A126,0)))</f>
        <v/>
      </c>
      <c r="O126" s="349"/>
      <c r="Q126" s="349"/>
      <c r="R126" s="350"/>
      <c r="S126" s="350"/>
      <c r="T126" s="350"/>
      <c r="U126" s="350"/>
      <c r="V126" s="350"/>
      <c r="W126" s="350"/>
      <c r="X126" s="350"/>
      <c r="Y126" s="350"/>
      <c r="Z126" s="351"/>
      <c r="AA126" s="350"/>
      <c r="AB126" s="350"/>
      <c r="AC126" s="350"/>
      <c r="AD126" s="350"/>
      <c r="AE126" s="350"/>
      <c r="AF126" s="350"/>
      <c r="AG126" s="350"/>
      <c r="AH126" s="351"/>
      <c r="AI126" s="350"/>
      <c r="AJ126" s="350"/>
      <c r="AK126" s="350"/>
      <c r="AL126" s="350"/>
      <c r="AM126" s="350"/>
      <c r="AN126" s="350"/>
      <c r="AO126" s="350"/>
      <c r="AP126" s="351"/>
      <c r="AR126" s="352" t="n">
        <f aca="true">IF(AND($D126="Serviço",AR$12&lt;&gt;0,$H126&gt;0,OR(AUTOEVENTO&lt;&gt;"manual",$M126&lt;&gt;$A$15)),
        IF(Import.TipoArredondamento&lt;&gt;"TransfereGOV",
              ROUND(OFFSET($P126,0,AR$13),15-13*ORÇAMENTO!$AF$7)/$H126*OFFSET(ORÇAMENTO!$X$15,ROW(AR126)-ROW(AR$15),0),
              ROUND(ROUND(OFFSET($P126,0,AR$13),15-13*ORÇAMENTO!$AF$7)*OFFSET(ORÇAMENTO!$W$15,ROW(AR126)-ROW(AR$15),0),15-13*ORÇAMENTO!$AF$11)),
         0)</f>
        <v>0</v>
      </c>
      <c r="AS126" s="352" t="n">
        <f aca="true">IF(AND($D126="Serviço",AS$12&lt;&gt;0,$H126&gt;0,OR(AUTOEVENTO&lt;&gt;"manual",$M126&lt;&gt;$A$15)),
        IF(Import.TipoArredondamento&lt;&gt;"TransfereGOV",
              ROUND(OFFSET($P126,0,AS$13),15-13*ORÇAMENTO!$AF$7)/$H126*OFFSET(ORÇAMENTO!$X$15,ROW(AS126)-ROW(AS$15),0),
              ROUND(ROUND(OFFSET($P126,0,AS$13),15-13*ORÇAMENTO!$AF$7)*OFFSET(ORÇAMENTO!$W$15,ROW(AS126)-ROW(AS$15),0),15-13*ORÇAMENTO!$AF$11)),
         0)</f>
        <v>0</v>
      </c>
      <c r="AT126" s="352" t="n">
        <f aca="true">IF(AND($D126="Serviço",AT$12&lt;&gt;0,$H126&gt;0,OR(AUTOEVENTO&lt;&gt;"manual",$M126&lt;&gt;$A$15)),
        IF(Import.TipoArredondamento&lt;&gt;"TransfereGOV",
              ROUND(OFFSET($P126,0,AT$13),15-13*ORÇAMENTO!$AF$7)/$H126*OFFSET(ORÇAMENTO!$X$15,ROW(AT126)-ROW(AT$15),0),
              ROUND(ROUND(OFFSET($P126,0,AT$13),15-13*ORÇAMENTO!$AF$7)*OFFSET(ORÇAMENTO!$W$15,ROW(AT126)-ROW(AT$15),0),15-13*ORÇAMENTO!$AF$11)),
         0)</f>
        <v>0</v>
      </c>
      <c r="AU126" s="352" t="n">
        <f aca="true">IF(AND($D126="Serviço",AU$12&lt;&gt;0,$H126&gt;0,OR(AUTOEVENTO&lt;&gt;"manual",$M126&lt;&gt;$A$15)),
        IF(Import.TipoArredondamento&lt;&gt;"TransfereGOV",
              ROUND(OFFSET($P126,0,AU$13),15-13*ORÇAMENTO!$AF$7)/$H126*OFFSET(ORÇAMENTO!$X$15,ROW(AU126)-ROW(AU$15),0),
              ROUND(ROUND(OFFSET($P126,0,AU$13),15-13*ORÇAMENTO!$AF$7)*OFFSET(ORÇAMENTO!$W$15,ROW(AU126)-ROW(AU$15),0),15-13*ORÇAMENTO!$AF$11)),
         0)</f>
        <v>0</v>
      </c>
      <c r="AV126" s="352" t="n">
        <f aca="true">IF(AND($D126="Serviço",AV$12&lt;&gt;0,$H126&gt;0,OR(AUTOEVENTO&lt;&gt;"manual",$M126&lt;&gt;$A$15)),
        IF(Import.TipoArredondamento&lt;&gt;"TransfereGOV",
              ROUND(OFFSET($P126,0,AV$13),15-13*ORÇAMENTO!$AF$7)/$H126*OFFSET(ORÇAMENTO!$X$15,ROW(AV126)-ROW(AV$15),0),
              ROUND(ROUND(OFFSET($P126,0,AV$13),15-13*ORÇAMENTO!$AF$7)*OFFSET(ORÇAMENTO!$W$15,ROW(AV126)-ROW(AV$15),0),15-13*ORÇAMENTO!$AF$11)),
         0)</f>
        <v>0</v>
      </c>
      <c r="AW126" s="352" t="n">
        <f aca="true">IF(AND($D126="Serviço",AW$12&lt;&gt;0,$H126&gt;0,OR(AUTOEVENTO&lt;&gt;"manual",$M126&lt;&gt;$A$15)),
        IF(Import.TipoArredondamento&lt;&gt;"TransfereGOV",
              ROUND(OFFSET($P126,0,AW$13),15-13*ORÇAMENTO!$AF$7)/$H126*OFFSET(ORÇAMENTO!$X$15,ROW(AW126)-ROW(AW$15),0),
              ROUND(ROUND(OFFSET($P126,0,AW$13),15-13*ORÇAMENTO!$AF$7)*OFFSET(ORÇAMENTO!$W$15,ROW(AW126)-ROW(AW$15),0),15-13*ORÇAMENTO!$AF$11)),
         0)</f>
        <v>0</v>
      </c>
      <c r="AX126" s="352" t="n">
        <f aca="true">IF(AND($D126="Serviço",AX$12&lt;&gt;0,$H126&gt;0,OR(AUTOEVENTO&lt;&gt;"manual",$M126&lt;&gt;$A$15)),
        IF(Import.TipoArredondamento&lt;&gt;"TransfereGOV",
              ROUND(OFFSET($P126,0,AX$13),15-13*ORÇAMENTO!$AF$7)/$H126*OFFSET(ORÇAMENTO!$X$15,ROW(AX126)-ROW(AX$15),0),
              ROUND(ROUND(OFFSET($P126,0,AX$13),15-13*ORÇAMENTO!$AF$7)*OFFSET(ORÇAMENTO!$W$15,ROW(AX126)-ROW(AX$15),0),15-13*ORÇAMENTO!$AF$11)),
         0)</f>
        <v>0</v>
      </c>
      <c r="AY126" s="352" t="n">
        <f aca="true">IF(AND($D126="Serviço",AY$12&lt;&gt;0,$H126&gt;0,OR(AUTOEVENTO&lt;&gt;"manual",$M126&lt;&gt;$A$15)),
        IF(Import.TipoArredondamento&lt;&gt;"TransfereGOV",
              ROUND(OFFSET($P126,0,AY$13),15-13*ORÇAMENTO!$AF$7)/$H126*OFFSET(ORÇAMENTO!$X$15,ROW(AY126)-ROW(AY$15),0),
              ROUND(ROUND(OFFSET($P126,0,AY$13),15-13*ORÇAMENTO!$AF$7)*OFFSET(ORÇAMENTO!$W$15,ROW(AY126)-ROW(AY$15),0),15-13*ORÇAMENTO!$AF$11)),
         0)</f>
        <v>0</v>
      </c>
      <c r="AZ126" s="352" t="n">
        <f aca="true">IF(AND($D126="Serviço",AZ$12&lt;&gt;0,$H126&gt;0,OR(AUTOEVENTO&lt;&gt;"manual",$M126&lt;&gt;$A$15)),
        IF(Import.TipoArredondamento&lt;&gt;"TransfereGOV",
              ROUND(OFFSET($P126,0,AZ$13),15-13*ORÇAMENTO!$AF$7)/$H126*OFFSET(ORÇAMENTO!$X$15,ROW(AZ126)-ROW(AZ$15),0),
              ROUND(ROUND(OFFSET($P126,0,AZ$13),15-13*ORÇAMENTO!$AF$7)*OFFSET(ORÇAMENTO!$W$15,ROW(AZ126)-ROW(AZ$15),0),15-13*ORÇAMENTO!$AF$11)),
         0)</f>
        <v>0</v>
      </c>
      <c r="BA126" s="352" t="n">
        <f aca="true">IF(AND($D126="Serviço",BA$12&lt;&gt;0,$H126&gt;0,OR(AUTOEVENTO&lt;&gt;"manual",$M126&lt;&gt;$A$15)),
        IF(Import.TipoArredondamento&lt;&gt;"TransfereGOV",
              ROUND(OFFSET($P126,0,BA$13),15-13*ORÇAMENTO!$AF$7)/$H126*OFFSET(ORÇAMENTO!$X$15,ROW(BA126)-ROW(BA$15),0),
              ROUND(ROUND(OFFSET($P126,0,BA$13),15-13*ORÇAMENTO!$AF$7)*OFFSET(ORÇAMENTO!$W$15,ROW(BA126)-ROW(BA$15),0),15-13*ORÇAMENTO!$AF$11)),
         0)</f>
        <v>0</v>
      </c>
      <c r="BB126" s="352" t="n">
        <f aca="true">IF(AND($D126="Serviço",BB$12&lt;&gt;0,$H126&gt;0,OR(AUTOEVENTO&lt;&gt;"manual",$M126&lt;&gt;$A$15)),
        IF(Import.TipoArredondamento&lt;&gt;"TransfereGOV",
              ROUND(OFFSET($P126,0,BB$13),15-13*ORÇAMENTO!$AF$7)/$H126*OFFSET(ORÇAMENTO!$X$15,ROW(BB126)-ROW(BB$15),0),
              ROUND(ROUND(OFFSET($P126,0,BB$13),15-13*ORÇAMENTO!$AF$7)*OFFSET(ORÇAMENTO!$W$15,ROW(BB126)-ROW(BB$15),0),15-13*ORÇAMENTO!$AF$11)),
         0)</f>
        <v>0</v>
      </c>
      <c r="BC126" s="352" t="n">
        <f aca="true">IF(AND($D126="Serviço",BC$12&lt;&gt;0,$H126&gt;0,OR(AUTOEVENTO&lt;&gt;"manual",$M126&lt;&gt;$A$15)),
        IF(Import.TipoArredondamento&lt;&gt;"TransfereGOV",
              ROUND(OFFSET($P126,0,BC$13),15-13*ORÇAMENTO!$AF$7)/$H126*OFFSET(ORÇAMENTO!$X$15,ROW(BC126)-ROW(BC$15),0),
              ROUND(ROUND(OFFSET($P126,0,BC$13),15-13*ORÇAMENTO!$AF$7)*OFFSET(ORÇAMENTO!$W$15,ROW(BC126)-ROW(BC$15),0),15-13*ORÇAMENTO!$AF$11)),
         0)</f>
        <v>0</v>
      </c>
      <c r="BD126" s="352" t="n">
        <f aca="true">IF(AND($D126="Serviço",BD$12&lt;&gt;0,$H126&gt;0,OR(AUTOEVENTO&lt;&gt;"manual",$M126&lt;&gt;$A$15)),
        IF(Import.TipoArredondamento&lt;&gt;"TransfereGOV",
              ROUND(OFFSET($P126,0,BD$13),15-13*ORÇAMENTO!$AF$7)/$H126*OFFSET(ORÇAMENTO!$X$15,ROW(BD126)-ROW(BD$15),0),
              ROUND(ROUND(OFFSET($P126,0,BD$13),15-13*ORÇAMENTO!$AF$7)*OFFSET(ORÇAMENTO!$W$15,ROW(BD126)-ROW(BD$15),0),15-13*ORÇAMENTO!$AF$11)),
         0)</f>
        <v>0</v>
      </c>
      <c r="BE126" s="352" t="n">
        <f aca="true">IF(AND($D126="Serviço",BE$12&lt;&gt;0,$H126&gt;0,OR(AUTOEVENTO&lt;&gt;"manual",$M126&lt;&gt;$A$15)),
        IF(Import.TipoArredondamento&lt;&gt;"TransfereGOV",
              ROUND(OFFSET($P126,0,BE$13),15-13*ORÇAMENTO!$AF$7)/$H126*OFFSET(ORÇAMENTO!$X$15,ROW(BE126)-ROW(BE$15),0),
              ROUND(ROUND(OFFSET($P126,0,BE$13),15-13*ORÇAMENTO!$AF$7)*OFFSET(ORÇAMENTO!$W$15,ROW(BE126)-ROW(BE$15),0),15-13*ORÇAMENTO!$AF$11)),
         0)</f>
        <v>0</v>
      </c>
      <c r="BF126" s="352" t="n">
        <f aca="true">IF(AND($D126="Serviço",BF$12&lt;&gt;0,$H126&gt;0,OR(AUTOEVENTO&lt;&gt;"manual",$M126&lt;&gt;$A$15)),
        IF(Import.TipoArredondamento&lt;&gt;"TransfereGOV",
              ROUND(OFFSET($P126,0,BF$13),15-13*ORÇAMENTO!$AF$7)/$H126*OFFSET(ORÇAMENTO!$X$15,ROW(BF126)-ROW(BF$15),0),
              ROUND(ROUND(OFFSET($P126,0,BF$13),15-13*ORÇAMENTO!$AF$7)*OFFSET(ORÇAMENTO!$W$15,ROW(BF126)-ROW(BF$15),0),15-13*ORÇAMENTO!$AF$11)),
         0)</f>
        <v>0</v>
      </c>
      <c r="BG126" s="352" t="n">
        <f aca="true">IF(AND($D126="Serviço",BG$12&lt;&gt;0,$H126&gt;0,OR(AUTOEVENTO&lt;&gt;"manual",$M126&lt;&gt;$A$15)),
        IF(Import.TipoArredondamento&lt;&gt;"TransfereGOV",
              ROUND(OFFSET($P126,0,BG$13),15-13*ORÇAMENTO!$AF$7)/$H126*OFFSET(ORÇAMENTO!$X$15,ROW(BG126)-ROW(BG$15),0),
              ROUND(ROUND(OFFSET($P126,0,BG$13),15-13*ORÇAMENTO!$AF$7)*OFFSET(ORÇAMENTO!$W$15,ROW(BG126)-ROW(BG$15),0),15-13*ORÇAMENTO!$AF$11)),
         0)</f>
        <v>0</v>
      </c>
      <c r="BH126" s="352" t="n">
        <f aca="true">IF(AND($D126="Serviço",BH$12&lt;&gt;0,$H126&gt;0,OR(AUTOEVENTO&lt;&gt;"manual",$M126&lt;&gt;$A$15)),
        IF(Import.TipoArredondamento&lt;&gt;"TransfereGOV",
              ROUND(OFFSET($P126,0,BH$13),15-13*ORÇAMENTO!$AF$7)/$H126*OFFSET(ORÇAMENTO!$X$15,ROW(BH126)-ROW(BH$15),0),
              ROUND(ROUND(OFFSET($P126,0,BH$13),15-13*ORÇAMENTO!$AF$7)*OFFSET(ORÇAMENTO!$W$15,ROW(BH126)-ROW(BH$15),0),15-13*ORÇAMENTO!$AF$11)),
         0)</f>
        <v>0</v>
      </c>
      <c r="BI126" s="352" t="n">
        <f aca="true">IF(AND($D126="Serviço",BI$12&lt;&gt;0,$H126&gt;0,OR(AUTOEVENTO&lt;&gt;"manual",$M126&lt;&gt;$A$15)),
        IF(Import.TipoArredondamento&lt;&gt;"TransfereGOV",
              ROUND(OFFSET($P126,0,BI$13),15-13*ORÇAMENTO!$AF$7)/$H126*OFFSET(ORÇAMENTO!$X$15,ROW(BI126)-ROW(BI$15),0),
              ROUND(ROUND(OFFSET($P126,0,BI$13),15-13*ORÇAMENTO!$AF$7)*OFFSET(ORÇAMENTO!$W$15,ROW(BI126)-ROW(BI$15),0),15-13*ORÇAMENTO!$AF$11)),
         0)</f>
        <v>0</v>
      </c>
      <c r="BJ126" s="352" t="n">
        <f aca="true">IF(AND($D126="Serviço",BJ$12&lt;&gt;0,$H126&gt;0,OR(AUTOEVENTO&lt;&gt;"manual",$M126&lt;&gt;$A$15)),
        IF(Import.TipoArredondamento&lt;&gt;"TransfereGOV",
              ROUND(OFFSET($P126,0,BJ$13),15-13*ORÇAMENTO!$AF$7)/$H126*OFFSET(ORÇAMENTO!$X$15,ROW(BJ126)-ROW(BJ$15),0),
              ROUND(ROUND(OFFSET($P126,0,BJ$13),15-13*ORÇAMENTO!$AF$7)*OFFSET(ORÇAMENTO!$W$15,ROW(BJ126)-ROW(BJ$15),0),15-13*ORÇAMENTO!$AF$11)),
         0)</f>
        <v>0</v>
      </c>
      <c r="BK126" s="352" t="n">
        <f aca="true">IF(AND($D126="Serviço",BK$12&lt;&gt;0,$H126&gt;0,OR(AUTOEVENTO&lt;&gt;"manual",$M126&lt;&gt;$A$15)),
        IF(Import.TipoArredondamento&lt;&gt;"TransfereGOV",
              ROUND(OFFSET($P126,0,BK$13),15-13*ORÇAMENTO!$AF$7)/$H126*OFFSET(ORÇAMENTO!$X$15,ROW(BK126)-ROW(BK$15),0),
              ROUND(ROUND(OFFSET($P126,0,BK$13),15-13*ORÇAMENTO!$AF$7)*OFFSET(ORÇAMENTO!$W$15,ROW(BK126)-ROW(BK$15),0),15-13*ORÇAMENTO!$AF$11)),
         0)</f>
        <v>0</v>
      </c>
      <c r="BL126" s="352" t="n">
        <f aca="true">IF(AND($D126="Serviço",BL$12&lt;&gt;0,$H126&gt;0,OR(AUTOEVENTO&lt;&gt;"manual",$M126&lt;&gt;$A$15)),
        IF(Import.TipoArredondamento&lt;&gt;"TransfereGOV",
              ROUND(OFFSET($P126,0,BL$13),15-13*ORÇAMENTO!$AF$7)/$H126*OFFSET(ORÇAMENTO!$X$15,ROW(BL126)-ROW(BL$15),0),
              ROUND(ROUND(OFFSET($P126,0,BL$13),15-13*ORÇAMENTO!$AF$7)*OFFSET(ORÇAMENTO!$W$15,ROW(BL126)-ROW(BL$15),0),15-13*ORÇAMENTO!$AF$11)),
         0)</f>
        <v>0</v>
      </c>
      <c r="BM126" s="352" t="n">
        <f aca="true">IF(AND($D126="Serviço",BM$12&lt;&gt;0,$H126&gt;0,OR(AUTOEVENTO&lt;&gt;"manual",$M126&lt;&gt;$A$15)),
        IF(Import.TipoArredondamento&lt;&gt;"TransfereGOV",
              ROUND(OFFSET($P126,0,BM$13),15-13*ORÇAMENTO!$AF$7)/$H126*OFFSET(ORÇAMENTO!$X$15,ROW(BM126)-ROW(BM$15),0),
              ROUND(ROUND(OFFSET($P126,0,BM$13),15-13*ORÇAMENTO!$AF$7)*OFFSET(ORÇAMENTO!$W$15,ROW(BM126)-ROW(BM$15),0),15-13*ORÇAMENTO!$AF$11)),
         0)</f>
        <v>0</v>
      </c>
      <c r="BN126" s="352" t="n">
        <f aca="true">IF(AND($D126="Serviço",BN$12&lt;&gt;0,$H126&gt;0,OR(AUTOEVENTO&lt;&gt;"manual",$M126&lt;&gt;$A$15)),
        IF(Import.TipoArredondamento&lt;&gt;"TransfereGOV",
              ROUND(OFFSET($P126,0,BN$13),15-13*ORÇAMENTO!$AF$7)/$H126*OFFSET(ORÇAMENTO!$X$15,ROW(BN126)-ROW(BN$15),0),
              ROUND(ROUND(OFFSET($P126,0,BN$13),15-13*ORÇAMENTO!$AF$7)*OFFSET(ORÇAMENTO!$W$15,ROW(BN126)-ROW(BN$15),0),15-13*ORÇAMENTO!$AF$11)),
         0)</f>
        <v>0</v>
      </c>
      <c r="BO126" s="352" t="n">
        <f aca="true">IF(AND($D126="Serviço",BO$12&lt;&gt;0,$H126&gt;0,OR(AUTOEVENTO&lt;&gt;"manual",$M126&lt;&gt;$A$15)),
        IF(Import.TipoArredondamento&lt;&gt;"TransfereGOV",
              ROUND(OFFSET($P126,0,BO$13),15-13*ORÇAMENTO!$AF$7)/$H126*OFFSET(ORÇAMENTO!$X$15,ROW(BO126)-ROW(BO$15),0),
              ROUND(ROUND(OFFSET($P126,0,BO$13),15-13*ORÇAMENTO!$AF$7)*OFFSET(ORÇAMENTO!$W$15,ROW(BO126)-ROW(BO$15),0),15-13*ORÇAMENTO!$AF$11)),
         0)</f>
        <v>0</v>
      </c>
      <c r="BP126" s="352" t="n">
        <f aca="true">IF(AND($D126="Serviço",BP$12&lt;&gt;0,$H126&gt;0,OR(AUTOEVENTO&lt;&gt;"manual",$M126&lt;&gt;$A$15)),
        IF(Import.TipoArredondamento&lt;&gt;"TransfereGOV",
              ROUND(OFFSET($P126,0,BP$13),15-13*ORÇAMENTO!$AF$7)/$H126*OFFSET(ORÇAMENTO!$X$15,ROW(BP126)-ROW(BP$15),0),
              ROUND(ROUND(OFFSET($P126,0,BP$13),15-13*ORÇAMENTO!$AF$7)*OFFSET(ORÇAMENTO!$W$15,ROW(BP126)-ROW(BP$15),0),15-13*ORÇAMENTO!$AF$11)),
         0)</f>
        <v>0</v>
      </c>
      <c r="BQ126" s="352" t="n">
        <f aca="true">IF(AND($D126="Serviço",BQ$12&lt;&gt;0,$H126&gt;0,OR(AUTOEVENTO&lt;&gt;"manual",$M126&lt;&gt;$A$15)),
        IF(Import.TipoArredondamento&lt;&gt;"TransfereGOV",
              ROUND(OFFSET($P126,0,BQ$13),15-13*ORÇAMENTO!$AF$7)/$H126*OFFSET(ORÇAMENTO!$X$15,ROW(BQ126)-ROW(BQ$15),0),
              ROUND(ROUND(OFFSET($P126,0,BQ$13),15-13*ORÇAMENTO!$AF$7)*OFFSET(ORÇAMENTO!$W$15,ROW(BQ126)-ROW(BQ$15),0),15-13*ORÇAMENTO!$AF$11)),
         0)</f>
        <v>0</v>
      </c>
      <c r="BS126" s="353" t="n">
        <f aca="true">IF(OR($D126&lt;&gt;"Serviço",AND(AUTOEVENTO="Manual",$M126=$A$15)),0,
         IF(OFFSET(CRONOPLE!$F$15,$M126-$A$15,BS$13)=0,10^12,OFFSET(CRONOPLE!$F$15,$M126-$A$15,BS$13)))</f>
        <v>0</v>
      </c>
      <c r="BT126" s="353" t="n">
        <f aca="true">IF(OR($D126&lt;&gt;"Serviço",AND(AUTOEVENTO="Manual",$M126=$A$15)),0,
         IF(OFFSET(CRONOPLE!$F$15,$M126-$A$15,BT$13)=0,10^12,OFFSET(CRONOPLE!$F$15,$M126-$A$15,BT$13)))</f>
        <v>0</v>
      </c>
      <c r="BU126" s="353" t="n">
        <f aca="true">IF(OR($D126&lt;&gt;"Serviço",AND(AUTOEVENTO="Manual",$M126=$A$15)),0,
         IF(OFFSET(CRONOPLE!$F$15,$M126-$A$15,BU$13)=0,10^12,OFFSET(CRONOPLE!$F$15,$M126-$A$15,BU$13)))</f>
        <v>0</v>
      </c>
      <c r="BV126" s="353" t="n">
        <f aca="true">IF(OR($D126&lt;&gt;"Serviço",AND(AUTOEVENTO="Manual",$M126=$A$15)),0,
         IF(OFFSET(CRONOPLE!$F$15,$M126-$A$15,BV$13)=0,10^12,OFFSET(CRONOPLE!$F$15,$M126-$A$15,BV$13)))</f>
        <v>0</v>
      </c>
      <c r="BW126" s="353" t="n">
        <f aca="true">IF(OR($D126&lt;&gt;"Serviço",AND(AUTOEVENTO="Manual",$M126=$A$15)),0,
         IF(OFFSET(CRONOPLE!$F$15,$M126-$A$15,BW$13)=0,10^12,OFFSET(CRONOPLE!$F$15,$M126-$A$15,BW$13)))</f>
        <v>0</v>
      </c>
      <c r="BX126" s="353" t="n">
        <f aca="true">IF(OR($D126&lt;&gt;"Serviço",AND(AUTOEVENTO="Manual",$M126=$A$15)),0,
         IF(OFFSET(CRONOPLE!$F$15,$M126-$A$15,BX$13)=0,10^12,OFFSET(CRONOPLE!$F$15,$M126-$A$15,BX$13)))</f>
        <v>0</v>
      </c>
      <c r="BY126" s="353" t="n">
        <f aca="true">IF(OR($D126&lt;&gt;"Serviço",AND(AUTOEVENTO="Manual",$M126=$A$15)),0,
         IF(OFFSET(CRONOPLE!$F$15,$M126-$A$15,BY$13)=0,10^12,OFFSET(CRONOPLE!$F$15,$M126-$A$15,BY$13)))</f>
        <v>0</v>
      </c>
      <c r="BZ126" s="353" t="n">
        <f aca="true">IF(OR($D126&lt;&gt;"Serviço",AND(AUTOEVENTO="Manual",$M126=$A$15)),0,
         IF(OFFSET(CRONOPLE!$F$15,$M126-$A$15,BZ$13)=0,10^12,OFFSET(CRONOPLE!$F$15,$M126-$A$15,BZ$13)))</f>
        <v>0</v>
      </c>
      <c r="CA126" s="353" t="n">
        <f aca="true">IF(OR($D126&lt;&gt;"Serviço",AND(AUTOEVENTO="Manual",$M126=$A$15)),0,
         IF(OFFSET(CRONOPLE!$F$15,$M126-$A$15,CA$13)=0,10^12,OFFSET(CRONOPLE!$F$15,$M126-$A$15,CA$13)))</f>
        <v>0</v>
      </c>
      <c r="CB126" s="353" t="n">
        <f aca="true">IF(OR($D126&lt;&gt;"Serviço",AND(AUTOEVENTO="Manual",$M126=$A$15)),0,
         IF(OFFSET(CRONOPLE!$F$15,$M126-$A$15,CB$13)=0,10^12,OFFSET(CRONOPLE!$F$15,$M126-$A$15,CB$13)))</f>
        <v>0</v>
      </c>
      <c r="CC126" s="353" t="n">
        <f aca="true">IF(OR($D126&lt;&gt;"Serviço",AND(AUTOEVENTO="Manual",$M126=$A$15)),0,
         IF(OFFSET(CRONOPLE!$F$15,$M126-$A$15,CC$13)=0,10^12,OFFSET(CRONOPLE!$F$15,$M126-$A$15,CC$13)))</f>
        <v>0</v>
      </c>
      <c r="CD126" s="353" t="n">
        <f aca="true">IF(OR($D126&lt;&gt;"Serviço",AND(AUTOEVENTO="Manual",$M126=$A$15)),0,
         IF(OFFSET(CRONOPLE!$F$15,$M126-$A$15,CD$13)=0,10^12,OFFSET(CRONOPLE!$F$15,$M126-$A$15,CD$13)))</f>
        <v>0</v>
      </c>
      <c r="CE126" s="353" t="n">
        <f aca="true">IF(OR($D126&lt;&gt;"Serviço",AND(AUTOEVENTO="Manual",$M126=$A$15)),0,
         IF(OFFSET(CRONOPLE!$F$15,$M126-$A$15,CE$13)=0,10^12,OFFSET(CRONOPLE!$F$15,$M126-$A$15,CE$13)))</f>
        <v>0</v>
      </c>
      <c r="CF126" s="353" t="n">
        <f aca="true">IF(OR($D126&lt;&gt;"Serviço",AND(AUTOEVENTO="Manual",$M126=$A$15)),0,
         IF(OFFSET(CRONOPLE!$F$15,$M126-$A$15,CF$13)=0,10^12,OFFSET(CRONOPLE!$F$15,$M126-$A$15,CF$13)))</f>
        <v>0</v>
      </c>
      <c r="CG126" s="353" t="n">
        <f aca="true">IF(OR($D126&lt;&gt;"Serviço",AND(AUTOEVENTO="Manual",$M126=$A$15)),0,
         IF(OFFSET(CRONOPLE!$F$15,$M126-$A$15,CG$13)=0,10^12,OFFSET(CRONOPLE!$F$15,$M126-$A$15,CG$13)))</f>
        <v>0</v>
      </c>
      <c r="CH126" s="353" t="n">
        <f aca="true">IF(OR($D126&lt;&gt;"Serviço",AND(AUTOEVENTO="Manual",$M126=$A$15)),0,
         IF(OFFSET(CRONOPLE!$F$15,$M126-$A$15,CH$13)=0,10^12,OFFSET(CRONOPLE!$F$15,$M126-$A$15,CH$13)))</f>
        <v>0</v>
      </c>
      <c r="CI126" s="353" t="n">
        <f aca="true">IF(OR($D126&lt;&gt;"Serviço",AND(AUTOEVENTO="Manual",$M126=$A$15)),0,
         IF(OFFSET(CRONOPLE!$F$15,$M126-$A$15,CI$13)=0,10^12,OFFSET(CRONOPLE!$F$15,$M126-$A$15,CI$13)))</f>
        <v>0</v>
      </c>
      <c r="CJ126" s="353" t="n">
        <f aca="true">IF(OR($D126&lt;&gt;"Serviço",AND(AUTOEVENTO="Manual",$M126=$A$15)),0,
         IF(OFFSET(CRONOPLE!$F$15,$M126-$A$15,CJ$13)=0,10^12,OFFSET(CRONOPLE!$F$15,$M126-$A$15,CJ$13)))</f>
        <v>0</v>
      </c>
      <c r="CK126" s="353" t="n">
        <f aca="true">IF(OR($D126&lt;&gt;"Serviço",AND(AUTOEVENTO="Manual",$M126=$A$15)),0,
         IF(OFFSET(CRONOPLE!$F$15,$M126-$A$15,CK$13)=0,10^12,OFFSET(CRONOPLE!$F$15,$M126-$A$15,CK$13)))</f>
        <v>0</v>
      </c>
      <c r="CL126" s="353" t="n">
        <f aca="true">IF(OR($D126&lt;&gt;"Serviço",AND(AUTOEVENTO="Manual",$M126=$A$15)),0,
         IF(OFFSET(CRONOPLE!$F$15,$M126-$A$15,CL$13)=0,10^12,OFFSET(CRONOPLE!$F$15,$M126-$A$15,CL$13)))</f>
        <v>0</v>
      </c>
      <c r="CM126" s="353" t="n">
        <f aca="true">IF(OR($D126&lt;&gt;"Serviço",AND(AUTOEVENTO="Manual",$M126=$A$15)),0,
         IF(OFFSET(CRONOPLE!$F$15,$M126-$A$15,CM$13)=0,10^12,OFFSET(CRONOPLE!$F$15,$M126-$A$15,CM$13)))</f>
        <v>0</v>
      </c>
      <c r="CN126" s="353" t="n">
        <f aca="true">IF(OR($D126&lt;&gt;"Serviço",AND(AUTOEVENTO="Manual",$M126=$A$15)),0,
         IF(OFFSET(CRONOPLE!$F$15,$M126-$A$15,CN$13)=0,10^12,OFFSET(CRONOPLE!$F$15,$M126-$A$15,CN$13)))</f>
        <v>0</v>
      </c>
      <c r="CO126" s="353" t="n">
        <f aca="true">IF(OR($D126&lt;&gt;"Serviço",AND(AUTOEVENTO="Manual",$M126=$A$15)),0,
         IF(OFFSET(CRONOPLE!$F$15,$M126-$A$15,CO$13)=0,10^12,OFFSET(CRONOPLE!$F$15,$M126-$A$15,CO$13)))</f>
        <v>0</v>
      </c>
      <c r="CP126" s="353" t="n">
        <f aca="true">IF(OR($D126&lt;&gt;"Serviço",AND(AUTOEVENTO="Manual",$M126=$A$15)),0,
         IF(OFFSET(CRONOPLE!$F$15,$M126-$A$15,CP$13)=0,10^12,OFFSET(CRONOPLE!$F$15,$M126-$A$15,CP$13)))</f>
        <v>0</v>
      </c>
      <c r="CQ126" s="353" t="n">
        <f aca="true">IF(OR($D126&lt;&gt;"Serviço",AND(AUTOEVENTO="Manual",$M126=$A$15)),0,
         IF(OFFSET(CRONOPLE!$F$15,$M126-$A$15,CQ$13)=0,10^12,OFFSET(CRONOPLE!$F$15,$M126-$A$15,CQ$13)))</f>
        <v>0</v>
      </c>
      <c r="CR126" s="353" t="n">
        <f aca="true">IF(OR($D126&lt;&gt;"Serviço",AND(AUTOEVENTO="Manual",$M126=$A$15)),0,
         IF(OFFSET(CRONOPLE!$F$15,$M126-$A$15,CR$13)=0,10^12,OFFSET(CRONOPLE!$F$15,$M126-$A$15,CR$13)))</f>
        <v>0</v>
      </c>
      <c r="CT126" s="354" t="n">
        <f aca="true">IF(OR($D126&lt;&gt;"Serviço",AND(AUTOEVENTO="Manual",$M126=$A$15),$M126&gt;(ROW(PLE.lastrow)-ROW(PLE.firstrow))),0,
           IF(OFFSET(PLE!$G$15,$M126-$A$15,CT$13)="",10^12,OFFSET(PLE!$G$15,$M126-$A$15,CT$13)))</f>
        <v>0</v>
      </c>
      <c r="CU126" s="354" t="n">
        <f aca="true">IF(OR($D126&lt;&gt;"Serviço",AND(AUTOEVENTO="Manual",$M126=$A$15),$M126&gt;(ROW(PLE.lastrow)-ROW(PLE.firstrow))),0,
           IF(OFFSET(PLE!$G$15,$M126-$A$15,CU$13)="",10^12,OFFSET(PLE!$G$15,$M126-$A$15,CU$13)))</f>
        <v>0</v>
      </c>
      <c r="CV126" s="354" t="n">
        <f aca="true">IF(OR($D126&lt;&gt;"Serviço",AND(AUTOEVENTO="Manual",$M126=$A$15),$M126&gt;(ROW(PLE.lastrow)-ROW(PLE.firstrow))),0,
           IF(OFFSET(PLE!$G$15,$M126-$A$15,CV$13)="",10^12,OFFSET(PLE!$G$15,$M126-$A$15,CV$13)))</f>
        <v>0</v>
      </c>
      <c r="CW126" s="354" t="n">
        <f aca="true">IF(OR($D126&lt;&gt;"Serviço",AND(AUTOEVENTO="Manual",$M126=$A$15),$M126&gt;(ROW(PLE.lastrow)-ROW(PLE.firstrow))),0,
           IF(OFFSET(PLE!$G$15,$M126-$A$15,CW$13)="",10^12,OFFSET(PLE!$G$15,$M126-$A$15,CW$13)))</f>
        <v>0</v>
      </c>
      <c r="CX126" s="354" t="n">
        <f aca="true">IF(OR($D126&lt;&gt;"Serviço",AND(AUTOEVENTO="Manual",$M126=$A$15),$M126&gt;(ROW(PLE.lastrow)-ROW(PLE.firstrow))),0,
           IF(OFFSET(PLE!$G$15,$M126-$A$15,CX$13)="",10^12,OFFSET(PLE!$G$15,$M126-$A$15,CX$13)))</f>
        <v>0</v>
      </c>
      <c r="CY126" s="354" t="n">
        <f aca="true">IF(OR($D126&lt;&gt;"Serviço",AND(AUTOEVENTO="Manual",$M126=$A$15),$M126&gt;(ROW(PLE.lastrow)-ROW(PLE.firstrow))),0,
           IF(OFFSET(PLE!$G$15,$M126-$A$15,CY$13)="",10^12,OFFSET(PLE!$G$15,$M126-$A$15,CY$13)))</f>
        <v>0</v>
      </c>
      <c r="CZ126" s="354" t="n">
        <f aca="true">IF(OR($D126&lt;&gt;"Serviço",AND(AUTOEVENTO="Manual",$M126=$A$15),$M126&gt;(ROW(PLE.lastrow)-ROW(PLE.firstrow))),0,
           IF(OFFSET(PLE!$G$15,$M126-$A$15,CZ$13)="",10^12,OFFSET(PLE!$G$15,$M126-$A$15,CZ$13)))</f>
        <v>0</v>
      </c>
      <c r="DA126" s="354" t="n">
        <f aca="true">IF(OR($D126&lt;&gt;"Serviço",AND(AUTOEVENTO="Manual",$M126=$A$15),$M126&gt;(ROW(PLE.lastrow)-ROW(PLE.firstrow))),0,
           IF(OFFSET(PLE!$G$15,$M126-$A$15,DA$13)="",10^12,OFFSET(PLE!$G$15,$M126-$A$15,DA$13)))</f>
        <v>0</v>
      </c>
      <c r="DB126" s="354" t="n">
        <f aca="true">IF(OR($D126&lt;&gt;"Serviço",AND(AUTOEVENTO="Manual",$M126=$A$15),$M126&gt;(ROW(PLE.lastrow)-ROW(PLE.firstrow))),0,
           IF(OFFSET(PLE!$G$15,$M126-$A$15,DB$13)="",10^12,OFFSET(PLE!$G$15,$M126-$A$15,DB$13)))</f>
        <v>0</v>
      </c>
      <c r="DC126" s="354" t="n">
        <f aca="true">IF(OR($D126&lt;&gt;"Serviço",AND(AUTOEVENTO="Manual",$M126=$A$15),$M126&gt;(ROW(PLE.lastrow)-ROW(PLE.firstrow))),0,
           IF(OFFSET(PLE!$G$15,$M126-$A$15,DC$13)="",10^12,OFFSET(PLE!$G$15,$M126-$A$15,DC$13)))</f>
        <v>0</v>
      </c>
      <c r="DD126" s="354" t="n">
        <f aca="true">IF(OR($D126&lt;&gt;"Serviço",AND(AUTOEVENTO="Manual",$M126=$A$15),$M126&gt;(ROW(PLE.lastrow)-ROW(PLE.firstrow))),0,
           IF(OFFSET(PLE!$G$15,$M126-$A$15,DD$13)="",10^12,OFFSET(PLE!$G$15,$M126-$A$15,DD$13)))</f>
        <v>0</v>
      </c>
      <c r="DE126" s="354" t="n">
        <f aca="true">IF(OR($D126&lt;&gt;"Serviço",AND(AUTOEVENTO="Manual",$M126=$A$15),$M126&gt;(ROW(PLE.lastrow)-ROW(PLE.firstrow))),0,
           IF(OFFSET(PLE!$G$15,$M126-$A$15,DE$13)="",10^12,OFFSET(PLE!$G$15,$M126-$A$15,DE$13)))</f>
        <v>0</v>
      </c>
      <c r="DF126" s="354" t="n">
        <f aca="true">IF(OR($D126&lt;&gt;"Serviço",AND(AUTOEVENTO="Manual",$M126=$A$15),$M126&gt;(ROW(PLE.lastrow)-ROW(PLE.firstrow))),0,
           IF(OFFSET(PLE!$G$15,$M126-$A$15,DF$13)="",10^12,OFFSET(PLE!$G$15,$M126-$A$15,DF$13)))</f>
        <v>0</v>
      </c>
      <c r="DG126" s="354" t="n">
        <f aca="true">IF(OR($D126&lt;&gt;"Serviço",AND(AUTOEVENTO="Manual",$M126=$A$15),$M126&gt;(ROW(PLE.lastrow)-ROW(PLE.firstrow))),0,
           IF(OFFSET(PLE!$G$15,$M126-$A$15,DG$13)="",10^12,OFFSET(PLE!$G$15,$M126-$A$15,DG$13)))</f>
        <v>0</v>
      </c>
      <c r="DH126" s="354" t="n">
        <f aca="true">IF(OR($D126&lt;&gt;"Serviço",AND(AUTOEVENTO="Manual",$M126=$A$15),$M126&gt;(ROW(PLE.lastrow)-ROW(PLE.firstrow))),0,
           IF(OFFSET(PLE!$G$15,$M126-$A$15,DH$13)="",10^12,OFFSET(PLE!$G$15,$M126-$A$15,DH$13)))</f>
        <v>0</v>
      </c>
      <c r="DI126" s="354" t="n">
        <f aca="true">IF(OR($D126&lt;&gt;"Serviço",AND(AUTOEVENTO="Manual",$M126=$A$15),$M126&gt;(ROW(PLE.lastrow)-ROW(PLE.firstrow))),0,
           IF(OFFSET(PLE!$G$15,$M126-$A$15,DI$13)="",10^12,OFFSET(PLE!$G$15,$M126-$A$15,DI$13)))</f>
        <v>0</v>
      </c>
      <c r="DJ126" s="354" t="n">
        <f aca="true">IF(OR($D126&lt;&gt;"Serviço",AND(AUTOEVENTO="Manual",$M126=$A$15),$M126&gt;(ROW(PLE.lastrow)-ROW(PLE.firstrow))),0,
           IF(OFFSET(PLE!$G$15,$M126-$A$15,DJ$13)="",10^12,OFFSET(PLE!$G$15,$M126-$A$15,DJ$13)))</f>
        <v>0</v>
      </c>
      <c r="DK126" s="354" t="n">
        <f aca="true">IF(OR($D126&lt;&gt;"Serviço",AND(AUTOEVENTO="Manual",$M126=$A$15),$M126&gt;(ROW(PLE.lastrow)-ROW(PLE.firstrow))),0,
           IF(OFFSET(PLE!$G$15,$M126-$A$15,DK$13)="",10^12,OFFSET(PLE!$G$15,$M126-$A$15,DK$13)))</f>
        <v>0</v>
      </c>
      <c r="DL126" s="354" t="n">
        <f aca="true">IF(OR($D126&lt;&gt;"Serviço",AND(AUTOEVENTO="Manual",$M126=$A$15),$M126&gt;(ROW(PLE.lastrow)-ROW(PLE.firstrow))),0,
           IF(OFFSET(PLE!$G$15,$M126-$A$15,DL$13)="",10^12,OFFSET(PLE!$G$15,$M126-$A$15,DL$13)))</f>
        <v>0</v>
      </c>
      <c r="DM126" s="354" t="n">
        <f aca="true">IF(OR($D126&lt;&gt;"Serviço",AND(AUTOEVENTO="Manual",$M126=$A$15),$M126&gt;(ROW(PLE.lastrow)-ROW(PLE.firstrow))),0,
           IF(OFFSET(PLE!$G$15,$M126-$A$15,DM$13)="",10^12,OFFSET(PLE!$G$15,$M126-$A$15,DM$13)))</f>
        <v>0</v>
      </c>
      <c r="DN126" s="354" t="n">
        <f aca="true">IF(OR($D126&lt;&gt;"Serviço",AND(AUTOEVENTO="Manual",$M126=$A$15),$M126&gt;(ROW(PLE.lastrow)-ROW(PLE.firstrow))),0,
           IF(OFFSET(PLE!$G$15,$M126-$A$15,DN$13)="",10^12,OFFSET(PLE!$G$15,$M126-$A$15,DN$13)))</f>
        <v>0</v>
      </c>
      <c r="DO126" s="354" t="n">
        <f aca="true">IF(OR($D126&lt;&gt;"Serviço",AND(AUTOEVENTO="Manual",$M126=$A$15),$M126&gt;(ROW(PLE.lastrow)-ROW(PLE.firstrow))),0,
           IF(OFFSET(PLE!$G$15,$M126-$A$15,DO$13)="",10^12,OFFSET(PLE!$G$15,$M126-$A$15,DO$13)))</f>
        <v>0</v>
      </c>
      <c r="DP126" s="354" t="n">
        <f aca="true">IF(OR($D126&lt;&gt;"Serviço",AND(AUTOEVENTO="Manual",$M126=$A$15),$M126&gt;(ROW(PLE.lastrow)-ROW(PLE.firstrow))),0,
           IF(OFFSET(PLE!$G$15,$M126-$A$15,DP$13)="",10^12,OFFSET(PLE!$G$15,$M126-$A$15,DP$13)))</f>
        <v>0</v>
      </c>
      <c r="DQ126" s="354" t="n">
        <f aca="true">IF(OR($D126&lt;&gt;"Serviço",AND(AUTOEVENTO="Manual",$M126=$A$15),$M126&gt;(ROW(PLE.lastrow)-ROW(PLE.firstrow))),0,
           IF(OFFSET(PLE!$G$15,$M126-$A$15,DQ$13)="",10^12,OFFSET(PLE!$G$15,$M126-$A$15,DQ$13)))</f>
        <v>0</v>
      </c>
      <c r="DR126" s="354" t="n">
        <f aca="true">IF(OR($D126&lt;&gt;"Serviço",AND(AUTOEVENTO="Manual",$M126=$A$15),$M126&gt;(ROW(PLE.lastrow)-ROW(PLE.firstrow))),0,
           IF(OFFSET(PLE!$G$15,$M126-$A$15,DR$13)="",10^12,OFFSET(PLE!$G$15,$M126-$A$15,DR$13)))</f>
        <v>0</v>
      </c>
      <c r="DS126" s="354" t="n">
        <f aca="true">IF(OR($D126&lt;&gt;"Serviço",AND(AUTOEVENTO="Manual",$M126=$A$15),$M126&gt;(ROW(PLE.lastrow)-ROW(PLE.firstrow))),0,
           IF(OFFSET(PLE!$G$15,$M126-$A$15,DS$13)="",10^12,OFFSET(PLE!$G$15,$M126-$A$15,DS$13)))</f>
        <v>0</v>
      </c>
    </row>
    <row r="127" customFormat="false" ht="23.85" hidden="false" customHeight="false" outlineLevel="0" collapsed="false">
      <c r="A127" s="50" t="str">
        <f aca="true">IFERROR(IF(AUTOEVENTO="Manual",IF(K127&lt;&gt;"",MIN(VALUE(LEFT(K127,FIND(".",K127)-1)),COUNTA(EVENTOS.Lista)),0),IF(OR($B127&gt;AUTOEVENTO,$B127="S",$B127=0),SUBSTITUTE(OFFSET($A127,-1,0),IF($D127="Serviço",".",""),""),ROW(A127)-ROW($A$15)&amp;".")),0)</f>
        <v>111</v>
      </c>
      <c r="B127" s="50" t="str">
        <f aca="true">OFFSET(ORÇAMENTO!C$15,ROW(B127)-ROW(B$15),0)</f>
        <v>S</v>
      </c>
      <c r="C127" s="50" t="str">
        <f aca="true">OFFSET(ORÇAMENTO!L$15,ROW(C127)-ROW(C$15),0)</f>
        <v>F</v>
      </c>
      <c r="D127" s="201" t="str">
        <f aca="true">OFFSET(ORÇAMENTO!N$15,ROW(D127)-ROW(D$15),0)</f>
        <v>Serviço</v>
      </c>
      <c r="E127" s="202" t="str">
        <f aca="true">OFFSET(ORÇAMENTO!O$15,ROW(E127)-ROW(E$15),0)</f>
        <v>1.37.1.</v>
      </c>
      <c r="F127" s="341" t="str">
        <f aca="true">OFFSET(ORÇAMENTO!R$15,ROW(F127)-ROW(F$15),0)</f>
        <v>LUMINÁRIA TIPO PLAFON CIRCULAR, DE SOBREPOR, COM LED DE 12/13 W - FORNECIMENTO E INSTALAÇÃO. AF_09/2024</v>
      </c>
      <c r="G127" s="342" t="str">
        <f aca="true">IF($D127&lt;&gt;"Serviço","",OFFSET(ORÇAMENTO!S$15,ROW(G127)-ROW(G$15),0))</f>
        <v>UN</v>
      </c>
      <c r="H127" s="207" t="n">
        <f aca="true">IF($D127&lt;&gt;"Serviço",0,IF(ACOMPANHAMENTO="BM",ROUND(OFFSET(ORÇAMENTO!AJ$15,ROW(H127)-ROW(H$15),0),15-13*ORÇAMENTO!$AF$7),SUMPRODUCT(($Q$1:$AQ$1=1)*ROUND($Q127:$AQ127,15-13*ORÇAMENTO!$AF$7))))</f>
        <v>200</v>
      </c>
      <c r="I127" s="343" t="s">
        <v>971</v>
      </c>
      <c r="J127" s="344" t="e">
        <f aca="false">IF(OR(B127&lt;&gt;"S",CÁLCULO.FrentesPreenchidas=0),"",IF(AND(ACOMPANHAMENTO="PLE",AUTOEVENTO="Manual",OR(H127&gt;0,ORÇAMENTO!AC127="QUANT."),OR(K127="",M127=0,N127="")),"►",IF(AND(ACOMPANHAMENTO="PLE",ORÇAMENTO!AC127="QUANT."),"►►",IF(AND(COUNTIF($P$11:$AQ$11,"▼")=0,H127&gt;0,I127=""),"◄",""))))</f>
        <v>#NAME?</v>
      </c>
      <c r="K127" s="345"/>
      <c r="L127" s="346" t="s">
        <v>876</v>
      </c>
      <c r="M127" s="347" t="n">
        <f aca="true">IF($D127&lt;&gt;"Serviço","",
          IF(AUTOEVENTO="manual",$A127,
                IF(ISERROR(MATCH($A127,$A$15:OFFSET($A127,-1,0),0)),MAX($M$15:OFFSET(M127,-1,0))+1,
                      INDEX($M$15:OFFSET(M127,-1,0),MATCH($A127,$A$15:OFFSET($A127,-1,0),0)))))</f>
        <v>22</v>
      </c>
      <c r="N127" s="348" t="str">
        <f aca="true">IF($D127&lt;&gt;"Serviço","",
         IF(AUTOEVENTO="Manual",
                IF($A127=0,"&lt;-- defina o número do agrupador",
                       OFFSET(EVENTOS!$D$15,$A127-$A$15,0)),
                OFFSET($F$15,$A127,0)))</f>
        <v>ILUMINAÇÃO, TOMADAS E INTERRUPTORES</v>
      </c>
      <c r="O127" s="349"/>
      <c r="Q127" s="349" t="n">
        <v>8</v>
      </c>
      <c r="R127" s="350" t="n">
        <f aca="false">Q127</f>
        <v>8</v>
      </c>
      <c r="S127" s="350" t="n">
        <f aca="false">R127</f>
        <v>8</v>
      </c>
      <c r="T127" s="350" t="n">
        <f aca="false">S127</f>
        <v>8</v>
      </c>
      <c r="U127" s="350" t="n">
        <f aca="false">T127</f>
        <v>8</v>
      </c>
      <c r="V127" s="350" t="n">
        <f aca="false">U127</f>
        <v>8</v>
      </c>
      <c r="W127" s="350" t="n">
        <f aca="false">V127</f>
        <v>8</v>
      </c>
      <c r="X127" s="350" t="n">
        <f aca="false">W127</f>
        <v>8</v>
      </c>
      <c r="Y127" s="350" t="n">
        <f aca="false">X127</f>
        <v>8</v>
      </c>
      <c r="Z127" s="351" t="n">
        <f aca="false">Y127</f>
        <v>8</v>
      </c>
      <c r="AA127" s="350" t="n">
        <f aca="false">Z127</f>
        <v>8</v>
      </c>
      <c r="AB127" s="350" t="n">
        <f aca="false">AA127</f>
        <v>8</v>
      </c>
      <c r="AC127" s="350" t="n">
        <f aca="false">AB127</f>
        <v>8</v>
      </c>
      <c r="AD127" s="350" t="n">
        <f aca="false">AC127</f>
        <v>8</v>
      </c>
      <c r="AE127" s="350" t="n">
        <f aca="false">AD127</f>
        <v>8</v>
      </c>
      <c r="AF127" s="350" t="n">
        <f aca="false">AE127</f>
        <v>8</v>
      </c>
      <c r="AG127" s="350" t="n">
        <f aca="false">AF127</f>
        <v>8</v>
      </c>
      <c r="AH127" s="351" t="n">
        <f aca="false">AG127</f>
        <v>8</v>
      </c>
      <c r="AI127" s="350" t="n">
        <f aca="false">AH127</f>
        <v>8</v>
      </c>
      <c r="AJ127" s="350" t="n">
        <f aca="false">AI127</f>
        <v>8</v>
      </c>
      <c r="AK127" s="350" t="n">
        <f aca="false">AJ127</f>
        <v>8</v>
      </c>
      <c r="AL127" s="350" t="n">
        <f aca="false">AK127</f>
        <v>8</v>
      </c>
      <c r="AM127" s="350" t="n">
        <f aca="false">AL127</f>
        <v>8</v>
      </c>
      <c r="AN127" s="350" t="n">
        <f aca="false">AM127</f>
        <v>8</v>
      </c>
      <c r="AO127" s="350" t="n">
        <f aca="false">AN127</f>
        <v>8</v>
      </c>
      <c r="AP127" s="351"/>
      <c r="AR127" s="352" t="n">
        <f aca="true">IF(AND($D127="Serviço",AR$12&lt;&gt;0,$H127&gt;0,OR(AUTOEVENTO&lt;&gt;"manual",$M127&lt;&gt;$A$15)),
        IF(Import.TipoArredondamento&lt;&gt;"TransfereGOV",
              ROUND(OFFSET($P127,0,AR$13),15-13*ORÇAMENTO!$AF$7)/$H127*OFFSET(ORÇAMENTO!$X$15,ROW(AR127)-ROW(AR$15),0),
              ROUND(ROUND(OFFSET($P127,0,AR$13),15-13*ORÇAMENTO!$AF$7)*OFFSET(ORÇAMENTO!$W$15,ROW(AR127)-ROW(AR$15),0),15-13*ORÇAMENTO!$AF$11)),
         0)</f>
        <v>299.44</v>
      </c>
      <c r="AS127" s="352" t="n">
        <f aca="true">IF(AND($D127="Serviço",AS$12&lt;&gt;0,$H127&gt;0,OR(AUTOEVENTO&lt;&gt;"manual",$M127&lt;&gt;$A$15)),
        IF(Import.TipoArredondamento&lt;&gt;"TransfereGOV",
              ROUND(OFFSET($P127,0,AS$13),15-13*ORÇAMENTO!$AF$7)/$H127*OFFSET(ORÇAMENTO!$X$15,ROW(AS127)-ROW(AS$15),0),
              ROUND(ROUND(OFFSET($P127,0,AS$13),15-13*ORÇAMENTO!$AF$7)*OFFSET(ORÇAMENTO!$W$15,ROW(AS127)-ROW(AS$15),0),15-13*ORÇAMENTO!$AF$11)),
         0)</f>
        <v>299.44</v>
      </c>
      <c r="AT127" s="352" t="n">
        <f aca="true">IF(AND($D127="Serviço",AT$12&lt;&gt;0,$H127&gt;0,OR(AUTOEVENTO&lt;&gt;"manual",$M127&lt;&gt;$A$15)),
        IF(Import.TipoArredondamento&lt;&gt;"TransfereGOV",
              ROUND(OFFSET($P127,0,AT$13),15-13*ORÇAMENTO!$AF$7)/$H127*OFFSET(ORÇAMENTO!$X$15,ROW(AT127)-ROW(AT$15),0),
              ROUND(ROUND(OFFSET($P127,0,AT$13),15-13*ORÇAMENTO!$AF$7)*OFFSET(ORÇAMENTO!$W$15,ROW(AT127)-ROW(AT$15),0),15-13*ORÇAMENTO!$AF$11)),
         0)</f>
        <v>299.44</v>
      </c>
      <c r="AU127" s="352" t="n">
        <f aca="true">IF(AND($D127="Serviço",AU$12&lt;&gt;0,$H127&gt;0,OR(AUTOEVENTO&lt;&gt;"manual",$M127&lt;&gt;$A$15)),
        IF(Import.TipoArredondamento&lt;&gt;"TransfereGOV",
              ROUND(OFFSET($P127,0,AU$13),15-13*ORÇAMENTO!$AF$7)/$H127*OFFSET(ORÇAMENTO!$X$15,ROW(AU127)-ROW(AU$15),0),
              ROUND(ROUND(OFFSET($P127,0,AU$13),15-13*ORÇAMENTO!$AF$7)*OFFSET(ORÇAMENTO!$W$15,ROW(AU127)-ROW(AU$15),0),15-13*ORÇAMENTO!$AF$11)),
         0)</f>
        <v>299.44</v>
      </c>
      <c r="AV127" s="352" t="n">
        <f aca="true">IF(AND($D127="Serviço",AV$12&lt;&gt;0,$H127&gt;0,OR(AUTOEVENTO&lt;&gt;"manual",$M127&lt;&gt;$A$15)),
        IF(Import.TipoArredondamento&lt;&gt;"TransfereGOV",
              ROUND(OFFSET($P127,0,AV$13),15-13*ORÇAMENTO!$AF$7)/$H127*OFFSET(ORÇAMENTO!$X$15,ROW(AV127)-ROW(AV$15),0),
              ROUND(ROUND(OFFSET($P127,0,AV$13),15-13*ORÇAMENTO!$AF$7)*OFFSET(ORÇAMENTO!$W$15,ROW(AV127)-ROW(AV$15),0),15-13*ORÇAMENTO!$AF$11)),
         0)</f>
        <v>299.44</v>
      </c>
      <c r="AW127" s="352" t="n">
        <f aca="true">IF(AND($D127="Serviço",AW$12&lt;&gt;0,$H127&gt;0,OR(AUTOEVENTO&lt;&gt;"manual",$M127&lt;&gt;$A$15)),
        IF(Import.TipoArredondamento&lt;&gt;"TransfereGOV",
              ROUND(OFFSET($P127,0,AW$13),15-13*ORÇAMENTO!$AF$7)/$H127*OFFSET(ORÇAMENTO!$X$15,ROW(AW127)-ROW(AW$15),0),
              ROUND(ROUND(OFFSET($P127,0,AW$13),15-13*ORÇAMENTO!$AF$7)*OFFSET(ORÇAMENTO!$W$15,ROW(AW127)-ROW(AW$15),0),15-13*ORÇAMENTO!$AF$11)),
         0)</f>
        <v>299.44</v>
      </c>
      <c r="AX127" s="352" t="n">
        <f aca="true">IF(AND($D127="Serviço",AX$12&lt;&gt;0,$H127&gt;0,OR(AUTOEVENTO&lt;&gt;"manual",$M127&lt;&gt;$A$15)),
        IF(Import.TipoArredondamento&lt;&gt;"TransfereGOV",
              ROUND(OFFSET($P127,0,AX$13),15-13*ORÇAMENTO!$AF$7)/$H127*OFFSET(ORÇAMENTO!$X$15,ROW(AX127)-ROW(AX$15),0),
              ROUND(ROUND(OFFSET($P127,0,AX$13),15-13*ORÇAMENTO!$AF$7)*OFFSET(ORÇAMENTO!$W$15,ROW(AX127)-ROW(AX$15),0),15-13*ORÇAMENTO!$AF$11)),
         0)</f>
        <v>299.44</v>
      </c>
      <c r="AY127" s="352" t="n">
        <f aca="true">IF(AND($D127="Serviço",AY$12&lt;&gt;0,$H127&gt;0,OR(AUTOEVENTO&lt;&gt;"manual",$M127&lt;&gt;$A$15)),
        IF(Import.TipoArredondamento&lt;&gt;"TransfereGOV",
              ROUND(OFFSET($P127,0,AY$13),15-13*ORÇAMENTO!$AF$7)/$H127*OFFSET(ORÇAMENTO!$X$15,ROW(AY127)-ROW(AY$15),0),
              ROUND(ROUND(OFFSET($P127,0,AY$13),15-13*ORÇAMENTO!$AF$7)*OFFSET(ORÇAMENTO!$W$15,ROW(AY127)-ROW(AY$15),0),15-13*ORÇAMENTO!$AF$11)),
         0)</f>
        <v>299.44</v>
      </c>
      <c r="AZ127" s="352" t="n">
        <f aca="true">IF(AND($D127="Serviço",AZ$12&lt;&gt;0,$H127&gt;0,OR(AUTOEVENTO&lt;&gt;"manual",$M127&lt;&gt;$A$15)),
        IF(Import.TipoArredondamento&lt;&gt;"TransfereGOV",
              ROUND(OFFSET($P127,0,AZ$13),15-13*ORÇAMENTO!$AF$7)/$H127*OFFSET(ORÇAMENTO!$X$15,ROW(AZ127)-ROW(AZ$15),0),
              ROUND(ROUND(OFFSET($P127,0,AZ$13),15-13*ORÇAMENTO!$AF$7)*OFFSET(ORÇAMENTO!$W$15,ROW(AZ127)-ROW(AZ$15),0),15-13*ORÇAMENTO!$AF$11)),
         0)</f>
        <v>299.44</v>
      </c>
      <c r="BA127" s="352" t="n">
        <f aca="true">IF(AND($D127="Serviço",BA$12&lt;&gt;0,$H127&gt;0,OR(AUTOEVENTO&lt;&gt;"manual",$M127&lt;&gt;$A$15)),
        IF(Import.TipoArredondamento&lt;&gt;"TransfereGOV",
              ROUND(OFFSET($P127,0,BA$13),15-13*ORÇAMENTO!$AF$7)/$H127*OFFSET(ORÇAMENTO!$X$15,ROW(BA127)-ROW(BA$15),0),
              ROUND(ROUND(OFFSET($P127,0,BA$13),15-13*ORÇAMENTO!$AF$7)*OFFSET(ORÇAMENTO!$W$15,ROW(BA127)-ROW(BA$15),0),15-13*ORÇAMENTO!$AF$11)),
         0)</f>
        <v>299.44</v>
      </c>
      <c r="BB127" s="352" t="n">
        <f aca="true">IF(AND($D127="Serviço",BB$12&lt;&gt;0,$H127&gt;0,OR(AUTOEVENTO&lt;&gt;"manual",$M127&lt;&gt;$A$15)),
        IF(Import.TipoArredondamento&lt;&gt;"TransfereGOV",
              ROUND(OFFSET($P127,0,BB$13),15-13*ORÇAMENTO!$AF$7)/$H127*OFFSET(ORÇAMENTO!$X$15,ROW(BB127)-ROW(BB$15),0),
              ROUND(ROUND(OFFSET($P127,0,BB$13),15-13*ORÇAMENTO!$AF$7)*OFFSET(ORÇAMENTO!$W$15,ROW(BB127)-ROW(BB$15),0),15-13*ORÇAMENTO!$AF$11)),
         0)</f>
        <v>299.44</v>
      </c>
      <c r="BC127" s="352" t="n">
        <f aca="true">IF(AND($D127="Serviço",BC$12&lt;&gt;0,$H127&gt;0,OR(AUTOEVENTO&lt;&gt;"manual",$M127&lt;&gt;$A$15)),
        IF(Import.TipoArredondamento&lt;&gt;"TransfereGOV",
              ROUND(OFFSET($P127,0,BC$13),15-13*ORÇAMENTO!$AF$7)/$H127*OFFSET(ORÇAMENTO!$X$15,ROW(BC127)-ROW(BC$15),0),
              ROUND(ROUND(OFFSET($P127,0,BC$13),15-13*ORÇAMENTO!$AF$7)*OFFSET(ORÇAMENTO!$W$15,ROW(BC127)-ROW(BC$15),0),15-13*ORÇAMENTO!$AF$11)),
         0)</f>
        <v>299.44</v>
      </c>
      <c r="BD127" s="352" t="n">
        <f aca="true">IF(AND($D127="Serviço",BD$12&lt;&gt;0,$H127&gt;0,OR(AUTOEVENTO&lt;&gt;"manual",$M127&lt;&gt;$A$15)),
        IF(Import.TipoArredondamento&lt;&gt;"TransfereGOV",
              ROUND(OFFSET($P127,0,BD$13),15-13*ORÇAMENTO!$AF$7)/$H127*OFFSET(ORÇAMENTO!$X$15,ROW(BD127)-ROW(BD$15),0),
              ROUND(ROUND(OFFSET($P127,0,BD$13),15-13*ORÇAMENTO!$AF$7)*OFFSET(ORÇAMENTO!$W$15,ROW(BD127)-ROW(BD$15),0),15-13*ORÇAMENTO!$AF$11)),
         0)</f>
        <v>299.44</v>
      </c>
      <c r="BE127" s="352" t="n">
        <f aca="true">IF(AND($D127="Serviço",BE$12&lt;&gt;0,$H127&gt;0,OR(AUTOEVENTO&lt;&gt;"manual",$M127&lt;&gt;$A$15)),
        IF(Import.TipoArredondamento&lt;&gt;"TransfereGOV",
              ROUND(OFFSET($P127,0,BE$13),15-13*ORÇAMENTO!$AF$7)/$H127*OFFSET(ORÇAMENTO!$X$15,ROW(BE127)-ROW(BE$15),0),
              ROUND(ROUND(OFFSET($P127,0,BE$13),15-13*ORÇAMENTO!$AF$7)*OFFSET(ORÇAMENTO!$W$15,ROW(BE127)-ROW(BE$15),0),15-13*ORÇAMENTO!$AF$11)),
         0)</f>
        <v>299.44</v>
      </c>
      <c r="BF127" s="352" t="n">
        <f aca="true">IF(AND($D127="Serviço",BF$12&lt;&gt;0,$H127&gt;0,OR(AUTOEVENTO&lt;&gt;"manual",$M127&lt;&gt;$A$15)),
        IF(Import.TipoArredondamento&lt;&gt;"TransfereGOV",
              ROUND(OFFSET($P127,0,BF$13),15-13*ORÇAMENTO!$AF$7)/$H127*OFFSET(ORÇAMENTO!$X$15,ROW(BF127)-ROW(BF$15),0),
              ROUND(ROUND(OFFSET($P127,0,BF$13),15-13*ORÇAMENTO!$AF$7)*OFFSET(ORÇAMENTO!$W$15,ROW(BF127)-ROW(BF$15),0),15-13*ORÇAMENTO!$AF$11)),
         0)</f>
        <v>299.44</v>
      </c>
      <c r="BG127" s="352" t="n">
        <f aca="true">IF(AND($D127="Serviço",BG$12&lt;&gt;0,$H127&gt;0,OR(AUTOEVENTO&lt;&gt;"manual",$M127&lt;&gt;$A$15)),
        IF(Import.TipoArredondamento&lt;&gt;"TransfereGOV",
              ROUND(OFFSET($P127,0,BG$13),15-13*ORÇAMENTO!$AF$7)/$H127*OFFSET(ORÇAMENTO!$X$15,ROW(BG127)-ROW(BG$15),0),
              ROUND(ROUND(OFFSET($P127,0,BG$13),15-13*ORÇAMENTO!$AF$7)*OFFSET(ORÇAMENTO!$W$15,ROW(BG127)-ROW(BG$15),0),15-13*ORÇAMENTO!$AF$11)),
         0)</f>
        <v>299.44</v>
      </c>
      <c r="BH127" s="352" t="n">
        <f aca="true">IF(AND($D127="Serviço",BH$12&lt;&gt;0,$H127&gt;0,OR(AUTOEVENTO&lt;&gt;"manual",$M127&lt;&gt;$A$15)),
        IF(Import.TipoArredondamento&lt;&gt;"TransfereGOV",
              ROUND(OFFSET($P127,0,BH$13),15-13*ORÇAMENTO!$AF$7)/$H127*OFFSET(ORÇAMENTO!$X$15,ROW(BH127)-ROW(BH$15),0),
              ROUND(ROUND(OFFSET($P127,0,BH$13),15-13*ORÇAMENTO!$AF$7)*OFFSET(ORÇAMENTO!$W$15,ROW(BH127)-ROW(BH$15),0),15-13*ORÇAMENTO!$AF$11)),
         0)</f>
        <v>299.44</v>
      </c>
      <c r="BI127" s="352" t="n">
        <f aca="true">IF(AND($D127="Serviço",BI$12&lt;&gt;0,$H127&gt;0,OR(AUTOEVENTO&lt;&gt;"manual",$M127&lt;&gt;$A$15)),
        IF(Import.TipoArredondamento&lt;&gt;"TransfereGOV",
              ROUND(OFFSET($P127,0,BI$13),15-13*ORÇAMENTO!$AF$7)/$H127*OFFSET(ORÇAMENTO!$X$15,ROW(BI127)-ROW(BI$15),0),
              ROUND(ROUND(OFFSET($P127,0,BI$13),15-13*ORÇAMENTO!$AF$7)*OFFSET(ORÇAMENTO!$W$15,ROW(BI127)-ROW(BI$15),0),15-13*ORÇAMENTO!$AF$11)),
         0)</f>
        <v>299.44</v>
      </c>
      <c r="BJ127" s="352" t="n">
        <f aca="true">IF(AND($D127="Serviço",BJ$12&lt;&gt;0,$H127&gt;0,OR(AUTOEVENTO&lt;&gt;"manual",$M127&lt;&gt;$A$15)),
        IF(Import.TipoArredondamento&lt;&gt;"TransfereGOV",
              ROUND(OFFSET($P127,0,BJ$13),15-13*ORÇAMENTO!$AF$7)/$H127*OFFSET(ORÇAMENTO!$X$15,ROW(BJ127)-ROW(BJ$15),0),
              ROUND(ROUND(OFFSET($P127,0,BJ$13),15-13*ORÇAMENTO!$AF$7)*OFFSET(ORÇAMENTO!$W$15,ROW(BJ127)-ROW(BJ$15),0),15-13*ORÇAMENTO!$AF$11)),
         0)</f>
        <v>299.44</v>
      </c>
      <c r="BK127" s="352" t="n">
        <f aca="true">IF(AND($D127="Serviço",BK$12&lt;&gt;0,$H127&gt;0,OR(AUTOEVENTO&lt;&gt;"manual",$M127&lt;&gt;$A$15)),
        IF(Import.TipoArredondamento&lt;&gt;"TransfereGOV",
              ROUND(OFFSET($P127,0,BK$13),15-13*ORÇAMENTO!$AF$7)/$H127*OFFSET(ORÇAMENTO!$X$15,ROW(BK127)-ROW(BK$15),0),
              ROUND(ROUND(OFFSET($P127,0,BK$13),15-13*ORÇAMENTO!$AF$7)*OFFSET(ORÇAMENTO!$W$15,ROW(BK127)-ROW(BK$15),0),15-13*ORÇAMENTO!$AF$11)),
         0)</f>
        <v>299.44</v>
      </c>
      <c r="BL127" s="352" t="n">
        <f aca="true">IF(AND($D127="Serviço",BL$12&lt;&gt;0,$H127&gt;0,OR(AUTOEVENTO&lt;&gt;"manual",$M127&lt;&gt;$A$15)),
        IF(Import.TipoArredondamento&lt;&gt;"TransfereGOV",
              ROUND(OFFSET($P127,0,BL$13),15-13*ORÇAMENTO!$AF$7)/$H127*OFFSET(ORÇAMENTO!$X$15,ROW(BL127)-ROW(BL$15),0),
              ROUND(ROUND(OFFSET($P127,0,BL$13),15-13*ORÇAMENTO!$AF$7)*OFFSET(ORÇAMENTO!$W$15,ROW(BL127)-ROW(BL$15),0),15-13*ORÇAMENTO!$AF$11)),
         0)</f>
        <v>299.44</v>
      </c>
      <c r="BM127" s="352" t="n">
        <f aca="true">IF(AND($D127="Serviço",BM$12&lt;&gt;0,$H127&gt;0,OR(AUTOEVENTO&lt;&gt;"manual",$M127&lt;&gt;$A$15)),
        IF(Import.TipoArredondamento&lt;&gt;"TransfereGOV",
              ROUND(OFFSET($P127,0,BM$13),15-13*ORÇAMENTO!$AF$7)/$H127*OFFSET(ORÇAMENTO!$X$15,ROW(BM127)-ROW(BM$15),0),
              ROUND(ROUND(OFFSET($P127,0,BM$13),15-13*ORÇAMENTO!$AF$7)*OFFSET(ORÇAMENTO!$W$15,ROW(BM127)-ROW(BM$15),0),15-13*ORÇAMENTO!$AF$11)),
         0)</f>
        <v>299.44</v>
      </c>
      <c r="BN127" s="352" t="n">
        <f aca="true">IF(AND($D127="Serviço",BN$12&lt;&gt;0,$H127&gt;0,OR(AUTOEVENTO&lt;&gt;"manual",$M127&lt;&gt;$A$15)),
        IF(Import.TipoArredondamento&lt;&gt;"TransfereGOV",
              ROUND(OFFSET($P127,0,BN$13),15-13*ORÇAMENTO!$AF$7)/$H127*OFFSET(ORÇAMENTO!$X$15,ROW(BN127)-ROW(BN$15),0),
              ROUND(ROUND(OFFSET($P127,0,BN$13),15-13*ORÇAMENTO!$AF$7)*OFFSET(ORÇAMENTO!$W$15,ROW(BN127)-ROW(BN$15),0),15-13*ORÇAMENTO!$AF$11)),
         0)</f>
        <v>299.44</v>
      </c>
      <c r="BO127" s="352" t="n">
        <f aca="true">IF(AND($D127="Serviço",BO$12&lt;&gt;0,$H127&gt;0,OR(AUTOEVENTO&lt;&gt;"manual",$M127&lt;&gt;$A$15)),
        IF(Import.TipoArredondamento&lt;&gt;"TransfereGOV",
              ROUND(OFFSET($P127,0,BO$13),15-13*ORÇAMENTO!$AF$7)/$H127*OFFSET(ORÇAMENTO!$X$15,ROW(BO127)-ROW(BO$15),0),
              ROUND(ROUND(OFFSET($P127,0,BO$13),15-13*ORÇAMENTO!$AF$7)*OFFSET(ORÇAMENTO!$W$15,ROW(BO127)-ROW(BO$15),0),15-13*ORÇAMENTO!$AF$11)),
         0)</f>
        <v>299.44</v>
      </c>
      <c r="BP127" s="352" t="n">
        <f aca="true">IF(AND($D127="Serviço",BP$12&lt;&gt;0,$H127&gt;0,OR(AUTOEVENTO&lt;&gt;"manual",$M127&lt;&gt;$A$15)),
        IF(Import.TipoArredondamento&lt;&gt;"TransfereGOV",
              ROUND(OFFSET($P127,0,BP$13),15-13*ORÇAMENTO!$AF$7)/$H127*OFFSET(ORÇAMENTO!$X$15,ROW(BP127)-ROW(BP$15),0),
              ROUND(ROUND(OFFSET($P127,0,BP$13),15-13*ORÇAMENTO!$AF$7)*OFFSET(ORÇAMENTO!$W$15,ROW(BP127)-ROW(BP$15),0),15-13*ORÇAMENTO!$AF$11)),
         0)</f>
        <v>299.44</v>
      </c>
      <c r="BQ127" s="352" t="n">
        <f aca="true">IF(AND($D127="Serviço",BQ$12&lt;&gt;0,$H127&gt;0,OR(AUTOEVENTO&lt;&gt;"manual",$M127&lt;&gt;$A$15)),
        IF(Import.TipoArredondamento&lt;&gt;"TransfereGOV",
              ROUND(OFFSET($P127,0,BQ$13),15-13*ORÇAMENTO!$AF$7)/$H127*OFFSET(ORÇAMENTO!$X$15,ROW(BQ127)-ROW(BQ$15),0),
              ROUND(ROUND(OFFSET($P127,0,BQ$13),15-13*ORÇAMENTO!$AF$7)*OFFSET(ORÇAMENTO!$W$15,ROW(BQ127)-ROW(BQ$15),0),15-13*ORÇAMENTO!$AF$11)),
         0)</f>
        <v>0</v>
      </c>
      <c r="BS127" s="353" t="n">
        <f aca="true">IF(OR($D127&lt;&gt;"Serviço",AND(AUTOEVENTO="Manual",$M127=$A$15)),0,
         IF(OFFSET(CRONOPLE!$F$15,$M127-$A$15,BS$13)=0,10^12,OFFSET(CRONOPLE!$F$15,$M127-$A$15,BS$13)))</f>
        <v>1</v>
      </c>
      <c r="BT127" s="353" t="n">
        <f aca="true">IF(OR($D127&lt;&gt;"Serviço",AND(AUTOEVENTO="Manual",$M127=$A$15)),0,
         IF(OFFSET(CRONOPLE!$F$15,$M127-$A$15,BT$13)=0,10^12,OFFSET(CRONOPLE!$F$15,$M127-$A$15,BT$13)))</f>
        <v>2</v>
      </c>
      <c r="BU127" s="353" t="n">
        <f aca="true">IF(OR($D127&lt;&gt;"Serviço",AND(AUTOEVENTO="Manual",$M127=$A$15)),0,
         IF(OFFSET(CRONOPLE!$F$15,$M127-$A$15,BU$13)=0,10^12,OFFSET(CRONOPLE!$F$15,$M127-$A$15,BU$13)))</f>
        <v>3</v>
      </c>
      <c r="BV127" s="353" t="n">
        <f aca="true">IF(OR($D127&lt;&gt;"Serviço",AND(AUTOEVENTO="Manual",$M127=$A$15)),0,
         IF(OFFSET(CRONOPLE!$F$15,$M127-$A$15,BV$13)=0,10^12,OFFSET(CRONOPLE!$F$15,$M127-$A$15,BV$13)))</f>
        <v>4</v>
      </c>
      <c r="BW127" s="353" t="n">
        <f aca="true">IF(OR($D127&lt;&gt;"Serviço",AND(AUTOEVENTO="Manual",$M127=$A$15)),0,
         IF(OFFSET(CRONOPLE!$F$15,$M127-$A$15,BW$13)=0,10^12,OFFSET(CRONOPLE!$F$15,$M127-$A$15,BW$13)))</f>
        <v>5</v>
      </c>
      <c r="BX127" s="353" t="n">
        <f aca="true">IF(OR($D127&lt;&gt;"Serviço",AND(AUTOEVENTO="Manual",$M127=$A$15)),0,
         IF(OFFSET(CRONOPLE!$F$15,$M127-$A$15,BX$13)=0,10^12,OFFSET(CRONOPLE!$F$15,$M127-$A$15,BX$13)))</f>
        <v>6</v>
      </c>
      <c r="BY127" s="353" t="n">
        <f aca="true">IF(OR($D127&lt;&gt;"Serviço",AND(AUTOEVENTO="Manual",$M127=$A$15)),0,
         IF(OFFSET(CRONOPLE!$F$15,$M127-$A$15,BY$13)=0,10^12,OFFSET(CRONOPLE!$F$15,$M127-$A$15,BY$13)))</f>
        <v>7</v>
      </c>
      <c r="BZ127" s="353" t="n">
        <f aca="true">IF(OR($D127&lt;&gt;"Serviço",AND(AUTOEVENTO="Manual",$M127=$A$15)),0,
         IF(OFFSET(CRONOPLE!$F$15,$M127-$A$15,BZ$13)=0,10^12,OFFSET(CRONOPLE!$F$15,$M127-$A$15,BZ$13)))</f>
        <v>8</v>
      </c>
      <c r="CA127" s="353" t="n">
        <f aca="true">IF(OR($D127&lt;&gt;"Serviço",AND(AUTOEVENTO="Manual",$M127=$A$15)),0,
         IF(OFFSET(CRONOPLE!$F$15,$M127-$A$15,CA$13)=0,10^12,OFFSET(CRONOPLE!$F$15,$M127-$A$15,CA$13)))</f>
        <v>9</v>
      </c>
      <c r="CB127" s="353" t="n">
        <f aca="true">IF(OR($D127&lt;&gt;"Serviço",AND(AUTOEVENTO="Manual",$M127=$A$15)),0,
         IF(OFFSET(CRONOPLE!$F$15,$M127-$A$15,CB$13)=0,10^12,OFFSET(CRONOPLE!$F$15,$M127-$A$15,CB$13)))</f>
        <v>10</v>
      </c>
      <c r="CC127" s="353" t="n">
        <f aca="true">IF(OR($D127&lt;&gt;"Serviço",AND(AUTOEVENTO="Manual",$M127=$A$15)),0,
         IF(OFFSET(CRONOPLE!$F$15,$M127-$A$15,CC$13)=0,10^12,OFFSET(CRONOPLE!$F$15,$M127-$A$15,CC$13)))</f>
        <v>11</v>
      </c>
      <c r="CD127" s="353" t="n">
        <f aca="true">IF(OR($D127&lt;&gt;"Serviço",AND(AUTOEVENTO="Manual",$M127=$A$15)),0,
         IF(OFFSET(CRONOPLE!$F$15,$M127-$A$15,CD$13)=0,10^12,OFFSET(CRONOPLE!$F$15,$M127-$A$15,CD$13)))</f>
        <v>12</v>
      </c>
      <c r="CE127" s="353" t="n">
        <f aca="true">IF(OR($D127&lt;&gt;"Serviço",AND(AUTOEVENTO="Manual",$M127=$A$15)),0,
         IF(OFFSET(CRONOPLE!$F$15,$M127-$A$15,CE$13)=0,10^12,OFFSET(CRONOPLE!$F$15,$M127-$A$15,CE$13)))</f>
        <v>13</v>
      </c>
      <c r="CF127" s="353" t="n">
        <f aca="true">IF(OR($D127&lt;&gt;"Serviço",AND(AUTOEVENTO="Manual",$M127=$A$15)),0,
         IF(OFFSET(CRONOPLE!$F$15,$M127-$A$15,CF$13)=0,10^12,OFFSET(CRONOPLE!$F$15,$M127-$A$15,CF$13)))</f>
        <v>14</v>
      </c>
      <c r="CG127" s="353" t="n">
        <f aca="true">IF(OR($D127&lt;&gt;"Serviço",AND(AUTOEVENTO="Manual",$M127=$A$15)),0,
         IF(OFFSET(CRONOPLE!$F$15,$M127-$A$15,CG$13)=0,10^12,OFFSET(CRONOPLE!$F$15,$M127-$A$15,CG$13)))</f>
        <v>15</v>
      </c>
      <c r="CH127" s="353" t="n">
        <f aca="true">IF(OR($D127&lt;&gt;"Serviço",AND(AUTOEVENTO="Manual",$M127=$A$15)),0,
         IF(OFFSET(CRONOPLE!$F$15,$M127-$A$15,CH$13)=0,10^12,OFFSET(CRONOPLE!$F$15,$M127-$A$15,CH$13)))</f>
        <v>16</v>
      </c>
      <c r="CI127" s="353" t="n">
        <f aca="true">IF(OR($D127&lt;&gt;"Serviço",AND(AUTOEVENTO="Manual",$M127=$A$15)),0,
         IF(OFFSET(CRONOPLE!$F$15,$M127-$A$15,CI$13)=0,10^12,OFFSET(CRONOPLE!$F$15,$M127-$A$15,CI$13)))</f>
        <v>17</v>
      </c>
      <c r="CJ127" s="353" t="n">
        <f aca="true">IF(OR($D127&lt;&gt;"Serviço",AND(AUTOEVENTO="Manual",$M127=$A$15)),0,
         IF(OFFSET(CRONOPLE!$F$15,$M127-$A$15,CJ$13)=0,10^12,OFFSET(CRONOPLE!$F$15,$M127-$A$15,CJ$13)))</f>
        <v>18</v>
      </c>
      <c r="CK127" s="353" t="n">
        <f aca="true">IF(OR($D127&lt;&gt;"Serviço",AND(AUTOEVENTO="Manual",$M127=$A$15)),0,
         IF(OFFSET(CRONOPLE!$F$15,$M127-$A$15,CK$13)=0,10^12,OFFSET(CRONOPLE!$F$15,$M127-$A$15,CK$13)))</f>
        <v>19</v>
      </c>
      <c r="CL127" s="353" t="n">
        <f aca="true">IF(OR($D127&lt;&gt;"Serviço",AND(AUTOEVENTO="Manual",$M127=$A$15)),0,
         IF(OFFSET(CRONOPLE!$F$15,$M127-$A$15,CL$13)=0,10^12,OFFSET(CRONOPLE!$F$15,$M127-$A$15,CL$13)))</f>
        <v>20</v>
      </c>
      <c r="CM127" s="353" t="n">
        <f aca="true">IF(OR($D127&lt;&gt;"Serviço",AND(AUTOEVENTO="Manual",$M127=$A$15)),0,
         IF(OFFSET(CRONOPLE!$F$15,$M127-$A$15,CM$13)=0,10^12,OFFSET(CRONOPLE!$F$15,$M127-$A$15,CM$13)))</f>
        <v>21</v>
      </c>
      <c r="CN127" s="353" t="n">
        <f aca="true">IF(OR($D127&lt;&gt;"Serviço",AND(AUTOEVENTO="Manual",$M127=$A$15)),0,
         IF(OFFSET(CRONOPLE!$F$15,$M127-$A$15,CN$13)=0,10^12,OFFSET(CRONOPLE!$F$15,$M127-$A$15,CN$13)))</f>
        <v>22</v>
      </c>
      <c r="CO127" s="353" t="n">
        <f aca="true">IF(OR($D127&lt;&gt;"Serviço",AND(AUTOEVENTO="Manual",$M127=$A$15)),0,
         IF(OFFSET(CRONOPLE!$F$15,$M127-$A$15,CO$13)=0,10^12,OFFSET(CRONOPLE!$F$15,$M127-$A$15,CO$13)))</f>
        <v>23</v>
      </c>
      <c r="CP127" s="353" t="n">
        <f aca="true">IF(OR($D127&lt;&gt;"Serviço",AND(AUTOEVENTO="Manual",$M127=$A$15)),0,
         IF(OFFSET(CRONOPLE!$F$15,$M127-$A$15,CP$13)=0,10^12,OFFSET(CRONOPLE!$F$15,$M127-$A$15,CP$13)))</f>
        <v>24</v>
      </c>
      <c r="CQ127" s="353" t="n">
        <f aca="true">IF(OR($D127&lt;&gt;"Serviço",AND(AUTOEVENTO="Manual",$M127=$A$15)),0,
         IF(OFFSET(CRONOPLE!$F$15,$M127-$A$15,CQ$13)=0,10^12,OFFSET(CRONOPLE!$F$15,$M127-$A$15,CQ$13)))</f>
        <v>25</v>
      </c>
      <c r="CR127" s="353" t="n">
        <f aca="true">IF(OR($D127&lt;&gt;"Serviço",AND(AUTOEVENTO="Manual",$M127=$A$15)),0,
         IF(OFFSET(CRONOPLE!$F$15,$M127-$A$15,CR$13)=0,10^12,OFFSET(CRONOPLE!$F$15,$M127-$A$15,CR$13)))</f>
        <v>1000000000000</v>
      </c>
      <c r="CT127" s="354" t="n">
        <f aca="true">IF(OR($D127&lt;&gt;"Serviço",AND(AUTOEVENTO="Manual",$M127=$A$15),$M127&gt;(ROW(PLE.lastrow)-ROW(PLE.firstrow))),0,
           IF(OFFSET(PLE!$G$15,$M127-$A$15,CT$13)="",10^12,OFFSET(PLE!$G$15,$M127-$A$15,CT$13)))</f>
        <v>1000000000000</v>
      </c>
      <c r="CU127" s="354" t="n">
        <f aca="true">IF(OR($D127&lt;&gt;"Serviço",AND(AUTOEVENTO="Manual",$M127=$A$15),$M127&gt;(ROW(PLE.lastrow)-ROW(PLE.firstrow))),0,
           IF(OFFSET(PLE!$G$15,$M127-$A$15,CU$13)="",10^12,OFFSET(PLE!$G$15,$M127-$A$15,CU$13)))</f>
        <v>1000000000000</v>
      </c>
      <c r="CV127" s="354" t="n">
        <f aca="true">IF(OR($D127&lt;&gt;"Serviço",AND(AUTOEVENTO="Manual",$M127=$A$15),$M127&gt;(ROW(PLE.lastrow)-ROW(PLE.firstrow))),0,
           IF(OFFSET(PLE!$G$15,$M127-$A$15,CV$13)="",10^12,OFFSET(PLE!$G$15,$M127-$A$15,CV$13)))</f>
        <v>1000000000000</v>
      </c>
      <c r="CW127" s="354" t="n">
        <f aca="true">IF(OR($D127&lt;&gt;"Serviço",AND(AUTOEVENTO="Manual",$M127=$A$15),$M127&gt;(ROW(PLE.lastrow)-ROW(PLE.firstrow))),0,
           IF(OFFSET(PLE!$G$15,$M127-$A$15,CW$13)="",10^12,OFFSET(PLE!$G$15,$M127-$A$15,CW$13)))</f>
        <v>1000000000000</v>
      </c>
      <c r="CX127" s="354" t="n">
        <f aca="true">IF(OR($D127&lt;&gt;"Serviço",AND(AUTOEVENTO="Manual",$M127=$A$15),$M127&gt;(ROW(PLE.lastrow)-ROW(PLE.firstrow))),0,
           IF(OFFSET(PLE!$G$15,$M127-$A$15,CX$13)="",10^12,OFFSET(PLE!$G$15,$M127-$A$15,CX$13)))</f>
        <v>1000000000000</v>
      </c>
      <c r="CY127" s="354" t="n">
        <f aca="true">IF(OR($D127&lt;&gt;"Serviço",AND(AUTOEVENTO="Manual",$M127=$A$15),$M127&gt;(ROW(PLE.lastrow)-ROW(PLE.firstrow))),0,
           IF(OFFSET(PLE!$G$15,$M127-$A$15,CY$13)="",10^12,OFFSET(PLE!$G$15,$M127-$A$15,CY$13)))</f>
        <v>1000000000000</v>
      </c>
      <c r="CZ127" s="354" t="n">
        <f aca="true">IF(OR($D127&lt;&gt;"Serviço",AND(AUTOEVENTO="Manual",$M127=$A$15),$M127&gt;(ROW(PLE.lastrow)-ROW(PLE.firstrow))),0,
           IF(OFFSET(PLE!$G$15,$M127-$A$15,CZ$13)="",10^12,OFFSET(PLE!$G$15,$M127-$A$15,CZ$13)))</f>
        <v>1000000000000</v>
      </c>
      <c r="DA127" s="354" t="n">
        <f aca="true">IF(OR($D127&lt;&gt;"Serviço",AND(AUTOEVENTO="Manual",$M127=$A$15),$M127&gt;(ROW(PLE.lastrow)-ROW(PLE.firstrow))),0,
           IF(OFFSET(PLE!$G$15,$M127-$A$15,DA$13)="",10^12,OFFSET(PLE!$G$15,$M127-$A$15,DA$13)))</f>
        <v>1000000000000</v>
      </c>
      <c r="DB127" s="354" t="n">
        <f aca="true">IF(OR($D127&lt;&gt;"Serviço",AND(AUTOEVENTO="Manual",$M127=$A$15),$M127&gt;(ROW(PLE.lastrow)-ROW(PLE.firstrow))),0,
           IF(OFFSET(PLE!$G$15,$M127-$A$15,DB$13)="",10^12,OFFSET(PLE!$G$15,$M127-$A$15,DB$13)))</f>
        <v>1000000000000</v>
      </c>
      <c r="DC127" s="354" t="n">
        <f aca="true">IF(OR($D127&lt;&gt;"Serviço",AND(AUTOEVENTO="Manual",$M127=$A$15),$M127&gt;(ROW(PLE.lastrow)-ROW(PLE.firstrow))),0,
           IF(OFFSET(PLE!$G$15,$M127-$A$15,DC$13)="",10^12,OFFSET(PLE!$G$15,$M127-$A$15,DC$13)))</f>
        <v>1000000000000</v>
      </c>
      <c r="DD127" s="354" t="n">
        <f aca="true">IF(OR($D127&lt;&gt;"Serviço",AND(AUTOEVENTO="Manual",$M127=$A$15),$M127&gt;(ROW(PLE.lastrow)-ROW(PLE.firstrow))),0,
           IF(OFFSET(PLE!$G$15,$M127-$A$15,DD$13)="",10^12,OFFSET(PLE!$G$15,$M127-$A$15,DD$13)))</f>
        <v>1000000000000</v>
      </c>
      <c r="DE127" s="354" t="n">
        <f aca="true">IF(OR($D127&lt;&gt;"Serviço",AND(AUTOEVENTO="Manual",$M127=$A$15),$M127&gt;(ROW(PLE.lastrow)-ROW(PLE.firstrow))),0,
           IF(OFFSET(PLE!$G$15,$M127-$A$15,DE$13)="",10^12,OFFSET(PLE!$G$15,$M127-$A$15,DE$13)))</f>
        <v>1000000000000</v>
      </c>
      <c r="DF127" s="354" t="n">
        <f aca="true">IF(OR($D127&lt;&gt;"Serviço",AND(AUTOEVENTO="Manual",$M127=$A$15),$M127&gt;(ROW(PLE.lastrow)-ROW(PLE.firstrow))),0,
           IF(OFFSET(PLE!$G$15,$M127-$A$15,DF$13)="",10^12,OFFSET(PLE!$G$15,$M127-$A$15,DF$13)))</f>
        <v>1000000000000</v>
      </c>
      <c r="DG127" s="354" t="n">
        <f aca="true">IF(OR($D127&lt;&gt;"Serviço",AND(AUTOEVENTO="Manual",$M127=$A$15),$M127&gt;(ROW(PLE.lastrow)-ROW(PLE.firstrow))),0,
           IF(OFFSET(PLE!$G$15,$M127-$A$15,DG$13)="",10^12,OFFSET(PLE!$G$15,$M127-$A$15,DG$13)))</f>
        <v>1000000000000</v>
      </c>
      <c r="DH127" s="354" t="n">
        <f aca="true">IF(OR($D127&lt;&gt;"Serviço",AND(AUTOEVENTO="Manual",$M127=$A$15),$M127&gt;(ROW(PLE.lastrow)-ROW(PLE.firstrow))),0,
           IF(OFFSET(PLE!$G$15,$M127-$A$15,DH$13)="",10^12,OFFSET(PLE!$G$15,$M127-$A$15,DH$13)))</f>
        <v>1000000000000</v>
      </c>
      <c r="DI127" s="354" t="n">
        <f aca="true">IF(OR($D127&lt;&gt;"Serviço",AND(AUTOEVENTO="Manual",$M127=$A$15),$M127&gt;(ROW(PLE.lastrow)-ROW(PLE.firstrow))),0,
           IF(OFFSET(PLE!$G$15,$M127-$A$15,DI$13)="",10^12,OFFSET(PLE!$G$15,$M127-$A$15,DI$13)))</f>
        <v>1000000000000</v>
      </c>
      <c r="DJ127" s="354" t="n">
        <f aca="true">IF(OR($D127&lt;&gt;"Serviço",AND(AUTOEVENTO="Manual",$M127=$A$15),$M127&gt;(ROW(PLE.lastrow)-ROW(PLE.firstrow))),0,
           IF(OFFSET(PLE!$G$15,$M127-$A$15,DJ$13)="",10^12,OFFSET(PLE!$G$15,$M127-$A$15,DJ$13)))</f>
        <v>1000000000000</v>
      </c>
      <c r="DK127" s="354" t="n">
        <f aca="true">IF(OR($D127&lt;&gt;"Serviço",AND(AUTOEVENTO="Manual",$M127=$A$15),$M127&gt;(ROW(PLE.lastrow)-ROW(PLE.firstrow))),0,
           IF(OFFSET(PLE!$G$15,$M127-$A$15,DK$13)="",10^12,OFFSET(PLE!$G$15,$M127-$A$15,DK$13)))</f>
        <v>1000000000000</v>
      </c>
      <c r="DL127" s="354" t="n">
        <f aca="true">IF(OR($D127&lt;&gt;"Serviço",AND(AUTOEVENTO="Manual",$M127=$A$15),$M127&gt;(ROW(PLE.lastrow)-ROW(PLE.firstrow))),0,
           IF(OFFSET(PLE!$G$15,$M127-$A$15,DL$13)="",10^12,OFFSET(PLE!$G$15,$M127-$A$15,DL$13)))</f>
        <v>1000000000000</v>
      </c>
      <c r="DM127" s="354" t="n">
        <f aca="true">IF(OR($D127&lt;&gt;"Serviço",AND(AUTOEVENTO="Manual",$M127=$A$15),$M127&gt;(ROW(PLE.lastrow)-ROW(PLE.firstrow))),0,
           IF(OFFSET(PLE!$G$15,$M127-$A$15,DM$13)="",10^12,OFFSET(PLE!$G$15,$M127-$A$15,DM$13)))</f>
        <v>1000000000000</v>
      </c>
      <c r="DN127" s="354" t="n">
        <f aca="true">IF(OR($D127&lt;&gt;"Serviço",AND(AUTOEVENTO="Manual",$M127=$A$15),$M127&gt;(ROW(PLE.lastrow)-ROW(PLE.firstrow))),0,
           IF(OFFSET(PLE!$G$15,$M127-$A$15,DN$13)="",10^12,OFFSET(PLE!$G$15,$M127-$A$15,DN$13)))</f>
        <v>1000000000000</v>
      </c>
      <c r="DO127" s="354" t="n">
        <f aca="true">IF(OR($D127&lt;&gt;"Serviço",AND(AUTOEVENTO="Manual",$M127=$A$15),$M127&gt;(ROW(PLE.lastrow)-ROW(PLE.firstrow))),0,
           IF(OFFSET(PLE!$G$15,$M127-$A$15,DO$13)="",10^12,OFFSET(PLE!$G$15,$M127-$A$15,DO$13)))</f>
        <v>1000000000000</v>
      </c>
      <c r="DP127" s="354" t="n">
        <f aca="true">IF(OR($D127&lt;&gt;"Serviço",AND(AUTOEVENTO="Manual",$M127=$A$15),$M127&gt;(ROW(PLE.lastrow)-ROW(PLE.firstrow))),0,
           IF(OFFSET(PLE!$G$15,$M127-$A$15,DP$13)="",10^12,OFFSET(PLE!$G$15,$M127-$A$15,DP$13)))</f>
        <v>1000000000000</v>
      </c>
      <c r="DQ127" s="354" t="n">
        <f aca="true">IF(OR($D127&lt;&gt;"Serviço",AND(AUTOEVENTO="Manual",$M127=$A$15),$M127&gt;(ROW(PLE.lastrow)-ROW(PLE.firstrow))),0,
           IF(OFFSET(PLE!$G$15,$M127-$A$15,DQ$13)="",10^12,OFFSET(PLE!$G$15,$M127-$A$15,DQ$13)))</f>
        <v>1000000000000</v>
      </c>
      <c r="DR127" s="354" t="n">
        <f aca="true">IF(OR($D127&lt;&gt;"Serviço",AND(AUTOEVENTO="Manual",$M127=$A$15),$M127&gt;(ROW(PLE.lastrow)-ROW(PLE.firstrow))),0,
           IF(OFFSET(PLE!$G$15,$M127-$A$15,DR$13)="",10^12,OFFSET(PLE!$G$15,$M127-$A$15,DR$13)))</f>
        <v>1000000000000</v>
      </c>
      <c r="DS127" s="354" t="n">
        <f aca="true">IF(OR($D127&lt;&gt;"Serviço",AND(AUTOEVENTO="Manual",$M127=$A$15),$M127&gt;(ROW(PLE.lastrow)-ROW(PLE.firstrow))),0,
           IF(OFFSET(PLE!$G$15,$M127-$A$15,DS$13)="",10^12,OFFSET(PLE!$G$15,$M127-$A$15,DS$13)))</f>
        <v>1000000000000</v>
      </c>
    </row>
    <row r="128" customFormat="false" ht="23.85" hidden="false" customHeight="false" outlineLevel="0" collapsed="false">
      <c r="A128" s="50" t="str">
        <f aca="true">IFERROR(IF(AUTOEVENTO="Manual",IF(K128&lt;&gt;"",MIN(VALUE(LEFT(K128,FIND(".",K128)-1)),COUNTA(EVENTOS.Lista)),0),IF(OR($B128&gt;AUTOEVENTO,$B128="S",$B128=0),SUBSTITUTE(OFFSET($A128,-1,0),IF($D128="Serviço",".",""),""),ROW(A128)-ROW($A$15)&amp;".")),0)</f>
        <v>111</v>
      </c>
      <c r="B128" s="50" t="str">
        <f aca="true">OFFSET(ORÇAMENTO!C$15,ROW(B128)-ROW(B$15),0)</f>
        <v>S</v>
      </c>
      <c r="C128" s="50" t="str">
        <f aca="true">OFFSET(ORÇAMENTO!L$15,ROW(C128)-ROW(C$15),0)</f>
        <v>F</v>
      </c>
      <c r="D128" s="201" t="str">
        <f aca="true">OFFSET(ORÇAMENTO!N$15,ROW(D128)-ROW(D$15),0)</f>
        <v>Serviço</v>
      </c>
      <c r="E128" s="202" t="str">
        <f aca="true">OFFSET(ORÇAMENTO!O$15,ROW(E128)-ROW(E$15),0)</f>
        <v>1.37.2.</v>
      </c>
      <c r="F128" s="341" t="str">
        <f aca="true">OFFSET(ORÇAMENTO!R$15,ROW(F128)-ROW(F$15),0)</f>
        <v>LUMINÁRIA ARANDELA TIPO MEIA LUA, DE SOBREPOR, COM 1 LÂMPADA LED DE 6W, SEM REATOR - FORNECIMENTO E INSTALAÇÃO. AF_09/2024</v>
      </c>
      <c r="G128" s="342" t="str">
        <f aca="true">IF($D128&lt;&gt;"Serviço","",OFFSET(ORÇAMENTO!S$15,ROW(G128)-ROW(G$15),0))</f>
        <v>UN</v>
      </c>
      <c r="H128" s="207" t="n">
        <f aca="true">IF($D128&lt;&gt;"Serviço",0,IF(ACOMPANHAMENTO="BM",ROUND(OFFSET(ORÇAMENTO!AJ$15,ROW(H128)-ROW(H$15),0),15-13*ORÇAMENTO!$AF$7),SUMPRODUCT(($Q$1:$AQ$1=1)*ROUND($Q128:$AQ128,15-13*ORÇAMENTO!$AF$7))))</f>
        <v>50</v>
      </c>
      <c r="I128" s="343" t="s">
        <v>972</v>
      </c>
      <c r="J128" s="344" t="e">
        <f aca="false">IF(OR(B128&lt;&gt;"S",CÁLCULO.FrentesPreenchidas=0),"",IF(AND(ACOMPANHAMENTO="PLE",AUTOEVENTO="Manual",OR(H128&gt;0,ORÇAMENTO!AC128="QUANT."),OR(K128="",M128=0,N128="")),"►",IF(AND(ACOMPANHAMENTO="PLE",ORÇAMENTO!AC128="QUANT."),"►►",IF(AND(COUNTIF($P$11:$AQ$11,"▼")=0,H128&gt;0,I128=""),"◄",""))))</f>
        <v>#NAME?</v>
      </c>
      <c r="K128" s="345"/>
      <c r="L128" s="346" t="s">
        <v>876</v>
      </c>
      <c r="M128" s="347" t="n">
        <f aca="true">IF($D128&lt;&gt;"Serviço","",
          IF(AUTOEVENTO="manual",$A128,
                IF(ISERROR(MATCH($A128,$A$15:OFFSET($A128,-1,0),0)),MAX($M$15:OFFSET(M128,-1,0))+1,
                      INDEX($M$15:OFFSET(M128,-1,0),MATCH($A128,$A$15:OFFSET($A128,-1,0),0)))))</f>
        <v>22</v>
      </c>
      <c r="N128" s="348" t="str">
        <f aca="true">IF($D128&lt;&gt;"Serviço","",
         IF(AUTOEVENTO="Manual",
                IF($A128=0,"&lt;-- defina o número do agrupador",
                       OFFSET(EVENTOS!$D$15,$A128-$A$15,0)),
                OFFSET($F$15,$A128,0)))</f>
        <v>ILUMINAÇÃO, TOMADAS E INTERRUPTORES</v>
      </c>
      <c r="O128" s="349"/>
      <c r="Q128" s="349" t="n">
        <v>2</v>
      </c>
      <c r="R128" s="350" t="n">
        <f aca="false">Q128</f>
        <v>2</v>
      </c>
      <c r="S128" s="350" t="n">
        <f aca="false">R128</f>
        <v>2</v>
      </c>
      <c r="T128" s="350" t="n">
        <f aca="false">S128</f>
        <v>2</v>
      </c>
      <c r="U128" s="350" t="n">
        <f aca="false">T128</f>
        <v>2</v>
      </c>
      <c r="V128" s="350" t="n">
        <f aca="false">U128</f>
        <v>2</v>
      </c>
      <c r="W128" s="350" t="n">
        <f aca="false">V128</f>
        <v>2</v>
      </c>
      <c r="X128" s="350" t="n">
        <f aca="false">W128</f>
        <v>2</v>
      </c>
      <c r="Y128" s="350" t="n">
        <f aca="false">X128</f>
        <v>2</v>
      </c>
      <c r="Z128" s="351" t="n">
        <f aca="false">Y128</f>
        <v>2</v>
      </c>
      <c r="AA128" s="350" t="n">
        <f aca="false">Z128</f>
        <v>2</v>
      </c>
      <c r="AB128" s="350" t="n">
        <f aca="false">AA128</f>
        <v>2</v>
      </c>
      <c r="AC128" s="350" t="n">
        <f aca="false">AB128</f>
        <v>2</v>
      </c>
      <c r="AD128" s="350" t="n">
        <f aca="false">AC128</f>
        <v>2</v>
      </c>
      <c r="AE128" s="350" t="n">
        <f aca="false">AD128</f>
        <v>2</v>
      </c>
      <c r="AF128" s="350" t="n">
        <f aca="false">AE128</f>
        <v>2</v>
      </c>
      <c r="AG128" s="350" t="n">
        <f aca="false">AF128</f>
        <v>2</v>
      </c>
      <c r="AH128" s="351" t="n">
        <f aca="false">AG128</f>
        <v>2</v>
      </c>
      <c r="AI128" s="350" t="n">
        <f aca="false">AH128</f>
        <v>2</v>
      </c>
      <c r="AJ128" s="350" t="n">
        <f aca="false">AI128</f>
        <v>2</v>
      </c>
      <c r="AK128" s="350" t="n">
        <f aca="false">AJ128</f>
        <v>2</v>
      </c>
      <c r="AL128" s="350" t="n">
        <f aca="false">AK128</f>
        <v>2</v>
      </c>
      <c r="AM128" s="350" t="n">
        <f aca="false">AL128</f>
        <v>2</v>
      </c>
      <c r="AN128" s="350" t="n">
        <f aca="false">AM128</f>
        <v>2</v>
      </c>
      <c r="AO128" s="350" t="n">
        <f aca="false">AN128</f>
        <v>2</v>
      </c>
      <c r="AP128" s="351"/>
      <c r="AR128" s="352" t="n">
        <f aca="true">IF(AND($D128="Serviço",AR$12&lt;&gt;0,$H128&gt;0,OR(AUTOEVENTO&lt;&gt;"manual",$M128&lt;&gt;$A$15)),
        IF(Import.TipoArredondamento&lt;&gt;"TransfereGOV",
              ROUND(OFFSET($P128,0,AR$13),15-13*ORÇAMENTO!$AF$7)/$H128*OFFSET(ORÇAMENTO!$X$15,ROW(AR128)-ROW(AR$15),0),
              ROUND(ROUND(OFFSET($P128,0,AR$13),15-13*ORÇAMENTO!$AF$7)*OFFSET(ORÇAMENTO!$W$15,ROW(AR128)-ROW(AR$15),0),15-13*ORÇAMENTO!$AF$11)),
         0)</f>
        <v>215.58</v>
      </c>
      <c r="AS128" s="352" t="n">
        <f aca="true">IF(AND($D128="Serviço",AS$12&lt;&gt;0,$H128&gt;0,OR(AUTOEVENTO&lt;&gt;"manual",$M128&lt;&gt;$A$15)),
        IF(Import.TipoArredondamento&lt;&gt;"TransfereGOV",
              ROUND(OFFSET($P128,0,AS$13),15-13*ORÇAMENTO!$AF$7)/$H128*OFFSET(ORÇAMENTO!$X$15,ROW(AS128)-ROW(AS$15),0),
              ROUND(ROUND(OFFSET($P128,0,AS$13),15-13*ORÇAMENTO!$AF$7)*OFFSET(ORÇAMENTO!$W$15,ROW(AS128)-ROW(AS$15),0),15-13*ORÇAMENTO!$AF$11)),
         0)</f>
        <v>215.58</v>
      </c>
      <c r="AT128" s="352" t="n">
        <f aca="true">IF(AND($D128="Serviço",AT$12&lt;&gt;0,$H128&gt;0,OR(AUTOEVENTO&lt;&gt;"manual",$M128&lt;&gt;$A$15)),
        IF(Import.TipoArredondamento&lt;&gt;"TransfereGOV",
              ROUND(OFFSET($P128,0,AT$13),15-13*ORÇAMENTO!$AF$7)/$H128*OFFSET(ORÇAMENTO!$X$15,ROW(AT128)-ROW(AT$15),0),
              ROUND(ROUND(OFFSET($P128,0,AT$13),15-13*ORÇAMENTO!$AF$7)*OFFSET(ORÇAMENTO!$W$15,ROW(AT128)-ROW(AT$15),0),15-13*ORÇAMENTO!$AF$11)),
         0)</f>
        <v>215.58</v>
      </c>
      <c r="AU128" s="352" t="n">
        <f aca="true">IF(AND($D128="Serviço",AU$12&lt;&gt;0,$H128&gt;0,OR(AUTOEVENTO&lt;&gt;"manual",$M128&lt;&gt;$A$15)),
        IF(Import.TipoArredondamento&lt;&gt;"TransfereGOV",
              ROUND(OFFSET($P128,0,AU$13),15-13*ORÇAMENTO!$AF$7)/$H128*OFFSET(ORÇAMENTO!$X$15,ROW(AU128)-ROW(AU$15),0),
              ROUND(ROUND(OFFSET($P128,0,AU$13),15-13*ORÇAMENTO!$AF$7)*OFFSET(ORÇAMENTO!$W$15,ROW(AU128)-ROW(AU$15),0),15-13*ORÇAMENTO!$AF$11)),
         0)</f>
        <v>215.58</v>
      </c>
      <c r="AV128" s="352" t="n">
        <f aca="true">IF(AND($D128="Serviço",AV$12&lt;&gt;0,$H128&gt;0,OR(AUTOEVENTO&lt;&gt;"manual",$M128&lt;&gt;$A$15)),
        IF(Import.TipoArredondamento&lt;&gt;"TransfereGOV",
              ROUND(OFFSET($P128,0,AV$13),15-13*ORÇAMENTO!$AF$7)/$H128*OFFSET(ORÇAMENTO!$X$15,ROW(AV128)-ROW(AV$15),0),
              ROUND(ROUND(OFFSET($P128,0,AV$13),15-13*ORÇAMENTO!$AF$7)*OFFSET(ORÇAMENTO!$W$15,ROW(AV128)-ROW(AV$15),0),15-13*ORÇAMENTO!$AF$11)),
         0)</f>
        <v>215.58</v>
      </c>
      <c r="AW128" s="352" t="n">
        <f aca="true">IF(AND($D128="Serviço",AW$12&lt;&gt;0,$H128&gt;0,OR(AUTOEVENTO&lt;&gt;"manual",$M128&lt;&gt;$A$15)),
        IF(Import.TipoArredondamento&lt;&gt;"TransfereGOV",
              ROUND(OFFSET($P128,0,AW$13),15-13*ORÇAMENTO!$AF$7)/$H128*OFFSET(ORÇAMENTO!$X$15,ROW(AW128)-ROW(AW$15),0),
              ROUND(ROUND(OFFSET($P128,0,AW$13),15-13*ORÇAMENTO!$AF$7)*OFFSET(ORÇAMENTO!$W$15,ROW(AW128)-ROW(AW$15),0),15-13*ORÇAMENTO!$AF$11)),
         0)</f>
        <v>215.58</v>
      </c>
      <c r="AX128" s="352" t="n">
        <f aca="true">IF(AND($D128="Serviço",AX$12&lt;&gt;0,$H128&gt;0,OR(AUTOEVENTO&lt;&gt;"manual",$M128&lt;&gt;$A$15)),
        IF(Import.TipoArredondamento&lt;&gt;"TransfereGOV",
              ROUND(OFFSET($P128,0,AX$13),15-13*ORÇAMENTO!$AF$7)/$H128*OFFSET(ORÇAMENTO!$X$15,ROW(AX128)-ROW(AX$15),0),
              ROUND(ROUND(OFFSET($P128,0,AX$13),15-13*ORÇAMENTO!$AF$7)*OFFSET(ORÇAMENTO!$W$15,ROW(AX128)-ROW(AX$15),0),15-13*ORÇAMENTO!$AF$11)),
         0)</f>
        <v>215.58</v>
      </c>
      <c r="AY128" s="352" t="n">
        <f aca="true">IF(AND($D128="Serviço",AY$12&lt;&gt;0,$H128&gt;0,OR(AUTOEVENTO&lt;&gt;"manual",$M128&lt;&gt;$A$15)),
        IF(Import.TipoArredondamento&lt;&gt;"TransfereGOV",
              ROUND(OFFSET($P128,0,AY$13),15-13*ORÇAMENTO!$AF$7)/$H128*OFFSET(ORÇAMENTO!$X$15,ROW(AY128)-ROW(AY$15),0),
              ROUND(ROUND(OFFSET($P128,0,AY$13),15-13*ORÇAMENTO!$AF$7)*OFFSET(ORÇAMENTO!$W$15,ROW(AY128)-ROW(AY$15),0),15-13*ORÇAMENTO!$AF$11)),
         0)</f>
        <v>215.58</v>
      </c>
      <c r="AZ128" s="352" t="n">
        <f aca="true">IF(AND($D128="Serviço",AZ$12&lt;&gt;0,$H128&gt;0,OR(AUTOEVENTO&lt;&gt;"manual",$M128&lt;&gt;$A$15)),
        IF(Import.TipoArredondamento&lt;&gt;"TransfereGOV",
              ROUND(OFFSET($P128,0,AZ$13),15-13*ORÇAMENTO!$AF$7)/$H128*OFFSET(ORÇAMENTO!$X$15,ROW(AZ128)-ROW(AZ$15),0),
              ROUND(ROUND(OFFSET($P128,0,AZ$13),15-13*ORÇAMENTO!$AF$7)*OFFSET(ORÇAMENTO!$W$15,ROW(AZ128)-ROW(AZ$15),0),15-13*ORÇAMENTO!$AF$11)),
         0)</f>
        <v>215.58</v>
      </c>
      <c r="BA128" s="352" t="n">
        <f aca="true">IF(AND($D128="Serviço",BA$12&lt;&gt;0,$H128&gt;0,OR(AUTOEVENTO&lt;&gt;"manual",$M128&lt;&gt;$A$15)),
        IF(Import.TipoArredondamento&lt;&gt;"TransfereGOV",
              ROUND(OFFSET($P128,0,BA$13),15-13*ORÇAMENTO!$AF$7)/$H128*OFFSET(ORÇAMENTO!$X$15,ROW(BA128)-ROW(BA$15),0),
              ROUND(ROUND(OFFSET($P128,0,BA$13),15-13*ORÇAMENTO!$AF$7)*OFFSET(ORÇAMENTO!$W$15,ROW(BA128)-ROW(BA$15),0),15-13*ORÇAMENTO!$AF$11)),
         0)</f>
        <v>215.58</v>
      </c>
      <c r="BB128" s="352" t="n">
        <f aca="true">IF(AND($D128="Serviço",BB$12&lt;&gt;0,$H128&gt;0,OR(AUTOEVENTO&lt;&gt;"manual",$M128&lt;&gt;$A$15)),
        IF(Import.TipoArredondamento&lt;&gt;"TransfereGOV",
              ROUND(OFFSET($P128,0,BB$13),15-13*ORÇAMENTO!$AF$7)/$H128*OFFSET(ORÇAMENTO!$X$15,ROW(BB128)-ROW(BB$15),0),
              ROUND(ROUND(OFFSET($P128,0,BB$13),15-13*ORÇAMENTO!$AF$7)*OFFSET(ORÇAMENTO!$W$15,ROW(BB128)-ROW(BB$15),0),15-13*ORÇAMENTO!$AF$11)),
         0)</f>
        <v>215.58</v>
      </c>
      <c r="BC128" s="352" t="n">
        <f aca="true">IF(AND($D128="Serviço",BC$12&lt;&gt;0,$H128&gt;0,OR(AUTOEVENTO&lt;&gt;"manual",$M128&lt;&gt;$A$15)),
        IF(Import.TipoArredondamento&lt;&gt;"TransfereGOV",
              ROUND(OFFSET($P128,0,BC$13),15-13*ORÇAMENTO!$AF$7)/$H128*OFFSET(ORÇAMENTO!$X$15,ROW(BC128)-ROW(BC$15),0),
              ROUND(ROUND(OFFSET($P128,0,BC$13),15-13*ORÇAMENTO!$AF$7)*OFFSET(ORÇAMENTO!$W$15,ROW(BC128)-ROW(BC$15),0),15-13*ORÇAMENTO!$AF$11)),
         0)</f>
        <v>215.58</v>
      </c>
      <c r="BD128" s="352" t="n">
        <f aca="true">IF(AND($D128="Serviço",BD$12&lt;&gt;0,$H128&gt;0,OR(AUTOEVENTO&lt;&gt;"manual",$M128&lt;&gt;$A$15)),
        IF(Import.TipoArredondamento&lt;&gt;"TransfereGOV",
              ROUND(OFFSET($P128,0,BD$13),15-13*ORÇAMENTO!$AF$7)/$H128*OFFSET(ORÇAMENTO!$X$15,ROW(BD128)-ROW(BD$15),0),
              ROUND(ROUND(OFFSET($P128,0,BD$13),15-13*ORÇAMENTO!$AF$7)*OFFSET(ORÇAMENTO!$W$15,ROW(BD128)-ROW(BD$15),0),15-13*ORÇAMENTO!$AF$11)),
         0)</f>
        <v>215.58</v>
      </c>
      <c r="BE128" s="352" t="n">
        <f aca="true">IF(AND($D128="Serviço",BE$12&lt;&gt;0,$H128&gt;0,OR(AUTOEVENTO&lt;&gt;"manual",$M128&lt;&gt;$A$15)),
        IF(Import.TipoArredondamento&lt;&gt;"TransfereGOV",
              ROUND(OFFSET($P128,0,BE$13),15-13*ORÇAMENTO!$AF$7)/$H128*OFFSET(ORÇAMENTO!$X$15,ROW(BE128)-ROW(BE$15),0),
              ROUND(ROUND(OFFSET($P128,0,BE$13),15-13*ORÇAMENTO!$AF$7)*OFFSET(ORÇAMENTO!$W$15,ROW(BE128)-ROW(BE$15),0),15-13*ORÇAMENTO!$AF$11)),
         0)</f>
        <v>215.58</v>
      </c>
      <c r="BF128" s="352" t="n">
        <f aca="true">IF(AND($D128="Serviço",BF$12&lt;&gt;0,$H128&gt;0,OR(AUTOEVENTO&lt;&gt;"manual",$M128&lt;&gt;$A$15)),
        IF(Import.TipoArredondamento&lt;&gt;"TransfereGOV",
              ROUND(OFFSET($P128,0,BF$13),15-13*ORÇAMENTO!$AF$7)/$H128*OFFSET(ORÇAMENTO!$X$15,ROW(BF128)-ROW(BF$15),0),
              ROUND(ROUND(OFFSET($P128,0,BF$13),15-13*ORÇAMENTO!$AF$7)*OFFSET(ORÇAMENTO!$W$15,ROW(BF128)-ROW(BF$15),0),15-13*ORÇAMENTO!$AF$11)),
         0)</f>
        <v>215.58</v>
      </c>
      <c r="BG128" s="352" t="n">
        <f aca="true">IF(AND($D128="Serviço",BG$12&lt;&gt;0,$H128&gt;0,OR(AUTOEVENTO&lt;&gt;"manual",$M128&lt;&gt;$A$15)),
        IF(Import.TipoArredondamento&lt;&gt;"TransfereGOV",
              ROUND(OFFSET($P128,0,BG$13),15-13*ORÇAMENTO!$AF$7)/$H128*OFFSET(ORÇAMENTO!$X$15,ROW(BG128)-ROW(BG$15),0),
              ROUND(ROUND(OFFSET($P128,0,BG$13),15-13*ORÇAMENTO!$AF$7)*OFFSET(ORÇAMENTO!$W$15,ROW(BG128)-ROW(BG$15),0),15-13*ORÇAMENTO!$AF$11)),
         0)</f>
        <v>215.58</v>
      </c>
      <c r="BH128" s="352" t="n">
        <f aca="true">IF(AND($D128="Serviço",BH$12&lt;&gt;0,$H128&gt;0,OR(AUTOEVENTO&lt;&gt;"manual",$M128&lt;&gt;$A$15)),
        IF(Import.TipoArredondamento&lt;&gt;"TransfereGOV",
              ROUND(OFFSET($P128,0,BH$13),15-13*ORÇAMENTO!$AF$7)/$H128*OFFSET(ORÇAMENTO!$X$15,ROW(BH128)-ROW(BH$15),0),
              ROUND(ROUND(OFFSET($P128,0,BH$13),15-13*ORÇAMENTO!$AF$7)*OFFSET(ORÇAMENTO!$W$15,ROW(BH128)-ROW(BH$15),0),15-13*ORÇAMENTO!$AF$11)),
         0)</f>
        <v>215.58</v>
      </c>
      <c r="BI128" s="352" t="n">
        <f aca="true">IF(AND($D128="Serviço",BI$12&lt;&gt;0,$H128&gt;0,OR(AUTOEVENTO&lt;&gt;"manual",$M128&lt;&gt;$A$15)),
        IF(Import.TipoArredondamento&lt;&gt;"TransfereGOV",
              ROUND(OFFSET($P128,0,BI$13),15-13*ORÇAMENTO!$AF$7)/$H128*OFFSET(ORÇAMENTO!$X$15,ROW(BI128)-ROW(BI$15),0),
              ROUND(ROUND(OFFSET($P128,0,BI$13),15-13*ORÇAMENTO!$AF$7)*OFFSET(ORÇAMENTO!$W$15,ROW(BI128)-ROW(BI$15),0),15-13*ORÇAMENTO!$AF$11)),
         0)</f>
        <v>215.58</v>
      </c>
      <c r="BJ128" s="352" t="n">
        <f aca="true">IF(AND($D128="Serviço",BJ$12&lt;&gt;0,$H128&gt;0,OR(AUTOEVENTO&lt;&gt;"manual",$M128&lt;&gt;$A$15)),
        IF(Import.TipoArredondamento&lt;&gt;"TransfereGOV",
              ROUND(OFFSET($P128,0,BJ$13),15-13*ORÇAMENTO!$AF$7)/$H128*OFFSET(ORÇAMENTO!$X$15,ROW(BJ128)-ROW(BJ$15),0),
              ROUND(ROUND(OFFSET($P128,0,BJ$13),15-13*ORÇAMENTO!$AF$7)*OFFSET(ORÇAMENTO!$W$15,ROW(BJ128)-ROW(BJ$15),0),15-13*ORÇAMENTO!$AF$11)),
         0)</f>
        <v>215.58</v>
      </c>
      <c r="BK128" s="352" t="n">
        <f aca="true">IF(AND($D128="Serviço",BK$12&lt;&gt;0,$H128&gt;0,OR(AUTOEVENTO&lt;&gt;"manual",$M128&lt;&gt;$A$15)),
        IF(Import.TipoArredondamento&lt;&gt;"TransfereGOV",
              ROUND(OFFSET($P128,0,BK$13),15-13*ORÇAMENTO!$AF$7)/$H128*OFFSET(ORÇAMENTO!$X$15,ROW(BK128)-ROW(BK$15),0),
              ROUND(ROUND(OFFSET($P128,0,BK$13),15-13*ORÇAMENTO!$AF$7)*OFFSET(ORÇAMENTO!$W$15,ROW(BK128)-ROW(BK$15),0),15-13*ORÇAMENTO!$AF$11)),
         0)</f>
        <v>215.58</v>
      </c>
      <c r="BL128" s="352" t="n">
        <f aca="true">IF(AND($D128="Serviço",BL$12&lt;&gt;0,$H128&gt;0,OR(AUTOEVENTO&lt;&gt;"manual",$M128&lt;&gt;$A$15)),
        IF(Import.TipoArredondamento&lt;&gt;"TransfereGOV",
              ROUND(OFFSET($P128,0,BL$13),15-13*ORÇAMENTO!$AF$7)/$H128*OFFSET(ORÇAMENTO!$X$15,ROW(BL128)-ROW(BL$15),0),
              ROUND(ROUND(OFFSET($P128,0,BL$13),15-13*ORÇAMENTO!$AF$7)*OFFSET(ORÇAMENTO!$W$15,ROW(BL128)-ROW(BL$15),0),15-13*ORÇAMENTO!$AF$11)),
         0)</f>
        <v>215.58</v>
      </c>
      <c r="BM128" s="352" t="n">
        <f aca="true">IF(AND($D128="Serviço",BM$12&lt;&gt;0,$H128&gt;0,OR(AUTOEVENTO&lt;&gt;"manual",$M128&lt;&gt;$A$15)),
        IF(Import.TipoArredondamento&lt;&gt;"TransfereGOV",
              ROUND(OFFSET($P128,0,BM$13),15-13*ORÇAMENTO!$AF$7)/$H128*OFFSET(ORÇAMENTO!$X$15,ROW(BM128)-ROW(BM$15),0),
              ROUND(ROUND(OFFSET($P128,0,BM$13),15-13*ORÇAMENTO!$AF$7)*OFFSET(ORÇAMENTO!$W$15,ROW(BM128)-ROW(BM$15),0),15-13*ORÇAMENTO!$AF$11)),
         0)</f>
        <v>215.58</v>
      </c>
      <c r="BN128" s="352" t="n">
        <f aca="true">IF(AND($D128="Serviço",BN$12&lt;&gt;0,$H128&gt;0,OR(AUTOEVENTO&lt;&gt;"manual",$M128&lt;&gt;$A$15)),
        IF(Import.TipoArredondamento&lt;&gt;"TransfereGOV",
              ROUND(OFFSET($P128,0,BN$13),15-13*ORÇAMENTO!$AF$7)/$H128*OFFSET(ORÇAMENTO!$X$15,ROW(BN128)-ROW(BN$15),0),
              ROUND(ROUND(OFFSET($P128,0,BN$13),15-13*ORÇAMENTO!$AF$7)*OFFSET(ORÇAMENTO!$W$15,ROW(BN128)-ROW(BN$15),0),15-13*ORÇAMENTO!$AF$11)),
         0)</f>
        <v>215.58</v>
      </c>
      <c r="BO128" s="352" t="n">
        <f aca="true">IF(AND($D128="Serviço",BO$12&lt;&gt;0,$H128&gt;0,OR(AUTOEVENTO&lt;&gt;"manual",$M128&lt;&gt;$A$15)),
        IF(Import.TipoArredondamento&lt;&gt;"TransfereGOV",
              ROUND(OFFSET($P128,0,BO$13),15-13*ORÇAMENTO!$AF$7)/$H128*OFFSET(ORÇAMENTO!$X$15,ROW(BO128)-ROW(BO$15),0),
              ROUND(ROUND(OFFSET($P128,0,BO$13),15-13*ORÇAMENTO!$AF$7)*OFFSET(ORÇAMENTO!$W$15,ROW(BO128)-ROW(BO$15),0),15-13*ORÇAMENTO!$AF$11)),
         0)</f>
        <v>215.58</v>
      </c>
      <c r="BP128" s="352" t="n">
        <f aca="true">IF(AND($D128="Serviço",BP$12&lt;&gt;0,$H128&gt;0,OR(AUTOEVENTO&lt;&gt;"manual",$M128&lt;&gt;$A$15)),
        IF(Import.TipoArredondamento&lt;&gt;"TransfereGOV",
              ROUND(OFFSET($P128,0,BP$13),15-13*ORÇAMENTO!$AF$7)/$H128*OFFSET(ORÇAMENTO!$X$15,ROW(BP128)-ROW(BP$15),0),
              ROUND(ROUND(OFFSET($P128,0,BP$13),15-13*ORÇAMENTO!$AF$7)*OFFSET(ORÇAMENTO!$W$15,ROW(BP128)-ROW(BP$15),0),15-13*ORÇAMENTO!$AF$11)),
         0)</f>
        <v>215.58</v>
      </c>
      <c r="BQ128" s="352" t="n">
        <f aca="true">IF(AND($D128="Serviço",BQ$12&lt;&gt;0,$H128&gt;0,OR(AUTOEVENTO&lt;&gt;"manual",$M128&lt;&gt;$A$15)),
        IF(Import.TipoArredondamento&lt;&gt;"TransfereGOV",
              ROUND(OFFSET($P128,0,BQ$13),15-13*ORÇAMENTO!$AF$7)/$H128*OFFSET(ORÇAMENTO!$X$15,ROW(BQ128)-ROW(BQ$15),0),
              ROUND(ROUND(OFFSET($P128,0,BQ$13),15-13*ORÇAMENTO!$AF$7)*OFFSET(ORÇAMENTO!$W$15,ROW(BQ128)-ROW(BQ$15),0),15-13*ORÇAMENTO!$AF$11)),
         0)</f>
        <v>0</v>
      </c>
      <c r="BS128" s="353" t="n">
        <f aca="true">IF(OR($D128&lt;&gt;"Serviço",AND(AUTOEVENTO="Manual",$M128=$A$15)),0,
         IF(OFFSET(CRONOPLE!$F$15,$M128-$A$15,BS$13)=0,10^12,OFFSET(CRONOPLE!$F$15,$M128-$A$15,BS$13)))</f>
        <v>1</v>
      </c>
      <c r="BT128" s="353" t="n">
        <f aca="true">IF(OR($D128&lt;&gt;"Serviço",AND(AUTOEVENTO="Manual",$M128=$A$15)),0,
         IF(OFFSET(CRONOPLE!$F$15,$M128-$A$15,BT$13)=0,10^12,OFFSET(CRONOPLE!$F$15,$M128-$A$15,BT$13)))</f>
        <v>2</v>
      </c>
      <c r="BU128" s="353" t="n">
        <f aca="true">IF(OR($D128&lt;&gt;"Serviço",AND(AUTOEVENTO="Manual",$M128=$A$15)),0,
         IF(OFFSET(CRONOPLE!$F$15,$M128-$A$15,BU$13)=0,10^12,OFFSET(CRONOPLE!$F$15,$M128-$A$15,BU$13)))</f>
        <v>3</v>
      </c>
      <c r="BV128" s="353" t="n">
        <f aca="true">IF(OR($D128&lt;&gt;"Serviço",AND(AUTOEVENTO="Manual",$M128=$A$15)),0,
         IF(OFFSET(CRONOPLE!$F$15,$M128-$A$15,BV$13)=0,10^12,OFFSET(CRONOPLE!$F$15,$M128-$A$15,BV$13)))</f>
        <v>4</v>
      </c>
      <c r="BW128" s="353" t="n">
        <f aca="true">IF(OR($D128&lt;&gt;"Serviço",AND(AUTOEVENTO="Manual",$M128=$A$15)),0,
         IF(OFFSET(CRONOPLE!$F$15,$M128-$A$15,BW$13)=0,10^12,OFFSET(CRONOPLE!$F$15,$M128-$A$15,BW$13)))</f>
        <v>5</v>
      </c>
      <c r="BX128" s="353" t="n">
        <f aca="true">IF(OR($D128&lt;&gt;"Serviço",AND(AUTOEVENTO="Manual",$M128=$A$15)),0,
         IF(OFFSET(CRONOPLE!$F$15,$M128-$A$15,BX$13)=0,10^12,OFFSET(CRONOPLE!$F$15,$M128-$A$15,BX$13)))</f>
        <v>6</v>
      </c>
      <c r="BY128" s="353" t="n">
        <f aca="true">IF(OR($D128&lt;&gt;"Serviço",AND(AUTOEVENTO="Manual",$M128=$A$15)),0,
         IF(OFFSET(CRONOPLE!$F$15,$M128-$A$15,BY$13)=0,10^12,OFFSET(CRONOPLE!$F$15,$M128-$A$15,BY$13)))</f>
        <v>7</v>
      </c>
      <c r="BZ128" s="353" t="n">
        <f aca="true">IF(OR($D128&lt;&gt;"Serviço",AND(AUTOEVENTO="Manual",$M128=$A$15)),0,
         IF(OFFSET(CRONOPLE!$F$15,$M128-$A$15,BZ$13)=0,10^12,OFFSET(CRONOPLE!$F$15,$M128-$A$15,BZ$13)))</f>
        <v>8</v>
      </c>
      <c r="CA128" s="353" t="n">
        <f aca="true">IF(OR($D128&lt;&gt;"Serviço",AND(AUTOEVENTO="Manual",$M128=$A$15)),0,
         IF(OFFSET(CRONOPLE!$F$15,$M128-$A$15,CA$13)=0,10^12,OFFSET(CRONOPLE!$F$15,$M128-$A$15,CA$13)))</f>
        <v>9</v>
      </c>
      <c r="CB128" s="353" t="n">
        <f aca="true">IF(OR($D128&lt;&gt;"Serviço",AND(AUTOEVENTO="Manual",$M128=$A$15)),0,
         IF(OFFSET(CRONOPLE!$F$15,$M128-$A$15,CB$13)=0,10^12,OFFSET(CRONOPLE!$F$15,$M128-$A$15,CB$13)))</f>
        <v>10</v>
      </c>
      <c r="CC128" s="353" t="n">
        <f aca="true">IF(OR($D128&lt;&gt;"Serviço",AND(AUTOEVENTO="Manual",$M128=$A$15)),0,
         IF(OFFSET(CRONOPLE!$F$15,$M128-$A$15,CC$13)=0,10^12,OFFSET(CRONOPLE!$F$15,$M128-$A$15,CC$13)))</f>
        <v>11</v>
      </c>
      <c r="CD128" s="353" t="n">
        <f aca="true">IF(OR($D128&lt;&gt;"Serviço",AND(AUTOEVENTO="Manual",$M128=$A$15)),0,
         IF(OFFSET(CRONOPLE!$F$15,$M128-$A$15,CD$13)=0,10^12,OFFSET(CRONOPLE!$F$15,$M128-$A$15,CD$13)))</f>
        <v>12</v>
      </c>
      <c r="CE128" s="353" t="n">
        <f aca="true">IF(OR($D128&lt;&gt;"Serviço",AND(AUTOEVENTO="Manual",$M128=$A$15)),0,
         IF(OFFSET(CRONOPLE!$F$15,$M128-$A$15,CE$13)=0,10^12,OFFSET(CRONOPLE!$F$15,$M128-$A$15,CE$13)))</f>
        <v>13</v>
      </c>
      <c r="CF128" s="353" t="n">
        <f aca="true">IF(OR($D128&lt;&gt;"Serviço",AND(AUTOEVENTO="Manual",$M128=$A$15)),0,
         IF(OFFSET(CRONOPLE!$F$15,$M128-$A$15,CF$13)=0,10^12,OFFSET(CRONOPLE!$F$15,$M128-$A$15,CF$13)))</f>
        <v>14</v>
      </c>
      <c r="CG128" s="353" t="n">
        <f aca="true">IF(OR($D128&lt;&gt;"Serviço",AND(AUTOEVENTO="Manual",$M128=$A$15)),0,
         IF(OFFSET(CRONOPLE!$F$15,$M128-$A$15,CG$13)=0,10^12,OFFSET(CRONOPLE!$F$15,$M128-$A$15,CG$13)))</f>
        <v>15</v>
      </c>
      <c r="CH128" s="353" t="n">
        <f aca="true">IF(OR($D128&lt;&gt;"Serviço",AND(AUTOEVENTO="Manual",$M128=$A$15)),0,
         IF(OFFSET(CRONOPLE!$F$15,$M128-$A$15,CH$13)=0,10^12,OFFSET(CRONOPLE!$F$15,$M128-$A$15,CH$13)))</f>
        <v>16</v>
      </c>
      <c r="CI128" s="353" t="n">
        <f aca="true">IF(OR($D128&lt;&gt;"Serviço",AND(AUTOEVENTO="Manual",$M128=$A$15)),0,
         IF(OFFSET(CRONOPLE!$F$15,$M128-$A$15,CI$13)=0,10^12,OFFSET(CRONOPLE!$F$15,$M128-$A$15,CI$13)))</f>
        <v>17</v>
      </c>
      <c r="CJ128" s="353" t="n">
        <f aca="true">IF(OR($D128&lt;&gt;"Serviço",AND(AUTOEVENTO="Manual",$M128=$A$15)),0,
         IF(OFFSET(CRONOPLE!$F$15,$M128-$A$15,CJ$13)=0,10^12,OFFSET(CRONOPLE!$F$15,$M128-$A$15,CJ$13)))</f>
        <v>18</v>
      </c>
      <c r="CK128" s="353" t="n">
        <f aca="true">IF(OR($D128&lt;&gt;"Serviço",AND(AUTOEVENTO="Manual",$M128=$A$15)),0,
         IF(OFFSET(CRONOPLE!$F$15,$M128-$A$15,CK$13)=0,10^12,OFFSET(CRONOPLE!$F$15,$M128-$A$15,CK$13)))</f>
        <v>19</v>
      </c>
      <c r="CL128" s="353" t="n">
        <f aca="true">IF(OR($D128&lt;&gt;"Serviço",AND(AUTOEVENTO="Manual",$M128=$A$15)),0,
         IF(OFFSET(CRONOPLE!$F$15,$M128-$A$15,CL$13)=0,10^12,OFFSET(CRONOPLE!$F$15,$M128-$A$15,CL$13)))</f>
        <v>20</v>
      </c>
      <c r="CM128" s="353" t="n">
        <f aca="true">IF(OR($D128&lt;&gt;"Serviço",AND(AUTOEVENTO="Manual",$M128=$A$15)),0,
         IF(OFFSET(CRONOPLE!$F$15,$M128-$A$15,CM$13)=0,10^12,OFFSET(CRONOPLE!$F$15,$M128-$A$15,CM$13)))</f>
        <v>21</v>
      </c>
      <c r="CN128" s="353" t="n">
        <f aca="true">IF(OR($D128&lt;&gt;"Serviço",AND(AUTOEVENTO="Manual",$M128=$A$15)),0,
         IF(OFFSET(CRONOPLE!$F$15,$M128-$A$15,CN$13)=0,10^12,OFFSET(CRONOPLE!$F$15,$M128-$A$15,CN$13)))</f>
        <v>22</v>
      </c>
      <c r="CO128" s="353" t="n">
        <f aca="true">IF(OR($D128&lt;&gt;"Serviço",AND(AUTOEVENTO="Manual",$M128=$A$15)),0,
         IF(OFFSET(CRONOPLE!$F$15,$M128-$A$15,CO$13)=0,10^12,OFFSET(CRONOPLE!$F$15,$M128-$A$15,CO$13)))</f>
        <v>23</v>
      </c>
      <c r="CP128" s="353" t="n">
        <f aca="true">IF(OR($D128&lt;&gt;"Serviço",AND(AUTOEVENTO="Manual",$M128=$A$15)),0,
         IF(OFFSET(CRONOPLE!$F$15,$M128-$A$15,CP$13)=0,10^12,OFFSET(CRONOPLE!$F$15,$M128-$A$15,CP$13)))</f>
        <v>24</v>
      </c>
      <c r="CQ128" s="353" t="n">
        <f aca="true">IF(OR($D128&lt;&gt;"Serviço",AND(AUTOEVENTO="Manual",$M128=$A$15)),0,
         IF(OFFSET(CRONOPLE!$F$15,$M128-$A$15,CQ$13)=0,10^12,OFFSET(CRONOPLE!$F$15,$M128-$A$15,CQ$13)))</f>
        <v>25</v>
      </c>
      <c r="CR128" s="353" t="n">
        <f aca="true">IF(OR($D128&lt;&gt;"Serviço",AND(AUTOEVENTO="Manual",$M128=$A$15)),0,
         IF(OFFSET(CRONOPLE!$F$15,$M128-$A$15,CR$13)=0,10^12,OFFSET(CRONOPLE!$F$15,$M128-$A$15,CR$13)))</f>
        <v>1000000000000</v>
      </c>
      <c r="CT128" s="354" t="n">
        <f aca="true">IF(OR($D128&lt;&gt;"Serviço",AND(AUTOEVENTO="Manual",$M128=$A$15),$M128&gt;(ROW(PLE.lastrow)-ROW(PLE.firstrow))),0,
           IF(OFFSET(PLE!$G$15,$M128-$A$15,CT$13)="",10^12,OFFSET(PLE!$G$15,$M128-$A$15,CT$13)))</f>
        <v>1000000000000</v>
      </c>
      <c r="CU128" s="354" t="n">
        <f aca="true">IF(OR($D128&lt;&gt;"Serviço",AND(AUTOEVENTO="Manual",$M128=$A$15),$M128&gt;(ROW(PLE.lastrow)-ROW(PLE.firstrow))),0,
           IF(OFFSET(PLE!$G$15,$M128-$A$15,CU$13)="",10^12,OFFSET(PLE!$G$15,$M128-$A$15,CU$13)))</f>
        <v>1000000000000</v>
      </c>
      <c r="CV128" s="354" t="n">
        <f aca="true">IF(OR($D128&lt;&gt;"Serviço",AND(AUTOEVENTO="Manual",$M128=$A$15),$M128&gt;(ROW(PLE.lastrow)-ROW(PLE.firstrow))),0,
           IF(OFFSET(PLE!$G$15,$M128-$A$15,CV$13)="",10^12,OFFSET(PLE!$G$15,$M128-$A$15,CV$13)))</f>
        <v>1000000000000</v>
      </c>
      <c r="CW128" s="354" t="n">
        <f aca="true">IF(OR($D128&lt;&gt;"Serviço",AND(AUTOEVENTO="Manual",$M128=$A$15),$M128&gt;(ROW(PLE.lastrow)-ROW(PLE.firstrow))),0,
           IF(OFFSET(PLE!$G$15,$M128-$A$15,CW$13)="",10^12,OFFSET(PLE!$G$15,$M128-$A$15,CW$13)))</f>
        <v>1000000000000</v>
      </c>
      <c r="CX128" s="354" t="n">
        <f aca="true">IF(OR($D128&lt;&gt;"Serviço",AND(AUTOEVENTO="Manual",$M128=$A$15),$M128&gt;(ROW(PLE.lastrow)-ROW(PLE.firstrow))),0,
           IF(OFFSET(PLE!$G$15,$M128-$A$15,CX$13)="",10^12,OFFSET(PLE!$G$15,$M128-$A$15,CX$13)))</f>
        <v>1000000000000</v>
      </c>
      <c r="CY128" s="354" t="n">
        <f aca="true">IF(OR($D128&lt;&gt;"Serviço",AND(AUTOEVENTO="Manual",$M128=$A$15),$M128&gt;(ROW(PLE.lastrow)-ROW(PLE.firstrow))),0,
           IF(OFFSET(PLE!$G$15,$M128-$A$15,CY$13)="",10^12,OFFSET(PLE!$G$15,$M128-$A$15,CY$13)))</f>
        <v>1000000000000</v>
      </c>
      <c r="CZ128" s="354" t="n">
        <f aca="true">IF(OR($D128&lt;&gt;"Serviço",AND(AUTOEVENTO="Manual",$M128=$A$15),$M128&gt;(ROW(PLE.lastrow)-ROW(PLE.firstrow))),0,
           IF(OFFSET(PLE!$G$15,$M128-$A$15,CZ$13)="",10^12,OFFSET(PLE!$G$15,$M128-$A$15,CZ$13)))</f>
        <v>1000000000000</v>
      </c>
      <c r="DA128" s="354" t="n">
        <f aca="true">IF(OR($D128&lt;&gt;"Serviço",AND(AUTOEVENTO="Manual",$M128=$A$15),$M128&gt;(ROW(PLE.lastrow)-ROW(PLE.firstrow))),0,
           IF(OFFSET(PLE!$G$15,$M128-$A$15,DA$13)="",10^12,OFFSET(PLE!$G$15,$M128-$A$15,DA$13)))</f>
        <v>1000000000000</v>
      </c>
      <c r="DB128" s="354" t="n">
        <f aca="true">IF(OR($D128&lt;&gt;"Serviço",AND(AUTOEVENTO="Manual",$M128=$A$15),$M128&gt;(ROW(PLE.lastrow)-ROW(PLE.firstrow))),0,
           IF(OFFSET(PLE!$G$15,$M128-$A$15,DB$13)="",10^12,OFFSET(PLE!$G$15,$M128-$A$15,DB$13)))</f>
        <v>1000000000000</v>
      </c>
      <c r="DC128" s="354" t="n">
        <f aca="true">IF(OR($D128&lt;&gt;"Serviço",AND(AUTOEVENTO="Manual",$M128=$A$15),$M128&gt;(ROW(PLE.lastrow)-ROW(PLE.firstrow))),0,
           IF(OFFSET(PLE!$G$15,$M128-$A$15,DC$13)="",10^12,OFFSET(PLE!$G$15,$M128-$A$15,DC$13)))</f>
        <v>1000000000000</v>
      </c>
      <c r="DD128" s="354" t="n">
        <f aca="true">IF(OR($D128&lt;&gt;"Serviço",AND(AUTOEVENTO="Manual",$M128=$A$15),$M128&gt;(ROW(PLE.lastrow)-ROW(PLE.firstrow))),0,
           IF(OFFSET(PLE!$G$15,$M128-$A$15,DD$13)="",10^12,OFFSET(PLE!$G$15,$M128-$A$15,DD$13)))</f>
        <v>1000000000000</v>
      </c>
      <c r="DE128" s="354" t="n">
        <f aca="true">IF(OR($D128&lt;&gt;"Serviço",AND(AUTOEVENTO="Manual",$M128=$A$15),$M128&gt;(ROW(PLE.lastrow)-ROW(PLE.firstrow))),0,
           IF(OFFSET(PLE!$G$15,$M128-$A$15,DE$13)="",10^12,OFFSET(PLE!$G$15,$M128-$A$15,DE$13)))</f>
        <v>1000000000000</v>
      </c>
      <c r="DF128" s="354" t="n">
        <f aca="true">IF(OR($D128&lt;&gt;"Serviço",AND(AUTOEVENTO="Manual",$M128=$A$15),$M128&gt;(ROW(PLE.lastrow)-ROW(PLE.firstrow))),0,
           IF(OFFSET(PLE!$G$15,$M128-$A$15,DF$13)="",10^12,OFFSET(PLE!$G$15,$M128-$A$15,DF$13)))</f>
        <v>1000000000000</v>
      </c>
      <c r="DG128" s="354" t="n">
        <f aca="true">IF(OR($D128&lt;&gt;"Serviço",AND(AUTOEVENTO="Manual",$M128=$A$15),$M128&gt;(ROW(PLE.lastrow)-ROW(PLE.firstrow))),0,
           IF(OFFSET(PLE!$G$15,$M128-$A$15,DG$13)="",10^12,OFFSET(PLE!$G$15,$M128-$A$15,DG$13)))</f>
        <v>1000000000000</v>
      </c>
      <c r="DH128" s="354" t="n">
        <f aca="true">IF(OR($D128&lt;&gt;"Serviço",AND(AUTOEVENTO="Manual",$M128=$A$15),$M128&gt;(ROW(PLE.lastrow)-ROW(PLE.firstrow))),0,
           IF(OFFSET(PLE!$G$15,$M128-$A$15,DH$13)="",10^12,OFFSET(PLE!$G$15,$M128-$A$15,DH$13)))</f>
        <v>1000000000000</v>
      </c>
      <c r="DI128" s="354" t="n">
        <f aca="true">IF(OR($D128&lt;&gt;"Serviço",AND(AUTOEVENTO="Manual",$M128=$A$15),$M128&gt;(ROW(PLE.lastrow)-ROW(PLE.firstrow))),0,
           IF(OFFSET(PLE!$G$15,$M128-$A$15,DI$13)="",10^12,OFFSET(PLE!$G$15,$M128-$A$15,DI$13)))</f>
        <v>1000000000000</v>
      </c>
      <c r="DJ128" s="354" t="n">
        <f aca="true">IF(OR($D128&lt;&gt;"Serviço",AND(AUTOEVENTO="Manual",$M128=$A$15),$M128&gt;(ROW(PLE.lastrow)-ROW(PLE.firstrow))),0,
           IF(OFFSET(PLE!$G$15,$M128-$A$15,DJ$13)="",10^12,OFFSET(PLE!$G$15,$M128-$A$15,DJ$13)))</f>
        <v>1000000000000</v>
      </c>
      <c r="DK128" s="354" t="n">
        <f aca="true">IF(OR($D128&lt;&gt;"Serviço",AND(AUTOEVENTO="Manual",$M128=$A$15),$M128&gt;(ROW(PLE.lastrow)-ROW(PLE.firstrow))),0,
           IF(OFFSET(PLE!$G$15,$M128-$A$15,DK$13)="",10^12,OFFSET(PLE!$G$15,$M128-$A$15,DK$13)))</f>
        <v>1000000000000</v>
      </c>
      <c r="DL128" s="354" t="n">
        <f aca="true">IF(OR($D128&lt;&gt;"Serviço",AND(AUTOEVENTO="Manual",$M128=$A$15),$M128&gt;(ROW(PLE.lastrow)-ROW(PLE.firstrow))),0,
           IF(OFFSET(PLE!$G$15,$M128-$A$15,DL$13)="",10^12,OFFSET(PLE!$G$15,$M128-$A$15,DL$13)))</f>
        <v>1000000000000</v>
      </c>
      <c r="DM128" s="354" t="n">
        <f aca="true">IF(OR($D128&lt;&gt;"Serviço",AND(AUTOEVENTO="Manual",$M128=$A$15),$M128&gt;(ROW(PLE.lastrow)-ROW(PLE.firstrow))),0,
           IF(OFFSET(PLE!$G$15,$M128-$A$15,DM$13)="",10^12,OFFSET(PLE!$G$15,$M128-$A$15,DM$13)))</f>
        <v>1000000000000</v>
      </c>
      <c r="DN128" s="354" t="n">
        <f aca="true">IF(OR($D128&lt;&gt;"Serviço",AND(AUTOEVENTO="Manual",$M128=$A$15),$M128&gt;(ROW(PLE.lastrow)-ROW(PLE.firstrow))),0,
           IF(OFFSET(PLE!$G$15,$M128-$A$15,DN$13)="",10^12,OFFSET(PLE!$G$15,$M128-$A$15,DN$13)))</f>
        <v>1000000000000</v>
      </c>
      <c r="DO128" s="354" t="n">
        <f aca="true">IF(OR($D128&lt;&gt;"Serviço",AND(AUTOEVENTO="Manual",$M128=$A$15),$M128&gt;(ROW(PLE.lastrow)-ROW(PLE.firstrow))),0,
           IF(OFFSET(PLE!$G$15,$M128-$A$15,DO$13)="",10^12,OFFSET(PLE!$G$15,$M128-$A$15,DO$13)))</f>
        <v>1000000000000</v>
      </c>
      <c r="DP128" s="354" t="n">
        <f aca="true">IF(OR($D128&lt;&gt;"Serviço",AND(AUTOEVENTO="Manual",$M128=$A$15),$M128&gt;(ROW(PLE.lastrow)-ROW(PLE.firstrow))),0,
           IF(OFFSET(PLE!$G$15,$M128-$A$15,DP$13)="",10^12,OFFSET(PLE!$G$15,$M128-$A$15,DP$13)))</f>
        <v>1000000000000</v>
      </c>
      <c r="DQ128" s="354" t="n">
        <f aca="true">IF(OR($D128&lt;&gt;"Serviço",AND(AUTOEVENTO="Manual",$M128=$A$15),$M128&gt;(ROW(PLE.lastrow)-ROW(PLE.firstrow))),0,
           IF(OFFSET(PLE!$G$15,$M128-$A$15,DQ$13)="",10^12,OFFSET(PLE!$G$15,$M128-$A$15,DQ$13)))</f>
        <v>1000000000000</v>
      </c>
      <c r="DR128" s="354" t="n">
        <f aca="true">IF(OR($D128&lt;&gt;"Serviço",AND(AUTOEVENTO="Manual",$M128=$A$15),$M128&gt;(ROW(PLE.lastrow)-ROW(PLE.firstrow))),0,
           IF(OFFSET(PLE!$G$15,$M128-$A$15,DR$13)="",10^12,OFFSET(PLE!$G$15,$M128-$A$15,DR$13)))</f>
        <v>1000000000000</v>
      </c>
      <c r="DS128" s="354" t="n">
        <f aca="true">IF(OR($D128&lt;&gt;"Serviço",AND(AUTOEVENTO="Manual",$M128=$A$15),$M128&gt;(ROW(PLE.lastrow)-ROW(PLE.firstrow))),0,
           IF(OFFSET(PLE!$G$15,$M128-$A$15,DS$13)="",10^12,OFFSET(PLE!$G$15,$M128-$A$15,DS$13)))</f>
        <v>1000000000000</v>
      </c>
    </row>
    <row r="129" customFormat="false" ht="102.2" hidden="false" customHeight="false" outlineLevel="0" collapsed="false">
      <c r="A129" s="50" t="str">
        <f aca="true">IFERROR(IF(AUTOEVENTO="Manual",IF(K129&lt;&gt;"",MIN(VALUE(LEFT(K129,FIND(".",K129)-1)),COUNTA(EVENTOS.Lista)),0),IF(OR($B129&gt;AUTOEVENTO,$B129="S",$B129=0),SUBSTITUTE(OFFSET($A129,-1,0),IF($D129="Serviço",".",""),""),ROW(A129)-ROW($A$15)&amp;".")),0)</f>
        <v>111</v>
      </c>
      <c r="B129" s="50" t="str">
        <f aca="true">OFFSET(ORÇAMENTO!C$15,ROW(B129)-ROW(B$15),0)</f>
        <v>S</v>
      </c>
      <c r="C129" s="50" t="str">
        <f aca="true">OFFSET(ORÇAMENTO!L$15,ROW(C129)-ROW(C$15),0)</f>
        <v>F</v>
      </c>
      <c r="D129" s="201" t="str">
        <f aca="true">OFFSET(ORÇAMENTO!N$15,ROW(D129)-ROW(D$15),0)</f>
        <v>Serviço</v>
      </c>
      <c r="E129" s="202" t="str">
        <f aca="true">OFFSET(ORÇAMENTO!O$15,ROW(E129)-ROW(E$15),0)</f>
        <v>1.37.3.</v>
      </c>
      <c r="F129" s="341" t="str">
        <f aca="true">OFFSET(ORÇAMENTO!R$15,ROW(F129)-ROW(F$15),0)</f>
        <v>PONTO DE EMBUTIR PARA UM (1) INTERRUPTOR SIMPLES (10A-
250V), COM PLACA 4"X2" DE UM (1) POSTO, COM ELETRODUTO
FLEXÍVEL CORRUGADO, ANTI-CHAMA, DN 25MM (3/4"), EMBUTIDO
NA ALVENARIA E CABO DE COBRE FLEXÍVEL, CLASSE 5,
ISOLAMENTO TIPO LSHF/ATOX, NÃO HALOGENADO, SEÇÃO 1,
5MM2 (70°C-450/750V), COM DISTÂNCIA DE ATÉ DEZ (10) METROS
DO PONTO DE DERIVAÇÃO, INCLUSIVE CAIXA DE LIGAÇÃO,
SUPORTE E FIXAÇÃO DO ELETRODUTO COM ENCHIMENTO DO
RASGO NA ALVENARIA/CONCRETO COM ARGAMASSA</v>
      </c>
      <c r="G129" s="342" t="str">
        <f aca="true">IF($D129&lt;&gt;"Serviço","",OFFSET(ORÇAMENTO!S$15,ROW(G129)-ROW(G$15),0))</f>
        <v>UN</v>
      </c>
      <c r="H129" s="207" t="n">
        <f aca="true">IF($D129&lt;&gt;"Serviço",0,IF(ACOMPANHAMENTO="BM",ROUND(OFFSET(ORÇAMENTO!AJ$15,ROW(H129)-ROW(H$15),0),15-13*ORÇAMENTO!$AF$7),SUMPRODUCT(($Q$1:$AQ$1=1)*ROUND($Q129:$AQ129,15-13*ORÇAMENTO!$AF$7))))</f>
        <v>325</v>
      </c>
      <c r="I129" s="343" t="s">
        <v>973</v>
      </c>
      <c r="J129" s="344" t="e">
        <f aca="false">IF(OR(B129&lt;&gt;"S",CÁLCULO.FrentesPreenchidas=0),"",IF(AND(ACOMPANHAMENTO="PLE",AUTOEVENTO="Manual",OR(H129&gt;0,ORÇAMENTO!AC129="QUANT."),OR(K129="",M129=0,N129="")),"►",IF(AND(ACOMPANHAMENTO="PLE",ORÇAMENTO!AC129="QUANT."),"►►",IF(AND(COUNTIF($P$11:$AQ$11,"▼")=0,H129&gt;0,I129=""),"◄",""))))</f>
        <v>#NAME?</v>
      </c>
      <c r="K129" s="345"/>
      <c r="L129" s="346" t="s">
        <v>876</v>
      </c>
      <c r="M129" s="347" t="n">
        <f aca="true">IF($D129&lt;&gt;"Serviço","",
          IF(AUTOEVENTO="manual",$A129,
                IF(ISERROR(MATCH($A129,$A$15:OFFSET($A129,-1,0),0)),MAX($M$15:OFFSET(M129,-1,0))+1,
                      INDEX($M$15:OFFSET(M129,-1,0),MATCH($A129,$A$15:OFFSET($A129,-1,0),0)))))</f>
        <v>22</v>
      </c>
      <c r="N129" s="348" t="str">
        <f aca="true">IF($D129&lt;&gt;"Serviço","",
         IF(AUTOEVENTO="Manual",
                IF($A129=0,"&lt;-- defina o número do agrupador",
                       OFFSET(EVENTOS!$D$15,$A129-$A$15,0)),
                OFFSET($F$15,$A129,0)))</f>
        <v>ILUMINAÇÃO, TOMADAS E INTERRUPTORES</v>
      </c>
      <c r="O129" s="349"/>
      <c r="Q129" s="349" t="n">
        <v>13</v>
      </c>
      <c r="R129" s="350" t="n">
        <f aca="false">Q129</f>
        <v>13</v>
      </c>
      <c r="S129" s="350" t="n">
        <f aca="false">R129</f>
        <v>13</v>
      </c>
      <c r="T129" s="350" t="n">
        <f aca="false">S129</f>
        <v>13</v>
      </c>
      <c r="U129" s="350" t="n">
        <f aca="false">T129</f>
        <v>13</v>
      </c>
      <c r="V129" s="350" t="n">
        <f aca="false">U129</f>
        <v>13</v>
      </c>
      <c r="W129" s="350" t="n">
        <f aca="false">V129</f>
        <v>13</v>
      </c>
      <c r="X129" s="350" t="n">
        <f aca="false">W129</f>
        <v>13</v>
      </c>
      <c r="Y129" s="350" t="n">
        <f aca="false">X129</f>
        <v>13</v>
      </c>
      <c r="Z129" s="351" t="n">
        <f aca="false">Y129</f>
        <v>13</v>
      </c>
      <c r="AA129" s="350" t="n">
        <f aca="false">Z129</f>
        <v>13</v>
      </c>
      <c r="AB129" s="350" t="n">
        <f aca="false">AA129</f>
        <v>13</v>
      </c>
      <c r="AC129" s="350" t="n">
        <f aca="false">AB129</f>
        <v>13</v>
      </c>
      <c r="AD129" s="350" t="n">
        <f aca="false">AC129</f>
        <v>13</v>
      </c>
      <c r="AE129" s="350" t="n">
        <f aca="false">AD129</f>
        <v>13</v>
      </c>
      <c r="AF129" s="350" t="n">
        <f aca="false">AE129</f>
        <v>13</v>
      </c>
      <c r="AG129" s="350" t="n">
        <f aca="false">AF129</f>
        <v>13</v>
      </c>
      <c r="AH129" s="351" t="n">
        <f aca="false">AG129</f>
        <v>13</v>
      </c>
      <c r="AI129" s="350" t="n">
        <f aca="false">AH129</f>
        <v>13</v>
      </c>
      <c r="AJ129" s="350" t="n">
        <f aca="false">AI129</f>
        <v>13</v>
      </c>
      <c r="AK129" s="350" t="n">
        <f aca="false">AJ129</f>
        <v>13</v>
      </c>
      <c r="AL129" s="350" t="n">
        <f aca="false">AK129</f>
        <v>13</v>
      </c>
      <c r="AM129" s="350" t="n">
        <f aca="false">AL129</f>
        <v>13</v>
      </c>
      <c r="AN129" s="350" t="n">
        <f aca="false">AM129</f>
        <v>13</v>
      </c>
      <c r="AO129" s="350" t="n">
        <f aca="false">AN129</f>
        <v>13</v>
      </c>
      <c r="AP129" s="351"/>
      <c r="AR129" s="352" t="n">
        <f aca="true">IF(AND($D129="Serviço",AR$12&lt;&gt;0,$H129&gt;0,OR(AUTOEVENTO&lt;&gt;"manual",$M129&lt;&gt;$A$15)),
        IF(Import.TipoArredondamento&lt;&gt;"TransfereGOV",
              ROUND(OFFSET($P129,0,AR$13),15-13*ORÇAMENTO!$AF$7)/$H129*OFFSET(ORÇAMENTO!$X$15,ROW(AR129)-ROW(AR$15),0),
              ROUND(ROUND(OFFSET($P129,0,AR$13),15-13*ORÇAMENTO!$AF$7)*OFFSET(ORÇAMENTO!$W$15,ROW(AR129)-ROW(AR$15),0),15-13*ORÇAMENTO!$AF$11)),
         0)</f>
        <v>3959.67</v>
      </c>
      <c r="AS129" s="352" t="n">
        <f aca="true">IF(AND($D129="Serviço",AS$12&lt;&gt;0,$H129&gt;0,OR(AUTOEVENTO&lt;&gt;"manual",$M129&lt;&gt;$A$15)),
        IF(Import.TipoArredondamento&lt;&gt;"TransfereGOV",
              ROUND(OFFSET($P129,0,AS$13),15-13*ORÇAMENTO!$AF$7)/$H129*OFFSET(ORÇAMENTO!$X$15,ROW(AS129)-ROW(AS$15),0),
              ROUND(ROUND(OFFSET($P129,0,AS$13),15-13*ORÇAMENTO!$AF$7)*OFFSET(ORÇAMENTO!$W$15,ROW(AS129)-ROW(AS$15),0),15-13*ORÇAMENTO!$AF$11)),
         0)</f>
        <v>3959.67</v>
      </c>
      <c r="AT129" s="352" t="n">
        <f aca="true">IF(AND($D129="Serviço",AT$12&lt;&gt;0,$H129&gt;0,OR(AUTOEVENTO&lt;&gt;"manual",$M129&lt;&gt;$A$15)),
        IF(Import.TipoArredondamento&lt;&gt;"TransfereGOV",
              ROUND(OFFSET($P129,0,AT$13),15-13*ORÇAMENTO!$AF$7)/$H129*OFFSET(ORÇAMENTO!$X$15,ROW(AT129)-ROW(AT$15),0),
              ROUND(ROUND(OFFSET($P129,0,AT$13),15-13*ORÇAMENTO!$AF$7)*OFFSET(ORÇAMENTO!$W$15,ROW(AT129)-ROW(AT$15),0),15-13*ORÇAMENTO!$AF$11)),
         0)</f>
        <v>3959.67</v>
      </c>
      <c r="AU129" s="352" t="n">
        <f aca="true">IF(AND($D129="Serviço",AU$12&lt;&gt;0,$H129&gt;0,OR(AUTOEVENTO&lt;&gt;"manual",$M129&lt;&gt;$A$15)),
        IF(Import.TipoArredondamento&lt;&gt;"TransfereGOV",
              ROUND(OFFSET($P129,0,AU$13),15-13*ORÇAMENTO!$AF$7)/$H129*OFFSET(ORÇAMENTO!$X$15,ROW(AU129)-ROW(AU$15),0),
              ROUND(ROUND(OFFSET($P129,0,AU$13),15-13*ORÇAMENTO!$AF$7)*OFFSET(ORÇAMENTO!$W$15,ROW(AU129)-ROW(AU$15),0),15-13*ORÇAMENTO!$AF$11)),
         0)</f>
        <v>3959.67</v>
      </c>
      <c r="AV129" s="352" t="n">
        <f aca="true">IF(AND($D129="Serviço",AV$12&lt;&gt;0,$H129&gt;0,OR(AUTOEVENTO&lt;&gt;"manual",$M129&lt;&gt;$A$15)),
        IF(Import.TipoArredondamento&lt;&gt;"TransfereGOV",
              ROUND(OFFSET($P129,0,AV$13),15-13*ORÇAMENTO!$AF$7)/$H129*OFFSET(ORÇAMENTO!$X$15,ROW(AV129)-ROW(AV$15),0),
              ROUND(ROUND(OFFSET($P129,0,AV$13),15-13*ORÇAMENTO!$AF$7)*OFFSET(ORÇAMENTO!$W$15,ROW(AV129)-ROW(AV$15),0),15-13*ORÇAMENTO!$AF$11)),
         0)</f>
        <v>3959.67</v>
      </c>
      <c r="AW129" s="352" t="n">
        <f aca="true">IF(AND($D129="Serviço",AW$12&lt;&gt;0,$H129&gt;0,OR(AUTOEVENTO&lt;&gt;"manual",$M129&lt;&gt;$A$15)),
        IF(Import.TipoArredondamento&lt;&gt;"TransfereGOV",
              ROUND(OFFSET($P129,0,AW$13),15-13*ORÇAMENTO!$AF$7)/$H129*OFFSET(ORÇAMENTO!$X$15,ROW(AW129)-ROW(AW$15),0),
              ROUND(ROUND(OFFSET($P129,0,AW$13),15-13*ORÇAMENTO!$AF$7)*OFFSET(ORÇAMENTO!$W$15,ROW(AW129)-ROW(AW$15),0),15-13*ORÇAMENTO!$AF$11)),
         0)</f>
        <v>3959.67</v>
      </c>
      <c r="AX129" s="352" t="n">
        <f aca="true">IF(AND($D129="Serviço",AX$12&lt;&gt;0,$H129&gt;0,OR(AUTOEVENTO&lt;&gt;"manual",$M129&lt;&gt;$A$15)),
        IF(Import.TipoArredondamento&lt;&gt;"TransfereGOV",
              ROUND(OFFSET($P129,0,AX$13),15-13*ORÇAMENTO!$AF$7)/$H129*OFFSET(ORÇAMENTO!$X$15,ROW(AX129)-ROW(AX$15),0),
              ROUND(ROUND(OFFSET($P129,0,AX$13),15-13*ORÇAMENTO!$AF$7)*OFFSET(ORÇAMENTO!$W$15,ROW(AX129)-ROW(AX$15),0),15-13*ORÇAMENTO!$AF$11)),
         0)</f>
        <v>3959.67</v>
      </c>
      <c r="AY129" s="352" t="n">
        <f aca="true">IF(AND($D129="Serviço",AY$12&lt;&gt;0,$H129&gt;0,OR(AUTOEVENTO&lt;&gt;"manual",$M129&lt;&gt;$A$15)),
        IF(Import.TipoArredondamento&lt;&gt;"TransfereGOV",
              ROUND(OFFSET($P129,0,AY$13),15-13*ORÇAMENTO!$AF$7)/$H129*OFFSET(ORÇAMENTO!$X$15,ROW(AY129)-ROW(AY$15),0),
              ROUND(ROUND(OFFSET($P129,0,AY$13),15-13*ORÇAMENTO!$AF$7)*OFFSET(ORÇAMENTO!$W$15,ROW(AY129)-ROW(AY$15),0),15-13*ORÇAMENTO!$AF$11)),
         0)</f>
        <v>3959.67</v>
      </c>
      <c r="AZ129" s="352" t="n">
        <f aca="true">IF(AND($D129="Serviço",AZ$12&lt;&gt;0,$H129&gt;0,OR(AUTOEVENTO&lt;&gt;"manual",$M129&lt;&gt;$A$15)),
        IF(Import.TipoArredondamento&lt;&gt;"TransfereGOV",
              ROUND(OFFSET($P129,0,AZ$13),15-13*ORÇAMENTO!$AF$7)/$H129*OFFSET(ORÇAMENTO!$X$15,ROW(AZ129)-ROW(AZ$15),0),
              ROUND(ROUND(OFFSET($P129,0,AZ$13),15-13*ORÇAMENTO!$AF$7)*OFFSET(ORÇAMENTO!$W$15,ROW(AZ129)-ROW(AZ$15),0),15-13*ORÇAMENTO!$AF$11)),
         0)</f>
        <v>3959.67</v>
      </c>
      <c r="BA129" s="352" t="n">
        <f aca="true">IF(AND($D129="Serviço",BA$12&lt;&gt;0,$H129&gt;0,OR(AUTOEVENTO&lt;&gt;"manual",$M129&lt;&gt;$A$15)),
        IF(Import.TipoArredondamento&lt;&gt;"TransfereGOV",
              ROUND(OFFSET($P129,0,BA$13),15-13*ORÇAMENTO!$AF$7)/$H129*OFFSET(ORÇAMENTO!$X$15,ROW(BA129)-ROW(BA$15),0),
              ROUND(ROUND(OFFSET($P129,0,BA$13),15-13*ORÇAMENTO!$AF$7)*OFFSET(ORÇAMENTO!$W$15,ROW(BA129)-ROW(BA$15),0),15-13*ORÇAMENTO!$AF$11)),
         0)</f>
        <v>3959.67</v>
      </c>
      <c r="BB129" s="352" t="n">
        <f aca="true">IF(AND($D129="Serviço",BB$12&lt;&gt;0,$H129&gt;0,OR(AUTOEVENTO&lt;&gt;"manual",$M129&lt;&gt;$A$15)),
        IF(Import.TipoArredondamento&lt;&gt;"TransfereGOV",
              ROUND(OFFSET($P129,0,BB$13),15-13*ORÇAMENTO!$AF$7)/$H129*OFFSET(ORÇAMENTO!$X$15,ROW(BB129)-ROW(BB$15),0),
              ROUND(ROUND(OFFSET($P129,0,BB$13),15-13*ORÇAMENTO!$AF$7)*OFFSET(ORÇAMENTO!$W$15,ROW(BB129)-ROW(BB$15),0),15-13*ORÇAMENTO!$AF$11)),
         0)</f>
        <v>3959.67</v>
      </c>
      <c r="BC129" s="352" t="n">
        <f aca="true">IF(AND($D129="Serviço",BC$12&lt;&gt;0,$H129&gt;0,OR(AUTOEVENTO&lt;&gt;"manual",$M129&lt;&gt;$A$15)),
        IF(Import.TipoArredondamento&lt;&gt;"TransfereGOV",
              ROUND(OFFSET($P129,0,BC$13),15-13*ORÇAMENTO!$AF$7)/$H129*OFFSET(ORÇAMENTO!$X$15,ROW(BC129)-ROW(BC$15),0),
              ROUND(ROUND(OFFSET($P129,0,BC$13),15-13*ORÇAMENTO!$AF$7)*OFFSET(ORÇAMENTO!$W$15,ROW(BC129)-ROW(BC$15),0),15-13*ORÇAMENTO!$AF$11)),
         0)</f>
        <v>3959.67</v>
      </c>
      <c r="BD129" s="352" t="n">
        <f aca="true">IF(AND($D129="Serviço",BD$12&lt;&gt;0,$H129&gt;0,OR(AUTOEVENTO&lt;&gt;"manual",$M129&lt;&gt;$A$15)),
        IF(Import.TipoArredondamento&lt;&gt;"TransfereGOV",
              ROUND(OFFSET($P129,0,BD$13),15-13*ORÇAMENTO!$AF$7)/$H129*OFFSET(ORÇAMENTO!$X$15,ROW(BD129)-ROW(BD$15),0),
              ROUND(ROUND(OFFSET($P129,0,BD$13),15-13*ORÇAMENTO!$AF$7)*OFFSET(ORÇAMENTO!$W$15,ROW(BD129)-ROW(BD$15),0),15-13*ORÇAMENTO!$AF$11)),
         0)</f>
        <v>3959.67</v>
      </c>
      <c r="BE129" s="352" t="n">
        <f aca="true">IF(AND($D129="Serviço",BE$12&lt;&gt;0,$H129&gt;0,OR(AUTOEVENTO&lt;&gt;"manual",$M129&lt;&gt;$A$15)),
        IF(Import.TipoArredondamento&lt;&gt;"TransfereGOV",
              ROUND(OFFSET($P129,0,BE$13),15-13*ORÇAMENTO!$AF$7)/$H129*OFFSET(ORÇAMENTO!$X$15,ROW(BE129)-ROW(BE$15),0),
              ROUND(ROUND(OFFSET($P129,0,BE$13),15-13*ORÇAMENTO!$AF$7)*OFFSET(ORÇAMENTO!$W$15,ROW(BE129)-ROW(BE$15),0),15-13*ORÇAMENTO!$AF$11)),
         0)</f>
        <v>3959.67</v>
      </c>
      <c r="BF129" s="352" t="n">
        <f aca="true">IF(AND($D129="Serviço",BF$12&lt;&gt;0,$H129&gt;0,OR(AUTOEVENTO&lt;&gt;"manual",$M129&lt;&gt;$A$15)),
        IF(Import.TipoArredondamento&lt;&gt;"TransfereGOV",
              ROUND(OFFSET($P129,0,BF$13),15-13*ORÇAMENTO!$AF$7)/$H129*OFFSET(ORÇAMENTO!$X$15,ROW(BF129)-ROW(BF$15),0),
              ROUND(ROUND(OFFSET($P129,0,BF$13),15-13*ORÇAMENTO!$AF$7)*OFFSET(ORÇAMENTO!$W$15,ROW(BF129)-ROW(BF$15),0),15-13*ORÇAMENTO!$AF$11)),
         0)</f>
        <v>3959.67</v>
      </c>
      <c r="BG129" s="352" t="n">
        <f aca="true">IF(AND($D129="Serviço",BG$12&lt;&gt;0,$H129&gt;0,OR(AUTOEVENTO&lt;&gt;"manual",$M129&lt;&gt;$A$15)),
        IF(Import.TipoArredondamento&lt;&gt;"TransfereGOV",
              ROUND(OFFSET($P129,0,BG$13),15-13*ORÇAMENTO!$AF$7)/$H129*OFFSET(ORÇAMENTO!$X$15,ROW(BG129)-ROW(BG$15),0),
              ROUND(ROUND(OFFSET($P129,0,BG$13),15-13*ORÇAMENTO!$AF$7)*OFFSET(ORÇAMENTO!$W$15,ROW(BG129)-ROW(BG$15),0),15-13*ORÇAMENTO!$AF$11)),
         0)</f>
        <v>3959.67</v>
      </c>
      <c r="BH129" s="352" t="n">
        <f aca="true">IF(AND($D129="Serviço",BH$12&lt;&gt;0,$H129&gt;0,OR(AUTOEVENTO&lt;&gt;"manual",$M129&lt;&gt;$A$15)),
        IF(Import.TipoArredondamento&lt;&gt;"TransfereGOV",
              ROUND(OFFSET($P129,0,BH$13),15-13*ORÇAMENTO!$AF$7)/$H129*OFFSET(ORÇAMENTO!$X$15,ROW(BH129)-ROW(BH$15),0),
              ROUND(ROUND(OFFSET($P129,0,BH$13),15-13*ORÇAMENTO!$AF$7)*OFFSET(ORÇAMENTO!$W$15,ROW(BH129)-ROW(BH$15),0),15-13*ORÇAMENTO!$AF$11)),
         0)</f>
        <v>3959.67</v>
      </c>
      <c r="BI129" s="352" t="n">
        <f aca="true">IF(AND($D129="Serviço",BI$12&lt;&gt;0,$H129&gt;0,OR(AUTOEVENTO&lt;&gt;"manual",$M129&lt;&gt;$A$15)),
        IF(Import.TipoArredondamento&lt;&gt;"TransfereGOV",
              ROUND(OFFSET($P129,0,BI$13),15-13*ORÇAMENTO!$AF$7)/$H129*OFFSET(ORÇAMENTO!$X$15,ROW(BI129)-ROW(BI$15),0),
              ROUND(ROUND(OFFSET($P129,0,BI$13),15-13*ORÇAMENTO!$AF$7)*OFFSET(ORÇAMENTO!$W$15,ROW(BI129)-ROW(BI$15),0),15-13*ORÇAMENTO!$AF$11)),
         0)</f>
        <v>3959.67</v>
      </c>
      <c r="BJ129" s="352" t="n">
        <f aca="true">IF(AND($D129="Serviço",BJ$12&lt;&gt;0,$H129&gt;0,OR(AUTOEVENTO&lt;&gt;"manual",$M129&lt;&gt;$A$15)),
        IF(Import.TipoArredondamento&lt;&gt;"TransfereGOV",
              ROUND(OFFSET($P129,0,BJ$13),15-13*ORÇAMENTO!$AF$7)/$H129*OFFSET(ORÇAMENTO!$X$15,ROW(BJ129)-ROW(BJ$15),0),
              ROUND(ROUND(OFFSET($P129,0,BJ$13),15-13*ORÇAMENTO!$AF$7)*OFFSET(ORÇAMENTO!$W$15,ROW(BJ129)-ROW(BJ$15),0),15-13*ORÇAMENTO!$AF$11)),
         0)</f>
        <v>3959.67</v>
      </c>
      <c r="BK129" s="352" t="n">
        <f aca="true">IF(AND($D129="Serviço",BK$12&lt;&gt;0,$H129&gt;0,OR(AUTOEVENTO&lt;&gt;"manual",$M129&lt;&gt;$A$15)),
        IF(Import.TipoArredondamento&lt;&gt;"TransfereGOV",
              ROUND(OFFSET($P129,0,BK$13),15-13*ORÇAMENTO!$AF$7)/$H129*OFFSET(ORÇAMENTO!$X$15,ROW(BK129)-ROW(BK$15),0),
              ROUND(ROUND(OFFSET($P129,0,BK$13),15-13*ORÇAMENTO!$AF$7)*OFFSET(ORÇAMENTO!$W$15,ROW(BK129)-ROW(BK$15),0),15-13*ORÇAMENTO!$AF$11)),
         0)</f>
        <v>3959.67</v>
      </c>
      <c r="BL129" s="352" t="n">
        <f aca="true">IF(AND($D129="Serviço",BL$12&lt;&gt;0,$H129&gt;0,OR(AUTOEVENTO&lt;&gt;"manual",$M129&lt;&gt;$A$15)),
        IF(Import.TipoArredondamento&lt;&gt;"TransfereGOV",
              ROUND(OFFSET($P129,0,BL$13),15-13*ORÇAMENTO!$AF$7)/$H129*OFFSET(ORÇAMENTO!$X$15,ROW(BL129)-ROW(BL$15),0),
              ROUND(ROUND(OFFSET($P129,0,BL$13),15-13*ORÇAMENTO!$AF$7)*OFFSET(ORÇAMENTO!$W$15,ROW(BL129)-ROW(BL$15),0),15-13*ORÇAMENTO!$AF$11)),
         0)</f>
        <v>3959.67</v>
      </c>
      <c r="BM129" s="352" t="n">
        <f aca="true">IF(AND($D129="Serviço",BM$12&lt;&gt;0,$H129&gt;0,OR(AUTOEVENTO&lt;&gt;"manual",$M129&lt;&gt;$A$15)),
        IF(Import.TipoArredondamento&lt;&gt;"TransfereGOV",
              ROUND(OFFSET($P129,0,BM$13),15-13*ORÇAMENTO!$AF$7)/$H129*OFFSET(ORÇAMENTO!$X$15,ROW(BM129)-ROW(BM$15),0),
              ROUND(ROUND(OFFSET($P129,0,BM$13),15-13*ORÇAMENTO!$AF$7)*OFFSET(ORÇAMENTO!$W$15,ROW(BM129)-ROW(BM$15),0),15-13*ORÇAMENTO!$AF$11)),
         0)</f>
        <v>3959.67</v>
      </c>
      <c r="BN129" s="352" t="n">
        <f aca="true">IF(AND($D129="Serviço",BN$12&lt;&gt;0,$H129&gt;0,OR(AUTOEVENTO&lt;&gt;"manual",$M129&lt;&gt;$A$15)),
        IF(Import.TipoArredondamento&lt;&gt;"TransfereGOV",
              ROUND(OFFSET($P129,0,BN$13),15-13*ORÇAMENTO!$AF$7)/$H129*OFFSET(ORÇAMENTO!$X$15,ROW(BN129)-ROW(BN$15),0),
              ROUND(ROUND(OFFSET($P129,0,BN$13),15-13*ORÇAMENTO!$AF$7)*OFFSET(ORÇAMENTO!$W$15,ROW(BN129)-ROW(BN$15),0),15-13*ORÇAMENTO!$AF$11)),
         0)</f>
        <v>3959.67</v>
      </c>
      <c r="BO129" s="352" t="n">
        <f aca="true">IF(AND($D129="Serviço",BO$12&lt;&gt;0,$H129&gt;0,OR(AUTOEVENTO&lt;&gt;"manual",$M129&lt;&gt;$A$15)),
        IF(Import.TipoArredondamento&lt;&gt;"TransfereGOV",
              ROUND(OFFSET($P129,0,BO$13),15-13*ORÇAMENTO!$AF$7)/$H129*OFFSET(ORÇAMENTO!$X$15,ROW(BO129)-ROW(BO$15),0),
              ROUND(ROUND(OFFSET($P129,0,BO$13),15-13*ORÇAMENTO!$AF$7)*OFFSET(ORÇAMENTO!$W$15,ROW(BO129)-ROW(BO$15),0),15-13*ORÇAMENTO!$AF$11)),
         0)</f>
        <v>3959.67</v>
      </c>
      <c r="BP129" s="352" t="n">
        <f aca="true">IF(AND($D129="Serviço",BP$12&lt;&gt;0,$H129&gt;0,OR(AUTOEVENTO&lt;&gt;"manual",$M129&lt;&gt;$A$15)),
        IF(Import.TipoArredondamento&lt;&gt;"TransfereGOV",
              ROUND(OFFSET($P129,0,BP$13),15-13*ORÇAMENTO!$AF$7)/$H129*OFFSET(ORÇAMENTO!$X$15,ROW(BP129)-ROW(BP$15),0),
              ROUND(ROUND(OFFSET($P129,0,BP$13),15-13*ORÇAMENTO!$AF$7)*OFFSET(ORÇAMENTO!$W$15,ROW(BP129)-ROW(BP$15),0),15-13*ORÇAMENTO!$AF$11)),
         0)</f>
        <v>3959.67</v>
      </c>
      <c r="BQ129" s="352" t="n">
        <f aca="true">IF(AND($D129="Serviço",BQ$12&lt;&gt;0,$H129&gt;0,OR(AUTOEVENTO&lt;&gt;"manual",$M129&lt;&gt;$A$15)),
        IF(Import.TipoArredondamento&lt;&gt;"TransfereGOV",
              ROUND(OFFSET($P129,0,BQ$13),15-13*ORÇAMENTO!$AF$7)/$H129*OFFSET(ORÇAMENTO!$X$15,ROW(BQ129)-ROW(BQ$15),0),
              ROUND(ROUND(OFFSET($P129,0,BQ$13),15-13*ORÇAMENTO!$AF$7)*OFFSET(ORÇAMENTO!$W$15,ROW(BQ129)-ROW(BQ$15),0),15-13*ORÇAMENTO!$AF$11)),
         0)</f>
        <v>0</v>
      </c>
      <c r="BS129" s="353" t="n">
        <f aca="true">IF(OR($D129&lt;&gt;"Serviço",AND(AUTOEVENTO="Manual",$M129=$A$15)),0,
         IF(OFFSET(CRONOPLE!$F$15,$M129-$A$15,BS$13)=0,10^12,OFFSET(CRONOPLE!$F$15,$M129-$A$15,BS$13)))</f>
        <v>1</v>
      </c>
      <c r="BT129" s="353" t="n">
        <f aca="true">IF(OR($D129&lt;&gt;"Serviço",AND(AUTOEVENTO="Manual",$M129=$A$15)),0,
         IF(OFFSET(CRONOPLE!$F$15,$M129-$A$15,BT$13)=0,10^12,OFFSET(CRONOPLE!$F$15,$M129-$A$15,BT$13)))</f>
        <v>2</v>
      </c>
      <c r="BU129" s="353" t="n">
        <f aca="true">IF(OR($D129&lt;&gt;"Serviço",AND(AUTOEVENTO="Manual",$M129=$A$15)),0,
         IF(OFFSET(CRONOPLE!$F$15,$M129-$A$15,BU$13)=0,10^12,OFFSET(CRONOPLE!$F$15,$M129-$A$15,BU$13)))</f>
        <v>3</v>
      </c>
      <c r="BV129" s="353" t="n">
        <f aca="true">IF(OR($D129&lt;&gt;"Serviço",AND(AUTOEVENTO="Manual",$M129=$A$15)),0,
         IF(OFFSET(CRONOPLE!$F$15,$M129-$A$15,BV$13)=0,10^12,OFFSET(CRONOPLE!$F$15,$M129-$A$15,BV$13)))</f>
        <v>4</v>
      </c>
      <c r="BW129" s="353" t="n">
        <f aca="true">IF(OR($D129&lt;&gt;"Serviço",AND(AUTOEVENTO="Manual",$M129=$A$15)),0,
         IF(OFFSET(CRONOPLE!$F$15,$M129-$A$15,BW$13)=0,10^12,OFFSET(CRONOPLE!$F$15,$M129-$A$15,BW$13)))</f>
        <v>5</v>
      </c>
      <c r="BX129" s="353" t="n">
        <f aca="true">IF(OR($D129&lt;&gt;"Serviço",AND(AUTOEVENTO="Manual",$M129=$A$15)),0,
         IF(OFFSET(CRONOPLE!$F$15,$M129-$A$15,BX$13)=0,10^12,OFFSET(CRONOPLE!$F$15,$M129-$A$15,BX$13)))</f>
        <v>6</v>
      </c>
      <c r="BY129" s="353" t="n">
        <f aca="true">IF(OR($D129&lt;&gt;"Serviço",AND(AUTOEVENTO="Manual",$M129=$A$15)),0,
         IF(OFFSET(CRONOPLE!$F$15,$M129-$A$15,BY$13)=0,10^12,OFFSET(CRONOPLE!$F$15,$M129-$A$15,BY$13)))</f>
        <v>7</v>
      </c>
      <c r="BZ129" s="353" t="n">
        <f aca="true">IF(OR($D129&lt;&gt;"Serviço",AND(AUTOEVENTO="Manual",$M129=$A$15)),0,
         IF(OFFSET(CRONOPLE!$F$15,$M129-$A$15,BZ$13)=0,10^12,OFFSET(CRONOPLE!$F$15,$M129-$A$15,BZ$13)))</f>
        <v>8</v>
      </c>
      <c r="CA129" s="353" t="n">
        <f aca="true">IF(OR($D129&lt;&gt;"Serviço",AND(AUTOEVENTO="Manual",$M129=$A$15)),0,
         IF(OFFSET(CRONOPLE!$F$15,$M129-$A$15,CA$13)=0,10^12,OFFSET(CRONOPLE!$F$15,$M129-$A$15,CA$13)))</f>
        <v>9</v>
      </c>
      <c r="CB129" s="353" t="n">
        <f aca="true">IF(OR($D129&lt;&gt;"Serviço",AND(AUTOEVENTO="Manual",$M129=$A$15)),0,
         IF(OFFSET(CRONOPLE!$F$15,$M129-$A$15,CB$13)=0,10^12,OFFSET(CRONOPLE!$F$15,$M129-$A$15,CB$13)))</f>
        <v>10</v>
      </c>
      <c r="CC129" s="353" t="n">
        <f aca="true">IF(OR($D129&lt;&gt;"Serviço",AND(AUTOEVENTO="Manual",$M129=$A$15)),0,
         IF(OFFSET(CRONOPLE!$F$15,$M129-$A$15,CC$13)=0,10^12,OFFSET(CRONOPLE!$F$15,$M129-$A$15,CC$13)))</f>
        <v>11</v>
      </c>
      <c r="CD129" s="353" t="n">
        <f aca="true">IF(OR($D129&lt;&gt;"Serviço",AND(AUTOEVENTO="Manual",$M129=$A$15)),0,
         IF(OFFSET(CRONOPLE!$F$15,$M129-$A$15,CD$13)=0,10^12,OFFSET(CRONOPLE!$F$15,$M129-$A$15,CD$13)))</f>
        <v>12</v>
      </c>
      <c r="CE129" s="353" t="n">
        <f aca="true">IF(OR($D129&lt;&gt;"Serviço",AND(AUTOEVENTO="Manual",$M129=$A$15)),0,
         IF(OFFSET(CRONOPLE!$F$15,$M129-$A$15,CE$13)=0,10^12,OFFSET(CRONOPLE!$F$15,$M129-$A$15,CE$13)))</f>
        <v>13</v>
      </c>
      <c r="CF129" s="353" t="n">
        <f aca="true">IF(OR($D129&lt;&gt;"Serviço",AND(AUTOEVENTO="Manual",$M129=$A$15)),0,
         IF(OFFSET(CRONOPLE!$F$15,$M129-$A$15,CF$13)=0,10^12,OFFSET(CRONOPLE!$F$15,$M129-$A$15,CF$13)))</f>
        <v>14</v>
      </c>
      <c r="CG129" s="353" t="n">
        <f aca="true">IF(OR($D129&lt;&gt;"Serviço",AND(AUTOEVENTO="Manual",$M129=$A$15)),0,
         IF(OFFSET(CRONOPLE!$F$15,$M129-$A$15,CG$13)=0,10^12,OFFSET(CRONOPLE!$F$15,$M129-$A$15,CG$13)))</f>
        <v>15</v>
      </c>
      <c r="CH129" s="353" t="n">
        <f aca="true">IF(OR($D129&lt;&gt;"Serviço",AND(AUTOEVENTO="Manual",$M129=$A$15)),0,
         IF(OFFSET(CRONOPLE!$F$15,$M129-$A$15,CH$13)=0,10^12,OFFSET(CRONOPLE!$F$15,$M129-$A$15,CH$13)))</f>
        <v>16</v>
      </c>
      <c r="CI129" s="353" t="n">
        <f aca="true">IF(OR($D129&lt;&gt;"Serviço",AND(AUTOEVENTO="Manual",$M129=$A$15)),0,
         IF(OFFSET(CRONOPLE!$F$15,$M129-$A$15,CI$13)=0,10^12,OFFSET(CRONOPLE!$F$15,$M129-$A$15,CI$13)))</f>
        <v>17</v>
      </c>
      <c r="CJ129" s="353" t="n">
        <f aca="true">IF(OR($D129&lt;&gt;"Serviço",AND(AUTOEVENTO="Manual",$M129=$A$15)),0,
         IF(OFFSET(CRONOPLE!$F$15,$M129-$A$15,CJ$13)=0,10^12,OFFSET(CRONOPLE!$F$15,$M129-$A$15,CJ$13)))</f>
        <v>18</v>
      </c>
      <c r="CK129" s="353" t="n">
        <f aca="true">IF(OR($D129&lt;&gt;"Serviço",AND(AUTOEVENTO="Manual",$M129=$A$15)),0,
         IF(OFFSET(CRONOPLE!$F$15,$M129-$A$15,CK$13)=0,10^12,OFFSET(CRONOPLE!$F$15,$M129-$A$15,CK$13)))</f>
        <v>19</v>
      </c>
      <c r="CL129" s="353" t="n">
        <f aca="true">IF(OR($D129&lt;&gt;"Serviço",AND(AUTOEVENTO="Manual",$M129=$A$15)),0,
         IF(OFFSET(CRONOPLE!$F$15,$M129-$A$15,CL$13)=0,10^12,OFFSET(CRONOPLE!$F$15,$M129-$A$15,CL$13)))</f>
        <v>20</v>
      </c>
      <c r="CM129" s="353" t="n">
        <f aca="true">IF(OR($D129&lt;&gt;"Serviço",AND(AUTOEVENTO="Manual",$M129=$A$15)),0,
         IF(OFFSET(CRONOPLE!$F$15,$M129-$A$15,CM$13)=0,10^12,OFFSET(CRONOPLE!$F$15,$M129-$A$15,CM$13)))</f>
        <v>21</v>
      </c>
      <c r="CN129" s="353" t="n">
        <f aca="true">IF(OR($D129&lt;&gt;"Serviço",AND(AUTOEVENTO="Manual",$M129=$A$15)),0,
         IF(OFFSET(CRONOPLE!$F$15,$M129-$A$15,CN$13)=0,10^12,OFFSET(CRONOPLE!$F$15,$M129-$A$15,CN$13)))</f>
        <v>22</v>
      </c>
      <c r="CO129" s="353" t="n">
        <f aca="true">IF(OR($D129&lt;&gt;"Serviço",AND(AUTOEVENTO="Manual",$M129=$A$15)),0,
         IF(OFFSET(CRONOPLE!$F$15,$M129-$A$15,CO$13)=0,10^12,OFFSET(CRONOPLE!$F$15,$M129-$A$15,CO$13)))</f>
        <v>23</v>
      </c>
      <c r="CP129" s="353" t="n">
        <f aca="true">IF(OR($D129&lt;&gt;"Serviço",AND(AUTOEVENTO="Manual",$M129=$A$15)),0,
         IF(OFFSET(CRONOPLE!$F$15,$M129-$A$15,CP$13)=0,10^12,OFFSET(CRONOPLE!$F$15,$M129-$A$15,CP$13)))</f>
        <v>24</v>
      </c>
      <c r="CQ129" s="353" t="n">
        <f aca="true">IF(OR($D129&lt;&gt;"Serviço",AND(AUTOEVENTO="Manual",$M129=$A$15)),0,
         IF(OFFSET(CRONOPLE!$F$15,$M129-$A$15,CQ$13)=0,10^12,OFFSET(CRONOPLE!$F$15,$M129-$A$15,CQ$13)))</f>
        <v>25</v>
      </c>
      <c r="CR129" s="353" t="n">
        <f aca="true">IF(OR($D129&lt;&gt;"Serviço",AND(AUTOEVENTO="Manual",$M129=$A$15)),0,
         IF(OFFSET(CRONOPLE!$F$15,$M129-$A$15,CR$13)=0,10^12,OFFSET(CRONOPLE!$F$15,$M129-$A$15,CR$13)))</f>
        <v>1000000000000</v>
      </c>
      <c r="CT129" s="354" t="n">
        <f aca="true">IF(OR($D129&lt;&gt;"Serviço",AND(AUTOEVENTO="Manual",$M129=$A$15),$M129&gt;(ROW(PLE.lastrow)-ROW(PLE.firstrow))),0,
           IF(OFFSET(PLE!$G$15,$M129-$A$15,CT$13)="",10^12,OFFSET(PLE!$G$15,$M129-$A$15,CT$13)))</f>
        <v>1000000000000</v>
      </c>
      <c r="CU129" s="354" t="n">
        <f aca="true">IF(OR($D129&lt;&gt;"Serviço",AND(AUTOEVENTO="Manual",$M129=$A$15),$M129&gt;(ROW(PLE.lastrow)-ROW(PLE.firstrow))),0,
           IF(OFFSET(PLE!$G$15,$M129-$A$15,CU$13)="",10^12,OFFSET(PLE!$G$15,$M129-$A$15,CU$13)))</f>
        <v>1000000000000</v>
      </c>
      <c r="CV129" s="354" t="n">
        <f aca="true">IF(OR($D129&lt;&gt;"Serviço",AND(AUTOEVENTO="Manual",$M129=$A$15),$M129&gt;(ROW(PLE.lastrow)-ROW(PLE.firstrow))),0,
           IF(OFFSET(PLE!$G$15,$M129-$A$15,CV$13)="",10^12,OFFSET(PLE!$G$15,$M129-$A$15,CV$13)))</f>
        <v>1000000000000</v>
      </c>
      <c r="CW129" s="354" t="n">
        <f aca="true">IF(OR($D129&lt;&gt;"Serviço",AND(AUTOEVENTO="Manual",$M129=$A$15),$M129&gt;(ROW(PLE.lastrow)-ROW(PLE.firstrow))),0,
           IF(OFFSET(PLE!$G$15,$M129-$A$15,CW$13)="",10^12,OFFSET(PLE!$G$15,$M129-$A$15,CW$13)))</f>
        <v>1000000000000</v>
      </c>
      <c r="CX129" s="354" t="n">
        <f aca="true">IF(OR($D129&lt;&gt;"Serviço",AND(AUTOEVENTO="Manual",$M129=$A$15),$M129&gt;(ROW(PLE.lastrow)-ROW(PLE.firstrow))),0,
           IF(OFFSET(PLE!$G$15,$M129-$A$15,CX$13)="",10^12,OFFSET(PLE!$G$15,$M129-$A$15,CX$13)))</f>
        <v>1000000000000</v>
      </c>
      <c r="CY129" s="354" t="n">
        <f aca="true">IF(OR($D129&lt;&gt;"Serviço",AND(AUTOEVENTO="Manual",$M129=$A$15),$M129&gt;(ROW(PLE.lastrow)-ROW(PLE.firstrow))),0,
           IF(OFFSET(PLE!$G$15,$M129-$A$15,CY$13)="",10^12,OFFSET(PLE!$G$15,$M129-$A$15,CY$13)))</f>
        <v>1000000000000</v>
      </c>
      <c r="CZ129" s="354" t="n">
        <f aca="true">IF(OR($D129&lt;&gt;"Serviço",AND(AUTOEVENTO="Manual",$M129=$A$15),$M129&gt;(ROW(PLE.lastrow)-ROW(PLE.firstrow))),0,
           IF(OFFSET(PLE!$G$15,$M129-$A$15,CZ$13)="",10^12,OFFSET(PLE!$G$15,$M129-$A$15,CZ$13)))</f>
        <v>1000000000000</v>
      </c>
      <c r="DA129" s="354" t="n">
        <f aca="true">IF(OR($D129&lt;&gt;"Serviço",AND(AUTOEVENTO="Manual",$M129=$A$15),$M129&gt;(ROW(PLE.lastrow)-ROW(PLE.firstrow))),0,
           IF(OFFSET(PLE!$G$15,$M129-$A$15,DA$13)="",10^12,OFFSET(PLE!$G$15,$M129-$A$15,DA$13)))</f>
        <v>1000000000000</v>
      </c>
      <c r="DB129" s="354" t="n">
        <f aca="true">IF(OR($D129&lt;&gt;"Serviço",AND(AUTOEVENTO="Manual",$M129=$A$15),$M129&gt;(ROW(PLE.lastrow)-ROW(PLE.firstrow))),0,
           IF(OFFSET(PLE!$G$15,$M129-$A$15,DB$13)="",10^12,OFFSET(PLE!$G$15,$M129-$A$15,DB$13)))</f>
        <v>1000000000000</v>
      </c>
      <c r="DC129" s="354" t="n">
        <f aca="true">IF(OR($D129&lt;&gt;"Serviço",AND(AUTOEVENTO="Manual",$M129=$A$15),$M129&gt;(ROW(PLE.lastrow)-ROW(PLE.firstrow))),0,
           IF(OFFSET(PLE!$G$15,$M129-$A$15,DC$13)="",10^12,OFFSET(PLE!$G$15,$M129-$A$15,DC$13)))</f>
        <v>1000000000000</v>
      </c>
      <c r="DD129" s="354" t="n">
        <f aca="true">IF(OR($D129&lt;&gt;"Serviço",AND(AUTOEVENTO="Manual",$M129=$A$15),$M129&gt;(ROW(PLE.lastrow)-ROW(PLE.firstrow))),0,
           IF(OFFSET(PLE!$G$15,$M129-$A$15,DD$13)="",10^12,OFFSET(PLE!$G$15,$M129-$A$15,DD$13)))</f>
        <v>1000000000000</v>
      </c>
      <c r="DE129" s="354" t="n">
        <f aca="true">IF(OR($D129&lt;&gt;"Serviço",AND(AUTOEVENTO="Manual",$M129=$A$15),$M129&gt;(ROW(PLE.lastrow)-ROW(PLE.firstrow))),0,
           IF(OFFSET(PLE!$G$15,$M129-$A$15,DE$13)="",10^12,OFFSET(PLE!$G$15,$M129-$A$15,DE$13)))</f>
        <v>1000000000000</v>
      </c>
      <c r="DF129" s="354" t="n">
        <f aca="true">IF(OR($D129&lt;&gt;"Serviço",AND(AUTOEVENTO="Manual",$M129=$A$15),$M129&gt;(ROW(PLE.lastrow)-ROW(PLE.firstrow))),0,
           IF(OFFSET(PLE!$G$15,$M129-$A$15,DF$13)="",10^12,OFFSET(PLE!$G$15,$M129-$A$15,DF$13)))</f>
        <v>1000000000000</v>
      </c>
      <c r="DG129" s="354" t="n">
        <f aca="true">IF(OR($D129&lt;&gt;"Serviço",AND(AUTOEVENTO="Manual",$M129=$A$15),$M129&gt;(ROW(PLE.lastrow)-ROW(PLE.firstrow))),0,
           IF(OFFSET(PLE!$G$15,$M129-$A$15,DG$13)="",10^12,OFFSET(PLE!$G$15,$M129-$A$15,DG$13)))</f>
        <v>1000000000000</v>
      </c>
      <c r="DH129" s="354" t="n">
        <f aca="true">IF(OR($D129&lt;&gt;"Serviço",AND(AUTOEVENTO="Manual",$M129=$A$15),$M129&gt;(ROW(PLE.lastrow)-ROW(PLE.firstrow))),0,
           IF(OFFSET(PLE!$G$15,$M129-$A$15,DH$13)="",10^12,OFFSET(PLE!$G$15,$M129-$A$15,DH$13)))</f>
        <v>1000000000000</v>
      </c>
      <c r="DI129" s="354" t="n">
        <f aca="true">IF(OR($D129&lt;&gt;"Serviço",AND(AUTOEVENTO="Manual",$M129=$A$15),$M129&gt;(ROW(PLE.lastrow)-ROW(PLE.firstrow))),0,
           IF(OFFSET(PLE!$G$15,$M129-$A$15,DI$13)="",10^12,OFFSET(PLE!$G$15,$M129-$A$15,DI$13)))</f>
        <v>1000000000000</v>
      </c>
      <c r="DJ129" s="354" t="n">
        <f aca="true">IF(OR($D129&lt;&gt;"Serviço",AND(AUTOEVENTO="Manual",$M129=$A$15),$M129&gt;(ROW(PLE.lastrow)-ROW(PLE.firstrow))),0,
           IF(OFFSET(PLE!$G$15,$M129-$A$15,DJ$13)="",10^12,OFFSET(PLE!$G$15,$M129-$A$15,DJ$13)))</f>
        <v>1000000000000</v>
      </c>
      <c r="DK129" s="354" t="n">
        <f aca="true">IF(OR($D129&lt;&gt;"Serviço",AND(AUTOEVENTO="Manual",$M129=$A$15),$M129&gt;(ROW(PLE.lastrow)-ROW(PLE.firstrow))),0,
           IF(OFFSET(PLE!$G$15,$M129-$A$15,DK$13)="",10^12,OFFSET(PLE!$G$15,$M129-$A$15,DK$13)))</f>
        <v>1000000000000</v>
      </c>
      <c r="DL129" s="354" t="n">
        <f aca="true">IF(OR($D129&lt;&gt;"Serviço",AND(AUTOEVENTO="Manual",$M129=$A$15),$M129&gt;(ROW(PLE.lastrow)-ROW(PLE.firstrow))),0,
           IF(OFFSET(PLE!$G$15,$M129-$A$15,DL$13)="",10^12,OFFSET(PLE!$G$15,$M129-$A$15,DL$13)))</f>
        <v>1000000000000</v>
      </c>
      <c r="DM129" s="354" t="n">
        <f aca="true">IF(OR($D129&lt;&gt;"Serviço",AND(AUTOEVENTO="Manual",$M129=$A$15),$M129&gt;(ROW(PLE.lastrow)-ROW(PLE.firstrow))),0,
           IF(OFFSET(PLE!$G$15,$M129-$A$15,DM$13)="",10^12,OFFSET(PLE!$G$15,$M129-$A$15,DM$13)))</f>
        <v>1000000000000</v>
      </c>
      <c r="DN129" s="354" t="n">
        <f aca="true">IF(OR($D129&lt;&gt;"Serviço",AND(AUTOEVENTO="Manual",$M129=$A$15),$M129&gt;(ROW(PLE.lastrow)-ROW(PLE.firstrow))),0,
           IF(OFFSET(PLE!$G$15,$M129-$A$15,DN$13)="",10^12,OFFSET(PLE!$G$15,$M129-$A$15,DN$13)))</f>
        <v>1000000000000</v>
      </c>
      <c r="DO129" s="354" t="n">
        <f aca="true">IF(OR($D129&lt;&gt;"Serviço",AND(AUTOEVENTO="Manual",$M129=$A$15),$M129&gt;(ROW(PLE.lastrow)-ROW(PLE.firstrow))),0,
           IF(OFFSET(PLE!$G$15,$M129-$A$15,DO$13)="",10^12,OFFSET(PLE!$G$15,$M129-$A$15,DO$13)))</f>
        <v>1000000000000</v>
      </c>
      <c r="DP129" s="354" t="n">
        <f aca="true">IF(OR($D129&lt;&gt;"Serviço",AND(AUTOEVENTO="Manual",$M129=$A$15),$M129&gt;(ROW(PLE.lastrow)-ROW(PLE.firstrow))),0,
           IF(OFFSET(PLE!$G$15,$M129-$A$15,DP$13)="",10^12,OFFSET(PLE!$G$15,$M129-$A$15,DP$13)))</f>
        <v>1000000000000</v>
      </c>
      <c r="DQ129" s="354" t="n">
        <f aca="true">IF(OR($D129&lt;&gt;"Serviço",AND(AUTOEVENTO="Manual",$M129=$A$15),$M129&gt;(ROW(PLE.lastrow)-ROW(PLE.firstrow))),0,
           IF(OFFSET(PLE!$G$15,$M129-$A$15,DQ$13)="",10^12,OFFSET(PLE!$G$15,$M129-$A$15,DQ$13)))</f>
        <v>1000000000000</v>
      </c>
      <c r="DR129" s="354" t="n">
        <f aca="true">IF(OR($D129&lt;&gt;"Serviço",AND(AUTOEVENTO="Manual",$M129=$A$15),$M129&gt;(ROW(PLE.lastrow)-ROW(PLE.firstrow))),0,
           IF(OFFSET(PLE!$G$15,$M129-$A$15,DR$13)="",10^12,OFFSET(PLE!$G$15,$M129-$A$15,DR$13)))</f>
        <v>1000000000000</v>
      </c>
      <c r="DS129" s="354" t="n">
        <f aca="true">IF(OR($D129&lt;&gt;"Serviço",AND(AUTOEVENTO="Manual",$M129=$A$15),$M129&gt;(ROW(PLE.lastrow)-ROW(PLE.firstrow))),0,
           IF(OFFSET(PLE!$G$15,$M129-$A$15,DS$13)="",10^12,OFFSET(PLE!$G$15,$M129-$A$15,DS$13)))</f>
        <v>1000000000000</v>
      </c>
    </row>
    <row r="130" customFormat="false" ht="79.85" hidden="false" customHeight="false" outlineLevel="0" collapsed="false">
      <c r="A130" s="50" t="str">
        <f aca="true">IFERROR(IF(AUTOEVENTO="Manual",IF(K130&lt;&gt;"",MIN(VALUE(LEFT(K130,FIND(".",K130)-1)),COUNTA(EVENTOS.Lista)),0),IF(OR($B130&gt;AUTOEVENTO,$B130="S",$B130=0),SUBSTITUTE(OFFSET($A130,-1,0),IF($D130="Serviço",".",""),""),ROW(A130)-ROW($A$15)&amp;".")),0)</f>
        <v>111</v>
      </c>
      <c r="B130" s="50" t="str">
        <f aca="true">OFFSET(ORÇAMENTO!C$15,ROW(B130)-ROW(B$15),0)</f>
        <v>S</v>
      </c>
      <c r="C130" s="50" t="str">
        <f aca="true">OFFSET(ORÇAMENTO!L$15,ROW(C130)-ROW(C$15),0)</f>
        <v>F</v>
      </c>
      <c r="D130" s="201" t="str">
        <f aca="true">OFFSET(ORÇAMENTO!N$15,ROW(D130)-ROW(D$15),0)</f>
        <v>Serviço</v>
      </c>
      <c r="E130" s="202" t="str">
        <f aca="true">OFFSET(ORÇAMENTO!O$15,ROW(E130)-ROW(E$15),0)</f>
        <v>1.37.4.</v>
      </c>
      <c r="F130" s="341" t="str">
        <f aca="true">OFFSET(ORÇAMENTO!R$15,ROW(F130)-ROW(F$15),0)</f>
        <v>PONTO DE EMBUTIR PARA UMA (1) LUMINÁRIA,COM ELETRODUTO
DE PVC RÍGIDO ROSCÁVEL, DN 20MM (3/4"), EMBUTIDO NA LAJE E
CABO DE COBRE FLEXÍVEL, CLASSE 5, ISOLAMENTO TIPO LSHF/
ATOX, NÃO HALOGENADO, SEÇÃO 1,5MM2 (70°C-450/750V), COM
DISTÂNCIA DE ATÉ CINCO (5) METROS DO PONTO DE DERIVAÇÃO,
EXCLUSIVE LUMINÁRIA, INCLUSIVE CAIXA DE LIGAÇÃO
OCTOGONAL, SUPORTE E FIXAÇÃO DO ELETRODUTO</v>
      </c>
      <c r="G130" s="342" t="str">
        <f aca="true">IF($D130&lt;&gt;"Serviço","",OFFSET(ORÇAMENTO!S$15,ROW(G130)-ROW(G$15),0))</f>
        <v>UN</v>
      </c>
      <c r="H130" s="207" t="n">
        <f aca="true">IF($D130&lt;&gt;"Serviço",0,IF(ACOMPANHAMENTO="BM",ROUND(OFFSET(ORÇAMENTO!AJ$15,ROW(H130)-ROW(H$15),0),15-13*ORÇAMENTO!$AF$7),SUMPRODUCT(($Q$1:$AQ$1=1)*ROUND($Q130:$AQ130,15-13*ORÇAMENTO!$AF$7))))</f>
        <v>250</v>
      </c>
      <c r="I130" s="343" t="s">
        <v>974</v>
      </c>
      <c r="J130" s="344" t="e">
        <f aca="false">IF(OR(B130&lt;&gt;"S",CÁLCULO.FrentesPreenchidas=0),"",IF(AND(ACOMPANHAMENTO="PLE",AUTOEVENTO="Manual",OR(H130&gt;0,ORÇAMENTO!AC130="QUANT."),OR(K130="",M130=0,N130="")),"►",IF(AND(ACOMPANHAMENTO="PLE",ORÇAMENTO!AC130="QUANT."),"►►",IF(AND(COUNTIF($P$11:$AQ$11,"▼")=0,H130&gt;0,I130=""),"◄",""))))</f>
        <v>#NAME?</v>
      </c>
      <c r="K130" s="345"/>
      <c r="L130" s="346" t="s">
        <v>876</v>
      </c>
      <c r="M130" s="347" t="n">
        <f aca="true">IF($D130&lt;&gt;"Serviço","",
          IF(AUTOEVENTO="manual",$A130,
                IF(ISERROR(MATCH($A130,$A$15:OFFSET($A130,-1,0),0)),MAX($M$15:OFFSET(M130,-1,0))+1,
                      INDEX($M$15:OFFSET(M130,-1,0),MATCH($A130,$A$15:OFFSET($A130,-1,0),0)))))</f>
        <v>22</v>
      </c>
      <c r="N130" s="348" t="str">
        <f aca="true">IF($D130&lt;&gt;"Serviço","",
         IF(AUTOEVENTO="Manual",
                IF($A130=0,"&lt;-- defina o número do agrupador",
                       OFFSET(EVENTOS!$D$15,$A130-$A$15,0)),
                OFFSET($F$15,$A130,0)))</f>
        <v>ILUMINAÇÃO, TOMADAS E INTERRUPTORES</v>
      </c>
      <c r="O130" s="349"/>
      <c r="Q130" s="349" t="n">
        <v>10</v>
      </c>
      <c r="R130" s="350" t="n">
        <f aca="false">Q130</f>
        <v>10</v>
      </c>
      <c r="S130" s="350" t="n">
        <f aca="false">R130</f>
        <v>10</v>
      </c>
      <c r="T130" s="350" t="n">
        <f aca="false">S130</f>
        <v>10</v>
      </c>
      <c r="U130" s="350" t="n">
        <f aca="false">T130</f>
        <v>10</v>
      </c>
      <c r="V130" s="350" t="n">
        <f aca="false">U130</f>
        <v>10</v>
      </c>
      <c r="W130" s="350" t="n">
        <f aca="false">V130</f>
        <v>10</v>
      </c>
      <c r="X130" s="350" t="n">
        <f aca="false">W130</f>
        <v>10</v>
      </c>
      <c r="Y130" s="350" t="n">
        <f aca="false">X130</f>
        <v>10</v>
      </c>
      <c r="Z130" s="351" t="n">
        <f aca="false">Y130</f>
        <v>10</v>
      </c>
      <c r="AA130" s="350" t="n">
        <f aca="false">Z130</f>
        <v>10</v>
      </c>
      <c r="AB130" s="350" t="n">
        <f aca="false">AA130</f>
        <v>10</v>
      </c>
      <c r="AC130" s="350" t="n">
        <f aca="false">AB130</f>
        <v>10</v>
      </c>
      <c r="AD130" s="350" t="n">
        <f aca="false">AC130</f>
        <v>10</v>
      </c>
      <c r="AE130" s="350" t="n">
        <f aca="false">AD130</f>
        <v>10</v>
      </c>
      <c r="AF130" s="350" t="n">
        <f aca="false">AE130</f>
        <v>10</v>
      </c>
      <c r="AG130" s="350" t="n">
        <f aca="false">AF130</f>
        <v>10</v>
      </c>
      <c r="AH130" s="351" t="n">
        <f aca="false">AG130</f>
        <v>10</v>
      </c>
      <c r="AI130" s="350" t="n">
        <f aca="false">AH130</f>
        <v>10</v>
      </c>
      <c r="AJ130" s="350" t="n">
        <f aca="false">AI130</f>
        <v>10</v>
      </c>
      <c r="AK130" s="350" t="n">
        <f aca="false">AJ130</f>
        <v>10</v>
      </c>
      <c r="AL130" s="350" t="n">
        <f aca="false">AK130</f>
        <v>10</v>
      </c>
      <c r="AM130" s="350" t="n">
        <f aca="false">AL130</f>
        <v>10</v>
      </c>
      <c r="AN130" s="350" t="n">
        <f aca="false">AM130</f>
        <v>10</v>
      </c>
      <c r="AO130" s="350" t="n">
        <f aca="false">AN130</f>
        <v>10</v>
      </c>
      <c r="AP130" s="351"/>
      <c r="AR130" s="352" t="n">
        <f aca="true">IF(AND($D130="Serviço",AR$12&lt;&gt;0,$H130&gt;0,OR(AUTOEVENTO&lt;&gt;"manual",$M130&lt;&gt;$A$15)),
        IF(Import.TipoArredondamento&lt;&gt;"TransfereGOV",
              ROUND(OFFSET($P130,0,AR$13),15-13*ORÇAMENTO!$AF$7)/$H130*OFFSET(ORÇAMENTO!$X$15,ROW(AR130)-ROW(AR$15),0),
              ROUND(ROUND(OFFSET($P130,0,AR$13),15-13*ORÇAMENTO!$AF$7)*OFFSET(ORÇAMENTO!$W$15,ROW(AR130)-ROW(AR$15),0),15-13*ORÇAMENTO!$AF$11)),
         0)</f>
        <v>1833.8</v>
      </c>
      <c r="AS130" s="352" t="n">
        <f aca="true">IF(AND($D130="Serviço",AS$12&lt;&gt;0,$H130&gt;0,OR(AUTOEVENTO&lt;&gt;"manual",$M130&lt;&gt;$A$15)),
        IF(Import.TipoArredondamento&lt;&gt;"TransfereGOV",
              ROUND(OFFSET($P130,0,AS$13),15-13*ORÇAMENTO!$AF$7)/$H130*OFFSET(ORÇAMENTO!$X$15,ROW(AS130)-ROW(AS$15),0),
              ROUND(ROUND(OFFSET($P130,0,AS$13),15-13*ORÇAMENTO!$AF$7)*OFFSET(ORÇAMENTO!$W$15,ROW(AS130)-ROW(AS$15),0),15-13*ORÇAMENTO!$AF$11)),
         0)</f>
        <v>1833.8</v>
      </c>
      <c r="AT130" s="352" t="n">
        <f aca="true">IF(AND($D130="Serviço",AT$12&lt;&gt;0,$H130&gt;0,OR(AUTOEVENTO&lt;&gt;"manual",$M130&lt;&gt;$A$15)),
        IF(Import.TipoArredondamento&lt;&gt;"TransfereGOV",
              ROUND(OFFSET($P130,0,AT$13),15-13*ORÇAMENTO!$AF$7)/$H130*OFFSET(ORÇAMENTO!$X$15,ROW(AT130)-ROW(AT$15),0),
              ROUND(ROUND(OFFSET($P130,0,AT$13),15-13*ORÇAMENTO!$AF$7)*OFFSET(ORÇAMENTO!$W$15,ROW(AT130)-ROW(AT$15),0),15-13*ORÇAMENTO!$AF$11)),
         0)</f>
        <v>1833.8</v>
      </c>
      <c r="AU130" s="352" t="n">
        <f aca="true">IF(AND($D130="Serviço",AU$12&lt;&gt;0,$H130&gt;0,OR(AUTOEVENTO&lt;&gt;"manual",$M130&lt;&gt;$A$15)),
        IF(Import.TipoArredondamento&lt;&gt;"TransfereGOV",
              ROUND(OFFSET($P130,0,AU$13),15-13*ORÇAMENTO!$AF$7)/$H130*OFFSET(ORÇAMENTO!$X$15,ROW(AU130)-ROW(AU$15),0),
              ROUND(ROUND(OFFSET($P130,0,AU$13),15-13*ORÇAMENTO!$AF$7)*OFFSET(ORÇAMENTO!$W$15,ROW(AU130)-ROW(AU$15),0),15-13*ORÇAMENTO!$AF$11)),
         0)</f>
        <v>1833.8</v>
      </c>
      <c r="AV130" s="352" t="n">
        <f aca="true">IF(AND($D130="Serviço",AV$12&lt;&gt;0,$H130&gt;0,OR(AUTOEVENTO&lt;&gt;"manual",$M130&lt;&gt;$A$15)),
        IF(Import.TipoArredondamento&lt;&gt;"TransfereGOV",
              ROUND(OFFSET($P130,0,AV$13),15-13*ORÇAMENTO!$AF$7)/$H130*OFFSET(ORÇAMENTO!$X$15,ROW(AV130)-ROW(AV$15),0),
              ROUND(ROUND(OFFSET($P130,0,AV$13),15-13*ORÇAMENTO!$AF$7)*OFFSET(ORÇAMENTO!$W$15,ROW(AV130)-ROW(AV$15),0),15-13*ORÇAMENTO!$AF$11)),
         0)</f>
        <v>1833.8</v>
      </c>
      <c r="AW130" s="352" t="n">
        <f aca="true">IF(AND($D130="Serviço",AW$12&lt;&gt;0,$H130&gt;0,OR(AUTOEVENTO&lt;&gt;"manual",$M130&lt;&gt;$A$15)),
        IF(Import.TipoArredondamento&lt;&gt;"TransfereGOV",
              ROUND(OFFSET($P130,0,AW$13),15-13*ORÇAMENTO!$AF$7)/$H130*OFFSET(ORÇAMENTO!$X$15,ROW(AW130)-ROW(AW$15),0),
              ROUND(ROUND(OFFSET($P130,0,AW$13),15-13*ORÇAMENTO!$AF$7)*OFFSET(ORÇAMENTO!$W$15,ROW(AW130)-ROW(AW$15),0),15-13*ORÇAMENTO!$AF$11)),
         0)</f>
        <v>1833.8</v>
      </c>
      <c r="AX130" s="352" t="n">
        <f aca="true">IF(AND($D130="Serviço",AX$12&lt;&gt;0,$H130&gt;0,OR(AUTOEVENTO&lt;&gt;"manual",$M130&lt;&gt;$A$15)),
        IF(Import.TipoArredondamento&lt;&gt;"TransfereGOV",
              ROUND(OFFSET($P130,0,AX$13),15-13*ORÇAMENTO!$AF$7)/$H130*OFFSET(ORÇAMENTO!$X$15,ROW(AX130)-ROW(AX$15),0),
              ROUND(ROUND(OFFSET($P130,0,AX$13),15-13*ORÇAMENTO!$AF$7)*OFFSET(ORÇAMENTO!$W$15,ROW(AX130)-ROW(AX$15),0),15-13*ORÇAMENTO!$AF$11)),
         0)</f>
        <v>1833.8</v>
      </c>
      <c r="AY130" s="352" t="n">
        <f aca="true">IF(AND($D130="Serviço",AY$12&lt;&gt;0,$H130&gt;0,OR(AUTOEVENTO&lt;&gt;"manual",$M130&lt;&gt;$A$15)),
        IF(Import.TipoArredondamento&lt;&gt;"TransfereGOV",
              ROUND(OFFSET($P130,0,AY$13),15-13*ORÇAMENTO!$AF$7)/$H130*OFFSET(ORÇAMENTO!$X$15,ROW(AY130)-ROW(AY$15),0),
              ROUND(ROUND(OFFSET($P130,0,AY$13),15-13*ORÇAMENTO!$AF$7)*OFFSET(ORÇAMENTO!$W$15,ROW(AY130)-ROW(AY$15),0),15-13*ORÇAMENTO!$AF$11)),
         0)</f>
        <v>1833.8</v>
      </c>
      <c r="AZ130" s="352" t="n">
        <f aca="true">IF(AND($D130="Serviço",AZ$12&lt;&gt;0,$H130&gt;0,OR(AUTOEVENTO&lt;&gt;"manual",$M130&lt;&gt;$A$15)),
        IF(Import.TipoArredondamento&lt;&gt;"TransfereGOV",
              ROUND(OFFSET($P130,0,AZ$13),15-13*ORÇAMENTO!$AF$7)/$H130*OFFSET(ORÇAMENTO!$X$15,ROW(AZ130)-ROW(AZ$15),0),
              ROUND(ROUND(OFFSET($P130,0,AZ$13),15-13*ORÇAMENTO!$AF$7)*OFFSET(ORÇAMENTO!$W$15,ROW(AZ130)-ROW(AZ$15),0),15-13*ORÇAMENTO!$AF$11)),
         0)</f>
        <v>1833.8</v>
      </c>
      <c r="BA130" s="352" t="n">
        <f aca="true">IF(AND($D130="Serviço",BA$12&lt;&gt;0,$H130&gt;0,OR(AUTOEVENTO&lt;&gt;"manual",$M130&lt;&gt;$A$15)),
        IF(Import.TipoArredondamento&lt;&gt;"TransfereGOV",
              ROUND(OFFSET($P130,0,BA$13),15-13*ORÇAMENTO!$AF$7)/$H130*OFFSET(ORÇAMENTO!$X$15,ROW(BA130)-ROW(BA$15),0),
              ROUND(ROUND(OFFSET($P130,0,BA$13),15-13*ORÇAMENTO!$AF$7)*OFFSET(ORÇAMENTO!$W$15,ROW(BA130)-ROW(BA$15),0),15-13*ORÇAMENTO!$AF$11)),
         0)</f>
        <v>1833.8</v>
      </c>
      <c r="BB130" s="352" t="n">
        <f aca="true">IF(AND($D130="Serviço",BB$12&lt;&gt;0,$H130&gt;0,OR(AUTOEVENTO&lt;&gt;"manual",$M130&lt;&gt;$A$15)),
        IF(Import.TipoArredondamento&lt;&gt;"TransfereGOV",
              ROUND(OFFSET($P130,0,BB$13),15-13*ORÇAMENTO!$AF$7)/$H130*OFFSET(ORÇAMENTO!$X$15,ROW(BB130)-ROW(BB$15),0),
              ROUND(ROUND(OFFSET($P130,0,BB$13),15-13*ORÇAMENTO!$AF$7)*OFFSET(ORÇAMENTO!$W$15,ROW(BB130)-ROW(BB$15),0),15-13*ORÇAMENTO!$AF$11)),
         0)</f>
        <v>1833.8</v>
      </c>
      <c r="BC130" s="352" t="n">
        <f aca="true">IF(AND($D130="Serviço",BC$12&lt;&gt;0,$H130&gt;0,OR(AUTOEVENTO&lt;&gt;"manual",$M130&lt;&gt;$A$15)),
        IF(Import.TipoArredondamento&lt;&gt;"TransfereGOV",
              ROUND(OFFSET($P130,0,BC$13),15-13*ORÇAMENTO!$AF$7)/$H130*OFFSET(ORÇAMENTO!$X$15,ROW(BC130)-ROW(BC$15),0),
              ROUND(ROUND(OFFSET($P130,0,BC$13),15-13*ORÇAMENTO!$AF$7)*OFFSET(ORÇAMENTO!$W$15,ROW(BC130)-ROW(BC$15),0),15-13*ORÇAMENTO!$AF$11)),
         0)</f>
        <v>1833.8</v>
      </c>
      <c r="BD130" s="352" t="n">
        <f aca="true">IF(AND($D130="Serviço",BD$12&lt;&gt;0,$H130&gt;0,OR(AUTOEVENTO&lt;&gt;"manual",$M130&lt;&gt;$A$15)),
        IF(Import.TipoArredondamento&lt;&gt;"TransfereGOV",
              ROUND(OFFSET($P130,0,BD$13),15-13*ORÇAMENTO!$AF$7)/$H130*OFFSET(ORÇAMENTO!$X$15,ROW(BD130)-ROW(BD$15),0),
              ROUND(ROUND(OFFSET($P130,0,BD$13),15-13*ORÇAMENTO!$AF$7)*OFFSET(ORÇAMENTO!$W$15,ROW(BD130)-ROW(BD$15),0),15-13*ORÇAMENTO!$AF$11)),
         0)</f>
        <v>1833.8</v>
      </c>
      <c r="BE130" s="352" t="n">
        <f aca="true">IF(AND($D130="Serviço",BE$12&lt;&gt;0,$H130&gt;0,OR(AUTOEVENTO&lt;&gt;"manual",$M130&lt;&gt;$A$15)),
        IF(Import.TipoArredondamento&lt;&gt;"TransfereGOV",
              ROUND(OFFSET($P130,0,BE$13),15-13*ORÇAMENTO!$AF$7)/$H130*OFFSET(ORÇAMENTO!$X$15,ROW(BE130)-ROW(BE$15),0),
              ROUND(ROUND(OFFSET($P130,0,BE$13),15-13*ORÇAMENTO!$AF$7)*OFFSET(ORÇAMENTO!$W$15,ROW(BE130)-ROW(BE$15),0),15-13*ORÇAMENTO!$AF$11)),
         0)</f>
        <v>1833.8</v>
      </c>
      <c r="BF130" s="352" t="n">
        <f aca="true">IF(AND($D130="Serviço",BF$12&lt;&gt;0,$H130&gt;0,OR(AUTOEVENTO&lt;&gt;"manual",$M130&lt;&gt;$A$15)),
        IF(Import.TipoArredondamento&lt;&gt;"TransfereGOV",
              ROUND(OFFSET($P130,0,BF$13),15-13*ORÇAMENTO!$AF$7)/$H130*OFFSET(ORÇAMENTO!$X$15,ROW(BF130)-ROW(BF$15),0),
              ROUND(ROUND(OFFSET($P130,0,BF$13),15-13*ORÇAMENTO!$AF$7)*OFFSET(ORÇAMENTO!$W$15,ROW(BF130)-ROW(BF$15),0),15-13*ORÇAMENTO!$AF$11)),
         0)</f>
        <v>1833.8</v>
      </c>
      <c r="BG130" s="352" t="n">
        <f aca="true">IF(AND($D130="Serviço",BG$12&lt;&gt;0,$H130&gt;0,OR(AUTOEVENTO&lt;&gt;"manual",$M130&lt;&gt;$A$15)),
        IF(Import.TipoArredondamento&lt;&gt;"TransfereGOV",
              ROUND(OFFSET($P130,0,BG$13),15-13*ORÇAMENTO!$AF$7)/$H130*OFFSET(ORÇAMENTO!$X$15,ROW(BG130)-ROW(BG$15),0),
              ROUND(ROUND(OFFSET($P130,0,BG$13),15-13*ORÇAMENTO!$AF$7)*OFFSET(ORÇAMENTO!$W$15,ROW(BG130)-ROW(BG$15),0),15-13*ORÇAMENTO!$AF$11)),
         0)</f>
        <v>1833.8</v>
      </c>
      <c r="BH130" s="352" t="n">
        <f aca="true">IF(AND($D130="Serviço",BH$12&lt;&gt;0,$H130&gt;0,OR(AUTOEVENTO&lt;&gt;"manual",$M130&lt;&gt;$A$15)),
        IF(Import.TipoArredondamento&lt;&gt;"TransfereGOV",
              ROUND(OFFSET($P130,0,BH$13),15-13*ORÇAMENTO!$AF$7)/$H130*OFFSET(ORÇAMENTO!$X$15,ROW(BH130)-ROW(BH$15),0),
              ROUND(ROUND(OFFSET($P130,0,BH$13),15-13*ORÇAMENTO!$AF$7)*OFFSET(ORÇAMENTO!$W$15,ROW(BH130)-ROW(BH$15),0),15-13*ORÇAMENTO!$AF$11)),
         0)</f>
        <v>1833.8</v>
      </c>
      <c r="BI130" s="352" t="n">
        <f aca="true">IF(AND($D130="Serviço",BI$12&lt;&gt;0,$H130&gt;0,OR(AUTOEVENTO&lt;&gt;"manual",$M130&lt;&gt;$A$15)),
        IF(Import.TipoArredondamento&lt;&gt;"TransfereGOV",
              ROUND(OFFSET($P130,0,BI$13),15-13*ORÇAMENTO!$AF$7)/$H130*OFFSET(ORÇAMENTO!$X$15,ROW(BI130)-ROW(BI$15),0),
              ROUND(ROUND(OFFSET($P130,0,BI$13),15-13*ORÇAMENTO!$AF$7)*OFFSET(ORÇAMENTO!$W$15,ROW(BI130)-ROW(BI$15),0),15-13*ORÇAMENTO!$AF$11)),
         0)</f>
        <v>1833.8</v>
      </c>
      <c r="BJ130" s="352" t="n">
        <f aca="true">IF(AND($D130="Serviço",BJ$12&lt;&gt;0,$H130&gt;0,OR(AUTOEVENTO&lt;&gt;"manual",$M130&lt;&gt;$A$15)),
        IF(Import.TipoArredondamento&lt;&gt;"TransfereGOV",
              ROUND(OFFSET($P130,0,BJ$13),15-13*ORÇAMENTO!$AF$7)/$H130*OFFSET(ORÇAMENTO!$X$15,ROW(BJ130)-ROW(BJ$15),0),
              ROUND(ROUND(OFFSET($P130,0,BJ$13),15-13*ORÇAMENTO!$AF$7)*OFFSET(ORÇAMENTO!$W$15,ROW(BJ130)-ROW(BJ$15),0),15-13*ORÇAMENTO!$AF$11)),
         0)</f>
        <v>1833.8</v>
      </c>
      <c r="BK130" s="352" t="n">
        <f aca="true">IF(AND($D130="Serviço",BK$12&lt;&gt;0,$H130&gt;0,OR(AUTOEVENTO&lt;&gt;"manual",$M130&lt;&gt;$A$15)),
        IF(Import.TipoArredondamento&lt;&gt;"TransfereGOV",
              ROUND(OFFSET($P130,0,BK$13),15-13*ORÇAMENTO!$AF$7)/$H130*OFFSET(ORÇAMENTO!$X$15,ROW(BK130)-ROW(BK$15),0),
              ROUND(ROUND(OFFSET($P130,0,BK$13),15-13*ORÇAMENTO!$AF$7)*OFFSET(ORÇAMENTO!$W$15,ROW(BK130)-ROW(BK$15),0),15-13*ORÇAMENTO!$AF$11)),
         0)</f>
        <v>1833.8</v>
      </c>
      <c r="BL130" s="352" t="n">
        <f aca="true">IF(AND($D130="Serviço",BL$12&lt;&gt;0,$H130&gt;0,OR(AUTOEVENTO&lt;&gt;"manual",$M130&lt;&gt;$A$15)),
        IF(Import.TipoArredondamento&lt;&gt;"TransfereGOV",
              ROUND(OFFSET($P130,0,BL$13),15-13*ORÇAMENTO!$AF$7)/$H130*OFFSET(ORÇAMENTO!$X$15,ROW(BL130)-ROW(BL$15),0),
              ROUND(ROUND(OFFSET($P130,0,BL$13),15-13*ORÇAMENTO!$AF$7)*OFFSET(ORÇAMENTO!$W$15,ROW(BL130)-ROW(BL$15),0),15-13*ORÇAMENTO!$AF$11)),
         0)</f>
        <v>1833.8</v>
      </c>
      <c r="BM130" s="352" t="n">
        <f aca="true">IF(AND($D130="Serviço",BM$12&lt;&gt;0,$H130&gt;0,OR(AUTOEVENTO&lt;&gt;"manual",$M130&lt;&gt;$A$15)),
        IF(Import.TipoArredondamento&lt;&gt;"TransfereGOV",
              ROUND(OFFSET($P130,0,BM$13),15-13*ORÇAMENTO!$AF$7)/$H130*OFFSET(ORÇAMENTO!$X$15,ROW(BM130)-ROW(BM$15),0),
              ROUND(ROUND(OFFSET($P130,0,BM$13),15-13*ORÇAMENTO!$AF$7)*OFFSET(ORÇAMENTO!$W$15,ROW(BM130)-ROW(BM$15),0),15-13*ORÇAMENTO!$AF$11)),
         0)</f>
        <v>1833.8</v>
      </c>
      <c r="BN130" s="352" t="n">
        <f aca="true">IF(AND($D130="Serviço",BN$12&lt;&gt;0,$H130&gt;0,OR(AUTOEVENTO&lt;&gt;"manual",$M130&lt;&gt;$A$15)),
        IF(Import.TipoArredondamento&lt;&gt;"TransfereGOV",
              ROUND(OFFSET($P130,0,BN$13),15-13*ORÇAMENTO!$AF$7)/$H130*OFFSET(ORÇAMENTO!$X$15,ROW(BN130)-ROW(BN$15),0),
              ROUND(ROUND(OFFSET($P130,0,BN$13),15-13*ORÇAMENTO!$AF$7)*OFFSET(ORÇAMENTO!$W$15,ROW(BN130)-ROW(BN$15),0),15-13*ORÇAMENTO!$AF$11)),
         0)</f>
        <v>1833.8</v>
      </c>
      <c r="BO130" s="352" t="n">
        <f aca="true">IF(AND($D130="Serviço",BO$12&lt;&gt;0,$H130&gt;0,OR(AUTOEVENTO&lt;&gt;"manual",$M130&lt;&gt;$A$15)),
        IF(Import.TipoArredondamento&lt;&gt;"TransfereGOV",
              ROUND(OFFSET($P130,0,BO$13),15-13*ORÇAMENTO!$AF$7)/$H130*OFFSET(ORÇAMENTO!$X$15,ROW(BO130)-ROW(BO$15),0),
              ROUND(ROUND(OFFSET($P130,0,BO$13),15-13*ORÇAMENTO!$AF$7)*OFFSET(ORÇAMENTO!$W$15,ROW(BO130)-ROW(BO$15),0),15-13*ORÇAMENTO!$AF$11)),
         0)</f>
        <v>1833.8</v>
      </c>
      <c r="BP130" s="352" t="n">
        <f aca="true">IF(AND($D130="Serviço",BP$12&lt;&gt;0,$H130&gt;0,OR(AUTOEVENTO&lt;&gt;"manual",$M130&lt;&gt;$A$15)),
        IF(Import.TipoArredondamento&lt;&gt;"TransfereGOV",
              ROUND(OFFSET($P130,0,BP$13),15-13*ORÇAMENTO!$AF$7)/$H130*OFFSET(ORÇAMENTO!$X$15,ROW(BP130)-ROW(BP$15),0),
              ROUND(ROUND(OFFSET($P130,0,BP$13),15-13*ORÇAMENTO!$AF$7)*OFFSET(ORÇAMENTO!$W$15,ROW(BP130)-ROW(BP$15),0),15-13*ORÇAMENTO!$AF$11)),
         0)</f>
        <v>1833.8</v>
      </c>
      <c r="BQ130" s="352" t="n">
        <f aca="true">IF(AND($D130="Serviço",BQ$12&lt;&gt;0,$H130&gt;0,OR(AUTOEVENTO&lt;&gt;"manual",$M130&lt;&gt;$A$15)),
        IF(Import.TipoArredondamento&lt;&gt;"TransfereGOV",
              ROUND(OFFSET($P130,0,BQ$13),15-13*ORÇAMENTO!$AF$7)/$H130*OFFSET(ORÇAMENTO!$X$15,ROW(BQ130)-ROW(BQ$15),0),
              ROUND(ROUND(OFFSET($P130,0,BQ$13),15-13*ORÇAMENTO!$AF$7)*OFFSET(ORÇAMENTO!$W$15,ROW(BQ130)-ROW(BQ$15),0),15-13*ORÇAMENTO!$AF$11)),
         0)</f>
        <v>0</v>
      </c>
      <c r="BS130" s="353" t="n">
        <f aca="true">IF(OR($D130&lt;&gt;"Serviço",AND(AUTOEVENTO="Manual",$M130=$A$15)),0,
         IF(OFFSET(CRONOPLE!$F$15,$M130-$A$15,BS$13)=0,10^12,OFFSET(CRONOPLE!$F$15,$M130-$A$15,BS$13)))</f>
        <v>1</v>
      </c>
      <c r="BT130" s="353" t="n">
        <f aca="true">IF(OR($D130&lt;&gt;"Serviço",AND(AUTOEVENTO="Manual",$M130=$A$15)),0,
         IF(OFFSET(CRONOPLE!$F$15,$M130-$A$15,BT$13)=0,10^12,OFFSET(CRONOPLE!$F$15,$M130-$A$15,BT$13)))</f>
        <v>2</v>
      </c>
      <c r="BU130" s="353" t="n">
        <f aca="true">IF(OR($D130&lt;&gt;"Serviço",AND(AUTOEVENTO="Manual",$M130=$A$15)),0,
         IF(OFFSET(CRONOPLE!$F$15,$M130-$A$15,BU$13)=0,10^12,OFFSET(CRONOPLE!$F$15,$M130-$A$15,BU$13)))</f>
        <v>3</v>
      </c>
      <c r="BV130" s="353" t="n">
        <f aca="true">IF(OR($D130&lt;&gt;"Serviço",AND(AUTOEVENTO="Manual",$M130=$A$15)),0,
         IF(OFFSET(CRONOPLE!$F$15,$M130-$A$15,BV$13)=0,10^12,OFFSET(CRONOPLE!$F$15,$M130-$A$15,BV$13)))</f>
        <v>4</v>
      </c>
      <c r="BW130" s="353" t="n">
        <f aca="true">IF(OR($D130&lt;&gt;"Serviço",AND(AUTOEVENTO="Manual",$M130=$A$15)),0,
         IF(OFFSET(CRONOPLE!$F$15,$M130-$A$15,BW$13)=0,10^12,OFFSET(CRONOPLE!$F$15,$M130-$A$15,BW$13)))</f>
        <v>5</v>
      </c>
      <c r="BX130" s="353" t="n">
        <f aca="true">IF(OR($D130&lt;&gt;"Serviço",AND(AUTOEVENTO="Manual",$M130=$A$15)),0,
         IF(OFFSET(CRONOPLE!$F$15,$M130-$A$15,BX$13)=0,10^12,OFFSET(CRONOPLE!$F$15,$M130-$A$15,BX$13)))</f>
        <v>6</v>
      </c>
      <c r="BY130" s="353" t="n">
        <f aca="true">IF(OR($D130&lt;&gt;"Serviço",AND(AUTOEVENTO="Manual",$M130=$A$15)),0,
         IF(OFFSET(CRONOPLE!$F$15,$M130-$A$15,BY$13)=0,10^12,OFFSET(CRONOPLE!$F$15,$M130-$A$15,BY$13)))</f>
        <v>7</v>
      </c>
      <c r="BZ130" s="353" t="n">
        <f aca="true">IF(OR($D130&lt;&gt;"Serviço",AND(AUTOEVENTO="Manual",$M130=$A$15)),0,
         IF(OFFSET(CRONOPLE!$F$15,$M130-$A$15,BZ$13)=0,10^12,OFFSET(CRONOPLE!$F$15,$M130-$A$15,BZ$13)))</f>
        <v>8</v>
      </c>
      <c r="CA130" s="353" t="n">
        <f aca="true">IF(OR($D130&lt;&gt;"Serviço",AND(AUTOEVENTO="Manual",$M130=$A$15)),0,
         IF(OFFSET(CRONOPLE!$F$15,$M130-$A$15,CA$13)=0,10^12,OFFSET(CRONOPLE!$F$15,$M130-$A$15,CA$13)))</f>
        <v>9</v>
      </c>
      <c r="CB130" s="353" t="n">
        <f aca="true">IF(OR($D130&lt;&gt;"Serviço",AND(AUTOEVENTO="Manual",$M130=$A$15)),0,
         IF(OFFSET(CRONOPLE!$F$15,$M130-$A$15,CB$13)=0,10^12,OFFSET(CRONOPLE!$F$15,$M130-$A$15,CB$13)))</f>
        <v>10</v>
      </c>
      <c r="CC130" s="353" t="n">
        <f aca="true">IF(OR($D130&lt;&gt;"Serviço",AND(AUTOEVENTO="Manual",$M130=$A$15)),0,
         IF(OFFSET(CRONOPLE!$F$15,$M130-$A$15,CC$13)=0,10^12,OFFSET(CRONOPLE!$F$15,$M130-$A$15,CC$13)))</f>
        <v>11</v>
      </c>
      <c r="CD130" s="353" t="n">
        <f aca="true">IF(OR($D130&lt;&gt;"Serviço",AND(AUTOEVENTO="Manual",$M130=$A$15)),0,
         IF(OFFSET(CRONOPLE!$F$15,$M130-$A$15,CD$13)=0,10^12,OFFSET(CRONOPLE!$F$15,$M130-$A$15,CD$13)))</f>
        <v>12</v>
      </c>
      <c r="CE130" s="353" t="n">
        <f aca="true">IF(OR($D130&lt;&gt;"Serviço",AND(AUTOEVENTO="Manual",$M130=$A$15)),0,
         IF(OFFSET(CRONOPLE!$F$15,$M130-$A$15,CE$13)=0,10^12,OFFSET(CRONOPLE!$F$15,$M130-$A$15,CE$13)))</f>
        <v>13</v>
      </c>
      <c r="CF130" s="353" t="n">
        <f aca="true">IF(OR($D130&lt;&gt;"Serviço",AND(AUTOEVENTO="Manual",$M130=$A$15)),0,
         IF(OFFSET(CRONOPLE!$F$15,$M130-$A$15,CF$13)=0,10^12,OFFSET(CRONOPLE!$F$15,$M130-$A$15,CF$13)))</f>
        <v>14</v>
      </c>
      <c r="CG130" s="353" t="n">
        <f aca="true">IF(OR($D130&lt;&gt;"Serviço",AND(AUTOEVENTO="Manual",$M130=$A$15)),0,
         IF(OFFSET(CRONOPLE!$F$15,$M130-$A$15,CG$13)=0,10^12,OFFSET(CRONOPLE!$F$15,$M130-$A$15,CG$13)))</f>
        <v>15</v>
      </c>
      <c r="CH130" s="353" t="n">
        <f aca="true">IF(OR($D130&lt;&gt;"Serviço",AND(AUTOEVENTO="Manual",$M130=$A$15)),0,
         IF(OFFSET(CRONOPLE!$F$15,$M130-$A$15,CH$13)=0,10^12,OFFSET(CRONOPLE!$F$15,$M130-$A$15,CH$13)))</f>
        <v>16</v>
      </c>
      <c r="CI130" s="353" t="n">
        <f aca="true">IF(OR($D130&lt;&gt;"Serviço",AND(AUTOEVENTO="Manual",$M130=$A$15)),0,
         IF(OFFSET(CRONOPLE!$F$15,$M130-$A$15,CI$13)=0,10^12,OFFSET(CRONOPLE!$F$15,$M130-$A$15,CI$13)))</f>
        <v>17</v>
      </c>
      <c r="CJ130" s="353" t="n">
        <f aca="true">IF(OR($D130&lt;&gt;"Serviço",AND(AUTOEVENTO="Manual",$M130=$A$15)),0,
         IF(OFFSET(CRONOPLE!$F$15,$M130-$A$15,CJ$13)=0,10^12,OFFSET(CRONOPLE!$F$15,$M130-$A$15,CJ$13)))</f>
        <v>18</v>
      </c>
      <c r="CK130" s="353" t="n">
        <f aca="true">IF(OR($D130&lt;&gt;"Serviço",AND(AUTOEVENTO="Manual",$M130=$A$15)),0,
         IF(OFFSET(CRONOPLE!$F$15,$M130-$A$15,CK$13)=0,10^12,OFFSET(CRONOPLE!$F$15,$M130-$A$15,CK$13)))</f>
        <v>19</v>
      </c>
      <c r="CL130" s="353" t="n">
        <f aca="true">IF(OR($D130&lt;&gt;"Serviço",AND(AUTOEVENTO="Manual",$M130=$A$15)),0,
         IF(OFFSET(CRONOPLE!$F$15,$M130-$A$15,CL$13)=0,10^12,OFFSET(CRONOPLE!$F$15,$M130-$A$15,CL$13)))</f>
        <v>20</v>
      </c>
      <c r="CM130" s="353" t="n">
        <f aca="true">IF(OR($D130&lt;&gt;"Serviço",AND(AUTOEVENTO="Manual",$M130=$A$15)),0,
         IF(OFFSET(CRONOPLE!$F$15,$M130-$A$15,CM$13)=0,10^12,OFFSET(CRONOPLE!$F$15,$M130-$A$15,CM$13)))</f>
        <v>21</v>
      </c>
      <c r="CN130" s="353" t="n">
        <f aca="true">IF(OR($D130&lt;&gt;"Serviço",AND(AUTOEVENTO="Manual",$M130=$A$15)),0,
         IF(OFFSET(CRONOPLE!$F$15,$M130-$A$15,CN$13)=0,10^12,OFFSET(CRONOPLE!$F$15,$M130-$A$15,CN$13)))</f>
        <v>22</v>
      </c>
      <c r="CO130" s="353" t="n">
        <f aca="true">IF(OR($D130&lt;&gt;"Serviço",AND(AUTOEVENTO="Manual",$M130=$A$15)),0,
         IF(OFFSET(CRONOPLE!$F$15,$M130-$A$15,CO$13)=0,10^12,OFFSET(CRONOPLE!$F$15,$M130-$A$15,CO$13)))</f>
        <v>23</v>
      </c>
      <c r="CP130" s="353" t="n">
        <f aca="true">IF(OR($D130&lt;&gt;"Serviço",AND(AUTOEVENTO="Manual",$M130=$A$15)),0,
         IF(OFFSET(CRONOPLE!$F$15,$M130-$A$15,CP$13)=0,10^12,OFFSET(CRONOPLE!$F$15,$M130-$A$15,CP$13)))</f>
        <v>24</v>
      </c>
      <c r="CQ130" s="353" t="n">
        <f aca="true">IF(OR($D130&lt;&gt;"Serviço",AND(AUTOEVENTO="Manual",$M130=$A$15)),0,
         IF(OFFSET(CRONOPLE!$F$15,$M130-$A$15,CQ$13)=0,10^12,OFFSET(CRONOPLE!$F$15,$M130-$A$15,CQ$13)))</f>
        <v>25</v>
      </c>
      <c r="CR130" s="353" t="n">
        <f aca="true">IF(OR($D130&lt;&gt;"Serviço",AND(AUTOEVENTO="Manual",$M130=$A$15)),0,
         IF(OFFSET(CRONOPLE!$F$15,$M130-$A$15,CR$13)=0,10^12,OFFSET(CRONOPLE!$F$15,$M130-$A$15,CR$13)))</f>
        <v>1000000000000</v>
      </c>
      <c r="CT130" s="354" t="n">
        <f aca="true">IF(OR($D130&lt;&gt;"Serviço",AND(AUTOEVENTO="Manual",$M130=$A$15),$M130&gt;(ROW(PLE.lastrow)-ROW(PLE.firstrow))),0,
           IF(OFFSET(PLE!$G$15,$M130-$A$15,CT$13)="",10^12,OFFSET(PLE!$G$15,$M130-$A$15,CT$13)))</f>
        <v>1000000000000</v>
      </c>
      <c r="CU130" s="354" t="n">
        <f aca="true">IF(OR($D130&lt;&gt;"Serviço",AND(AUTOEVENTO="Manual",$M130=$A$15),$M130&gt;(ROW(PLE.lastrow)-ROW(PLE.firstrow))),0,
           IF(OFFSET(PLE!$G$15,$M130-$A$15,CU$13)="",10^12,OFFSET(PLE!$G$15,$M130-$A$15,CU$13)))</f>
        <v>1000000000000</v>
      </c>
      <c r="CV130" s="354" t="n">
        <f aca="true">IF(OR($D130&lt;&gt;"Serviço",AND(AUTOEVENTO="Manual",$M130=$A$15),$M130&gt;(ROW(PLE.lastrow)-ROW(PLE.firstrow))),0,
           IF(OFFSET(PLE!$G$15,$M130-$A$15,CV$13)="",10^12,OFFSET(PLE!$G$15,$M130-$A$15,CV$13)))</f>
        <v>1000000000000</v>
      </c>
      <c r="CW130" s="354" t="n">
        <f aca="true">IF(OR($D130&lt;&gt;"Serviço",AND(AUTOEVENTO="Manual",$M130=$A$15),$M130&gt;(ROW(PLE.lastrow)-ROW(PLE.firstrow))),0,
           IF(OFFSET(PLE!$G$15,$M130-$A$15,CW$13)="",10^12,OFFSET(PLE!$G$15,$M130-$A$15,CW$13)))</f>
        <v>1000000000000</v>
      </c>
      <c r="CX130" s="354" t="n">
        <f aca="true">IF(OR($D130&lt;&gt;"Serviço",AND(AUTOEVENTO="Manual",$M130=$A$15),$M130&gt;(ROW(PLE.lastrow)-ROW(PLE.firstrow))),0,
           IF(OFFSET(PLE!$G$15,$M130-$A$15,CX$13)="",10^12,OFFSET(PLE!$G$15,$M130-$A$15,CX$13)))</f>
        <v>1000000000000</v>
      </c>
      <c r="CY130" s="354" t="n">
        <f aca="true">IF(OR($D130&lt;&gt;"Serviço",AND(AUTOEVENTO="Manual",$M130=$A$15),$M130&gt;(ROW(PLE.lastrow)-ROW(PLE.firstrow))),0,
           IF(OFFSET(PLE!$G$15,$M130-$A$15,CY$13)="",10^12,OFFSET(PLE!$G$15,$M130-$A$15,CY$13)))</f>
        <v>1000000000000</v>
      </c>
      <c r="CZ130" s="354" t="n">
        <f aca="true">IF(OR($D130&lt;&gt;"Serviço",AND(AUTOEVENTO="Manual",$M130=$A$15),$M130&gt;(ROW(PLE.lastrow)-ROW(PLE.firstrow))),0,
           IF(OFFSET(PLE!$G$15,$M130-$A$15,CZ$13)="",10^12,OFFSET(PLE!$G$15,$M130-$A$15,CZ$13)))</f>
        <v>1000000000000</v>
      </c>
      <c r="DA130" s="354" t="n">
        <f aca="true">IF(OR($D130&lt;&gt;"Serviço",AND(AUTOEVENTO="Manual",$M130=$A$15),$M130&gt;(ROW(PLE.lastrow)-ROW(PLE.firstrow))),0,
           IF(OFFSET(PLE!$G$15,$M130-$A$15,DA$13)="",10^12,OFFSET(PLE!$G$15,$M130-$A$15,DA$13)))</f>
        <v>1000000000000</v>
      </c>
      <c r="DB130" s="354" t="n">
        <f aca="true">IF(OR($D130&lt;&gt;"Serviço",AND(AUTOEVENTO="Manual",$M130=$A$15),$M130&gt;(ROW(PLE.lastrow)-ROW(PLE.firstrow))),0,
           IF(OFFSET(PLE!$G$15,$M130-$A$15,DB$13)="",10^12,OFFSET(PLE!$G$15,$M130-$A$15,DB$13)))</f>
        <v>1000000000000</v>
      </c>
      <c r="DC130" s="354" t="n">
        <f aca="true">IF(OR($D130&lt;&gt;"Serviço",AND(AUTOEVENTO="Manual",$M130=$A$15),$M130&gt;(ROW(PLE.lastrow)-ROW(PLE.firstrow))),0,
           IF(OFFSET(PLE!$G$15,$M130-$A$15,DC$13)="",10^12,OFFSET(PLE!$G$15,$M130-$A$15,DC$13)))</f>
        <v>1000000000000</v>
      </c>
      <c r="DD130" s="354" t="n">
        <f aca="true">IF(OR($D130&lt;&gt;"Serviço",AND(AUTOEVENTO="Manual",$M130=$A$15),$M130&gt;(ROW(PLE.lastrow)-ROW(PLE.firstrow))),0,
           IF(OFFSET(PLE!$G$15,$M130-$A$15,DD$13)="",10^12,OFFSET(PLE!$G$15,$M130-$A$15,DD$13)))</f>
        <v>1000000000000</v>
      </c>
      <c r="DE130" s="354" t="n">
        <f aca="true">IF(OR($D130&lt;&gt;"Serviço",AND(AUTOEVENTO="Manual",$M130=$A$15),$M130&gt;(ROW(PLE.lastrow)-ROW(PLE.firstrow))),0,
           IF(OFFSET(PLE!$G$15,$M130-$A$15,DE$13)="",10^12,OFFSET(PLE!$G$15,$M130-$A$15,DE$13)))</f>
        <v>1000000000000</v>
      </c>
      <c r="DF130" s="354" t="n">
        <f aca="true">IF(OR($D130&lt;&gt;"Serviço",AND(AUTOEVENTO="Manual",$M130=$A$15),$M130&gt;(ROW(PLE.lastrow)-ROW(PLE.firstrow))),0,
           IF(OFFSET(PLE!$G$15,$M130-$A$15,DF$13)="",10^12,OFFSET(PLE!$G$15,$M130-$A$15,DF$13)))</f>
        <v>1000000000000</v>
      </c>
      <c r="DG130" s="354" t="n">
        <f aca="true">IF(OR($D130&lt;&gt;"Serviço",AND(AUTOEVENTO="Manual",$M130=$A$15),$M130&gt;(ROW(PLE.lastrow)-ROW(PLE.firstrow))),0,
           IF(OFFSET(PLE!$G$15,$M130-$A$15,DG$13)="",10^12,OFFSET(PLE!$G$15,$M130-$A$15,DG$13)))</f>
        <v>1000000000000</v>
      </c>
      <c r="DH130" s="354" t="n">
        <f aca="true">IF(OR($D130&lt;&gt;"Serviço",AND(AUTOEVENTO="Manual",$M130=$A$15),$M130&gt;(ROW(PLE.lastrow)-ROW(PLE.firstrow))),0,
           IF(OFFSET(PLE!$G$15,$M130-$A$15,DH$13)="",10^12,OFFSET(PLE!$G$15,$M130-$A$15,DH$13)))</f>
        <v>1000000000000</v>
      </c>
      <c r="DI130" s="354" t="n">
        <f aca="true">IF(OR($D130&lt;&gt;"Serviço",AND(AUTOEVENTO="Manual",$M130=$A$15),$M130&gt;(ROW(PLE.lastrow)-ROW(PLE.firstrow))),0,
           IF(OFFSET(PLE!$G$15,$M130-$A$15,DI$13)="",10^12,OFFSET(PLE!$G$15,$M130-$A$15,DI$13)))</f>
        <v>1000000000000</v>
      </c>
      <c r="DJ130" s="354" t="n">
        <f aca="true">IF(OR($D130&lt;&gt;"Serviço",AND(AUTOEVENTO="Manual",$M130=$A$15),$M130&gt;(ROW(PLE.lastrow)-ROW(PLE.firstrow))),0,
           IF(OFFSET(PLE!$G$15,$M130-$A$15,DJ$13)="",10^12,OFFSET(PLE!$G$15,$M130-$A$15,DJ$13)))</f>
        <v>1000000000000</v>
      </c>
      <c r="DK130" s="354" t="n">
        <f aca="true">IF(OR($D130&lt;&gt;"Serviço",AND(AUTOEVENTO="Manual",$M130=$A$15),$M130&gt;(ROW(PLE.lastrow)-ROW(PLE.firstrow))),0,
           IF(OFFSET(PLE!$G$15,$M130-$A$15,DK$13)="",10^12,OFFSET(PLE!$G$15,$M130-$A$15,DK$13)))</f>
        <v>1000000000000</v>
      </c>
      <c r="DL130" s="354" t="n">
        <f aca="true">IF(OR($D130&lt;&gt;"Serviço",AND(AUTOEVENTO="Manual",$M130=$A$15),$M130&gt;(ROW(PLE.lastrow)-ROW(PLE.firstrow))),0,
           IF(OFFSET(PLE!$G$15,$M130-$A$15,DL$13)="",10^12,OFFSET(PLE!$G$15,$M130-$A$15,DL$13)))</f>
        <v>1000000000000</v>
      </c>
      <c r="DM130" s="354" t="n">
        <f aca="true">IF(OR($D130&lt;&gt;"Serviço",AND(AUTOEVENTO="Manual",$M130=$A$15),$M130&gt;(ROW(PLE.lastrow)-ROW(PLE.firstrow))),0,
           IF(OFFSET(PLE!$G$15,$M130-$A$15,DM$13)="",10^12,OFFSET(PLE!$G$15,$M130-$A$15,DM$13)))</f>
        <v>1000000000000</v>
      </c>
      <c r="DN130" s="354" t="n">
        <f aca="true">IF(OR($D130&lt;&gt;"Serviço",AND(AUTOEVENTO="Manual",$M130=$A$15),$M130&gt;(ROW(PLE.lastrow)-ROW(PLE.firstrow))),0,
           IF(OFFSET(PLE!$G$15,$M130-$A$15,DN$13)="",10^12,OFFSET(PLE!$G$15,$M130-$A$15,DN$13)))</f>
        <v>1000000000000</v>
      </c>
      <c r="DO130" s="354" t="n">
        <f aca="true">IF(OR($D130&lt;&gt;"Serviço",AND(AUTOEVENTO="Manual",$M130=$A$15),$M130&gt;(ROW(PLE.lastrow)-ROW(PLE.firstrow))),0,
           IF(OFFSET(PLE!$G$15,$M130-$A$15,DO$13)="",10^12,OFFSET(PLE!$G$15,$M130-$A$15,DO$13)))</f>
        <v>1000000000000</v>
      </c>
      <c r="DP130" s="354" t="n">
        <f aca="true">IF(OR($D130&lt;&gt;"Serviço",AND(AUTOEVENTO="Manual",$M130=$A$15),$M130&gt;(ROW(PLE.lastrow)-ROW(PLE.firstrow))),0,
           IF(OFFSET(PLE!$G$15,$M130-$A$15,DP$13)="",10^12,OFFSET(PLE!$G$15,$M130-$A$15,DP$13)))</f>
        <v>1000000000000</v>
      </c>
      <c r="DQ130" s="354" t="n">
        <f aca="true">IF(OR($D130&lt;&gt;"Serviço",AND(AUTOEVENTO="Manual",$M130=$A$15),$M130&gt;(ROW(PLE.lastrow)-ROW(PLE.firstrow))),0,
           IF(OFFSET(PLE!$G$15,$M130-$A$15,DQ$13)="",10^12,OFFSET(PLE!$G$15,$M130-$A$15,DQ$13)))</f>
        <v>1000000000000</v>
      </c>
      <c r="DR130" s="354" t="n">
        <f aca="true">IF(OR($D130&lt;&gt;"Serviço",AND(AUTOEVENTO="Manual",$M130=$A$15),$M130&gt;(ROW(PLE.lastrow)-ROW(PLE.firstrow))),0,
           IF(OFFSET(PLE!$G$15,$M130-$A$15,DR$13)="",10^12,OFFSET(PLE!$G$15,$M130-$A$15,DR$13)))</f>
        <v>1000000000000</v>
      </c>
      <c r="DS130" s="354" t="n">
        <f aca="true">IF(OR($D130&lt;&gt;"Serviço",AND(AUTOEVENTO="Manual",$M130=$A$15),$M130&gt;(ROW(PLE.lastrow)-ROW(PLE.firstrow))),0,
           IF(OFFSET(PLE!$G$15,$M130-$A$15,DS$13)="",10^12,OFFSET(PLE!$G$15,$M130-$A$15,DS$13)))</f>
        <v>1000000000000</v>
      </c>
    </row>
    <row r="131" customFormat="false" ht="102.2" hidden="false" customHeight="false" outlineLevel="0" collapsed="false">
      <c r="A131" s="50" t="str">
        <f aca="true">IFERROR(IF(AUTOEVENTO="Manual",IF(K131&lt;&gt;"",MIN(VALUE(LEFT(K131,FIND(".",K131)-1)),COUNTA(EVENTOS.Lista)),0),IF(OR($B131&gt;AUTOEVENTO,$B131="S",$B131=0),SUBSTITUTE(OFFSET($A131,-1,0),IF($D131="Serviço",".",""),""),ROW(A131)-ROW($A$15)&amp;".")),0)</f>
        <v>111</v>
      </c>
      <c r="B131" s="50" t="str">
        <f aca="true">OFFSET(ORÇAMENTO!C$15,ROW(B131)-ROW(B$15),0)</f>
        <v>S</v>
      </c>
      <c r="C131" s="50" t="str">
        <f aca="true">OFFSET(ORÇAMENTO!L$15,ROW(C131)-ROW(C$15),0)</f>
        <v>F</v>
      </c>
      <c r="D131" s="201" t="str">
        <f aca="true">OFFSET(ORÇAMENTO!N$15,ROW(D131)-ROW(D$15),0)</f>
        <v>Serviço</v>
      </c>
      <c r="E131" s="202" t="str">
        <f aca="true">OFFSET(ORÇAMENTO!O$15,ROW(E131)-ROW(E$15),0)</f>
        <v>1.37.5.</v>
      </c>
      <c r="F131" s="341" t="str">
        <f aca="true">OFFSET(ORÇAMENTO!R$15,ROW(F131)-ROW(F$15),0)</f>
        <v>PONTO DE EMBUTIR PARA UMA (1) TOMADA PADRÃO, TRÊS (3)
POLOS (2P+T/10A-250V), COM PLACA 4"X2" DE UM (1) POSTO, COM
ELETRODUTO DE PVC RÍGIDO ROSCÁVEL, DN 20MM (3/4"),
EMBUTIDO NO PISO E CABO DE COBRE FLEXÍVEL, CLASSE 5,
ISOLAMENTO TIPO LSHF/ATOX, NÃO HALOGENADO, SEÇÃO 2,
5MM2 (70°C-450/750V), COM DISTÂNCIA DE ATÉ DEZ (10) METROS
DO PONTO DE DERIVAÇÃO, INCLUSIVE CAIXA DE LIGAÇÃO,
SUPORTE E FIXAÇÃO DO ELETRODUTO COM ENCHIMENTO DO
RASGO NA ALVENARIA/CONCRETO COM ARGAMASSA</v>
      </c>
      <c r="G131" s="342" t="str">
        <f aca="true">IF($D131&lt;&gt;"Serviço","",OFFSET(ORÇAMENTO!S$15,ROW(G131)-ROW(G$15),0))</f>
        <v>UN</v>
      </c>
      <c r="H131" s="207" t="n">
        <f aca="true">IF($D131&lt;&gt;"Serviço",0,IF(ACOMPANHAMENTO="BM",ROUND(OFFSET(ORÇAMENTO!AJ$15,ROW(H131)-ROW(H$15),0),15-13*ORÇAMENTO!$AF$7),SUMPRODUCT(($Q$1:$AQ$1=1)*ROUND($Q131:$AQ131,15-13*ORÇAMENTO!$AF$7))))</f>
        <v>250</v>
      </c>
      <c r="I131" s="343" t="s">
        <v>974</v>
      </c>
      <c r="J131" s="344" t="e">
        <f aca="false">IF(OR(B131&lt;&gt;"S",CÁLCULO.FrentesPreenchidas=0),"",IF(AND(ACOMPANHAMENTO="PLE",AUTOEVENTO="Manual",OR(H131&gt;0,ORÇAMENTO!AC131="QUANT."),OR(K131="",M131=0,N131="")),"►",IF(AND(ACOMPANHAMENTO="PLE",ORÇAMENTO!AC131="QUANT."),"►►",IF(AND(COUNTIF($P$11:$AQ$11,"▼")=0,H131&gt;0,I131=""),"◄",""))))</f>
        <v>#NAME?</v>
      </c>
      <c r="K131" s="345"/>
      <c r="L131" s="346" t="s">
        <v>876</v>
      </c>
      <c r="M131" s="347" t="n">
        <f aca="true">IF($D131&lt;&gt;"Serviço","",
          IF(AUTOEVENTO="manual",$A131,
                IF(ISERROR(MATCH($A131,$A$15:OFFSET($A131,-1,0),0)),MAX($M$15:OFFSET(M131,-1,0))+1,
                      INDEX($M$15:OFFSET(M131,-1,0),MATCH($A131,$A$15:OFFSET($A131,-1,0),0)))))</f>
        <v>22</v>
      </c>
      <c r="N131" s="348" t="str">
        <f aca="true">IF($D131&lt;&gt;"Serviço","",
         IF(AUTOEVENTO="Manual",
                IF($A131=0,"&lt;-- defina o número do agrupador",
                       OFFSET(EVENTOS!$D$15,$A131-$A$15,0)),
                OFFSET($F$15,$A131,0)))</f>
        <v>ILUMINAÇÃO, TOMADAS E INTERRUPTORES</v>
      </c>
      <c r="O131" s="349"/>
      <c r="Q131" s="349" t="n">
        <v>10</v>
      </c>
      <c r="R131" s="350" t="n">
        <f aca="false">Q131</f>
        <v>10</v>
      </c>
      <c r="S131" s="350" t="n">
        <f aca="false">R131</f>
        <v>10</v>
      </c>
      <c r="T131" s="350" t="n">
        <f aca="false">S131</f>
        <v>10</v>
      </c>
      <c r="U131" s="350" t="n">
        <f aca="false">T131</f>
        <v>10</v>
      </c>
      <c r="V131" s="350" t="n">
        <f aca="false">U131</f>
        <v>10</v>
      </c>
      <c r="W131" s="350" t="n">
        <f aca="false">V131</f>
        <v>10</v>
      </c>
      <c r="X131" s="350" t="n">
        <f aca="false">W131</f>
        <v>10</v>
      </c>
      <c r="Y131" s="350" t="n">
        <f aca="false">X131</f>
        <v>10</v>
      </c>
      <c r="Z131" s="351" t="n">
        <f aca="false">Y131</f>
        <v>10</v>
      </c>
      <c r="AA131" s="350" t="n">
        <f aca="false">Z131</f>
        <v>10</v>
      </c>
      <c r="AB131" s="350" t="n">
        <f aca="false">AA131</f>
        <v>10</v>
      </c>
      <c r="AC131" s="350" t="n">
        <f aca="false">AB131</f>
        <v>10</v>
      </c>
      <c r="AD131" s="350" t="n">
        <f aca="false">AC131</f>
        <v>10</v>
      </c>
      <c r="AE131" s="350" t="n">
        <f aca="false">AD131</f>
        <v>10</v>
      </c>
      <c r="AF131" s="350" t="n">
        <f aca="false">AE131</f>
        <v>10</v>
      </c>
      <c r="AG131" s="350" t="n">
        <f aca="false">AF131</f>
        <v>10</v>
      </c>
      <c r="AH131" s="351" t="n">
        <f aca="false">AG131</f>
        <v>10</v>
      </c>
      <c r="AI131" s="350" t="n">
        <f aca="false">AH131</f>
        <v>10</v>
      </c>
      <c r="AJ131" s="350" t="n">
        <f aca="false">AI131</f>
        <v>10</v>
      </c>
      <c r="AK131" s="350" t="n">
        <f aca="false">AJ131</f>
        <v>10</v>
      </c>
      <c r="AL131" s="350" t="n">
        <f aca="false">AK131</f>
        <v>10</v>
      </c>
      <c r="AM131" s="350" t="n">
        <f aca="false">AL131</f>
        <v>10</v>
      </c>
      <c r="AN131" s="350" t="n">
        <f aca="false">AM131</f>
        <v>10</v>
      </c>
      <c r="AO131" s="350" t="n">
        <f aca="false">AN131</f>
        <v>10</v>
      </c>
      <c r="AP131" s="351"/>
      <c r="AR131" s="352" t="n">
        <f aca="true">IF(AND($D131="Serviço",AR$12&lt;&gt;0,$H131&gt;0,OR(AUTOEVENTO&lt;&gt;"manual",$M131&lt;&gt;$A$15)),
        IF(Import.TipoArredondamento&lt;&gt;"TransfereGOV",
              ROUND(OFFSET($P131,0,AR$13),15-13*ORÇAMENTO!$AF$7)/$H131*OFFSET(ORÇAMENTO!$X$15,ROW(AR131)-ROW(AR$15),0),
              ROUND(ROUND(OFFSET($P131,0,AR$13),15-13*ORÇAMENTO!$AF$7)*OFFSET(ORÇAMENTO!$W$15,ROW(AR131)-ROW(AR$15),0),15-13*ORÇAMENTO!$AF$11)),
         0)</f>
        <v>5142</v>
      </c>
      <c r="AS131" s="352" t="n">
        <f aca="true">IF(AND($D131="Serviço",AS$12&lt;&gt;0,$H131&gt;0,OR(AUTOEVENTO&lt;&gt;"manual",$M131&lt;&gt;$A$15)),
        IF(Import.TipoArredondamento&lt;&gt;"TransfereGOV",
              ROUND(OFFSET($P131,0,AS$13),15-13*ORÇAMENTO!$AF$7)/$H131*OFFSET(ORÇAMENTO!$X$15,ROW(AS131)-ROW(AS$15),0),
              ROUND(ROUND(OFFSET($P131,0,AS$13),15-13*ORÇAMENTO!$AF$7)*OFFSET(ORÇAMENTO!$W$15,ROW(AS131)-ROW(AS$15),0),15-13*ORÇAMENTO!$AF$11)),
         0)</f>
        <v>5142</v>
      </c>
      <c r="AT131" s="352" t="n">
        <f aca="true">IF(AND($D131="Serviço",AT$12&lt;&gt;0,$H131&gt;0,OR(AUTOEVENTO&lt;&gt;"manual",$M131&lt;&gt;$A$15)),
        IF(Import.TipoArredondamento&lt;&gt;"TransfereGOV",
              ROUND(OFFSET($P131,0,AT$13),15-13*ORÇAMENTO!$AF$7)/$H131*OFFSET(ORÇAMENTO!$X$15,ROW(AT131)-ROW(AT$15),0),
              ROUND(ROUND(OFFSET($P131,0,AT$13),15-13*ORÇAMENTO!$AF$7)*OFFSET(ORÇAMENTO!$W$15,ROW(AT131)-ROW(AT$15),0),15-13*ORÇAMENTO!$AF$11)),
         0)</f>
        <v>5142</v>
      </c>
      <c r="AU131" s="352" t="n">
        <f aca="true">IF(AND($D131="Serviço",AU$12&lt;&gt;0,$H131&gt;0,OR(AUTOEVENTO&lt;&gt;"manual",$M131&lt;&gt;$A$15)),
        IF(Import.TipoArredondamento&lt;&gt;"TransfereGOV",
              ROUND(OFFSET($P131,0,AU$13),15-13*ORÇAMENTO!$AF$7)/$H131*OFFSET(ORÇAMENTO!$X$15,ROW(AU131)-ROW(AU$15),0),
              ROUND(ROUND(OFFSET($P131,0,AU$13),15-13*ORÇAMENTO!$AF$7)*OFFSET(ORÇAMENTO!$W$15,ROW(AU131)-ROW(AU$15),0),15-13*ORÇAMENTO!$AF$11)),
         0)</f>
        <v>5142</v>
      </c>
      <c r="AV131" s="352" t="n">
        <f aca="true">IF(AND($D131="Serviço",AV$12&lt;&gt;0,$H131&gt;0,OR(AUTOEVENTO&lt;&gt;"manual",$M131&lt;&gt;$A$15)),
        IF(Import.TipoArredondamento&lt;&gt;"TransfereGOV",
              ROUND(OFFSET($P131,0,AV$13),15-13*ORÇAMENTO!$AF$7)/$H131*OFFSET(ORÇAMENTO!$X$15,ROW(AV131)-ROW(AV$15),0),
              ROUND(ROUND(OFFSET($P131,0,AV$13),15-13*ORÇAMENTO!$AF$7)*OFFSET(ORÇAMENTO!$W$15,ROW(AV131)-ROW(AV$15),0),15-13*ORÇAMENTO!$AF$11)),
         0)</f>
        <v>5142</v>
      </c>
      <c r="AW131" s="352" t="n">
        <f aca="true">IF(AND($D131="Serviço",AW$12&lt;&gt;0,$H131&gt;0,OR(AUTOEVENTO&lt;&gt;"manual",$M131&lt;&gt;$A$15)),
        IF(Import.TipoArredondamento&lt;&gt;"TransfereGOV",
              ROUND(OFFSET($P131,0,AW$13),15-13*ORÇAMENTO!$AF$7)/$H131*OFFSET(ORÇAMENTO!$X$15,ROW(AW131)-ROW(AW$15),0),
              ROUND(ROUND(OFFSET($P131,0,AW$13),15-13*ORÇAMENTO!$AF$7)*OFFSET(ORÇAMENTO!$W$15,ROW(AW131)-ROW(AW$15),0),15-13*ORÇAMENTO!$AF$11)),
         0)</f>
        <v>5142</v>
      </c>
      <c r="AX131" s="352" t="n">
        <f aca="true">IF(AND($D131="Serviço",AX$12&lt;&gt;0,$H131&gt;0,OR(AUTOEVENTO&lt;&gt;"manual",$M131&lt;&gt;$A$15)),
        IF(Import.TipoArredondamento&lt;&gt;"TransfereGOV",
              ROUND(OFFSET($P131,0,AX$13),15-13*ORÇAMENTO!$AF$7)/$H131*OFFSET(ORÇAMENTO!$X$15,ROW(AX131)-ROW(AX$15),0),
              ROUND(ROUND(OFFSET($P131,0,AX$13),15-13*ORÇAMENTO!$AF$7)*OFFSET(ORÇAMENTO!$W$15,ROW(AX131)-ROW(AX$15),0),15-13*ORÇAMENTO!$AF$11)),
         0)</f>
        <v>5142</v>
      </c>
      <c r="AY131" s="352" t="n">
        <f aca="true">IF(AND($D131="Serviço",AY$12&lt;&gt;0,$H131&gt;0,OR(AUTOEVENTO&lt;&gt;"manual",$M131&lt;&gt;$A$15)),
        IF(Import.TipoArredondamento&lt;&gt;"TransfereGOV",
              ROUND(OFFSET($P131,0,AY$13),15-13*ORÇAMENTO!$AF$7)/$H131*OFFSET(ORÇAMENTO!$X$15,ROW(AY131)-ROW(AY$15),0),
              ROUND(ROUND(OFFSET($P131,0,AY$13),15-13*ORÇAMENTO!$AF$7)*OFFSET(ORÇAMENTO!$W$15,ROW(AY131)-ROW(AY$15),0),15-13*ORÇAMENTO!$AF$11)),
         0)</f>
        <v>5142</v>
      </c>
      <c r="AZ131" s="352" t="n">
        <f aca="true">IF(AND($D131="Serviço",AZ$12&lt;&gt;0,$H131&gt;0,OR(AUTOEVENTO&lt;&gt;"manual",$M131&lt;&gt;$A$15)),
        IF(Import.TipoArredondamento&lt;&gt;"TransfereGOV",
              ROUND(OFFSET($P131,0,AZ$13),15-13*ORÇAMENTO!$AF$7)/$H131*OFFSET(ORÇAMENTO!$X$15,ROW(AZ131)-ROW(AZ$15),0),
              ROUND(ROUND(OFFSET($P131,0,AZ$13),15-13*ORÇAMENTO!$AF$7)*OFFSET(ORÇAMENTO!$W$15,ROW(AZ131)-ROW(AZ$15),0),15-13*ORÇAMENTO!$AF$11)),
         0)</f>
        <v>5142</v>
      </c>
      <c r="BA131" s="352" t="n">
        <f aca="true">IF(AND($D131="Serviço",BA$12&lt;&gt;0,$H131&gt;0,OR(AUTOEVENTO&lt;&gt;"manual",$M131&lt;&gt;$A$15)),
        IF(Import.TipoArredondamento&lt;&gt;"TransfereGOV",
              ROUND(OFFSET($P131,0,BA$13),15-13*ORÇAMENTO!$AF$7)/$H131*OFFSET(ORÇAMENTO!$X$15,ROW(BA131)-ROW(BA$15),0),
              ROUND(ROUND(OFFSET($P131,0,BA$13),15-13*ORÇAMENTO!$AF$7)*OFFSET(ORÇAMENTO!$W$15,ROW(BA131)-ROW(BA$15),0),15-13*ORÇAMENTO!$AF$11)),
         0)</f>
        <v>5142</v>
      </c>
      <c r="BB131" s="352" t="n">
        <f aca="true">IF(AND($D131="Serviço",BB$12&lt;&gt;0,$H131&gt;0,OR(AUTOEVENTO&lt;&gt;"manual",$M131&lt;&gt;$A$15)),
        IF(Import.TipoArredondamento&lt;&gt;"TransfereGOV",
              ROUND(OFFSET($P131,0,BB$13),15-13*ORÇAMENTO!$AF$7)/$H131*OFFSET(ORÇAMENTO!$X$15,ROW(BB131)-ROW(BB$15),0),
              ROUND(ROUND(OFFSET($P131,0,BB$13),15-13*ORÇAMENTO!$AF$7)*OFFSET(ORÇAMENTO!$W$15,ROW(BB131)-ROW(BB$15),0),15-13*ORÇAMENTO!$AF$11)),
         0)</f>
        <v>5142</v>
      </c>
      <c r="BC131" s="352" t="n">
        <f aca="true">IF(AND($D131="Serviço",BC$12&lt;&gt;0,$H131&gt;0,OR(AUTOEVENTO&lt;&gt;"manual",$M131&lt;&gt;$A$15)),
        IF(Import.TipoArredondamento&lt;&gt;"TransfereGOV",
              ROUND(OFFSET($P131,0,BC$13),15-13*ORÇAMENTO!$AF$7)/$H131*OFFSET(ORÇAMENTO!$X$15,ROW(BC131)-ROW(BC$15),0),
              ROUND(ROUND(OFFSET($P131,0,BC$13),15-13*ORÇAMENTO!$AF$7)*OFFSET(ORÇAMENTO!$W$15,ROW(BC131)-ROW(BC$15),0),15-13*ORÇAMENTO!$AF$11)),
         0)</f>
        <v>5142</v>
      </c>
      <c r="BD131" s="352" t="n">
        <f aca="true">IF(AND($D131="Serviço",BD$12&lt;&gt;0,$H131&gt;0,OR(AUTOEVENTO&lt;&gt;"manual",$M131&lt;&gt;$A$15)),
        IF(Import.TipoArredondamento&lt;&gt;"TransfereGOV",
              ROUND(OFFSET($P131,0,BD$13),15-13*ORÇAMENTO!$AF$7)/$H131*OFFSET(ORÇAMENTO!$X$15,ROW(BD131)-ROW(BD$15),0),
              ROUND(ROUND(OFFSET($P131,0,BD$13),15-13*ORÇAMENTO!$AF$7)*OFFSET(ORÇAMENTO!$W$15,ROW(BD131)-ROW(BD$15),0),15-13*ORÇAMENTO!$AF$11)),
         0)</f>
        <v>5142</v>
      </c>
      <c r="BE131" s="352" t="n">
        <f aca="true">IF(AND($D131="Serviço",BE$12&lt;&gt;0,$H131&gt;0,OR(AUTOEVENTO&lt;&gt;"manual",$M131&lt;&gt;$A$15)),
        IF(Import.TipoArredondamento&lt;&gt;"TransfereGOV",
              ROUND(OFFSET($P131,0,BE$13),15-13*ORÇAMENTO!$AF$7)/$H131*OFFSET(ORÇAMENTO!$X$15,ROW(BE131)-ROW(BE$15),0),
              ROUND(ROUND(OFFSET($P131,0,BE$13),15-13*ORÇAMENTO!$AF$7)*OFFSET(ORÇAMENTO!$W$15,ROW(BE131)-ROW(BE$15),0),15-13*ORÇAMENTO!$AF$11)),
         0)</f>
        <v>5142</v>
      </c>
      <c r="BF131" s="352" t="n">
        <f aca="true">IF(AND($D131="Serviço",BF$12&lt;&gt;0,$H131&gt;0,OR(AUTOEVENTO&lt;&gt;"manual",$M131&lt;&gt;$A$15)),
        IF(Import.TipoArredondamento&lt;&gt;"TransfereGOV",
              ROUND(OFFSET($P131,0,BF$13),15-13*ORÇAMENTO!$AF$7)/$H131*OFFSET(ORÇAMENTO!$X$15,ROW(BF131)-ROW(BF$15),0),
              ROUND(ROUND(OFFSET($P131,0,BF$13),15-13*ORÇAMENTO!$AF$7)*OFFSET(ORÇAMENTO!$W$15,ROW(BF131)-ROW(BF$15),0),15-13*ORÇAMENTO!$AF$11)),
         0)</f>
        <v>5142</v>
      </c>
      <c r="BG131" s="352" t="n">
        <f aca="true">IF(AND($D131="Serviço",BG$12&lt;&gt;0,$H131&gt;0,OR(AUTOEVENTO&lt;&gt;"manual",$M131&lt;&gt;$A$15)),
        IF(Import.TipoArredondamento&lt;&gt;"TransfereGOV",
              ROUND(OFFSET($P131,0,BG$13),15-13*ORÇAMENTO!$AF$7)/$H131*OFFSET(ORÇAMENTO!$X$15,ROW(BG131)-ROW(BG$15),0),
              ROUND(ROUND(OFFSET($P131,0,BG$13),15-13*ORÇAMENTO!$AF$7)*OFFSET(ORÇAMENTO!$W$15,ROW(BG131)-ROW(BG$15),0),15-13*ORÇAMENTO!$AF$11)),
         0)</f>
        <v>5142</v>
      </c>
      <c r="BH131" s="352" t="n">
        <f aca="true">IF(AND($D131="Serviço",BH$12&lt;&gt;0,$H131&gt;0,OR(AUTOEVENTO&lt;&gt;"manual",$M131&lt;&gt;$A$15)),
        IF(Import.TipoArredondamento&lt;&gt;"TransfereGOV",
              ROUND(OFFSET($P131,0,BH$13),15-13*ORÇAMENTO!$AF$7)/$H131*OFFSET(ORÇAMENTO!$X$15,ROW(BH131)-ROW(BH$15),0),
              ROUND(ROUND(OFFSET($P131,0,BH$13),15-13*ORÇAMENTO!$AF$7)*OFFSET(ORÇAMENTO!$W$15,ROW(BH131)-ROW(BH$15),0),15-13*ORÇAMENTO!$AF$11)),
         0)</f>
        <v>5142</v>
      </c>
      <c r="BI131" s="352" t="n">
        <f aca="true">IF(AND($D131="Serviço",BI$12&lt;&gt;0,$H131&gt;0,OR(AUTOEVENTO&lt;&gt;"manual",$M131&lt;&gt;$A$15)),
        IF(Import.TipoArredondamento&lt;&gt;"TransfereGOV",
              ROUND(OFFSET($P131,0,BI$13),15-13*ORÇAMENTO!$AF$7)/$H131*OFFSET(ORÇAMENTO!$X$15,ROW(BI131)-ROW(BI$15),0),
              ROUND(ROUND(OFFSET($P131,0,BI$13),15-13*ORÇAMENTO!$AF$7)*OFFSET(ORÇAMENTO!$W$15,ROW(BI131)-ROW(BI$15),0),15-13*ORÇAMENTO!$AF$11)),
         0)</f>
        <v>5142</v>
      </c>
      <c r="BJ131" s="352" t="n">
        <f aca="true">IF(AND($D131="Serviço",BJ$12&lt;&gt;0,$H131&gt;0,OR(AUTOEVENTO&lt;&gt;"manual",$M131&lt;&gt;$A$15)),
        IF(Import.TipoArredondamento&lt;&gt;"TransfereGOV",
              ROUND(OFFSET($P131,0,BJ$13),15-13*ORÇAMENTO!$AF$7)/$H131*OFFSET(ORÇAMENTO!$X$15,ROW(BJ131)-ROW(BJ$15),0),
              ROUND(ROUND(OFFSET($P131,0,BJ$13),15-13*ORÇAMENTO!$AF$7)*OFFSET(ORÇAMENTO!$W$15,ROW(BJ131)-ROW(BJ$15),0),15-13*ORÇAMENTO!$AF$11)),
         0)</f>
        <v>5142</v>
      </c>
      <c r="BK131" s="352" t="n">
        <f aca="true">IF(AND($D131="Serviço",BK$12&lt;&gt;0,$H131&gt;0,OR(AUTOEVENTO&lt;&gt;"manual",$M131&lt;&gt;$A$15)),
        IF(Import.TipoArredondamento&lt;&gt;"TransfereGOV",
              ROUND(OFFSET($P131,0,BK$13),15-13*ORÇAMENTO!$AF$7)/$H131*OFFSET(ORÇAMENTO!$X$15,ROW(BK131)-ROW(BK$15),0),
              ROUND(ROUND(OFFSET($P131,0,BK$13),15-13*ORÇAMENTO!$AF$7)*OFFSET(ORÇAMENTO!$W$15,ROW(BK131)-ROW(BK$15),0),15-13*ORÇAMENTO!$AF$11)),
         0)</f>
        <v>5142</v>
      </c>
      <c r="BL131" s="352" t="n">
        <f aca="true">IF(AND($D131="Serviço",BL$12&lt;&gt;0,$H131&gt;0,OR(AUTOEVENTO&lt;&gt;"manual",$M131&lt;&gt;$A$15)),
        IF(Import.TipoArredondamento&lt;&gt;"TransfereGOV",
              ROUND(OFFSET($P131,0,BL$13),15-13*ORÇAMENTO!$AF$7)/$H131*OFFSET(ORÇAMENTO!$X$15,ROW(BL131)-ROW(BL$15),0),
              ROUND(ROUND(OFFSET($P131,0,BL$13),15-13*ORÇAMENTO!$AF$7)*OFFSET(ORÇAMENTO!$W$15,ROW(BL131)-ROW(BL$15),0),15-13*ORÇAMENTO!$AF$11)),
         0)</f>
        <v>5142</v>
      </c>
      <c r="BM131" s="352" t="n">
        <f aca="true">IF(AND($D131="Serviço",BM$12&lt;&gt;0,$H131&gt;0,OR(AUTOEVENTO&lt;&gt;"manual",$M131&lt;&gt;$A$15)),
        IF(Import.TipoArredondamento&lt;&gt;"TransfereGOV",
              ROUND(OFFSET($P131,0,BM$13),15-13*ORÇAMENTO!$AF$7)/$H131*OFFSET(ORÇAMENTO!$X$15,ROW(BM131)-ROW(BM$15),0),
              ROUND(ROUND(OFFSET($P131,0,BM$13),15-13*ORÇAMENTO!$AF$7)*OFFSET(ORÇAMENTO!$W$15,ROW(BM131)-ROW(BM$15),0),15-13*ORÇAMENTO!$AF$11)),
         0)</f>
        <v>5142</v>
      </c>
      <c r="BN131" s="352" t="n">
        <f aca="true">IF(AND($D131="Serviço",BN$12&lt;&gt;0,$H131&gt;0,OR(AUTOEVENTO&lt;&gt;"manual",$M131&lt;&gt;$A$15)),
        IF(Import.TipoArredondamento&lt;&gt;"TransfereGOV",
              ROUND(OFFSET($P131,0,BN$13),15-13*ORÇAMENTO!$AF$7)/$H131*OFFSET(ORÇAMENTO!$X$15,ROW(BN131)-ROW(BN$15),0),
              ROUND(ROUND(OFFSET($P131,0,BN$13),15-13*ORÇAMENTO!$AF$7)*OFFSET(ORÇAMENTO!$W$15,ROW(BN131)-ROW(BN$15),0),15-13*ORÇAMENTO!$AF$11)),
         0)</f>
        <v>5142</v>
      </c>
      <c r="BO131" s="352" t="n">
        <f aca="true">IF(AND($D131="Serviço",BO$12&lt;&gt;0,$H131&gt;0,OR(AUTOEVENTO&lt;&gt;"manual",$M131&lt;&gt;$A$15)),
        IF(Import.TipoArredondamento&lt;&gt;"TransfereGOV",
              ROUND(OFFSET($P131,0,BO$13),15-13*ORÇAMENTO!$AF$7)/$H131*OFFSET(ORÇAMENTO!$X$15,ROW(BO131)-ROW(BO$15),0),
              ROUND(ROUND(OFFSET($P131,0,BO$13),15-13*ORÇAMENTO!$AF$7)*OFFSET(ORÇAMENTO!$W$15,ROW(BO131)-ROW(BO$15),0),15-13*ORÇAMENTO!$AF$11)),
         0)</f>
        <v>5142</v>
      </c>
      <c r="BP131" s="352" t="n">
        <f aca="true">IF(AND($D131="Serviço",BP$12&lt;&gt;0,$H131&gt;0,OR(AUTOEVENTO&lt;&gt;"manual",$M131&lt;&gt;$A$15)),
        IF(Import.TipoArredondamento&lt;&gt;"TransfereGOV",
              ROUND(OFFSET($P131,0,BP$13),15-13*ORÇAMENTO!$AF$7)/$H131*OFFSET(ORÇAMENTO!$X$15,ROW(BP131)-ROW(BP$15),0),
              ROUND(ROUND(OFFSET($P131,0,BP$13),15-13*ORÇAMENTO!$AF$7)*OFFSET(ORÇAMENTO!$W$15,ROW(BP131)-ROW(BP$15),0),15-13*ORÇAMENTO!$AF$11)),
         0)</f>
        <v>5142</v>
      </c>
      <c r="BQ131" s="352" t="n">
        <f aca="true">IF(AND($D131="Serviço",BQ$12&lt;&gt;0,$H131&gt;0,OR(AUTOEVENTO&lt;&gt;"manual",$M131&lt;&gt;$A$15)),
        IF(Import.TipoArredondamento&lt;&gt;"TransfereGOV",
              ROUND(OFFSET($P131,0,BQ$13),15-13*ORÇAMENTO!$AF$7)/$H131*OFFSET(ORÇAMENTO!$X$15,ROW(BQ131)-ROW(BQ$15),0),
              ROUND(ROUND(OFFSET($P131,0,BQ$13),15-13*ORÇAMENTO!$AF$7)*OFFSET(ORÇAMENTO!$W$15,ROW(BQ131)-ROW(BQ$15),0),15-13*ORÇAMENTO!$AF$11)),
         0)</f>
        <v>0</v>
      </c>
      <c r="BS131" s="353" t="n">
        <f aca="true">IF(OR($D131&lt;&gt;"Serviço",AND(AUTOEVENTO="Manual",$M131=$A$15)),0,
         IF(OFFSET(CRONOPLE!$F$15,$M131-$A$15,BS$13)=0,10^12,OFFSET(CRONOPLE!$F$15,$M131-$A$15,BS$13)))</f>
        <v>1</v>
      </c>
      <c r="BT131" s="353" t="n">
        <f aca="true">IF(OR($D131&lt;&gt;"Serviço",AND(AUTOEVENTO="Manual",$M131=$A$15)),0,
         IF(OFFSET(CRONOPLE!$F$15,$M131-$A$15,BT$13)=0,10^12,OFFSET(CRONOPLE!$F$15,$M131-$A$15,BT$13)))</f>
        <v>2</v>
      </c>
      <c r="BU131" s="353" t="n">
        <f aca="true">IF(OR($D131&lt;&gt;"Serviço",AND(AUTOEVENTO="Manual",$M131=$A$15)),0,
         IF(OFFSET(CRONOPLE!$F$15,$M131-$A$15,BU$13)=0,10^12,OFFSET(CRONOPLE!$F$15,$M131-$A$15,BU$13)))</f>
        <v>3</v>
      </c>
      <c r="BV131" s="353" t="n">
        <f aca="true">IF(OR($D131&lt;&gt;"Serviço",AND(AUTOEVENTO="Manual",$M131=$A$15)),0,
         IF(OFFSET(CRONOPLE!$F$15,$M131-$A$15,BV$13)=0,10^12,OFFSET(CRONOPLE!$F$15,$M131-$A$15,BV$13)))</f>
        <v>4</v>
      </c>
      <c r="BW131" s="353" t="n">
        <f aca="true">IF(OR($D131&lt;&gt;"Serviço",AND(AUTOEVENTO="Manual",$M131=$A$15)),0,
         IF(OFFSET(CRONOPLE!$F$15,$M131-$A$15,BW$13)=0,10^12,OFFSET(CRONOPLE!$F$15,$M131-$A$15,BW$13)))</f>
        <v>5</v>
      </c>
      <c r="BX131" s="353" t="n">
        <f aca="true">IF(OR($D131&lt;&gt;"Serviço",AND(AUTOEVENTO="Manual",$M131=$A$15)),0,
         IF(OFFSET(CRONOPLE!$F$15,$M131-$A$15,BX$13)=0,10^12,OFFSET(CRONOPLE!$F$15,$M131-$A$15,BX$13)))</f>
        <v>6</v>
      </c>
      <c r="BY131" s="353" t="n">
        <f aca="true">IF(OR($D131&lt;&gt;"Serviço",AND(AUTOEVENTO="Manual",$M131=$A$15)),0,
         IF(OFFSET(CRONOPLE!$F$15,$M131-$A$15,BY$13)=0,10^12,OFFSET(CRONOPLE!$F$15,$M131-$A$15,BY$13)))</f>
        <v>7</v>
      </c>
      <c r="BZ131" s="353" t="n">
        <f aca="true">IF(OR($D131&lt;&gt;"Serviço",AND(AUTOEVENTO="Manual",$M131=$A$15)),0,
         IF(OFFSET(CRONOPLE!$F$15,$M131-$A$15,BZ$13)=0,10^12,OFFSET(CRONOPLE!$F$15,$M131-$A$15,BZ$13)))</f>
        <v>8</v>
      </c>
      <c r="CA131" s="353" t="n">
        <f aca="true">IF(OR($D131&lt;&gt;"Serviço",AND(AUTOEVENTO="Manual",$M131=$A$15)),0,
         IF(OFFSET(CRONOPLE!$F$15,$M131-$A$15,CA$13)=0,10^12,OFFSET(CRONOPLE!$F$15,$M131-$A$15,CA$13)))</f>
        <v>9</v>
      </c>
      <c r="CB131" s="353" t="n">
        <f aca="true">IF(OR($D131&lt;&gt;"Serviço",AND(AUTOEVENTO="Manual",$M131=$A$15)),0,
         IF(OFFSET(CRONOPLE!$F$15,$M131-$A$15,CB$13)=0,10^12,OFFSET(CRONOPLE!$F$15,$M131-$A$15,CB$13)))</f>
        <v>10</v>
      </c>
      <c r="CC131" s="353" t="n">
        <f aca="true">IF(OR($D131&lt;&gt;"Serviço",AND(AUTOEVENTO="Manual",$M131=$A$15)),0,
         IF(OFFSET(CRONOPLE!$F$15,$M131-$A$15,CC$13)=0,10^12,OFFSET(CRONOPLE!$F$15,$M131-$A$15,CC$13)))</f>
        <v>11</v>
      </c>
      <c r="CD131" s="353" t="n">
        <f aca="true">IF(OR($D131&lt;&gt;"Serviço",AND(AUTOEVENTO="Manual",$M131=$A$15)),0,
         IF(OFFSET(CRONOPLE!$F$15,$M131-$A$15,CD$13)=0,10^12,OFFSET(CRONOPLE!$F$15,$M131-$A$15,CD$13)))</f>
        <v>12</v>
      </c>
      <c r="CE131" s="353" t="n">
        <f aca="true">IF(OR($D131&lt;&gt;"Serviço",AND(AUTOEVENTO="Manual",$M131=$A$15)),0,
         IF(OFFSET(CRONOPLE!$F$15,$M131-$A$15,CE$13)=0,10^12,OFFSET(CRONOPLE!$F$15,$M131-$A$15,CE$13)))</f>
        <v>13</v>
      </c>
      <c r="CF131" s="353" t="n">
        <f aca="true">IF(OR($D131&lt;&gt;"Serviço",AND(AUTOEVENTO="Manual",$M131=$A$15)),0,
         IF(OFFSET(CRONOPLE!$F$15,$M131-$A$15,CF$13)=0,10^12,OFFSET(CRONOPLE!$F$15,$M131-$A$15,CF$13)))</f>
        <v>14</v>
      </c>
      <c r="CG131" s="353" t="n">
        <f aca="true">IF(OR($D131&lt;&gt;"Serviço",AND(AUTOEVENTO="Manual",$M131=$A$15)),0,
         IF(OFFSET(CRONOPLE!$F$15,$M131-$A$15,CG$13)=0,10^12,OFFSET(CRONOPLE!$F$15,$M131-$A$15,CG$13)))</f>
        <v>15</v>
      </c>
      <c r="CH131" s="353" t="n">
        <f aca="true">IF(OR($D131&lt;&gt;"Serviço",AND(AUTOEVENTO="Manual",$M131=$A$15)),0,
         IF(OFFSET(CRONOPLE!$F$15,$M131-$A$15,CH$13)=0,10^12,OFFSET(CRONOPLE!$F$15,$M131-$A$15,CH$13)))</f>
        <v>16</v>
      </c>
      <c r="CI131" s="353" t="n">
        <f aca="true">IF(OR($D131&lt;&gt;"Serviço",AND(AUTOEVENTO="Manual",$M131=$A$15)),0,
         IF(OFFSET(CRONOPLE!$F$15,$M131-$A$15,CI$13)=0,10^12,OFFSET(CRONOPLE!$F$15,$M131-$A$15,CI$13)))</f>
        <v>17</v>
      </c>
      <c r="CJ131" s="353" t="n">
        <f aca="true">IF(OR($D131&lt;&gt;"Serviço",AND(AUTOEVENTO="Manual",$M131=$A$15)),0,
         IF(OFFSET(CRONOPLE!$F$15,$M131-$A$15,CJ$13)=0,10^12,OFFSET(CRONOPLE!$F$15,$M131-$A$15,CJ$13)))</f>
        <v>18</v>
      </c>
      <c r="CK131" s="353" t="n">
        <f aca="true">IF(OR($D131&lt;&gt;"Serviço",AND(AUTOEVENTO="Manual",$M131=$A$15)),0,
         IF(OFFSET(CRONOPLE!$F$15,$M131-$A$15,CK$13)=0,10^12,OFFSET(CRONOPLE!$F$15,$M131-$A$15,CK$13)))</f>
        <v>19</v>
      </c>
      <c r="CL131" s="353" t="n">
        <f aca="true">IF(OR($D131&lt;&gt;"Serviço",AND(AUTOEVENTO="Manual",$M131=$A$15)),0,
         IF(OFFSET(CRONOPLE!$F$15,$M131-$A$15,CL$13)=0,10^12,OFFSET(CRONOPLE!$F$15,$M131-$A$15,CL$13)))</f>
        <v>20</v>
      </c>
      <c r="CM131" s="353" t="n">
        <f aca="true">IF(OR($D131&lt;&gt;"Serviço",AND(AUTOEVENTO="Manual",$M131=$A$15)),0,
         IF(OFFSET(CRONOPLE!$F$15,$M131-$A$15,CM$13)=0,10^12,OFFSET(CRONOPLE!$F$15,$M131-$A$15,CM$13)))</f>
        <v>21</v>
      </c>
      <c r="CN131" s="353" t="n">
        <f aca="true">IF(OR($D131&lt;&gt;"Serviço",AND(AUTOEVENTO="Manual",$M131=$A$15)),0,
         IF(OFFSET(CRONOPLE!$F$15,$M131-$A$15,CN$13)=0,10^12,OFFSET(CRONOPLE!$F$15,$M131-$A$15,CN$13)))</f>
        <v>22</v>
      </c>
      <c r="CO131" s="353" t="n">
        <f aca="true">IF(OR($D131&lt;&gt;"Serviço",AND(AUTOEVENTO="Manual",$M131=$A$15)),0,
         IF(OFFSET(CRONOPLE!$F$15,$M131-$A$15,CO$13)=0,10^12,OFFSET(CRONOPLE!$F$15,$M131-$A$15,CO$13)))</f>
        <v>23</v>
      </c>
      <c r="CP131" s="353" t="n">
        <f aca="true">IF(OR($D131&lt;&gt;"Serviço",AND(AUTOEVENTO="Manual",$M131=$A$15)),0,
         IF(OFFSET(CRONOPLE!$F$15,$M131-$A$15,CP$13)=0,10^12,OFFSET(CRONOPLE!$F$15,$M131-$A$15,CP$13)))</f>
        <v>24</v>
      </c>
      <c r="CQ131" s="353" t="n">
        <f aca="true">IF(OR($D131&lt;&gt;"Serviço",AND(AUTOEVENTO="Manual",$M131=$A$15)),0,
         IF(OFFSET(CRONOPLE!$F$15,$M131-$A$15,CQ$13)=0,10^12,OFFSET(CRONOPLE!$F$15,$M131-$A$15,CQ$13)))</f>
        <v>25</v>
      </c>
      <c r="CR131" s="353" t="n">
        <f aca="true">IF(OR($D131&lt;&gt;"Serviço",AND(AUTOEVENTO="Manual",$M131=$A$15)),0,
         IF(OFFSET(CRONOPLE!$F$15,$M131-$A$15,CR$13)=0,10^12,OFFSET(CRONOPLE!$F$15,$M131-$A$15,CR$13)))</f>
        <v>1000000000000</v>
      </c>
      <c r="CT131" s="354" t="n">
        <f aca="true">IF(OR($D131&lt;&gt;"Serviço",AND(AUTOEVENTO="Manual",$M131=$A$15),$M131&gt;(ROW(PLE.lastrow)-ROW(PLE.firstrow))),0,
           IF(OFFSET(PLE!$G$15,$M131-$A$15,CT$13)="",10^12,OFFSET(PLE!$G$15,$M131-$A$15,CT$13)))</f>
        <v>1000000000000</v>
      </c>
      <c r="CU131" s="354" t="n">
        <f aca="true">IF(OR($D131&lt;&gt;"Serviço",AND(AUTOEVENTO="Manual",$M131=$A$15),$M131&gt;(ROW(PLE.lastrow)-ROW(PLE.firstrow))),0,
           IF(OFFSET(PLE!$G$15,$M131-$A$15,CU$13)="",10^12,OFFSET(PLE!$G$15,$M131-$A$15,CU$13)))</f>
        <v>1000000000000</v>
      </c>
      <c r="CV131" s="354" t="n">
        <f aca="true">IF(OR($D131&lt;&gt;"Serviço",AND(AUTOEVENTO="Manual",$M131=$A$15),$M131&gt;(ROW(PLE.lastrow)-ROW(PLE.firstrow))),0,
           IF(OFFSET(PLE!$G$15,$M131-$A$15,CV$13)="",10^12,OFFSET(PLE!$G$15,$M131-$A$15,CV$13)))</f>
        <v>1000000000000</v>
      </c>
      <c r="CW131" s="354" t="n">
        <f aca="true">IF(OR($D131&lt;&gt;"Serviço",AND(AUTOEVENTO="Manual",$M131=$A$15),$M131&gt;(ROW(PLE.lastrow)-ROW(PLE.firstrow))),0,
           IF(OFFSET(PLE!$G$15,$M131-$A$15,CW$13)="",10^12,OFFSET(PLE!$G$15,$M131-$A$15,CW$13)))</f>
        <v>1000000000000</v>
      </c>
      <c r="CX131" s="354" t="n">
        <f aca="true">IF(OR($D131&lt;&gt;"Serviço",AND(AUTOEVENTO="Manual",$M131=$A$15),$M131&gt;(ROW(PLE.lastrow)-ROW(PLE.firstrow))),0,
           IF(OFFSET(PLE!$G$15,$M131-$A$15,CX$13)="",10^12,OFFSET(PLE!$G$15,$M131-$A$15,CX$13)))</f>
        <v>1000000000000</v>
      </c>
      <c r="CY131" s="354" t="n">
        <f aca="true">IF(OR($D131&lt;&gt;"Serviço",AND(AUTOEVENTO="Manual",$M131=$A$15),$M131&gt;(ROW(PLE.lastrow)-ROW(PLE.firstrow))),0,
           IF(OFFSET(PLE!$G$15,$M131-$A$15,CY$13)="",10^12,OFFSET(PLE!$G$15,$M131-$A$15,CY$13)))</f>
        <v>1000000000000</v>
      </c>
      <c r="CZ131" s="354" t="n">
        <f aca="true">IF(OR($D131&lt;&gt;"Serviço",AND(AUTOEVENTO="Manual",$M131=$A$15),$M131&gt;(ROW(PLE.lastrow)-ROW(PLE.firstrow))),0,
           IF(OFFSET(PLE!$G$15,$M131-$A$15,CZ$13)="",10^12,OFFSET(PLE!$G$15,$M131-$A$15,CZ$13)))</f>
        <v>1000000000000</v>
      </c>
      <c r="DA131" s="354" t="n">
        <f aca="true">IF(OR($D131&lt;&gt;"Serviço",AND(AUTOEVENTO="Manual",$M131=$A$15),$M131&gt;(ROW(PLE.lastrow)-ROW(PLE.firstrow))),0,
           IF(OFFSET(PLE!$G$15,$M131-$A$15,DA$13)="",10^12,OFFSET(PLE!$G$15,$M131-$A$15,DA$13)))</f>
        <v>1000000000000</v>
      </c>
      <c r="DB131" s="354" t="n">
        <f aca="true">IF(OR($D131&lt;&gt;"Serviço",AND(AUTOEVENTO="Manual",$M131=$A$15),$M131&gt;(ROW(PLE.lastrow)-ROW(PLE.firstrow))),0,
           IF(OFFSET(PLE!$G$15,$M131-$A$15,DB$13)="",10^12,OFFSET(PLE!$G$15,$M131-$A$15,DB$13)))</f>
        <v>1000000000000</v>
      </c>
      <c r="DC131" s="354" t="n">
        <f aca="true">IF(OR($D131&lt;&gt;"Serviço",AND(AUTOEVENTO="Manual",$M131=$A$15),$M131&gt;(ROW(PLE.lastrow)-ROW(PLE.firstrow))),0,
           IF(OFFSET(PLE!$G$15,$M131-$A$15,DC$13)="",10^12,OFFSET(PLE!$G$15,$M131-$A$15,DC$13)))</f>
        <v>1000000000000</v>
      </c>
      <c r="DD131" s="354" t="n">
        <f aca="true">IF(OR($D131&lt;&gt;"Serviço",AND(AUTOEVENTO="Manual",$M131=$A$15),$M131&gt;(ROW(PLE.lastrow)-ROW(PLE.firstrow))),0,
           IF(OFFSET(PLE!$G$15,$M131-$A$15,DD$13)="",10^12,OFFSET(PLE!$G$15,$M131-$A$15,DD$13)))</f>
        <v>1000000000000</v>
      </c>
      <c r="DE131" s="354" t="n">
        <f aca="true">IF(OR($D131&lt;&gt;"Serviço",AND(AUTOEVENTO="Manual",$M131=$A$15),$M131&gt;(ROW(PLE.lastrow)-ROW(PLE.firstrow))),0,
           IF(OFFSET(PLE!$G$15,$M131-$A$15,DE$13)="",10^12,OFFSET(PLE!$G$15,$M131-$A$15,DE$13)))</f>
        <v>1000000000000</v>
      </c>
      <c r="DF131" s="354" t="n">
        <f aca="true">IF(OR($D131&lt;&gt;"Serviço",AND(AUTOEVENTO="Manual",$M131=$A$15),$M131&gt;(ROW(PLE.lastrow)-ROW(PLE.firstrow))),0,
           IF(OFFSET(PLE!$G$15,$M131-$A$15,DF$13)="",10^12,OFFSET(PLE!$G$15,$M131-$A$15,DF$13)))</f>
        <v>1000000000000</v>
      </c>
      <c r="DG131" s="354" t="n">
        <f aca="true">IF(OR($D131&lt;&gt;"Serviço",AND(AUTOEVENTO="Manual",$M131=$A$15),$M131&gt;(ROW(PLE.lastrow)-ROW(PLE.firstrow))),0,
           IF(OFFSET(PLE!$G$15,$M131-$A$15,DG$13)="",10^12,OFFSET(PLE!$G$15,$M131-$A$15,DG$13)))</f>
        <v>1000000000000</v>
      </c>
      <c r="DH131" s="354" t="n">
        <f aca="true">IF(OR($D131&lt;&gt;"Serviço",AND(AUTOEVENTO="Manual",$M131=$A$15),$M131&gt;(ROW(PLE.lastrow)-ROW(PLE.firstrow))),0,
           IF(OFFSET(PLE!$G$15,$M131-$A$15,DH$13)="",10^12,OFFSET(PLE!$G$15,$M131-$A$15,DH$13)))</f>
        <v>1000000000000</v>
      </c>
      <c r="DI131" s="354" t="n">
        <f aca="true">IF(OR($D131&lt;&gt;"Serviço",AND(AUTOEVENTO="Manual",$M131=$A$15),$M131&gt;(ROW(PLE.lastrow)-ROW(PLE.firstrow))),0,
           IF(OFFSET(PLE!$G$15,$M131-$A$15,DI$13)="",10^12,OFFSET(PLE!$G$15,$M131-$A$15,DI$13)))</f>
        <v>1000000000000</v>
      </c>
      <c r="DJ131" s="354" t="n">
        <f aca="true">IF(OR($D131&lt;&gt;"Serviço",AND(AUTOEVENTO="Manual",$M131=$A$15),$M131&gt;(ROW(PLE.lastrow)-ROW(PLE.firstrow))),0,
           IF(OFFSET(PLE!$G$15,$M131-$A$15,DJ$13)="",10^12,OFFSET(PLE!$G$15,$M131-$A$15,DJ$13)))</f>
        <v>1000000000000</v>
      </c>
      <c r="DK131" s="354" t="n">
        <f aca="true">IF(OR($D131&lt;&gt;"Serviço",AND(AUTOEVENTO="Manual",$M131=$A$15),$M131&gt;(ROW(PLE.lastrow)-ROW(PLE.firstrow))),0,
           IF(OFFSET(PLE!$G$15,$M131-$A$15,DK$13)="",10^12,OFFSET(PLE!$G$15,$M131-$A$15,DK$13)))</f>
        <v>1000000000000</v>
      </c>
      <c r="DL131" s="354" t="n">
        <f aca="true">IF(OR($D131&lt;&gt;"Serviço",AND(AUTOEVENTO="Manual",$M131=$A$15),$M131&gt;(ROW(PLE.lastrow)-ROW(PLE.firstrow))),0,
           IF(OFFSET(PLE!$G$15,$M131-$A$15,DL$13)="",10^12,OFFSET(PLE!$G$15,$M131-$A$15,DL$13)))</f>
        <v>1000000000000</v>
      </c>
      <c r="DM131" s="354" t="n">
        <f aca="true">IF(OR($D131&lt;&gt;"Serviço",AND(AUTOEVENTO="Manual",$M131=$A$15),$M131&gt;(ROW(PLE.lastrow)-ROW(PLE.firstrow))),0,
           IF(OFFSET(PLE!$G$15,$M131-$A$15,DM$13)="",10^12,OFFSET(PLE!$G$15,$M131-$A$15,DM$13)))</f>
        <v>1000000000000</v>
      </c>
      <c r="DN131" s="354" t="n">
        <f aca="true">IF(OR($D131&lt;&gt;"Serviço",AND(AUTOEVENTO="Manual",$M131=$A$15),$M131&gt;(ROW(PLE.lastrow)-ROW(PLE.firstrow))),0,
           IF(OFFSET(PLE!$G$15,$M131-$A$15,DN$13)="",10^12,OFFSET(PLE!$G$15,$M131-$A$15,DN$13)))</f>
        <v>1000000000000</v>
      </c>
      <c r="DO131" s="354" t="n">
        <f aca="true">IF(OR($D131&lt;&gt;"Serviço",AND(AUTOEVENTO="Manual",$M131=$A$15),$M131&gt;(ROW(PLE.lastrow)-ROW(PLE.firstrow))),0,
           IF(OFFSET(PLE!$G$15,$M131-$A$15,DO$13)="",10^12,OFFSET(PLE!$G$15,$M131-$A$15,DO$13)))</f>
        <v>1000000000000</v>
      </c>
      <c r="DP131" s="354" t="n">
        <f aca="true">IF(OR($D131&lt;&gt;"Serviço",AND(AUTOEVENTO="Manual",$M131=$A$15),$M131&gt;(ROW(PLE.lastrow)-ROW(PLE.firstrow))),0,
           IF(OFFSET(PLE!$G$15,$M131-$A$15,DP$13)="",10^12,OFFSET(PLE!$G$15,$M131-$A$15,DP$13)))</f>
        <v>1000000000000</v>
      </c>
      <c r="DQ131" s="354" t="n">
        <f aca="true">IF(OR($D131&lt;&gt;"Serviço",AND(AUTOEVENTO="Manual",$M131=$A$15),$M131&gt;(ROW(PLE.lastrow)-ROW(PLE.firstrow))),0,
           IF(OFFSET(PLE!$G$15,$M131-$A$15,DQ$13)="",10^12,OFFSET(PLE!$G$15,$M131-$A$15,DQ$13)))</f>
        <v>1000000000000</v>
      </c>
      <c r="DR131" s="354" t="n">
        <f aca="true">IF(OR($D131&lt;&gt;"Serviço",AND(AUTOEVENTO="Manual",$M131=$A$15),$M131&gt;(ROW(PLE.lastrow)-ROW(PLE.firstrow))),0,
           IF(OFFSET(PLE!$G$15,$M131-$A$15,DR$13)="",10^12,OFFSET(PLE!$G$15,$M131-$A$15,DR$13)))</f>
        <v>1000000000000</v>
      </c>
      <c r="DS131" s="354" t="n">
        <f aca="true">IF(OR($D131&lt;&gt;"Serviço",AND(AUTOEVENTO="Manual",$M131=$A$15),$M131&gt;(ROW(PLE.lastrow)-ROW(PLE.firstrow))),0,
           IF(OFFSET(PLE!$G$15,$M131-$A$15,DS$13)="",10^12,OFFSET(PLE!$G$15,$M131-$A$15,DS$13)))</f>
        <v>1000000000000</v>
      </c>
    </row>
    <row r="132" customFormat="false" ht="12.75" hidden="false" customHeight="false" outlineLevel="0" collapsed="false">
      <c r="A132" s="50" t="str">
        <f aca="true">IFERROR(IF(AUTOEVENTO="Manual",IF(K132&lt;&gt;"",MIN(VALUE(LEFT(K132,FIND(".",K132)-1)),COUNTA(EVENTOS.Lista)),0),IF(OR($B132&gt;AUTOEVENTO,$B132="S",$B132=0),SUBSTITUTE(OFFSET($A132,-1,0),IF($D132="Serviço",".",""),""),ROW(A132)-ROW($A$15)&amp;".")),0)</f>
        <v>117.</v>
      </c>
      <c r="B132" s="50" t="n">
        <f aca="true">OFFSET(ORÇAMENTO!C$15,ROW(B132)-ROW(B$15),0)</f>
        <v>2</v>
      </c>
      <c r="C132" s="50" t="str">
        <f aca="true">OFFSET(ORÇAMENTO!L$15,ROW(C132)-ROW(C$15),0)</f>
        <v>F</v>
      </c>
      <c r="D132" s="201" t="str">
        <f aca="true">OFFSET(ORÇAMENTO!N$15,ROW(D132)-ROW(D$15),0)</f>
        <v>Nível 2</v>
      </c>
      <c r="E132" s="202" t="str">
        <f aca="true">OFFSET(ORÇAMENTO!O$15,ROW(E132)-ROW(E$15),0)</f>
        <v>1.38.</v>
      </c>
      <c r="F132" s="341" t="str">
        <f aca="true">OFFSET(ORÇAMENTO!R$15,ROW(F132)-ROW(F$15),0)</f>
        <v>FIOS E CABOS</v>
      </c>
      <c r="G132" s="342" t="str">
        <f aca="true">IF($D132&lt;&gt;"Serviço","",OFFSET(ORÇAMENTO!S$15,ROW(G132)-ROW(G$15),0))</f>
        <v/>
      </c>
      <c r="H132" s="207" t="n">
        <f aca="true">IF($D132&lt;&gt;"Serviço",0,IF(ACOMPANHAMENTO="BM",ROUND(OFFSET(ORÇAMENTO!AJ$15,ROW(H132)-ROW(H$15),0),15-13*ORÇAMENTO!$AF$7),SUMPRODUCT(($Q$1:$AQ$1=1)*ROUND($Q132:$AQ132,15-13*ORÇAMENTO!$AF$7))))</f>
        <v>0</v>
      </c>
      <c r="I132" s="343"/>
      <c r="J132" s="344" t="str">
        <f aca="false">IF(OR(B132&lt;&gt;"S",CÁLCULO.FrentesPreenchidas=0),"",IF(AND(ACOMPANHAMENTO="PLE",AUTOEVENTO="Manual",OR(H132&gt;0,ORÇAMENTO!AC132="QUANT."),OR(K132="",M132=0,N132="")),"►",IF(AND(ACOMPANHAMENTO="PLE",ORÇAMENTO!AC132="QUANT."),"►►",IF(AND(COUNTIF($P$11:$AQ$11,"▼")=0,H132&gt;0,I132=""),"◄",""))))</f>
        <v/>
      </c>
      <c r="K132" s="345"/>
      <c r="L132" s="346" t="s">
        <v>876</v>
      </c>
      <c r="M132" s="347" t="str">
        <f aca="true">IF($D132&lt;&gt;"Serviço","",
          IF(AUTOEVENTO="manual",$A132,
                IF(ISERROR(MATCH($A132,$A$15:OFFSET($A132,-1,0),0)),MAX($M$15:OFFSET(M132,-1,0))+1,
                      INDEX($M$15:OFFSET(M132,-1,0),MATCH($A132,$A$15:OFFSET($A132,-1,0),0)))))</f>
        <v/>
      </c>
      <c r="N132" s="348" t="str">
        <f aca="true">IF($D132&lt;&gt;"Serviço","",
         IF(AUTOEVENTO="Manual",
                IF($A132=0,"&lt;-- defina o número do agrupador",
                       OFFSET(EVENTOS!$D$15,$A132-$A$15,0)),
                OFFSET($F$15,$A132,0)))</f>
        <v/>
      </c>
      <c r="O132" s="349"/>
      <c r="Q132" s="349"/>
      <c r="R132" s="350"/>
      <c r="S132" s="350"/>
      <c r="T132" s="350"/>
      <c r="U132" s="350"/>
      <c r="V132" s="350"/>
      <c r="W132" s="350"/>
      <c r="X132" s="350"/>
      <c r="Y132" s="350"/>
      <c r="Z132" s="351"/>
      <c r="AA132" s="350"/>
      <c r="AB132" s="350"/>
      <c r="AC132" s="350"/>
      <c r="AD132" s="350"/>
      <c r="AE132" s="350"/>
      <c r="AF132" s="350"/>
      <c r="AG132" s="350"/>
      <c r="AH132" s="351"/>
      <c r="AI132" s="350"/>
      <c r="AJ132" s="350"/>
      <c r="AK132" s="350"/>
      <c r="AL132" s="350"/>
      <c r="AM132" s="350"/>
      <c r="AN132" s="350"/>
      <c r="AO132" s="350"/>
      <c r="AP132" s="351"/>
      <c r="AR132" s="352" t="n">
        <f aca="true">IF(AND($D132="Serviço",AR$12&lt;&gt;0,$H132&gt;0,OR(AUTOEVENTO&lt;&gt;"manual",$M132&lt;&gt;$A$15)),
        IF(Import.TipoArredondamento&lt;&gt;"TransfereGOV",
              ROUND(OFFSET($P132,0,AR$13),15-13*ORÇAMENTO!$AF$7)/$H132*OFFSET(ORÇAMENTO!$X$15,ROW(AR132)-ROW(AR$15),0),
              ROUND(ROUND(OFFSET($P132,0,AR$13),15-13*ORÇAMENTO!$AF$7)*OFFSET(ORÇAMENTO!$W$15,ROW(AR132)-ROW(AR$15),0),15-13*ORÇAMENTO!$AF$11)),
         0)</f>
        <v>0</v>
      </c>
      <c r="AS132" s="352" t="n">
        <f aca="true">IF(AND($D132="Serviço",AS$12&lt;&gt;0,$H132&gt;0,OR(AUTOEVENTO&lt;&gt;"manual",$M132&lt;&gt;$A$15)),
        IF(Import.TipoArredondamento&lt;&gt;"TransfereGOV",
              ROUND(OFFSET($P132,0,AS$13),15-13*ORÇAMENTO!$AF$7)/$H132*OFFSET(ORÇAMENTO!$X$15,ROW(AS132)-ROW(AS$15),0),
              ROUND(ROUND(OFFSET($P132,0,AS$13),15-13*ORÇAMENTO!$AF$7)*OFFSET(ORÇAMENTO!$W$15,ROW(AS132)-ROW(AS$15),0),15-13*ORÇAMENTO!$AF$11)),
         0)</f>
        <v>0</v>
      </c>
      <c r="AT132" s="352" t="n">
        <f aca="true">IF(AND($D132="Serviço",AT$12&lt;&gt;0,$H132&gt;0,OR(AUTOEVENTO&lt;&gt;"manual",$M132&lt;&gt;$A$15)),
        IF(Import.TipoArredondamento&lt;&gt;"TransfereGOV",
              ROUND(OFFSET($P132,0,AT$13),15-13*ORÇAMENTO!$AF$7)/$H132*OFFSET(ORÇAMENTO!$X$15,ROW(AT132)-ROW(AT$15),0),
              ROUND(ROUND(OFFSET($P132,0,AT$13),15-13*ORÇAMENTO!$AF$7)*OFFSET(ORÇAMENTO!$W$15,ROW(AT132)-ROW(AT$15),0),15-13*ORÇAMENTO!$AF$11)),
         0)</f>
        <v>0</v>
      </c>
      <c r="AU132" s="352" t="n">
        <f aca="true">IF(AND($D132="Serviço",AU$12&lt;&gt;0,$H132&gt;0,OR(AUTOEVENTO&lt;&gt;"manual",$M132&lt;&gt;$A$15)),
        IF(Import.TipoArredondamento&lt;&gt;"TransfereGOV",
              ROUND(OFFSET($P132,0,AU$13),15-13*ORÇAMENTO!$AF$7)/$H132*OFFSET(ORÇAMENTO!$X$15,ROW(AU132)-ROW(AU$15),0),
              ROUND(ROUND(OFFSET($P132,0,AU$13),15-13*ORÇAMENTO!$AF$7)*OFFSET(ORÇAMENTO!$W$15,ROW(AU132)-ROW(AU$15),0),15-13*ORÇAMENTO!$AF$11)),
         0)</f>
        <v>0</v>
      </c>
      <c r="AV132" s="352" t="n">
        <f aca="true">IF(AND($D132="Serviço",AV$12&lt;&gt;0,$H132&gt;0,OR(AUTOEVENTO&lt;&gt;"manual",$M132&lt;&gt;$A$15)),
        IF(Import.TipoArredondamento&lt;&gt;"TransfereGOV",
              ROUND(OFFSET($P132,0,AV$13),15-13*ORÇAMENTO!$AF$7)/$H132*OFFSET(ORÇAMENTO!$X$15,ROW(AV132)-ROW(AV$15),0),
              ROUND(ROUND(OFFSET($P132,0,AV$13),15-13*ORÇAMENTO!$AF$7)*OFFSET(ORÇAMENTO!$W$15,ROW(AV132)-ROW(AV$15),0),15-13*ORÇAMENTO!$AF$11)),
         0)</f>
        <v>0</v>
      </c>
      <c r="AW132" s="352" t="n">
        <f aca="true">IF(AND($D132="Serviço",AW$12&lt;&gt;0,$H132&gt;0,OR(AUTOEVENTO&lt;&gt;"manual",$M132&lt;&gt;$A$15)),
        IF(Import.TipoArredondamento&lt;&gt;"TransfereGOV",
              ROUND(OFFSET($P132,0,AW$13),15-13*ORÇAMENTO!$AF$7)/$H132*OFFSET(ORÇAMENTO!$X$15,ROW(AW132)-ROW(AW$15),0),
              ROUND(ROUND(OFFSET($P132,0,AW$13),15-13*ORÇAMENTO!$AF$7)*OFFSET(ORÇAMENTO!$W$15,ROW(AW132)-ROW(AW$15),0),15-13*ORÇAMENTO!$AF$11)),
         0)</f>
        <v>0</v>
      </c>
      <c r="AX132" s="352" t="n">
        <f aca="true">IF(AND($D132="Serviço",AX$12&lt;&gt;0,$H132&gt;0,OR(AUTOEVENTO&lt;&gt;"manual",$M132&lt;&gt;$A$15)),
        IF(Import.TipoArredondamento&lt;&gt;"TransfereGOV",
              ROUND(OFFSET($P132,0,AX$13),15-13*ORÇAMENTO!$AF$7)/$H132*OFFSET(ORÇAMENTO!$X$15,ROW(AX132)-ROW(AX$15),0),
              ROUND(ROUND(OFFSET($P132,0,AX$13),15-13*ORÇAMENTO!$AF$7)*OFFSET(ORÇAMENTO!$W$15,ROW(AX132)-ROW(AX$15),0),15-13*ORÇAMENTO!$AF$11)),
         0)</f>
        <v>0</v>
      </c>
      <c r="AY132" s="352" t="n">
        <f aca="true">IF(AND($D132="Serviço",AY$12&lt;&gt;0,$H132&gt;0,OR(AUTOEVENTO&lt;&gt;"manual",$M132&lt;&gt;$A$15)),
        IF(Import.TipoArredondamento&lt;&gt;"TransfereGOV",
              ROUND(OFFSET($P132,0,AY$13),15-13*ORÇAMENTO!$AF$7)/$H132*OFFSET(ORÇAMENTO!$X$15,ROW(AY132)-ROW(AY$15),0),
              ROUND(ROUND(OFFSET($P132,0,AY$13),15-13*ORÇAMENTO!$AF$7)*OFFSET(ORÇAMENTO!$W$15,ROW(AY132)-ROW(AY$15),0),15-13*ORÇAMENTO!$AF$11)),
         0)</f>
        <v>0</v>
      </c>
      <c r="AZ132" s="352" t="n">
        <f aca="true">IF(AND($D132="Serviço",AZ$12&lt;&gt;0,$H132&gt;0,OR(AUTOEVENTO&lt;&gt;"manual",$M132&lt;&gt;$A$15)),
        IF(Import.TipoArredondamento&lt;&gt;"TransfereGOV",
              ROUND(OFFSET($P132,0,AZ$13),15-13*ORÇAMENTO!$AF$7)/$H132*OFFSET(ORÇAMENTO!$X$15,ROW(AZ132)-ROW(AZ$15),0),
              ROUND(ROUND(OFFSET($P132,0,AZ$13),15-13*ORÇAMENTO!$AF$7)*OFFSET(ORÇAMENTO!$W$15,ROW(AZ132)-ROW(AZ$15),0),15-13*ORÇAMENTO!$AF$11)),
         0)</f>
        <v>0</v>
      </c>
      <c r="BA132" s="352" t="n">
        <f aca="true">IF(AND($D132="Serviço",BA$12&lt;&gt;0,$H132&gt;0,OR(AUTOEVENTO&lt;&gt;"manual",$M132&lt;&gt;$A$15)),
        IF(Import.TipoArredondamento&lt;&gt;"TransfereGOV",
              ROUND(OFFSET($P132,0,BA$13),15-13*ORÇAMENTO!$AF$7)/$H132*OFFSET(ORÇAMENTO!$X$15,ROW(BA132)-ROW(BA$15),0),
              ROUND(ROUND(OFFSET($P132,0,BA$13),15-13*ORÇAMENTO!$AF$7)*OFFSET(ORÇAMENTO!$W$15,ROW(BA132)-ROW(BA$15),0),15-13*ORÇAMENTO!$AF$11)),
         0)</f>
        <v>0</v>
      </c>
      <c r="BB132" s="352" t="n">
        <f aca="true">IF(AND($D132="Serviço",BB$12&lt;&gt;0,$H132&gt;0,OR(AUTOEVENTO&lt;&gt;"manual",$M132&lt;&gt;$A$15)),
        IF(Import.TipoArredondamento&lt;&gt;"TransfereGOV",
              ROUND(OFFSET($P132,0,BB$13),15-13*ORÇAMENTO!$AF$7)/$H132*OFFSET(ORÇAMENTO!$X$15,ROW(BB132)-ROW(BB$15),0),
              ROUND(ROUND(OFFSET($P132,0,BB$13),15-13*ORÇAMENTO!$AF$7)*OFFSET(ORÇAMENTO!$W$15,ROW(BB132)-ROW(BB$15),0),15-13*ORÇAMENTO!$AF$11)),
         0)</f>
        <v>0</v>
      </c>
      <c r="BC132" s="352" t="n">
        <f aca="true">IF(AND($D132="Serviço",BC$12&lt;&gt;0,$H132&gt;0,OR(AUTOEVENTO&lt;&gt;"manual",$M132&lt;&gt;$A$15)),
        IF(Import.TipoArredondamento&lt;&gt;"TransfereGOV",
              ROUND(OFFSET($P132,0,BC$13),15-13*ORÇAMENTO!$AF$7)/$H132*OFFSET(ORÇAMENTO!$X$15,ROW(BC132)-ROW(BC$15),0),
              ROUND(ROUND(OFFSET($P132,0,BC$13),15-13*ORÇAMENTO!$AF$7)*OFFSET(ORÇAMENTO!$W$15,ROW(BC132)-ROW(BC$15),0),15-13*ORÇAMENTO!$AF$11)),
         0)</f>
        <v>0</v>
      </c>
      <c r="BD132" s="352" t="n">
        <f aca="true">IF(AND($D132="Serviço",BD$12&lt;&gt;0,$H132&gt;0,OR(AUTOEVENTO&lt;&gt;"manual",$M132&lt;&gt;$A$15)),
        IF(Import.TipoArredondamento&lt;&gt;"TransfereGOV",
              ROUND(OFFSET($P132,0,BD$13),15-13*ORÇAMENTO!$AF$7)/$H132*OFFSET(ORÇAMENTO!$X$15,ROW(BD132)-ROW(BD$15),0),
              ROUND(ROUND(OFFSET($P132,0,BD$13),15-13*ORÇAMENTO!$AF$7)*OFFSET(ORÇAMENTO!$W$15,ROW(BD132)-ROW(BD$15),0),15-13*ORÇAMENTO!$AF$11)),
         0)</f>
        <v>0</v>
      </c>
      <c r="BE132" s="352" t="n">
        <f aca="true">IF(AND($D132="Serviço",BE$12&lt;&gt;0,$H132&gt;0,OR(AUTOEVENTO&lt;&gt;"manual",$M132&lt;&gt;$A$15)),
        IF(Import.TipoArredondamento&lt;&gt;"TransfereGOV",
              ROUND(OFFSET($P132,0,BE$13),15-13*ORÇAMENTO!$AF$7)/$H132*OFFSET(ORÇAMENTO!$X$15,ROW(BE132)-ROW(BE$15),0),
              ROUND(ROUND(OFFSET($P132,0,BE$13),15-13*ORÇAMENTO!$AF$7)*OFFSET(ORÇAMENTO!$W$15,ROW(BE132)-ROW(BE$15),0),15-13*ORÇAMENTO!$AF$11)),
         0)</f>
        <v>0</v>
      </c>
      <c r="BF132" s="352" t="n">
        <f aca="true">IF(AND($D132="Serviço",BF$12&lt;&gt;0,$H132&gt;0,OR(AUTOEVENTO&lt;&gt;"manual",$M132&lt;&gt;$A$15)),
        IF(Import.TipoArredondamento&lt;&gt;"TransfereGOV",
              ROUND(OFFSET($P132,0,BF$13),15-13*ORÇAMENTO!$AF$7)/$H132*OFFSET(ORÇAMENTO!$X$15,ROW(BF132)-ROW(BF$15),0),
              ROUND(ROUND(OFFSET($P132,0,BF$13),15-13*ORÇAMENTO!$AF$7)*OFFSET(ORÇAMENTO!$W$15,ROW(BF132)-ROW(BF$15),0),15-13*ORÇAMENTO!$AF$11)),
         0)</f>
        <v>0</v>
      </c>
      <c r="BG132" s="352" t="n">
        <f aca="true">IF(AND($D132="Serviço",BG$12&lt;&gt;0,$H132&gt;0,OR(AUTOEVENTO&lt;&gt;"manual",$M132&lt;&gt;$A$15)),
        IF(Import.TipoArredondamento&lt;&gt;"TransfereGOV",
              ROUND(OFFSET($P132,0,BG$13),15-13*ORÇAMENTO!$AF$7)/$H132*OFFSET(ORÇAMENTO!$X$15,ROW(BG132)-ROW(BG$15),0),
              ROUND(ROUND(OFFSET($P132,0,BG$13),15-13*ORÇAMENTO!$AF$7)*OFFSET(ORÇAMENTO!$W$15,ROW(BG132)-ROW(BG$15),0),15-13*ORÇAMENTO!$AF$11)),
         0)</f>
        <v>0</v>
      </c>
      <c r="BH132" s="352" t="n">
        <f aca="true">IF(AND($D132="Serviço",BH$12&lt;&gt;0,$H132&gt;0,OR(AUTOEVENTO&lt;&gt;"manual",$M132&lt;&gt;$A$15)),
        IF(Import.TipoArredondamento&lt;&gt;"TransfereGOV",
              ROUND(OFFSET($P132,0,BH$13),15-13*ORÇAMENTO!$AF$7)/$H132*OFFSET(ORÇAMENTO!$X$15,ROW(BH132)-ROW(BH$15),0),
              ROUND(ROUND(OFFSET($P132,0,BH$13),15-13*ORÇAMENTO!$AF$7)*OFFSET(ORÇAMENTO!$W$15,ROW(BH132)-ROW(BH$15),0),15-13*ORÇAMENTO!$AF$11)),
         0)</f>
        <v>0</v>
      </c>
      <c r="BI132" s="352" t="n">
        <f aca="true">IF(AND($D132="Serviço",BI$12&lt;&gt;0,$H132&gt;0,OR(AUTOEVENTO&lt;&gt;"manual",$M132&lt;&gt;$A$15)),
        IF(Import.TipoArredondamento&lt;&gt;"TransfereGOV",
              ROUND(OFFSET($P132,0,BI$13),15-13*ORÇAMENTO!$AF$7)/$H132*OFFSET(ORÇAMENTO!$X$15,ROW(BI132)-ROW(BI$15),0),
              ROUND(ROUND(OFFSET($P132,0,BI$13),15-13*ORÇAMENTO!$AF$7)*OFFSET(ORÇAMENTO!$W$15,ROW(BI132)-ROW(BI$15),0),15-13*ORÇAMENTO!$AF$11)),
         0)</f>
        <v>0</v>
      </c>
      <c r="BJ132" s="352" t="n">
        <f aca="true">IF(AND($D132="Serviço",BJ$12&lt;&gt;0,$H132&gt;0,OR(AUTOEVENTO&lt;&gt;"manual",$M132&lt;&gt;$A$15)),
        IF(Import.TipoArredondamento&lt;&gt;"TransfereGOV",
              ROUND(OFFSET($P132,0,BJ$13),15-13*ORÇAMENTO!$AF$7)/$H132*OFFSET(ORÇAMENTO!$X$15,ROW(BJ132)-ROW(BJ$15),0),
              ROUND(ROUND(OFFSET($P132,0,BJ$13),15-13*ORÇAMENTO!$AF$7)*OFFSET(ORÇAMENTO!$W$15,ROW(BJ132)-ROW(BJ$15),0),15-13*ORÇAMENTO!$AF$11)),
         0)</f>
        <v>0</v>
      </c>
      <c r="BK132" s="352" t="n">
        <f aca="true">IF(AND($D132="Serviço",BK$12&lt;&gt;0,$H132&gt;0,OR(AUTOEVENTO&lt;&gt;"manual",$M132&lt;&gt;$A$15)),
        IF(Import.TipoArredondamento&lt;&gt;"TransfereGOV",
              ROUND(OFFSET($P132,0,BK$13),15-13*ORÇAMENTO!$AF$7)/$H132*OFFSET(ORÇAMENTO!$X$15,ROW(BK132)-ROW(BK$15),0),
              ROUND(ROUND(OFFSET($P132,0,BK$13),15-13*ORÇAMENTO!$AF$7)*OFFSET(ORÇAMENTO!$W$15,ROW(BK132)-ROW(BK$15),0),15-13*ORÇAMENTO!$AF$11)),
         0)</f>
        <v>0</v>
      </c>
      <c r="BL132" s="352" t="n">
        <f aca="true">IF(AND($D132="Serviço",BL$12&lt;&gt;0,$H132&gt;0,OR(AUTOEVENTO&lt;&gt;"manual",$M132&lt;&gt;$A$15)),
        IF(Import.TipoArredondamento&lt;&gt;"TransfereGOV",
              ROUND(OFFSET($P132,0,BL$13),15-13*ORÇAMENTO!$AF$7)/$H132*OFFSET(ORÇAMENTO!$X$15,ROW(BL132)-ROW(BL$15),0),
              ROUND(ROUND(OFFSET($P132,0,BL$13),15-13*ORÇAMENTO!$AF$7)*OFFSET(ORÇAMENTO!$W$15,ROW(BL132)-ROW(BL$15),0),15-13*ORÇAMENTO!$AF$11)),
         0)</f>
        <v>0</v>
      </c>
      <c r="BM132" s="352" t="n">
        <f aca="true">IF(AND($D132="Serviço",BM$12&lt;&gt;0,$H132&gt;0,OR(AUTOEVENTO&lt;&gt;"manual",$M132&lt;&gt;$A$15)),
        IF(Import.TipoArredondamento&lt;&gt;"TransfereGOV",
              ROUND(OFFSET($P132,0,BM$13),15-13*ORÇAMENTO!$AF$7)/$H132*OFFSET(ORÇAMENTO!$X$15,ROW(BM132)-ROW(BM$15),0),
              ROUND(ROUND(OFFSET($P132,0,BM$13),15-13*ORÇAMENTO!$AF$7)*OFFSET(ORÇAMENTO!$W$15,ROW(BM132)-ROW(BM$15),0),15-13*ORÇAMENTO!$AF$11)),
         0)</f>
        <v>0</v>
      </c>
      <c r="BN132" s="352" t="n">
        <f aca="true">IF(AND($D132="Serviço",BN$12&lt;&gt;0,$H132&gt;0,OR(AUTOEVENTO&lt;&gt;"manual",$M132&lt;&gt;$A$15)),
        IF(Import.TipoArredondamento&lt;&gt;"TransfereGOV",
              ROUND(OFFSET($P132,0,BN$13),15-13*ORÇAMENTO!$AF$7)/$H132*OFFSET(ORÇAMENTO!$X$15,ROW(BN132)-ROW(BN$15),0),
              ROUND(ROUND(OFFSET($P132,0,BN$13),15-13*ORÇAMENTO!$AF$7)*OFFSET(ORÇAMENTO!$W$15,ROW(BN132)-ROW(BN$15),0),15-13*ORÇAMENTO!$AF$11)),
         0)</f>
        <v>0</v>
      </c>
      <c r="BO132" s="352" t="n">
        <f aca="true">IF(AND($D132="Serviço",BO$12&lt;&gt;0,$H132&gt;0,OR(AUTOEVENTO&lt;&gt;"manual",$M132&lt;&gt;$A$15)),
        IF(Import.TipoArredondamento&lt;&gt;"TransfereGOV",
              ROUND(OFFSET($P132,0,BO$13),15-13*ORÇAMENTO!$AF$7)/$H132*OFFSET(ORÇAMENTO!$X$15,ROW(BO132)-ROW(BO$15),0),
              ROUND(ROUND(OFFSET($P132,0,BO$13),15-13*ORÇAMENTO!$AF$7)*OFFSET(ORÇAMENTO!$W$15,ROW(BO132)-ROW(BO$15),0),15-13*ORÇAMENTO!$AF$11)),
         0)</f>
        <v>0</v>
      </c>
      <c r="BP132" s="352" t="n">
        <f aca="true">IF(AND($D132="Serviço",BP$12&lt;&gt;0,$H132&gt;0,OR(AUTOEVENTO&lt;&gt;"manual",$M132&lt;&gt;$A$15)),
        IF(Import.TipoArredondamento&lt;&gt;"TransfereGOV",
              ROUND(OFFSET($P132,0,BP$13),15-13*ORÇAMENTO!$AF$7)/$H132*OFFSET(ORÇAMENTO!$X$15,ROW(BP132)-ROW(BP$15),0),
              ROUND(ROUND(OFFSET($P132,0,BP$13),15-13*ORÇAMENTO!$AF$7)*OFFSET(ORÇAMENTO!$W$15,ROW(BP132)-ROW(BP$15),0),15-13*ORÇAMENTO!$AF$11)),
         0)</f>
        <v>0</v>
      </c>
      <c r="BQ132" s="352" t="n">
        <f aca="true">IF(AND($D132="Serviço",BQ$12&lt;&gt;0,$H132&gt;0,OR(AUTOEVENTO&lt;&gt;"manual",$M132&lt;&gt;$A$15)),
        IF(Import.TipoArredondamento&lt;&gt;"TransfereGOV",
              ROUND(OFFSET($P132,0,BQ$13),15-13*ORÇAMENTO!$AF$7)/$H132*OFFSET(ORÇAMENTO!$X$15,ROW(BQ132)-ROW(BQ$15),0),
              ROUND(ROUND(OFFSET($P132,0,BQ$13),15-13*ORÇAMENTO!$AF$7)*OFFSET(ORÇAMENTO!$W$15,ROW(BQ132)-ROW(BQ$15),0),15-13*ORÇAMENTO!$AF$11)),
         0)</f>
        <v>0</v>
      </c>
      <c r="BS132" s="353" t="n">
        <f aca="true">IF(OR($D132&lt;&gt;"Serviço",AND(AUTOEVENTO="Manual",$M132=$A$15)),0,
         IF(OFFSET(CRONOPLE!$F$15,$M132-$A$15,BS$13)=0,10^12,OFFSET(CRONOPLE!$F$15,$M132-$A$15,BS$13)))</f>
        <v>0</v>
      </c>
      <c r="BT132" s="353" t="n">
        <f aca="true">IF(OR($D132&lt;&gt;"Serviço",AND(AUTOEVENTO="Manual",$M132=$A$15)),0,
         IF(OFFSET(CRONOPLE!$F$15,$M132-$A$15,BT$13)=0,10^12,OFFSET(CRONOPLE!$F$15,$M132-$A$15,BT$13)))</f>
        <v>0</v>
      </c>
      <c r="BU132" s="353" t="n">
        <f aca="true">IF(OR($D132&lt;&gt;"Serviço",AND(AUTOEVENTO="Manual",$M132=$A$15)),0,
         IF(OFFSET(CRONOPLE!$F$15,$M132-$A$15,BU$13)=0,10^12,OFFSET(CRONOPLE!$F$15,$M132-$A$15,BU$13)))</f>
        <v>0</v>
      </c>
      <c r="BV132" s="353" t="n">
        <f aca="true">IF(OR($D132&lt;&gt;"Serviço",AND(AUTOEVENTO="Manual",$M132=$A$15)),0,
         IF(OFFSET(CRONOPLE!$F$15,$M132-$A$15,BV$13)=0,10^12,OFFSET(CRONOPLE!$F$15,$M132-$A$15,BV$13)))</f>
        <v>0</v>
      </c>
      <c r="BW132" s="353" t="n">
        <f aca="true">IF(OR($D132&lt;&gt;"Serviço",AND(AUTOEVENTO="Manual",$M132=$A$15)),0,
         IF(OFFSET(CRONOPLE!$F$15,$M132-$A$15,BW$13)=0,10^12,OFFSET(CRONOPLE!$F$15,$M132-$A$15,BW$13)))</f>
        <v>0</v>
      </c>
      <c r="BX132" s="353" t="n">
        <f aca="true">IF(OR($D132&lt;&gt;"Serviço",AND(AUTOEVENTO="Manual",$M132=$A$15)),0,
         IF(OFFSET(CRONOPLE!$F$15,$M132-$A$15,BX$13)=0,10^12,OFFSET(CRONOPLE!$F$15,$M132-$A$15,BX$13)))</f>
        <v>0</v>
      </c>
      <c r="BY132" s="353" t="n">
        <f aca="true">IF(OR($D132&lt;&gt;"Serviço",AND(AUTOEVENTO="Manual",$M132=$A$15)),0,
         IF(OFFSET(CRONOPLE!$F$15,$M132-$A$15,BY$13)=0,10^12,OFFSET(CRONOPLE!$F$15,$M132-$A$15,BY$13)))</f>
        <v>0</v>
      </c>
      <c r="BZ132" s="353" t="n">
        <f aca="true">IF(OR($D132&lt;&gt;"Serviço",AND(AUTOEVENTO="Manual",$M132=$A$15)),0,
         IF(OFFSET(CRONOPLE!$F$15,$M132-$A$15,BZ$13)=0,10^12,OFFSET(CRONOPLE!$F$15,$M132-$A$15,BZ$13)))</f>
        <v>0</v>
      </c>
      <c r="CA132" s="353" t="n">
        <f aca="true">IF(OR($D132&lt;&gt;"Serviço",AND(AUTOEVENTO="Manual",$M132=$A$15)),0,
         IF(OFFSET(CRONOPLE!$F$15,$M132-$A$15,CA$13)=0,10^12,OFFSET(CRONOPLE!$F$15,$M132-$A$15,CA$13)))</f>
        <v>0</v>
      </c>
      <c r="CB132" s="353" t="n">
        <f aca="true">IF(OR($D132&lt;&gt;"Serviço",AND(AUTOEVENTO="Manual",$M132=$A$15)),0,
         IF(OFFSET(CRONOPLE!$F$15,$M132-$A$15,CB$13)=0,10^12,OFFSET(CRONOPLE!$F$15,$M132-$A$15,CB$13)))</f>
        <v>0</v>
      </c>
      <c r="CC132" s="353" t="n">
        <f aca="true">IF(OR($D132&lt;&gt;"Serviço",AND(AUTOEVENTO="Manual",$M132=$A$15)),0,
         IF(OFFSET(CRONOPLE!$F$15,$M132-$A$15,CC$13)=0,10^12,OFFSET(CRONOPLE!$F$15,$M132-$A$15,CC$13)))</f>
        <v>0</v>
      </c>
      <c r="CD132" s="353" t="n">
        <f aca="true">IF(OR($D132&lt;&gt;"Serviço",AND(AUTOEVENTO="Manual",$M132=$A$15)),0,
         IF(OFFSET(CRONOPLE!$F$15,$M132-$A$15,CD$13)=0,10^12,OFFSET(CRONOPLE!$F$15,$M132-$A$15,CD$13)))</f>
        <v>0</v>
      </c>
      <c r="CE132" s="353" t="n">
        <f aca="true">IF(OR($D132&lt;&gt;"Serviço",AND(AUTOEVENTO="Manual",$M132=$A$15)),0,
         IF(OFFSET(CRONOPLE!$F$15,$M132-$A$15,CE$13)=0,10^12,OFFSET(CRONOPLE!$F$15,$M132-$A$15,CE$13)))</f>
        <v>0</v>
      </c>
      <c r="CF132" s="353" t="n">
        <f aca="true">IF(OR($D132&lt;&gt;"Serviço",AND(AUTOEVENTO="Manual",$M132=$A$15)),0,
         IF(OFFSET(CRONOPLE!$F$15,$M132-$A$15,CF$13)=0,10^12,OFFSET(CRONOPLE!$F$15,$M132-$A$15,CF$13)))</f>
        <v>0</v>
      </c>
      <c r="CG132" s="353" t="n">
        <f aca="true">IF(OR($D132&lt;&gt;"Serviço",AND(AUTOEVENTO="Manual",$M132=$A$15)),0,
         IF(OFFSET(CRONOPLE!$F$15,$M132-$A$15,CG$13)=0,10^12,OFFSET(CRONOPLE!$F$15,$M132-$A$15,CG$13)))</f>
        <v>0</v>
      </c>
      <c r="CH132" s="353" t="n">
        <f aca="true">IF(OR($D132&lt;&gt;"Serviço",AND(AUTOEVENTO="Manual",$M132=$A$15)),0,
         IF(OFFSET(CRONOPLE!$F$15,$M132-$A$15,CH$13)=0,10^12,OFFSET(CRONOPLE!$F$15,$M132-$A$15,CH$13)))</f>
        <v>0</v>
      </c>
      <c r="CI132" s="353" t="n">
        <f aca="true">IF(OR($D132&lt;&gt;"Serviço",AND(AUTOEVENTO="Manual",$M132=$A$15)),0,
         IF(OFFSET(CRONOPLE!$F$15,$M132-$A$15,CI$13)=0,10^12,OFFSET(CRONOPLE!$F$15,$M132-$A$15,CI$13)))</f>
        <v>0</v>
      </c>
      <c r="CJ132" s="353" t="n">
        <f aca="true">IF(OR($D132&lt;&gt;"Serviço",AND(AUTOEVENTO="Manual",$M132=$A$15)),0,
         IF(OFFSET(CRONOPLE!$F$15,$M132-$A$15,CJ$13)=0,10^12,OFFSET(CRONOPLE!$F$15,$M132-$A$15,CJ$13)))</f>
        <v>0</v>
      </c>
      <c r="CK132" s="353" t="n">
        <f aca="true">IF(OR($D132&lt;&gt;"Serviço",AND(AUTOEVENTO="Manual",$M132=$A$15)),0,
         IF(OFFSET(CRONOPLE!$F$15,$M132-$A$15,CK$13)=0,10^12,OFFSET(CRONOPLE!$F$15,$M132-$A$15,CK$13)))</f>
        <v>0</v>
      </c>
      <c r="CL132" s="353" t="n">
        <f aca="true">IF(OR($D132&lt;&gt;"Serviço",AND(AUTOEVENTO="Manual",$M132=$A$15)),0,
         IF(OFFSET(CRONOPLE!$F$15,$M132-$A$15,CL$13)=0,10^12,OFFSET(CRONOPLE!$F$15,$M132-$A$15,CL$13)))</f>
        <v>0</v>
      </c>
      <c r="CM132" s="353" t="n">
        <f aca="true">IF(OR($D132&lt;&gt;"Serviço",AND(AUTOEVENTO="Manual",$M132=$A$15)),0,
         IF(OFFSET(CRONOPLE!$F$15,$M132-$A$15,CM$13)=0,10^12,OFFSET(CRONOPLE!$F$15,$M132-$A$15,CM$13)))</f>
        <v>0</v>
      </c>
      <c r="CN132" s="353" t="n">
        <f aca="true">IF(OR($D132&lt;&gt;"Serviço",AND(AUTOEVENTO="Manual",$M132=$A$15)),0,
         IF(OFFSET(CRONOPLE!$F$15,$M132-$A$15,CN$13)=0,10^12,OFFSET(CRONOPLE!$F$15,$M132-$A$15,CN$13)))</f>
        <v>0</v>
      </c>
      <c r="CO132" s="353" t="n">
        <f aca="true">IF(OR($D132&lt;&gt;"Serviço",AND(AUTOEVENTO="Manual",$M132=$A$15)),0,
         IF(OFFSET(CRONOPLE!$F$15,$M132-$A$15,CO$13)=0,10^12,OFFSET(CRONOPLE!$F$15,$M132-$A$15,CO$13)))</f>
        <v>0</v>
      </c>
      <c r="CP132" s="353" t="n">
        <f aca="true">IF(OR($D132&lt;&gt;"Serviço",AND(AUTOEVENTO="Manual",$M132=$A$15)),0,
         IF(OFFSET(CRONOPLE!$F$15,$M132-$A$15,CP$13)=0,10^12,OFFSET(CRONOPLE!$F$15,$M132-$A$15,CP$13)))</f>
        <v>0</v>
      </c>
      <c r="CQ132" s="353" t="n">
        <f aca="true">IF(OR($D132&lt;&gt;"Serviço",AND(AUTOEVENTO="Manual",$M132=$A$15)),0,
         IF(OFFSET(CRONOPLE!$F$15,$M132-$A$15,CQ$13)=0,10^12,OFFSET(CRONOPLE!$F$15,$M132-$A$15,CQ$13)))</f>
        <v>0</v>
      </c>
      <c r="CR132" s="353" t="n">
        <f aca="true">IF(OR($D132&lt;&gt;"Serviço",AND(AUTOEVENTO="Manual",$M132=$A$15)),0,
         IF(OFFSET(CRONOPLE!$F$15,$M132-$A$15,CR$13)=0,10^12,OFFSET(CRONOPLE!$F$15,$M132-$A$15,CR$13)))</f>
        <v>0</v>
      </c>
      <c r="CT132" s="354" t="n">
        <f aca="true">IF(OR($D132&lt;&gt;"Serviço",AND(AUTOEVENTO="Manual",$M132=$A$15),$M132&gt;(ROW(PLE.lastrow)-ROW(PLE.firstrow))),0,
           IF(OFFSET(PLE!$G$15,$M132-$A$15,CT$13)="",10^12,OFFSET(PLE!$G$15,$M132-$A$15,CT$13)))</f>
        <v>0</v>
      </c>
      <c r="CU132" s="354" t="n">
        <f aca="true">IF(OR($D132&lt;&gt;"Serviço",AND(AUTOEVENTO="Manual",$M132=$A$15),$M132&gt;(ROW(PLE.lastrow)-ROW(PLE.firstrow))),0,
           IF(OFFSET(PLE!$G$15,$M132-$A$15,CU$13)="",10^12,OFFSET(PLE!$G$15,$M132-$A$15,CU$13)))</f>
        <v>0</v>
      </c>
      <c r="CV132" s="354" t="n">
        <f aca="true">IF(OR($D132&lt;&gt;"Serviço",AND(AUTOEVENTO="Manual",$M132=$A$15),$M132&gt;(ROW(PLE.lastrow)-ROW(PLE.firstrow))),0,
           IF(OFFSET(PLE!$G$15,$M132-$A$15,CV$13)="",10^12,OFFSET(PLE!$G$15,$M132-$A$15,CV$13)))</f>
        <v>0</v>
      </c>
      <c r="CW132" s="354" t="n">
        <f aca="true">IF(OR($D132&lt;&gt;"Serviço",AND(AUTOEVENTO="Manual",$M132=$A$15),$M132&gt;(ROW(PLE.lastrow)-ROW(PLE.firstrow))),0,
           IF(OFFSET(PLE!$G$15,$M132-$A$15,CW$13)="",10^12,OFFSET(PLE!$G$15,$M132-$A$15,CW$13)))</f>
        <v>0</v>
      </c>
      <c r="CX132" s="354" t="n">
        <f aca="true">IF(OR($D132&lt;&gt;"Serviço",AND(AUTOEVENTO="Manual",$M132=$A$15),$M132&gt;(ROW(PLE.lastrow)-ROW(PLE.firstrow))),0,
           IF(OFFSET(PLE!$G$15,$M132-$A$15,CX$13)="",10^12,OFFSET(PLE!$G$15,$M132-$A$15,CX$13)))</f>
        <v>0</v>
      </c>
      <c r="CY132" s="354" t="n">
        <f aca="true">IF(OR($D132&lt;&gt;"Serviço",AND(AUTOEVENTO="Manual",$M132=$A$15),$M132&gt;(ROW(PLE.lastrow)-ROW(PLE.firstrow))),0,
           IF(OFFSET(PLE!$G$15,$M132-$A$15,CY$13)="",10^12,OFFSET(PLE!$G$15,$M132-$A$15,CY$13)))</f>
        <v>0</v>
      </c>
      <c r="CZ132" s="354" t="n">
        <f aca="true">IF(OR($D132&lt;&gt;"Serviço",AND(AUTOEVENTO="Manual",$M132=$A$15),$M132&gt;(ROW(PLE.lastrow)-ROW(PLE.firstrow))),0,
           IF(OFFSET(PLE!$G$15,$M132-$A$15,CZ$13)="",10^12,OFFSET(PLE!$G$15,$M132-$A$15,CZ$13)))</f>
        <v>0</v>
      </c>
      <c r="DA132" s="354" t="n">
        <f aca="true">IF(OR($D132&lt;&gt;"Serviço",AND(AUTOEVENTO="Manual",$M132=$A$15),$M132&gt;(ROW(PLE.lastrow)-ROW(PLE.firstrow))),0,
           IF(OFFSET(PLE!$G$15,$M132-$A$15,DA$13)="",10^12,OFFSET(PLE!$G$15,$M132-$A$15,DA$13)))</f>
        <v>0</v>
      </c>
      <c r="DB132" s="354" t="n">
        <f aca="true">IF(OR($D132&lt;&gt;"Serviço",AND(AUTOEVENTO="Manual",$M132=$A$15),$M132&gt;(ROW(PLE.lastrow)-ROW(PLE.firstrow))),0,
           IF(OFFSET(PLE!$G$15,$M132-$A$15,DB$13)="",10^12,OFFSET(PLE!$G$15,$M132-$A$15,DB$13)))</f>
        <v>0</v>
      </c>
      <c r="DC132" s="354" t="n">
        <f aca="true">IF(OR($D132&lt;&gt;"Serviço",AND(AUTOEVENTO="Manual",$M132=$A$15),$M132&gt;(ROW(PLE.lastrow)-ROW(PLE.firstrow))),0,
           IF(OFFSET(PLE!$G$15,$M132-$A$15,DC$13)="",10^12,OFFSET(PLE!$G$15,$M132-$A$15,DC$13)))</f>
        <v>0</v>
      </c>
      <c r="DD132" s="354" t="n">
        <f aca="true">IF(OR($D132&lt;&gt;"Serviço",AND(AUTOEVENTO="Manual",$M132=$A$15),$M132&gt;(ROW(PLE.lastrow)-ROW(PLE.firstrow))),0,
           IF(OFFSET(PLE!$G$15,$M132-$A$15,DD$13)="",10^12,OFFSET(PLE!$G$15,$M132-$A$15,DD$13)))</f>
        <v>0</v>
      </c>
      <c r="DE132" s="354" t="n">
        <f aca="true">IF(OR($D132&lt;&gt;"Serviço",AND(AUTOEVENTO="Manual",$M132=$A$15),$M132&gt;(ROW(PLE.lastrow)-ROW(PLE.firstrow))),0,
           IF(OFFSET(PLE!$G$15,$M132-$A$15,DE$13)="",10^12,OFFSET(PLE!$G$15,$M132-$A$15,DE$13)))</f>
        <v>0</v>
      </c>
      <c r="DF132" s="354" t="n">
        <f aca="true">IF(OR($D132&lt;&gt;"Serviço",AND(AUTOEVENTO="Manual",$M132=$A$15),$M132&gt;(ROW(PLE.lastrow)-ROW(PLE.firstrow))),0,
           IF(OFFSET(PLE!$G$15,$M132-$A$15,DF$13)="",10^12,OFFSET(PLE!$G$15,$M132-$A$15,DF$13)))</f>
        <v>0</v>
      </c>
      <c r="DG132" s="354" t="n">
        <f aca="true">IF(OR($D132&lt;&gt;"Serviço",AND(AUTOEVENTO="Manual",$M132=$A$15),$M132&gt;(ROW(PLE.lastrow)-ROW(PLE.firstrow))),0,
           IF(OFFSET(PLE!$G$15,$M132-$A$15,DG$13)="",10^12,OFFSET(PLE!$G$15,$M132-$A$15,DG$13)))</f>
        <v>0</v>
      </c>
      <c r="DH132" s="354" t="n">
        <f aca="true">IF(OR($D132&lt;&gt;"Serviço",AND(AUTOEVENTO="Manual",$M132=$A$15),$M132&gt;(ROW(PLE.lastrow)-ROW(PLE.firstrow))),0,
           IF(OFFSET(PLE!$G$15,$M132-$A$15,DH$13)="",10^12,OFFSET(PLE!$G$15,$M132-$A$15,DH$13)))</f>
        <v>0</v>
      </c>
      <c r="DI132" s="354" t="n">
        <f aca="true">IF(OR($D132&lt;&gt;"Serviço",AND(AUTOEVENTO="Manual",$M132=$A$15),$M132&gt;(ROW(PLE.lastrow)-ROW(PLE.firstrow))),0,
           IF(OFFSET(PLE!$G$15,$M132-$A$15,DI$13)="",10^12,OFFSET(PLE!$G$15,$M132-$A$15,DI$13)))</f>
        <v>0</v>
      </c>
      <c r="DJ132" s="354" t="n">
        <f aca="true">IF(OR($D132&lt;&gt;"Serviço",AND(AUTOEVENTO="Manual",$M132=$A$15),$M132&gt;(ROW(PLE.lastrow)-ROW(PLE.firstrow))),0,
           IF(OFFSET(PLE!$G$15,$M132-$A$15,DJ$13)="",10^12,OFFSET(PLE!$G$15,$M132-$A$15,DJ$13)))</f>
        <v>0</v>
      </c>
      <c r="DK132" s="354" t="n">
        <f aca="true">IF(OR($D132&lt;&gt;"Serviço",AND(AUTOEVENTO="Manual",$M132=$A$15),$M132&gt;(ROW(PLE.lastrow)-ROW(PLE.firstrow))),0,
           IF(OFFSET(PLE!$G$15,$M132-$A$15,DK$13)="",10^12,OFFSET(PLE!$G$15,$M132-$A$15,DK$13)))</f>
        <v>0</v>
      </c>
      <c r="DL132" s="354" t="n">
        <f aca="true">IF(OR($D132&lt;&gt;"Serviço",AND(AUTOEVENTO="Manual",$M132=$A$15),$M132&gt;(ROW(PLE.lastrow)-ROW(PLE.firstrow))),0,
           IF(OFFSET(PLE!$G$15,$M132-$A$15,DL$13)="",10^12,OFFSET(PLE!$G$15,$M132-$A$15,DL$13)))</f>
        <v>0</v>
      </c>
      <c r="DM132" s="354" t="n">
        <f aca="true">IF(OR($D132&lt;&gt;"Serviço",AND(AUTOEVENTO="Manual",$M132=$A$15),$M132&gt;(ROW(PLE.lastrow)-ROW(PLE.firstrow))),0,
           IF(OFFSET(PLE!$G$15,$M132-$A$15,DM$13)="",10^12,OFFSET(PLE!$G$15,$M132-$A$15,DM$13)))</f>
        <v>0</v>
      </c>
      <c r="DN132" s="354" t="n">
        <f aca="true">IF(OR($D132&lt;&gt;"Serviço",AND(AUTOEVENTO="Manual",$M132=$A$15),$M132&gt;(ROW(PLE.lastrow)-ROW(PLE.firstrow))),0,
           IF(OFFSET(PLE!$G$15,$M132-$A$15,DN$13)="",10^12,OFFSET(PLE!$G$15,$M132-$A$15,DN$13)))</f>
        <v>0</v>
      </c>
      <c r="DO132" s="354" t="n">
        <f aca="true">IF(OR($D132&lt;&gt;"Serviço",AND(AUTOEVENTO="Manual",$M132=$A$15),$M132&gt;(ROW(PLE.lastrow)-ROW(PLE.firstrow))),0,
           IF(OFFSET(PLE!$G$15,$M132-$A$15,DO$13)="",10^12,OFFSET(PLE!$G$15,$M132-$A$15,DO$13)))</f>
        <v>0</v>
      </c>
      <c r="DP132" s="354" t="n">
        <f aca="true">IF(OR($D132&lt;&gt;"Serviço",AND(AUTOEVENTO="Manual",$M132=$A$15),$M132&gt;(ROW(PLE.lastrow)-ROW(PLE.firstrow))),0,
           IF(OFFSET(PLE!$G$15,$M132-$A$15,DP$13)="",10^12,OFFSET(PLE!$G$15,$M132-$A$15,DP$13)))</f>
        <v>0</v>
      </c>
      <c r="DQ132" s="354" t="n">
        <f aca="true">IF(OR($D132&lt;&gt;"Serviço",AND(AUTOEVENTO="Manual",$M132=$A$15),$M132&gt;(ROW(PLE.lastrow)-ROW(PLE.firstrow))),0,
           IF(OFFSET(PLE!$G$15,$M132-$A$15,DQ$13)="",10^12,OFFSET(PLE!$G$15,$M132-$A$15,DQ$13)))</f>
        <v>0</v>
      </c>
      <c r="DR132" s="354" t="n">
        <f aca="true">IF(OR($D132&lt;&gt;"Serviço",AND(AUTOEVENTO="Manual",$M132=$A$15),$M132&gt;(ROW(PLE.lastrow)-ROW(PLE.firstrow))),0,
           IF(OFFSET(PLE!$G$15,$M132-$A$15,DR$13)="",10^12,OFFSET(PLE!$G$15,$M132-$A$15,DR$13)))</f>
        <v>0</v>
      </c>
      <c r="DS132" s="354" t="n">
        <f aca="true">IF(OR($D132&lt;&gt;"Serviço",AND(AUTOEVENTO="Manual",$M132=$A$15),$M132&gt;(ROW(PLE.lastrow)-ROW(PLE.firstrow))),0,
           IF(OFFSET(PLE!$G$15,$M132-$A$15,DS$13)="",10^12,OFFSET(PLE!$G$15,$M132-$A$15,DS$13)))</f>
        <v>0</v>
      </c>
    </row>
    <row r="133" customFormat="false" ht="35.05" hidden="false" customHeight="false" outlineLevel="0" collapsed="false">
      <c r="A133" s="50" t="str">
        <f aca="true">IFERROR(IF(AUTOEVENTO="Manual",IF(K133&lt;&gt;"",MIN(VALUE(LEFT(K133,FIND(".",K133)-1)),COUNTA(EVENTOS.Lista)),0),IF(OR($B133&gt;AUTOEVENTO,$B133="S",$B133=0),SUBSTITUTE(OFFSET($A133,-1,0),IF($D133="Serviço",".",""),""),ROW(A133)-ROW($A$15)&amp;".")),0)</f>
        <v>117</v>
      </c>
      <c r="B133" s="50" t="str">
        <f aca="true">OFFSET(ORÇAMENTO!C$15,ROW(B133)-ROW(B$15),0)</f>
        <v>S</v>
      </c>
      <c r="C133" s="50" t="str">
        <f aca="true">OFFSET(ORÇAMENTO!L$15,ROW(C133)-ROW(C$15),0)</f>
        <v>F</v>
      </c>
      <c r="D133" s="201" t="str">
        <f aca="true">OFFSET(ORÇAMENTO!N$15,ROW(D133)-ROW(D$15),0)</f>
        <v>Serviço</v>
      </c>
      <c r="E133" s="202" t="str">
        <f aca="true">OFFSET(ORÇAMENTO!O$15,ROW(E133)-ROW(E$15),0)</f>
        <v>1.38.1.</v>
      </c>
      <c r="F133" s="341" t="str">
        <f aca="true">OFFSET(ORÇAMENTO!R$15,ROW(F133)-ROW(F$15),0)</f>
        <v>CABO DE COBRE FLEXÍVEL ISOLADO, 16 MM², 0,6/1,0 KV, PARA REDE AÉREA DE DISTRIBUIÇÃO DE ENERGIA ELÉTRICA DE BAIXA TENSÃO - FORNECIMENTO E INSTALAÇÃO. AF_07/2020</v>
      </c>
      <c r="G133" s="342" t="str">
        <f aca="true">IF($D133&lt;&gt;"Serviço","",OFFSET(ORÇAMENTO!S$15,ROW(G133)-ROW(G$15),0))</f>
        <v>M</v>
      </c>
      <c r="H133" s="207" t="n">
        <f aca="true">IF($D133&lt;&gt;"Serviço",0,IF(ACOMPANHAMENTO="BM",ROUND(OFFSET(ORÇAMENTO!AJ$15,ROW(H133)-ROW(H$15),0),15-13*ORÇAMENTO!$AF$7),SUMPRODUCT(($Q$1:$AQ$1=1)*ROUND($Q133:$AQ133,15-13*ORÇAMENTO!$AF$7))))</f>
        <v>975</v>
      </c>
      <c r="I133" s="343" t="s">
        <v>975</v>
      </c>
      <c r="J133" s="344" t="e">
        <f aca="false">IF(OR(B133&lt;&gt;"S",CÁLCULO.FrentesPreenchidas=0),"",IF(AND(ACOMPANHAMENTO="PLE",AUTOEVENTO="Manual",OR(H133&gt;0,ORÇAMENTO!AC133="QUANT."),OR(K133="",M133=0,N133="")),"►",IF(AND(ACOMPANHAMENTO="PLE",ORÇAMENTO!AC133="QUANT."),"►►",IF(AND(COUNTIF($P$11:$AQ$11,"▼")=0,H133&gt;0,I133=""),"◄",""))))</f>
        <v>#NAME?</v>
      </c>
      <c r="K133" s="345"/>
      <c r="L133" s="346" t="s">
        <v>876</v>
      </c>
      <c r="M133" s="347" t="n">
        <f aca="true">IF($D133&lt;&gt;"Serviço","",
          IF(AUTOEVENTO="manual",$A133,
                IF(ISERROR(MATCH($A133,$A$15:OFFSET($A133,-1,0),0)),MAX($M$15:OFFSET(M133,-1,0))+1,
                      INDEX($M$15:OFFSET(M133,-1,0),MATCH($A133,$A$15:OFFSET($A133,-1,0),0)))))</f>
        <v>23</v>
      </c>
      <c r="N133" s="348" t="str">
        <f aca="true">IF($D133&lt;&gt;"Serviço","",
         IF(AUTOEVENTO="Manual",
                IF($A133=0,"&lt;-- defina o número do agrupador",
                       OFFSET(EVENTOS!$D$15,$A133-$A$15,0)),
                OFFSET($F$15,$A133,0)))</f>
        <v>FIOS E CABOS</v>
      </c>
      <c r="O133" s="349"/>
      <c r="Q133" s="349" t="n">
        <v>39</v>
      </c>
      <c r="R133" s="350" t="n">
        <f aca="false">Q133</f>
        <v>39</v>
      </c>
      <c r="S133" s="350" t="n">
        <f aca="false">R133</f>
        <v>39</v>
      </c>
      <c r="T133" s="350" t="n">
        <f aca="false">S133</f>
        <v>39</v>
      </c>
      <c r="U133" s="350" t="n">
        <f aca="false">T133</f>
        <v>39</v>
      </c>
      <c r="V133" s="350" t="n">
        <f aca="false">U133</f>
        <v>39</v>
      </c>
      <c r="W133" s="350" t="n">
        <f aca="false">V133</f>
        <v>39</v>
      </c>
      <c r="X133" s="350" t="n">
        <f aca="false">W133</f>
        <v>39</v>
      </c>
      <c r="Y133" s="350" t="n">
        <f aca="false">X133</f>
        <v>39</v>
      </c>
      <c r="Z133" s="351" t="n">
        <f aca="false">Y133</f>
        <v>39</v>
      </c>
      <c r="AA133" s="350" t="n">
        <f aca="false">Z133</f>
        <v>39</v>
      </c>
      <c r="AB133" s="350" t="n">
        <f aca="false">AA133</f>
        <v>39</v>
      </c>
      <c r="AC133" s="350" t="n">
        <f aca="false">AB133</f>
        <v>39</v>
      </c>
      <c r="AD133" s="350" t="n">
        <f aca="false">AC133</f>
        <v>39</v>
      </c>
      <c r="AE133" s="350" t="n">
        <f aca="false">AD133</f>
        <v>39</v>
      </c>
      <c r="AF133" s="350" t="n">
        <f aca="false">AE133</f>
        <v>39</v>
      </c>
      <c r="AG133" s="350" t="n">
        <f aca="false">AF133</f>
        <v>39</v>
      </c>
      <c r="AH133" s="351" t="n">
        <f aca="false">AG133</f>
        <v>39</v>
      </c>
      <c r="AI133" s="350" t="n">
        <f aca="false">AH133</f>
        <v>39</v>
      </c>
      <c r="AJ133" s="350" t="n">
        <f aca="false">AI133</f>
        <v>39</v>
      </c>
      <c r="AK133" s="350" t="n">
        <f aca="false">AJ133</f>
        <v>39</v>
      </c>
      <c r="AL133" s="350" t="n">
        <f aca="false">AK133</f>
        <v>39</v>
      </c>
      <c r="AM133" s="350" t="n">
        <f aca="false">AL133</f>
        <v>39</v>
      </c>
      <c r="AN133" s="350" t="n">
        <f aca="false">AM133</f>
        <v>39</v>
      </c>
      <c r="AO133" s="350" t="n">
        <f aca="false">AN133</f>
        <v>39</v>
      </c>
      <c r="AP133" s="351"/>
      <c r="AR133" s="352" t="n">
        <f aca="true">IF(AND($D133="Serviço",AR$12&lt;&gt;0,$H133&gt;0,OR(AUTOEVENTO&lt;&gt;"manual",$M133&lt;&gt;$A$15)),
        IF(Import.TipoArredondamento&lt;&gt;"TransfereGOV",
              ROUND(OFFSET($P133,0,AR$13),15-13*ORÇAMENTO!$AF$7)/$H133*OFFSET(ORÇAMENTO!$X$15,ROW(AR133)-ROW(AR$15),0),
              ROUND(ROUND(OFFSET($P133,0,AR$13),15-13*ORÇAMENTO!$AF$7)*OFFSET(ORÇAMENTO!$W$15,ROW(AR133)-ROW(AR$15),0),15-13*ORÇAMENTO!$AF$11)),
         0)</f>
        <v>866.58</v>
      </c>
      <c r="AS133" s="352" t="n">
        <f aca="true">IF(AND($D133="Serviço",AS$12&lt;&gt;0,$H133&gt;0,OR(AUTOEVENTO&lt;&gt;"manual",$M133&lt;&gt;$A$15)),
        IF(Import.TipoArredondamento&lt;&gt;"TransfereGOV",
              ROUND(OFFSET($P133,0,AS$13),15-13*ORÇAMENTO!$AF$7)/$H133*OFFSET(ORÇAMENTO!$X$15,ROW(AS133)-ROW(AS$15),0),
              ROUND(ROUND(OFFSET($P133,0,AS$13),15-13*ORÇAMENTO!$AF$7)*OFFSET(ORÇAMENTO!$W$15,ROW(AS133)-ROW(AS$15),0),15-13*ORÇAMENTO!$AF$11)),
         0)</f>
        <v>866.58</v>
      </c>
      <c r="AT133" s="352" t="n">
        <f aca="true">IF(AND($D133="Serviço",AT$12&lt;&gt;0,$H133&gt;0,OR(AUTOEVENTO&lt;&gt;"manual",$M133&lt;&gt;$A$15)),
        IF(Import.TipoArredondamento&lt;&gt;"TransfereGOV",
              ROUND(OFFSET($P133,0,AT$13),15-13*ORÇAMENTO!$AF$7)/$H133*OFFSET(ORÇAMENTO!$X$15,ROW(AT133)-ROW(AT$15),0),
              ROUND(ROUND(OFFSET($P133,0,AT$13),15-13*ORÇAMENTO!$AF$7)*OFFSET(ORÇAMENTO!$W$15,ROW(AT133)-ROW(AT$15),0),15-13*ORÇAMENTO!$AF$11)),
         0)</f>
        <v>866.58</v>
      </c>
      <c r="AU133" s="352" t="n">
        <f aca="true">IF(AND($D133="Serviço",AU$12&lt;&gt;0,$H133&gt;0,OR(AUTOEVENTO&lt;&gt;"manual",$M133&lt;&gt;$A$15)),
        IF(Import.TipoArredondamento&lt;&gt;"TransfereGOV",
              ROUND(OFFSET($P133,0,AU$13),15-13*ORÇAMENTO!$AF$7)/$H133*OFFSET(ORÇAMENTO!$X$15,ROW(AU133)-ROW(AU$15),0),
              ROUND(ROUND(OFFSET($P133,0,AU$13),15-13*ORÇAMENTO!$AF$7)*OFFSET(ORÇAMENTO!$W$15,ROW(AU133)-ROW(AU$15),0),15-13*ORÇAMENTO!$AF$11)),
         0)</f>
        <v>866.58</v>
      </c>
      <c r="AV133" s="352" t="n">
        <f aca="true">IF(AND($D133="Serviço",AV$12&lt;&gt;0,$H133&gt;0,OR(AUTOEVENTO&lt;&gt;"manual",$M133&lt;&gt;$A$15)),
        IF(Import.TipoArredondamento&lt;&gt;"TransfereGOV",
              ROUND(OFFSET($P133,0,AV$13),15-13*ORÇAMENTO!$AF$7)/$H133*OFFSET(ORÇAMENTO!$X$15,ROW(AV133)-ROW(AV$15),0),
              ROUND(ROUND(OFFSET($P133,0,AV$13),15-13*ORÇAMENTO!$AF$7)*OFFSET(ORÇAMENTO!$W$15,ROW(AV133)-ROW(AV$15),0),15-13*ORÇAMENTO!$AF$11)),
         0)</f>
        <v>866.58</v>
      </c>
      <c r="AW133" s="352" t="n">
        <f aca="true">IF(AND($D133="Serviço",AW$12&lt;&gt;0,$H133&gt;0,OR(AUTOEVENTO&lt;&gt;"manual",$M133&lt;&gt;$A$15)),
        IF(Import.TipoArredondamento&lt;&gt;"TransfereGOV",
              ROUND(OFFSET($P133,0,AW$13),15-13*ORÇAMENTO!$AF$7)/$H133*OFFSET(ORÇAMENTO!$X$15,ROW(AW133)-ROW(AW$15),0),
              ROUND(ROUND(OFFSET($P133,0,AW$13),15-13*ORÇAMENTO!$AF$7)*OFFSET(ORÇAMENTO!$W$15,ROW(AW133)-ROW(AW$15),0),15-13*ORÇAMENTO!$AF$11)),
         0)</f>
        <v>866.58</v>
      </c>
      <c r="AX133" s="352" t="n">
        <f aca="true">IF(AND($D133="Serviço",AX$12&lt;&gt;0,$H133&gt;0,OR(AUTOEVENTO&lt;&gt;"manual",$M133&lt;&gt;$A$15)),
        IF(Import.TipoArredondamento&lt;&gt;"TransfereGOV",
              ROUND(OFFSET($P133,0,AX$13),15-13*ORÇAMENTO!$AF$7)/$H133*OFFSET(ORÇAMENTO!$X$15,ROW(AX133)-ROW(AX$15),0),
              ROUND(ROUND(OFFSET($P133,0,AX$13),15-13*ORÇAMENTO!$AF$7)*OFFSET(ORÇAMENTO!$W$15,ROW(AX133)-ROW(AX$15),0),15-13*ORÇAMENTO!$AF$11)),
         0)</f>
        <v>866.58</v>
      </c>
      <c r="AY133" s="352" t="n">
        <f aca="true">IF(AND($D133="Serviço",AY$12&lt;&gt;0,$H133&gt;0,OR(AUTOEVENTO&lt;&gt;"manual",$M133&lt;&gt;$A$15)),
        IF(Import.TipoArredondamento&lt;&gt;"TransfereGOV",
              ROUND(OFFSET($P133,0,AY$13),15-13*ORÇAMENTO!$AF$7)/$H133*OFFSET(ORÇAMENTO!$X$15,ROW(AY133)-ROW(AY$15),0),
              ROUND(ROUND(OFFSET($P133,0,AY$13),15-13*ORÇAMENTO!$AF$7)*OFFSET(ORÇAMENTO!$W$15,ROW(AY133)-ROW(AY$15),0),15-13*ORÇAMENTO!$AF$11)),
         0)</f>
        <v>866.58</v>
      </c>
      <c r="AZ133" s="352" t="n">
        <f aca="true">IF(AND($D133="Serviço",AZ$12&lt;&gt;0,$H133&gt;0,OR(AUTOEVENTO&lt;&gt;"manual",$M133&lt;&gt;$A$15)),
        IF(Import.TipoArredondamento&lt;&gt;"TransfereGOV",
              ROUND(OFFSET($P133,0,AZ$13),15-13*ORÇAMENTO!$AF$7)/$H133*OFFSET(ORÇAMENTO!$X$15,ROW(AZ133)-ROW(AZ$15),0),
              ROUND(ROUND(OFFSET($P133,0,AZ$13),15-13*ORÇAMENTO!$AF$7)*OFFSET(ORÇAMENTO!$W$15,ROW(AZ133)-ROW(AZ$15),0),15-13*ORÇAMENTO!$AF$11)),
         0)</f>
        <v>866.58</v>
      </c>
      <c r="BA133" s="352" t="n">
        <f aca="true">IF(AND($D133="Serviço",BA$12&lt;&gt;0,$H133&gt;0,OR(AUTOEVENTO&lt;&gt;"manual",$M133&lt;&gt;$A$15)),
        IF(Import.TipoArredondamento&lt;&gt;"TransfereGOV",
              ROUND(OFFSET($P133,0,BA$13),15-13*ORÇAMENTO!$AF$7)/$H133*OFFSET(ORÇAMENTO!$X$15,ROW(BA133)-ROW(BA$15),0),
              ROUND(ROUND(OFFSET($P133,0,BA$13),15-13*ORÇAMENTO!$AF$7)*OFFSET(ORÇAMENTO!$W$15,ROW(BA133)-ROW(BA$15),0),15-13*ORÇAMENTO!$AF$11)),
         0)</f>
        <v>866.58</v>
      </c>
      <c r="BB133" s="352" t="n">
        <f aca="true">IF(AND($D133="Serviço",BB$12&lt;&gt;0,$H133&gt;0,OR(AUTOEVENTO&lt;&gt;"manual",$M133&lt;&gt;$A$15)),
        IF(Import.TipoArredondamento&lt;&gt;"TransfereGOV",
              ROUND(OFFSET($P133,0,BB$13),15-13*ORÇAMENTO!$AF$7)/$H133*OFFSET(ORÇAMENTO!$X$15,ROW(BB133)-ROW(BB$15),0),
              ROUND(ROUND(OFFSET($P133,0,BB$13),15-13*ORÇAMENTO!$AF$7)*OFFSET(ORÇAMENTO!$W$15,ROW(BB133)-ROW(BB$15),0),15-13*ORÇAMENTO!$AF$11)),
         0)</f>
        <v>866.58</v>
      </c>
      <c r="BC133" s="352" t="n">
        <f aca="true">IF(AND($D133="Serviço",BC$12&lt;&gt;0,$H133&gt;0,OR(AUTOEVENTO&lt;&gt;"manual",$M133&lt;&gt;$A$15)),
        IF(Import.TipoArredondamento&lt;&gt;"TransfereGOV",
              ROUND(OFFSET($P133,0,BC$13),15-13*ORÇAMENTO!$AF$7)/$H133*OFFSET(ORÇAMENTO!$X$15,ROW(BC133)-ROW(BC$15),0),
              ROUND(ROUND(OFFSET($P133,0,BC$13),15-13*ORÇAMENTO!$AF$7)*OFFSET(ORÇAMENTO!$W$15,ROW(BC133)-ROW(BC$15),0),15-13*ORÇAMENTO!$AF$11)),
         0)</f>
        <v>866.58</v>
      </c>
      <c r="BD133" s="352" t="n">
        <f aca="true">IF(AND($D133="Serviço",BD$12&lt;&gt;0,$H133&gt;0,OR(AUTOEVENTO&lt;&gt;"manual",$M133&lt;&gt;$A$15)),
        IF(Import.TipoArredondamento&lt;&gt;"TransfereGOV",
              ROUND(OFFSET($P133,0,BD$13),15-13*ORÇAMENTO!$AF$7)/$H133*OFFSET(ORÇAMENTO!$X$15,ROW(BD133)-ROW(BD$15),0),
              ROUND(ROUND(OFFSET($P133,0,BD$13),15-13*ORÇAMENTO!$AF$7)*OFFSET(ORÇAMENTO!$W$15,ROW(BD133)-ROW(BD$15),0),15-13*ORÇAMENTO!$AF$11)),
         0)</f>
        <v>866.58</v>
      </c>
      <c r="BE133" s="352" t="n">
        <f aca="true">IF(AND($D133="Serviço",BE$12&lt;&gt;0,$H133&gt;0,OR(AUTOEVENTO&lt;&gt;"manual",$M133&lt;&gt;$A$15)),
        IF(Import.TipoArredondamento&lt;&gt;"TransfereGOV",
              ROUND(OFFSET($P133,0,BE$13),15-13*ORÇAMENTO!$AF$7)/$H133*OFFSET(ORÇAMENTO!$X$15,ROW(BE133)-ROW(BE$15),0),
              ROUND(ROUND(OFFSET($P133,0,BE$13),15-13*ORÇAMENTO!$AF$7)*OFFSET(ORÇAMENTO!$W$15,ROW(BE133)-ROW(BE$15),0),15-13*ORÇAMENTO!$AF$11)),
         0)</f>
        <v>866.58</v>
      </c>
      <c r="BF133" s="352" t="n">
        <f aca="true">IF(AND($D133="Serviço",BF$12&lt;&gt;0,$H133&gt;0,OR(AUTOEVENTO&lt;&gt;"manual",$M133&lt;&gt;$A$15)),
        IF(Import.TipoArredondamento&lt;&gt;"TransfereGOV",
              ROUND(OFFSET($P133,0,BF$13),15-13*ORÇAMENTO!$AF$7)/$H133*OFFSET(ORÇAMENTO!$X$15,ROW(BF133)-ROW(BF$15),0),
              ROUND(ROUND(OFFSET($P133,0,BF$13),15-13*ORÇAMENTO!$AF$7)*OFFSET(ORÇAMENTO!$W$15,ROW(BF133)-ROW(BF$15),0),15-13*ORÇAMENTO!$AF$11)),
         0)</f>
        <v>866.58</v>
      </c>
      <c r="BG133" s="352" t="n">
        <f aca="true">IF(AND($D133="Serviço",BG$12&lt;&gt;0,$H133&gt;0,OR(AUTOEVENTO&lt;&gt;"manual",$M133&lt;&gt;$A$15)),
        IF(Import.TipoArredondamento&lt;&gt;"TransfereGOV",
              ROUND(OFFSET($P133,0,BG$13),15-13*ORÇAMENTO!$AF$7)/$H133*OFFSET(ORÇAMENTO!$X$15,ROW(BG133)-ROW(BG$15),0),
              ROUND(ROUND(OFFSET($P133,0,BG$13),15-13*ORÇAMENTO!$AF$7)*OFFSET(ORÇAMENTO!$W$15,ROW(BG133)-ROW(BG$15),0),15-13*ORÇAMENTO!$AF$11)),
         0)</f>
        <v>866.58</v>
      </c>
      <c r="BH133" s="352" t="n">
        <f aca="true">IF(AND($D133="Serviço",BH$12&lt;&gt;0,$H133&gt;0,OR(AUTOEVENTO&lt;&gt;"manual",$M133&lt;&gt;$A$15)),
        IF(Import.TipoArredondamento&lt;&gt;"TransfereGOV",
              ROUND(OFFSET($P133,0,BH$13),15-13*ORÇAMENTO!$AF$7)/$H133*OFFSET(ORÇAMENTO!$X$15,ROW(BH133)-ROW(BH$15),0),
              ROUND(ROUND(OFFSET($P133,0,BH$13),15-13*ORÇAMENTO!$AF$7)*OFFSET(ORÇAMENTO!$W$15,ROW(BH133)-ROW(BH$15),0),15-13*ORÇAMENTO!$AF$11)),
         0)</f>
        <v>866.58</v>
      </c>
      <c r="BI133" s="352" t="n">
        <f aca="true">IF(AND($D133="Serviço",BI$12&lt;&gt;0,$H133&gt;0,OR(AUTOEVENTO&lt;&gt;"manual",$M133&lt;&gt;$A$15)),
        IF(Import.TipoArredondamento&lt;&gt;"TransfereGOV",
              ROUND(OFFSET($P133,0,BI$13),15-13*ORÇAMENTO!$AF$7)/$H133*OFFSET(ORÇAMENTO!$X$15,ROW(BI133)-ROW(BI$15),0),
              ROUND(ROUND(OFFSET($P133,0,BI$13),15-13*ORÇAMENTO!$AF$7)*OFFSET(ORÇAMENTO!$W$15,ROW(BI133)-ROW(BI$15),0),15-13*ORÇAMENTO!$AF$11)),
         0)</f>
        <v>866.58</v>
      </c>
      <c r="BJ133" s="352" t="n">
        <f aca="true">IF(AND($D133="Serviço",BJ$12&lt;&gt;0,$H133&gt;0,OR(AUTOEVENTO&lt;&gt;"manual",$M133&lt;&gt;$A$15)),
        IF(Import.TipoArredondamento&lt;&gt;"TransfereGOV",
              ROUND(OFFSET($P133,0,BJ$13),15-13*ORÇAMENTO!$AF$7)/$H133*OFFSET(ORÇAMENTO!$X$15,ROW(BJ133)-ROW(BJ$15),0),
              ROUND(ROUND(OFFSET($P133,0,BJ$13),15-13*ORÇAMENTO!$AF$7)*OFFSET(ORÇAMENTO!$W$15,ROW(BJ133)-ROW(BJ$15),0),15-13*ORÇAMENTO!$AF$11)),
         0)</f>
        <v>866.58</v>
      </c>
      <c r="BK133" s="352" t="n">
        <f aca="true">IF(AND($D133="Serviço",BK$12&lt;&gt;0,$H133&gt;0,OR(AUTOEVENTO&lt;&gt;"manual",$M133&lt;&gt;$A$15)),
        IF(Import.TipoArredondamento&lt;&gt;"TransfereGOV",
              ROUND(OFFSET($P133,0,BK$13),15-13*ORÇAMENTO!$AF$7)/$H133*OFFSET(ORÇAMENTO!$X$15,ROW(BK133)-ROW(BK$15),0),
              ROUND(ROUND(OFFSET($P133,0,BK$13),15-13*ORÇAMENTO!$AF$7)*OFFSET(ORÇAMENTO!$W$15,ROW(BK133)-ROW(BK$15),0),15-13*ORÇAMENTO!$AF$11)),
         0)</f>
        <v>866.58</v>
      </c>
      <c r="BL133" s="352" t="n">
        <f aca="true">IF(AND($D133="Serviço",BL$12&lt;&gt;0,$H133&gt;0,OR(AUTOEVENTO&lt;&gt;"manual",$M133&lt;&gt;$A$15)),
        IF(Import.TipoArredondamento&lt;&gt;"TransfereGOV",
              ROUND(OFFSET($P133,0,BL$13),15-13*ORÇAMENTO!$AF$7)/$H133*OFFSET(ORÇAMENTO!$X$15,ROW(BL133)-ROW(BL$15),0),
              ROUND(ROUND(OFFSET($P133,0,BL$13),15-13*ORÇAMENTO!$AF$7)*OFFSET(ORÇAMENTO!$W$15,ROW(BL133)-ROW(BL$15),0),15-13*ORÇAMENTO!$AF$11)),
         0)</f>
        <v>866.58</v>
      </c>
      <c r="BM133" s="352" t="n">
        <f aca="true">IF(AND($D133="Serviço",BM$12&lt;&gt;0,$H133&gt;0,OR(AUTOEVENTO&lt;&gt;"manual",$M133&lt;&gt;$A$15)),
        IF(Import.TipoArredondamento&lt;&gt;"TransfereGOV",
              ROUND(OFFSET($P133,0,BM$13),15-13*ORÇAMENTO!$AF$7)/$H133*OFFSET(ORÇAMENTO!$X$15,ROW(BM133)-ROW(BM$15),0),
              ROUND(ROUND(OFFSET($P133,0,BM$13),15-13*ORÇAMENTO!$AF$7)*OFFSET(ORÇAMENTO!$W$15,ROW(BM133)-ROW(BM$15),0),15-13*ORÇAMENTO!$AF$11)),
         0)</f>
        <v>866.58</v>
      </c>
      <c r="BN133" s="352" t="n">
        <f aca="true">IF(AND($D133="Serviço",BN$12&lt;&gt;0,$H133&gt;0,OR(AUTOEVENTO&lt;&gt;"manual",$M133&lt;&gt;$A$15)),
        IF(Import.TipoArredondamento&lt;&gt;"TransfereGOV",
              ROUND(OFFSET($P133,0,BN$13),15-13*ORÇAMENTO!$AF$7)/$H133*OFFSET(ORÇAMENTO!$X$15,ROW(BN133)-ROW(BN$15),0),
              ROUND(ROUND(OFFSET($P133,0,BN$13),15-13*ORÇAMENTO!$AF$7)*OFFSET(ORÇAMENTO!$W$15,ROW(BN133)-ROW(BN$15),0),15-13*ORÇAMENTO!$AF$11)),
         0)</f>
        <v>866.58</v>
      </c>
      <c r="BO133" s="352" t="n">
        <f aca="true">IF(AND($D133="Serviço",BO$12&lt;&gt;0,$H133&gt;0,OR(AUTOEVENTO&lt;&gt;"manual",$M133&lt;&gt;$A$15)),
        IF(Import.TipoArredondamento&lt;&gt;"TransfereGOV",
              ROUND(OFFSET($P133,0,BO$13),15-13*ORÇAMENTO!$AF$7)/$H133*OFFSET(ORÇAMENTO!$X$15,ROW(BO133)-ROW(BO$15),0),
              ROUND(ROUND(OFFSET($P133,0,BO$13),15-13*ORÇAMENTO!$AF$7)*OFFSET(ORÇAMENTO!$W$15,ROW(BO133)-ROW(BO$15),0),15-13*ORÇAMENTO!$AF$11)),
         0)</f>
        <v>866.58</v>
      </c>
      <c r="BP133" s="352" t="n">
        <f aca="true">IF(AND($D133="Serviço",BP$12&lt;&gt;0,$H133&gt;0,OR(AUTOEVENTO&lt;&gt;"manual",$M133&lt;&gt;$A$15)),
        IF(Import.TipoArredondamento&lt;&gt;"TransfereGOV",
              ROUND(OFFSET($P133,0,BP$13),15-13*ORÇAMENTO!$AF$7)/$H133*OFFSET(ORÇAMENTO!$X$15,ROW(BP133)-ROW(BP$15),0),
              ROUND(ROUND(OFFSET($P133,0,BP$13),15-13*ORÇAMENTO!$AF$7)*OFFSET(ORÇAMENTO!$W$15,ROW(BP133)-ROW(BP$15),0),15-13*ORÇAMENTO!$AF$11)),
         0)</f>
        <v>866.58</v>
      </c>
      <c r="BQ133" s="352" t="n">
        <f aca="true">IF(AND($D133="Serviço",BQ$12&lt;&gt;0,$H133&gt;0,OR(AUTOEVENTO&lt;&gt;"manual",$M133&lt;&gt;$A$15)),
        IF(Import.TipoArredondamento&lt;&gt;"TransfereGOV",
              ROUND(OFFSET($P133,0,BQ$13),15-13*ORÇAMENTO!$AF$7)/$H133*OFFSET(ORÇAMENTO!$X$15,ROW(BQ133)-ROW(BQ$15),0),
              ROUND(ROUND(OFFSET($P133,0,BQ$13),15-13*ORÇAMENTO!$AF$7)*OFFSET(ORÇAMENTO!$W$15,ROW(BQ133)-ROW(BQ$15),0),15-13*ORÇAMENTO!$AF$11)),
         0)</f>
        <v>0</v>
      </c>
      <c r="BS133" s="353" t="n">
        <f aca="true">IF(OR($D133&lt;&gt;"Serviço",AND(AUTOEVENTO="Manual",$M133=$A$15)),0,
         IF(OFFSET(CRONOPLE!$F$15,$M133-$A$15,BS$13)=0,10^12,OFFSET(CRONOPLE!$F$15,$M133-$A$15,BS$13)))</f>
        <v>1</v>
      </c>
      <c r="BT133" s="353" t="n">
        <f aca="true">IF(OR($D133&lt;&gt;"Serviço",AND(AUTOEVENTO="Manual",$M133=$A$15)),0,
         IF(OFFSET(CRONOPLE!$F$15,$M133-$A$15,BT$13)=0,10^12,OFFSET(CRONOPLE!$F$15,$M133-$A$15,BT$13)))</f>
        <v>2</v>
      </c>
      <c r="BU133" s="353" t="n">
        <f aca="true">IF(OR($D133&lt;&gt;"Serviço",AND(AUTOEVENTO="Manual",$M133=$A$15)),0,
         IF(OFFSET(CRONOPLE!$F$15,$M133-$A$15,BU$13)=0,10^12,OFFSET(CRONOPLE!$F$15,$M133-$A$15,BU$13)))</f>
        <v>3</v>
      </c>
      <c r="BV133" s="353" t="n">
        <f aca="true">IF(OR($D133&lt;&gt;"Serviço",AND(AUTOEVENTO="Manual",$M133=$A$15)),0,
         IF(OFFSET(CRONOPLE!$F$15,$M133-$A$15,BV$13)=0,10^12,OFFSET(CRONOPLE!$F$15,$M133-$A$15,BV$13)))</f>
        <v>4</v>
      </c>
      <c r="BW133" s="353" t="n">
        <f aca="true">IF(OR($D133&lt;&gt;"Serviço",AND(AUTOEVENTO="Manual",$M133=$A$15)),0,
         IF(OFFSET(CRONOPLE!$F$15,$M133-$A$15,BW$13)=0,10^12,OFFSET(CRONOPLE!$F$15,$M133-$A$15,BW$13)))</f>
        <v>5</v>
      </c>
      <c r="BX133" s="353" t="n">
        <f aca="true">IF(OR($D133&lt;&gt;"Serviço",AND(AUTOEVENTO="Manual",$M133=$A$15)),0,
         IF(OFFSET(CRONOPLE!$F$15,$M133-$A$15,BX$13)=0,10^12,OFFSET(CRONOPLE!$F$15,$M133-$A$15,BX$13)))</f>
        <v>6</v>
      </c>
      <c r="BY133" s="353" t="n">
        <f aca="true">IF(OR($D133&lt;&gt;"Serviço",AND(AUTOEVENTO="Manual",$M133=$A$15)),0,
         IF(OFFSET(CRONOPLE!$F$15,$M133-$A$15,BY$13)=0,10^12,OFFSET(CRONOPLE!$F$15,$M133-$A$15,BY$13)))</f>
        <v>7</v>
      </c>
      <c r="BZ133" s="353" t="n">
        <f aca="true">IF(OR($D133&lt;&gt;"Serviço",AND(AUTOEVENTO="Manual",$M133=$A$15)),0,
         IF(OFFSET(CRONOPLE!$F$15,$M133-$A$15,BZ$13)=0,10^12,OFFSET(CRONOPLE!$F$15,$M133-$A$15,BZ$13)))</f>
        <v>8</v>
      </c>
      <c r="CA133" s="353" t="n">
        <f aca="true">IF(OR($D133&lt;&gt;"Serviço",AND(AUTOEVENTO="Manual",$M133=$A$15)),0,
         IF(OFFSET(CRONOPLE!$F$15,$M133-$A$15,CA$13)=0,10^12,OFFSET(CRONOPLE!$F$15,$M133-$A$15,CA$13)))</f>
        <v>9</v>
      </c>
      <c r="CB133" s="353" t="n">
        <f aca="true">IF(OR($D133&lt;&gt;"Serviço",AND(AUTOEVENTO="Manual",$M133=$A$15)),0,
         IF(OFFSET(CRONOPLE!$F$15,$M133-$A$15,CB$13)=0,10^12,OFFSET(CRONOPLE!$F$15,$M133-$A$15,CB$13)))</f>
        <v>10</v>
      </c>
      <c r="CC133" s="353" t="n">
        <f aca="true">IF(OR($D133&lt;&gt;"Serviço",AND(AUTOEVENTO="Manual",$M133=$A$15)),0,
         IF(OFFSET(CRONOPLE!$F$15,$M133-$A$15,CC$13)=0,10^12,OFFSET(CRONOPLE!$F$15,$M133-$A$15,CC$13)))</f>
        <v>11</v>
      </c>
      <c r="CD133" s="353" t="n">
        <f aca="true">IF(OR($D133&lt;&gt;"Serviço",AND(AUTOEVENTO="Manual",$M133=$A$15)),0,
         IF(OFFSET(CRONOPLE!$F$15,$M133-$A$15,CD$13)=0,10^12,OFFSET(CRONOPLE!$F$15,$M133-$A$15,CD$13)))</f>
        <v>12</v>
      </c>
      <c r="CE133" s="353" t="n">
        <f aca="true">IF(OR($D133&lt;&gt;"Serviço",AND(AUTOEVENTO="Manual",$M133=$A$15)),0,
         IF(OFFSET(CRONOPLE!$F$15,$M133-$A$15,CE$13)=0,10^12,OFFSET(CRONOPLE!$F$15,$M133-$A$15,CE$13)))</f>
        <v>13</v>
      </c>
      <c r="CF133" s="353" t="n">
        <f aca="true">IF(OR($D133&lt;&gt;"Serviço",AND(AUTOEVENTO="Manual",$M133=$A$15)),0,
         IF(OFFSET(CRONOPLE!$F$15,$M133-$A$15,CF$13)=0,10^12,OFFSET(CRONOPLE!$F$15,$M133-$A$15,CF$13)))</f>
        <v>14</v>
      </c>
      <c r="CG133" s="353" t="n">
        <f aca="true">IF(OR($D133&lt;&gt;"Serviço",AND(AUTOEVENTO="Manual",$M133=$A$15)),0,
         IF(OFFSET(CRONOPLE!$F$15,$M133-$A$15,CG$13)=0,10^12,OFFSET(CRONOPLE!$F$15,$M133-$A$15,CG$13)))</f>
        <v>15</v>
      </c>
      <c r="CH133" s="353" t="n">
        <f aca="true">IF(OR($D133&lt;&gt;"Serviço",AND(AUTOEVENTO="Manual",$M133=$A$15)),0,
         IF(OFFSET(CRONOPLE!$F$15,$M133-$A$15,CH$13)=0,10^12,OFFSET(CRONOPLE!$F$15,$M133-$A$15,CH$13)))</f>
        <v>16</v>
      </c>
      <c r="CI133" s="353" t="n">
        <f aca="true">IF(OR($D133&lt;&gt;"Serviço",AND(AUTOEVENTO="Manual",$M133=$A$15)),0,
         IF(OFFSET(CRONOPLE!$F$15,$M133-$A$15,CI$13)=0,10^12,OFFSET(CRONOPLE!$F$15,$M133-$A$15,CI$13)))</f>
        <v>17</v>
      </c>
      <c r="CJ133" s="353" t="n">
        <f aca="true">IF(OR($D133&lt;&gt;"Serviço",AND(AUTOEVENTO="Manual",$M133=$A$15)),0,
         IF(OFFSET(CRONOPLE!$F$15,$M133-$A$15,CJ$13)=0,10^12,OFFSET(CRONOPLE!$F$15,$M133-$A$15,CJ$13)))</f>
        <v>18</v>
      </c>
      <c r="CK133" s="353" t="n">
        <f aca="true">IF(OR($D133&lt;&gt;"Serviço",AND(AUTOEVENTO="Manual",$M133=$A$15)),0,
         IF(OFFSET(CRONOPLE!$F$15,$M133-$A$15,CK$13)=0,10^12,OFFSET(CRONOPLE!$F$15,$M133-$A$15,CK$13)))</f>
        <v>19</v>
      </c>
      <c r="CL133" s="353" t="n">
        <f aca="true">IF(OR($D133&lt;&gt;"Serviço",AND(AUTOEVENTO="Manual",$M133=$A$15)),0,
         IF(OFFSET(CRONOPLE!$F$15,$M133-$A$15,CL$13)=0,10^12,OFFSET(CRONOPLE!$F$15,$M133-$A$15,CL$13)))</f>
        <v>20</v>
      </c>
      <c r="CM133" s="353" t="n">
        <f aca="true">IF(OR($D133&lt;&gt;"Serviço",AND(AUTOEVENTO="Manual",$M133=$A$15)),0,
         IF(OFFSET(CRONOPLE!$F$15,$M133-$A$15,CM$13)=0,10^12,OFFSET(CRONOPLE!$F$15,$M133-$A$15,CM$13)))</f>
        <v>21</v>
      </c>
      <c r="CN133" s="353" t="n">
        <f aca="true">IF(OR($D133&lt;&gt;"Serviço",AND(AUTOEVENTO="Manual",$M133=$A$15)),0,
         IF(OFFSET(CRONOPLE!$F$15,$M133-$A$15,CN$13)=0,10^12,OFFSET(CRONOPLE!$F$15,$M133-$A$15,CN$13)))</f>
        <v>22</v>
      </c>
      <c r="CO133" s="353" t="n">
        <f aca="true">IF(OR($D133&lt;&gt;"Serviço",AND(AUTOEVENTO="Manual",$M133=$A$15)),0,
         IF(OFFSET(CRONOPLE!$F$15,$M133-$A$15,CO$13)=0,10^12,OFFSET(CRONOPLE!$F$15,$M133-$A$15,CO$13)))</f>
        <v>23</v>
      </c>
      <c r="CP133" s="353" t="n">
        <f aca="true">IF(OR($D133&lt;&gt;"Serviço",AND(AUTOEVENTO="Manual",$M133=$A$15)),0,
         IF(OFFSET(CRONOPLE!$F$15,$M133-$A$15,CP$13)=0,10^12,OFFSET(CRONOPLE!$F$15,$M133-$A$15,CP$13)))</f>
        <v>24</v>
      </c>
      <c r="CQ133" s="353" t="n">
        <f aca="true">IF(OR($D133&lt;&gt;"Serviço",AND(AUTOEVENTO="Manual",$M133=$A$15)),0,
         IF(OFFSET(CRONOPLE!$F$15,$M133-$A$15,CQ$13)=0,10^12,OFFSET(CRONOPLE!$F$15,$M133-$A$15,CQ$13)))</f>
        <v>25</v>
      </c>
      <c r="CR133" s="353" t="n">
        <f aca="true">IF(OR($D133&lt;&gt;"Serviço",AND(AUTOEVENTO="Manual",$M133=$A$15)),0,
         IF(OFFSET(CRONOPLE!$F$15,$M133-$A$15,CR$13)=0,10^12,OFFSET(CRONOPLE!$F$15,$M133-$A$15,CR$13)))</f>
        <v>1000000000000</v>
      </c>
      <c r="CT133" s="354" t="n">
        <f aca="true">IF(OR($D133&lt;&gt;"Serviço",AND(AUTOEVENTO="Manual",$M133=$A$15),$M133&gt;(ROW(PLE.lastrow)-ROW(PLE.firstrow))),0,
           IF(OFFSET(PLE!$G$15,$M133-$A$15,CT$13)="",10^12,OFFSET(PLE!$G$15,$M133-$A$15,CT$13)))</f>
        <v>1000000000000</v>
      </c>
      <c r="CU133" s="354" t="n">
        <f aca="true">IF(OR($D133&lt;&gt;"Serviço",AND(AUTOEVENTO="Manual",$M133=$A$15),$M133&gt;(ROW(PLE.lastrow)-ROW(PLE.firstrow))),0,
           IF(OFFSET(PLE!$G$15,$M133-$A$15,CU$13)="",10^12,OFFSET(PLE!$G$15,$M133-$A$15,CU$13)))</f>
        <v>1000000000000</v>
      </c>
      <c r="CV133" s="354" t="n">
        <f aca="true">IF(OR($D133&lt;&gt;"Serviço",AND(AUTOEVENTO="Manual",$M133=$A$15),$M133&gt;(ROW(PLE.lastrow)-ROW(PLE.firstrow))),0,
           IF(OFFSET(PLE!$G$15,$M133-$A$15,CV$13)="",10^12,OFFSET(PLE!$G$15,$M133-$A$15,CV$13)))</f>
        <v>1000000000000</v>
      </c>
      <c r="CW133" s="354" t="n">
        <f aca="true">IF(OR($D133&lt;&gt;"Serviço",AND(AUTOEVENTO="Manual",$M133=$A$15),$M133&gt;(ROW(PLE.lastrow)-ROW(PLE.firstrow))),0,
           IF(OFFSET(PLE!$G$15,$M133-$A$15,CW$13)="",10^12,OFFSET(PLE!$G$15,$M133-$A$15,CW$13)))</f>
        <v>1000000000000</v>
      </c>
      <c r="CX133" s="354" t="n">
        <f aca="true">IF(OR($D133&lt;&gt;"Serviço",AND(AUTOEVENTO="Manual",$M133=$A$15),$M133&gt;(ROW(PLE.lastrow)-ROW(PLE.firstrow))),0,
           IF(OFFSET(PLE!$G$15,$M133-$A$15,CX$13)="",10^12,OFFSET(PLE!$G$15,$M133-$A$15,CX$13)))</f>
        <v>1000000000000</v>
      </c>
      <c r="CY133" s="354" t="n">
        <f aca="true">IF(OR($D133&lt;&gt;"Serviço",AND(AUTOEVENTO="Manual",$M133=$A$15),$M133&gt;(ROW(PLE.lastrow)-ROW(PLE.firstrow))),0,
           IF(OFFSET(PLE!$G$15,$M133-$A$15,CY$13)="",10^12,OFFSET(PLE!$G$15,$M133-$A$15,CY$13)))</f>
        <v>1000000000000</v>
      </c>
      <c r="CZ133" s="354" t="n">
        <f aca="true">IF(OR($D133&lt;&gt;"Serviço",AND(AUTOEVENTO="Manual",$M133=$A$15),$M133&gt;(ROW(PLE.lastrow)-ROW(PLE.firstrow))),0,
           IF(OFFSET(PLE!$G$15,$M133-$A$15,CZ$13)="",10^12,OFFSET(PLE!$G$15,$M133-$A$15,CZ$13)))</f>
        <v>1000000000000</v>
      </c>
      <c r="DA133" s="354" t="n">
        <f aca="true">IF(OR($D133&lt;&gt;"Serviço",AND(AUTOEVENTO="Manual",$M133=$A$15),$M133&gt;(ROW(PLE.lastrow)-ROW(PLE.firstrow))),0,
           IF(OFFSET(PLE!$G$15,$M133-$A$15,DA$13)="",10^12,OFFSET(PLE!$G$15,$M133-$A$15,DA$13)))</f>
        <v>1000000000000</v>
      </c>
      <c r="DB133" s="354" t="n">
        <f aca="true">IF(OR($D133&lt;&gt;"Serviço",AND(AUTOEVENTO="Manual",$M133=$A$15),$M133&gt;(ROW(PLE.lastrow)-ROW(PLE.firstrow))),0,
           IF(OFFSET(PLE!$G$15,$M133-$A$15,DB$13)="",10^12,OFFSET(PLE!$G$15,$M133-$A$15,DB$13)))</f>
        <v>1000000000000</v>
      </c>
      <c r="DC133" s="354" t="n">
        <f aca="true">IF(OR($D133&lt;&gt;"Serviço",AND(AUTOEVENTO="Manual",$M133=$A$15),$M133&gt;(ROW(PLE.lastrow)-ROW(PLE.firstrow))),0,
           IF(OFFSET(PLE!$G$15,$M133-$A$15,DC$13)="",10^12,OFFSET(PLE!$G$15,$M133-$A$15,DC$13)))</f>
        <v>1000000000000</v>
      </c>
      <c r="DD133" s="354" t="n">
        <f aca="true">IF(OR($D133&lt;&gt;"Serviço",AND(AUTOEVENTO="Manual",$M133=$A$15),$M133&gt;(ROW(PLE.lastrow)-ROW(PLE.firstrow))),0,
           IF(OFFSET(PLE!$G$15,$M133-$A$15,DD$13)="",10^12,OFFSET(PLE!$G$15,$M133-$A$15,DD$13)))</f>
        <v>1000000000000</v>
      </c>
      <c r="DE133" s="354" t="n">
        <f aca="true">IF(OR($D133&lt;&gt;"Serviço",AND(AUTOEVENTO="Manual",$M133=$A$15),$M133&gt;(ROW(PLE.lastrow)-ROW(PLE.firstrow))),0,
           IF(OFFSET(PLE!$G$15,$M133-$A$15,DE$13)="",10^12,OFFSET(PLE!$G$15,$M133-$A$15,DE$13)))</f>
        <v>1000000000000</v>
      </c>
      <c r="DF133" s="354" t="n">
        <f aca="true">IF(OR($D133&lt;&gt;"Serviço",AND(AUTOEVENTO="Manual",$M133=$A$15),$M133&gt;(ROW(PLE.lastrow)-ROW(PLE.firstrow))),0,
           IF(OFFSET(PLE!$G$15,$M133-$A$15,DF$13)="",10^12,OFFSET(PLE!$G$15,$M133-$A$15,DF$13)))</f>
        <v>1000000000000</v>
      </c>
      <c r="DG133" s="354" t="n">
        <f aca="true">IF(OR($D133&lt;&gt;"Serviço",AND(AUTOEVENTO="Manual",$M133=$A$15),$M133&gt;(ROW(PLE.lastrow)-ROW(PLE.firstrow))),0,
           IF(OFFSET(PLE!$G$15,$M133-$A$15,DG$13)="",10^12,OFFSET(PLE!$G$15,$M133-$A$15,DG$13)))</f>
        <v>1000000000000</v>
      </c>
      <c r="DH133" s="354" t="n">
        <f aca="true">IF(OR($D133&lt;&gt;"Serviço",AND(AUTOEVENTO="Manual",$M133=$A$15),$M133&gt;(ROW(PLE.lastrow)-ROW(PLE.firstrow))),0,
           IF(OFFSET(PLE!$G$15,$M133-$A$15,DH$13)="",10^12,OFFSET(PLE!$G$15,$M133-$A$15,DH$13)))</f>
        <v>1000000000000</v>
      </c>
      <c r="DI133" s="354" t="n">
        <f aca="true">IF(OR($D133&lt;&gt;"Serviço",AND(AUTOEVENTO="Manual",$M133=$A$15),$M133&gt;(ROW(PLE.lastrow)-ROW(PLE.firstrow))),0,
           IF(OFFSET(PLE!$G$15,$M133-$A$15,DI$13)="",10^12,OFFSET(PLE!$G$15,$M133-$A$15,DI$13)))</f>
        <v>1000000000000</v>
      </c>
      <c r="DJ133" s="354" t="n">
        <f aca="true">IF(OR($D133&lt;&gt;"Serviço",AND(AUTOEVENTO="Manual",$M133=$A$15),$M133&gt;(ROW(PLE.lastrow)-ROW(PLE.firstrow))),0,
           IF(OFFSET(PLE!$G$15,$M133-$A$15,DJ$13)="",10^12,OFFSET(PLE!$G$15,$M133-$A$15,DJ$13)))</f>
        <v>1000000000000</v>
      </c>
      <c r="DK133" s="354" t="n">
        <f aca="true">IF(OR($D133&lt;&gt;"Serviço",AND(AUTOEVENTO="Manual",$M133=$A$15),$M133&gt;(ROW(PLE.lastrow)-ROW(PLE.firstrow))),0,
           IF(OFFSET(PLE!$G$15,$M133-$A$15,DK$13)="",10^12,OFFSET(PLE!$G$15,$M133-$A$15,DK$13)))</f>
        <v>1000000000000</v>
      </c>
      <c r="DL133" s="354" t="n">
        <f aca="true">IF(OR($D133&lt;&gt;"Serviço",AND(AUTOEVENTO="Manual",$M133=$A$15),$M133&gt;(ROW(PLE.lastrow)-ROW(PLE.firstrow))),0,
           IF(OFFSET(PLE!$G$15,$M133-$A$15,DL$13)="",10^12,OFFSET(PLE!$G$15,$M133-$A$15,DL$13)))</f>
        <v>1000000000000</v>
      </c>
      <c r="DM133" s="354" t="n">
        <f aca="true">IF(OR($D133&lt;&gt;"Serviço",AND(AUTOEVENTO="Manual",$M133=$A$15),$M133&gt;(ROW(PLE.lastrow)-ROW(PLE.firstrow))),0,
           IF(OFFSET(PLE!$G$15,$M133-$A$15,DM$13)="",10^12,OFFSET(PLE!$G$15,$M133-$A$15,DM$13)))</f>
        <v>1000000000000</v>
      </c>
      <c r="DN133" s="354" t="n">
        <f aca="true">IF(OR($D133&lt;&gt;"Serviço",AND(AUTOEVENTO="Manual",$M133=$A$15),$M133&gt;(ROW(PLE.lastrow)-ROW(PLE.firstrow))),0,
           IF(OFFSET(PLE!$G$15,$M133-$A$15,DN$13)="",10^12,OFFSET(PLE!$G$15,$M133-$A$15,DN$13)))</f>
        <v>1000000000000</v>
      </c>
      <c r="DO133" s="354" t="n">
        <f aca="true">IF(OR($D133&lt;&gt;"Serviço",AND(AUTOEVENTO="Manual",$M133=$A$15),$M133&gt;(ROW(PLE.lastrow)-ROW(PLE.firstrow))),0,
           IF(OFFSET(PLE!$G$15,$M133-$A$15,DO$13)="",10^12,OFFSET(PLE!$G$15,$M133-$A$15,DO$13)))</f>
        <v>1000000000000</v>
      </c>
      <c r="DP133" s="354" t="n">
        <f aca="true">IF(OR($D133&lt;&gt;"Serviço",AND(AUTOEVENTO="Manual",$M133=$A$15),$M133&gt;(ROW(PLE.lastrow)-ROW(PLE.firstrow))),0,
           IF(OFFSET(PLE!$G$15,$M133-$A$15,DP$13)="",10^12,OFFSET(PLE!$G$15,$M133-$A$15,DP$13)))</f>
        <v>1000000000000</v>
      </c>
      <c r="DQ133" s="354" t="n">
        <f aca="true">IF(OR($D133&lt;&gt;"Serviço",AND(AUTOEVENTO="Manual",$M133=$A$15),$M133&gt;(ROW(PLE.lastrow)-ROW(PLE.firstrow))),0,
           IF(OFFSET(PLE!$G$15,$M133-$A$15,DQ$13)="",10^12,OFFSET(PLE!$G$15,$M133-$A$15,DQ$13)))</f>
        <v>1000000000000</v>
      </c>
      <c r="DR133" s="354" t="n">
        <f aca="true">IF(OR($D133&lt;&gt;"Serviço",AND(AUTOEVENTO="Manual",$M133=$A$15),$M133&gt;(ROW(PLE.lastrow)-ROW(PLE.firstrow))),0,
           IF(OFFSET(PLE!$G$15,$M133-$A$15,DR$13)="",10^12,OFFSET(PLE!$G$15,$M133-$A$15,DR$13)))</f>
        <v>1000000000000</v>
      </c>
      <c r="DS133" s="354" t="n">
        <f aca="true">IF(OR($D133&lt;&gt;"Serviço",AND(AUTOEVENTO="Manual",$M133=$A$15),$M133&gt;(ROW(PLE.lastrow)-ROW(PLE.firstrow))),0,
           IF(OFFSET(PLE!$G$15,$M133-$A$15,DS$13)="",10^12,OFFSET(PLE!$G$15,$M133-$A$15,DS$13)))</f>
        <v>1000000000000</v>
      </c>
    </row>
    <row r="134" customFormat="false" ht="35.05" hidden="false" customHeight="false" outlineLevel="0" collapsed="false">
      <c r="A134" s="50" t="str">
        <f aca="true">IFERROR(IF(AUTOEVENTO="Manual",IF(K134&lt;&gt;"",MIN(VALUE(LEFT(K134,FIND(".",K134)-1)),COUNTA(EVENTOS.Lista)),0),IF(OR($B134&gt;AUTOEVENTO,$B134="S",$B134=0),SUBSTITUTE(OFFSET($A134,-1,0),IF($D134="Serviço",".",""),""),ROW(A134)-ROW($A$15)&amp;".")),0)</f>
        <v>117</v>
      </c>
      <c r="B134" s="50" t="str">
        <f aca="true">OFFSET(ORÇAMENTO!C$15,ROW(B134)-ROW(B$15),0)</f>
        <v>S</v>
      </c>
      <c r="C134" s="50" t="str">
        <f aca="true">OFFSET(ORÇAMENTO!L$15,ROW(C134)-ROW(C$15),0)</f>
        <v>F</v>
      </c>
      <c r="D134" s="201" t="str">
        <f aca="true">OFFSET(ORÇAMENTO!N$15,ROW(D134)-ROW(D$15),0)</f>
        <v>Serviço</v>
      </c>
      <c r="E134" s="202" t="str">
        <f aca="true">OFFSET(ORÇAMENTO!O$15,ROW(E134)-ROW(E$15),0)</f>
        <v>1.38.2.</v>
      </c>
      <c r="F134" s="341" t="str">
        <f aca="true">OFFSET(ORÇAMENTO!R$15,ROW(F134)-ROW(F$15),0)</f>
        <v>ELETRODUTO FLEXÍVEL CORRUGADO REFORÇADO, PVC, DN 32 MM (1"), PARA CIRCUITOS TERMINAIS, INSTALADO EM FORRO - FORNECIMENTO E INSTALAÇÃO. AF_03/2023</v>
      </c>
      <c r="G134" s="342" t="str">
        <f aca="true">IF($D134&lt;&gt;"Serviço","",OFFSET(ORÇAMENTO!S$15,ROW(G134)-ROW(G$15),0))</f>
        <v>M</v>
      </c>
      <c r="H134" s="207" t="n">
        <f aca="true">IF($D134&lt;&gt;"Serviço",0,IF(ACOMPANHAMENTO="BM",ROUND(OFFSET(ORÇAMENTO!AJ$15,ROW(H134)-ROW(H$15),0),15-13*ORÇAMENTO!$AF$7),SUMPRODUCT(($Q$1:$AQ$1=1)*ROUND($Q134:$AQ134,15-13*ORÇAMENTO!$AF$7))))</f>
        <v>325</v>
      </c>
      <c r="I134" s="343" t="s">
        <v>973</v>
      </c>
      <c r="J134" s="344" t="e">
        <f aca="false">IF(OR(B134&lt;&gt;"S",CÁLCULO.FrentesPreenchidas=0),"",IF(AND(ACOMPANHAMENTO="PLE",AUTOEVENTO="Manual",OR(H134&gt;0,ORÇAMENTO!AC134="QUANT."),OR(K134="",M134=0,N134="")),"►",IF(AND(ACOMPANHAMENTO="PLE",ORÇAMENTO!AC134="QUANT."),"►►",IF(AND(COUNTIF($P$11:$AQ$11,"▼")=0,H134&gt;0,I134=""),"◄",""))))</f>
        <v>#NAME?</v>
      </c>
      <c r="K134" s="345"/>
      <c r="L134" s="346" t="s">
        <v>876</v>
      </c>
      <c r="M134" s="347" t="n">
        <f aca="true">IF($D134&lt;&gt;"Serviço","",
          IF(AUTOEVENTO="manual",$A134,
                IF(ISERROR(MATCH($A134,$A$15:OFFSET($A134,-1,0),0)),MAX($M$15:OFFSET(M134,-1,0))+1,
                      INDEX($M$15:OFFSET(M134,-1,0),MATCH($A134,$A$15:OFFSET($A134,-1,0),0)))))</f>
        <v>23</v>
      </c>
      <c r="N134" s="348" t="str">
        <f aca="true">IF($D134&lt;&gt;"Serviço","",
         IF(AUTOEVENTO="Manual",
                IF($A134=0,"&lt;-- defina o número do agrupador",
                       OFFSET(EVENTOS!$D$15,$A134-$A$15,0)),
                OFFSET($F$15,$A134,0)))</f>
        <v>FIOS E CABOS</v>
      </c>
      <c r="O134" s="349"/>
      <c r="Q134" s="349" t="n">
        <v>13</v>
      </c>
      <c r="R134" s="350" t="n">
        <f aca="false">Q134</f>
        <v>13</v>
      </c>
      <c r="S134" s="350" t="n">
        <f aca="false">R134</f>
        <v>13</v>
      </c>
      <c r="T134" s="350" t="n">
        <f aca="false">S134</f>
        <v>13</v>
      </c>
      <c r="U134" s="350" t="n">
        <f aca="false">T134</f>
        <v>13</v>
      </c>
      <c r="V134" s="350" t="n">
        <f aca="false">U134</f>
        <v>13</v>
      </c>
      <c r="W134" s="350" t="n">
        <f aca="false">V134</f>
        <v>13</v>
      </c>
      <c r="X134" s="350" t="n">
        <f aca="false">W134</f>
        <v>13</v>
      </c>
      <c r="Y134" s="350" t="n">
        <f aca="false">X134</f>
        <v>13</v>
      </c>
      <c r="Z134" s="351" t="n">
        <f aca="false">Y134</f>
        <v>13</v>
      </c>
      <c r="AA134" s="350" t="n">
        <f aca="false">Z134</f>
        <v>13</v>
      </c>
      <c r="AB134" s="350" t="n">
        <f aca="false">AA134</f>
        <v>13</v>
      </c>
      <c r="AC134" s="350" t="n">
        <f aca="false">AB134</f>
        <v>13</v>
      </c>
      <c r="AD134" s="350" t="n">
        <f aca="false">AC134</f>
        <v>13</v>
      </c>
      <c r="AE134" s="350" t="n">
        <f aca="false">AD134</f>
        <v>13</v>
      </c>
      <c r="AF134" s="350" t="n">
        <f aca="false">AE134</f>
        <v>13</v>
      </c>
      <c r="AG134" s="350" t="n">
        <f aca="false">AF134</f>
        <v>13</v>
      </c>
      <c r="AH134" s="351" t="n">
        <f aca="false">AG134</f>
        <v>13</v>
      </c>
      <c r="AI134" s="350" t="n">
        <f aca="false">AH134</f>
        <v>13</v>
      </c>
      <c r="AJ134" s="350" t="n">
        <f aca="false">AI134</f>
        <v>13</v>
      </c>
      <c r="AK134" s="350" t="n">
        <f aca="false">AJ134</f>
        <v>13</v>
      </c>
      <c r="AL134" s="350" t="n">
        <f aca="false">AK134</f>
        <v>13</v>
      </c>
      <c r="AM134" s="350" t="n">
        <f aca="false">AL134</f>
        <v>13</v>
      </c>
      <c r="AN134" s="350" t="n">
        <f aca="false">AM134</f>
        <v>13</v>
      </c>
      <c r="AO134" s="350" t="n">
        <f aca="false">AN134</f>
        <v>13</v>
      </c>
      <c r="AP134" s="351"/>
      <c r="AR134" s="352" t="n">
        <f aca="true">IF(AND($D134="Serviço",AR$12&lt;&gt;0,$H134&gt;0,OR(AUTOEVENTO&lt;&gt;"manual",$M134&lt;&gt;$A$15)),
        IF(Import.TipoArredondamento&lt;&gt;"TransfereGOV",
              ROUND(OFFSET($P134,0,AR$13),15-13*ORÇAMENTO!$AF$7)/$H134*OFFSET(ORÇAMENTO!$X$15,ROW(AR134)-ROW(AR$15),0),
              ROUND(ROUND(OFFSET($P134,0,AR$13),15-13*ORÇAMENTO!$AF$7)*OFFSET(ORÇAMENTO!$W$15,ROW(AR134)-ROW(AR$15),0),15-13*ORÇAMENTO!$AF$11)),
         0)</f>
        <v>419.77</v>
      </c>
      <c r="AS134" s="352" t="n">
        <f aca="true">IF(AND($D134="Serviço",AS$12&lt;&gt;0,$H134&gt;0,OR(AUTOEVENTO&lt;&gt;"manual",$M134&lt;&gt;$A$15)),
        IF(Import.TipoArredondamento&lt;&gt;"TransfereGOV",
              ROUND(OFFSET($P134,0,AS$13),15-13*ORÇAMENTO!$AF$7)/$H134*OFFSET(ORÇAMENTO!$X$15,ROW(AS134)-ROW(AS$15),0),
              ROUND(ROUND(OFFSET($P134,0,AS$13),15-13*ORÇAMENTO!$AF$7)*OFFSET(ORÇAMENTO!$W$15,ROW(AS134)-ROW(AS$15),0),15-13*ORÇAMENTO!$AF$11)),
         0)</f>
        <v>419.77</v>
      </c>
      <c r="AT134" s="352" t="n">
        <f aca="true">IF(AND($D134="Serviço",AT$12&lt;&gt;0,$H134&gt;0,OR(AUTOEVENTO&lt;&gt;"manual",$M134&lt;&gt;$A$15)),
        IF(Import.TipoArredondamento&lt;&gt;"TransfereGOV",
              ROUND(OFFSET($P134,0,AT$13),15-13*ORÇAMENTO!$AF$7)/$H134*OFFSET(ORÇAMENTO!$X$15,ROW(AT134)-ROW(AT$15),0),
              ROUND(ROUND(OFFSET($P134,0,AT$13),15-13*ORÇAMENTO!$AF$7)*OFFSET(ORÇAMENTO!$W$15,ROW(AT134)-ROW(AT$15),0),15-13*ORÇAMENTO!$AF$11)),
         0)</f>
        <v>419.77</v>
      </c>
      <c r="AU134" s="352" t="n">
        <f aca="true">IF(AND($D134="Serviço",AU$12&lt;&gt;0,$H134&gt;0,OR(AUTOEVENTO&lt;&gt;"manual",$M134&lt;&gt;$A$15)),
        IF(Import.TipoArredondamento&lt;&gt;"TransfereGOV",
              ROUND(OFFSET($P134,0,AU$13),15-13*ORÇAMENTO!$AF$7)/$H134*OFFSET(ORÇAMENTO!$X$15,ROW(AU134)-ROW(AU$15),0),
              ROUND(ROUND(OFFSET($P134,0,AU$13),15-13*ORÇAMENTO!$AF$7)*OFFSET(ORÇAMENTO!$W$15,ROW(AU134)-ROW(AU$15),0),15-13*ORÇAMENTO!$AF$11)),
         0)</f>
        <v>419.77</v>
      </c>
      <c r="AV134" s="352" t="n">
        <f aca="true">IF(AND($D134="Serviço",AV$12&lt;&gt;0,$H134&gt;0,OR(AUTOEVENTO&lt;&gt;"manual",$M134&lt;&gt;$A$15)),
        IF(Import.TipoArredondamento&lt;&gt;"TransfereGOV",
              ROUND(OFFSET($P134,0,AV$13),15-13*ORÇAMENTO!$AF$7)/$H134*OFFSET(ORÇAMENTO!$X$15,ROW(AV134)-ROW(AV$15),0),
              ROUND(ROUND(OFFSET($P134,0,AV$13),15-13*ORÇAMENTO!$AF$7)*OFFSET(ORÇAMENTO!$W$15,ROW(AV134)-ROW(AV$15),0),15-13*ORÇAMENTO!$AF$11)),
         0)</f>
        <v>419.77</v>
      </c>
      <c r="AW134" s="352" t="n">
        <f aca="true">IF(AND($D134="Serviço",AW$12&lt;&gt;0,$H134&gt;0,OR(AUTOEVENTO&lt;&gt;"manual",$M134&lt;&gt;$A$15)),
        IF(Import.TipoArredondamento&lt;&gt;"TransfereGOV",
              ROUND(OFFSET($P134,0,AW$13),15-13*ORÇAMENTO!$AF$7)/$H134*OFFSET(ORÇAMENTO!$X$15,ROW(AW134)-ROW(AW$15),0),
              ROUND(ROUND(OFFSET($P134,0,AW$13),15-13*ORÇAMENTO!$AF$7)*OFFSET(ORÇAMENTO!$W$15,ROW(AW134)-ROW(AW$15),0),15-13*ORÇAMENTO!$AF$11)),
         0)</f>
        <v>419.77</v>
      </c>
      <c r="AX134" s="352" t="n">
        <f aca="true">IF(AND($D134="Serviço",AX$12&lt;&gt;0,$H134&gt;0,OR(AUTOEVENTO&lt;&gt;"manual",$M134&lt;&gt;$A$15)),
        IF(Import.TipoArredondamento&lt;&gt;"TransfereGOV",
              ROUND(OFFSET($P134,0,AX$13),15-13*ORÇAMENTO!$AF$7)/$H134*OFFSET(ORÇAMENTO!$X$15,ROW(AX134)-ROW(AX$15),0),
              ROUND(ROUND(OFFSET($P134,0,AX$13),15-13*ORÇAMENTO!$AF$7)*OFFSET(ORÇAMENTO!$W$15,ROW(AX134)-ROW(AX$15),0),15-13*ORÇAMENTO!$AF$11)),
         0)</f>
        <v>419.77</v>
      </c>
      <c r="AY134" s="352" t="n">
        <f aca="true">IF(AND($D134="Serviço",AY$12&lt;&gt;0,$H134&gt;0,OR(AUTOEVENTO&lt;&gt;"manual",$M134&lt;&gt;$A$15)),
        IF(Import.TipoArredondamento&lt;&gt;"TransfereGOV",
              ROUND(OFFSET($P134,0,AY$13),15-13*ORÇAMENTO!$AF$7)/$H134*OFFSET(ORÇAMENTO!$X$15,ROW(AY134)-ROW(AY$15),0),
              ROUND(ROUND(OFFSET($P134,0,AY$13),15-13*ORÇAMENTO!$AF$7)*OFFSET(ORÇAMENTO!$W$15,ROW(AY134)-ROW(AY$15),0),15-13*ORÇAMENTO!$AF$11)),
         0)</f>
        <v>419.77</v>
      </c>
      <c r="AZ134" s="352" t="n">
        <f aca="true">IF(AND($D134="Serviço",AZ$12&lt;&gt;0,$H134&gt;0,OR(AUTOEVENTO&lt;&gt;"manual",$M134&lt;&gt;$A$15)),
        IF(Import.TipoArredondamento&lt;&gt;"TransfereGOV",
              ROUND(OFFSET($P134,0,AZ$13),15-13*ORÇAMENTO!$AF$7)/$H134*OFFSET(ORÇAMENTO!$X$15,ROW(AZ134)-ROW(AZ$15),0),
              ROUND(ROUND(OFFSET($P134,0,AZ$13),15-13*ORÇAMENTO!$AF$7)*OFFSET(ORÇAMENTO!$W$15,ROW(AZ134)-ROW(AZ$15),0),15-13*ORÇAMENTO!$AF$11)),
         0)</f>
        <v>419.77</v>
      </c>
      <c r="BA134" s="352" t="n">
        <f aca="true">IF(AND($D134="Serviço",BA$12&lt;&gt;0,$H134&gt;0,OR(AUTOEVENTO&lt;&gt;"manual",$M134&lt;&gt;$A$15)),
        IF(Import.TipoArredondamento&lt;&gt;"TransfereGOV",
              ROUND(OFFSET($P134,0,BA$13),15-13*ORÇAMENTO!$AF$7)/$H134*OFFSET(ORÇAMENTO!$X$15,ROW(BA134)-ROW(BA$15),0),
              ROUND(ROUND(OFFSET($P134,0,BA$13),15-13*ORÇAMENTO!$AF$7)*OFFSET(ORÇAMENTO!$W$15,ROW(BA134)-ROW(BA$15),0),15-13*ORÇAMENTO!$AF$11)),
         0)</f>
        <v>419.77</v>
      </c>
      <c r="BB134" s="352" t="n">
        <f aca="true">IF(AND($D134="Serviço",BB$12&lt;&gt;0,$H134&gt;0,OR(AUTOEVENTO&lt;&gt;"manual",$M134&lt;&gt;$A$15)),
        IF(Import.TipoArredondamento&lt;&gt;"TransfereGOV",
              ROUND(OFFSET($P134,0,BB$13),15-13*ORÇAMENTO!$AF$7)/$H134*OFFSET(ORÇAMENTO!$X$15,ROW(BB134)-ROW(BB$15),0),
              ROUND(ROUND(OFFSET($P134,0,BB$13),15-13*ORÇAMENTO!$AF$7)*OFFSET(ORÇAMENTO!$W$15,ROW(BB134)-ROW(BB$15),0),15-13*ORÇAMENTO!$AF$11)),
         0)</f>
        <v>419.77</v>
      </c>
      <c r="BC134" s="352" t="n">
        <f aca="true">IF(AND($D134="Serviço",BC$12&lt;&gt;0,$H134&gt;0,OR(AUTOEVENTO&lt;&gt;"manual",$M134&lt;&gt;$A$15)),
        IF(Import.TipoArredondamento&lt;&gt;"TransfereGOV",
              ROUND(OFFSET($P134,0,BC$13),15-13*ORÇAMENTO!$AF$7)/$H134*OFFSET(ORÇAMENTO!$X$15,ROW(BC134)-ROW(BC$15),0),
              ROUND(ROUND(OFFSET($P134,0,BC$13),15-13*ORÇAMENTO!$AF$7)*OFFSET(ORÇAMENTO!$W$15,ROW(BC134)-ROW(BC$15),0),15-13*ORÇAMENTO!$AF$11)),
         0)</f>
        <v>419.77</v>
      </c>
      <c r="BD134" s="352" t="n">
        <f aca="true">IF(AND($D134="Serviço",BD$12&lt;&gt;0,$H134&gt;0,OR(AUTOEVENTO&lt;&gt;"manual",$M134&lt;&gt;$A$15)),
        IF(Import.TipoArredondamento&lt;&gt;"TransfereGOV",
              ROUND(OFFSET($P134,0,BD$13),15-13*ORÇAMENTO!$AF$7)/$H134*OFFSET(ORÇAMENTO!$X$15,ROW(BD134)-ROW(BD$15),0),
              ROUND(ROUND(OFFSET($P134,0,BD$13),15-13*ORÇAMENTO!$AF$7)*OFFSET(ORÇAMENTO!$W$15,ROW(BD134)-ROW(BD$15),0),15-13*ORÇAMENTO!$AF$11)),
         0)</f>
        <v>419.77</v>
      </c>
      <c r="BE134" s="352" t="n">
        <f aca="true">IF(AND($D134="Serviço",BE$12&lt;&gt;0,$H134&gt;0,OR(AUTOEVENTO&lt;&gt;"manual",$M134&lt;&gt;$A$15)),
        IF(Import.TipoArredondamento&lt;&gt;"TransfereGOV",
              ROUND(OFFSET($P134,0,BE$13),15-13*ORÇAMENTO!$AF$7)/$H134*OFFSET(ORÇAMENTO!$X$15,ROW(BE134)-ROW(BE$15),0),
              ROUND(ROUND(OFFSET($P134,0,BE$13),15-13*ORÇAMENTO!$AF$7)*OFFSET(ORÇAMENTO!$W$15,ROW(BE134)-ROW(BE$15),0),15-13*ORÇAMENTO!$AF$11)),
         0)</f>
        <v>419.77</v>
      </c>
      <c r="BF134" s="352" t="n">
        <f aca="true">IF(AND($D134="Serviço",BF$12&lt;&gt;0,$H134&gt;0,OR(AUTOEVENTO&lt;&gt;"manual",$M134&lt;&gt;$A$15)),
        IF(Import.TipoArredondamento&lt;&gt;"TransfereGOV",
              ROUND(OFFSET($P134,0,BF$13),15-13*ORÇAMENTO!$AF$7)/$H134*OFFSET(ORÇAMENTO!$X$15,ROW(BF134)-ROW(BF$15),0),
              ROUND(ROUND(OFFSET($P134,0,BF$13),15-13*ORÇAMENTO!$AF$7)*OFFSET(ORÇAMENTO!$W$15,ROW(BF134)-ROW(BF$15),0),15-13*ORÇAMENTO!$AF$11)),
         0)</f>
        <v>419.77</v>
      </c>
      <c r="BG134" s="352" t="n">
        <f aca="true">IF(AND($D134="Serviço",BG$12&lt;&gt;0,$H134&gt;0,OR(AUTOEVENTO&lt;&gt;"manual",$M134&lt;&gt;$A$15)),
        IF(Import.TipoArredondamento&lt;&gt;"TransfereGOV",
              ROUND(OFFSET($P134,0,BG$13),15-13*ORÇAMENTO!$AF$7)/$H134*OFFSET(ORÇAMENTO!$X$15,ROW(BG134)-ROW(BG$15),0),
              ROUND(ROUND(OFFSET($P134,0,BG$13),15-13*ORÇAMENTO!$AF$7)*OFFSET(ORÇAMENTO!$W$15,ROW(BG134)-ROW(BG$15),0),15-13*ORÇAMENTO!$AF$11)),
         0)</f>
        <v>419.77</v>
      </c>
      <c r="BH134" s="352" t="n">
        <f aca="true">IF(AND($D134="Serviço",BH$12&lt;&gt;0,$H134&gt;0,OR(AUTOEVENTO&lt;&gt;"manual",$M134&lt;&gt;$A$15)),
        IF(Import.TipoArredondamento&lt;&gt;"TransfereGOV",
              ROUND(OFFSET($P134,0,BH$13),15-13*ORÇAMENTO!$AF$7)/$H134*OFFSET(ORÇAMENTO!$X$15,ROW(BH134)-ROW(BH$15),0),
              ROUND(ROUND(OFFSET($P134,0,BH$13),15-13*ORÇAMENTO!$AF$7)*OFFSET(ORÇAMENTO!$W$15,ROW(BH134)-ROW(BH$15),0),15-13*ORÇAMENTO!$AF$11)),
         0)</f>
        <v>419.77</v>
      </c>
      <c r="BI134" s="352" t="n">
        <f aca="true">IF(AND($D134="Serviço",BI$12&lt;&gt;0,$H134&gt;0,OR(AUTOEVENTO&lt;&gt;"manual",$M134&lt;&gt;$A$15)),
        IF(Import.TipoArredondamento&lt;&gt;"TransfereGOV",
              ROUND(OFFSET($P134,0,BI$13),15-13*ORÇAMENTO!$AF$7)/$H134*OFFSET(ORÇAMENTO!$X$15,ROW(BI134)-ROW(BI$15),0),
              ROUND(ROUND(OFFSET($P134,0,BI$13),15-13*ORÇAMENTO!$AF$7)*OFFSET(ORÇAMENTO!$W$15,ROW(BI134)-ROW(BI$15),0),15-13*ORÇAMENTO!$AF$11)),
         0)</f>
        <v>419.77</v>
      </c>
      <c r="BJ134" s="352" t="n">
        <f aca="true">IF(AND($D134="Serviço",BJ$12&lt;&gt;0,$H134&gt;0,OR(AUTOEVENTO&lt;&gt;"manual",$M134&lt;&gt;$A$15)),
        IF(Import.TipoArredondamento&lt;&gt;"TransfereGOV",
              ROUND(OFFSET($P134,0,BJ$13),15-13*ORÇAMENTO!$AF$7)/$H134*OFFSET(ORÇAMENTO!$X$15,ROW(BJ134)-ROW(BJ$15),0),
              ROUND(ROUND(OFFSET($P134,0,BJ$13),15-13*ORÇAMENTO!$AF$7)*OFFSET(ORÇAMENTO!$W$15,ROW(BJ134)-ROW(BJ$15),0),15-13*ORÇAMENTO!$AF$11)),
         0)</f>
        <v>419.77</v>
      </c>
      <c r="BK134" s="352" t="n">
        <f aca="true">IF(AND($D134="Serviço",BK$12&lt;&gt;0,$H134&gt;0,OR(AUTOEVENTO&lt;&gt;"manual",$M134&lt;&gt;$A$15)),
        IF(Import.TipoArredondamento&lt;&gt;"TransfereGOV",
              ROUND(OFFSET($P134,0,BK$13),15-13*ORÇAMENTO!$AF$7)/$H134*OFFSET(ORÇAMENTO!$X$15,ROW(BK134)-ROW(BK$15),0),
              ROUND(ROUND(OFFSET($P134,0,BK$13),15-13*ORÇAMENTO!$AF$7)*OFFSET(ORÇAMENTO!$W$15,ROW(BK134)-ROW(BK$15),0),15-13*ORÇAMENTO!$AF$11)),
         0)</f>
        <v>419.77</v>
      </c>
      <c r="BL134" s="352" t="n">
        <f aca="true">IF(AND($D134="Serviço",BL$12&lt;&gt;0,$H134&gt;0,OR(AUTOEVENTO&lt;&gt;"manual",$M134&lt;&gt;$A$15)),
        IF(Import.TipoArredondamento&lt;&gt;"TransfereGOV",
              ROUND(OFFSET($P134,0,BL$13),15-13*ORÇAMENTO!$AF$7)/$H134*OFFSET(ORÇAMENTO!$X$15,ROW(BL134)-ROW(BL$15),0),
              ROUND(ROUND(OFFSET($P134,0,BL$13),15-13*ORÇAMENTO!$AF$7)*OFFSET(ORÇAMENTO!$W$15,ROW(BL134)-ROW(BL$15),0),15-13*ORÇAMENTO!$AF$11)),
         0)</f>
        <v>419.77</v>
      </c>
      <c r="BM134" s="352" t="n">
        <f aca="true">IF(AND($D134="Serviço",BM$12&lt;&gt;0,$H134&gt;0,OR(AUTOEVENTO&lt;&gt;"manual",$M134&lt;&gt;$A$15)),
        IF(Import.TipoArredondamento&lt;&gt;"TransfereGOV",
              ROUND(OFFSET($P134,0,BM$13),15-13*ORÇAMENTO!$AF$7)/$H134*OFFSET(ORÇAMENTO!$X$15,ROW(BM134)-ROW(BM$15),0),
              ROUND(ROUND(OFFSET($P134,0,BM$13),15-13*ORÇAMENTO!$AF$7)*OFFSET(ORÇAMENTO!$W$15,ROW(BM134)-ROW(BM$15),0),15-13*ORÇAMENTO!$AF$11)),
         0)</f>
        <v>419.77</v>
      </c>
      <c r="BN134" s="352" t="n">
        <f aca="true">IF(AND($D134="Serviço",BN$12&lt;&gt;0,$H134&gt;0,OR(AUTOEVENTO&lt;&gt;"manual",$M134&lt;&gt;$A$15)),
        IF(Import.TipoArredondamento&lt;&gt;"TransfereGOV",
              ROUND(OFFSET($P134,0,BN$13),15-13*ORÇAMENTO!$AF$7)/$H134*OFFSET(ORÇAMENTO!$X$15,ROW(BN134)-ROW(BN$15),0),
              ROUND(ROUND(OFFSET($P134,0,BN$13),15-13*ORÇAMENTO!$AF$7)*OFFSET(ORÇAMENTO!$W$15,ROW(BN134)-ROW(BN$15),0),15-13*ORÇAMENTO!$AF$11)),
         0)</f>
        <v>419.77</v>
      </c>
      <c r="BO134" s="352" t="n">
        <f aca="true">IF(AND($D134="Serviço",BO$12&lt;&gt;0,$H134&gt;0,OR(AUTOEVENTO&lt;&gt;"manual",$M134&lt;&gt;$A$15)),
        IF(Import.TipoArredondamento&lt;&gt;"TransfereGOV",
              ROUND(OFFSET($P134,0,BO$13),15-13*ORÇAMENTO!$AF$7)/$H134*OFFSET(ORÇAMENTO!$X$15,ROW(BO134)-ROW(BO$15),0),
              ROUND(ROUND(OFFSET($P134,0,BO$13),15-13*ORÇAMENTO!$AF$7)*OFFSET(ORÇAMENTO!$W$15,ROW(BO134)-ROW(BO$15),0),15-13*ORÇAMENTO!$AF$11)),
         0)</f>
        <v>419.77</v>
      </c>
      <c r="BP134" s="352" t="n">
        <f aca="true">IF(AND($D134="Serviço",BP$12&lt;&gt;0,$H134&gt;0,OR(AUTOEVENTO&lt;&gt;"manual",$M134&lt;&gt;$A$15)),
        IF(Import.TipoArredondamento&lt;&gt;"TransfereGOV",
              ROUND(OFFSET($P134,0,BP$13),15-13*ORÇAMENTO!$AF$7)/$H134*OFFSET(ORÇAMENTO!$X$15,ROW(BP134)-ROW(BP$15),0),
              ROUND(ROUND(OFFSET($P134,0,BP$13),15-13*ORÇAMENTO!$AF$7)*OFFSET(ORÇAMENTO!$W$15,ROW(BP134)-ROW(BP$15),0),15-13*ORÇAMENTO!$AF$11)),
         0)</f>
        <v>419.77</v>
      </c>
      <c r="BQ134" s="352" t="n">
        <f aca="true">IF(AND($D134="Serviço",BQ$12&lt;&gt;0,$H134&gt;0,OR(AUTOEVENTO&lt;&gt;"manual",$M134&lt;&gt;$A$15)),
        IF(Import.TipoArredondamento&lt;&gt;"TransfereGOV",
              ROUND(OFFSET($P134,0,BQ$13),15-13*ORÇAMENTO!$AF$7)/$H134*OFFSET(ORÇAMENTO!$X$15,ROW(BQ134)-ROW(BQ$15),0),
              ROUND(ROUND(OFFSET($P134,0,BQ$13),15-13*ORÇAMENTO!$AF$7)*OFFSET(ORÇAMENTO!$W$15,ROW(BQ134)-ROW(BQ$15),0),15-13*ORÇAMENTO!$AF$11)),
         0)</f>
        <v>0</v>
      </c>
      <c r="BS134" s="353" t="n">
        <f aca="true">IF(OR($D134&lt;&gt;"Serviço",AND(AUTOEVENTO="Manual",$M134=$A$15)),0,
         IF(OFFSET(CRONOPLE!$F$15,$M134-$A$15,BS$13)=0,10^12,OFFSET(CRONOPLE!$F$15,$M134-$A$15,BS$13)))</f>
        <v>1</v>
      </c>
      <c r="BT134" s="353" t="n">
        <f aca="true">IF(OR($D134&lt;&gt;"Serviço",AND(AUTOEVENTO="Manual",$M134=$A$15)),0,
         IF(OFFSET(CRONOPLE!$F$15,$M134-$A$15,BT$13)=0,10^12,OFFSET(CRONOPLE!$F$15,$M134-$A$15,BT$13)))</f>
        <v>2</v>
      </c>
      <c r="BU134" s="353" t="n">
        <f aca="true">IF(OR($D134&lt;&gt;"Serviço",AND(AUTOEVENTO="Manual",$M134=$A$15)),0,
         IF(OFFSET(CRONOPLE!$F$15,$M134-$A$15,BU$13)=0,10^12,OFFSET(CRONOPLE!$F$15,$M134-$A$15,BU$13)))</f>
        <v>3</v>
      </c>
      <c r="BV134" s="353" t="n">
        <f aca="true">IF(OR($D134&lt;&gt;"Serviço",AND(AUTOEVENTO="Manual",$M134=$A$15)),0,
         IF(OFFSET(CRONOPLE!$F$15,$M134-$A$15,BV$13)=0,10^12,OFFSET(CRONOPLE!$F$15,$M134-$A$15,BV$13)))</f>
        <v>4</v>
      </c>
      <c r="BW134" s="353" t="n">
        <f aca="true">IF(OR($D134&lt;&gt;"Serviço",AND(AUTOEVENTO="Manual",$M134=$A$15)),0,
         IF(OFFSET(CRONOPLE!$F$15,$M134-$A$15,BW$13)=0,10^12,OFFSET(CRONOPLE!$F$15,$M134-$A$15,BW$13)))</f>
        <v>5</v>
      </c>
      <c r="BX134" s="353" t="n">
        <f aca="true">IF(OR($D134&lt;&gt;"Serviço",AND(AUTOEVENTO="Manual",$M134=$A$15)),0,
         IF(OFFSET(CRONOPLE!$F$15,$M134-$A$15,BX$13)=0,10^12,OFFSET(CRONOPLE!$F$15,$M134-$A$15,BX$13)))</f>
        <v>6</v>
      </c>
      <c r="BY134" s="353" t="n">
        <f aca="true">IF(OR($D134&lt;&gt;"Serviço",AND(AUTOEVENTO="Manual",$M134=$A$15)),0,
         IF(OFFSET(CRONOPLE!$F$15,$M134-$A$15,BY$13)=0,10^12,OFFSET(CRONOPLE!$F$15,$M134-$A$15,BY$13)))</f>
        <v>7</v>
      </c>
      <c r="BZ134" s="353" t="n">
        <f aca="true">IF(OR($D134&lt;&gt;"Serviço",AND(AUTOEVENTO="Manual",$M134=$A$15)),0,
         IF(OFFSET(CRONOPLE!$F$15,$M134-$A$15,BZ$13)=0,10^12,OFFSET(CRONOPLE!$F$15,$M134-$A$15,BZ$13)))</f>
        <v>8</v>
      </c>
      <c r="CA134" s="353" t="n">
        <f aca="true">IF(OR($D134&lt;&gt;"Serviço",AND(AUTOEVENTO="Manual",$M134=$A$15)),0,
         IF(OFFSET(CRONOPLE!$F$15,$M134-$A$15,CA$13)=0,10^12,OFFSET(CRONOPLE!$F$15,$M134-$A$15,CA$13)))</f>
        <v>9</v>
      </c>
      <c r="CB134" s="353" t="n">
        <f aca="true">IF(OR($D134&lt;&gt;"Serviço",AND(AUTOEVENTO="Manual",$M134=$A$15)),0,
         IF(OFFSET(CRONOPLE!$F$15,$M134-$A$15,CB$13)=0,10^12,OFFSET(CRONOPLE!$F$15,$M134-$A$15,CB$13)))</f>
        <v>10</v>
      </c>
      <c r="CC134" s="353" t="n">
        <f aca="true">IF(OR($D134&lt;&gt;"Serviço",AND(AUTOEVENTO="Manual",$M134=$A$15)),0,
         IF(OFFSET(CRONOPLE!$F$15,$M134-$A$15,CC$13)=0,10^12,OFFSET(CRONOPLE!$F$15,$M134-$A$15,CC$13)))</f>
        <v>11</v>
      </c>
      <c r="CD134" s="353" t="n">
        <f aca="true">IF(OR($D134&lt;&gt;"Serviço",AND(AUTOEVENTO="Manual",$M134=$A$15)),0,
         IF(OFFSET(CRONOPLE!$F$15,$M134-$A$15,CD$13)=0,10^12,OFFSET(CRONOPLE!$F$15,$M134-$A$15,CD$13)))</f>
        <v>12</v>
      </c>
      <c r="CE134" s="353" t="n">
        <f aca="true">IF(OR($D134&lt;&gt;"Serviço",AND(AUTOEVENTO="Manual",$M134=$A$15)),0,
         IF(OFFSET(CRONOPLE!$F$15,$M134-$A$15,CE$13)=0,10^12,OFFSET(CRONOPLE!$F$15,$M134-$A$15,CE$13)))</f>
        <v>13</v>
      </c>
      <c r="CF134" s="353" t="n">
        <f aca="true">IF(OR($D134&lt;&gt;"Serviço",AND(AUTOEVENTO="Manual",$M134=$A$15)),0,
         IF(OFFSET(CRONOPLE!$F$15,$M134-$A$15,CF$13)=0,10^12,OFFSET(CRONOPLE!$F$15,$M134-$A$15,CF$13)))</f>
        <v>14</v>
      </c>
      <c r="CG134" s="353" t="n">
        <f aca="true">IF(OR($D134&lt;&gt;"Serviço",AND(AUTOEVENTO="Manual",$M134=$A$15)),0,
         IF(OFFSET(CRONOPLE!$F$15,$M134-$A$15,CG$13)=0,10^12,OFFSET(CRONOPLE!$F$15,$M134-$A$15,CG$13)))</f>
        <v>15</v>
      </c>
      <c r="CH134" s="353" t="n">
        <f aca="true">IF(OR($D134&lt;&gt;"Serviço",AND(AUTOEVENTO="Manual",$M134=$A$15)),0,
         IF(OFFSET(CRONOPLE!$F$15,$M134-$A$15,CH$13)=0,10^12,OFFSET(CRONOPLE!$F$15,$M134-$A$15,CH$13)))</f>
        <v>16</v>
      </c>
      <c r="CI134" s="353" t="n">
        <f aca="true">IF(OR($D134&lt;&gt;"Serviço",AND(AUTOEVENTO="Manual",$M134=$A$15)),0,
         IF(OFFSET(CRONOPLE!$F$15,$M134-$A$15,CI$13)=0,10^12,OFFSET(CRONOPLE!$F$15,$M134-$A$15,CI$13)))</f>
        <v>17</v>
      </c>
      <c r="CJ134" s="353" t="n">
        <f aca="true">IF(OR($D134&lt;&gt;"Serviço",AND(AUTOEVENTO="Manual",$M134=$A$15)),0,
         IF(OFFSET(CRONOPLE!$F$15,$M134-$A$15,CJ$13)=0,10^12,OFFSET(CRONOPLE!$F$15,$M134-$A$15,CJ$13)))</f>
        <v>18</v>
      </c>
      <c r="CK134" s="353" t="n">
        <f aca="true">IF(OR($D134&lt;&gt;"Serviço",AND(AUTOEVENTO="Manual",$M134=$A$15)),0,
         IF(OFFSET(CRONOPLE!$F$15,$M134-$A$15,CK$13)=0,10^12,OFFSET(CRONOPLE!$F$15,$M134-$A$15,CK$13)))</f>
        <v>19</v>
      </c>
      <c r="CL134" s="353" t="n">
        <f aca="true">IF(OR($D134&lt;&gt;"Serviço",AND(AUTOEVENTO="Manual",$M134=$A$15)),0,
         IF(OFFSET(CRONOPLE!$F$15,$M134-$A$15,CL$13)=0,10^12,OFFSET(CRONOPLE!$F$15,$M134-$A$15,CL$13)))</f>
        <v>20</v>
      </c>
      <c r="CM134" s="353" t="n">
        <f aca="true">IF(OR($D134&lt;&gt;"Serviço",AND(AUTOEVENTO="Manual",$M134=$A$15)),0,
         IF(OFFSET(CRONOPLE!$F$15,$M134-$A$15,CM$13)=0,10^12,OFFSET(CRONOPLE!$F$15,$M134-$A$15,CM$13)))</f>
        <v>21</v>
      </c>
      <c r="CN134" s="353" t="n">
        <f aca="true">IF(OR($D134&lt;&gt;"Serviço",AND(AUTOEVENTO="Manual",$M134=$A$15)),0,
         IF(OFFSET(CRONOPLE!$F$15,$M134-$A$15,CN$13)=0,10^12,OFFSET(CRONOPLE!$F$15,$M134-$A$15,CN$13)))</f>
        <v>22</v>
      </c>
      <c r="CO134" s="353" t="n">
        <f aca="true">IF(OR($D134&lt;&gt;"Serviço",AND(AUTOEVENTO="Manual",$M134=$A$15)),0,
         IF(OFFSET(CRONOPLE!$F$15,$M134-$A$15,CO$13)=0,10^12,OFFSET(CRONOPLE!$F$15,$M134-$A$15,CO$13)))</f>
        <v>23</v>
      </c>
      <c r="CP134" s="353" t="n">
        <f aca="true">IF(OR($D134&lt;&gt;"Serviço",AND(AUTOEVENTO="Manual",$M134=$A$15)),0,
         IF(OFFSET(CRONOPLE!$F$15,$M134-$A$15,CP$13)=0,10^12,OFFSET(CRONOPLE!$F$15,$M134-$A$15,CP$13)))</f>
        <v>24</v>
      </c>
      <c r="CQ134" s="353" t="n">
        <f aca="true">IF(OR($D134&lt;&gt;"Serviço",AND(AUTOEVENTO="Manual",$M134=$A$15)),0,
         IF(OFFSET(CRONOPLE!$F$15,$M134-$A$15,CQ$13)=0,10^12,OFFSET(CRONOPLE!$F$15,$M134-$A$15,CQ$13)))</f>
        <v>25</v>
      </c>
      <c r="CR134" s="353" t="n">
        <f aca="true">IF(OR($D134&lt;&gt;"Serviço",AND(AUTOEVENTO="Manual",$M134=$A$15)),0,
         IF(OFFSET(CRONOPLE!$F$15,$M134-$A$15,CR$13)=0,10^12,OFFSET(CRONOPLE!$F$15,$M134-$A$15,CR$13)))</f>
        <v>1000000000000</v>
      </c>
      <c r="CT134" s="354" t="n">
        <f aca="true">IF(OR($D134&lt;&gt;"Serviço",AND(AUTOEVENTO="Manual",$M134=$A$15),$M134&gt;(ROW(PLE.lastrow)-ROW(PLE.firstrow))),0,
           IF(OFFSET(PLE!$G$15,$M134-$A$15,CT$13)="",10^12,OFFSET(PLE!$G$15,$M134-$A$15,CT$13)))</f>
        <v>1000000000000</v>
      </c>
      <c r="CU134" s="354" t="n">
        <f aca="true">IF(OR($D134&lt;&gt;"Serviço",AND(AUTOEVENTO="Manual",$M134=$A$15),$M134&gt;(ROW(PLE.lastrow)-ROW(PLE.firstrow))),0,
           IF(OFFSET(PLE!$G$15,$M134-$A$15,CU$13)="",10^12,OFFSET(PLE!$G$15,$M134-$A$15,CU$13)))</f>
        <v>1000000000000</v>
      </c>
      <c r="CV134" s="354" t="n">
        <f aca="true">IF(OR($D134&lt;&gt;"Serviço",AND(AUTOEVENTO="Manual",$M134=$A$15),$M134&gt;(ROW(PLE.lastrow)-ROW(PLE.firstrow))),0,
           IF(OFFSET(PLE!$G$15,$M134-$A$15,CV$13)="",10^12,OFFSET(PLE!$G$15,$M134-$A$15,CV$13)))</f>
        <v>1000000000000</v>
      </c>
      <c r="CW134" s="354" t="n">
        <f aca="true">IF(OR($D134&lt;&gt;"Serviço",AND(AUTOEVENTO="Manual",$M134=$A$15),$M134&gt;(ROW(PLE.lastrow)-ROW(PLE.firstrow))),0,
           IF(OFFSET(PLE!$G$15,$M134-$A$15,CW$13)="",10^12,OFFSET(PLE!$G$15,$M134-$A$15,CW$13)))</f>
        <v>1000000000000</v>
      </c>
      <c r="CX134" s="354" t="n">
        <f aca="true">IF(OR($D134&lt;&gt;"Serviço",AND(AUTOEVENTO="Manual",$M134=$A$15),$M134&gt;(ROW(PLE.lastrow)-ROW(PLE.firstrow))),0,
           IF(OFFSET(PLE!$G$15,$M134-$A$15,CX$13)="",10^12,OFFSET(PLE!$G$15,$M134-$A$15,CX$13)))</f>
        <v>1000000000000</v>
      </c>
      <c r="CY134" s="354" t="n">
        <f aca="true">IF(OR($D134&lt;&gt;"Serviço",AND(AUTOEVENTO="Manual",$M134=$A$15),$M134&gt;(ROW(PLE.lastrow)-ROW(PLE.firstrow))),0,
           IF(OFFSET(PLE!$G$15,$M134-$A$15,CY$13)="",10^12,OFFSET(PLE!$G$15,$M134-$A$15,CY$13)))</f>
        <v>1000000000000</v>
      </c>
      <c r="CZ134" s="354" t="n">
        <f aca="true">IF(OR($D134&lt;&gt;"Serviço",AND(AUTOEVENTO="Manual",$M134=$A$15),$M134&gt;(ROW(PLE.lastrow)-ROW(PLE.firstrow))),0,
           IF(OFFSET(PLE!$G$15,$M134-$A$15,CZ$13)="",10^12,OFFSET(PLE!$G$15,$M134-$A$15,CZ$13)))</f>
        <v>1000000000000</v>
      </c>
      <c r="DA134" s="354" t="n">
        <f aca="true">IF(OR($D134&lt;&gt;"Serviço",AND(AUTOEVENTO="Manual",$M134=$A$15),$M134&gt;(ROW(PLE.lastrow)-ROW(PLE.firstrow))),0,
           IF(OFFSET(PLE!$G$15,$M134-$A$15,DA$13)="",10^12,OFFSET(PLE!$G$15,$M134-$A$15,DA$13)))</f>
        <v>1000000000000</v>
      </c>
      <c r="DB134" s="354" t="n">
        <f aca="true">IF(OR($D134&lt;&gt;"Serviço",AND(AUTOEVENTO="Manual",$M134=$A$15),$M134&gt;(ROW(PLE.lastrow)-ROW(PLE.firstrow))),0,
           IF(OFFSET(PLE!$G$15,$M134-$A$15,DB$13)="",10^12,OFFSET(PLE!$G$15,$M134-$A$15,DB$13)))</f>
        <v>1000000000000</v>
      </c>
      <c r="DC134" s="354" t="n">
        <f aca="true">IF(OR($D134&lt;&gt;"Serviço",AND(AUTOEVENTO="Manual",$M134=$A$15),$M134&gt;(ROW(PLE.lastrow)-ROW(PLE.firstrow))),0,
           IF(OFFSET(PLE!$G$15,$M134-$A$15,DC$13)="",10^12,OFFSET(PLE!$G$15,$M134-$A$15,DC$13)))</f>
        <v>1000000000000</v>
      </c>
      <c r="DD134" s="354" t="n">
        <f aca="true">IF(OR($D134&lt;&gt;"Serviço",AND(AUTOEVENTO="Manual",$M134=$A$15),$M134&gt;(ROW(PLE.lastrow)-ROW(PLE.firstrow))),0,
           IF(OFFSET(PLE!$G$15,$M134-$A$15,DD$13)="",10^12,OFFSET(PLE!$G$15,$M134-$A$15,DD$13)))</f>
        <v>1000000000000</v>
      </c>
      <c r="DE134" s="354" t="n">
        <f aca="true">IF(OR($D134&lt;&gt;"Serviço",AND(AUTOEVENTO="Manual",$M134=$A$15),$M134&gt;(ROW(PLE.lastrow)-ROW(PLE.firstrow))),0,
           IF(OFFSET(PLE!$G$15,$M134-$A$15,DE$13)="",10^12,OFFSET(PLE!$G$15,$M134-$A$15,DE$13)))</f>
        <v>1000000000000</v>
      </c>
      <c r="DF134" s="354" t="n">
        <f aca="true">IF(OR($D134&lt;&gt;"Serviço",AND(AUTOEVENTO="Manual",$M134=$A$15),$M134&gt;(ROW(PLE.lastrow)-ROW(PLE.firstrow))),0,
           IF(OFFSET(PLE!$G$15,$M134-$A$15,DF$13)="",10^12,OFFSET(PLE!$G$15,$M134-$A$15,DF$13)))</f>
        <v>1000000000000</v>
      </c>
      <c r="DG134" s="354" t="n">
        <f aca="true">IF(OR($D134&lt;&gt;"Serviço",AND(AUTOEVENTO="Manual",$M134=$A$15),$M134&gt;(ROW(PLE.lastrow)-ROW(PLE.firstrow))),0,
           IF(OFFSET(PLE!$G$15,$M134-$A$15,DG$13)="",10^12,OFFSET(PLE!$G$15,$M134-$A$15,DG$13)))</f>
        <v>1000000000000</v>
      </c>
      <c r="DH134" s="354" t="n">
        <f aca="true">IF(OR($D134&lt;&gt;"Serviço",AND(AUTOEVENTO="Manual",$M134=$A$15),$M134&gt;(ROW(PLE.lastrow)-ROW(PLE.firstrow))),0,
           IF(OFFSET(PLE!$G$15,$M134-$A$15,DH$13)="",10^12,OFFSET(PLE!$G$15,$M134-$A$15,DH$13)))</f>
        <v>1000000000000</v>
      </c>
      <c r="DI134" s="354" t="n">
        <f aca="true">IF(OR($D134&lt;&gt;"Serviço",AND(AUTOEVENTO="Manual",$M134=$A$15),$M134&gt;(ROW(PLE.lastrow)-ROW(PLE.firstrow))),0,
           IF(OFFSET(PLE!$G$15,$M134-$A$15,DI$13)="",10^12,OFFSET(PLE!$G$15,$M134-$A$15,DI$13)))</f>
        <v>1000000000000</v>
      </c>
      <c r="DJ134" s="354" t="n">
        <f aca="true">IF(OR($D134&lt;&gt;"Serviço",AND(AUTOEVENTO="Manual",$M134=$A$15),$M134&gt;(ROW(PLE.lastrow)-ROW(PLE.firstrow))),0,
           IF(OFFSET(PLE!$G$15,$M134-$A$15,DJ$13)="",10^12,OFFSET(PLE!$G$15,$M134-$A$15,DJ$13)))</f>
        <v>1000000000000</v>
      </c>
      <c r="DK134" s="354" t="n">
        <f aca="true">IF(OR($D134&lt;&gt;"Serviço",AND(AUTOEVENTO="Manual",$M134=$A$15),$M134&gt;(ROW(PLE.lastrow)-ROW(PLE.firstrow))),0,
           IF(OFFSET(PLE!$G$15,$M134-$A$15,DK$13)="",10^12,OFFSET(PLE!$G$15,$M134-$A$15,DK$13)))</f>
        <v>1000000000000</v>
      </c>
      <c r="DL134" s="354" t="n">
        <f aca="true">IF(OR($D134&lt;&gt;"Serviço",AND(AUTOEVENTO="Manual",$M134=$A$15),$M134&gt;(ROW(PLE.lastrow)-ROW(PLE.firstrow))),0,
           IF(OFFSET(PLE!$G$15,$M134-$A$15,DL$13)="",10^12,OFFSET(PLE!$G$15,$M134-$A$15,DL$13)))</f>
        <v>1000000000000</v>
      </c>
      <c r="DM134" s="354" t="n">
        <f aca="true">IF(OR($D134&lt;&gt;"Serviço",AND(AUTOEVENTO="Manual",$M134=$A$15),$M134&gt;(ROW(PLE.lastrow)-ROW(PLE.firstrow))),0,
           IF(OFFSET(PLE!$G$15,$M134-$A$15,DM$13)="",10^12,OFFSET(PLE!$G$15,$M134-$A$15,DM$13)))</f>
        <v>1000000000000</v>
      </c>
      <c r="DN134" s="354" t="n">
        <f aca="true">IF(OR($D134&lt;&gt;"Serviço",AND(AUTOEVENTO="Manual",$M134=$A$15),$M134&gt;(ROW(PLE.lastrow)-ROW(PLE.firstrow))),0,
           IF(OFFSET(PLE!$G$15,$M134-$A$15,DN$13)="",10^12,OFFSET(PLE!$G$15,$M134-$A$15,DN$13)))</f>
        <v>1000000000000</v>
      </c>
      <c r="DO134" s="354" t="n">
        <f aca="true">IF(OR($D134&lt;&gt;"Serviço",AND(AUTOEVENTO="Manual",$M134=$A$15),$M134&gt;(ROW(PLE.lastrow)-ROW(PLE.firstrow))),0,
           IF(OFFSET(PLE!$G$15,$M134-$A$15,DO$13)="",10^12,OFFSET(PLE!$G$15,$M134-$A$15,DO$13)))</f>
        <v>1000000000000</v>
      </c>
      <c r="DP134" s="354" t="n">
        <f aca="true">IF(OR($D134&lt;&gt;"Serviço",AND(AUTOEVENTO="Manual",$M134=$A$15),$M134&gt;(ROW(PLE.lastrow)-ROW(PLE.firstrow))),0,
           IF(OFFSET(PLE!$G$15,$M134-$A$15,DP$13)="",10^12,OFFSET(PLE!$G$15,$M134-$A$15,DP$13)))</f>
        <v>1000000000000</v>
      </c>
      <c r="DQ134" s="354" t="n">
        <f aca="true">IF(OR($D134&lt;&gt;"Serviço",AND(AUTOEVENTO="Manual",$M134=$A$15),$M134&gt;(ROW(PLE.lastrow)-ROW(PLE.firstrow))),0,
           IF(OFFSET(PLE!$G$15,$M134-$A$15,DQ$13)="",10^12,OFFSET(PLE!$G$15,$M134-$A$15,DQ$13)))</f>
        <v>1000000000000</v>
      </c>
      <c r="DR134" s="354" t="n">
        <f aca="true">IF(OR($D134&lt;&gt;"Serviço",AND(AUTOEVENTO="Manual",$M134=$A$15),$M134&gt;(ROW(PLE.lastrow)-ROW(PLE.firstrow))),0,
           IF(OFFSET(PLE!$G$15,$M134-$A$15,DR$13)="",10^12,OFFSET(PLE!$G$15,$M134-$A$15,DR$13)))</f>
        <v>1000000000000</v>
      </c>
      <c r="DS134" s="354" t="n">
        <f aca="true">IF(OR($D134&lt;&gt;"Serviço",AND(AUTOEVENTO="Manual",$M134=$A$15),$M134&gt;(ROW(PLE.lastrow)-ROW(PLE.firstrow))),0,
           IF(OFFSET(PLE!$G$15,$M134-$A$15,DS$13)="",10^12,OFFSET(PLE!$G$15,$M134-$A$15,DS$13)))</f>
        <v>1000000000000</v>
      </c>
    </row>
    <row r="135" customFormat="false" ht="12.75" hidden="false" customHeight="false" outlineLevel="0" collapsed="false">
      <c r="A135" s="50" t="str">
        <f aca="true">IFERROR(IF(AUTOEVENTO="Manual",IF(K135&lt;&gt;"",MIN(VALUE(LEFT(K135,FIND(".",K135)-1)),COUNTA(EVENTOS.Lista)),0),IF(OR($B135&gt;AUTOEVENTO,$B135="S",$B135=0),SUBSTITUTE(OFFSET($A135,-1,0),IF($D135="Serviço",".",""),""),ROW(A135)-ROW($A$15)&amp;".")),0)</f>
        <v>120.</v>
      </c>
      <c r="B135" s="50" t="n">
        <f aca="true">OFFSET(ORÇAMENTO!C$15,ROW(B135)-ROW(B$15),0)</f>
        <v>2</v>
      </c>
      <c r="C135" s="50" t="str">
        <f aca="true">OFFSET(ORÇAMENTO!L$15,ROW(C135)-ROW(C$15),0)</f>
        <v>F</v>
      </c>
      <c r="D135" s="201" t="str">
        <f aca="true">OFFSET(ORÇAMENTO!N$15,ROW(D135)-ROW(D$15),0)</f>
        <v>Nível 2</v>
      </c>
      <c r="E135" s="202" t="str">
        <f aca="true">OFFSET(ORÇAMENTO!O$15,ROW(E135)-ROW(E$15),0)</f>
        <v>1.39.</v>
      </c>
      <c r="F135" s="341" t="str">
        <f aca="true">OFFSET(ORÇAMENTO!R$15,ROW(F135)-ROW(F$15),0)</f>
        <v>HIDRÁULICAS / GÁS / INCÊNCIO</v>
      </c>
      <c r="G135" s="342" t="str">
        <f aca="true">IF($D135&lt;&gt;"Serviço","",OFFSET(ORÇAMENTO!S$15,ROW(G135)-ROW(G$15),0))</f>
        <v/>
      </c>
      <c r="H135" s="207" t="n">
        <f aca="true">IF($D135&lt;&gt;"Serviço",0,IF(ACOMPANHAMENTO="BM",ROUND(OFFSET(ORÇAMENTO!AJ$15,ROW(H135)-ROW(H$15),0),15-13*ORÇAMENTO!$AF$7),SUMPRODUCT(($Q$1:$AQ$1=1)*ROUND($Q135:$AQ135,15-13*ORÇAMENTO!$AF$7))))</f>
        <v>0</v>
      </c>
      <c r="I135" s="343"/>
      <c r="J135" s="344" t="str">
        <f aca="false">IF(OR(B135&lt;&gt;"S",CÁLCULO.FrentesPreenchidas=0),"",IF(AND(ACOMPANHAMENTO="PLE",AUTOEVENTO="Manual",OR(H135&gt;0,ORÇAMENTO!AC135="QUANT."),OR(K135="",M135=0,N135="")),"►",IF(AND(ACOMPANHAMENTO="PLE",ORÇAMENTO!AC135="QUANT."),"►►",IF(AND(COUNTIF($P$11:$AQ$11,"▼")=0,H135&gt;0,I135=""),"◄",""))))</f>
        <v/>
      </c>
      <c r="K135" s="345"/>
      <c r="L135" s="346" t="s">
        <v>876</v>
      </c>
      <c r="M135" s="347" t="str">
        <f aca="true">IF($D135&lt;&gt;"Serviço","",
          IF(AUTOEVENTO="manual",$A135,
                IF(ISERROR(MATCH($A135,$A$15:OFFSET($A135,-1,0),0)),MAX($M$15:OFFSET(M135,-1,0))+1,
                      INDEX($M$15:OFFSET(M135,-1,0),MATCH($A135,$A$15:OFFSET($A135,-1,0),0)))))</f>
        <v/>
      </c>
      <c r="N135" s="348" t="str">
        <f aca="true">IF($D135&lt;&gt;"Serviço","",
         IF(AUTOEVENTO="Manual",
                IF($A135=0,"&lt;-- defina o número do agrupador",
                       OFFSET(EVENTOS!$D$15,$A135-$A$15,0)),
                OFFSET($F$15,$A135,0)))</f>
        <v/>
      </c>
      <c r="O135" s="349"/>
      <c r="Q135" s="349"/>
      <c r="R135" s="350"/>
      <c r="S135" s="350"/>
      <c r="T135" s="350"/>
      <c r="U135" s="350"/>
      <c r="V135" s="350"/>
      <c r="W135" s="350"/>
      <c r="X135" s="350"/>
      <c r="Y135" s="350"/>
      <c r="Z135" s="351"/>
      <c r="AA135" s="350"/>
      <c r="AB135" s="350"/>
      <c r="AC135" s="350"/>
      <c r="AD135" s="350"/>
      <c r="AE135" s="350"/>
      <c r="AF135" s="350"/>
      <c r="AG135" s="350"/>
      <c r="AH135" s="351"/>
      <c r="AI135" s="350"/>
      <c r="AJ135" s="350"/>
      <c r="AK135" s="350"/>
      <c r="AL135" s="350"/>
      <c r="AM135" s="350"/>
      <c r="AN135" s="350"/>
      <c r="AO135" s="350"/>
      <c r="AP135" s="351"/>
      <c r="AR135" s="352" t="n">
        <f aca="true">IF(AND($D135="Serviço",AR$12&lt;&gt;0,$H135&gt;0,OR(AUTOEVENTO&lt;&gt;"manual",$M135&lt;&gt;$A$15)),
        IF(Import.TipoArredondamento&lt;&gt;"TransfereGOV",
              ROUND(OFFSET($P135,0,AR$13),15-13*ORÇAMENTO!$AF$7)/$H135*OFFSET(ORÇAMENTO!$X$15,ROW(AR135)-ROW(AR$15),0),
              ROUND(ROUND(OFFSET($P135,0,AR$13),15-13*ORÇAMENTO!$AF$7)*OFFSET(ORÇAMENTO!$W$15,ROW(AR135)-ROW(AR$15),0),15-13*ORÇAMENTO!$AF$11)),
         0)</f>
        <v>0</v>
      </c>
      <c r="AS135" s="352" t="n">
        <f aca="true">IF(AND($D135="Serviço",AS$12&lt;&gt;0,$H135&gt;0,OR(AUTOEVENTO&lt;&gt;"manual",$M135&lt;&gt;$A$15)),
        IF(Import.TipoArredondamento&lt;&gt;"TransfereGOV",
              ROUND(OFFSET($P135,0,AS$13),15-13*ORÇAMENTO!$AF$7)/$H135*OFFSET(ORÇAMENTO!$X$15,ROW(AS135)-ROW(AS$15),0),
              ROUND(ROUND(OFFSET($P135,0,AS$13),15-13*ORÇAMENTO!$AF$7)*OFFSET(ORÇAMENTO!$W$15,ROW(AS135)-ROW(AS$15),0),15-13*ORÇAMENTO!$AF$11)),
         0)</f>
        <v>0</v>
      </c>
      <c r="AT135" s="352" t="n">
        <f aca="true">IF(AND($D135="Serviço",AT$12&lt;&gt;0,$H135&gt;0,OR(AUTOEVENTO&lt;&gt;"manual",$M135&lt;&gt;$A$15)),
        IF(Import.TipoArredondamento&lt;&gt;"TransfereGOV",
              ROUND(OFFSET($P135,0,AT$13),15-13*ORÇAMENTO!$AF$7)/$H135*OFFSET(ORÇAMENTO!$X$15,ROW(AT135)-ROW(AT$15),0),
              ROUND(ROUND(OFFSET($P135,0,AT$13),15-13*ORÇAMENTO!$AF$7)*OFFSET(ORÇAMENTO!$W$15,ROW(AT135)-ROW(AT$15),0),15-13*ORÇAMENTO!$AF$11)),
         0)</f>
        <v>0</v>
      </c>
      <c r="AU135" s="352" t="n">
        <f aca="true">IF(AND($D135="Serviço",AU$12&lt;&gt;0,$H135&gt;0,OR(AUTOEVENTO&lt;&gt;"manual",$M135&lt;&gt;$A$15)),
        IF(Import.TipoArredondamento&lt;&gt;"TransfereGOV",
              ROUND(OFFSET($P135,0,AU$13),15-13*ORÇAMENTO!$AF$7)/$H135*OFFSET(ORÇAMENTO!$X$15,ROW(AU135)-ROW(AU$15),0),
              ROUND(ROUND(OFFSET($P135,0,AU$13),15-13*ORÇAMENTO!$AF$7)*OFFSET(ORÇAMENTO!$W$15,ROW(AU135)-ROW(AU$15),0),15-13*ORÇAMENTO!$AF$11)),
         0)</f>
        <v>0</v>
      </c>
      <c r="AV135" s="352" t="n">
        <f aca="true">IF(AND($D135="Serviço",AV$12&lt;&gt;0,$H135&gt;0,OR(AUTOEVENTO&lt;&gt;"manual",$M135&lt;&gt;$A$15)),
        IF(Import.TipoArredondamento&lt;&gt;"TransfereGOV",
              ROUND(OFFSET($P135,0,AV$13),15-13*ORÇAMENTO!$AF$7)/$H135*OFFSET(ORÇAMENTO!$X$15,ROW(AV135)-ROW(AV$15),0),
              ROUND(ROUND(OFFSET($P135,0,AV$13),15-13*ORÇAMENTO!$AF$7)*OFFSET(ORÇAMENTO!$W$15,ROW(AV135)-ROW(AV$15),0),15-13*ORÇAMENTO!$AF$11)),
         0)</f>
        <v>0</v>
      </c>
      <c r="AW135" s="352" t="n">
        <f aca="true">IF(AND($D135="Serviço",AW$12&lt;&gt;0,$H135&gt;0,OR(AUTOEVENTO&lt;&gt;"manual",$M135&lt;&gt;$A$15)),
        IF(Import.TipoArredondamento&lt;&gt;"TransfereGOV",
              ROUND(OFFSET($P135,0,AW$13),15-13*ORÇAMENTO!$AF$7)/$H135*OFFSET(ORÇAMENTO!$X$15,ROW(AW135)-ROW(AW$15),0),
              ROUND(ROUND(OFFSET($P135,0,AW$13),15-13*ORÇAMENTO!$AF$7)*OFFSET(ORÇAMENTO!$W$15,ROW(AW135)-ROW(AW$15),0),15-13*ORÇAMENTO!$AF$11)),
         0)</f>
        <v>0</v>
      </c>
      <c r="AX135" s="352" t="n">
        <f aca="true">IF(AND($D135="Serviço",AX$12&lt;&gt;0,$H135&gt;0,OR(AUTOEVENTO&lt;&gt;"manual",$M135&lt;&gt;$A$15)),
        IF(Import.TipoArredondamento&lt;&gt;"TransfereGOV",
              ROUND(OFFSET($P135,0,AX$13),15-13*ORÇAMENTO!$AF$7)/$H135*OFFSET(ORÇAMENTO!$X$15,ROW(AX135)-ROW(AX$15),0),
              ROUND(ROUND(OFFSET($P135,0,AX$13),15-13*ORÇAMENTO!$AF$7)*OFFSET(ORÇAMENTO!$W$15,ROW(AX135)-ROW(AX$15),0),15-13*ORÇAMENTO!$AF$11)),
         0)</f>
        <v>0</v>
      </c>
      <c r="AY135" s="352" t="n">
        <f aca="true">IF(AND($D135="Serviço",AY$12&lt;&gt;0,$H135&gt;0,OR(AUTOEVENTO&lt;&gt;"manual",$M135&lt;&gt;$A$15)),
        IF(Import.TipoArredondamento&lt;&gt;"TransfereGOV",
              ROUND(OFFSET($P135,0,AY$13),15-13*ORÇAMENTO!$AF$7)/$H135*OFFSET(ORÇAMENTO!$X$15,ROW(AY135)-ROW(AY$15),0),
              ROUND(ROUND(OFFSET($P135,0,AY$13),15-13*ORÇAMENTO!$AF$7)*OFFSET(ORÇAMENTO!$W$15,ROW(AY135)-ROW(AY$15),0),15-13*ORÇAMENTO!$AF$11)),
         0)</f>
        <v>0</v>
      </c>
      <c r="AZ135" s="352" t="n">
        <f aca="true">IF(AND($D135="Serviço",AZ$12&lt;&gt;0,$H135&gt;0,OR(AUTOEVENTO&lt;&gt;"manual",$M135&lt;&gt;$A$15)),
        IF(Import.TipoArredondamento&lt;&gt;"TransfereGOV",
              ROUND(OFFSET($P135,0,AZ$13),15-13*ORÇAMENTO!$AF$7)/$H135*OFFSET(ORÇAMENTO!$X$15,ROW(AZ135)-ROW(AZ$15),0),
              ROUND(ROUND(OFFSET($P135,0,AZ$13),15-13*ORÇAMENTO!$AF$7)*OFFSET(ORÇAMENTO!$W$15,ROW(AZ135)-ROW(AZ$15),0),15-13*ORÇAMENTO!$AF$11)),
         0)</f>
        <v>0</v>
      </c>
      <c r="BA135" s="352" t="n">
        <f aca="true">IF(AND($D135="Serviço",BA$12&lt;&gt;0,$H135&gt;0,OR(AUTOEVENTO&lt;&gt;"manual",$M135&lt;&gt;$A$15)),
        IF(Import.TipoArredondamento&lt;&gt;"TransfereGOV",
              ROUND(OFFSET($P135,0,BA$13),15-13*ORÇAMENTO!$AF$7)/$H135*OFFSET(ORÇAMENTO!$X$15,ROW(BA135)-ROW(BA$15),0),
              ROUND(ROUND(OFFSET($P135,0,BA$13),15-13*ORÇAMENTO!$AF$7)*OFFSET(ORÇAMENTO!$W$15,ROW(BA135)-ROW(BA$15),0),15-13*ORÇAMENTO!$AF$11)),
         0)</f>
        <v>0</v>
      </c>
      <c r="BB135" s="352" t="n">
        <f aca="true">IF(AND($D135="Serviço",BB$12&lt;&gt;0,$H135&gt;0,OR(AUTOEVENTO&lt;&gt;"manual",$M135&lt;&gt;$A$15)),
        IF(Import.TipoArredondamento&lt;&gt;"TransfereGOV",
              ROUND(OFFSET($P135,0,BB$13),15-13*ORÇAMENTO!$AF$7)/$H135*OFFSET(ORÇAMENTO!$X$15,ROW(BB135)-ROW(BB$15),0),
              ROUND(ROUND(OFFSET($P135,0,BB$13),15-13*ORÇAMENTO!$AF$7)*OFFSET(ORÇAMENTO!$W$15,ROW(BB135)-ROW(BB$15),0),15-13*ORÇAMENTO!$AF$11)),
         0)</f>
        <v>0</v>
      </c>
      <c r="BC135" s="352" t="n">
        <f aca="true">IF(AND($D135="Serviço",BC$12&lt;&gt;0,$H135&gt;0,OR(AUTOEVENTO&lt;&gt;"manual",$M135&lt;&gt;$A$15)),
        IF(Import.TipoArredondamento&lt;&gt;"TransfereGOV",
              ROUND(OFFSET($P135,0,BC$13),15-13*ORÇAMENTO!$AF$7)/$H135*OFFSET(ORÇAMENTO!$X$15,ROW(BC135)-ROW(BC$15),0),
              ROUND(ROUND(OFFSET($P135,0,BC$13),15-13*ORÇAMENTO!$AF$7)*OFFSET(ORÇAMENTO!$W$15,ROW(BC135)-ROW(BC$15),0),15-13*ORÇAMENTO!$AF$11)),
         0)</f>
        <v>0</v>
      </c>
      <c r="BD135" s="352" t="n">
        <f aca="true">IF(AND($D135="Serviço",BD$12&lt;&gt;0,$H135&gt;0,OR(AUTOEVENTO&lt;&gt;"manual",$M135&lt;&gt;$A$15)),
        IF(Import.TipoArredondamento&lt;&gt;"TransfereGOV",
              ROUND(OFFSET($P135,0,BD$13),15-13*ORÇAMENTO!$AF$7)/$H135*OFFSET(ORÇAMENTO!$X$15,ROW(BD135)-ROW(BD$15),0),
              ROUND(ROUND(OFFSET($P135,0,BD$13),15-13*ORÇAMENTO!$AF$7)*OFFSET(ORÇAMENTO!$W$15,ROW(BD135)-ROW(BD$15),0),15-13*ORÇAMENTO!$AF$11)),
         0)</f>
        <v>0</v>
      </c>
      <c r="BE135" s="352" t="n">
        <f aca="true">IF(AND($D135="Serviço",BE$12&lt;&gt;0,$H135&gt;0,OR(AUTOEVENTO&lt;&gt;"manual",$M135&lt;&gt;$A$15)),
        IF(Import.TipoArredondamento&lt;&gt;"TransfereGOV",
              ROUND(OFFSET($P135,0,BE$13),15-13*ORÇAMENTO!$AF$7)/$H135*OFFSET(ORÇAMENTO!$X$15,ROW(BE135)-ROW(BE$15),0),
              ROUND(ROUND(OFFSET($P135,0,BE$13),15-13*ORÇAMENTO!$AF$7)*OFFSET(ORÇAMENTO!$W$15,ROW(BE135)-ROW(BE$15),0),15-13*ORÇAMENTO!$AF$11)),
         0)</f>
        <v>0</v>
      </c>
      <c r="BF135" s="352" t="n">
        <f aca="true">IF(AND($D135="Serviço",BF$12&lt;&gt;0,$H135&gt;0,OR(AUTOEVENTO&lt;&gt;"manual",$M135&lt;&gt;$A$15)),
        IF(Import.TipoArredondamento&lt;&gt;"TransfereGOV",
              ROUND(OFFSET($P135,0,BF$13),15-13*ORÇAMENTO!$AF$7)/$H135*OFFSET(ORÇAMENTO!$X$15,ROW(BF135)-ROW(BF$15),0),
              ROUND(ROUND(OFFSET($P135,0,BF$13),15-13*ORÇAMENTO!$AF$7)*OFFSET(ORÇAMENTO!$W$15,ROW(BF135)-ROW(BF$15),0),15-13*ORÇAMENTO!$AF$11)),
         0)</f>
        <v>0</v>
      </c>
      <c r="BG135" s="352" t="n">
        <f aca="true">IF(AND($D135="Serviço",BG$12&lt;&gt;0,$H135&gt;0,OR(AUTOEVENTO&lt;&gt;"manual",$M135&lt;&gt;$A$15)),
        IF(Import.TipoArredondamento&lt;&gt;"TransfereGOV",
              ROUND(OFFSET($P135,0,BG$13),15-13*ORÇAMENTO!$AF$7)/$H135*OFFSET(ORÇAMENTO!$X$15,ROW(BG135)-ROW(BG$15),0),
              ROUND(ROUND(OFFSET($P135,0,BG$13),15-13*ORÇAMENTO!$AF$7)*OFFSET(ORÇAMENTO!$W$15,ROW(BG135)-ROW(BG$15),0),15-13*ORÇAMENTO!$AF$11)),
         0)</f>
        <v>0</v>
      </c>
      <c r="BH135" s="352" t="n">
        <f aca="true">IF(AND($D135="Serviço",BH$12&lt;&gt;0,$H135&gt;0,OR(AUTOEVENTO&lt;&gt;"manual",$M135&lt;&gt;$A$15)),
        IF(Import.TipoArredondamento&lt;&gt;"TransfereGOV",
              ROUND(OFFSET($P135,0,BH$13),15-13*ORÇAMENTO!$AF$7)/$H135*OFFSET(ORÇAMENTO!$X$15,ROW(BH135)-ROW(BH$15),0),
              ROUND(ROUND(OFFSET($P135,0,BH$13),15-13*ORÇAMENTO!$AF$7)*OFFSET(ORÇAMENTO!$W$15,ROW(BH135)-ROW(BH$15),0),15-13*ORÇAMENTO!$AF$11)),
         0)</f>
        <v>0</v>
      </c>
      <c r="BI135" s="352" t="n">
        <f aca="true">IF(AND($D135="Serviço",BI$12&lt;&gt;0,$H135&gt;0,OR(AUTOEVENTO&lt;&gt;"manual",$M135&lt;&gt;$A$15)),
        IF(Import.TipoArredondamento&lt;&gt;"TransfereGOV",
              ROUND(OFFSET($P135,0,BI$13),15-13*ORÇAMENTO!$AF$7)/$H135*OFFSET(ORÇAMENTO!$X$15,ROW(BI135)-ROW(BI$15),0),
              ROUND(ROUND(OFFSET($P135,0,BI$13),15-13*ORÇAMENTO!$AF$7)*OFFSET(ORÇAMENTO!$W$15,ROW(BI135)-ROW(BI$15),0),15-13*ORÇAMENTO!$AF$11)),
         0)</f>
        <v>0</v>
      </c>
      <c r="BJ135" s="352" t="n">
        <f aca="true">IF(AND($D135="Serviço",BJ$12&lt;&gt;0,$H135&gt;0,OR(AUTOEVENTO&lt;&gt;"manual",$M135&lt;&gt;$A$15)),
        IF(Import.TipoArredondamento&lt;&gt;"TransfereGOV",
              ROUND(OFFSET($P135,0,BJ$13),15-13*ORÇAMENTO!$AF$7)/$H135*OFFSET(ORÇAMENTO!$X$15,ROW(BJ135)-ROW(BJ$15),0),
              ROUND(ROUND(OFFSET($P135,0,BJ$13),15-13*ORÇAMENTO!$AF$7)*OFFSET(ORÇAMENTO!$W$15,ROW(BJ135)-ROW(BJ$15),0),15-13*ORÇAMENTO!$AF$11)),
         0)</f>
        <v>0</v>
      </c>
      <c r="BK135" s="352" t="n">
        <f aca="true">IF(AND($D135="Serviço",BK$12&lt;&gt;0,$H135&gt;0,OR(AUTOEVENTO&lt;&gt;"manual",$M135&lt;&gt;$A$15)),
        IF(Import.TipoArredondamento&lt;&gt;"TransfereGOV",
              ROUND(OFFSET($P135,0,BK$13),15-13*ORÇAMENTO!$AF$7)/$H135*OFFSET(ORÇAMENTO!$X$15,ROW(BK135)-ROW(BK$15),0),
              ROUND(ROUND(OFFSET($P135,0,BK$13),15-13*ORÇAMENTO!$AF$7)*OFFSET(ORÇAMENTO!$W$15,ROW(BK135)-ROW(BK$15),0),15-13*ORÇAMENTO!$AF$11)),
         0)</f>
        <v>0</v>
      </c>
      <c r="BL135" s="352" t="n">
        <f aca="true">IF(AND($D135="Serviço",BL$12&lt;&gt;0,$H135&gt;0,OR(AUTOEVENTO&lt;&gt;"manual",$M135&lt;&gt;$A$15)),
        IF(Import.TipoArredondamento&lt;&gt;"TransfereGOV",
              ROUND(OFFSET($P135,0,BL$13),15-13*ORÇAMENTO!$AF$7)/$H135*OFFSET(ORÇAMENTO!$X$15,ROW(BL135)-ROW(BL$15),0),
              ROUND(ROUND(OFFSET($P135,0,BL$13),15-13*ORÇAMENTO!$AF$7)*OFFSET(ORÇAMENTO!$W$15,ROW(BL135)-ROW(BL$15),0),15-13*ORÇAMENTO!$AF$11)),
         0)</f>
        <v>0</v>
      </c>
      <c r="BM135" s="352" t="n">
        <f aca="true">IF(AND($D135="Serviço",BM$12&lt;&gt;0,$H135&gt;0,OR(AUTOEVENTO&lt;&gt;"manual",$M135&lt;&gt;$A$15)),
        IF(Import.TipoArredondamento&lt;&gt;"TransfereGOV",
              ROUND(OFFSET($P135,0,BM$13),15-13*ORÇAMENTO!$AF$7)/$H135*OFFSET(ORÇAMENTO!$X$15,ROW(BM135)-ROW(BM$15),0),
              ROUND(ROUND(OFFSET($P135,0,BM$13),15-13*ORÇAMENTO!$AF$7)*OFFSET(ORÇAMENTO!$W$15,ROW(BM135)-ROW(BM$15),0),15-13*ORÇAMENTO!$AF$11)),
         0)</f>
        <v>0</v>
      </c>
      <c r="BN135" s="352" t="n">
        <f aca="true">IF(AND($D135="Serviço",BN$12&lt;&gt;0,$H135&gt;0,OR(AUTOEVENTO&lt;&gt;"manual",$M135&lt;&gt;$A$15)),
        IF(Import.TipoArredondamento&lt;&gt;"TransfereGOV",
              ROUND(OFFSET($P135,0,BN$13),15-13*ORÇAMENTO!$AF$7)/$H135*OFFSET(ORÇAMENTO!$X$15,ROW(BN135)-ROW(BN$15),0),
              ROUND(ROUND(OFFSET($P135,0,BN$13),15-13*ORÇAMENTO!$AF$7)*OFFSET(ORÇAMENTO!$W$15,ROW(BN135)-ROW(BN$15),0),15-13*ORÇAMENTO!$AF$11)),
         0)</f>
        <v>0</v>
      </c>
      <c r="BO135" s="352" t="n">
        <f aca="true">IF(AND($D135="Serviço",BO$12&lt;&gt;0,$H135&gt;0,OR(AUTOEVENTO&lt;&gt;"manual",$M135&lt;&gt;$A$15)),
        IF(Import.TipoArredondamento&lt;&gt;"TransfereGOV",
              ROUND(OFFSET($P135,0,BO$13),15-13*ORÇAMENTO!$AF$7)/$H135*OFFSET(ORÇAMENTO!$X$15,ROW(BO135)-ROW(BO$15),0),
              ROUND(ROUND(OFFSET($P135,0,BO$13),15-13*ORÇAMENTO!$AF$7)*OFFSET(ORÇAMENTO!$W$15,ROW(BO135)-ROW(BO$15),0),15-13*ORÇAMENTO!$AF$11)),
         0)</f>
        <v>0</v>
      </c>
      <c r="BP135" s="352" t="n">
        <f aca="true">IF(AND($D135="Serviço",BP$12&lt;&gt;0,$H135&gt;0,OR(AUTOEVENTO&lt;&gt;"manual",$M135&lt;&gt;$A$15)),
        IF(Import.TipoArredondamento&lt;&gt;"TransfereGOV",
              ROUND(OFFSET($P135,0,BP$13),15-13*ORÇAMENTO!$AF$7)/$H135*OFFSET(ORÇAMENTO!$X$15,ROW(BP135)-ROW(BP$15),0),
              ROUND(ROUND(OFFSET($P135,0,BP$13),15-13*ORÇAMENTO!$AF$7)*OFFSET(ORÇAMENTO!$W$15,ROW(BP135)-ROW(BP$15),0),15-13*ORÇAMENTO!$AF$11)),
         0)</f>
        <v>0</v>
      </c>
      <c r="BQ135" s="352" t="n">
        <f aca="true">IF(AND($D135="Serviço",BQ$12&lt;&gt;0,$H135&gt;0,OR(AUTOEVENTO&lt;&gt;"manual",$M135&lt;&gt;$A$15)),
        IF(Import.TipoArredondamento&lt;&gt;"TransfereGOV",
              ROUND(OFFSET($P135,0,BQ$13),15-13*ORÇAMENTO!$AF$7)/$H135*OFFSET(ORÇAMENTO!$X$15,ROW(BQ135)-ROW(BQ$15),0),
              ROUND(ROUND(OFFSET($P135,0,BQ$13),15-13*ORÇAMENTO!$AF$7)*OFFSET(ORÇAMENTO!$W$15,ROW(BQ135)-ROW(BQ$15),0),15-13*ORÇAMENTO!$AF$11)),
         0)</f>
        <v>0</v>
      </c>
      <c r="BS135" s="353" t="n">
        <f aca="true">IF(OR($D135&lt;&gt;"Serviço",AND(AUTOEVENTO="Manual",$M135=$A$15)),0,
         IF(OFFSET(CRONOPLE!$F$15,$M135-$A$15,BS$13)=0,10^12,OFFSET(CRONOPLE!$F$15,$M135-$A$15,BS$13)))</f>
        <v>0</v>
      </c>
      <c r="BT135" s="353" t="n">
        <f aca="true">IF(OR($D135&lt;&gt;"Serviço",AND(AUTOEVENTO="Manual",$M135=$A$15)),0,
         IF(OFFSET(CRONOPLE!$F$15,$M135-$A$15,BT$13)=0,10^12,OFFSET(CRONOPLE!$F$15,$M135-$A$15,BT$13)))</f>
        <v>0</v>
      </c>
      <c r="BU135" s="353" t="n">
        <f aca="true">IF(OR($D135&lt;&gt;"Serviço",AND(AUTOEVENTO="Manual",$M135=$A$15)),0,
         IF(OFFSET(CRONOPLE!$F$15,$M135-$A$15,BU$13)=0,10^12,OFFSET(CRONOPLE!$F$15,$M135-$A$15,BU$13)))</f>
        <v>0</v>
      </c>
      <c r="BV135" s="353" t="n">
        <f aca="true">IF(OR($D135&lt;&gt;"Serviço",AND(AUTOEVENTO="Manual",$M135=$A$15)),0,
         IF(OFFSET(CRONOPLE!$F$15,$M135-$A$15,BV$13)=0,10^12,OFFSET(CRONOPLE!$F$15,$M135-$A$15,BV$13)))</f>
        <v>0</v>
      </c>
      <c r="BW135" s="353" t="n">
        <f aca="true">IF(OR($D135&lt;&gt;"Serviço",AND(AUTOEVENTO="Manual",$M135=$A$15)),0,
         IF(OFFSET(CRONOPLE!$F$15,$M135-$A$15,BW$13)=0,10^12,OFFSET(CRONOPLE!$F$15,$M135-$A$15,BW$13)))</f>
        <v>0</v>
      </c>
      <c r="BX135" s="353" t="n">
        <f aca="true">IF(OR($D135&lt;&gt;"Serviço",AND(AUTOEVENTO="Manual",$M135=$A$15)),0,
         IF(OFFSET(CRONOPLE!$F$15,$M135-$A$15,BX$13)=0,10^12,OFFSET(CRONOPLE!$F$15,$M135-$A$15,BX$13)))</f>
        <v>0</v>
      </c>
      <c r="BY135" s="353" t="n">
        <f aca="true">IF(OR($D135&lt;&gt;"Serviço",AND(AUTOEVENTO="Manual",$M135=$A$15)),0,
         IF(OFFSET(CRONOPLE!$F$15,$M135-$A$15,BY$13)=0,10^12,OFFSET(CRONOPLE!$F$15,$M135-$A$15,BY$13)))</f>
        <v>0</v>
      </c>
      <c r="BZ135" s="353" t="n">
        <f aca="true">IF(OR($D135&lt;&gt;"Serviço",AND(AUTOEVENTO="Manual",$M135=$A$15)),0,
         IF(OFFSET(CRONOPLE!$F$15,$M135-$A$15,BZ$13)=0,10^12,OFFSET(CRONOPLE!$F$15,$M135-$A$15,BZ$13)))</f>
        <v>0</v>
      </c>
      <c r="CA135" s="353" t="n">
        <f aca="true">IF(OR($D135&lt;&gt;"Serviço",AND(AUTOEVENTO="Manual",$M135=$A$15)),0,
         IF(OFFSET(CRONOPLE!$F$15,$M135-$A$15,CA$13)=0,10^12,OFFSET(CRONOPLE!$F$15,$M135-$A$15,CA$13)))</f>
        <v>0</v>
      </c>
      <c r="CB135" s="353" t="n">
        <f aca="true">IF(OR($D135&lt;&gt;"Serviço",AND(AUTOEVENTO="Manual",$M135=$A$15)),0,
         IF(OFFSET(CRONOPLE!$F$15,$M135-$A$15,CB$13)=0,10^12,OFFSET(CRONOPLE!$F$15,$M135-$A$15,CB$13)))</f>
        <v>0</v>
      </c>
      <c r="CC135" s="353" t="n">
        <f aca="true">IF(OR($D135&lt;&gt;"Serviço",AND(AUTOEVENTO="Manual",$M135=$A$15)),0,
         IF(OFFSET(CRONOPLE!$F$15,$M135-$A$15,CC$13)=0,10^12,OFFSET(CRONOPLE!$F$15,$M135-$A$15,CC$13)))</f>
        <v>0</v>
      </c>
      <c r="CD135" s="353" t="n">
        <f aca="true">IF(OR($D135&lt;&gt;"Serviço",AND(AUTOEVENTO="Manual",$M135=$A$15)),0,
         IF(OFFSET(CRONOPLE!$F$15,$M135-$A$15,CD$13)=0,10^12,OFFSET(CRONOPLE!$F$15,$M135-$A$15,CD$13)))</f>
        <v>0</v>
      </c>
      <c r="CE135" s="353" t="n">
        <f aca="true">IF(OR($D135&lt;&gt;"Serviço",AND(AUTOEVENTO="Manual",$M135=$A$15)),0,
         IF(OFFSET(CRONOPLE!$F$15,$M135-$A$15,CE$13)=0,10^12,OFFSET(CRONOPLE!$F$15,$M135-$A$15,CE$13)))</f>
        <v>0</v>
      </c>
      <c r="CF135" s="353" t="n">
        <f aca="true">IF(OR($D135&lt;&gt;"Serviço",AND(AUTOEVENTO="Manual",$M135=$A$15)),0,
         IF(OFFSET(CRONOPLE!$F$15,$M135-$A$15,CF$13)=0,10^12,OFFSET(CRONOPLE!$F$15,$M135-$A$15,CF$13)))</f>
        <v>0</v>
      </c>
      <c r="CG135" s="353" t="n">
        <f aca="true">IF(OR($D135&lt;&gt;"Serviço",AND(AUTOEVENTO="Manual",$M135=$A$15)),0,
         IF(OFFSET(CRONOPLE!$F$15,$M135-$A$15,CG$13)=0,10^12,OFFSET(CRONOPLE!$F$15,$M135-$A$15,CG$13)))</f>
        <v>0</v>
      </c>
      <c r="CH135" s="353" t="n">
        <f aca="true">IF(OR($D135&lt;&gt;"Serviço",AND(AUTOEVENTO="Manual",$M135=$A$15)),0,
         IF(OFFSET(CRONOPLE!$F$15,$M135-$A$15,CH$13)=0,10^12,OFFSET(CRONOPLE!$F$15,$M135-$A$15,CH$13)))</f>
        <v>0</v>
      </c>
      <c r="CI135" s="353" t="n">
        <f aca="true">IF(OR($D135&lt;&gt;"Serviço",AND(AUTOEVENTO="Manual",$M135=$A$15)),0,
         IF(OFFSET(CRONOPLE!$F$15,$M135-$A$15,CI$13)=0,10^12,OFFSET(CRONOPLE!$F$15,$M135-$A$15,CI$13)))</f>
        <v>0</v>
      </c>
      <c r="CJ135" s="353" t="n">
        <f aca="true">IF(OR($D135&lt;&gt;"Serviço",AND(AUTOEVENTO="Manual",$M135=$A$15)),0,
         IF(OFFSET(CRONOPLE!$F$15,$M135-$A$15,CJ$13)=0,10^12,OFFSET(CRONOPLE!$F$15,$M135-$A$15,CJ$13)))</f>
        <v>0</v>
      </c>
      <c r="CK135" s="353" t="n">
        <f aca="true">IF(OR($D135&lt;&gt;"Serviço",AND(AUTOEVENTO="Manual",$M135=$A$15)),0,
         IF(OFFSET(CRONOPLE!$F$15,$M135-$A$15,CK$13)=0,10^12,OFFSET(CRONOPLE!$F$15,$M135-$A$15,CK$13)))</f>
        <v>0</v>
      </c>
      <c r="CL135" s="353" t="n">
        <f aca="true">IF(OR($D135&lt;&gt;"Serviço",AND(AUTOEVENTO="Manual",$M135=$A$15)),0,
         IF(OFFSET(CRONOPLE!$F$15,$M135-$A$15,CL$13)=0,10^12,OFFSET(CRONOPLE!$F$15,$M135-$A$15,CL$13)))</f>
        <v>0</v>
      </c>
      <c r="CM135" s="353" t="n">
        <f aca="true">IF(OR($D135&lt;&gt;"Serviço",AND(AUTOEVENTO="Manual",$M135=$A$15)),0,
         IF(OFFSET(CRONOPLE!$F$15,$M135-$A$15,CM$13)=0,10^12,OFFSET(CRONOPLE!$F$15,$M135-$A$15,CM$13)))</f>
        <v>0</v>
      </c>
      <c r="CN135" s="353" t="n">
        <f aca="true">IF(OR($D135&lt;&gt;"Serviço",AND(AUTOEVENTO="Manual",$M135=$A$15)),0,
         IF(OFFSET(CRONOPLE!$F$15,$M135-$A$15,CN$13)=0,10^12,OFFSET(CRONOPLE!$F$15,$M135-$A$15,CN$13)))</f>
        <v>0</v>
      </c>
      <c r="CO135" s="353" t="n">
        <f aca="true">IF(OR($D135&lt;&gt;"Serviço",AND(AUTOEVENTO="Manual",$M135=$A$15)),0,
         IF(OFFSET(CRONOPLE!$F$15,$M135-$A$15,CO$13)=0,10^12,OFFSET(CRONOPLE!$F$15,$M135-$A$15,CO$13)))</f>
        <v>0</v>
      </c>
      <c r="CP135" s="353" t="n">
        <f aca="true">IF(OR($D135&lt;&gt;"Serviço",AND(AUTOEVENTO="Manual",$M135=$A$15)),0,
         IF(OFFSET(CRONOPLE!$F$15,$M135-$A$15,CP$13)=0,10^12,OFFSET(CRONOPLE!$F$15,$M135-$A$15,CP$13)))</f>
        <v>0</v>
      </c>
      <c r="CQ135" s="353" t="n">
        <f aca="true">IF(OR($D135&lt;&gt;"Serviço",AND(AUTOEVENTO="Manual",$M135=$A$15)),0,
         IF(OFFSET(CRONOPLE!$F$15,$M135-$A$15,CQ$13)=0,10^12,OFFSET(CRONOPLE!$F$15,$M135-$A$15,CQ$13)))</f>
        <v>0</v>
      </c>
      <c r="CR135" s="353" t="n">
        <f aca="true">IF(OR($D135&lt;&gt;"Serviço",AND(AUTOEVENTO="Manual",$M135=$A$15)),0,
         IF(OFFSET(CRONOPLE!$F$15,$M135-$A$15,CR$13)=0,10^12,OFFSET(CRONOPLE!$F$15,$M135-$A$15,CR$13)))</f>
        <v>0</v>
      </c>
      <c r="CT135" s="354" t="n">
        <f aca="true">IF(OR($D135&lt;&gt;"Serviço",AND(AUTOEVENTO="Manual",$M135=$A$15),$M135&gt;(ROW(PLE.lastrow)-ROW(PLE.firstrow))),0,
           IF(OFFSET(PLE!$G$15,$M135-$A$15,CT$13)="",10^12,OFFSET(PLE!$G$15,$M135-$A$15,CT$13)))</f>
        <v>0</v>
      </c>
      <c r="CU135" s="354" t="n">
        <f aca="true">IF(OR($D135&lt;&gt;"Serviço",AND(AUTOEVENTO="Manual",$M135=$A$15),$M135&gt;(ROW(PLE.lastrow)-ROW(PLE.firstrow))),0,
           IF(OFFSET(PLE!$G$15,$M135-$A$15,CU$13)="",10^12,OFFSET(PLE!$G$15,$M135-$A$15,CU$13)))</f>
        <v>0</v>
      </c>
      <c r="CV135" s="354" t="n">
        <f aca="true">IF(OR($D135&lt;&gt;"Serviço",AND(AUTOEVENTO="Manual",$M135=$A$15),$M135&gt;(ROW(PLE.lastrow)-ROW(PLE.firstrow))),0,
           IF(OFFSET(PLE!$G$15,$M135-$A$15,CV$13)="",10^12,OFFSET(PLE!$G$15,$M135-$A$15,CV$13)))</f>
        <v>0</v>
      </c>
      <c r="CW135" s="354" t="n">
        <f aca="true">IF(OR($D135&lt;&gt;"Serviço",AND(AUTOEVENTO="Manual",$M135=$A$15),$M135&gt;(ROW(PLE.lastrow)-ROW(PLE.firstrow))),0,
           IF(OFFSET(PLE!$G$15,$M135-$A$15,CW$13)="",10^12,OFFSET(PLE!$G$15,$M135-$A$15,CW$13)))</f>
        <v>0</v>
      </c>
      <c r="CX135" s="354" t="n">
        <f aca="true">IF(OR($D135&lt;&gt;"Serviço",AND(AUTOEVENTO="Manual",$M135=$A$15),$M135&gt;(ROW(PLE.lastrow)-ROW(PLE.firstrow))),0,
           IF(OFFSET(PLE!$G$15,$M135-$A$15,CX$13)="",10^12,OFFSET(PLE!$G$15,$M135-$A$15,CX$13)))</f>
        <v>0</v>
      </c>
      <c r="CY135" s="354" t="n">
        <f aca="true">IF(OR($D135&lt;&gt;"Serviço",AND(AUTOEVENTO="Manual",$M135=$A$15),$M135&gt;(ROW(PLE.lastrow)-ROW(PLE.firstrow))),0,
           IF(OFFSET(PLE!$G$15,$M135-$A$15,CY$13)="",10^12,OFFSET(PLE!$G$15,$M135-$A$15,CY$13)))</f>
        <v>0</v>
      </c>
      <c r="CZ135" s="354" t="n">
        <f aca="true">IF(OR($D135&lt;&gt;"Serviço",AND(AUTOEVENTO="Manual",$M135=$A$15),$M135&gt;(ROW(PLE.lastrow)-ROW(PLE.firstrow))),0,
           IF(OFFSET(PLE!$G$15,$M135-$A$15,CZ$13)="",10^12,OFFSET(PLE!$G$15,$M135-$A$15,CZ$13)))</f>
        <v>0</v>
      </c>
      <c r="DA135" s="354" t="n">
        <f aca="true">IF(OR($D135&lt;&gt;"Serviço",AND(AUTOEVENTO="Manual",$M135=$A$15),$M135&gt;(ROW(PLE.lastrow)-ROW(PLE.firstrow))),0,
           IF(OFFSET(PLE!$G$15,$M135-$A$15,DA$13)="",10^12,OFFSET(PLE!$G$15,$M135-$A$15,DA$13)))</f>
        <v>0</v>
      </c>
      <c r="DB135" s="354" t="n">
        <f aca="true">IF(OR($D135&lt;&gt;"Serviço",AND(AUTOEVENTO="Manual",$M135=$A$15),$M135&gt;(ROW(PLE.lastrow)-ROW(PLE.firstrow))),0,
           IF(OFFSET(PLE!$G$15,$M135-$A$15,DB$13)="",10^12,OFFSET(PLE!$G$15,$M135-$A$15,DB$13)))</f>
        <v>0</v>
      </c>
      <c r="DC135" s="354" t="n">
        <f aca="true">IF(OR($D135&lt;&gt;"Serviço",AND(AUTOEVENTO="Manual",$M135=$A$15),$M135&gt;(ROW(PLE.lastrow)-ROW(PLE.firstrow))),0,
           IF(OFFSET(PLE!$G$15,$M135-$A$15,DC$13)="",10^12,OFFSET(PLE!$G$15,$M135-$A$15,DC$13)))</f>
        <v>0</v>
      </c>
      <c r="DD135" s="354" t="n">
        <f aca="true">IF(OR($D135&lt;&gt;"Serviço",AND(AUTOEVENTO="Manual",$M135=$A$15),$M135&gt;(ROW(PLE.lastrow)-ROW(PLE.firstrow))),0,
           IF(OFFSET(PLE!$G$15,$M135-$A$15,DD$13)="",10^12,OFFSET(PLE!$G$15,$M135-$A$15,DD$13)))</f>
        <v>0</v>
      </c>
      <c r="DE135" s="354" t="n">
        <f aca="true">IF(OR($D135&lt;&gt;"Serviço",AND(AUTOEVENTO="Manual",$M135=$A$15),$M135&gt;(ROW(PLE.lastrow)-ROW(PLE.firstrow))),0,
           IF(OFFSET(PLE!$G$15,$M135-$A$15,DE$13)="",10^12,OFFSET(PLE!$G$15,$M135-$A$15,DE$13)))</f>
        <v>0</v>
      </c>
      <c r="DF135" s="354" t="n">
        <f aca="true">IF(OR($D135&lt;&gt;"Serviço",AND(AUTOEVENTO="Manual",$M135=$A$15),$M135&gt;(ROW(PLE.lastrow)-ROW(PLE.firstrow))),0,
           IF(OFFSET(PLE!$G$15,$M135-$A$15,DF$13)="",10^12,OFFSET(PLE!$G$15,$M135-$A$15,DF$13)))</f>
        <v>0</v>
      </c>
      <c r="DG135" s="354" t="n">
        <f aca="true">IF(OR($D135&lt;&gt;"Serviço",AND(AUTOEVENTO="Manual",$M135=$A$15),$M135&gt;(ROW(PLE.lastrow)-ROW(PLE.firstrow))),0,
           IF(OFFSET(PLE!$G$15,$M135-$A$15,DG$13)="",10^12,OFFSET(PLE!$G$15,$M135-$A$15,DG$13)))</f>
        <v>0</v>
      </c>
      <c r="DH135" s="354" t="n">
        <f aca="true">IF(OR($D135&lt;&gt;"Serviço",AND(AUTOEVENTO="Manual",$M135=$A$15),$M135&gt;(ROW(PLE.lastrow)-ROW(PLE.firstrow))),0,
           IF(OFFSET(PLE!$G$15,$M135-$A$15,DH$13)="",10^12,OFFSET(PLE!$G$15,$M135-$A$15,DH$13)))</f>
        <v>0</v>
      </c>
      <c r="DI135" s="354" t="n">
        <f aca="true">IF(OR($D135&lt;&gt;"Serviço",AND(AUTOEVENTO="Manual",$M135=$A$15),$M135&gt;(ROW(PLE.lastrow)-ROW(PLE.firstrow))),0,
           IF(OFFSET(PLE!$G$15,$M135-$A$15,DI$13)="",10^12,OFFSET(PLE!$G$15,$M135-$A$15,DI$13)))</f>
        <v>0</v>
      </c>
      <c r="DJ135" s="354" t="n">
        <f aca="true">IF(OR($D135&lt;&gt;"Serviço",AND(AUTOEVENTO="Manual",$M135=$A$15),$M135&gt;(ROW(PLE.lastrow)-ROW(PLE.firstrow))),0,
           IF(OFFSET(PLE!$G$15,$M135-$A$15,DJ$13)="",10^12,OFFSET(PLE!$G$15,$M135-$A$15,DJ$13)))</f>
        <v>0</v>
      </c>
      <c r="DK135" s="354" t="n">
        <f aca="true">IF(OR($D135&lt;&gt;"Serviço",AND(AUTOEVENTO="Manual",$M135=$A$15),$M135&gt;(ROW(PLE.lastrow)-ROW(PLE.firstrow))),0,
           IF(OFFSET(PLE!$G$15,$M135-$A$15,DK$13)="",10^12,OFFSET(PLE!$G$15,$M135-$A$15,DK$13)))</f>
        <v>0</v>
      </c>
      <c r="DL135" s="354" t="n">
        <f aca="true">IF(OR($D135&lt;&gt;"Serviço",AND(AUTOEVENTO="Manual",$M135=$A$15),$M135&gt;(ROW(PLE.lastrow)-ROW(PLE.firstrow))),0,
           IF(OFFSET(PLE!$G$15,$M135-$A$15,DL$13)="",10^12,OFFSET(PLE!$G$15,$M135-$A$15,DL$13)))</f>
        <v>0</v>
      </c>
      <c r="DM135" s="354" t="n">
        <f aca="true">IF(OR($D135&lt;&gt;"Serviço",AND(AUTOEVENTO="Manual",$M135=$A$15),$M135&gt;(ROW(PLE.lastrow)-ROW(PLE.firstrow))),0,
           IF(OFFSET(PLE!$G$15,$M135-$A$15,DM$13)="",10^12,OFFSET(PLE!$G$15,$M135-$A$15,DM$13)))</f>
        <v>0</v>
      </c>
      <c r="DN135" s="354" t="n">
        <f aca="true">IF(OR($D135&lt;&gt;"Serviço",AND(AUTOEVENTO="Manual",$M135=$A$15),$M135&gt;(ROW(PLE.lastrow)-ROW(PLE.firstrow))),0,
           IF(OFFSET(PLE!$G$15,$M135-$A$15,DN$13)="",10^12,OFFSET(PLE!$G$15,$M135-$A$15,DN$13)))</f>
        <v>0</v>
      </c>
      <c r="DO135" s="354" t="n">
        <f aca="true">IF(OR($D135&lt;&gt;"Serviço",AND(AUTOEVENTO="Manual",$M135=$A$15),$M135&gt;(ROW(PLE.lastrow)-ROW(PLE.firstrow))),0,
           IF(OFFSET(PLE!$G$15,$M135-$A$15,DO$13)="",10^12,OFFSET(PLE!$G$15,$M135-$A$15,DO$13)))</f>
        <v>0</v>
      </c>
      <c r="DP135" s="354" t="n">
        <f aca="true">IF(OR($D135&lt;&gt;"Serviço",AND(AUTOEVENTO="Manual",$M135=$A$15),$M135&gt;(ROW(PLE.lastrow)-ROW(PLE.firstrow))),0,
           IF(OFFSET(PLE!$G$15,$M135-$A$15,DP$13)="",10^12,OFFSET(PLE!$G$15,$M135-$A$15,DP$13)))</f>
        <v>0</v>
      </c>
      <c r="DQ135" s="354" t="n">
        <f aca="true">IF(OR($D135&lt;&gt;"Serviço",AND(AUTOEVENTO="Manual",$M135=$A$15),$M135&gt;(ROW(PLE.lastrow)-ROW(PLE.firstrow))),0,
           IF(OFFSET(PLE!$G$15,$M135-$A$15,DQ$13)="",10^12,OFFSET(PLE!$G$15,$M135-$A$15,DQ$13)))</f>
        <v>0</v>
      </c>
      <c r="DR135" s="354" t="n">
        <f aca="true">IF(OR($D135&lt;&gt;"Serviço",AND(AUTOEVENTO="Manual",$M135=$A$15),$M135&gt;(ROW(PLE.lastrow)-ROW(PLE.firstrow))),0,
           IF(OFFSET(PLE!$G$15,$M135-$A$15,DR$13)="",10^12,OFFSET(PLE!$G$15,$M135-$A$15,DR$13)))</f>
        <v>0</v>
      </c>
      <c r="DS135" s="354" t="n">
        <f aca="true">IF(OR($D135&lt;&gt;"Serviço",AND(AUTOEVENTO="Manual",$M135=$A$15),$M135&gt;(ROW(PLE.lastrow)-ROW(PLE.firstrow))),0,
           IF(OFFSET(PLE!$G$15,$M135-$A$15,DS$13)="",10^12,OFFSET(PLE!$G$15,$M135-$A$15,DS$13)))</f>
        <v>0</v>
      </c>
    </row>
    <row r="136" customFormat="false" ht="12.75" hidden="false" customHeight="false" outlineLevel="0" collapsed="false">
      <c r="A136" s="50" t="str">
        <f aca="true">IFERROR(IF(AUTOEVENTO="Manual",IF(K136&lt;&gt;"",MIN(VALUE(LEFT(K136,FIND(".",K136)-1)),COUNTA(EVENTOS.Lista)),0),IF(OR($B136&gt;AUTOEVENTO,$B136="S",$B136=0),SUBSTITUTE(OFFSET($A136,-1,0),IF($D136="Serviço",".",""),""),ROW(A136)-ROW($A$15)&amp;".")),0)</f>
        <v>121.</v>
      </c>
      <c r="B136" s="50" t="n">
        <f aca="true">OFFSET(ORÇAMENTO!C$15,ROW(B136)-ROW(B$15),0)</f>
        <v>2</v>
      </c>
      <c r="C136" s="50" t="str">
        <f aca="true">OFFSET(ORÇAMENTO!L$15,ROW(C136)-ROW(C$15),0)</f>
        <v>F</v>
      </c>
      <c r="D136" s="201" t="str">
        <f aca="true">OFFSET(ORÇAMENTO!N$15,ROW(D136)-ROW(D$15),0)</f>
        <v>Nível 2</v>
      </c>
      <c r="E136" s="202" t="str">
        <f aca="true">OFFSET(ORÇAMENTO!O$15,ROW(E136)-ROW(E$15),0)</f>
        <v>1.40.</v>
      </c>
      <c r="F136" s="341" t="str">
        <f aca="true">OFFSET(ORÇAMENTO!R$15,ROW(F136)-ROW(F$15),0)</f>
        <v>TUBULAÇÕES E CONEXÕES</v>
      </c>
      <c r="G136" s="342" t="str">
        <f aca="true">IF($D136&lt;&gt;"Serviço","",OFFSET(ORÇAMENTO!S$15,ROW(G136)-ROW(G$15),0))</f>
        <v/>
      </c>
      <c r="H136" s="207" t="n">
        <f aca="true">IF($D136&lt;&gt;"Serviço",0,IF(ACOMPANHAMENTO="BM",ROUND(OFFSET(ORÇAMENTO!AJ$15,ROW(H136)-ROW(H$15),0),15-13*ORÇAMENTO!$AF$7),SUMPRODUCT(($Q$1:$AQ$1=1)*ROUND($Q136:$AQ136,15-13*ORÇAMENTO!$AF$7))))</f>
        <v>0</v>
      </c>
      <c r="I136" s="343"/>
      <c r="J136" s="344" t="str">
        <f aca="false">IF(OR(B136&lt;&gt;"S",CÁLCULO.FrentesPreenchidas=0),"",IF(AND(ACOMPANHAMENTO="PLE",AUTOEVENTO="Manual",OR(H136&gt;0,ORÇAMENTO!AC136="QUANT."),OR(K136="",M136=0,N136="")),"►",IF(AND(ACOMPANHAMENTO="PLE",ORÇAMENTO!AC136="QUANT."),"►►",IF(AND(COUNTIF($P$11:$AQ$11,"▼")=0,H136&gt;0,I136=""),"◄",""))))</f>
        <v/>
      </c>
      <c r="K136" s="345"/>
      <c r="L136" s="346" t="s">
        <v>876</v>
      </c>
      <c r="M136" s="347" t="str">
        <f aca="true">IF($D136&lt;&gt;"Serviço","",
          IF(AUTOEVENTO="manual",$A136,
                IF(ISERROR(MATCH($A136,$A$15:OFFSET($A136,-1,0),0)),MAX($M$15:OFFSET(M136,-1,0))+1,
                      INDEX($M$15:OFFSET(M136,-1,0),MATCH($A136,$A$15:OFFSET($A136,-1,0),0)))))</f>
        <v/>
      </c>
      <c r="N136" s="348" t="str">
        <f aca="true">IF($D136&lt;&gt;"Serviço","",
         IF(AUTOEVENTO="Manual",
                IF($A136=0,"&lt;-- defina o número do agrupador",
                       OFFSET(EVENTOS!$D$15,$A136-$A$15,0)),
                OFFSET($F$15,$A136,0)))</f>
        <v/>
      </c>
      <c r="O136" s="349"/>
      <c r="Q136" s="349"/>
      <c r="R136" s="350"/>
      <c r="S136" s="350"/>
      <c r="T136" s="350"/>
      <c r="U136" s="350"/>
      <c r="V136" s="350"/>
      <c r="W136" s="350"/>
      <c r="X136" s="350"/>
      <c r="Y136" s="350"/>
      <c r="Z136" s="351"/>
      <c r="AA136" s="350"/>
      <c r="AB136" s="350"/>
      <c r="AC136" s="350"/>
      <c r="AD136" s="350"/>
      <c r="AE136" s="350"/>
      <c r="AF136" s="350"/>
      <c r="AG136" s="350"/>
      <c r="AH136" s="351"/>
      <c r="AI136" s="350"/>
      <c r="AJ136" s="350"/>
      <c r="AK136" s="350"/>
      <c r="AL136" s="350"/>
      <c r="AM136" s="350"/>
      <c r="AN136" s="350"/>
      <c r="AO136" s="350"/>
      <c r="AP136" s="351"/>
      <c r="AR136" s="352" t="n">
        <f aca="true">IF(AND($D136="Serviço",AR$12&lt;&gt;0,$H136&gt;0,OR(AUTOEVENTO&lt;&gt;"manual",$M136&lt;&gt;$A$15)),
        IF(Import.TipoArredondamento&lt;&gt;"TransfereGOV",
              ROUND(OFFSET($P136,0,AR$13),15-13*ORÇAMENTO!$AF$7)/$H136*OFFSET(ORÇAMENTO!$X$15,ROW(AR136)-ROW(AR$15),0),
              ROUND(ROUND(OFFSET($P136,0,AR$13),15-13*ORÇAMENTO!$AF$7)*OFFSET(ORÇAMENTO!$W$15,ROW(AR136)-ROW(AR$15),0),15-13*ORÇAMENTO!$AF$11)),
         0)</f>
        <v>0</v>
      </c>
      <c r="AS136" s="352" t="n">
        <f aca="true">IF(AND($D136="Serviço",AS$12&lt;&gt;0,$H136&gt;0,OR(AUTOEVENTO&lt;&gt;"manual",$M136&lt;&gt;$A$15)),
        IF(Import.TipoArredondamento&lt;&gt;"TransfereGOV",
              ROUND(OFFSET($P136,0,AS$13),15-13*ORÇAMENTO!$AF$7)/$H136*OFFSET(ORÇAMENTO!$X$15,ROW(AS136)-ROW(AS$15),0),
              ROUND(ROUND(OFFSET($P136,0,AS$13),15-13*ORÇAMENTO!$AF$7)*OFFSET(ORÇAMENTO!$W$15,ROW(AS136)-ROW(AS$15),0),15-13*ORÇAMENTO!$AF$11)),
         0)</f>
        <v>0</v>
      </c>
      <c r="AT136" s="352" t="n">
        <f aca="true">IF(AND($D136="Serviço",AT$12&lt;&gt;0,$H136&gt;0,OR(AUTOEVENTO&lt;&gt;"manual",$M136&lt;&gt;$A$15)),
        IF(Import.TipoArredondamento&lt;&gt;"TransfereGOV",
              ROUND(OFFSET($P136,0,AT$13),15-13*ORÇAMENTO!$AF$7)/$H136*OFFSET(ORÇAMENTO!$X$15,ROW(AT136)-ROW(AT$15),0),
              ROUND(ROUND(OFFSET($P136,0,AT$13),15-13*ORÇAMENTO!$AF$7)*OFFSET(ORÇAMENTO!$W$15,ROW(AT136)-ROW(AT$15),0),15-13*ORÇAMENTO!$AF$11)),
         0)</f>
        <v>0</v>
      </c>
      <c r="AU136" s="352" t="n">
        <f aca="true">IF(AND($D136="Serviço",AU$12&lt;&gt;0,$H136&gt;0,OR(AUTOEVENTO&lt;&gt;"manual",$M136&lt;&gt;$A$15)),
        IF(Import.TipoArredondamento&lt;&gt;"TransfereGOV",
              ROUND(OFFSET($P136,0,AU$13),15-13*ORÇAMENTO!$AF$7)/$H136*OFFSET(ORÇAMENTO!$X$15,ROW(AU136)-ROW(AU$15),0),
              ROUND(ROUND(OFFSET($P136,0,AU$13),15-13*ORÇAMENTO!$AF$7)*OFFSET(ORÇAMENTO!$W$15,ROW(AU136)-ROW(AU$15),0),15-13*ORÇAMENTO!$AF$11)),
         0)</f>
        <v>0</v>
      </c>
      <c r="AV136" s="352" t="n">
        <f aca="true">IF(AND($D136="Serviço",AV$12&lt;&gt;0,$H136&gt;0,OR(AUTOEVENTO&lt;&gt;"manual",$M136&lt;&gt;$A$15)),
        IF(Import.TipoArredondamento&lt;&gt;"TransfereGOV",
              ROUND(OFFSET($P136,0,AV$13),15-13*ORÇAMENTO!$AF$7)/$H136*OFFSET(ORÇAMENTO!$X$15,ROW(AV136)-ROW(AV$15),0),
              ROUND(ROUND(OFFSET($P136,0,AV$13),15-13*ORÇAMENTO!$AF$7)*OFFSET(ORÇAMENTO!$W$15,ROW(AV136)-ROW(AV$15),0),15-13*ORÇAMENTO!$AF$11)),
         0)</f>
        <v>0</v>
      </c>
      <c r="AW136" s="352" t="n">
        <f aca="true">IF(AND($D136="Serviço",AW$12&lt;&gt;0,$H136&gt;0,OR(AUTOEVENTO&lt;&gt;"manual",$M136&lt;&gt;$A$15)),
        IF(Import.TipoArredondamento&lt;&gt;"TransfereGOV",
              ROUND(OFFSET($P136,0,AW$13),15-13*ORÇAMENTO!$AF$7)/$H136*OFFSET(ORÇAMENTO!$X$15,ROW(AW136)-ROW(AW$15),0),
              ROUND(ROUND(OFFSET($P136,0,AW$13),15-13*ORÇAMENTO!$AF$7)*OFFSET(ORÇAMENTO!$W$15,ROW(AW136)-ROW(AW$15),0),15-13*ORÇAMENTO!$AF$11)),
         0)</f>
        <v>0</v>
      </c>
      <c r="AX136" s="352" t="n">
        <f aca="true">IF(AND($D136="Serviço",AX$12&lt;&gt;0,$H136&gt;0,OR(AUTOEVENTO&lt;&gt;"manual",$M136&lt;&gt;$A$15)),
        IF(Import.TipoArredondamento&lt;&gt;"TransfereGOV",
              ROUND(OFFSET($P136,0,AX$13),15-13*ORÇAMENTO!$AF$7)/$H136*OFFSET(ORÇAMENTO!$X$15,ROW(AX136)-ROW(AX$15),0),
              ROUND(ROUND(OFFSET($P136,0,AX$13),15-13*ORÇAMENTO!$AF$7)*OFFSET(ORÇAMENTO!$W$15,ROW(AX136)-ROW(AX$15),0),15-13*ORÇAMENTO!$AF$11)),
         0)</f>
        <v>0</v>
      </c>
      <c r="AY136" s="352" t="n">
        <f aca="true">IF(AND($D136="Serviço",AY$12&lt;&gt;0,$H136&gt;0,OR(AUTOEVENTO&lt;&gt;"manual",$M136&lt;&gt;$A$15)),
        IF(Import.TipoArredondamento&lt;&gt;"TransfereGOV",
              ROUND(OFFSET($P136,0,AY$13),15-13*ORÇAMENTO!$AF$7)/$H136*OFFSET(ORÇAMENTO!$X$15,ROW(AY136)-ROW(AY$15),0),
              ROUND(ROUND(OFFSET($P136,0,AY$13),15-13*ORÇAMENTO!$AF$7)*OFFSET(ORÇAMENTO!$W$15,ROW(AY136)-ROW(AY$15),0),15-13*ORÇAMENTO!$AF$11)),
         0)</f>
        <v>0</v>
      </c>
      <c r="AZ136" s="352" t="n">
        <f aca="true">IF(AND($D136="Serviço",AZ$12&lt;&gt;0,$H136&gt;0,OR(AUTOEVENTO&lt;&gt;"manual",$M136&lt;&gt;$A$15)),
        IF(Import.TipoArredondamento&lt;&gt;"TransfereGOV",
              ROUND(OFFSET($P136,0,AZ$13),15-13*ORÇAMENTO!$AF$7)/$H136*OFFSET(ORÇAMENTO!$X$15,ROW(AZ136)-ROW(AZ$15),0),
              ROUND(ROUND(OFFSET($P136,0,AZ$13),15-13*ORÇAMENTO!$AF$7)*OFFSET(ORÇAMENTO!$W$15,ROW(AZ136)-ROW(AZ$15),0),15-13*ORÇAMENTO!$AF$11)),
         0)</f>
        <v>0</v>
      </c>
      <c r="BA136" s="352" t="n">
        <f aca="true">IF(AND($D136="Serviço",BA$12&lt;&gt;0,$H136&gt;0,OR(AUTOEVENTO&lt;&gt;"manual",$M136&lt;&gt;$A$15)),
        IF(Import.TipoArredondamento&lt;&gt;"TransfereGOV",
              ROUND(OFFSET($P136,0,BA$13),15-13*ORÇAMENTO!$AF$7)/$H136*OFFSET(ORÇAMENTO!$X$15,ROW(BA136)-ROW(BA$15),0),
              ROUND(ROUND(OFFSET($P136,0,BA$13),15-13*ORÇAMENTO!$AF$7)*OFFSET(ORÇAMENTO!$W$15,ROW(BA136)-ROW(BA$15),0),15-13*ORÇAMENTO!$AF$11)),
         0)</f>
        <v>0</v>
      </c>
      <c r="BB136" s="352" t="n">
        <f aca="true">IF(AND($D136="Serviço",BB$12&lt;&gt;0,$H136&gt;0,OR(AUTOEVENTO&lt;&gt;"manual",$M136&lt;&gt;$A$15)),
        IF(Import.TipoArredondamento&lt;&gt;"TransfereGOV",
              ROUND(OFFSET($P136,0,BB$13),15-13*ORÇAMENTO!$AF$7)/$H136*OFFSET(ORÇAMENTO!$X$15,ROW(BB136)-ROW(BB$15),0),
              ROUND(ROUND(OFFSET($P136,0,BB$13),15-13*ORÇAMENTO!$AF$7)*OFFSET(ORÇAMENTO!$W$15,ROW(BB136)-ROW(BB$15),0),15-13*ORÇAMENTO!$AF$11)),
         0)</f>
        <v>0</v>
      </c>
      <c r="BC136" s="352" t="n">
        <f aca="true">IF(AND($D136="Serviço",BC$12&lt;&gt;0,$H136&gt;0,OR(AUTOEVENTO&lt;&gt;"manual",$M136&lt;&gt;$A$15)),
        IF(Import.TipoArredondamento&lt;&gt;"TransfereGOV",
              ROUND(OFFSET($P136,0,BC$13),15-13*ORÇAMENTO!$AF$7)/$H136*OFFSET(ORÇAMENTO!$X$15,ROW(BC136)-ROW(BC$15),0),
              ROUND(ROUND(OFFSET($P136,0,BC$13),15-13*ORÇAMENTO!$AF$7)*OFFSET(ORÇAMENTO!$W$15,ROW(BC136)-ROW(BC$15),0),15-13*ORÇAMENTO!$AF$11)),
         0)</f>
        <v>0</v>
      </c>
      <c r="BD136" s="352" t="n">
        <f aca="true">IF(AND($D136="Serviço",BD$12&lt;&gt;0,$H136&gt;0,OR(AUTOEVENTO&lt;&gt;"manual",$M136&lt;&gt;$A$15)),
        IF(Import.TipoArredondamento&lt;&gt;"TransfereGOV",
              ROUND(OFFSET($P136,0,BD$13),15-13*ORÇAMENTO!$AF$7)/$H136*OFFSET(ORÇAMENTO!$X$15,ROW(BD136)-ROW(BD$15),0),
              ROUND(ROUND(OFFSET($P136,0,BD$13),15-13*ORÇAMENTO!$AF$7)*OFFSET(ORÇAMENTO!$W$15,ROW(BD136)-ROW(BD$15),0),15-13*ORÇAMENTO!$AF$11)),
         0)</f>
        <v>0</v>
      </c>
      <c r="BE136" s="352" t="n">
        <f aca="true">IF(AND($D136="Serviço",BE$12&lt;&gt;0,$H136&gt;0,OR(AUTOEVENTO&lt;&gt;"manual",$M136&lt;&gt;$A$15)),
        IF(Import.TipoArredondamento&lt;&gt;"TransfereGOV",
              ROUND(OFFSET($P136,0,BE$13),15-13*ORÇAMENTO!$AF$7)/$H136*OFFSET(ORÇAMENTO!$X$15,ROW(BE136)-ROW(BE$15),0),
              ROUND(ROUND(OFFSET($P136,0,BE$13),15-13*ORÇAMENTO!$AF$7)*OFFSET(ORÇAMENTO!$W$15,ROW(BE136)-ROW(BE$15),0),15-13*ORÇAMENTO!$AF$11)),
         0)</f>
        <v>0</v>
      </c>
      <c r="BF136" s="352" t="n">
        <f aca="true">IF(AND($D136="Serviço",BF$12&lt;&gt;0,$H136&gt;0,OR(AUTOEVENTO&lt;&gt;"manual",$M136&lt;&gt;$A$15)),
        IF(Import.TipoArredondamento&lt;&gt;"TransfereGOV",
              ROUND(OFFSET($P136,0,BF$13),15-13*ORÇAMENTO!$AF$7)/$H136*OFFSET(ORÇAMENTO!$X$15,ROW(BF136)-ROW(BF$15),0),
              ROUND(ROUND(OFFSET($P136,0,BF$13),15-13*ORÇAMENTO!$AF$7)*OFFSET(ORÇAMENTO!$W$15,ROW(BF136)-ROW(BF$15),0),15-13*ORÇAMENTO!$AF$11)),
         0)</f>
        <v>0</v>
      </c>
      <c r="BG136" s="352" t="n">
        <f aca="true">IF(AND($D136="Serviço",BG$12&lt;&gt;0,$H136&gt;0,OR(AUTOEVENTO&lt;&gt;"manual",$M136&lt;&gt;$A$15)),
        IF(Import.TipoArredondamento&lt;&gt;"TransfereGOV",
              ROUND(OFFSET($P136,0,BG$13),15-13*ORÇAMENTO!$AF$7)/$H136*OFFSET(ORÇAMENTO!$X$15,ROW(BG136)-ROW(BG$15),0),
              ROUND(ROUND(OFFSET($P136,0,BG$13),15-13*ORÇAMENTO!$AF$7)*OFFSET(ORÇAMENTO!$W$15,ROW(BG136)-ROW(BG$15),0),15-13*ORÇAMENTO!$AF$11)),
         0)</f>
        <v>0</v>
      </c>
      <c r="BH136" s="352" t="n">
        <f aca="true">IF(AND($D136="Serviço",BH$12&lt;&gt;0,$H136&gt;0,OR(AUTOEVENTO&lt;&gt;"manual",$M136&lt;&gt;$A$15)),
        IF(Import.TipoArredondamento&lt;&gt;"TransfereGOV",
              ROUND(OFFSET($P136,0,BH$13),15-13*ORÇAMENTO!$AF$7)/$H136*OFFSET(ORÇAMENTO!$X$15,ROW(BH136)-ROW(BH$15),0),
              ROUND(ROUND(OFFSET($P136,0,BH$13),15-13*ORÇAMENTO!$AF$7)*OFFSET(ORÇAMENTO!$W$15,ROW(BH136)-ROW(BH$15),0),15-13*ORÇAMENTO!$AF$11)),
         0)</f>
        <v>0</v>
      </c>
      <c r="BI136" s="352" t="n">
        <f aca="true">IF(AND($D136="Serviço",BI$12&lt;&gt;0,$H136&gt;0,OR(AUTOEVENTO&lt;&gt;"manual",$M136&lt;&gt;$A$15)),
        IF(Import.TipoArredondamento&lt;&gt;"TransfereGOV",
              ROUND(OFFSET($P136,0,BI$13),15-13*ORÇAMENTO!$AF$7)/$H136*OFFSET(ORÇAMENTO!$X$15,ROW(BI136)-ROW(BI$15),0),
              ROUND(ROUND(OFFSET($P136,0,BI$13),15-13*ORÇAMENTO!$AF$7)*OFFSET(ORÇAMENTO!$W$15,ROW(BI136)-ROW(BI$15),0),15-13*ORÇAMENTO!$AF$11)),
         0)</f>
        <v>0</v>
      </c>
      <c r="BJ136" s="352" t="n">
        <f aca="true">IF(AND($D136="Serviço",BJ$12&lt;&gt;0,$H136&gt;0,OR(AUTOEVENTO&lt;&gt;"manual",$M136&lt;&gt;$A$15)),
        IF(Import.TipoArredondamento&lt;&gt;"TransfereGOV",
              ROUND(OFFSET($P136,0,BJ$13),15-13*ORÇAMENTO!$AF$7)/$H136*OFFSET(ORÇAMENTO!$X$15,ROW(BJ136)-ROW(BJ$15),0),
              ROUND(ROUND(OFFSET($P136,0,BJ$13),15-13*ORÇAMENTO!$AF$7)*OFFSET(ORÇAMENTO!$W$15,ROW(BJ136)-ROW(BJ$15),0),15-13*ORÇAMENTO!$AF$11)),
         0)</f>
        <v>0</v>
      </c>
      <c r="BK136" s="352" t="n">
        <f aca="true">IF(AND($D136="Serviço",BK$12&lt;&gt;0,$H136&gt;0,OR(AUTOEVENTO&lt;&gt;"manual",$M136&lt;&gt;$A$15)),
        IF(Import.TipoArredondamento&lt;&gt;"TransfereGOV",
              ROUND(OFFSET($P136,0,BK$13),15-13*ORÇAMENTO!$AF$7)/$H136*OFFSET(ORÇAMENTO!$X$15,ROW(BK136)-ROW(BK$15),0),
              ROUND(ROUND(OFFSET($P136,0,BK$13),15-13*ORÇAMENTO!$AF$7)*OFFSET(ORÇAMENTO!$W$15,ROW(BK136)-ROW(BK$15),0),15-13*ORÇAMENTO!$AF$11)),
         0)</f>
        <v>0</v>
      </c>
      <c r="BL136" s="352" t="n">
        <f aca="true">IF(AND($D136="Serviço",BL$12&lt;&gt;0,$H136&gt;0,OR(AUTOEVENTO&lt;&gt;"manual",$M136&lt;&gt;$A$15)),
        IF(Import.TipoArredondamento&lt;&gt;"TransfereGOV",
              ROUND(OFFSET($P136,0,BL$13),15-13*ORÇAMENTO!$AF$7)/$H136*OFFSET(ORÇAMENTO!$X$15,ROW(BL136)-ROW(BL$15),0),
              ROUND(ROUND(OFFSET($P136,0,BL$13),15-13*ORÇAMENTO!$AF$7)*OFFSET(ORÇAMENTO!$W$15,ROW(BL136)-ROW(BL$15),0),15-13*ORÇAMENTO!$AF$11)),
         0)</f>
        <v>0</v>
      </c>
      <c r="BM136" s="352" t="n">
        <f aca="true">IF(AND($D136="Serviço",BM$12&lt;&gt;0,$H136&gt;0,OR(AUTOEVENTO&lt;&gt;"manual",$M136&lt;&gt;$A$15)),
        IF(Import.TipoArredondamento&lt;&gt;"TransfereGOV",
              ROUND(OFFSET($P136,0,BM$13),15-13*ORÇAMENTO!$AF$7)/$H136*OFFSET(ORÇAMENTO!$X$15,ROW(BM136)-ROW(BM$15),0),
              ROUND(ROUND(OFFSET($P136,0,BM$13),15-13*ORÇAMENTO!$AF$7)*OFFSET(ORÇAMENTO!$W$15,ROW(BM136)-ROW(BM$15),0),15-13*ORÇAMENTO!$AF$11)),
         0)</f>
        <v>0</v>
      </c>
      <c r="BN136" s="352" t="n">
        <f aca="true">IF(AND($D136="Serviço",BN$12&lt;&gt;0,$H136&gt;0,OR(AUTOEVENTO&lt;&gt;"manual",$M136&lt;&gt;$A$15)),
        IF(Import.TipoArredondamento&lt;&gt;"TransfereGOV",
              ROUND(OFFSET($P136,0,BN$13),15-13*ORÇAMENTO!$AF$7)/$H136*OFFSET(ORÇAMENTO!$X$15,ROW(BN136)-ROW(BN$15),0),
              ROUND(ROUND(OFFSET($P136,0,BN$13),15-13*ORÇAMENTO!$AF$7)*OFFSET(ORÇAMENTO!$W$15,ROW(BN136)-ROW(BN$15),0),15-13*ORÇAMENTO!$AF$11)),
         0)</f>
        <v>0</v>
      </c>
      <c r="BO136" s="352" t="n">
        <f aca="true">IF(AND($D136="Serviço",BO$12&lt;&gt;0,$H136&gt;0,OR(AUTOEVENTO&lt;&gt;"manual",$M136&lt;&gt;$A$15)),
        IF(Import.TipoArredondamento&lt;&gt;"TransfereGOV",
              ROUND(OFFSET($P136,0,BO$13),15-13*ORÇAMENTO!$AF$7)/$H136*OFFSET(ORÇAMENTO!$X$15,ROW(BO136)-ROW(BO$15),0),
              ROUND(ROUND(OFFSET($P136,0,BO$13),15-13*ORÇAMENTO!$AF$7)*OFFSET(ORÇAMENTO!$W$15,ROW(BO136)-ROW(BO$15),0),15-13*ORÇAMENTO!$AF$11)),
         0)</f>
        <v>0</v>
      </c>
      <c r="BP136" s="352" t="n">
        <f aca="true">IF(AND($D136="Serviço",BP$12&lt;&gt;0,$H136&gt;0,OR(AUTOEVENTO&lt;&gt;"manual",$M136&lt;&gt;$A$15)),
        IF(Import.TipoArredondamento&lt;&gt;"TransfereGOV",
              ROUND(OFFSET($P136,0,BP$13),15-13*ORÇAMENTO!$AF$7)/$H136*OFFSET(ORÇAMENTO!$X$15,ROW(BP136)-ROW(BP$15),0),
              ROUND(ROUND(OFFSET($P136,0,BP$13),15-13*ORÇAMENTO!$AF$7)*OFFSET(ORÇAMENTO!$W$15,ROW(BP136)-ROW(BP$15),0),15-13*ORÇAMENTO!$AF$11)),
         0)</f>
        <v>0</v>
      </c>
      <c r="BQ136" s="352" t="n">
        <f aca="true">IF(AND($D136="Serviço",BQ$12&lt;&gt;0,$H136&gt;0,OR(AUTOEVENTO&lt;&gt;"manual",$M136&lt;&gt;$A$15)),
        IF(Import.TipoArredondamento&lt;&gt;"TransfereGOV",
              ROUND(OFFSET($P136,0,BQ$13),15-13*ORÇAMENTO!$AF$7)/$H136*OFFSET(ORÇAMENTO!$X$15,ROW(BQ136)-ROW(BQ$15),0),
              ROUND(ROUND(OFFSET($P136,0,BQ$13),15-13*ORÇAMENTO!$AF$7)*OFFSET(ORÇAMENTO!$W$15,ROW(BQ136)-ROW(BQ$15),0),15-13*ORÇAMENTO!$AF$11)),
         0)</f>
        <v>0</v>
      </c>
      <c r="BS136" s="353" t="n">
        <f aca="true">IF(OR($D136&lt;&gt;"Serviço",AND(AUTOEVENTO="Manual",$M136=$A$15)),0,
         IF(OFFSET(CRONOPLE!$F$15,$M136-$A$15,BS$13)=0,10^12,OFFSET(CRONOPLE!$F$15,$M136-$A$15,BS$13)))</f>
        <v>0</v>
      </c>
      <c r="BT136" s="353" t="n">
        <f aca="true">IF(OR($D136&lt;&gt;"Serviço",AND(AUTOEVENTO="Manual",$M136=$A$15)),0,
         IF(OFFSET(CRONOPLE!$F$15,$M136-$A$15,BT$13)=0,10^12,OFFSET(CRONOPLE!$F$15,$M136-$A$15,BT$13)))</f>
        <v>0</v>
      </c>
      <c r="BU136" s="353" t="n">
        <f aca="true">IF(OR($D136&lt;&gt;"Serviço",AND(AUTOEVENTO="Manual",$M136=$A$15)),0,
         IF(OFFSET(CRONOPLE!$F$15,$M136-$A$15,BU$13)=0,10^12,OFFSET(CRONOPLE!$F$15,$M136-$A$15,BU$13)))</f>
        <v>0</v>
      </c>
      <c r="BV136" s="353" t="n">
        <f aca="true">IF(OR($D136&lt;&gt;"Serviço",AND(AUTOEVENTO="Manual",$M136=$A$15)),0,
         IF(OFFSET(CRONOPLE!$F$15,$M136-$A$15,BV$13)=0,10^12,OFFSET(CRONOPLE!$F$15,$M136-$A$15,BV$13)))</f>
        <v>0</v>
      </c>
      <c r="BW136" s="353" t="n">
        <f aca="true">IF(OR($D136&lt;&gt;"Serviço",AND(AUTOEVENTO="Manual",$M136=$A$15)),0,
         IF(OFFSET(CRONOPLE!$F$15,$M136-$A$15,BW$13)=0,10^12,OFFSET(CRONOPLE!$F$15,$M136-$A$15,BW$13)))</f>
        <v>0</v>
      </c>
      <c r="BX136" s="353" t="n">
        <f aca="true">IF(OR($D136&lt;&gt;"Serviço",AND(AUTOEVENTO="Manual",$M136=$A$15)),0,
         IF(OFFSET(CRONOPLE!$F$15,$M136-$A$15,BX$13)=0,10^12,OFFSET(CRONOPLE!$F$15,$M136-$A$15,BX$13)))</f>
        <v>0</v>
      </c>
      <c r="BY136" s="353" t="n">
        <f aca="true">IF(OR($D136&lt;&gt;"Serviço",AND(AUTOEVENTO="Manual",$M136=$A$15)),0,
         IF(OFFSET(CRONOPLE!$F$15,$M136-$A$15,BY$13)=0,10^12,OFFSET(CRONOPLE!$F$15,$M136-$A$15,BY$13)))</f>
        <v>0</v>
      </c>
      <c r="BZ136" s="353" t="n">
        <f aca="true">IF(OR($D136&lt;&gt;"Serviço",AND(AUTOEVENTO="Manual",$M136=$A$15)),0,
         IF(OFFSET(CRONOPLE!$F$15,$M136-$A$15,BZ$13)=0,10^12,OFFSET(CRONOPLE!$F$15,$M136-$A$15,BZ$13)))</f>
        <v>0</v>
      </c>
      <c r="CA136" s="353" t="n">
        <f aca="true">IF(OR($D136&lt;&gt;"Serviço",AND(AUTOEVENTO="Manual",$M136=$A$15)),0,
         IF(OFFSET(CRONOPLE!$F$15,$M136-$A$15,CA$13)=0,10^12,OFFSET(CRONOPLE!$F$15,$M136-$A$15,CA$13)))</f>
        <v>0</v>
      </c>
      <c r="CB136" s="353" t="n">
        <f aca="true">IF(OR($D136&lt;&gt;"Serviço",AND(AUTOEVENTO="Manual",$M136=$A$15)),0,
         IF(OFFSET(CRONOPLE!$F$15,$M136-$A$15,CB$13)=0,10^12,OFFSET(CRONOPLE!$F$15,$M136-$A$15,CB$13)))</f>
        <v>0</v>
      </c>
      <c r="CC136" s="353" t="n">
        <f aca="true">IF(OR($D136&lt;&gt;"Serviço",AND(AUTOEVENTO="Manual",$M136=$A$15)),0,
         IF(OFFSET(CRONOPLE!$F$15,$M136-$A$15,CC$13)=0,10^12,OFFSET(CRONOPLE!$F$15,$M136-$A$15,CC$13)))</f>
        <v>0</v>
      </c>
      <c r="CD136" s="353" t="n">
        <f aca="true">IF(OR($D136&lt;&gt;"Serviço",AND(AUTOEVENTO="Manual",$M136=$A$15)),0,
         IF(OFFSET(CRONOPLE!$F$15,$M136-$A$15,CD$13)=0,10^12,OFFSET(CRONOPLE!$F$15,$M136-$A$15,CD$13)))</f>
        <v>0</v>
      </c>
      <c r="CE136" s="353" t="n">
        <f aca="true">IF(OR($D136&lt;&gt;"Serviço",AND(AUTOEVENTO="Manual",$M136=$A$15)),0,
         IF(OFFSET(CRONOPLE!$F$15,$M136-$A$15,CE$13)=0,10^12,OFFSET(CRONOPLE!$F$15,$M136-$A$15,CE$13)))</f>
        <v>0</v>
      </c>
      <c r="CF136" s="353" t="n">
        <f aca="true">IF(OR($D136&lt;&gt;"Serviço",AND(AUTOEVENTO="Manual",$M136=$A$15)),0,
         IF(OFFSET(CRONOPLE!$F$15,$M136-$A$15,CF$13)=0,10^12,OFFSET(CRONOPLE!$F$15,$M136-$A$15,CF$13)))</f>
        <v>0</v>
      </c>
      <c r="CG136" s="353" t="n">
        <f aca="true">IF(OR($D136&lt;&gt;"Serviço",AND(AUTOEVENTO="Manual",$M136=$A$15)),0,
         IF(OFFSET(CRONOPLE!$F$15,$M136-$A$15,CG$13)=0,10^12,OFFSET(CRONOPLE!$F$15,$M136-$A$15,CG$13)))</f>
        <v>0</v>
      </c>
      <c r="CH136" s="353" t="n">
        <f aca="true">IF(OR($D136&lt;&gt;"Serviço",AND(AUTOEVENTO="Manual",$M136=$A$15)),0,
         IF(OFFSET(CRONOPLE!$F$15,$M136-$A$15,CH$13)=0,10^12,OFFSET(CRONOPLE!$F$15,$M136-$A$15,CH$13)))</f>
        <v>0</v>
      </c>
      <c r="CI136" s="353" t="n">
        <f aca="true">IF(OR($D136&lt;&gt;"Serviço",AND(AUTOEVENTO="Manual",$M136=$A$15)),0,
         IF(OFFSET(CRONOPLE!$F$15,$M136-$A$15,CI$13)=0,10^12,OFFSET(CRONOPLE!$F$15,$M136-$A$15,CI$13)))</f>
        <v>0</v>
      </c>
      <c r="CJ136" s="353" t="n">
        <f aca="true">IF(OR($D136&lt;&gt;"Serviço",AND(AUTOEVENTO="Manual",$M136=$A$15)),0,
         IF(OFFSET(CRONOPLE!$F$15,$M136-$A$15,CJ$13)=0,10^12,OFFSET(CRONOPLE!$F$15,$M136-$A$15,CJ$13)))</f>
        <v>0</v>
      </c>
      <c r="CK136" s="353" t="n">
        <f aca="true">IF(OR($D136&lt;&gt;"Serviço",AND(AUTOEVENTO="Manual",$M136=$A$15)),0,
         IF(OFFSET(CRONOPLE!$F$15,$M136-$A$15,CK$13)=0,10^12,OFFSET(CRONOPLE!$F$15,$M136-$A$15,CK$13)))</f>
        <v>0</v>
      </c>
      <c r="CL136" s="353" t="n">
        <f aca="true">IF(OR($D136&lt;&gt;"Serviço",AND(AUTOEVENTO="Manual",$M136=$A$15)),0,
         IF(OFFSET(CRONOPLE!$F$15,$M136-$A$15,CL$13)=0,10^12,OFFSET(CRONOPLE!$F$15,$M136-$A$15,CL$13)))</f>
        <v>0</v>
      </c>
      <c r="CM136" s="353" t="n">
        <f aca="true">IF(OR($D136&lt;&gt;"Serviço",AND(AUTOEVENTO="Manual",$M136=$A$15)),0,
         IF(OFFSET(CRONOPLE!$F$15,$M136-$A$15,CM$13)=0,10^12,OFFSET(CRONOPLE!$F$15,$M136-$A$15,CM$13)))</f>
        <v>0</v>
      </c>
      <c r="CN136" s="353" t="n">
        <f aca="true">IF(OR($D136&lt;&gt;"Serviço",AND(AUTOEVENTO="Manual",$M136=$A$15)),0,
         IF(OFFSET(CRONOPLE!$F$15,$M136-$A$15,CN$13)=0,10^12,OFFSET(CRONOPLE!$F$15,$M136-$A$15,CN$13)))</f>
        <v>0</v>
      </c>
      <c r="CO136" s="353" t="n">
        <f aca="true">IF(OR($D136&lt;&gt;"Serviço",AND(AUTOEVENTO="Manual",$M136=$A$15)),0,
         IF(OFFSET(CRONOPLE!$F$15,$M136-$A$15,CO$13)=0,10^12,OFFSET(CRONOPLE!$F$15,$M136-$A$15,CO$13)))</f>
        <v>0</v>
      </c>
      <c r="CP136" s="353" t="n">
        <f aca="true">IF(OR($D136&lt;&gt;"Serviço",AND(AUTOEVENTO="Manual",$M136=$A$15)),0,
         IF(OFFSET(CRONOPLE!$F$15,$M136-$A$15,CP$13)=0,10^12,OFFSET(CRONOPLE!$F$15,$M136-$A$15,CP$13)))</f>
        <v>0</v>
      </c>
      <c r="CQ136" s="353" t="n">
        <f aca="true">IF(OR($D136&lt;&gt;"Serviço",AND(AUTOEVENTO="Manual",$M136=$A$15)),0,
         IF(OFFSET(CRONOPLE!$F$15,$M136-$A$15,CQ$13)=0,10^12,OFFSET(CRONOPLE!$F$15,$M136-$A$15,CQ$13)))</f>
        <v>0</v>
      </c>
      <c r="CR136" s="353" t="n">
        <f aca="true">IF(OR($D136&lt;&gt;"Serviço",AND(AUTOEVENTO="Manual",$M136=$A$15)),0,
         IF(OFFSET(CRONOPLE!$F$15,$M136-$A$15,CR$13)=0,10^12,OFFSET(CRONOPLE!$F$15,$M136-$A$15,CR$13)))</f>
        <v>0</v>
      </c>
      <c r="CT136" s="354" t="n">
        <f aca="true">IF(OR($D136&lt;&gt;"Serviço",AND(AUTOEVENTO="Manual",$M136=$A$15),$M136&gt;(ROW(PLE.lastrow)-ROW(PLE.firstrow))),0,
           IF(OFFSET(PLE!$G$15,$M136-$A$15,CT$13)="",10^12,OFFSET(PLE!$G$15,$M136-$A$15,CT$13)))</f>
        <v>0</v>
      </c>
      <c r="CU136" s="354" t="n">
        <f aca="true">IF(OR($D136&lt;&gt;"Serviço",AND(AUTOEVENTO="Manual",$M136=$A$15),$M136&gt;(ROW(PLE.lastrow)-ROW(PLE.firstrow))),0,
           IF(OFFSET(PLE!$G$15,$M136-$A$15,CU$13)="",10^12,OFFSET(PLE!$G$15,$M136-$A$15,CU$13)))</f>
        <v>0</v>
      </c>
      <c r="CV136" s="354" t="n">
        <f aca="true">IF(OR($D136&lt;&gt;"Serviço",AND(AUTOEVENTO="Manual",$M136=$A$15),$M136&gt;(ROW(PLE.lastrow)-ROW(PLE.firstrow))),0,
           IF(OFFSET(PLE!$G$15,$M136-$A$15,CV$13)="",10^12,OFFSET(PLE!$G$15,$M136-$A$15,CV$13)))</f>
        <v>0</v>
      </c>
      <c r="CW136" s="354" t="n">
        <f aca="true">IF(OR($D136&lt;&gt;"Serviço",AND(AUTOEVENTO="Manual",$M136=$A$15),$M136&gt;(ROW(PLE.lastrow)-ROW(PLE.firstrow))),0,
           IF(OFFSET(PLE!$G$15,$M136-$A$15,CW$13)="",10^12,OFFSET(PLE!$G$15,$M136-$A$15,CW$13)))</f>
        <v>0</v>
      </c>
      <c r="CX136" s="354" t="n">
        <f aca="true">IF(OR($D136&lt;&gt;"Serviço",AND(AUTOEVENTO="Manual",$M136=$A$15),$M136&gt;(ROW(PLE.lastrow)-ROW(PLE.firstrow))),0,
           IF(OFFSET(PLE!$G$15,$M136-$A$15,CX$13)="",10^12,OFFSET(PLE!$G$15,$M136-$A$15,CX$13)))</f>
        <v>0</v>
      </c>
      <c r="CY136" s="354" t="n">
        <f aca="true">IF(OR($D136&lt;&gt;"Serviço",AND(AUTOEVENTO="Manual",$M136=$A$15),$M136&gt;(ROW(PLE.lastrow)-ROW(PLE.firstrow))),0,
           IF(OFFSET(PLE!$G$15,$M136-$A$15,CY$13)="",10^12,OFFSET(PLE!$G$15,$M136-$A$15,CY$13)))</f>
        <v>0</v>
      </c>
      <c r="CZ136" s="354" t="n">
        <f aca="true">IF(OR($D136&lt;&gt;"Serviço",AND(AUTOEVENTO="Manual",$M136=$A$15),$M136&gt;(ROW(PLE.lastrow)-ROW(PLE.firstrow))),0,
           IF(OFFSET(PLE!$G$15,$M136-$A$15,CZ$13)="",10^12,OFFSET(PLE!$G$15,$M136-$A$15,CZ$13)))</f>
        <v>0</v>
      </c>
      <c r="DA136" s="354" t="n">
        <f aca="true">IF(OR($D136&lt;&gt;"Serviço",AND(AUTOEVENTO="Manual",$M136=$A$15),$M136&gt;(ROW(PLE.lastrow)-ROW(PLE.firstrow))),0,
           IF(OFFSET(PLE!$G$15,$M136-$A$15,DA$13)="",10^12,OFFSET(PLE!$G$15,$M136-$A$15,DA$13)))</f>
        <v>0</v>
      </c>
      <c r="DB136" s="354" t="n">
        <f aca="true">IF(OR($D136&lt;&gt;"Serviço",AND(AUTOEVENTO="Manual",$M136=$A$15),$M136&gt;(ROW(PLE.lastrow)-ROW(PLE.firstrow))),0,
           IF(OFFSET(PLE!$G$15,$M136-$A$15,DB$13)="",10^12,OFFSET(PLE!$G$15,$M136-$A$15,DB$13)))</f>
        <v>0</v>
      </c>
      <c r="DC136" s="354" t="n">
        <f aca="true">IF(OR($D136&lt;&gt;"Serviço",AND(AUTOEVENTO="Manual",$M136=$A$15),$M136&gt;(ROW(PLE.lastrow)-ROW(PLE.firstrow))),0,
           IF(OFFSET(PLE!$G$15,$M136-$A$15,DC$13)="",10^12,OFFSET(PLE!$G$15,$M136-$A$15,DC$13)))</f>
        <v>0</v>
      </c>
      <c r="DD136" s="354" t="n">
        <f aca="true">IF(OR($D136&lt;&gt;"Serviço",AND(AUTOEVENTO="Manual",$M136=$A$15),$M136&gt;(ROW(PLE.lastrow)-ROW(PLE.firstrow))),0,
           IF(OFFSET(PLE!$G$15,$M136-$A$15,DD$13)="",10^12,OFFSET(PLE!$G$15,$M136-$A$15,DD$13)))</f>
        <v>0</v>
      </c>
      <c r="DE136" s="354" t="n">
        <f aca="true">IF(OR($D136&lt;&gt;"Serviço",AND(AUTOEVENTO="Manual",$M136=$A$15),$M136&gt;(ROW(PLE.lastrow)-ROW(PLE.firstrow))),0,
           IF(OFFSET(PLE!$G$15,$M136-$A$15,DE$13)="",10^12,OFFSET(PLE!$G$15,$M136-$A$15,DE$13)))</f>
        <v>0</v>
      </c>
      <c r="DF136" s="354" t="n">
        <f aca="true">IF(OR($D136&lt;&gt;"Serviço",AND(AUTOEVENTO="Manual",$M136=$A$15),$M136&gt;(ROW(PLE.lastrow)-ROW(PLE.firstrow))),0,
           IF(OFFSET(PLE!$G$15,$M136-$A$15,DF$13)="",10^12,OFFSET(PLE!$G$15,$M136-$A$15,DF$13)))</f>
        <v>0</v>
      </c>
      <c r="DG136" s="354" t="n">
        <f aca="true">IF(OR($D136&lt;&gt;"Serviço",AND(AUTOEVENTO="Manual",$M136=$A$15),$M136&gt;(ROW(PLE.lastrow)-ROW(PLE.firstrow))),0,
           IF(OFFSET(PLE!$G$15,$M136-$A$15,DG$13)="",10^12,OFFSET(PLE!$G$15,$M136-$A$15,DG$13)))</f>
        <v>0</v>
      </c>
      <c r="DH136" s="354" t="n">
        <f aca="true">IF(OR($D136&lt;&gt;"Serviço",AND(AUTOEVENTO="Manual",$M136=$A$15),$M136&gt;(ROW(PLE.lastrow)-ROW(PLE.firstrow))),0,
           IF(OFFSET(PLE!$G$15,$M136-$A$15,DH$13)="",10^12,OFFSET(PLE!$G$15,$M136-$A$15,DH$13)))</f>
        <v>0</v>
      </c>
      <c r="DI136" s="354" t="n">
        <f aca="true">IF(OR($D136&lt;&gt;"Serviço",AND(AUTOEVENTO="Manual",$M136=$A$15),$M136&gt;(ROW(PLE.lastrow)-ROW(PLE.firstrow))),0,
           IF(OFFSET(PLE!$G$15,$M136-$A$15,DI$13)="",10^12,OFFSET(PLE!$G$15,$M136-$A$15,DI$13)))</f>
        <v>0</v>
      </c>
      <c r="DJ136" s="354" t="n">
        <f aca="true">IF(OR($D136&lt;&gt;"Serviço",AND(AUTOEVENTO="Manual",$M136=$A$15),$M136&gt;(ROW(PLE.lastrow)-ROW(PLE.firstrow))),0,
           IF(OFFSET(PLE!$G$15,$M136-$A$15,DJ$13)="",10^12,OFFSET(PLE!$G$15,$M136-$A$15,DJ$13)))</f>
        <v>0</v>
      </c>
      <c r="DK136" s="354" t="n">
        <f aca="true">IF(OR($D136&lt;&gt;"Serviço",AND(AUTOEVENTO="Manual",$M136=$A$15),$M136&gt;(ROW(PLE.lastrow)-ROW(PLE.firstrow))),0,
           IF(OFFSET(PLE!$G$15,$M136-$A$15,DK$13)="",10^12,OFFSET(PLE!$G$15,$M136-$A$15,DK$13)))</f>
        <v>0</v>
      </c>
      <c r="DL136" s="354" t="n">
        <f aca="true">IF(OR($D136&lt;&gt;"Serviço",AND(AUTOEVENTO="Manual",$M136=$A$15),$M136&gt;(ROW(PLE.lastrow)-ROW(PLE.firstrow))),0,
           IF(OFFSET(PLE!$G$15,$M136-$A$15,DL$13)="",10^12,OFFSET(PLE!$G$15,$M136-$A$15,DL$13)))</f>
        <v>0</v>
      </c>
      <c r="DM136" s="354" t="n">
        <f aca="true">IF(OR($D136&lt;&gt;"Serviço",AND(AUTOEVENTO="Manual",$M136=$A$15),$M136&gt;(ROW(PLE.lastrow)-ROW(PLE.firstrow))),0,
           IF(OFFSET(PLE!$G$15,$M136-$A$15,DM$13)="",10^12,OFFSET(PLE!$G$15,$M136-$A$15,DM$13)))</f>
        <v>0</v>
      </c>
      <c r="DN136" s="354" t="n">
        <f aca="true">IF(OR($D136&lt;&gt;"Serviço",AND(AUTOEVENTO="Manual",$M136=$A$15),$M136&gt;(ROW(PLE.lastrow)-ROW(PLE.firstrow))),0,
           IF(OFFSET(PLE!$G$15,$M136-$A$15,DN$13)="",10^12,OFFSET(PLE!$G$15,$M136-$A$15,DN$13)))</f>
        <v>0</v>
      </c>
      <c r="DO136" s="354" t="n">
        <f aca="true">IF(OR($D136&lt;&gt;"Serviço",AND(AUTOEVENTO="Manual",$M136=$A$15),$M136&gt;(ROW(PLE.lastrow)-ROW(PLE.firstrow))),0,
           IF(OFFSET(PLE!$G$15,$M136-$A$15,DO$13)="",10^12,OFFSET(PLE!$G$15,$M136-$A$15,DO$13)))</f>
        <v>0</v>
      </c>
      <c r="DP136" s="354" t="n">
        <f aca="true">IF(OR($D136&lt;&gt;"Serviço",AND(AUTOEVENTO="Manual",$M136=$A$15),$M136&gt;(ROW(PLE.lastrow)-ROW(PLE.firstrow))),0,
           IF(OFFSET(PLE!$G$15,$M136-$A$15,DP$13)="",10^12,OFFSET(PLE!$G$15,$M136-$A$15,DP$13)))</f>
        <v>0</v>
      </c>
      <c r="DQ136" s="354" t="n">
        <f aca="true">IF(OR($D136&lt;&gt;"Serviço",AND(AUTOEVENTO="Manual",$M136=$A$15),$M136&gt;(ROW(PLE.lastrow)-ROW(PLE.firstrow))),0,
           IF(OFFSET(PLE!$G$15,$M136-$A$15,DQ$13)="",10^12,OFFSET(PLE!$G$15,$M136-$A$15,DQ$13)))</f>
        <v>0</v>
      </c>
      <c r="DR136" s="354" t="n">
        <f aca="true">IF(OR($D136&lt;&gt;"Serviço",AND(AUTOEVENTO="Manual",$M136=$A$15),$M136&gt;(ROW(PLE.lastrow)-ROW(PLE.firstrow))),0,
           IF(OFFSET(PLE!$G$15,$M136-$A$15,DR$13)="",10^12,OFFSET(PLE!$G$15,$M136-$A$15,DR$13)))</f>
        <v>0</v>
      </c>
      <c r="DS136" s="354" t="n">
        <f aca="true">IF(OR($D136&lt;&gt;"Serviço",AND(AUTOEVENTO="Manual",$M136=$A$15),$M136&gt;(ROW(PLE.lastrow)-ROW(PLE.firstrow))),0,
           IF(OFFSET(PLE!$G$15,$M136-$A$15,DS$13)="",10^12,OFFSET(PLE!$G$15,$M136-$A$15,DS$13)))</f>
        <v>0</v>
      </c>
    </row>
    <row r="137" customFormat="false" ht="35.05" hidden="false" customHeight="false" outlineLevel="0" collapsed="false">
      <c r="A137" s="50" t="str">
        <f aca="true">IFERROR(IF(AUTOEVENTO="Manual",IF(K137&lt;&gt;"",MIN(VALUE(LEFT(K137,FIND(".",K137)-1)),COUNTA(EVENTOS.Lista)),0),IF(OR($B137&gt;AUTOEVENTO,$B137="S",$B137=0),SUBSTITUTE(OFFSET($A137,-1,0),IF($D137="Serviço",".",""),""),ROW(A137)-ROW($A$15)&amp;".")),0)</f>
        <v>121</v>
      </c>
      <c r="B137" s="50" t="str">
        <f aca="true">OFFSET(ORÇAMENTO!C$15,ROW(B137)-ROW(B$15),0)</f>
        <v>S</v>
      </c>
      <c r="C137" s="50" t="str">
        <f aca="true">OFFSET(ORÇAMENTO!L$15,ROW(C137)-ROW(C$15),0)</f>
        <v>F</v>
      </c>
      <c r="D137" s="201" t="str">
        <f aca="true">OFFSET(ORÇAMENTO!N$15,ROW(D137)-ROW(D$15),0)</f>
        <v>Serviço</v>
      </c>
      <c r="E137" s="202" t="str">
        <f aca="true">OFFSET(ORÇAMENTO!O$15,ROW(E137)-ROW(E$15),0)</f>
        <v>1.40.1.</v>
      </c>
      <c r="F137" s="341" t="str">
        <f aca="true">OFFSET(ORÇAMENTO!R$15,ROW(F137)-ROW(F$15),0)</f>
        <v>JOELHO 90 GRAUS COM BUCHA DE LATÃO, PVC, SOLDÁVEL, DN 25MM, X 1/2 INSTALADO EM RAMAL OU SUB-RAMAL DE ÁGUA - FORNECIMENTO E INSTALAÇÃO. AF_06/2022</v>
      </c>
      <c r="G137" s="342" t="str">
        <f aca="true">IF($D137&lt;&gt;"Serviço","",OFFSET(ORÇAMENTO!S$15,ROW(G137)-ROW(G$15),0))</f>
        <v>UN</v>
      </c>
      <c r="H137" s="207" t="n">
        <f aca="true">IF($D137&lt;&gt;"Serviço",0,IF(ACOMPANHAMENTO="BM",ROUND(OFFSET(ORÇAMENTO!AJ$15,ROW(H137)-ROW(H$15),0),15-13*ORÇAMENTO!$AF$7),SUMPRODUCT(($Q$1:$AQ$1=1)*ROUND($Q137:$AQ137,15-13*ORÇAMENTO!$AF$7))))</f>
        <v>175</v>
      </c>
      <c r="I137" s="343" t="s">
        <v>976</v>
      </c>
      <c r="J137" s="344" t="e">
        <f aca="false">IF(OR(B137&lt;&gt;"S",CÁLCULO.FrentesPreenchidas=0),"",IF(AND(ACOMPANHAMENTO="PLE",AUTOEVENTO="Manual",OR(H137&gt;0,ORÇAMENTO!AC137="QUANT."),OR(K137="",M137=0,N137="")),"►",IF(AND(ACOMPANHAMENTO="PLE",ORÇAMENTO!AC137="QUANT."),"►►",IF(AND(COUNTIF($P$11:$AQ$11,"▼")=0,H137&gt;0,I137=""),"◄",""))))</f>
        <v>#NAME?</v>
      </c>
      <c r="K137" s="345"/>
      <c r="L137" s="346" t="s">
        <v>876</v>
      </c>
      <c r="M137" s="347" t="n">
        <f aca="true">IF($D137&lt;&gt;"Serviço","",
          IF(AUTOEVENTO="manual",$A137,
                IF(ISERROR(MATCH($A137,$A$15:OFFSET($A137,-1,0),0)),MAX($M$15:OFFSET(M137,-1,0))+1,
                      INDEX($M$15:OFFSET(M137,-1,0),MATCH($A137,$A$15:OFFSET($A137,-1,0),0)))))</f>
        <v>24</v>
      </c>
      <c r="N137" s="348" t="str">
        <f aca="true">IF($D137&lt;&gt;"Serviço","",
         IF(AUTOEVENTO="Manual",
                IF($A137=0,"&lt;-- defina o número do agrupador",
                       OFFSET(EVENTOS!$D$15,$A137-$A$15,0)),
                OFFSET($F$15,$A137,0)))</f>
        <v>TUBULAÇÕES E CONEXÕES</v>
      </c>
      <c r="O137" s="349"/>
      <c r="Q137" s="349" t="n">
        <v>7</v>
      </c>
      <c r="R137" s="350" t="n">
        <f aca="false">Q137</f>
        <v>7</v>
      </c>
      <c r="S137" s="350" t="n">
        <f aca="false">R137</f>
        <v>7</v>
      </c>
      <c r="T137" s="350" t="n">
        <f aca="false">S137</f>
        <v>7</v>
      </c>
      <c r="U137" s="350" t="n">
        <f aca="false">T137</f>
        <v>7</v>
      </c>
      <c r="V137" s="350" t="n">
        <f aca="false">U137</f>
        <v>7</v>
      </c>
      <c r="W137" s="350" t="n">
        <f aca="false">V137</f>
        <v>7</v>
      </c>
      <c r="X137" s="350" t="n">
        <f aca="false">W137</f>
        <v>7</v>
      </c>
      <c r="Y137" s="350" t="n">
        <f aca="false">X137</f>
        <v>7</v>
      </c>
      <c r="Z137" s="351" t="n">
        <f aca="false">Y137</f>
        <v>7</v>
      </c>
      <c r="AA137" s="350" t="n">
        <f aca="false">Z137</f>
        <v>7</v>
      </c>
      <c r="AB137" s="350" t="n">
        <f aca="false">AA137</f>
        <v>7</v>
      </c>
      <c r="AC137" s="350" t="n">
        <f aca="false">AB137</f>
        <v>7</v>
      </c>
      <c r="AD137" s="350" t="n">
        <f aca="false">AC137</f>
        <v>7</v>
      </c>
      <c r="AE137" s="350" t="n">
        <f aca="false">AD137</f>
        <v>7</v>
      </c>
      <c r="AF137" s="350" t="n">
        <f aca="false">AE137</f>
        <v>7</v>
      </c>
      <c r="AG137" s="350" t="n">
        <f aca="false">AF137</f>
        <v>7</v>
      </c>
      <c r="AH137" s="351" t="n">
        <f aca="false">AG137</f>
        <v>7</v>
      </c>
      <c r="AI137" s="350" t="n">
        <f aca="false">AH137</f>
        <v>7</v>
      </c>
      <c r="AJ137" s="350" t="n">
        <f aca="false">AI137</f>
        <v>7</v>
      </c>
      <c r="AK137" s="350" t="n">
        <f aca="false">AJ137</f>
        <v>7</v>
      </c>
      <c r="AL137" s="350" t="n">
        <f aca="false">AK137</f>
        <v>7</v>
      </c>
      <c r="AM137" s="350" t="n">
        <f aca="false">AL137</f>
        <v>7</v>
      </c>
      <c r="AN137" s="350" t="n">
        <f aca="false">AM137</f>
        <v>7</v>
      </c>
      <c r="AO137" s="350" t="n">
        <f aca="false">AN137</f>
        <v>7</v>
      </c>
      <c r="AP137" s="351"/>
      <c r="AR137" s="352" t="n">
        <f aca="true">IF(AND($D137="Serviço",AR$12&lt;&gt;0,$H137&gt;0,OR(AUTOEVENTO&lt;&gt;"manual",$M137&lt;&gt;$A$15)),
        IF(Import.TipoArredondamento&lt;&gt;"TransfereGOV",
              ROUND(OFFSET($P137,0,AR$13),15-13*ORÇAMENTO!$AF$7)/$H137*OFFSET(ORÇAMENTO!$X$15,ROW(AR137)-ROW(AR$15),0),
              ROUND(ROUND(OFFSET($P137,0,AR$13),15-13*ORÇAMENTO!$AF$7)*OFFSET(ORÇAMENTO!$W$15,ROW(AR137)-ROW(AR$15),0),15-13*ORÇAMENTO!$AF$11)),
         0)</f>
        <v>114.87</v>
      </c>
      <c r="AS137" s="352" t="n">
        <f aca="true">IF(AND($D137="Serviço",AS$12&lt;&gt;0,$H137&gt;0,OR(AUTOEVENTO&lt;&gt;"manual",$M137&lt;&gt;$A$15)),
        IF(Import.TipoArredondamento&lt;&gt;"TransfereGOV",
              ROUND(OFFSET($P137,0,AS$13),15-13*ORÇAMENTO!$AF$7)/$H137*OFFSET(ORÇAMENTO!$X$15,ROW(AS137)-ROW(AS$15),0),
              ROUND(ROUND(OFFSET($P137,0,AS$13),15-13*ORÇAMENTO!$AF$7)*OFFSET(ORÇAMENTO!$W$15,ROW(AS137)-ROW(AS$15),0),15-13*ORÇAMENTO!$AF$11)),
         0)</f>
        <v>114.87</v>
      </c>
      <c r="AT137" s="352" t="n">
        <f aca="true">IF(AND($D137="Serviço",AT$12&lt;&gt;0,$H137&gt;0,OR(AUTOEVENTO&lt;&gt;"manual",$M137&lt;&gt;$A$15)),
        IF(Import.TipoArredondamento&lt;&gt;"TransfereGOV",
              ROUND(OFFSET($P137,0,AT$13),15-13*ORÇAMENTO!$AF$7)/$H137*OFFSET(ORÇAMENTO!$X$15,ROW(AT137)-ROW(AT$15),0),
              ROUND(ROUND(OFFSET($P137,0,AT$13),15-13*ORÇAMENTO!$AF$7)*OFFSET(ORÇAMENTO!$W$15,ROW(AT137)-ROW(AT$15),0),15-13*ORÇAMENTO!$AF$11)),
         0)</f>
        <v>114.87</v>
      </c>
      <c r="AU137" s="352" t="n">
        <f aca="true">IF(AND($D137="Serviço",AU$12&lt;&gt;0,$H137&gt;0,OR(AUTOEVENTO&lt;&gt;"manual",$M137&lt;&gt;$A$15)),
        IF(Import.TipoArredondamento&lt;&gt;"TransfereGOV",
              ROUND(OFFSET($P137,0,AU$13),15-13*ORÇAMENTO!$AF$7)/$H137*OFFSET(ORÇAMENTO!$X$15,ROW(AU137)-ROW(AU$15),0),
              ROUND(ROUND(OFFSET($P137,0,AU$13),15-13*ORÇAMENTO!$AF$7)*OFFSET(ORÇAMENTO!$W$15,ROW(AU137)-ROW(AU$15),0),15-13*ORÇAMENTO!$AF$11)),
         0)</f>
        <v>114.87</v>
      </c>
      <c r="AV137" s="352" t="n">
        <f aca="true">IF(AND($D137="Serviço",AV$12&lt;&gt;0,$H137&gt;0,OR(AUTOEVENTO&lt;&gt;"manual",$M137&lt;&gt;$A$15)),
        IF(Import.TipoArredondamento&lt;&gt;"TransfereGOV",
              ROUND(OFFSET($P137,0,AV$13),15-13*ORÇAMENTO!$AF$7)/$H137*OFFSET(ORÇAMENTO!$X$15,ROW(AV137)-ROW(AV$15),0),
              ROUND(ROUND(OFFSET($P137,0,AV$13),15-13*ORÇAMENTO!$AF$7)*OFFSET(ORÇAMENTO!$W$15,ROW(AV137)-ROW(AV$15),0),15-13*ORÇAMENTO!$AF$11)),
         0)</f>
        <v>114.87</v>
      </c>
      <c r="AW137" s="352" t="n">
        <f aca="true">IF(AND($D137="Serviço",AW$12&lt;&gt;0,$H137&gt;0,OR(AUTOEVENTO&lt;&gt;"manual",$M137&lt;&gt;$A$15)),
        IF(Import.TipoArredondamento&lt;&gt;"TransfereGOV",
              ROUND(OFFSET($P137,0,AW$13),15-13*ORÇAMENTO!$AF$7)/$H137*OFFSET(ORÇAMENTO!$X$15,ROW(AW137)-ROW(AW$15),0),
              ROUND(ROUND(OFFSET($P137,0,AW$13),15-13*ORÇAMENTO!$AF$7)*OFFSET(ORÇAMENTO!$W$15,ROW(AW137)-ROW(AW$15),0),15-13*ORÇAMENTO!$AF$11)),
         0)</f>
        <v>114.87</v>
      </c>
      <c r="AX137" s="352" t="n">
        <f aca="true">IF(AND($D137="Serviço",AX$12&lt;&gt;0,$H137&gt;0,OR(AUTOEVENTO&lt;&gt;"manual",$M137&lt;&gt;$A$15)),
        IF(Import.TipoArredondamento&lt;&gt;"TransfereGOV",
              ROUND(OFFSET($P137,0,AX$13),15-13*ORÇAMENTO!$AF$7)/$H137*OFFSET(ORÇAMENTO!$X$15,ROW(AX137)-ROW(AX$15),0),
              ROUND(ROUND(OFFSET($P137,0,AX$13),15-13*ORÇAMENTO!$AF$7)*OFFSET(ORÇAMENTO!$W$15,ROW(AX137)-ROW(AX$15),0),15-13*ORÇAMENTO!$AF$11)),
         0)</f>
        <v>114.87</v>
      </c>
      <c r="AY137" s="352" t="n">
        <f aca="true">IF(AND($D137="Serviço",AY$12&lt;&gt;0,$H137&gt;0,OR(AUTOEVENTO&lt;&gt;"manual",$M137&lt;&gt;$A$15)),
        IF(Import.TipoArredondamento&lt;&gt;"TransfereGOV",
              ROUND(OFFSET($P137,0,AY$13),15-13*ORÇAMENTO!$AF$7)/$H137*OFFSET(ORÇAMENTO!$X$15,ROW(AY137)-ROW(AY$15),0),
              ROUND(ROUND(OFFSET($P137,0,AY$13),15-13*ORÇAMENTO!$AF$7)*OFFSET(ORÇAMENTO!$W$15,ROW(AY137)-ROW(AY$15),0),15-13*ORÇAMENTO!$AF$11)),
         0)</f>
        <v>114.87</v>
      </c>
      <c r="AZ137" s="352" t="n">
        <f aca="true">IF(AND($D137="Serviço",AZ$12&lt;&gt;0,$H137&gt;0,OR(AUTOEVENTO&lt;&gt;"manual",$M137&lt;&gt;$A$15)),
        IF(Import.TipoArredondamento&lt;&gt;"TransfereGOV",
              ROUND(OFFSET($P137,0,AZ$13),15-13*ORÇAMENTO!$AF$7)/$H137*OFFSET(ORÇAMENTO!$X$15,ROW(AZ137)-ROW(AZ$15),0),
              ROUND(ROUND(OFFSET($P137,0,AZ$13),15-13*ORÇAMENTO!$AF$7)*OFFSET(ORÇAMENTO!$W$15,ROW(AZ137)-ROW(AZ$15),0),15-13*ORÇAMENTO!$AF$11)),
         0)</f>
        <v>114.87</v>
      </c>
      <c r="BA137" s="352" t="n">
        <f aca="true">IF(AND($D137="Serviço",BA$12&lt;&gt;0,$H137&gt;0,OR(AUTOEVENTO&lt;&gt;"manual",$M137&lt;&gt;$A$15)),
        IF(Import.TipoArredondamento&lt;&gt;"TransfereGOV",
              ROUND(OFFSET($P137,0,BA$13),15-13*ORÇAMENTO!$AF$7)/$H137*OFFSET(ORÇAMENTO!$X$15,ROW(BA137)-ROW(BA$15),0),
              ROUND(ROUND(OFFSET($P137,0,BA$13),15-13*ORÇAMENTO!$AF$7)*OFFSET(ORÇAMENTO!$W$15,ROW(BA137)-ROW(BA$15),0),15-13*ORÇAMENTO!$AF$11)),
         0)</f>
        <v>114.87</v>
      </c>
      <c r="BB137" s="352" t="n">
        <f aca="true">IF(AND($D137="Serviço",BB$12&lt;&gt;0,$H137&gt;0,OR(AUTOEVENTO&lt;&gt;"manual",$M137&lt;&gt;$A$15)),
        IF(Import.TipoArredondamento&lt;&gt;"TransfereGOV",
              ROUND(OFFSET($P137,0,BB$13),15-13*ORÇAMENTO!$AF$7)/$H137*OFFSET(ORÇAMENTO!$X$15,ROW(BB137)-ROW(BB$15),0),
              ROUND(ROUND(OFFSET($P137,0,BB$13),15-13*ORÇAMENTO!$AF$7)*OFFSET(ORÇAMENTO!$W$15,ROW(BB137)-ROW(BB$15),0),15-13*ORÇAMENTO!$AF$11)),
         0)</f>
        <v>114.87</v>
      </c>
      <c r="BC137" s="352" t="n">
        <f aca="true">IF(AND($D137="Serviço",BC$12&lt;&gt;0,$H137&gt;0,OR(AUTOEVENTO&lt;&gt;"manual",$M137&lt;&gt;$A$15)),
        IF(Import.TipoArredondamento&lt;&gt;"TransfereGOV",
              ROUND(OFFSET($P137,0,BC$13),15-13*ORÇAMENTO!$AF$7)/$H137*OFFSET(ORÇAMENTO!$X$15,ROW(BC137)-ROW(BC$15),0),
              ROUND(ROUND(OFFSET($P137,0,BC$13),15-13*ORÇAMENTO!$AF$7)*OFFSET(ORÇAMENTO!$W$15,ROW(BC137)-ROW(BC$15),0),15-13*ORÇAMENTO!$AF$11)),
         0)</f>
        <v>114.87</v>
      </c>
      <c r="BD137" s="352" t="n">
        <f aca="true">IF(AND($D137="Serviço",BD$12&lt;&gt;0,$H137&gt;0,OR(AUTOEVENTO&lt;&gt;"manual",$M137&lt;&gt;$A$15)),
        IF(Import.TipoArredondamento&lt;&gt;"TransfereGOV",
              ROUND(OFFSET($P137,0,BD$13),15-13*ORÇAMENTO!$AF$7)/$H137*OFFSET(ORÇAMENTO!$X$15,ROW(BD137)-ROW(BD$15),0),
              ROUND(ROUND(OFFSET($P137,0,BD$13),15-13*ORÇAMENTO!$AF$7)*OFFSET(ORÇAMENTO!$W$15,ROW(BD137)-ROW(BD$15),0),15-13*ORÇAMENTO!$AF$11)),
         0)</f>
        <v>114.87</v>
      </c>
      <c r="BE137" s="352" t="n">
        <f aca="true">IF(AND($D137="Serviço",BE$12&lt;&gt;0,$H137&gt;0,OR(AUTOEVENTO&lt;&gt;"manual",$M137&lt;&gt;$A$15)),
        IF(Import.TipoArredondamento&lt;&gt;"TransfereGOV",
              ROUND(OFFSET($P137,0,BE$13),15-13*ORÇAMENTO!$AF$7)/$H137*OFFSET(ORÇAMENTO!$X$15,ROW(BE137)-ROW(BE$15),0),
              ROUND(ROUND(OFFSET($P137,0,BE$13),15-13*ORÇAMENTO!$AF$7)*OFFSET(ORÇAMENTO!$W$15,ROW(BE137)-ROW(BE$15),0),15-13*ORÇAMENTO!$AF$11)),
         0)</f>
        <v>114.87</v>
      </c>
      <c r="BF137" s="352" t="n">
        <f aca="true">IF(AND($D137="Serviço",BF$12&lt;&gt;0,$H137&gt;0,OR(AUTOEVENTO&lt;&gt;"manual",$M137&lt;&gt;$A$15)),
        IF(Import.TipoArredondamento&lt;&gt;"TransfereGOV",
              ROUND(OFFSET($P137,0,BF$13),15-13*ORÇAMENTO!$AF$7)/$H137*OFFSET(ORÇAMENTO!$X$15,ROW(BF137)-ROW(BF$15),0),
              ROUND(ROUND(OFFSET($P137,0,BF$13),15-13*ORÇAMENTO!$AF$7)*OFFSET(ORÇAMENTO!$W$15,ROW(BF137)-ROW(BF$15),0),15-13*ORÇAMENTO!$AF$11)),
         0)</f>
        <v>114.87</v>
      </c>
      <c r="BG137" s="352" t="n">
        <f aca="true">IF(AND($D137="Serviço",BG$12&lt;&gt;0,$H137&gt;0,OR(AUTOEVENTO&lt;&gt;"manual",$M137&lt;&gt;$A$15)),
        IF(Import.TipoArredondamento&lt;&gt;"TransfereGOV",
              ROUND(OFFSET($P137,0,BG$13),15-13*ORÇAMENTO!$AF$7)/$H137*OFFSET(ORÇAMENTO!$X$15,ROW(BG137)-ROW(BG$15),0),
              ROUND(ROUND(OFFSET($P137,0,BG$13),15-13*ORÇAMENTO!$AF$7)*OFFSET(ORÇAMENTO!$W$15,ROW(BG137)-ROW(BG$15),0),15-13*ORÇAMENTO!$AF$11)),
         0)</f>
        <v>114.87</v>
      </c>
      <c r="BH137" s="352" t="n">
        <f aca="true">IF(AND($D137="Serviço",BH$12&lt;&gt;0,$H137&gt;0,OR(AUTOEVENTO&lt;&gt;"manual",$M137&lt;&gt;$A$15)),
        IF(Import.TipoArredondamento&lt;&gt;"TransfereGOV",
              ROUND(OFFSET($P137,0,BH$13),15-13*ORÇAMENTO!$AF$7)/$H137*OFFSET(ORÇAMENTO!$X$15,ROW(BH137)-ROW(BH$15),0),
              ROUND(ROUND(OFFSET($P137,0,BH$13),15-13*ORÇAMENTO!$AF$7)*OFFSET(ORÇAMENTO!$W$15,ROW(BH137)-ROW(BH$15),0),15-13*ORÇAMENTO!$AF$11)),
         0)</f>
        <v>114.87</v>
      </c>
      <c r="BI137" s="352" t="n">
        <f aca="true">IF(AND($D137="Serviço",BI$12&lt;&gt;0,$H137&gt;0,OR(AUTOEVENTO&lt;&gt;"manual",$M137&lt;&gt;$A$15)),
        IF(Import.TipoArredondamento&lt;&gt;"TransfereGOV",
              ROUND(OFFSET($P137,0,BI$13),15-13*ORÇAMENTO!$AF$7)/$H137*OFFSET(ORÇAMENTO!$X$15,ROW(BI137)-ROW(BI$15),0),
              ROUND(ROUND(OFFSET($P137,0,BI$13),15-13*ORÇAMENTO!$AF$7)*OFFSET(ORÇAMENTO!$W$15,ROW(BI137)-ROW(BI$15),0),15-13*ORÇAMENTO!$AF$11)),
         0)</f>
        <v>114.87</v>
      </c>
      <c r="BJ137" s="352" t="n">
        <f aca="true">IF(AND($D137="Serviço",BJ$12&lt;&gt;0,$H137&gt;0,OR(AUTOEVENTO&lt;&gt;"manual",$M137&lt;&gt;$A$15)),
        IF(Import.TipoArredondamento&lt;&gt;"TransfereGOV",
              ROUND(OFFSET($P137,0,BJ$13),15-13*ORÇAMENTO!$AF$7)/$H137*OFFSET(ORÇAMENTO!$X$15,ROW(BJ137)-ROW(BJ$15),0),
              ROUND(ROUND(OFFSET($P137,0,BJ$13),15-13*ORÇAMENTO!$AF$7)*OFFSET(ORÇAMENTO!$W$15,ROW(BJ137)-ROW(BJ$15),0),15-13*ORÇAMENTO!$AF$11)),
         0)</f>
        <v>114.87</v>
      </c>
      <c r="BK137" s="352" t="n">
        <f aca="true">IF(AND($D137="Serviço",BK$12&lt;&gt;0,$H137&gt;0,OR(AUTOEVENTO&lt;&gt;"manual",$M137&lt;&gt;$A$15)),
        IF(Import.TipoArredondamento&lt;&gt;"TransfereGOV",
              ROUND(OFFSET($P137,0,BK$13),15-13*ORÇAMENTO!$AF$7)/$H137*OFFSET(ORÇAMENTO!$X$15,ROW(BK137)-ROW(BK$15),0),
              ROUND(ROUND(OFFSET($P137,0,BK$13),15-13*ORÇAMENTO!$AF$7)*OFFSET(ORÇAMENTO!$W$15,ROW(BK137)-ROW(BK$15),0),15-13*ORÇAMENTO!$AF$11)),
         0)</f>
        <v>114.87</v>
      </c>
      <c r="BL137" s="352" t="n">
        <f aca="true">IF(AND($D137="Serviço",BL$12&lt;&gt;0,$H137&gt;0,OR(AUTOEVENTO&lt;&gt;"manual",$M137&lt;&gt;$A$15)),
        IF(Import.TipoArredondamento&lt;&gt;"TransfereGOV",
              ROUND(OFFSET($P137,0,BL$13),15-13*ORÇAMENTO!$AF$7)/$H137*OFFSET(ORÇAMENTO!$X$15,ROW(BL137)-ROW(BL$15),0),
              ROUND(ROUND(OFFSET($P137,0,BL$13),15-13*ORÇAMENTO!$AF$7)*OFFSET(ORÇAMENTO!$W$15,ROW(BL137)-ROW(BL$15),0),15-13*ORÇAMENTO!$AF$11)),
         0)</f>
        <v>114.87</v>
      </c>
      <c r="BM137" s="352" t="n">
        <f aca="true">IF(AND($D137="Serviço",BM$12&lt;&gt;0,$H137&gt;0,OR(AUTOEVENTO&lt;&gt;"manual",$M137&lt;&gt;$A$15)),
        IF(Import.TipoArredondamento&lt;&gt;"TransfereGOV",
              ROUND(OFFSET($P137,0,BM$13),15-13*ORÇAMENTO!$AF$7)/$H137*OFFSET(ORÇAMENTO!$X$15,ROW(BM137)-ROW(BM$15),0),
              ROUND(ROUND(OFFSET($P137,0,BM$13),15-13*ORÇAMENTO!$AF$7)*OFFSET(ORÇAMENTO!$W$15,ROW(BM137)-ROW(BM$15),0),15-13*ORÇAMENTO!$AF$11)),
         0)</f>
        <v>114.87</v>
      </c>
      <c r="BN137" s="352" t="n">
        <f aca="true">IF(AND($D137="Serviço",BN$12&lt;&gt;0,$H137&gt;0,OR(AUTOEVENTO&lt;&gt;"manual",$M137&lt;&gt;$A$15)),
        IF(Import.TipoArredondamento&lt;&gt;"TransfereGOV",
              ROUND(OFFSET($P137,0,BN$13),15-13*ORÇAMENTO!$AF$7)/$H137*OFFSET(ORÇAMENTO!$X$15,ROW(BN137)-ROW(BN$15),0),
              ROUND(ROUND(OFFSET($P137,0,BN$13),15-13*ORÇAMENTO!$AF$7)*OFFSET(ORÇAMENTO!$W$15,ROW(BN137)-ROW(BN$15),0),15-13*ORÇAMENTO!$AF$11)),
         0)</f>
        <v>114.87</v>
      </c>
      <c r="BO137" s="352" t="n">
        <f aca="true">IF(AND($D137="Serviço",BO$12&lt;&gt;0,$H137&gt;0,OR(AUTOEVENTO&lt;&gt;"manual",$M137&lt;&gt;$A$15)),
        IF(Import.TipoArredondamento&lt;&gt;"TransfereGOV",
              ROUND(OFFSET($P137,0,BO$13),15-13*ORÇAMENTO!$AF$7)/$H137*OFFSET(ORÇAMENTO!$X$15,ROW(BO137)-ROW(BO$15),0),
              ROUND(ROUND(OFFSET($P137,0,BO$13),15-13*ORÇAMENTO!$AF$7)*OFFSET(ORÇAMENTO!$W$15,ROW(BO137)-ROW(BO$15),0),15-13*ORÇAMENTO!$AF$11)),
         0)</f>
        <v>114.87</v>
      </c>
      <c r="BP137" s="352" t="n">
        <f aca="true">IF(AND($D137="Serviço",BP$12&lt;&gt;0,$H137&gt;0,OR(AUTOEVENTO&lt;&gt;"manual",$M137&lt;&gt;$A$15)),
        IF(Import.TipoArredondamento&lt;&gt;"TransfereGOV",
              ROUND(OFFSET($P137,0,BP$13),15-13*ORÇAMENTO!$AF$7)/$H137*OFFSET(ORÇAMENTO!$X$15,ROW(BP137)-ROW(BP$15),0),
              ROUND(ROUND(OFFSET($P137,0,BP$13),15-13*ORÇAMENTO!$AF$7)*OFFSET(ORÇAMENTO!$W$15,ROW(BP137)-ROW(BP$15),0),15-13*ORÇAMENTO!$AF$11)),
         0)</f>
        <v>114.87</v>
      </c>
      <c r="BQ137" s="352" t="n">
        <f aca="true">IF(AND($D137="Serviço",BQ$12&lt;&gt;0,$H137&gt;0,OR(AUTOEVENTO&lt;&gt;"manual",$M137&lt;&gt;$A$15)),
        IF(Import.TipoArredondamento&lt;&gt;"TransfereGOV",
              ROUND(OFFSET($P137,0,BQ$13),15-13*ORÇAMENTO!$AF$7)/$H137*OFFSET(ORÇAMENTO!$X$15,ROW(BQ137)-ROW(BQ$15),0),
              ROUND(ROUND(OFFSET($P137,0,BQ$13),15-13*ORÇAMENTO!$AF$7)*OFFSET(ORÇAMENTO!$W$15,ROW(BQ137)-ROW(BQ$15),0),15-13*ORÇAMENTO!$AF$11)),
         0)</f>
        <v>0</v>
      </c>
      <c r="BS137" s="353" t="n">
        <f aca="true">IF(OR($D137&lt;&gt;"Serviço",AND(AUTOEVENTO="Manual",$M137=$A$15)),0,
         IF(OFFSET(CRONOPLE!$F$15,$M137-$A$15,BS$13)=0,10^12,OFFSET(CRONOPLE!$F$15,$M137-$A$15,BS$13)))</f>
        <v>1</v>
      </c>
      <c r="BT137" s="353" t="n">
        <f aca="true">IF(OR($D137&lt;&gt;"Serviço",AND(AUTOEVENTO="Manual",$M137=$A$15)),0,
         IF(OFFSET(CRONOPLE!$F$15,$M137-$A$15,BT$13)=0,10^12,OFFSET(CRONOPLE!$F$15,$M137-$A$15,BT$13)))</f>
        <v>2</v>
      </c>
      <c r="BU137" s="353" t="n">
        <f aca="true">IF(OR($D137&lt;&gt;"Serviço",AND(AUTOEVENTO="Manual",$M137=$A$15)),0,
         IF(OFFSET(CRONOPLE!$F$15,$M137-$A$15,BU$13)=0,10^12,OFFSET(CRONOPLE!$F$15,$M137-$A$15,BU$13)))</f>
        <v>3</v>
      </c>
      <c r="BV137" s="353" t="n">
        <f aca="true">IF(OR($D137&lt;&gt;"Serviço",AND(AUTOEVENTO="Manual",$M137=$A$15)),0,
         IF(OFFSET(CRONOPLE!$F$15,$M137-$A$15,BV$13)=0,10^12,OFFSET(CRONOPLE!$F$15,$M137-$A$15,BV$13)))</f>
        <v>4</v>
      </c>
      <c r="BW137" s="353" t="n">
        <f aca="true">IF(OR($D137&lt;&gt;"Serviço",AND(AUTOEVENTO="Manual",$M137=$A$15)),0,
         IF(OFFSET(CRONOPLE!$F$15,$M137-$A$15,BW$13)=0,10^12,OFFSET(CRONOPLE!$F$15,$M137-$A$15,BW$13)))</f>
        <v>5</v>
      </c>
      <c r="BX137" s="353" t="n">
        <f aca="true">IF(OR($D137&lt;&gt;"Serviço",AND(AUTOEVENTO="Manual",$M137=$A$15)),0,
         IF(OFFSET(CRONOPLE!$F$15,$M137-$A$15,BX$13)=0,10^12,OFFSET(CRONOPLE!$F$15,$M137-$A$15,BX$13)))</f>
        <v>6</v>
      </c>
      <c r="BY137" s="353" t="n">
        <f aca="true">IF(OR($D137&lt;&gt;"Serviço",AND(AUTOEVENTO="Manual",$M137=$A$15)),0,
         IF(OFFSET(CRONOPLE!$F$15,$M137-$A$15,BY$13)=0,10^12,OFFSET(CRONOPLE!$F$15,$M137-$A$15,BY$13)))</f>
        <v>7</v>
      </c>
      <c r="BZ137" s="353" t="n">
        <f aca="true">IF(OR($D137&lt;&gt;"Serviço",AND(AUTOEVENTO="Manual",$M137=$A$15)),0,
         IF(OFFSET(CRONOPLE!$F$15,$M137-$A$15,BZ$13)=0,10^12,OFFSET(CRONOPLE!$F$15,$M137-$A$15,BZ$13)))</f>
        <v>8</v>
      </c>
      <c r="CA137" s="353" t="n">
        <f aca="true">IF(OR($D137&lt;&gt;"Serviço",AND(AUTOEVENTO="Manual",$M137=$A$15)),0,
         IF(OFFSET(CRONOPLE!$F$15,$M137-$A$15,CA$13)=0,10^12,OFFSET(CRONOPLE!$F$15,$M137-$A$15,CA$13)))</f>
        <v>9</v>
      </c>
      <c r="CB137" s="353" t="n">
        <f aca="true">IF(OR($D137&lt;&gt;"Serviço",AND(AUTOEVENTO="Manual",$M137=$A$15)),0,
         IF(OFFSET(CRONOPLE!$F$15,$M137-$A$15,CB$13)=0,10^12,OFFSET(CRONOPLE!$F$15,$M137-$A$15,CB$13)))</f>
        <v>10</v>
      </c>
      <c r="CC137" s="353" t="n">
        <f aca="true">IF(OR($D137&lt;&gt;"Serviço",AND(AUTOEVENTO="Manual",$M137=$A$15)),0,
         IF(OFFSET(CRONOPLE!$F$15,$M137-$A$15,CC$13)=0,10^12,OFFSET(CRONOPLE!$F$15,$M137-$A$15,CC$13)))</f>
        <v>11</v>
      </c>
      <c r="CD137" s="353" t="n">
        <f aca="true">IF(OR($D137&lt;&gt;"Serviço",AND(AUTOEVENTO="Manual",$M137=$A$15)),0,
         IF(OFFSET(CRONOPLE!$F$15,$M137-$A$15,CD$13)=0,10^12,OFFSET(CRONOPLE!$F$15,$M137-$A$15,CD$13)))</f>
        <v>12</v>
      </c>
      <c r="CE137" s="353" t="n">
        <f aca="true">IF(OR($D137&lt;&gt;"Serviço",AND(AUTOEVENTO="Manual",$M137=$A$15)),0,
         IF(OFFSET(CRONOPLE!$F$15,$M137-$A$15,CE$13)=0,10^12,OFFSET(CRONOPLE!$F$15,$M137-$A$15,CE$13)))</f>
        <v>13</v>
      </c>
      <c r="CF137" s="353" t="n">
        <f aca="true">IF(OR($D137&lt;&gt;"Serviço",AND(AUTOEVENTO="Manual",$M137=$A$15)),0,
         IF(OFFSET(CRONOPLE!$F$15,$M137-$A$15,CF$13)=0,10^12,OFFSET(CRONOPLE!$F$15,$M137-$A$15,CF$13)))</f>
        <v>14</v>
      </c>
      <c r="CG137" s="353" t="n">
        <f aca="true">IF(OR($D137&lt;&gt;"Serviço",AND(AUTOEVENTO="Manual",$M137=$A$15)),0,
         IF(OFFSET(CRONOPLE!$F$15,$M137-$A$15,CG$13)=0,10^12,OFFSET(CRONOPLE!$F$15,$M137-$A$15,CG$13)))</f>
        <v>15</v>
      </c>
      <c r="CH137" s="353" t="n">
        <f aca="true">IF(OR($D137&lt;&gt;"Serviço",AND(AUTOEVENTO="Manual",$M137=$A$15)),0,
         IF(OFFSET(CRONOPLE!$F$15,$M137-$A$15,CH$13)=0,10^12,OFFSET(CRONOPLE!$F$15,$M137-$A$15,CH$13)))</f>
        <v>16</v>
      </c>
      <c r="CI137" s="353" t="n">
        <f aca="true">IF(OR($D137&lt;&gt;"Serviço",AND(AUTOEVENTO="Manual",$M137=$A$15)),0,
         IF(OFFSET(CRONOPLE!$F$15,$M137-$A$15,CI$13)=0,10^12,OFFSET(CRONOPLE!$F$15,$M137-$A$15,CI$13)))</f>
        <v>17</v>
      </c>
      <c r="CJ137" s="353" t="n">
        <f aca="true">IF(OR($D137&lt;&gt;"Serviço",AND(AUTOEVENTO="Manual",$M137=$A$15)),0,
         IF(OFFSET(CRONOPLE!$F$15,$M137-$A$15,CJ$13)=0,10^12,OFFSET(CRONOPLE!$F$15,$M137-$A$15,CJ$13)))</f>
        <v>18</v>
      </c>
      <c r="CK137" s="353" t="n">
        <f aca="true">IF(OR($D137&lt;&gt;"Serviço",AND(AUTOEVENTO="Manual",$M137=$A$15)),0,
         IF(OFFSET(CRONOPLE!$F$15,$M137-$A$15,CK$13)=0,10^12,OFFSET(CRONOPLE!$F$15,$M137-$A$15,CK$13)))</f>
        <v>19</v>
      </c>
      <c r="CL137" s="353" t="n">
        <f aca="true">IF(OR($D137&lt;&gt;"Serviço",AND(AUTOEVENTO="Manual",$M137=$A$15)),0,
         IF(OFFSET(CRONOPLE!$F$15,$M137-$A$15,CL$13)=0,10^12,OFFSET(CRONOPLE!$F$15,$M137-$A$15,CL$13)))</f>
        <v>20</v>
      </c>
      <c r="CM137" s="353" t="n">
        <f aca="true">IF(OR($D137&lt;&gt;"Serviço",AND(AUTOEVENTO="Manual",$M137=$A$15)),0,
         IF(OFFSET(CRONOPLE!$F$15,$M137-$A$15,CM$13)=0,10^12,OFFSET(CRONOPLE!$F$15,$M137-$A$15,CM$13)))</f>
        <v>21</v>
      </c>
      <c r="CN137" s="353" t="n">
        <f aca="true">IF(OR($D137&lt;&gt;"Serviço",AND(AUTOEVENTO="Manual",$M137=$A$15)),0,
         IF(OFFSET(CRONOPLE!$F$15,$M137-$A$15,CN$13)=0,10^12,OFFSET(CRONOPLE!$F$15,$M137-$A$15,CN$13)))</f>
        <v>22</v>
      </c>
      <c r="CO137" s="353" t="n">
        <f aca="true">IF(OR($D137&lt;&gt;"Serviço",AND(AUTOEVENTO="Manual",$M137=$A$15)),0,
         IF(OFFSET(CRONOPLE!$F$15,$M137-$A$15,CO$13)=0,10^12,OFFSET(CRONOPLE!$F$15,$M137-$A$15,CO$13)))</f>
        <v>23</v>
      </c>
      <c r="CP137" s="353" t="n">
        <f aca="true">IF(OR($D137&lt;&gt;"Serviço",AND(AUTOEVENTO="Manual",$M137=$A$15)),0,
         IF(OFFSET(CRONOPLE!$F$15,$M137-$A$15,CP$13)=0,10^12,OFFSET(CRONOPLE!$F$15,$M137-$A$15,CP$13)))</f>
        <v>24</v>
      </c>
      <c r="CQ137" s="353" t="n">
        <f aca="true">IF(OR($D137&lt;&gt;"Serviço",AND(AUTOEVENTO="Manual",$M137=$A$15)),0,
         IF(OFFSET(CRONOPLE!$F$15,$M137-$A$15,CQ$13)=0,10^12,OFFSET(CRONOPLE!$F$15,$M137-$A$15,CQ$13)))</f>
        <v>25</v>
      </c>
      <c r="CR137" s="353" t="n">
        <f aca="true">IF(OR($D137&lt;&gt;"Serviço",AND(AUTOEVENTO="Manual",$M137=$A$15)),0,
         IF(OFFSET(CRONOPLE!$F$15,$M137-$A$15,CR$13)=0,10^12,OFFSET(CRONOPLE!$F$15,$M137-$A$15,CR$13)))</f>
        <v>1000000000000</v>
      </c>
      <c r="CT137" s="354" t="n">
        <f aca="true">IF(OR($D137&lt;&gt;"Serviço",AND(AUTOEVENTO="Manual",$M137=$A$15),$M137&gt;(ROW(PLE.lastrow)-ROW(PLE.firstrow))),0,
           IF(OFFSET(PLE!$G$15,$M137-$A$15,CT$13)="",10^12,OFFSET(PLE!$G$15,$M137-$A$15,CT$13)))</f>
        <v>1000000000000</v>
      </c>
      <c r="CU137" s="354" t="n">
        <f aca="true">IF(OR($D137&lt;&gt;"Serviço",AND(AUTOEVENTO="Manual",$M137=$A$15),$M137&gt;(ROW(PLE.lastrow)-ROW(PLE.firstrow))),0,
           IF(OFFSET(PLE!$G$15,$M137-$A$15,CU$13)="",10^12,OFFSET(PLE!$G$15,$M137-$A$15,CU$13)))</f>
        <v>1000000000000</v>
      </c>
      <c r="CV137" s="354" t="n">
        <f aca="true">IF(OR($D137&lt;&gt;"Serviço",AND(AUTOEVENTO="Manual",$M137=$A$15),$M137&gt;(ROW(PLE.lastrow)-ROW(PLE.firstrow))),0,
           IF(OFFSET(PLE!$G$15,$M137-$A$15,CV$13)="",10^12,OFFSET(PLE!$G$15,$M137-$A$15,CV$13)))</f>
        <v>1000000000000</v>
      </c>
      <c r="CW137" s="354" t="n">
        <f aca="true">IF(OR($D137&lt;&gt;"Serviço",AND(AUTOEVENTO="Manual",$M137=$A$15),$M137&gt;(ROW(PLE.lastrow)-ROW(PLE.firstrow))),0,
           IF(OFFSET(PLE!$G$15,$M137-$A$15,CW$13)="",10^12,OFFSET(PLE!$G$15,$M137-$A$15,CW$13)))</f>
        <v>1000000000000</v>
      </c>
      <c r="CX137" s="354" t="n">
        <f aca="true">IF(OR($D137&lt;&gt;"Serviço",AND(AUTOEVENTO="Manual",$M137=$A$15),$M137&gt;(ROW(PLE.lastrow)-ROW(PLE.firstrow))),0,
           IF(OFFSET(PLE!$G$15,$M137-$A$15,CX$13)="",10^12,OFFSET(PLE!$G$15,$M137-$A$15,CX$13)))</f>
        <v>1000000000000</v>
      </c>
      <c r="CY137" s="354" t="n">
        <f aca="true">IF(OR($D137&lt;&gt;"Serviço",AND(AUTOEVENTO="Manual",$M137=$A$15),$M137&gt;(ROW(PLE.lastrow)-ROW(PLE.firstrow))),0,
           IF(OFFSET(PLE!$G$15,$M137-$A$15,CY$13)="",10^12,OFFSET(PLE!$G$15,$M137-$A$15,CY$13)))</f>
        <v>1000000000000</v>
      </c>
      <c r="CZ137" s="354" t="n">
        <f aca="true">IF(OR($D137&lt;&gt;"Serviço",AND(AUTOEVENTO="Manual",$M137=$A$15),$M137&gt;(ROW(PLE.lastrow)-ROW(PLE.firstrow))),0,
           IF(OFFSET(PLE!$G$15,$M137-$A$15,CZ$13)="",10^12,OFFSET(PLE!$G$15,$M137-$A$15,CZ$13)))</f>
        <v>1000000000000</v>
      </c>
      <c r="DA137" s="354" t="n">
        <f aca="true">IF(OR($D137&lt;&gt;"Serviço",AND(AUTOEVENTO="Manual",$M137=$A$15),$M137&gt;(ROW(PLE.lastrow)-ROW(PLE.firstrow))),0,
           IF(OFFSET(PLE!$G$15,$M137-$A$15,DA$13)="",10^12,OFFSET(PLE!$G$15,$M137-$A$15,DA$13)))</f>
        <v>1000000000000</v>
      </c>
      <c r="DB137" s="354" t="n">
        <f aca="true">IF(OR($D137&lt;&gt;"Serviço",AND(AUTOEVENTO="Manual",$M137=$A$15),$M137&gt;(ROW(PLE.lastrow)-ROW(PLE.firstrow))),0,
           IF(OFFSET(PLE!$G$15,$M137-$A$15,DB$13)="",10^12,OFFSET(PLE!$G$15,$M137-$A$15,DB$13)))</f>
        <v>1000000000000</v>
      </c>
      <c r="DC137" s="354" t="n">
        <f aca="true">IF(OR($D137&lt;&gt;"Serviço",AND(AUTOEVENTO="Manual",$M137=$A$15),$M137&gt;(ROW(PLE.lastrow)-ROW(PLE.firstrow))),0,
           IF(OFFSET(PLE!$G$15,$M137-$A$15,DC$13)="",10^12,OFFSET(PLE!$G$15,$M137-$A$15,DC$13)))</f>
        <v>1000000000000</v>
      </c>
      <c r="DD137" s="354" t="n">
        <f aca="true">IF(OR($D137&lt;&gt;"Serviço",AND(AUTOEVENTO="Manual",$M137=$A$15),$M137&gt;(ROW(PLE.lastrow)-ROW(PLE.firstrow))),0,
           IF(OFFSET(PLE!$G$15,$M137-$A$15,DD$13)="",10^12,OFFSET(PLE!$G$15,$M137-$A$15,DD$13)))</f>
        <v>1000000000000</v>
      </c>
      <c r="DE137" s="354" t="n">
        <f aca="true">IF(OR($D137&lt;&gt;"Serviço",AND(AUTOEVENTO="Manual",$M137=$A$15),$M137&gt;(ROW(PLE.lastrow)-ROW(PLE.firstrow))),0,
           IF(OFFSET(PLE!$G$15,$M137-$A$15,DE$13)="",10^12,OFFSET(PLE!$G$15,$M137-$A$15,DE$13)))</f>
        <v>1000000000000</v>
      </c>
      <c r="DF137" s="354" t="n">
        <f aca="true">IF(OR($D137&lt;&gt;"Serviço",AND(AUTOEVENTO="Manual",$M137=$A$15),$M137&gt;(ROW(PLE.lastrow)-ROW(PLE.firstrow))),0,
           IF(OFFSET(PLE!$G$15,$M137-$A$15,DF$13)="",10^12,OFFSET(PLE!$G$15,$M137-$A$15,DF$13)))</f>
        <v>1000000000000</v>
      </c>
      <c r="DG137" s="354" t="n">
        <f aca="true">IF(OR($D137&lt;&gt;"Serviço",AND(AUTOEVENTO="Manual",$M137=$A$15),$M137&gt;(ROW(PLE.lastrow)-ROW(PLE.firstrow))),0,
           IF(OFFSET(PLE!$G$15,$M137-$A$15,DG$13)="",10^12,OFFSET(PLE!$G$15,$M137-$A$15,DG$13)))</f>
        <v>1000000000000</v>
      </c>
      <c r="DH137" s="354" t="n">
        <f aca="true">IF(OR($D137&lt;&gt;"Serviço",AND(AUTOEVENTO="Manual",$M137=$A$15),$M137&gt;(ROW(PLE.lastrow)-ROW(PLE.firstrow))),0,
           IF(OFFSET(PLE!$G$15,$M137-$A$15,DH$13)="",10^12,OFFSET(PLE!$G$15,$M137-$A$15,DH$13)))</f>
        <v>1000000000000</v>
      </c>
      <c r="DI137" s="354" t="n">
        <f aca="true">IF(OR($D137&lt;&gt;"Serviço",AND(AUTOEVENTO="Manual",$M137=$A$15),$M137&gt;(ROW(PLE.lastrow)-ROW(PLE.firstrow))),0,
           IF(OFFSET(PLE!$G$15,$M137-$A$15,DI$13)="",10^12,OFFSET(PLE!$G$15,$M137-$A$15,DI$13)))</f>
        <v>1000000000000</v>
      </c>
      <c r="DJ137" s="354" t="n">
        <f aca="true">IF(OR($D137&lt;&gt;"Serviço",AND(AUTOEVENTO="Manual",$M137=$A$15),$M137&gt;(ROW(PLE.lastrow)-ROW(PLE.firstrow))),0,
           IF(OFFSET(PLE!$G$15,$M137-$A$15,DJ$13)="",10^12,OFFSET(PLE!$G$15,$M137-$A$15,DJ$13)))</f>
        <v>1000000000000</v>
      </c>
      <c r="DK137" s="354" t="n">
        <f aca="true">IF(OR($D137&lt;&gt;"Serviço",AND(AUTOEVENTO="Manual",$M137=$A$15),$M137&gt;(ROW(PLE.lastrow)-ROW(PLE.firstrow))),0,
           IF(OFFSET(PLE!$G$15,$M137-$A$15,DK$13)="",10^12,OFFSET(PLE!$G$15,$M137-$A$15,DK$13)))</f>
        <v>1000000000000</v>
      </c>
      <c r="DL137" s="354" t="n">
        <f aca="true">IF(OR($D137&lt;&gt;"Serviço",AND(AUTOEVENTO="Manual",$M137=$A$15),$M137&gt;(ROW(PLE.lastrow)-ROW(PLE.firstrow))),0,
           IF(OFFSET(PLE!$G$15,$M137-$A$15,DL$13)="",10^12,OFFSET(PLE!$G$15,$M137-$A$15,DL$13)))</f>
        <v>1000000000000</v>
      </c>
      <c r="DM137" s="354" t="n">
        <f aca="true">IF(OR($D137&lt;&gt;"Serviço",AND(AUTOEVENTO="Manual",$M137=$A$15),$M137&gt;(ROW(PLE.lastrow)-ROW(PLE.firstrow))),0,
           IF(OFFSET(PLE!$G$15,$M137-$A$15,DM$13)="",10^12,OFFSET(PLE!$G$15,$M137-$A$15,DM$13)))</f>
        <v>1000000000000</v>
      </c>
      <c r="DN137" s="354" t="n">
        <f aca="true">IF(OR($D137&lt;&gt;"Serviço",AND(AUTOEVENTO="Manual",$M137=$A$15),$M137&gt;(ROW(PLE.lastrow)-ROW(PLE.firstrow))),0,
           IF(OFFSET(PLE!$G$15,$M137-$A$15,DN$13)="",10^12,OFFSET(PLE!$G$15,$M137-$A$15,DN$13)))</f>
        <v>1000000000000</v>
      </c>
      <c r="DO137" s="354" t="n">
        <f aca="true">IF(OR($D137&lt;&gt;"Serviço",AND(AUTOEVENTO="Manual",$M137=$A$15),$M137&gt;(ROW(PLE.lastrow)-ROW(PLE.firstrow))),0,
           IF(OFFSET(PLE!$G$15,$M137-$A$15,DO$13)="",10^12,OFFSET(PLE!$G$15,$M137-$A$15,DO$13)))</f>
        <v>1000000000000</v>
      </c>
      <c r="DP137" s="354" t="n">
        <f aca="true">IF(OR($D137&lt;&gt;"Serviço",AND(AUTOEVENTO="Manual",$M137=$A$15),$M137&gt;(ROW(PLE.lastrow)-ROW(PLE.firstrow))),0,
           IF(OFFSET(PLE!$G$15,$M137-$A$15,DP$13)="",10^12,OFFSET(PLE!$G$15,$M137-$A$15,DP$13)))</f>
        <v>1000000000000</v>
      </c>
      <c r="DQ137" s="354" t="n">
        <f aca="true">IF(OR($D137&lt;&gt;"Serviço",AND(AUTOEVENTO="Manual",$M137=$A$15),$M137&gt;(ROW(PLE.lastrow)-ROW(PLE.firstrow))),0,
           IF(OFFSET(PLE!$G$15,$M137-$A$15,DQ$13)="",10^12,OFFSET(PLE!$G$15,$M137-$A$15,DQ$13)))</f>
        <v>1000000000000</v>
      </c>
      <c r="DR137" s="354" t="n">
        <f aca="true">IF(OR($D137&lt;&gt;"Serviço",AND(AUTOEVENTO="Manual",$M137=$A$15),$M137&gt;(ROW(PLE.lastrow)-ROW(PLE.firstrow))),0,
           IF(OFFSET(PLE!$G$15,$M137-$A$15,DR$13)="",10^12,OFFSET(PLE!$G$15,$M137-$A$15,DR$13)))</f>
        <v>1000000000000</v>
      </c>
      <c r="DS137" s="354" t="n">
        <f aca="true">IF(OR($D137&lt;&gt;"Serviço",AND(AUTOEVENTO="Manual",$M137=$A$15),$M137&gt;(ROW(PLE.lastrow)-ROW(PLE.firstrow))),0,
           IF(OFFSET(PLE!$G$15,$M137-$A$15,DS$13)="",10^12,OFFSET(PLE!$G$15,$M137-$A$15,DS$13)))</f>
        <v>1000000000000</v>
      </c>
    </row>
    <row r="138" customFormat="false" ht="35.05" hidden="false" customHeight="false" outlineLevel="0" collapsed="false">
      <c r="A138" s="50" t="str">
        <f aca="true">IFERROR(IF(AUTOEVENTO="Manual",IF(K138&lt;&gt;"",MIN(VALUE(LEFT(K138,FIND(".",K138)-1)),COUNTA(EVENTOS.Lista)),0),IF(OR($B138&gt;AUTOEVENTO,$B138="S",$B138=0),SUBSTITUTE(OFFSET($A138,-1,0),IF($D138="Serviço",".",""),""),ROW(A138)-ROW($A$15)&amp;".")),0)</f>
        <v>121</v>
      </c>
      <c r="B138" s="50" t="str">
        <f aca="true">OFFSET(ORÇAMENTO!C$15,ROW(B138)-ROW(B$15),0)</f>
        <v>S</v>
      </c>
      <c r="C138" s="50" t="str">
        <f aca="true">OFFSET(ORÇAMENTO!L$15,ROW(C138)-ROW(C$15),0)</f>
        <v>F</v>
      </c>
      <c r="D138" s="201" t="str">
        <f aca="true">OFFSET(ORÇAMENTO!N$15,ROW(D138)-ROW(D$15),0)</f>
        <v>Serviço</v>
      </c>
      <c r="E138" s="202" t="str">
        <f aca="true">OFFSET(ORÇAMENTO!O$15,ROW(E138)-ROW(E$15),0)</f>
        <v>1.40.2.</v>
      </c>
      <c r="F138" s="341" t="str">
        <f aca="true">OFFSET(ORÇAMENTO!R$15,ROW(F138)-ROW(F$15),0)</f>
        <v>JOELHO 90 GRAUS, PVC, SOLDÁVEL, DN 25MM, INSTALADO EM RAMAL DE DISTRIBUIÇÃO DE ÁGUA - FORNECIMENTO E INSTALAÇÃO. AF_06/2022</v>
      </c>
      <c r="G138" s="342" t="str">
        <f aca="true">IF($D138&lt;&gt;"Serviço","",OFFSET(ORÇAMENTO!S$15,ROW(G138)-ROW(G$15),0))</f>
        <v>UN</v>
      </c>
      <c r="H138" s="207" t="n">
        <f aca="true">IF($D138&lt;&gt;"Serviço",0,IF(ACOMPANHAMENTO="BM",ROUND(OFFSET(ORÇAMENTO!AJ$15,ROW(H138)-ROW(H$15),0),15-13*ORÇAMENTO!$AF$7),SUMPRODUCT(($Q$1:$AQ$1=1)*ROUND($Q138:$AQ138,15-13*ORÇAMENTO!$AF$7))))</f>
        <v>200</v>
      </c>
      <c r="I138" s="343" t="s">
        <v>971</v>
      </c>
      <c r="J138" s="344" t="e">
        <f aca="false">IF(OR(B138&lt;&gt;"S",CÁLCULO.FrentesPreenchidas=0),"",IF(AND(ACOMPANHAMENTO="PLE",AUTOEVENTO="Manual",OR(H138&gt;0,ORÇAMENTO!AC138="QUANT."),OR(K138="",M138=0,N138="")),"►",IF(AND(ACOMPANHAMENTO="PLE",ORÇAMENTO!AC138="QUANT."),"►►",IF(AND(COUNTIF($P$11:$AQ$11,"▼")=0,H138&gt;0,I138=""),"◄",""))))</f>
        <v>#NAME?</v>
      </c>
      <c r="K138" s="345"/>
      <c r="L138" s="346" t="s">
        <v>876</v>
      </c>
      <c r="M138" s="347" t="n">
        <f aca="true">IF($D138&lt;&gt;"Serviço","",
          IF(AUTOEVENTO="manual",$A138,
                IF(ISERROR(MATCH($A138,$A$15:OFFSET($A138,-1,0),0)),MAX($M$15:OFFSET(M138,-1,0))+1,
                      INDEX($M$15:OFFSET(M138,-1,0),MATCH($A138,$A$15:OFFSET($A138,-1,0),0)))))</f>
        <v>24</v>
      </c>
      <c r="N138" s="348" t="str">
        <f aca="true">IF($D138&lt;&gt;"Serviço","",
         IF(AUTOEVENTO="Manual",
                IF($A138=0,"&lt;-- defina o número do agrupador",
                       OFFSET(EVENTOS!$D$15,$A138-$A$15,0)),
                OFFSET($F$15,$A138,0)))</f>
        <v>TUBULAÇÕES E CONEXÕES</v>
      </c>
      <c r="O138" s="349"/>
      <c r="Q138" s="349" t="n">
        <v>8</v>
      </c>
      <c r="R138" s="350" t="n">
        <f aca="false">Q138</f>
        <v>8</v>
      </c>
      <c r="S138" s="350" t="n">
        <f aca="false">R138</f>
        <v>8</v>
      </c>
      <c r="T138" s="350" t="n">
        <f aca="false">S138</f>
        <v>8</v>
      </c>
      <c r="U138" s="350" t="n">
        <f aca="false">T138</f>
        <v>8</v>
      </c>
      <c r="V138" s="350" t="n">
        <f aca="false">U138</f>
        <v>8</v>
      </c>
      <c r="W138" s="350" t="n">
        <f aca="false">V138</f>
        <v>8</v>
      </c>
      <c r="X138" s="350" t="n">
        <f aca="false">W138</f>
        <v>8</v>
      </c>
      <c r="Y138" s="350" t="n">
        <f aca="false">X138</f>
        <v>8</v>
      </c>
      <c r="Z138" s="351" t="n">
        <f aca="false">Y138</f>
        <v>8</v>
      </c>
      <c r="AA138" s="350" t="n">
        <f aca="false">Z138</f>
        <v>8</v>
      </c>
      <c r="AB138" s="350" t="n">
        <f aca="false">AA138</f>
        <v>8</v>
      </c>
      <c r="AC138" s="350" t="n">
        <f aca="false">AB138</f>
        <v>8</v>
      </c>
      <c r="AD138" s="350" t="n">
        <f aca="false">AC138</f>
        <v>8</v>
      </c>
      <c r="AE138" s="350" t="n">
        <f aca="false">AD138</f>
        <v>8</v>
      </c>
      <c r="AF138" s="350" t="n">
        <f aca="false">AE138</f>
        <v>8</v>
      </c>
      <c r="AG138" s="350" t="n">
        <f aca="false">AF138</f>
        <v>8</v>
      </c>
      <c r="AH138" s="351" t="n">
        <f aca="false">AG138</f>
        <v>8</v>
      </c>
      <c r="AI138" s="350" t="n">
        <f aca="false">AH138</f>
        <v>8</v>
      </c>
      <c r="AJ138" s="350" t="n">
        <f aca="false">AI138</f>
        <v>8</v>
      </c>
      <c r="AK138" s="350" t="n">
        <f aca="false">AJ138</f>
        <v>8</v>
      </c>
      <c r="AL138" s="350" t="n">
        <f aca="false">AK138</f>
        <v>8</v>
      </c>
      <c r="AM138" s="350" t="n">
        <f aca="false">AL138</f>
        <v>8</v>
      </c>
      <c r="AN138" s="350" t="n">
        <f aca="false">AM138</f>
        <v>8</v>
      </c>
      <c r="AO138" s="350" t="n">
        <f aca="false">AN138</f>
        <v>8</v>
      </c>
      <c r="AP138" s="351"/>
      <c r="AR138" s="352" t="n">
        <f aca="true">IF(AND($D138="Serviço",AR$12&lt;&gt;0,$H138&gt;0,OR(AUTOEVENTO&lt;&gt;"manual",$M138&lt;&gt;$A$15)),
        IF(Import.TipoArredondamento&lt;&gt;"TransfereGOV",
              ROUND(OFFSET($P138,0,AR$13),15-13*ORÇAMENTO!$AF$7)/$H138*OFFSET(ORÇAMENTO!$X$15,ROW(AR138)-ROW(AR$15),0),
              ROUND(ROUND(OFFSET($P138,0,AR$13),15-13*ORÇAMENTO!$AF$7)*OFFSET(ORÇAMENTO!$W$15,ROW(AR138)-ROW(AR$15),0),15-13*ORÇAMENTO!$AF$11)),
         0)</f>
        <v>89.2</v>
      </c>
      <c r="AS138" s="352" t="n">
        <f aca="true">IF(AND($D138="Serviço",AS$12&lt;&gt;0,$H138&gt;0,OR(AUTOEVENTO&lt;&gt;"manual",$M138&lt;&gt;$A$15)),
        IF(Import.TipoArredondamento&lt;&gt;"TransfereGOV",
              ROUND(OFFSET($P138,0,AS$13),15-13*ORÇAMENTO!$AF$7)/$H138*OFFSET(ORÇAMENTO!$X$15,ROW(AS138)-ROW(AS$15),0),
              ROUND(ROUND(OFFSET($P138,0,AS$13),15-13*ORÇAMENTO!$AF$7)*OFFSET(ORÇAMENTO!$W$15,ROW(AS138)-ROW(AS$15),0),15-13*ORÇAMENTO!$AF$11)),
         0)</f>
        <v>89.2</v>
      </c>
      <c r="AT138" s="352" t="n">
        <f aca="true">IF(AND($D138="Serviço",AT$12&lt;&gt;0,$H138&gt;0,OR(AUTOEVENTO&lt;&gt;"manual",$M138&lt;&gt;$A$15)),
        IF(Import.TipoArredondamento&lt;&gt;"TransfereGOV",
              ROUND(OFFSET($P138,0,AT$13),15-13*ORÇAMENTO!$AF$7)/$H138*OFFSET(ORÇAMENTO!$X$15,ROW(AT138)-ROW(AT$15),0),
              ROUND(ROUND(OFFSET($P138,0,AT$13),15-13*ORÇAMENTO!$AF$7)*OFFSET(ORÇAMENTO!$W$15,ROW(AT138)-ROW(AT$15),0),15-13*ORÇAMENTO!$AF$11)),
         0)</f>
        <v>89.2</v>
      </c>
      <c r="AU138" s="352" t="n">
        <f aca="true">IF(AND($D138="Serviço",AU$12&lt;&gt;0,$H138&gt;0,OR(AUTOEVENTO&lt;&gt;"manual",$M138&lt;&gt;$A$15)),
        IF(Import.TipoArredondamento&lt;&gt;"TransfereGOV",
              ROUND(OFFSET($P138,0,AU$13),15-13*ORÇAMENTO!$AF$7)/$H138*OFFSET(ORÇAMENTO!$X$15,ROW(AU138)-ROW(AU$15),0),
              ROUND(ROUND(OFFSET($P138,0,AU$13),15-13*ORÇAMENTO!$AF$7)*OFFSET(ORÇAMENTO!$W$15,ROW(AU138)-ROW(AU$15),0),15-13*ORÇAMENTO!$AF$11)),
         0)</f>
        <v>89.2</v>
      </c>
      <c r="AV138" s="352" t="n">
        <f aca="true">IF(AND($D138="Serviço",AV$12&lt;&gt;0,$H138&gt;0,OR(AUTOEVENTO&lt;&gt;"manual",$M138&lt;&gt;$A$15)),
        IF(Import.TipoArredondamento&lt;&gt;"TransfereGOV",
              ROUND(OFFSET($P138,0,AV$13),15-13*ORÇAMENTO!$AF$7)/$H138*OFFSET(ORÇAMENTO!$X$15,ROW(AV138)-ROW(AV$15),0),
              ROUND(ROUND(OFFSET($P138,0,AV$13),15-13*ORÇAMENTO!$AF$7)*OFFSET(ORÇAMENTO!$W$15,ROW(AV138)-ROW(AV$15),0),15-13*ORÇAMENTO!$AF$11)),
         0)</f>
        <v>89.2</v>
      </c>
      <c r="AW138" s="352" t="n">
        <f aca="true">IF(AND($D138="Serviço",AW$12&lt;&gt;0,$H138&gt;0,OR(AUTOEVENTO&lt;&gt;"manual",$M138&lt;&gt;$A$15)),
        IF(Import.TipoArredondamento&lt;&gt;"TransfereGOV",
              ROUND(OFFSET($P138,0,AW$13),15-13*ORÇAMENTO!$AF$7)/$H138*OFFSET(ORÇAMENTO!$X$15,ROW(AW138)-ROW(AW$15),0),
              ROUND(ROUND(OFFSET($P138,0,AW$13),15-13*ORÇAMENTO!$AF$7)*OFFSET(ORÇAMENTO!$W$15,ROW(AW138)-ROW(AW$15),0),15-13*ORÇAMENTO!$AF$11)),
         0)</f>
        <v>89.2</v>
      </c>
      <c r="AX138" s="352" t="n">
        <f aca="true">IF(AND($D138="Serviço",AX$12&lt;&gt;0,$H138&gt;0,OR(AUTOEVENTO&lt;&gt;"manual",$M138&lt;&gt;$A$15)),
        IF(Import.TipoArredondamento&lt;&gt;"TransfereGOV",
              ROUND(OFFSET($P138,0,AX$13),15-13*ORÇAMENTO!$AF$7)/$H138*OFFSET(ORÇAMENTO!$X$15,ROW(AX138)-ROW(AX$15),0),
              ROUND(ROUND(OFFSET($P138,0,AX$13),15-13*ORÇAMENTO!$AF$7)*OFFSET(ORÇAMENTO!$W$15,ROW(AX138)-ROW(AX$15),0),15-13*ORÇAMENTO!$AF$11)),
         0)</f>
        <v>89.2</v>
      </c>
      <c r="AY138" s="352" t="n">
        <f aca="true">IF(AND($D138="Serviço",AY$12&lt;&gt;0,$H138&gt;0,OR(AUTOEVENTO&lt;&gt;"manual",$M138&lt;&gt;$A$15)),
        IF(Import.TipoArredondamento&lt;&gt;"TransfereGOV",
              ROUND(OFFSET($P138,0,AY$13),15-13*ORÇAMENTO!$AF$7)/$H138*OFFSET(ORÇAMENTO!$X$15,ROW(AY138)-ROW(AY$15),0),
              ROUND(ROUND(OFFSET($P138,0,AY$13),15-13*ORÇAMENTO!$AF$7)*OFFSET(ORÇAMENTO!$W$15,ROW(AY138)-ROW(AY$15),0),15-13*ORÇAMENTO!$AF$11)),
         0)</f>
        <v>89.2</v>
      </c>
      <c r="AZ138" s="352" t="n">
        <f aca="true">IF(AND($D138="Serviço",AZ$12&lt;&gt;0,$H138&gt;0,OR(AUTOEVENTO&lt;&gt;"manual",$M138&lt;&gt;$A$15)),
        IF(Import.TipoArredondamento&lt;&gt;"TransfereGOV",
              ROUND(OFFSET($P138,0,AZ$13),15-13*ORÇAMENTO!$AF$7)/$H138*OFFSET(ORÇAMENTO!$X$15,ROW(AZ138)-ROW(AZ$15),0),
              ROUND(ROUND(OFFSET($P138,0,AZ$13),15-13*ORÇAMENTO!$AF$7)*OFFSET(ORÇAMENTO!$W$15,ROW(AZ138)-ROW(AZ$15),0),15-13*ORÇAMENTO!$AF$11)),
         0)</f>
        <v>89.2</v>
      </c>
      <c r="BA138" s="352" t="n">
        <f aca="true">IF(AND($D138="Serviço",BA$12&lt;&gt;0,$H138&gt;0,OR(AUTOEVENTO&lt;&gt;"manual",$M138&lt;&gt;$A$15)),
        IF(Import.TipoArredondamento&lt;&gt;"TransfereGOV",
              ROUND(OFFSET($P138,0,BA$13),15-13*ORÇAMENTO!$AF$7)/$H138*OFFSET(ORÇAMENTO!$X$15,ROW(BA138)-ROW(BA$15),0),
              ROUND(ROUND(OFFSET($P138,0,BA$13),15-13*ORÇAMENTO!$AF$7)*OFFSET(ORÇAMENTO!$W$15,ROW(BA138)-ROW(BA$15),0),15-13*ORÇAMENTO!$AF$11)),
         0)</f>
        <v>89.2</v>
      </c>
      <c r="BB138" s="352" t="n">
        <f aca="true">IF(AND($D138="Serviço",BB$12&lt;&gt;0,$H138&gt;0,OR(AUTOEVENTO&lt;&gt;"manual",$M138&lt;&gt;$A$15)),
        IF(Import.TipoArredondamento&lt;&gt;"TransfereGOV",
              ROUND(OFFSET($P138,0,BB$13),15-13*ORÇAMENTO!$AF$7)/$H138*OFFSET(ORÇAMENTO!$X$15,ROW(BB138)-ROW(BB$15),0),
              ROUND(ROUND(OFFSET($P138,0,BB$13),15-13*ORÇAMENTO!$AF$7)*OFFSET(ORÇAMENTO!$W$15,ROW(BB138)-ROW(BB$15),0),15-13*ORÇAMENTO!$AF$11)),
         0)</f>
        <v>89.2</v>
      </c>
      <c r="BC138" s="352" t="n">
        <f aca="true">IF(AND($D138="Serviço",BC$12&lt;&gt;0,$H138&gt;0,OR(AUTOEVENTO&lt;&gt;"manual",$M138&lt;&gt;$A$15)),
        IF(Import.TipoArredondamento&lt;&gt;"TransfereGOV",
              ROUND(OFFSET($P138,0,BC$13),15-13*ORÇAMENTO!$AF$7)/$H138*OFFSET(ORÇAMENTO!$X$15,ROW(BC138)-ROW(BC$15),0),
              ROUND(ROUND(OFFSET($P138,0,BC$13),15-13*ORÇAMENTO!$AF$7)*OFFSET(ORÇAMENTO!$W$15,ROW(BC138)-ROW(BC$15),0),15-13*ORÇAMENTO!$AF$11)),
         0)</f>
        <v>89.2</v>
      </c>
      <c r="BD138" s="352" t="n">
        <f aca="true">IF(AND($D138="Serviço",BD$12&lt;&gt;0,$H138&gt;0,OR(AUTOEVENTO&lt;&gt;"manual",$M138&lt;&gt;$A$15)),
        IF(Import.TipoArredondamento&lt;&gt;"TransfereGOV",
              ROUND(OFFSET($P138,0,BD$13),15-13*ORÇAMENTO!$AF$7)/$H138*OFFSET(ORÇAMENTO!$X$15,ROW(BD138)-ROW(BD$15),0),
              ROUND(ROUND(OFFSET($P138,0,BD$13),15-13*ORÇAMENTO!$AF$7)*OFFSET(ORÇAMENTO!$W$15,ROW(BD138)-ROW(BD$15),0),15-13*ORÇAMENTO!$AF$11)),
         0)</f>
        <v>89.2</v>
      </c>
      <c r="BE138" s="352" t="n">
        <f aca="true">IF(AND($D138="Serviço",BE$12&lt;&gt;0,$H138&gt;0,OR(AUTOEVENTO&lt;&gt;"manual",$M138&lt;&gt;$A$15)),
        IF(Import.TipoArredondamento&lt;&gt;"TransfereGOV",
              ROUND(OFFSET($P138,0,BE$13),15-13*ORÇAMENTO!$AF$7)/$H138*OFFSET(ORÇAMENTO!$X$15,ROW(BE138)-ROW(BE$15),0),
              ROUND(ROUND(OFFSET($P138,0,BE$13),15-13*ORÇAMENTO!$AF$7)*OFFSET(ORÇAMENTO!$W$15,ROW(BE138)-ROW(BE$15),0),15-13*ORÇAMENTO!$AF$11)),
         0)</f>
        <v>89.2</v>
      </c>
      <c r="BF138" s="352" t="n">
        <f aca="true">IF(AND($D138="Serviço",BF$12&lt;&gt;0,$H138&gt;0,OR(AUTOEVENTO&lt;&gt;"manual",$M138&lt;&gt;$A$15)),
        IF(Import.TipoArredondamento&lt;&gt;"TransfereGOV",
              ROUND(OFFSET($P138,0,BF$13),15-13*ORÇAMENTO!$AF$7)/$H138*OFFSET(ORÇAMENTO!$X$15,ROW(BF138)-ROW(BF$15),0),
              ROUND(ROUND(OFFSET($P138,0,BF$13),15-13*ORÇAMENTO!$AF$7)*OFFSET(ORÇAMENTO!$W$15,ROW(BF138)-ROW(BF$15),0),15-13*ORÇAMENTO!$AF$11)),
         0)</f>
        <v>89.2</v>
      </c>
      <c r="BG138" s="352" t="n">
        <f aca="true">IF(AND($D138="Serviço",BG$12&lt;&gt;0,$H138&gt;0,OR(AUTOEVENTO&lt;&gt;"manual",$M138&lt;&gt;$A$15)),
        IF(Import.TipoArredondamento&lt;&gt;"TransfereGOV",
              ROUND(OFFSET($P138,0,BG$13),15-13*ORÇAMENTO!$AF$7)/$H138*OFFSET(ORÇAMENTO!$X$15,ROW(BG138)-ROW(BG$15),0),
              ROUND(ROUND(OFFSET($P138,0,BG$13),15-13*ORÇAMENTO!$AF$7)*OFFSET(ORÇAMENTO!$W$15,ROW(BG138)-ROW(BG$15),0),15-13*ORÇAMENTO!$AF$11)),
         0)</f>
        <v>89.2</v>
      </c>
      <c r="BH138" s="352" t="n">
        <f aca="true">IF(AND($D138="Serviço",BH$12&lt;&gt;0,$H138&gt;0,OR(AUTOEVENTO&lt;&gt;"manual",$M138&lt;&gt;$A$15)),
        IF(Import.TipoArredondamento&lt;&gt;"TransfereGOV",
              ROUND(OFFSET($P138,0,BH$13),15-13*ORÇAMENTO!$AF$7)/$H138*OFFSET(ORÇAMENTO!$X$15,ROW(BH138)-ROW(BH$15),0),
              ROUND(ROUND(OFFSET($P138,0,BH$13),15-13*ORÇAMENTO!$AF$7)*OFFSET(ORÇAMENTO!$W$15,ROW(BH138)-ROW(BH$15),0),15-13*ORÇAMENTO!$AF$11)),
         0)</f>
        <v>89.2</v>
      </c>
      <c r="BI138" s="352" t="n">
        <f aca="true">IF(AND($D138="Serviço",BI$12&lt;&gt;0,$H138&gt;0,OR(AUTOEVENTO&lt;&gt;"manual",$M138&lt;&gt;$A$15)),
        IF(Import.TipoArredondamento&lt;&gt;"TransfereGOV",
              ROUND(OFFSET($P138,0,BI$13),15-13*ORÇAMENTO!$AF$7)/$H138*OFFSET(ORÇAMENTO!$X$15,ROW(BI138)-ROW(BI$15),0),
              ROUND(ROUND(OFFSET($P138,0,BI$13),15-13*ORÇAMENTO!$AF$7)*OFFSET(ORÇAMENTO!$W$15,ROW(BI138)-ROW(BI$15),0),15-13*ORÇAMENTO!$AF$11)),
         0)</f>
        <v>89.2</v>
      </c>
      <c r="BJ138" s="352" t="n">
        <f aca="true">IF(AND($D138="Serviço",BJ$12&lt;&gt;0,$H138&gt;0,OR(AUTOEVENTO&lt;&gt;"manual",$M138&lt;&gt;$A$15)),
        IF(Import.TipoArredondamento&lt;&gt;"TransfereGOV",
              ROUND(OFFSET($P138,0,BJ$13),15-13*ORÇAMENTO!$AF$7)/$H138*OFFSET(ORÇAMENTO!$X$15,ROW(BJ138)-ROW(BJ$15),0),
              ROUND(ROUND(OFFSET($P138,0,BJ$13),15-13*ORÇAMENTO!$AF$7)*OFFSET(ORÇAMENTO!$W$15,ROW(BJ138)-ROW(BJ$15),0),15-13*ORÇAMENTO!$AF$11)),
         0)</f>
        <v>89.2</v>
      </c>
      <c r="BK138" s="352" t="n">
        <f aca="true">IF(AND($D138="Serviço",BK$12&lt;&gt;0,$H138&gt;0,OR(AUTOEVENTO&lt;&gt;"manual",$M138&lt;&gt;$A$15)),
        IF(Import.TipoArredondamento&lt;&gt;"TransfereGOV",
              ROUND(OFFSET($P138,0,BK$13),15-13*ORÇAMENTO!$AF$7)/$H138*OFFSET(ORÇAMENTO!$X$15,ROW(BK138)-ROW(BK$15),0),
              ROUND(ROUND(OFFSET($P138,0,BK$13),15-13*ORÇAMENTO!$AF$7)*OFFSET(ORÇAMENTO!$W$15,ROW(BK138)-ROW(BK$15),0),15-13*ORÇAMENTO!$AF$11)),
         0)</f>
        <v>89.2</v>
      </c>
      <c r="BL138" s="352" t="n">
        <f aca="true">IF(AND($D138="Serviço",BL$12&lt;&gt;0,$H138&gt;0,OR(AUTOEVENTO&lt;&gt;"manual",$M138&lt;&gt;$A$15)),
        IF(Import.TipoArredondamento&lt;&gt;"TransfereGOV",
              ROUND(OFFSET($P138,0,BL$13),15-13*ORÇAMENTO!$AF$7)/$H138*OFFSET(ORÇAMENTO!$X$15,ROW(BL138)-ROW(BL$15),0),
              ROUND(ROUND(OFFSET($P138,0,BL$13),15-13*ORÇAMENTO!$AF$7)*OFFSET(ORÇAMENTO!$W$15,ROW(BL138)-ROW(BL$15),0),15-13*ORÇAMENTO!$AF$11)),
         0)</f>
        <v>89.2</v>
      </c>
      <c r="BM138" s="352" t="n">
        <f aca="true">IF(AND($D138="Serviço",BM$12&lt;&gt;0,$H138&gt;0,OR(AUTOEVENTO&lt;&gt;"manual",$M138&lt;&gt;$A$15)),
        IF(Import.TipoArredondamento&lt;&gt;"TransfereGOV",
              ROUND(OFFSET($P138,0,BM$13),15-13*ORÇAMENTO!$AF$7)/$H138*OFFSET(ORÇAMENTO!$X$15,ROW(BM138)-ROW(BM$15),0),
              ROUND(ROUND(OFFSET($P138,0,BM$13),15-13*ORÇAMENTO!$AF$7)*OFFSET(ORÇAMENTO!$W$15,ROW(BM138)-ROW(BM$15),0),15-13*ORÇAMENTO!$AF$11)),
         0)</f>
        <v>89.2</v>
      </c>
      <c r="BN138" s="352" t="n">
        <f aca="true">IF(AND($D138="Serviço",BN$12&lt;&gt;0,$H138&gt;0,OR(AUTOEVENTO&lt;&gt;"manual",$M138&lt;&gt;$A$15)),
        IF(Import.TipoArredondamento&lt;&gt;"TransfereGOV",
              ROUND(OFFSET($P138,0,BN$13),15-13*ORÇAMENTO!$AF$7)/$H138*OFFSET(ORÇAMENTO!$X$15,ROW(BN138)-ROW(BN$15),0),
              ROUND(ROUND(OFFSET($P138,0,BN$13),15-13*ORÇAMENTO!$AF$7)*OFFSET(ORÇAMENTO!$W$15,ROW(BN138)-ROW(BN$15),0),15-13*ORÇAMENTO!$AF$11)),
         0)</f>
        <v>89.2</v>
      </c>
      <c r="BO138" s="352" t="n">
        <f aca="true">IF(AND($D138="Serviço",BO$12&lt;&gt;0,$H138&gt;0,OR(AUTOEVENTO&lt;&gt;"manual",$M138&lt;&gt;$A$15)),
        IF(Import.TipoArredondamento&lt;&gt;"TransfereGOV",
              ROUND(OFFSET($P138,0,BO$13),15-13*ORÇAMENTO!$AF$7)/$H138*OFFSET(ORÇAMENTO!$X$15,ROW(BO138)-ROW(BO$15),0),
              ROUND(ROUND(OFFSET($P138,0,BO$13),15-13*ORÇAMENTO!$AF$7)*OFFSET(ORÇAMENTO!$W$15,ROW(BO138)-ROW(BO$15),0),15-13*ORÇAMENTO!$AF$11)),
         0)</f>
        <v>89.2</v>
      </c>
      <c r="BP138" s="352" t="n">
        <f aca="true">IF(AND($D138="Serviço",BP$12&lt;&gt;0,$H138&gt;0,OR(AUTOEVENTO&lt;&gt;"manual",$M138&lt;&gt;$A$15)),
        IF(Import.TipoArredondamento&lt;&gt;"TransfereGOV",
              ROUND(OFFSET($P138,0,BP$13),15-13*ORÇAMENTO!$AF$7)/$H138*OFFSET(ORÇAMENTO!$X$15,ROW(BP138)-ROW(BP$15),0),
              ROUND(ROUND(OFFSET($P138,0,BP$13),15-13*ORÇAMENTO!$AF$7)*OFFSET(ORÇAMENTO!$W$15,ROW(BP138)-ROW(BP$15),0),15-13*ORÇAMENTO!$AF$11)),
         0)</f>
        <v>89.2</v>
      </c>
      <c r="BQ138" s="352" t="n">
        <f aca="true">IF(AND($D138="Serviço",BQ$12&lt;&gt;0,$H138&gt;0,OR(AUTOEVENTO&lt;&gt;"manual",$M138&lt;&gt;$A$15)),
        IF(Import.TipoArredondamento&lt;&gt;"TransfereGOV",
              ROUND(OFFSET($P138,0,BQ$13),15-13*ORÇAMENTO!$AF$7)/$H138*OFFSET(ORÇAMENTO!$X$15,ROW(BQ138)-ROW(BQ$15),0),
              ROUND(ROUND(OFFSET($P138,0,BQ$13),15-13*ORÇAMENTO!$AF$7)*OFFSET(ORÇAMENTO!$W$15,ROW(BQ138)-ROW(BQ$15),0),15-13*ORÇAMENTO!$AF$11)),
         0)</f>
        <v>0</v>
      </c>
      <c r="BS138" s="353" t="n">
        <f aca="true">IF(OR($D138&lt;&gt;"Serviço",AND(AUTOEVENTO="Manual",$M138=$A$15)),0,
         IF(OFFSET(CRONOPLE!$F$15,$M138-$A$15,BS$13)=0,10^12,OFFSET(CRONOPLE!$F$15,$M138-$A$15,BS$13)))</f>
        <v>1</v>
      </c>
      <c r="BT138" s="353" t="n">
        <f aca="true">IF(OR($D138&lt;&gt;"Serviço",AND(AUTOEVENTO="Manual",$M138=$A$15)),0,
         IF(OFFSET(CRONOPLE!$F$15,$M138-$A$15,BT$13)=0,10^12,OFFSET(CRONOPLE!$F$15,$M138-$A$15,BT$13)))</f>
        <v>2</v>
      </c>
      <c r="BU138" s="353" t="n">
        <f aca="true">IF(OR($D138&lt;&gt;"Serviço",AND(AUTOEVENTO="Manual",$M138=$A$15)),0,
         IF(OFFSET(CRONOPLE!$F$15,$M138-$A$15,BU$13)=0,10^12,OFFSET(CRONOPLE!$F$15,$M138-$A$15,BU$13)))</f>
        <v>3</v>
      </c>
      <c r="BV138" s="353" t="n">
        <f aca="true">IF(OR($D138&lt;&gt;"Serviço",AND(AUTOEVENTO="Manual",$M138=$A$15)),0,
         IF(OFFSET(CRONOPLE!$F$15,$M138-$A$15,BV$13)=0,10^12,OFFSET(CRONOPLE!$F$15,$M138-$A$15,BV$13)))</f>
        <v>4</v>
      </c>
      <c r="BW138" s="353" t="n">
        <f aca="true">IF(OR($D138&lt;&gt;"Serviço",AND(AUTOEVENTO="Manual",$M138=$A$15)),0,
         IF(OFFSET(CRONOPLE!$F$15,$M138-$A$15,BW$13)=0,10^12,OFFSET(CRONOPLE!$F$15,$M138-$A$15,BW$13)))</f>
        <v>5</v>
      </c>
      <c r="BX138" s="353" t="n">
        <f aca="true">IF(OR($D138&lt;&gt;"Serviço",AND(AUTOEVENTO="Manual",$M138=$A$15)),0,
         IF(OFFSET(CRONOPLE!$F$15,$M138-$A$15,BX$13)=0,10^12,OFFSET(CRONOPLE!$F$15,$M138-$A$15,BX$13)))</f>
        <v>6</v>
      </c>
      <c r="BY138" s="353" t="n">
        <f aca="true">IF(OR($D138&lt;&gt;"Serviço",AND(AUTOEVENTO="Manual",$M138=$A$15)),0,
         IF(OFFSET(CRONOPLE!$F$15,$M138-$A$15,BY$13)=0,10^12,OFFSET(CRONOPLE!$F$15,$M138-$A$15,BY$13)))</f>
        <v>7</v>
      </c>
      <c r="BZ138" s="353" t="n">
        <f aca="true">IF(OR($D138&lt;&gt;"Serviço",AND(AUTOEVENTO="Manual",$M138=$A$15)),0,
         IF(OFFSET(CRONOPLE!$F$15,$M138-$A$15,BZ$13)=0,10^12,OFFSET(CRONOPLE!$F$15,$M138-$A$15,BZ$13)))</f>
        <v>8</v>
      </c>
      <c r="CA138" s="353" t="n">
        <f aca="true">IF(OR($D138&lt;&gt;"Serviço",AND(AUTOEVENTO="Manual",$M138=$A$15)),0,
         IF(OFFSET(CRONOPLE!$F$15,$M138-$A$15,CA$13)=0,10^12,OFFSET(CRONOPLE!$F$15,$M138-$A$15,CA$13)))</f>
        <v>9</v>
      </c>
      <c r="CB138" s="353" t="n">
        <f aca="true">IF(OR($D138&lt;&gt;"Serviço",AND(AUTOEVENTO="Manual",$M138=$A$15)),0,
         IF(OFFSET(CRONOPLE!$F$15,$M138-$A$15,CB$13)=0,10^12,OFFSET(CRONOPLE!$F$15,$M138-$A$15,CB$13)))</f>
        <v>10</v>
      </c>
      <c r="CC138" s="353" t="n">
        <f aca="true">IF(OR($D138&lt;&gt;"Serviço",AND(AUTOEVENTO="Manual",$M138=$A$15)),0,
         IF(OFFSET(CRONOPLE!$F$15,$M138-$A$15,CC$13)=0,10^12,OFFSET(CRONOPLE!$F$15,$M138-$A$15,CC$13)))</f>
        <v>11</v>
      </c>
      <c r="CD138" s="353" t="n">
        <f aca="true">IF(OR($D138&lt;&gt;"Serviço",AND(AUTOEVENTO="Manual",$M138=$A$15)),0,
         IF(OFFSET(CRONOPLE!$F$15,$M138-$A$15,CD$13)=0,10^12,OFFSET(CRONOPLE!$F$15,$M138-$A$15,CD$13)))</f>
        <v>12</v>
      </c>
      <c r="CE138" s="353" t="n">
        <f aca="true">IF(OR($D138&lt;&gt;"Serviço",AND(AUTOEVENTO="Manual",$M138=$A$15)),0,
         IF(OFFSET(CRONOPLE!$F$15,$M138-$A$15,CE$13)=0,10^12,OFFSET(CRONOPLE!$F$15,$M138-$A$15,CE$13)))</f>
        <v>13</v>
      </c>
      <c r="CF138" s="353" t="n">
        <f aca="true">IF(OR($D138&lt;&gt;"Serviço",AND(AUTOEVENTO="Manual",$M138=$A$15)),0,
         IF(OFFSET(CRONOPLE!$F$15,$M138-$A$15,CF$13)=0,10^12,OFFSET(CRONOPLE!$F$15,$M138-$A$15,CF$13)))</f>
        <v>14</v>
      </c>
      <c r="CG138" s="353" t="n">
        <f aca="true">IF(OR($D138&lt;&gt;"Serviço",AND(AUTOEVENTO="Manual",$M138=$A$15)),0,
         IF(OFFSET(CRONOPLE!$F$15,$M138-$A$15,CG$13)=0,10^12,OFFSET(CRONOPLE!$F$15,$M138-$A$15,CG$13)))</f>
        <v>15</v>
      </c>
      <c r="CH138" s="353" t="n">
        <f aca="true">IF(OR($D138&lt;&gt;"Serviço",AND(AUTOEVENTO="Manual",$M138=$A$15)),0,
         IF(OFFSET(CRONOPLE!$F$15,$M138-$A$15,CH$13)=0,10^12,OFFSET(CRONOPLE!$F$15,$M138-$A$15,CH$13)))</f>
        <v>16</v>
      </c>
      <c r="CI138" s="353" t="n">
        <f aca="true">IF(OR($D138&lt;&gt;"Serviço",AND(AUTOEVENTO="Manual",$M138=$A$15)),0,
         IF(OFFSET(CRONOPLE!$F$15,$M138-$A$15,CI$13)=0,10^12,OFFSET(CRONOPLE!$F$15,$M138-$A$15,CI$13)))</f>
        <v>17</v>
      </c>
      <c r="CJ138" s="353" t="n">
        <f aca="true">IF(OR($D138&lt;&gt;"Serviço",AND(AUTOEVENTO="Manual",$M138=$A$15)),0,
         IF(OFFSET(CRONOPLE!$F$15,$M138-$A$15,CJ$13)=0,10^12,OFFSET(CRONOPLE!$F$15,$M138-$A$15,CJ$13)))</f>
        <v>18</v>
      </c>
      <c r="CK138" s="353" t="n">
        <f aca="true">IF(OR($D138&lt;&gt;"Serviço",AND(AUTOEVENTO="Manual",$M138=$A$15)),0,
         IF(OFFSET(CRONOPLE!$F$15,$M138-$A$15,CK$13)=0,10^12,OFFSET(CRONOPLE!$F$15,$M138-$A$15,CK$13)))</f>
        <v>19</v>
      </c>
      <c r="CL138" s="353" t="n">
        <f aca="true">IF(OR($D138&lt;&gt;"Serviço",AND(AUTOEVENTO="Manual",$M138=$A$15)),0,
         IF(OFFSET(CRONOPLE!$F$15,$M138-$A$15,CL$13)=0,10^12,OFFSET(CRONOPLE!$F$15,$M138-$A$15,CL$13)))</f>
        <v>20</v>
      </c>
      <c r="CM138" s="353" t="n">
        <f aca="true">IF(OR($D138&lt;&gt;"Serviço",AND(AUTOEVENTO="Manual",$M138=$A$15)),0,
         IF(OFFSET(CRONOPLE!$F$15,$M138-$A$15,CM$13)=0,10^12,OFFSET(CRONOPLE!$F$15,$M138-$A$15,CM$13)))</f>
        <v>21</v>
      </c>
      <c r="CN138" s="353" t="n">
        <f aca="true">IF(OR($D138&lt;&gt;"Serviço",AND(AUTOEVENTO="Manual",$M138=$A$15)),0,
         IF(OFFSET(CRONOPLE!$F$15,$M138-$A$15,CN$13)=0,10^12,OFFSET(CRONOPLE!$F$15,$M138-$A$15,CN$13)))</f>
        <v>22</v>
      </c>
      <c r="CO138" s="353" t="n">
        <f aca="true">IF(OR($D138&lt;&gt;"Serviço",AND(AUTOEVENTO="Manual",$M138=$A$15)),0,
         IF(OFFSET(CRONOPLE!$F$15,$M138-$A$15,CO$13)=0,10^12,OFFSET(CRONOPLE!$F$15,$M138-$A$15,CO$13)))</f>
        <v>23</v>
      </c>
      <c r="CP138" s="353" t="n">
        <f aca="true">IF(OR($D138&lt;&gt;"Serviço",AND(AUTOEVENTO="Manual",$M138=$A$15)),0,
         IF(OFFSET(CRONOPLE!$F$15,$M138-$A$15,CP$13)=0,10^12,OFFSET(CRONOPLE!$F$15,$M138-$A$15,CP$13)))</f>
        <v>24</v>
      </c>
      <c r="CQ138" s="353" t="n">
        <f aca="true">IF(OR($D138&lt;&gt;"Serviço",AND(AUTOEVENTO="Manual",$M138=$A$15)),0,
         IF(OFFSET(CRONOPLE!$F$15,$M138-$A$15,CQ$13)=0,10^12,OFFSET(CRONOPLE!$F$15,$M138-$A$15,CQ$13)))</f>
        <v>25</v>
      </c>
      <c r="CR138" s="353" t="n">
        <f aca="true">IF(OR($D138&lt;&gt;"Serviço",AND(AUTOEVENTO="Manual",$M138=$A$15)),0,
         IF(OFFSET(CRONOPLE!$F$15,$M138-$A$15,CR$13)=0,10^12,OFFSET(CRONOPLE!$F$15,$M138-$A$15,CR$13)))</f>
        <v>1000000000000</v>
      </c>
      <c r="CT138" s="354" t="n">
        <f aca="true">IF(OR($D138&lt;&gt;"Serviço",AND(AUTOEVENTO="Manual",$M138=$A$15),$M138&gt;(ROW(PLE.lastrow)-ROW(PLE.firstrow))),0,
           IF(OFFSET(PLE!$G$15,$M138-$A$15,CT$13)="",10^12,OFFSET(PLE!$G$15,$M138-$A$15,CT$13)))</f>
        <v>1000000000000</v>
      </c>
      <c r="CU138" s="354" t="n">
        <f aca="true">IF(OR($D138&lt;&gt;"Serviço",AND(AUTOEVENTO="Manual",$M138=$A$15),$M138&gt;(ROW(PLE.lastrow)-ROW(PLE.firstrow))),0,
           IF(OFFSET(PLE!$G$15,$M138-$A$15,CU$13)="",10^12,OFFSET(PLE!$G$15,$M138-$A$15,CU$13)))</f>
        <v>1000000000000</v>
      </c>
      <c r="CV138" s="354" t="n">
        <f aca="true">IF(OR($D138&lt;&gt;"Serviço",AND(AUTOEVENTO="Manual",$M138=$A$15),$M138&gt;(ROW(PLE.lastrow)-ROW(PLE.firstrow))),0,
           IF(OFFSET(PLE!$G$15,$M138-$A$15,CV$13)="",10^12,OFFSET(PLE!$G$15,$M138-$A$15,CV$13)))</f>
        <v>1000000000000</v>
      </c>
      <c r="CW138" s="354" t="n">
        <f aca="true">IF(OR($D138&lt;&gt;"Serviço",AND(AUTOEVENTO="Manual",$M138=$A$15),$M138&gt;(ROW(PLE.lastrow)-ROW(PLE.firstrow))),0,
           IF(OFFSET(PLE!$G$15,$M138-$A$15,CW$13)="",10^12,OFFSET(PLE!$G$15,$M138-$A$15,CW$13)))</f>
        <v>1000000000000</v>
      </c>
      <c r="CX138" s="354" t="n">
        <f aca="true">IF(OR($D138&lt;&gt;"Serviço",AND(AUTOEVENTO="Manual",$M138=$A$15),$M138&gt;(ROW(PLE.lastrow)-ROW(PLE.firstrow))),0,
           IF(OFFSET(PLE!$G$15,$M138-$A$15,CX$13)="",10^12,OFFSET(PLE!$G$15,$M138-$A$15,CX$13)))</f>
        <v>1000000000000</v>
      </c>
      <c r="CY138" s="354" t="n">
        <f aca="true">IF(OR($D138&lt;&gt;"Serviço",AND(AUTOEVENTO="Manual",$M138=$A$15),$M138&gt;(ROW(PLE.lastrow)-ROW(PLE.firstrow))),0,
           IF(OFFSET(PLE!$G$15,$M138-$A$15,CY$13)="",10^12,OFFSET(PLE!$G$15,$M138-$A$15,CY$13)))</f>
        <v>1000000000000</v>
      </c>
      <c r="CZ138" s="354" t="n">
        <f aca="true">IF(OR($D138&lt;&gt;"Serviço",AND(AUTOEVENTO="Manual",$M138=$A$15),$M138&gt;(ROW(PLE.lastrow)-ROW(PLE.firstrow))),0,
           IF(OFFSET(PLE!$G$15,$M138-$A$15,CZ$13)="",10^12,OFFSET(PLE!$G$15,$M138-$A$15,CZ$13)))</f>
        <v>1000000000000</v>
      </c>
      <c r="DA138" s="354" t="n">
        <f aca="true">IF(OR($D138&lt;&gt;"Serviço",AND(AUTOEVENTO="Manual",$M138=$A$15),$M138&gt;(ROW(PLE.lastrow)-ROW(PLE.firstrow))),0,
           IF(OFFSET(PLE!$G$15,$M138-$A$15,DA$13)="",10^12,OFFSET(PLE!$G$15,$M138-$A$15,DA$13)))</f>
        <v>1000000000000</v>
      </c>
      <c r="DB138" s="354" t="n">
        <f aca="true">IF(OR($D138&lt;&gt;"Serviço",AND(AUTOEVENTO="Manual",$M138=$A$15),$M138&gt;(ROW(PLE.lastrow)-ROW(PLE.firstrow))),0,
           IF(OFFSET(PLE!$G$15,$M138-$A$15,DB$13)="",10^12,OFFSET(PLE!$G$15,$M138-$A$15,DB$13)))</f>
        <v>1000000000000</v>
      </c>
      <c r="DC138" s="354" t="n">
        <f aca="true">IF(OR($D138&lt;&gt;"Serviço",AND(AUTOEVENTO="Manual",$M138=$A$15),$M138&gt;(ROW(PLE.lastrow)-ROW(PLE.firstrow))),0,
           IF(OFFSET(PLE!$G$15,$M138-$A$15,DC$13)="",10^12,OFFSET(PLE!$G$15,$M138-$A$15,DC$13)))</f>
        <v>1000000000000</v>
      </c>
      <c r="DD138" s="354" t="n">
        <f aca="true">IF(OR($D138&lt;&gt;"Serviço",AND(AUTOEVENTO="Manual",$M138=$A$15),$M138&gt;(ROW(PLE.lastrow)-ROW(PLE.firstrow))),0,
           IF(OFFSET(PLE!$G$15,$M138-$A$15,DD$13)="",10^12,OFFSET(PLE!$G$15,$M138-$A$15,DD$13)))</f>
        <v>1000000000000</v>
      </c>
      <c r="DE138" s="354" t="n">
        <f aca="true">IF(OR($D138&lt;&gt;"Serviço",AND(AUTOEVENTO="Manual",$M138=$A$15),$M138&gt;(ROW(PLE.lastrow)-ROW(PLE.firstrow))),0,
           IF(OFFSET(PLE!$G$15,$M138-$A$15,DE$13)="",10^12,OFFSET(PLE!$G$15,$M138-$A$15,DE$13)))</f>
        <v>1000000000000</v>
      </c>
      <c r="DF138" s="354" t="n">
        <f aca="true">IF(OR($D138&lt;&gt;"Serviço",AND(AUTOEVENTO="Manual",$M138=$A$15),$M138&gt;(ROW(PLE.lastrow)-ROW(PLE.firstrow))),0,
           IF(OFFSET(PLE!$G$15,$M138-$A$15,DF$13)="",10^12,OFFSET(PLE!$G$15,$M138-$A$15,DF$13)))</f>
        <v>1000000000000</v>
      </c>
      <c r="DG138" s="354" t="n">
        <f aca="true">IF(OR($D138&lt;&gt;"Serviço",AND(AUTOEVENTO="Manual",$M138=$A$15),$M138&gt;(ROW(PLE.lastrow)-ROW(PLE.firstrow))),0,
           IF(OFFSET(PLE!$G$15,$M138-$A$15,DG$13)="",10^12,OFFSET(PLE!$G$15,$M138-$A$15,DG$13)))</f>
        <v>1000000000000</v>
      </c>
      <c r="DH138" s="354" t="n">
        <f aca="true">IF(OR($D138&lt;&gt;"Serviço",AND(AUTOEVENTO="Manual",$M138=$A$15),$M138&gt;(ROW(PLE.lastrow)-ROW(PLE.firstrow))),0,
           IF(OFFSET(PLE!$G$15,$M138-$A$15,DH$13)="",10^12,OFFSET(PLE!$G$15,$M138-$A$15,DH$13)))</f>
        <v>1000000000000</v>
      </c>
      <c r="DI138" s="354" t="n">
        <f aca="true">IF(OR($D138&lt;&gt;"Serviço",AND(AUTOEVENTO="Manual",$M138=$A$15),$M138&gt;(ROW(PLE.lastrow)-ROW(PLE.firstrow))),0,
           IF(OFFSET(PLE!$G$15,$M138-$A$15,DI$13)="",10^12,OFFSET(PLE!$G$15,$M138-$A$15,DI$13)))</f>
        <v>1000000000000</v>
      </c>
      <c r="DJ138" s="354" t="n">
        <f aca="true">IF(OR($D138&lt;&gt;"Serviço",AND(AUTOEVENTO="Manual",$M138=$A$15),$M138&gt;(ROW(PLE.lastrow)-ROW(PLE.firstrow))),0,
           IF(OFFSET(PLE!$G$15,$M138-$A$15,DJ$13)="",10^12,OFFSET(PLE!$G$15,$M138-$A$15,DJ$13)))</f>
        <v>1000000000000</v>
      </c>
      <c r="DK138" s="354" t="n">
        <f aca="true">IF(OR($D138&lt;&gt;"Serviço",AND(AUTOEVENTO="Manual",$M138=$A$15),$M138&gt;(ROW(PLE.lastrow)-ROW(PLE.firstrow))),0,
           IF(OFFSET(PLE!$G$15,$M138-$A$15,DK$13)="",10^12,OFFSET(PLE!$G$15,$M138-$A$15,DK$13)))</f>
        <v>1000000000000</v>
      </c>
      <c r="DL138" s="354" t="n">
        <f aca="true">IF(OR($D138&lt;&gt;"Serviço",AND(AUTOEVENTO="Manual",$M138=$A$15),$M138&gt;(ROW(PLE.lastrow)-ROW(PLE.firstrow))),0,
           IF(OFFSET(PLE!$G$15,$M138-$A$15,DL$13)="",10^12,OFFSET(PLE!$G$15,$M138-$A$15,DL$13)))</f>
        <v>1000000000000</v>
      </c>
      <c r="DM138" s="354" t="n">
        <f aca="true">IF(OR($D138&lt;&gt;"Serviço",AND(AUTOEVENTO="Manual",$M138=$A$15),$M138&gt;(ROW(PLE.lastrow)-ROW(PLE.firstrow))),0,
           IF(OFFSET(PLE!$G$15,$M138-$A$15,DM$13)="",10^12,OFFSET(PLE!$G$15,$M138-$A$15,DM$13)))</f>
        <v>1000000000000</v>
      </c>
      <c r="DN138" s="354" t="n">
        <f aca="true">IF(OR($D138&lt;&gt;"Serviço",AND(AUTOEVENTO="Manual",$M138=$A$15),$M138&gt;(ROW(PLE.lastrow)-ROW(PLE.firstrow))),0,
           IF(OFFSET(PLE!$G$15,$M138-$A$15,DN$13)="",10^12,OFFSET(PLE!$G$15,$M138-$A$15,DN$13)))</f>
        <v>1000000000000</v>
      </c>
      <c r="DO138" s="354" t="n">
        <f aca="true">IF(OR($D138&lt;&gt;"Serviço",AND(AUTOEVENTO="Manual",$M138=$A$15),$M138&gt;(ROW(PLE.lastrow)-ROW(PLE.firstrow))),0,
           IF(OFFSET(PLE!$G$15,$M138-$A$15,DO$13)="",10^12,OFFSET(PLE!$G$15,$M138-$A$15,DO$13)))</f>
        <v>1000000000000</v>
      </c>
      <c r="DP138" s="354" t="n">
        <f aca="true">IF(OR($D138&lt;&gt;"Serviço",AND(AUTOEVENTO="Manual",$M138=$A$15),$M138&gt;(ROW(PLE.lastrow)-ROW(PLE.firstrow))),0,
           IF(OFFSET(PLE!$G$15,$M138-$A$15,DP$13)="",10^12,OFFSET(PLE!$G$15,$M138-$A$15,DP$13)))</f>
        <v>1000000000000</v>
      </c>
      <c r="DQ138" s="354" t="n">
        <f aca="true">IF(OR($D138&lt;&gt;"Serviço",AND(AUTOEVENTO="Manual",$M138=$A$15),$M138&gt;(ROW(PLE.lastrow)-ROW(PLE.firstrow))),0,
           IF(OFFSET(PLE!$G$15,$M138-$A$15,DQ$13)="",10^12,OFFSET(PLE!$G$15,$M138-$A$15,DQ$13)))</f>
        <v>1000000000000</v>
      </c>
      <c r="DR138" s="354" t="n">
        <f aca="true">IF(OR($D138&lt;&gt;"Serviço",AND(AUTOEVENTO="Manual",$M138=$A$15),$M138&gt;(ROW(PLE.lastrow)-ROW(PLE.firstrow))),0,
           IF(OFFSET(PLE!$G$15,$M138-$A$15,DR$13)="",10^12,OFFSET(PLE!$G$15,$M138-$A$15,DR$13)))</f>
        <v>1000000000000</v>
      </c>
      <c r="DS138" s="354" t="n">
        <f aca="true">IF(OR($D138&lt;&gt;"Serviço",AND(AUTOEVENTO="Manual",$M138=$A$15),$M138&gt;(ROW(PLE.lastrow)-ROW(PLE.firstrow))),0,
           IF(OFFSET(PLE!$G$15,$M138-$A$15,DS$13)="",10^12,OFFSET(PLE!$G$15,$M138-$A$15,DS$13)))</f>
        <v>1000000000000</v>
      </c>
    </row>
    <row r="139" customFormat="false" ht="23.85" hidden="false" customHeight="false" outlineLevel="0" collapsed="false">
      <c r="A139" s="50" t="str">
        <f aca="true">IFERROR(IF(AUTOEVENTO="Manual",IF(K139&lt;&gt;"",MIN(VALUE(LEFT(K139,FIND(".",K139)-1)),COUNTA(EVENTOS.Lista)),0),IF(OR($B139&gt;AUTOEVENTO,$B139="S",$B139=0),SUBSTITUTE(OFFSET($A139,-1,0),IF($D139="Serviço",".",""),""),ROW(A139)-ROW($A$15)&amp;".")),0)</f>
        <v>121</v>
      </c>
      <c r="B139" s="50" t="str">
        <f aca="true">OFFSET(ORÇAMENTO!C$15,ROW(B139)-ROW(B$15),0)</f>
        <v>S</v>
      </c>
      <c r="C139" s="50" t="str">
        <f aca="true">OFFSET(ORÇAMENTO!L$15,ROW(C139)-ROW(C$15),0)</f>
        <v>F</v>
      </c>
      <c r="D139" s="201" t="str">
        <f aca="true">OFFSET(ORÇAMENTO!N$15,ROW(D139)-ROW(D$15),0)</f>
        <v>Serviço</v>
      </c>
      <c r="E139" s="202" t="str">
        <f aca="true">OFFSET(ORÇAMENTO!O$15,ROW(E139)-ROW(E$15),0)</f>
        <v>1.40.3.</v>
      </c>
      <c r="F139" s="341" t="str">
        <f aca="true">OFFSET(ORÇAMENTO!R$15,ROW(F139)-ROW(F$15),0)</f>
        <v>TE, PVC, SOLDÁVEL, DN 25MM, INSTALADO EM RAMAL OU SUB-RAMAL DE ÁGUA - FORNECIMENTO E INSTALAÇÃO. AF_06/2022</v>
      </c>
      <c r="G139" s="342" t="str">
        <f aca="true">IF($D139&lt;&gt;"Serviço","",OFFSET(ORÇAMENTO!S$15,ROW(G139)-ROW(G$15),0))</f>
        <v>UN</v>
      </c>
      <c r="H139" s="207" t="n">
        <f aca="true">IF($D139&lt;&gt;"Serviço",0,IF(ACOMPANHAMENTO="BM",ROUND(OFFSET(ORÇAMENTO!AJ$15,ROW(H139)-ROW(H$15),0),15-13*ORÇAMENTO!$AF$7),SUMPRODUCT(($Q$1:$AQ$1=1)*ROUND($Q139:$AQ139,15-13*ORÇAMENTO!$AF$7))))</f>
        <v>100</v>
      </c>
      <c r="I139" s="343" t="s">
        <v>977</v>
      </c>
      <c r="J139" s="344" t="e">
        <f aca="false">IF(OR(B139&lt;&gt;"S",CÁLCULO.FrentesPreenchidas=0),"",IF(AND(ACOMPANHAMENTO="PLE",AUTOEVENTO="Manual",OR(H139&gt;0,ORÇAMENTO!AC139="QUANT."),OR(K139="",M139=0,N139="")),"►",IF(AND(ACOMPANHAMENTO="PLE",ORÇAMENTO!AC139="QUANT."),"►►",IF(AND(COUNTIF($P$11:$AQ$11,"▼")=0,H139&gt;0,I139=""),"◄",""))))</f>
        <v>#NAME?</v>
      </c>
      <c r="K139" s="345"/>
      <c r="L139" s="346" t="s">
        <v>876</v>
      </c>
      <c r="M139" s="347" t="n">
        <f aca="true">IF($D139&lt;&gt;"Serviço","",
          IF(AUTOEVENTO="manual",$A139,
                IF(ISERROR(MATCH($A139,$A$15:OFFSET($A139,-1,0),0)),MAX($M$15:OFFSET(M139,-1,0))+1,
                      INDEX($M$15:OFFSET(M139,-1,0),MATCH($A139,$A$15:OFFSET($A139,-1,0),0)))))</f>
        <v>24</v>
      </c>
      <c r="N139" s="348" t="str">
        <f aca="true">IF($D139&lt;&gt;"Serviço","",
         IF(AUTOEVENTO="Manual",
                IF($A139=0,"&lt;-- defina o número do agrupador",
                       OFFSET(EVENTOS!$D$15,$A139-$A$15,0)),
                OFFSET($F$15,$A139,0)))</f>
        <v>TUBULAÇÕES E CONEXÕES</v>
      </c>
      <c r="O139" s="349"/>
      <c r="Q139" s="349" t="n">
        <v>4</v>
      </c>
      <c r="R139" s="350" t="n">
        <f aca="false">Q139</f>
        <v>4</v>
      </c>
      <c r="S139" s="350" t="n">
        <f aca="false">R139</f>
        <v>4</v>
      </c>
      <c r="T139" s="350" t="n">
        <f aca="false">S139</f>
        <v>4</v>
      </c>
      <c r="U139" s="350" t="n">
        <f aca="false">T139</f>
        <v>4</v>
      </c>
      <c r="V139" s="350" t="n">
        <f aca="false">U139</f>
        <v>4</v>
      </c>
      <c r="W139" s="350" t="n">
        <f aca="false">V139</f>
        <v>4</v>
      </c>
      <c r="X139" s="350" t="n">
        <f aca="false">W139</f>
        <v>4</v>
      </c>
      <c r="Y139" s="350" t="n">
        <f aca="false">X139</f>
        <v>4</v>
      </c>
      <c r="Z139" s="351" t="n">
        <f aca="false">Y139</f>
        <v>4</v>
      </c>
      <c r="AA139" s="350" t="n">
        <f aca="false">Z139</f>
        <v>4</v>
      </c>
      <c r="AB139" s="350" t="n">
        <f aca="false">AA139</f>
        <v>4</v>
      </c>
      <c r="AC139" s="350" t="n">
        <f aca="false">AB139</f>
        <v>4</v>
      </c>
      <c r="AD139" s="350" t="n">
        <f aca="false">AC139</f>
        <v>4</v>
      </c>
      <c r="AE139" s="350" t="n">
        <f aca="false">AD139</f>
        <v>4</v>
      </c>
      <c r="AF139" s="350" t="n">
        <f aca="false">AE139</f>
        <v>4</v>
      </c>
      <c r="AG139" s="350" t="n">
        <f aca="false">AF139</f>
        <v>4</v>
      </c>
      <c r="AH139" s="351" t="n">
        <f aca="false">AG139</f>
        <v>4</v>
      </c>
      <c r="AI139" s="350" t="n">
        <f aca="false">AH139</f>
        <v>4</v>
      </c>
      <c r="AJ139" s="350" t="n">
        <f aca="false">AI139</f>
        <v>4</v>
      </c>
      <c r="AK139" s="350" t="n">
        <f aca="false">AJ139</f>
        <v>4</v>
      </c>
      <c r="AL139" s="350" t="n">
        <f aca="false">AK139</f>
        <v>4</v>
      </c>
      <c r="AM139" s="350" t="n">
        <f aca="false">AL139</f>
        <v>4</v>
      </c>
      <c r="AN139" s="350" t="n">
        <f aca="false">AM139</f>
        <v>4</v>
      </c>
      <c r="AO139" s="350" t="n">
        <f aca="false">AN139</f>
        <v>4</v>
      </c>
      <c r="AP139" s="351"/>
      <c r="AR139" s="352" t="n">
        <f aca="true">IF(AND($D139="Serviço",AR$12&lt;&gt;0,$H139&gt;0,OR(AUTOEVENTO&lt;&gt;"manual",$M139&lt;&gt;$A$15)),
        IF(Import.TipoArredondamento&lt;&gt;"TransfereGOV",
              ROUND(OFFSET($P139,0,AR$13),15-13*ORÇAMENTO!$AF$7)/$H139*OFFSET(ORÇAMENTO!$X$15,ROW(AR139)-ROW(AR$15),0),
              ROUND(ROUND(OFFSET($P139,0,AR$13),15-13*ORÇAMENTO!$AF$7)*OFFSET(ORÇAMENTO!$W$15,ROW(AR139)-ROW(AR$15),0),15-13*ORÇAMENTO!$AF$11)),
         0)</f>
        <v>67.32</v>
      </c>
      <c r="AS139" s="352" t="n">
        <f aca="true">IF(AND($D139="Serviço",AS$12&lt;&gt;0,$H139&gt;0,OR(AUTOEVENTO&lt;&gt;"manual",$M139&lt;&gt;$A$15)),
        IF(Import.TipoArredondamento&lt;&gt;"TransfereGOV",
              ROUND(OFFSET($P139,0,AS$13),15-13*ORÇAMENTO!$AF$7)/$H139*OFFSET(ORÇAMENTO!$X$15,ROW(AS139)-ROW(AS$15),0),
              ROUND(ROUND(OFFSET($P139,0,AS$13),15-13*ORÇAMENTO!$AF$7)*OFFSET(ORÇAMENTO!$W$15,ROW(AS139)-ROW(AS$15),0),15-13*ORÇAMENTO!$AF$11)),
         0)</f>
        <v>67.32</v>
      </c>
      <c r="AT139" s="352" t="n">
        <f aca="true">IF(AND($D139="Serviço",AT$12&lt;&gt;0,$H139&gt;0,OR(AUTOEVENTO&lt;&gt;"manual",$M139&lt;&gt;$A$15)),
        IF(Import.TipoArredondamento&lt;&gt;"TransfereGOV",
              ROUND(OFFSET($P139,0,AT$13),15-13*ORÇAMENTO!$AF$7)/$H139*OFFSET(ORÇAMENTO!$X$15,ROW(AT139)-ROW(AT$15),0),
              ROUND(ROUND(OFFSET($P139,0,AT$13),15-13*ORÇAMENTO!$AF$7)*OFFSET(ORÇAMENTO!$W$15,ROW(AT139)-ROW(AT$15),0),15-13*ORÇAMENTO!$AF$11)),
         0)</f>
        <v>67.32</v>
      </c>
      <c r="AU139" s="352" t="n">
        <f aca="true">IF(AND($D139="Serviço",AU$12&lt;&gt;0,$H139&gt;0,OR(AUTOEVENTO&lt;&gt;"manual",$M139&lt;&gt;$A$15)),
        IF(Import.TipoArredondamento&lt;&gt;"TransfereGOV",
              ROUND(OFFSET($P139,0,AU$13),15-13*ORÇAMENTO!$AF$7)/$H139*OFFSET(ORÇAMENTO!$X$15,ROW(AU139)-ROW(AU$15),0),
              ROUND(ROUND(OFFSET($P139,0,AU$13),15-13*ORÇAMENTO!$AF$7)*OFFSET(ORÇAMENTO!$W$15,ROW(AU139)-ROW(AU$15),0),15-13*ORÇAMENTO!$AF$11)),
         0)</f>
        <v>67.32</v>
      </c>
      <c r="AV139" s="352" t="n">
        <f aca="true">IF(AND($D139="Serviço",AV$12&lt;&gt;0,$H139&gt;0,OR(AUTOEVENTO&lt;&gt;"manual",$M139&lt;&gt;$A$15)),
        IF(Import.TipoArredondamento&lt;&gt;"TransfereGOV",
              ROUND(OFFSET($P139,0,AV$13),15-13*ORÇAMENTO!$AF$7)/$H139*OFFSET(ORÇAMENTO!$X$15,ROW(AV139)-ROW(AV$15),0),
              ROUND(ROUND(OFFSET($P139,0,AV$13),15-13*ORÇAMENTO!$AF$7)*OFFSET(ORÇAMENTO!$W$15,ROW(AV139)-ROW(AV$15),0),15-13*ORÇAMENTO!$AF$11)),
         0)</f>
        <v>67.32</v>
      </c>
      <c r="AW139" s="352" t="n">
        <f aca="true">IF(AND($D139="Serviço",AW$12&lt;&gt;0,$H139&gt;0,OR(AUTOEVENTO&lt;&gt;"manual",$M139&lt;&gt;$A$15)),
        IF(Import.TipoArredondamento&lt;&gt;"TransfereGOV",
              ROUND(OFFSET($P139,0,AW$13),15-13*ORÇAMENTO!$AF$7)/$H139*OFFSET(ORÇAMENTO!$X$15,ROW(AW139)-ROW(AW$15),0),
              ROUND(ROUND(OFFSET($P139,0,AW$13),15-13*ORÇAMENTO!$AF$7)*OFFSET(ORÇAMENTO!$W$15,ROW(AW139)-ROW(AW$15),0),15-13*ORÇAMENTO!$AF$11)),
         0)</f>
        <v>67.32</v>
      </c>
      <c r="AX139" s="352" t="n">
        <f aca="true">IF(AND($D139="Serviço",AX$12&lt;&gt;0,$H139&gt;0,OR(AUTOEVENTO&lt;&gt;"manual",$M139&lt;&gt;$A$15)),
        IF(Import.TipoArredondamento&lt;&gt;"TransfereGOV",
              ROUND(OFFSET($P139,0,AX$13),15-13*ORÇAMENTO!$AF$7)/$H139*OFFSET(ORÇAMENTO!$X$15,ROW(AX139)-ROW(AX$15),0),
              ROUND(ROUND(OFFSET($P139,0,AX$13),15-13*ORÇAMENTO!$AF$7)*OFFSET(ORÇAMENTO!$W$15,ROW(AX139)-ROW(AX$15),0),15-13*ORÇAMENTO!$AF$11)),
         0)</f>
        <v>67.32</v>
      </c>
      <c r="AY139" s="352" t="n">
        <f aca="true">IF(AND($D139="Serviço",AY$12&lt;&gt;0,$H139&gt;0,OR(AUTOEVENTO&lt;&gt;"manual",$M139&lt;&gt;$A$15)),
        IF(Import.TipoArredondamento&lt;&gt;"TransfereGOV",
              ROUND(OFFSET($P139,0,AY$13),15-13*ORÇAMENTO!$AF$7)/$H139*OFFSET(ORÇAMENTO!$X$15,ROW(AY139)-ROW(AY$15),0),
              ROUND(ROUND(OFFSET($P139,0,AY$13),15-13*ORÇAMENTO!$AF$7)*OFFSET(ORÇAMENTO!$W$15,ROW(AY139)-ROW(AY$15),0),15-13*ORÇAMENTO!$AF$11)),
         0)</f>
        <v>67.32</v>
      </c>
      <c r="AZ139" s="352" t="n">
        <f aca="true">IF(AND($D139="Serviço",AZ$12&lt;&gt;0,$H139&gt;0,OR(AUTOEVENTO&lt;&gt;"manual",$M139&lt;&gt;$A$15)),
        IF(Import.TipoArredondamento&lt;&gt;"TransfereGOV",
              ROUND(OFFSET($P139,0,AZ$13),15-13*ORÇAMENTO!$AF$7)/$H139*OFFSET(ORÇAMENTO!$X$15,ROW(AZ139)-ROW(AZ$15),0),
              ROUND(ROUND(OFFSET($P139,0,AZ$13),15-13*ORÇAMENTO!$AF$7)*OFFSET(ORÇAMENTO!$W$15,ROW(AZ139)-ROW(AZ$15),0),15-13*ORÇAMENTO!$AF$11)),
         0)</f>
        <v>67.32</v>
      </c>
      <c r="BA139" s="352" t="n">
        <f aca="true">IF(AND($D139="Serviço",BA$12&lt;&gt;0,$H139&gt;0,OR(AUTOEVENTO&lt;&gt;"manual",$M139&lt;&gt;$A$15)),
        IF(Import.TipoArredondamento&lt;&gt;"TransfereGOV",
              ROUND(OFFSET($P139,0,BA$13),15-13*ORÇAMENTO!$AF$7)/$H139*OFFSET(ORÇAMENTO!$X$15,ROW(BA139)-ROW(BA$15),0),
              ROUND(ROUND(OFFSET($P139,0,BA$13),15-13*ORÇAMENTO!$AF$7)*OFFSET(ORÇAMENTO!$W$15,ROW(BA139)-ROW(BA$15),0),15-13*ORÇAMENTO!$AF$11)),
         0)</f>
        <v>67.32</v>
      </c>
      <c r="BB139" s="352" t="n">
        <f aca="true">IF(AND($D139="Serviço",BB$12&lt;&gt;0,$H139&gt;0,OR(AUTOEVENTO&lt;&gt;"manual",$M139&lt;&gt;$A$15)),
        IF(Import.TipoArredondamento&lt;&gt;"TransfereGOV",
              ROUND(OFFSET($P139,0,BB$13),15-13*ORÇAMENTO!$AF$7)/$H139*OFFSET(ORÇAMENTO!$X$15,ROW(BB139)-ROW(BB$15),0),
              ROUND(ROUND(OFFSET($P139,0,BB$13),15-13*ORÇAMENTO!$AF$7)*OFFSET(ORÇAMENTO!$W$15,ROW(BB139)-ROW(BB$15),0),15-13*ORÇAMENTO!$AF$11)),
         0)</f>
        <v>67.32</v>
      </c>
      <c r="BC139" s="352" t="n">
        <f aca="true">IF(AND($D139="Serviço",BC$12&lt;&gt;0,$H139&gt;0,OR(AUTOEVENTO&lt;&gt;"manual",$M139&lt;&gt;$A$15)),
        IF(Import.TipoArredondamento&lt;&gt;"TransfereGOV",
              ROUND(OFFSET($P139,0,BC$13),15-13*ORÇAMENTO!$AF$7)/$H139*OFFSET(ORÇAMENTO!$X$15,ROW(BC139)-ROW(BC$15),0),
              ROUND(ROUND(OFFSET($P139,0,BC$13),15-13*ORÇAMENTO!$AF$7)*OFFSET(ORÇAMENTO!$W$15,ROW(BC139)-ROW(BC$15),0),15-13*ORÇAMENTO!$AF$11)),
         0)</f>
        <v>67.32</v>
      </c>
      <c r="BD139" s="352" t="n">
        <f aca="true">IF(AND($D139="Serviço",BD$12&lt;&gt;0,$H139&gt;0,OR(AUTOEVENTO&lt;&gt;"manual",$M139&lt;&gt;$A$15)),
        IF(Import.TipoArredondamento&lt;&gt;"TransfereGOV",
              ROUND(OFFSET($P139,0,BD$13),15-13*ORÇAMENTO!$AF$7)/$H139*OFFSET(ORÇAMENTO!$X$15,ROW(BD139)-ROW(BD$15),0),
              ROUND(ROUND(OFFSET($P139,0,BD$13),15-13*ORÇAMENTO!$AF$7)*OFFSET(ORÇAMENTO!$W$15,ROW(BD139)-ROW(BD$15),0),15-13*ORÇAMENTO!$AF$11)),
         0)</f>
        <v>67.32</v>
      </c>
      <c r="BE139" s="352" t="n">
        <f aca="true">IF(AND($D139="Serviço",BE$12&lt;&gt;0,$H139&gt;0,OR(AUTOEVENTO&lt;&gt;"manual",$M139&lt;&gt;$A$15)),
        IF(Import.TipoArredondamento&lt;&gt;"TransfereGOV",
              ROUND(OFFSET($P139,0,BE$13),15-13*ORÇAMENTO!$AF$7)/$H139*OFFSET(ORÇAMENTO!$X$15,ROW(BE139)-ROW(BE$15),0),
              ROUND(ROUND(OFFSET($P139,0,BE$13),15-13*ORÇAMENTO!$AF$7)*OFFSET(ORÇAMENTO!$W$15,ROW(BE139)-ROW(BE$15),0),15-13*ORÇAMENTO!$AF$11)),
         0)</f>
        <v>67.32</v>
      </c>
      <c r="BF139" s="352" t="n">
        <f aca="true">IF(AND($D139="Serviço",BF$12&lt;&gt;0,$H139&gt;0,OR(AUTOEVENTO&lt;&gt;"manual",$M139&lt;&gt;$A$15)),
        IF(Import.TipoArredondamento&lt;&gt;"TransfereGOV",
              ROUND(OFFSET($P139,0,BF$13),15-13*ORÇAMENTO!$AF$7)/$H139*OFFSET(ORÇAMENTO!$X$15,ROW(BF139)-ROW(BF$15),0),
              ROUND(ROUND(OFFSET($P139,0,BF$13),15-13*ORÇAMENTO!$AF$7)*OFFSET(ORÇAMENTO!$W$15,ROW(BF139)-ROW(BF$15),0),15-13*ORÇAMENTO!$AF$11)),
         0)</f>
        <v>67.32</v>
      </c>
      <c r="BG139" s="352" t="n">
        <f aca="true">IF(AND($D139="Serviço",BG$12&lt;&gt;0,$H139&gt;0,OR(AUTOEVENTO&lt;&gt;"manual",$M139&lt;&gt;$A$15)),
        IF(Import.TipoArredondamento&lt;&gt;"TransfereGOV",
              ROUND(OFFSET($P139,0,BG$13),15-13*ORÇAMENTO!$AF$7)/$H139*OFFSET(ORÇAMENTO!$X$15,ROW(BG139)-ROW(BG$15),0),
              ROUND(ROUND(OFFSET($P139,0,BG$13),15-13*ORÇAMENTO!$AF$7)*OFFSET(ORÇAMENTO!$W$15,ROW(BG139)-ROW(BG$15),0),15-13*ORÇAMENTO!$AF$11)),
         0)</f>
        <v>67.32</v>
      </c>
      <c r="BH139" s="352" t="n">
        <f aca="true">IF(AND($D139="Serviço",BH$12&lt;&gt;0,$H139&gt;0,OR(AUTOEVENTO&lt;&gt;"manual",$M139&lt;&gt;$A$15)),
        IF(Import.TipoArredondamento&lt;&gt;"TransfereGOV",
              ROUND(OFFSET($P139,0,BH$13),15-13*ORÇAMENTO!$AF$7)/$H139*OFFSET(ORÇAMENTO!$X$15,ROW(BH139)-ROW(BH$15),0),
              ROUND(ROUND(OFFSET($P139,0,BH$13),15-13*ORÇAMENTO!$AF$7)*OFFSET(ORÇAMENTO!$W$15,ROW(BH139)-ROW(BH$15),0),15-13*ORÇAMENTO!$AF$11)),
         0)</f>
        <v>67.32</v>
      </c>
      <c r="BI139" s="352" t="n">
        <f aca="true">IF(AND($D139="Serviço",BI$12&lt;&gt;0,$H139&gt;0,OR(AUTOEVENTO&lt;&gt;"manual",$M139&lt;&gt;$A$15)),
        IF(Import.TipoArredondamento&lt;&gt;"TransfereGOV",
              ROUND(OFFSET($P139,0,BI$13),15-13*ORÇAMENTO!$AF$7)/$H139*OFFSET(ORÇAMENTO!$X$15,ROW(BI139)-ROW(BI$15),0),
              ROUND(ROUND(OFFSET($P139,0,BI$13),15-13*ORÇAMENTO!$AF$7)*OFFSET(ORÇAMENTO!$W$15,ROW(BI139)-ROW(BI$15),0),15-13*ORÇAMENTO!$AF$11)),
         0)</f>
        <v>67.32</v>
      </c>
      <c r="BJ139" s="352" t="n">
        <f aca="true">IF(AND($D139="Serviço",BJ$12&lt;&gt;0,$H139&gt;0,OR(AUTOEVENTO&lt;&gt;"manual",$M139&lt;&gt;$A$15)),
        IF(Import.TipoArredondamento&lt;&gt;"TransfereGOV",
              ROUND(OFFSET($P139,0,BJ$13),15-13*ORÇAMENTO!$AF$7)/$H139*OFFSET(ORÇAMENTO!$X$15,ROW(BJ139)-ROW(BJ$15),0),
              ROUND(ROUND(OFFSET($P139,0,BJ$13),15-13*ORÇAMENTO!$AF$7)*OFFSET(ORÇAMENTO!$W$15,ROW(BJ139)-ROW(BJ$15),0),15-13*ORÇAMENTO!$AF$11)),
         0)</f>
        <v>67.32</v>
      </c>
      <c r="BK139" s="352" t="n">
        <f aca="true">IF(AND($D139="Serviço",BK$12&lt;&gt;0,$H139&gt;0,OR(AUTOEVENTO&lt;&gt;"manual",$M139&lt;&gt;$A$15)),
        IF(Import.TipoArredondamento&lt;&gt;"TransfereGOV",
              ROUND(OFFSET($P139,0,BK$13),15-13*ORÇAMENTO!$AF$7)/$H139*OFFSET(ORÇAMENTO!$X$15,ROW(BK139)-ROW(BK$15),0),
              ROUND(ROUND(OFFSET($P139,0,BK$13),15-13*ORÇAMENTO!$AF$7)*OFFSET(ORÇAMENTO!$W$15,ROW(BK139)-ROW(BK$15),0),15-13*ORÇAMENTO!$AF$11)),
         0)</f>
        <v>67.32</v>
      </c>
      <c r="BL139" s="352" t="n">
        <f aca="true">IF(AND($D139="Serviço",BL$12&lt;&gt;0,$H139&gt;0,OR(AUTOEVENTO&lt;&gt;"manual",$M139&lt;&gt;$A$15)),
        IF(Import.TipoArredondamento&lt;&gt;"TransfereGOV",
              ROUND(OFFSET($P139,0,BL$13),15-13*ORÇAMENTO!$AF$7)/$H139*OFFSET(ORÇAMENTO!$X$15,ROW(BL139)-ROW(BL$15),0),
              ROUND(ROUND(OFFSET($P139,0,BL$13),15-13*ORÇAMENTO!$AF$7)*OFFSET(ORÇAMENTO!$W$15,ROW(BL139)-ROW(BL$15),0),15-13*ORÇAMENTO!$AF$11)),
         0)</f>
        <v>67.32</v>
      </c>
      <c r="BM139" s="352" t="n">
        <f aca="true">IF(AND($D139="Serviço",BM$12&lt;&gt;0,$H139&gt;0,OR(AUTOEVENTO&lt;&gt;"manual",$M139&lt;&gt;$A$15)),
        IF(Import.TipoArredondamento&lt;&gt;"TransfereGOV",
              ROUND(OFFSET($P139,0,BM$13),15-13*ORÇAMENTO!$AF$7)/$H139*OFFSET(ORÇAMENTO!$X$15,ROW(BM139)-ROW(BM$15),0),
              ROUND(ROUND(OFFSET($P139,0,BM$13),15-13*ORÇAMENTO!$AF$7)*OFFSET(ORÇAMENTO!$W$15,ROW(BM139)-ROW(BM$15),0),15-13*ORÇAMENTO!$AF$11)),
         0)</f>
        <v>67.32</v>
      </c>
      <c r="BN139" s="352" t="n">
        <f aca="true">IF(AND($D139="Serviço",BN$12&lt;&gt;0,$H139&gt;0,OR(AUTOEVENTO&lt;&gt;"manual",$M139&lt;&gt;$A$15)),
        IF(Import.TipoArredondamento&lt;&gt;"TransfereGOV",
              ROUND(OFFSET($P139,0,BN$13),15-13*ORÇAMENTO!$AF$7)/$H139*OFFSET(ORÇAMENTO!$X$15,ROW(BN139)-ROW(BN$15),0),
              ROUND(ROUND(OFFSET($P139,0,BN$13),15-13*ORÇAMENTO!$AF$7)*OFFSET(ORÇAMENTO!$W$15,ROW(BN139)-ROW(BN$15),0),15-13*ORÇAMENTO!$AF$11)),
         0)</f>
        <v>67.32</v>
      </c>
      <c r="BO139" s="352" t="n">
        <f aca="true">IF(AND($D139="Serviço",BO$12&lt;&gt;0,$H139&gt;0,OR(AUTOEVENTO&lt;&gt;"manual",$M139&lt;&gt;$A$15)),
        IF(Import.TipoArredondamento&lt;&gt;"TransfereGOV",
              ROUND(OFFSET($P139,0,BO$13),15-13*ORÇAMENTO!$AF$7)/$H139*OFFSET(ORÇAMENTO!$X$15,ROW(BO139)-ROW(BO$15),0),
              ROUND(ROUND(OFFSET($P139,0,BO$13),15-13*ORÇAMENTO!$AF$7)*OFFSET(ORÇAMENTO!$W$15,ROW(BO139)-ROW(BO$15),0),15-13*ORÇAMENTO!$AF$11)),
         0)</f>
        <v>67.32</v>
      </c>
      <c r="BP139" s="352" t="n">
        <f aca="true">IF(AND($D139="Serviço",BP$12&lt;&gt;0,$H139&gt;0,OR(AUTOEVENTO&lt;&gt;"manual",$M139&lt;&gt;$A$15)),
        IF(Import.TipoArredondamento&lt;&gt;"TransfereGOV",
              ROUND(OFFSET($P139,0,BP$13),15-13*ORÇAMENTO!$AF$7)/$H139*OFFSET(ORÇAMENTO!$X$15,ROW(BP139)-ROW(BP$15),0),
              ROUND(ROUND(OFFSET($P139,0,BP$13),15-13*ORÇAMENTO!$AF$7)*OFFSET(ORÇAMENTO!$W$15,ROW(BP139)-ROW(BP$15),0),15-13*ORÇAMENTO!$AF$11)),
         0)</f>
        <v>67.32</v>
      </c>
      <c r="BQ139" s="352" t="n">
        <f aca="true">IF(AND($D139="Serviço",BQ$12&lt;&gt;0,$H139&gt;0,OR(AUTOEVENTO&lt;&gt;"manual",$M139&lt;&gt;$A$15)),
        IF(Import.TipoArredondamento&lt;&gt;"TransfereGOV",
              ROUND(OFFSET($P139,0,BQ$13),15-13*ORÇAMENTO!$AF$7)/$H139*OFFSET(ORÇAMENTO!$X$15,ROW(BQ139)-ROW(BQ$15),0),
              ROUND(ROUND(OFFSET($P139,0,BQ$13),15-13*ORÇAMENTO!$AF$7)*OFFSET(ORÇAMENTO!$W$15,ROW(BQ139)-ROW(BQ$15),0),15-13*ORÇAMENTO!$AF$11)),
         0)</f>
        <v>0</v>
      </c>
      <c r="BS139" s="353" t="n">
        <f aca="true">IF(OR($D139&lt;&gt;"Serviço",AND(AUTOEVENTO="Manual",$M139=$A$15)),0,
         IF(OFFSET(CRONOPLE!$F$15,$M139-$A$15,BS$13)=0,10^12,OFFSET(CRONOPLE!$F$15,$M139-$A$15,BS$13)))</f>
        <v>1</v>
      </c>
      <c r="BT139" s="353" t="n">
        <f aca="true">IF(OR($D139&lt;&gt;"Serviço",AND(AUTOEVENTO="Manual",$M139=$A$15)),0,
         IF(OFFSET(CRONOPLE!$F$15,$M139-$A$15,BT$13)=0,10^12,OFFSET(CRONOPLE!$F$15,$M139-$A$15,BT$13)))</f>
        <v>2</v>
      </c>
      <c r="BU139" s="353" t="n">
        <f aca="true">IF(OR($D139&lt;&gt;"Serviço",AND(AUTOEVENTO="Manual",$M139=$A$15)),0,
         IF(OFFSET(CRONOPLE!$F$15,$M139-$A$15,BU$13)=0,10^12,OFFSET(CRONOPLE!$F$15,$M139-$A$15,BU$13)))</f>
        <v>3</v>
      </c>
      <c r="BV139" s="353" t="n">
        <f aca="true">IF(OR($D139&lt;&gt;"Serviço",AND(AUTOEVENTO="Manual",$M139=$A$15)),0,
         IF(OFFSET(CRONOPLE!$F$15,$M139-$A$15,BV$13)=0,10^12,OFFSET(CRONOPLE!$F$15,$M139-$A$15,BV$13)))</f>
        <v>4</v>
      </c>
      <c r="BW139" s="353" t="n">
        <f aca="true">IF(OR($D139&lt;&gt;"Serviço",AND(AUTOEVENTO="Manual",$M139=$A$15)),0,
         IF(OFFSET(CRONOPLE!$F$15,$M139-$A$15,BW$13)=0,10^12,OFFSET(CRONOPLE!$F$15,$M139-$A$15,BW$13)))</f>
        <v>5</v>
      </c>
      <c r="BX139" s="353" t="n">
        <f aca="true">IF(OR($D139&lt;&gt;"Serviço",AND(AUTOEVENTO="Manual",$M139=$A$15)),0,
         IF(OFFSET(CRONOPLE!$F$15,$M139-$A$15,BX$13)=0,10^12,OFFSET(CRONOPLE!$F$15,$M139-$A$15,BX$13)))</f>
        <v>6</v>
      </c>
      <c r="BY139" s="353" t="n">
        <f aca="true">IF(OR($D139&lt;&gt;"Serviço",AND(AUTOEVENTO="Manual",$M139=$A$15)),0,
         IF(OFFSET(CRONOPLE!$F$15,$M139-$A$15,BY$13)=0,10^12,OFFSET(CRONOPLE!$F$15,$M139-$A$15,BY$13)))</f>
        <v>7</v>
      </c>
      <c r="BZ139" s="353" t="n">
        <f aca="true">IF(OR($D139&lt;&gt;"Serviço",AND(AUTOEVENTO="Manual",$M139=$A$15)),0,
         IF(OFFSET(CRONOPLE!$F$15,$M139-$A$15,BZ$13)=0,10^12,OFFSET(CRONOPLE!$F$15,$M139-$A$15,BZ$13)))</f>
        <v>8</v>
      </c>
      <c r="CA139" s="353" t="n">
        <f aca="true">IF(OR($D139&lt;&gt;"Serviço",AND(AUTOEVENTO="Manual",$M139=$A$15)),0,
         IF(OFFSET(CRONOPLE!$F$15,$M139-$A$15,CA$13)=0,10^12,OFFSET(CRONOPLE!$F$15,$M139-$A$15,CA$13)))</f>
        <v>9</v>
      </c>
      <c r="CB139" s="353" t="n">
        <f aca="true">IF(OR($D139&lt;&gt;"Serviço",AND(AUTOEVENTO="Manual",$M139=$A$15)),0,
         IF(OFFSET(CRONOPLE!$F$15,$M139-$A$15,CB$13)=0,10^12,OFFSET(CRONOPLE!$F$15,$M139-$A$15,CB$13)))</f>
        <v>10</v>
      </c>
      <c r="CC139" s="353" t="n">
        <f aca="true">IF(OR($D139&lt;&gt;"Serviço",AND(AUTOEVENTO="Manual",$M139=$A$15)),0,
         IF(OFFSET(CRONOPLE!$F$15,$M139-$A$15,CC$13)=0,10^12,OFFSET(CRONOPLE!$F$15,$M139-$A$15,CC$13)))</f>
        <v>11</v>
      </c>
      <c r="CD139" s="353" t="n">
        <f aca="true">IF(OR($D139&lt;&gt;"Serviço",AND(AUTOEVENTO="Manual",$M139=$A$15)),0,
         IF(OFFSET(CRONOPLE!$F$15,$M139-$A$15,CD$13)=0,10^12,OFFSET(CRONOPLE!$F$15,$M139-$A$15,CD$13)))</f>
        <v>12</v>
      </c>
      <c r="CE139" s="353" t="n">
        <f aca="true">IF(OR($D139&lt;&gt;"Serviço",AND(AUTOEVENTO="Manual",$M139=$A$15)),0,
         IF(OFFSET(CRONOPLE!$F$15,$M139-$A$15,CE$13)=0,10^12,OFFSET(CRONOPLE!$F$15,$M139-$A$15,CE$13)))</f>
        <v>13</v>
      </c>
      <c r="CF139" s="353" t="n">
        <f aca="true">IF(OR($D139&lt;&gt;"Serviço",AND(AUTOEVENTO="Manual",$M139=$A$15)),0,
         IF(OFFSET(CRONOPLE!$F$15,$M139-$A$15,CF$13)=0,10^12,OFFSET(CRONOPLE!$F$15,$M139-$A$15,CF$13)))</f>
        <v>14</v>
      </c>
      <c r="CG139" s="353" t="n">
        <f aca="true">IF(OR($D139&lt;&gt;"Serviço",AND(AUTOEVENTO="Manual",$M139=$A$15)),0,
         IF(OFFSET(CRONOPLE!$F$15,$M139-$A$15,CG$13)=0,10^12,OFFSET(CRONOPLE!$F$15,$M139-$A$15,CG$13)))</f>
        <v>15</v>
      </c>
      <c r="CH139" s="353" t="n">
        <f aca="true">IF(OR($D139&lt;&gt;"Serviço",AND(AUTOEVENTO="Manual",$M139=$A$15)),0,
         IF(OFFSET(CRONOPLE!$F$15,$M139-$A$15,CH$13)=0,10^12,OFFSET(CRONOPLE!$F$15,$M139-$A$15,CH$13)))</f>
        <v>16</v>
      </c>
      <c r="CI139" s="353" t="n">
        <f aca="true">IF(OR($D139&lt;&gt;"Serviço",AND(AUTOEVENTO="Manual",$M139=$A$15)),0,
         IF(OFFSET(CRONOPLE!$F$15,$M139-$A$15,CI$13)=0,10^12,OFFSET(CRONOPLE!$F$15,$M139-$A$15,CI$13)))</f>
        <v>17</v>
      </c>
      <c r="CJ139" s="353" t="n">
        <f aca="true">IF(OR($D139&lt;&gt;"Serviço",AND(AUTOEVENTO="Manual",$M139=$A$15)),0,
         IF(OFFSET(CRONOPLE!$F$15,$M139-$A$15,CJ$13)=0,10^12,OFFSET(CRONOPLE!$F$15,$M139-$A$15,CJ$13)))</f>
        <v>18</v>
      </c>
      <c r="CK139" s="353" t="n">
        <f aca="true">IF(OR($D139&lt;&gt;"Serviço",AND(AUTOEVENTO="Manual",$M139=$A$15)),0,
         IF(OFFSET(CRONOPLE!$F$15,$M139-$A$15,CK$13)=0,10^12,OFFSET(CRONOPLE!$F$15,$M139-$A$15,CK$13)))</f>
        <v>19</v>
      </c>
      <c r="CL139" s="353" t="n">
        <f aca="true">IF(OR($D139&lt;&gt;"Serviço",AND(AUTOEVENTO="Manual",$M139=$A$15)),0,
         IF(OFFSET(CRONOPLE!$F$15,$M139-$A$15,CL$13)=0,10^12,OFFSET(CRONOPLE!$F$15,$M139-$A$15,CL$13)))</f>
        <v>20</v>
      </c>
      <c r="CM139" s="353" t="n">
        <f aca="true">IF(OR($D139&lt;&gt;"Serviço",AND(AUTOEVENTO="Manual",$M139=$A$15)),0,
         IF(OFFSET(CRONOPLE!$F$15,$M139-$A$15,CM$13)=0,10^12,OFFSET(CRONOPLE!$F$15,$M139-$A$15,CM$13)))</f>
        <v>21</v>
      </c>
      <c r="CN139" s="353" t="n">
        <f aca="true">IF(OR($D139&lt;&gt;"Serviço",AND(AUTOEVENTO="Manual",$M139=$A$15)),0,
         IF(OFFSET(CRONOPLE!$F$15,$M139-$A$15,CN$13)=0,10^12,OFFSET(CRONOPLE!$F$15,$M139-$A$15,CN$13)))</f>
        <v>22</v>
      </c>
      <c r="CO139" s="353" t="n">
        <f aca="true">IF(OR($D139&lt;&gt;"Serviço",AND(AUTOEVENTO="Manual",$M139=$A$15)),0,
         IF(OFFSET(CRONOPLE!$F$15,$M139-$A$15,CO$13)=0,10^12,OFFSET(CRONOPLE!$F$15,$M139-$A$15,CO$13)))</f>
        <v>23</v>
      </c>
      <c r="CP139" s="353" t="n">
        <f aca="true">IF(OR($D139&lt;&gt;"Serviço",AND(AUTOEVENTO="Manual",$M139=$A$15)),0,
         IF(OFFSET(CRONOPLE!$F$15,$M139-$A$15,CP$13)=0,10^12,OFFSET(CRONOPLE!$F$15,$M139-$A$15,CP$13)))</f>
        <v>24</v>
      </c>
      <c r="CQ139" s="353" t="n">
        <f aca="true">IF(OR($D139&lt;&gt;"Serviço",AND(AUTOEVENTO="Manual",$M139=$A$15)),0,
         IF(OFFSET(CRONOPLE!$F$15,$M139-$A$15,CQ$13)=0,10^12,OFFSET(CRONOPLE!$F$15,$M139-$A$15,CQ$13)))</f>
        <v>25</v>
      </c>
      <c r="CR139" s="353" t="n">
        <f aca="true">IF(OR($D139&lt;&gt;"Serviço",AND(AUTOEVENTO="Manual",$M139=$A$15)),0,
         IF(OFFSET(CRONOPLE!$F$15,$M139-$A$15,CR$13)=0,10^12,OFFSET(CRONOPLE!$F$15,$M139-$A$15,CR$13)))</f>
        <v>1000000000000</v>
      </c>
      <c r="CT139" s="354" t="n">
        <f aca="true">IF(OR($D139&lt;&gt;"Serviço",AND(AUTOEVENTO="Manual",$M139=$A$15),$M139&gt;(ROW(PLE.lastrow)-ROW(PLE.firstrow))),0,
           IF(OFFSET(PLE!$G$15,$M139-$A$15,CT$13)="",10^12,OFFSET(PLE!$G$15,$M139-$A$15,CT$13)))</f>
        <v>1000000000000</v>
      </c>
      <c r="CU139" s="354" t="n">
        <f aca="true">IF(OR($D139&lt;&gt;"Serviço",AND(AUTOEVENTO="Manual",$M139=$A$15),$M139&gt;(ROW(PLE.lastrow)-ROW(PLE.firstrow))),0,
           IF(OFFSET(PLE!$G$15,$M139-$A$15,CU$13)="",10^12,OFFSET(PLE!$G$15,$M139-$A$15,CU$13)))</f>
        <v>1000000000000</v>
      </c>
      <c r="CV139" s="354" t="n">
        <f aca="true">IF(OR($D139&lt;&gt;"Serviço",AND(AUTOEVENTO="Manual",$M139=$A$15),$M139&gt;(ROW(PLE.lastrow)-ROW(PLE.firstrow))),0,
           IF(OFFSET(PLE!$G$15,$M139-$A$15,CV$13)="",10^12,OFFSET(PLE!$G$15,$M139-$A$15,CV$13)))</f>
        <v>1000000000000</v>
      </c>
      <c r="CW139" s="354" t="n">
        <f aca="true">IF(OR($D139&lt;&gt;"Serviço",AND(AUTOEVENTO="Manual",$M139=$A$15),$M139&gt;(ROW(PLE.lastrow)-ROW(PLE.firstrow))),0,
           IF(OFFSET(PLE!$G$15,$M139-$A$15,CW$13)="",10^12,OFFSET(PLE!$G$15,$M139-$A$15,CW$13)))</f>
        <v>1000000000000</v>
      </c>
      <c r="CX139" s="354" t="n">
        <f aca="true">IF(OR($D139&lt;&gt;"Serviço",AND(AUTOEVENTO="Manual",$M139=$A$15),$M139&gt;(ROW(PLE.lastrow)-ROW(PLE.firstrow))),0,
           IF(OFFSET(PLE!$G$15,$M139-$A$15,CX$13)="",10^12,OFFSET(PLE!$G$15,$M139-$A$15,CX$13)))</f>
        <v>1000000000000</v>
      </c>
      <c r="CY139" s="354" t="n">
        <f aca="true">IF(OR($D139&lt;&gt;"Serviço",AND(AUTOEVENTO="Manual",$M139=$A$15),$M139&gt;(ROW(PLE.lastrow)-ROW(PLE.firstrow))),0,
           IF(OFFSET(PLE!$G$15,$M139-$A$15,CY$13)="",10^12,OFFSET(PLE!$G$15,$M139-$A$15,CY$13)))</f>
        <v>1000000000000</v>
      </c>
      <c r="CZ139" s="354" t="n">
        <f aca="true">IF(OR($D139&lt;&gt;"Serviço",AND(AUTOEVENTO="Manual",$M139=$A$15),$M139&gt;(ROW(PLE.lastrow)-ROW(PLE.firstrow))),0,
           IF(OFFSET(PLE!$G$15,$M139-$A$15,CZ$13)="",10^12,OFFSET(PLE!$G$15,$M139-$A$15,CZ$13)))</f>
        <v>1000000000000</v>
      </c>
      <c r="DA139" s="354" t="n">
        <f aca="true">IF(OR($D139&lt;&gt;"Serviço",AND(AUTOEVENTO="Manual",$M139=$A$15),$M139&gt;(ROW(PLE.lastrow)-ROW(PLE.firstrow))),0,
           IF(OFFSET(PLE!$G$15,$M139-$A$15,DA$13)="",10^12,OFFSET(PLE!$G$15,$M139-$A$15,DA$13)))</f>
        <v>1000000000000</v>
      </c>
      <c r="DB139" s="354" t="n">
        <f aca="true">IF(OR($D139&lt;&gt;"Serviço",AND(AUTOEVENTO="Manual",$M139=$A$15),$M139&gt;(ROW(PLE.lastrow)-ROW(PLE.firstrow))),0,
           IF(OFFSET(PLE!$G$15,$M139-$A$15,DB$13)="",10^12,OFFSET(PLE!$G$15,$M139-$A$15,DB$13)))</f>
        <v>1000000000000</v>
      </c>
      <c r="DC139" s="354" t="n">
        <f aca="true">IF(OR($D139&lt;&gt;"Serviço",AND(AUTOEVENTO="Manual",$M139=$A$15),$M139&gt;(ROW(PLE.lastrow)-ROW(PLE.firstrow))),0,
           IF(OFFSET(PLE!$G$15,$M139-$A$15,DC$13)="",10^12,OFFSET(PLE!$G$15,$M139-$A$15,DC$13)))</f>
        <v>1000000000000</v>
      </c>
      <c r="DD139" s="354" t="n">
        <f aca="true">IF(OR($D139&lt;&gt;"Serviço",AND(AUTOEVENTO="Manual",$M139=$A$15),$M139&gt;(ROW(PLE.lastrow)-ROW(PLE.firstrow))),0,
           IF(OFFSET(PLE!$G$15,$M139-$A$15,DD$13)="",10^12,OFFSET(PLE!$G$15,$M139-$A$15,DD$13)))</f>
        <v>1000000000000</v>
      </c>
      <c r="DE139" s="354" t="n">
        <f aca="true">IF(OR($D139&lt;&gt;"Serviço",AND(AUTOEVENTO="Manual",$M139=$A$15),$M139&gt;(ROW(PLE.lastrow)-ROW(PLE.firstrow))),0,
           IF(OFFSET(PLE!$G$15,$M139-$A$15,DE$13)="",10^12,OFFSET(PLE!$G$15,$M139-$A$15,DE$13)))</f>
        <v>1000000000000</v>
      </c>
      <c r="DF139" s="354" t="n">
        <f aca="true">IF(OR($D139&lt;&gt;"Serviço",AND(AUTOEVENTO="Manual",$M139=$A$15),$M139&gt;(ROW(PLE.lastrow)-ROW(PLE.firstrow))),0,
           IF(OFFSET(PLE!$G$15,$M139-$A$15,DF$13)="",10^12,OFFSET(PLE!$G$15,$M139-$A$15,DF$13)))</f>
        <v>1000000000000</v>
      </c>
      <c r="DG139" s="354" t="n">
        <f aca="true">IF(OR($D139&lt;&gt;"Serviço",AND(AUTOEVENTO="Manual",$M139=$A$15),$M139&gt;(ROW(PLE.lastrow)-ROW(PLE.firstrow))),0,
           IF(OFFSET(PLE!$G$15,$M139-$A$15,DG$13)="",10^12,OFFSET(PLE!$G$15,$M139-$A$15,DG$13)))</f>
        <v>1000000000000</v>
      </c>
      <c r="DH139" s="354" t="n">
        <f aca="true">IF(OR($D139&lt;&gt;"Serviço",AND(AUTOEVENTO="Manual",$M139=$A$15),$M139&gt;(ROW(PLE.lastrow)-ROW(PLE.firstrow))),0,
           IF(OFFSET(PLE!$G$15,$M139-$A$15,DH$13)="",10^12,OFFSET(PLE!$G$15,$M139-$A$15,DH$13)))</f>
        <v>1000000000000</v>
      </c>
      <c r="DI139" s="354" t="n">
        <f aca="true">IF(OR($D139&lt;&gt;"Serviço",AND(AUTOEVENTO="Manual",$M139=$A$15),$M139&gt;(ROW(PLE.lastrow)-ROW(PLE.firstrow))),0,
           IF(OFFSET(PLE!$G$15,$M139-$A$15,DI$13)="",10^12,OFFSET(PLE!$G$15,$M139-$A$15,DI$13)))</f>
        <v>1000000000000</v>
      </c>
      <c r="DJ139" s="354" t="n">
        <f aca="true">IF(OR($D139&lt;&gt;"Serviço",AND(AUTOEVENTO="Manual",$M139=$A$15),$M139&gt;(ROW(PLE.lastrow)-ROW(PLE.firstrow))),0,
           IF(OFFSET(PLE!$G$15,$M139-$A$15,DJ$13)="",10^12,OFFSET(PLE!$G$15,$M139-$A$15,DJ$13)))</f>
        <v>1000000000000</v>
      </c>
      <c r="DK139" s="354" t="n">
        <f aca="true">IF(OR($D139&lt;&gt;"Serviço",AND(AUTOEVENTO="Manual",$M139=$A$15),$M139&gt;(ROW(PLE.lastrow)-ROW(PLE.firstrow))),0,
           IF(OFFSET(PLE!$G$15,$M139-$A$15,DK$13)="",10^12,OFFSET(PLE!$G$15,$M139-$A$15,DK$13)))</f>
        <v>1000000000000</v>
      </c>
      <c r="DL139" s="354" t="n">
        <f aca="true">IF(OR($D139&lt;&gt;"Serviço",AND(AUTOEVENTO="Manual",$M139=$A$15),$M139&gt;(ROW(PLE.lastrow)-ROW(PLE.firstrow))),0,
           IF(OFFSET(PLE!$G$15,$M139-$A$15,DL$13)="",10^12,OFFSET(PLE!$G$15,$M139-$A$15,DL$13)))</f>
        <v>1000000000000</v>
      </c>
      <c r="DM139" s="354" t="n">
        <f aca="true">IF(OR($D139&lt;&gt;"Serviço",AND(AUTOEVENTO="Manual",$M139=$A$15),$M139&gt;(ROW(PLE.lastrow)-ROW(PLE.firstrow))),0,
           IF(OFFSET(PLE!$G$15,$M139-$A$15,DM$13)="",10^12,OFFSET(PLE!$G$15,$M139-$A$15,DM$13)))</f>
        <v>1000000000000</v>
      </c>
      <c r="DN139" s="354" t="n">
        <f aca="true">IF(OR($D139&lt;&gt;"Serviço",AND(AUTOEVENTO="Manual",$M139=$A$15),$M139&gt;(ROW(PLE.lastrow)-ROW(PLE.firstrow))),0,
           IF(OFFSET(PLE!$G$15,$M139-$A$15,DN$13)="",10^12,OFFSET(PLE!$G$15,$M139-$A$15,DN$13)))</f>
        <v>1000000000000</v>
      </c>
      <c r="DO139" s="354" t="n">
        <f aca="true">IF(OR($D139&lt;&gt;"Serviço",AND(AUTOEVENTO="Manual",$M139=$A$15),$M139&gt;(ROW(PLE.lastrow)-ROW(PLE.firstrow))),0,
           IF(OFFSET(PLE!$G$15,$M139-$A$15,DO$13)="",10^12,OFFSET(PLE!$G$15,$M139-$A$15,DO$13)))</f>
        <v>1000000000000</v>
      </c>
      <c r="DP139" s="354" t="n">
        <f aca="true">IF(OR($D139&lt;&gt;"Serviço",AND(AUTOEVENTO="Manual",$M139=$A$15),$M139&gt;(ROW(PLE.lastrow)-ROW(PLE.firstrow))),0,
           IF(OFFSET(PLE!$G$15,$M139-$A$15,DP$13)="",10^12,OFFSET(PLE!$G$15,$M139-$A$15,DP$13)))</f>
        <v>1000000000000</v>
      </c>
      <c r="DQ139" s="354" t="n">
        <f aca="true">IF(OR($D139&lt;&gt;"Serviço",AND(AUTOEVENTO="Manual",$M139=$A$15),$M139&gt;(ROW(PLE.lastrow)-ROW(PLE.firstrow))),0,
           IF(OFFSET(PLE!$G$15,$M139-$A$15,DQ$13)="",10^12,OFFSET(PLE!$G$15,$M139-$A$15,DQ$13)))</f>
        <v>1000000000000</v>
      </c>
      <c r="DR139" s="354" t="n">
        <f aca="true">IF(OR($D139&lt;&gt;"Serviço",AND(AUTOEVENTO="Manual",$M139=$A$15),$M139&gt;(ROW(PLE.lastrow)-ROW(PLE.firstrow))),0,
           IF(OFFSET(PLE!$G$15,$M139-$A$15,DR$13)="",10^12,OFFSET(PLE!$G$15,$M139-$A$15,DR$13)))</f>
        <v>1000000000000</v>
      </c>
      <c r="DS139" s="354" t="n">
        <f aca="true">IF(OR($D139&lt;&gt;"Serviço",AND(AUTOEVENTO="Manual",$M139=$A$15),$M139&gt;(ROW(PLE.lastrow)-ROW(PLE.firstrow))),0,
           IF(OFFSET(PLE!$G$15,$M139-$A$15,DS$13)="",10^12,OFFSET(PLE!$G$15,$M139-$A$15,DS$13)))</f>
        <v>1000000000000</v>
      </c>
    </row>
    <row r="140" customFormat="false" ht="35.05" hidden="false" customHeight="false" outlineLevel="0" collapsed="false">
      <c r="A140" s="50" t="str">
        <f aca="true">IFERROR(IF(AUTOEVENTO="Manual",IF(K140&lt;&gt;"",MIN(VALUE(LEFT(K140,FIND(".",K140)-1)),COUNTA(EVENTOS.Lista)),0),IF(OR($B140&gt;AUTOEVENTO,$B140="S",$B140=0),SUBSTITUTE(OFFSET($A140,-1,0),IF($D140="Serviço",".",""),""),ROW(A140)-ROW($A$15)&amp;".")),0)</f>
        <v>121</v>
      </c>
      <c r="B140" s="50" t="str">
        <f aca="true">OFFSET(ORÇAMENTO!C$15,ROW(B140)-ROW(B$15),0)</f>
        <v>S</v>
      </c>
      <c r="C140" s="50" t="str">
        <f aca="true">OFFSET(ORÇAMENTO!L$15,ROW(C140)-ROW(C$15),0)</f>
        <v>F</v>
      </c>
      <c r="D140" s="201" t="str">
        <f aca="true">OFFSET(ORÇAMENTO!N$15,ROW(D140)-ROW(D$15),0)</f>
        <v>Serviço</v>
      </c>
      <c r="E140" s="202" t="str">
        <f aca="true">OFFSET(ORÇAMENTO!O$15,ROW(E140)-ROW(E$15),0)</f>
        <v>1.40.4.</v>
      </c>
      <c r="F140" s="341" t="str">
        <f aca="true">OFFSET(ORÇAMENTO!R$15,ROW(F140)-ROW(F$15),0)</f>
        <v>ADAPTADOR CURTO COM BOLSA E ROSCA PARA REGISTRO, PVC, SOLDÁVEL, DN 25MM X 3/4, INSTALADO EM RAMAL OU SUB-RAMAL DE ÁGUA - FORNECIMENTO E INSTALAÇÃO. AF_06/2022</v>
      </c>
      <c r="G140" s="342" t="str">
        <f aca="true">IF($D140&lt;&gt;"Serviço","",OFFSET(ORÇAMENTO!S$15,ROW(G140)-ROW(G$15),0))</f>
        <v>UN</v>
      </c>
      <c r="H140" s="207" t="n">
        <f aca="true">IF($D140&lt;&gt;"Serviço",0,IF(ACOMPANHAMENTO="BM",ROUND(OFFSET(ORÇAMENTO!AJ$15,ROW(H140)-ROW(H$15),0),15-13*ORÇAMENTO!$AF$7),SUMPRODUCT(($Q$1:$AQ$1=1)*ROUND($Q140:$AQ140,15-13*ORÇAMENTO!$AF$7))))</f>
        <v>200</v>
      </c>
      <c r="I140" s="343" t="s">
        <v>971</v>
      </c>
      <c r="J140" s="344" t="e">
        <f aca="false">IF(OR(B140&lt;&gt;"S",CÁLCULO.FrentesPreenchidas=0),"",IF(AND(ACOMPANHAMENTO="PLE",AUTOEVENTO="Manual",OR(H140&gt;0,ORÇAMENTO!AC140="QUANT."),OR(K140="",M140=0,N140="")),"►",IF(AND(ACOMPANHAMENTO="PLE",ORÇAMENTO!AC140="QUANT."),"►►",IF(AND(COUNTIF($P$11:$AQ$11,"▼")=0,H140&gt;0,I140=""),"◄",""))))</f>
        <v>#NAME?</v>
      </c>
      <c r="K140" s="345"/>
      <c r="L140" s="346" t="s">
        <v>876</v>
      </c>
      <c r="M140" s="347" t="n">
        <f aca="true">IF($D140&lt;&gt;"Serviço","",
          IF(AUTOEVENTO="manual",$A140,
                IF(ISERROR(MATCH($A140,$A$15:OFFSET($A140,-1,0),0)),MAX($M$15:OFFSET(M140,-1,0))+1,
                      INDEX($M$15:OFFSET(M140,-1,0),MATCH($A140,$A$15:OFFSET($A140,-1,0),0)))))</f>
        <v>24</v>
      </c>
      <c r="N140" s="348" t="str">
        <f aca="true">IF($D140&lt;&gt;"Serviço","",
         IF(AUTOEVENTO="Manual",
                IF($A140=0,"&lt;-- defina o número do agrupador",
                       OFFSET(EVENTOS!$D$15,$A140-$A$15,0)),
                OFFSET($F$15,$A140,0)))</f>
        <v>TUBULAÇÕES E CONEXÕES</v>
      </c>
      <c r="O140" s="349"/>
      <c r="Q140" s="349" t="n">
        <v>8</v>
      </c>
      <c r="R140" s="350" t="n">
        <f aca="false">Q140</f>
        <v>8</v>
      </c>
      <c r="S140" s="350" t="n">
        <f aca="false">R140</f>
        <v>8</v>
      </c>
      <c r="T140" s="350" t="n">
        <f aca="false">S140</f>
        <v>8</v>
      </c>
      <c r="U140" s="350" t="n">
        <f aca="false">T140</f>
        <v>8</v>
      </c>
      <c r="V140" s="350" t="n">
        <f aca="false">U140</f>
        <v>8</v>
      </c>
      <c r="W140" s="350" t="n">
        <f aca="false">V140</f>
        <v>8</v>
      </c>
      <c r="X140" s="350" t="n">
        <f aca="false">W140</f>
        <v>8</v>
      </c>
      <c r="Y140" s="350" t="n">
        <f aca="false">X140</f>
        <v>8</v>
      </c>
      <c r="Z140" s="351" t="n">
        <f aca="false">Y140</f>
        <v>8</v>
      </c>
      <c r="AA140" s="350" t="n">
        <f aca="false">Z140</f>
        <v>8</v>
      </c>
      <c r="AB140" s="350" t="n">
        <f aca="false">AA140</f>
        <v>8</v>
      </c>
      <c r="AC140" s="350" t="n">
        <f aca="false">AB140</f>
        <v>8</v>
      </c>
      <c r="AD140" s="350" t="n">
        <f aca="false">AC140</f>
        <v>8</v>
      </c>
      <c r="AE140" s="350" t="n">
        <f aca="false">AD140</f>
        <v>8</v>
      </c>
      <c r="AF140" s="350" t="n">
        <f aca="false">AE140</f>
        <v>8</v>
      </c>
      <c r="AG140" s="350" t="n">
        <f aca="false">AF140</f>
        <v>8</v>
      </c>
      <c r="AH140" s="351" t="n">
        <f aca="false">AG140</f>
        <v>8</v>
      </c>
      <c r="AI140" s="350" t="n">
        <f aca="false">AH140</f>
        <v>8</v>
      </c>
      <c r="AJ140" s="350" t="n">
        <f aca="false">AI140</f>
        <v>8</v>
      </c>
      <c r="AK140" s="350" t="n">
        <f aca="false">AJ140</f>
        <v>8</v>
      </c>
      <c r="AL140" s="350" t="n">
        <f aca="false">AK140</f>
        <v>8</v>
      </c>
      <c r="AM140" s="350" t="n">
        <f aca="false">AL140</f>
        <v>8</v>
      </c>
      <c r="AN140" s="350" t="n">
        <f aca="false">AM140</f>
        <v>8</v>
      </c>
      <c r="AO140" s="350" t="n">
        <f aca="false">AN140</f>
        <v>8</v>
      </c>
      <c r="AP140" s="351"/>
      <c r="AR140" s="352" t="n">
        <f aca="true">IF(AND($D140="Serviço",AR$12&lt;&gt;0,$H140&gt;0,OR(AUTOEVENTO&lt;&gt;"manual",$M140&lt;&gt;$A$15)),
        IF(Import.TipoArredondamento&lt;&gt;"TransfereGOV",
              ROUND(OFFSET($P140,0,AR$13),15-13*ORÇAMENTO!$AF$7)/$H140*OFFSET(ORÇAMENTO!$X$15,ROW(AR140)-ROW(AR$15),0),
              ROUND(ROUND(OFFSET($P140,0,AR$13),15-13*ORÇAMENTO!$AF$7)*OFFSET(ORÇAMENTO!$W$15,ROW(AR140)-ROW(AR$15),0),15-13*ORÇAMENTO!$AF$11)),
         0)</f>
        <v>67.84</v>
      </c>
      <c r="AS140" s="352" t="n">
        <f aca="true">IF(AND($D140="Serviço",AS$12&lt;&gt;0,$H140&gt;0,OR(AUTOEVENTO&lt;&gt;"manual",$M140&lt;&gt;$A$15)),
        IF(Import.TipoArredondamento&lt;&gt;"TransfereGOV",
              ROUND(OFFSET($P140,0,AS$13),15-13*ORÇAMENTO!$AF$7)/$H140*OFFSET(ORÇAMENTO!$X$15,ROW(AS140)-ROW(AS$15),0),
              ROUND(ROUND(OFFSET($P140,0,AS$13),15-13*ORÇAMENTO!$AF$7)*OFFSET(ORÇAMENTO!$W$15,ROW(AS140)-ROW(AS$15),0),15-13*ORÇAMENTO!$AF$11)),
         0)</f>
        <v>67.84</v>
      </c>
      <c r="AT140" s="352" t="n">
        <f aca="true">IF(AND($D140="Serviço",AT$12&lt;&gt;0,$H140&gt;0,OR(AUTOEVENTO&lt;&gt;"manual",$M140&lt;&gt;$A$15)),
        IF(Import.TipoArredondamento&lt;&gt;"TransfereGOV",
              ROUND(OFFSET($P140,0,AT$13),15-13*ORÇAMENTO!$AF$7)/$H140*OFFSET(ORÇAMENTO!$X$15,ROW(AT140)-ROW(AT$15),0),
              ROUND(ROUND(OFFSET($P140,0,AT$13),15-13*ORÇAMENTO!$AF$7)*OFFSET(ORÇAMENTO!$W$15,ROW(AT140)-ROW(AT$15),0),15-13*ORÇAMENTO!$AF$11)),
         0)</f>
        <v>67.84</v>
      </c>
      <c r="AU140" s="352" t="n">
        <f aca="true">IF(AND($D140="Serviço",AU$12&lt;&gt;0,$H140&gt;0,OR(AUTOEVENTO&lt;&gt;"manual",$M140&lt;&gt;$A$15)),
        IF(Import.TipoArredondamento&lt;&gt;"TransfereGOV",
              ROUND(OFFSET($P140,0,AU$13),15-13*ORÇAMENTO!$AF$7)/$H140*OFFSET(ORÇAMENTO!$X$15,ROW(AU140)-ROW(AU$15),0),
              ROUND(ROUND(OFFSET($P140,0,AU$13),15-13*ORÇAMENTO!$AF$7)*OFFSET(ORÇAMENTO!$W$15,ROW(AU140)-ROW(AU$15),0),15-13*ORÇAMENTO!$AF$11)),
         0)</f>
        <v>67.84</v>
      </c>
      <c r="AV140" s="352" t="n">
        <f aca="true">IF(AND($D140="Serviço",AV$12&lt;&gt;0,$H140&gt;0,OR(AUTOEVENTO&lt;&gt;"manual",$M140&lt;&gt;$A$15)),
        IF(Import.TipoArredondamento&lt;&gt;"TransfereGOV",
              ROUND(OFFSET($P140,0,AV$13),15-13*ORÇAMENTO!$AF$7)/$H140*OFFSET(ORÇAMENTO!$X$15,ROW(AV140)-ROW(AV$15),0),
              ROUND(ROUND(OFFSET($P140,0,AV$13),15-13*ORÇAMENTO!$AF$7)*OFFSET(ORÇAMENTO!$W$15,ROW(AV140)-ROW(AV$15),0),15-13*ORÇAMENTO!$AF$11)),
         0)</f>
        <v>67.84</v>
      </c>
      <c r="AW140" s="352" t="n">
        <f aca="true">IF(AND($D140="Serviço",AW$12&lt;&gt;0,$H140&gt;0,OR(AUTOEVENTO&lt;&gt;"manual",$M140&lt;&gt;$A$15)),
        IF(Import.TipoArredondamento&lt;&gt;"TransfereGOV",
              ROUND(OFFSET($P140,0,AW$13),15-13*ORÇAMENTO!$AF$7)/$H140*OFFSET(ORÇAMENTO!$X$15,ROW(AW140)-ROW(AW$15),0),
              ROUND(ROUND(OFFSET($P140,0,AW$13),15-13*ORÇAMENTO!$AF$7)*OFFSET(ORÇAMENTO!$W$15,ROW(AW140)-ROW(AW$15),0),15-13*ORÇAMENTO!$AF$11)),
         0)</f>
        <v>67.84</v>
      </c>
      <c r="AX140" s="352" t="n">
        <f aca="true">IF(AND($D140="Serviço",AX$12&lt;&gt;0,$H140&gt;0,OR(AUTOEVENTO&lt;&gt;"manual",$M140&lt;&gt;$A$15)),
        IF(Import.TipoArredondamento&lt;&gt;"TransfereGOV",
              ROUND(OFFSET($P140,0,AX$13),15-13*ORÇAMENTO!$AF$7)/$H140*OFFSET(ORÇAMENTO!$X$15,ROW(AX140)-ROW(AX$15),0),
              ROUND(ROUND(OFFSET($P140,0,AX$13),15-13*ORÇAMENTO!$AF$7)*OFFSET(ORÇAMENTO!$W$15,ROW(AX140)-ROW(AX$15),0),15-13*ORÇAMENTO!$AF$11)),
         0)</f>
        <v>67.84</v>
      </c>
      <c r="AY140" s="352" t="n">
        <f aca="true">IF(AND($D140="Serviço",AY$12&lt;&gt;0,$H140&gt;0,OR(AUTOEVENTO&lt;&gt;"manual",$M140&lt;&gt;$A$15)),
        IF(Import.TipoArredondamento&lt;&gt;"TransfereGOV",
              ROUND(OFFSET($P140,0,AY$13),15-13*ORÇAMENTO!$AF$7)/$H140*OFFSET(ORÇAMENTO!$X$15,ROW(AY140)-ROW(AY$15),0),
              ROUND(ROUND(OFFSET($P140,0,AY$13),15-13*ORÇAMENTO!$AF$7)*OFFSET(ORÇAMENTO!$W$15,ROW(AY140)-ROW(AY$15),0),15-13*ORÇAMENTO!$AF$11)),
         0)</f>
        <v>67.84</v>
      </c>
      <c r="AZ140" s="352" t="n">
        <f aca="true">IF(AND($D140="Serviço",AZ$12&lt;&gt;0,$H140&gt;0,OR(AUTOEVENTO&lt;&gt;"manual",$M140&lt;&gt;$A$15)),
        IF(Import.TipoArredondamento&lt;&gt;"TransfereGOV",
              ROUND(OFFSET($P140,0,AZ$13),15-13*ORÇAMENTO!$AF$7)/$H140*OFFSET(ORÇAMENTO!$X$15,ROW(AZ140)-ROW(AZ$15),0),
              ROUND(ROUND(OFFSET($P140,0,AZ$13),15-13*ORÇAMENTO!$AF$7)*OFFSET(ORÇAMENTO!$W$15,ROW(AZ140)-ROW(AZ$15),0),15-13*ORÇAMENTO!$AF$11)),
         0)</f>
        <v>67.84</v>
      </c>
      <c r="BA140" s="352" t="n">
        <f aca="true">IF(AND($D140="Serviço",BA$12&lt;&gt;0,$H140&gt;0,OR(AUTOEVENTO&lt;&gt;"manual",$M140&lt;&gt;$A$15)),
        IF(Import.TipoArredondamento&lt;&gt;"TransfereGOV",
              ROUND(OFFSET($P140,0,BA$13),15-13*ORÇAMENTO!$AF$7)/$H140*OFFSET(ORÇAMENTO!$X$15,ROW(BA140)-ROW(BA$15),0),
              ROUND(ROUND(OFFSET($P140,0,BA$13),15-13*ORÇAMENTO!$AF$7)*OFFSET(ORÇAMENTO!$W$15,ROW(BA140)-ROW(BA$15),0),15-13*ORÇAMENTO!$AF$11)),
         0)</f>
        <v>67.84</v>
      </c>
      <c r="BB140" s="352" t="n">
        <f aca="true">IF(AND($D140="Serviço",BB$12&lt;&gt;0,$H140&gt;0,OR(AUTOEVENTO&lt;&gt;"manual",$M140&lt;&gt;$A$15)),
        IF(Import.TipoArredondamento&lt;&gt;"TransfereGOV",
              ROUND(OFFSET($P140,0,BB$13),15-13*ORÇAMENTO!$AF$7)/$H140*OFFSET(ORÇAMENTO!$X$15,ROW(BB140)-ROW(BB$15),0),
              ROUND(ROUND(OFFSET($P140,0,BB$13),15-13*ORÇAMENTO!$AF$7)*OFFSET(ORÇAMENTO!$W$15,ROW(BB140)-ROW(BB$15),0),15-13*ORÇAMENTO!$AF$11)),
         0)</f>
        <v>67.84</v>
      </c>
      <c r="BC140" s="352" t="n">
        <f aca="true">IF(AND($D140="Serviço",BC$12&lt;&gt;0,$H140&gt;0,OR(AUTOEVENTO&lt;&gt;"manual",$M140&lt;&gt;$A$15)),
        IF(Import.TipoArredondamento&lt;&gt;"TransfereGOV",
              ROUND(OFFSET($P140,0,BC$13),15-13*ORÇAMENTO!$AF$7)/$H140*OFFSET(ORÇAMENTO!$X$15,ROW(BC140)-ROW(BC$15),0),
              ROUND(ROUND(OFFSET($P140,0,BC$13),15-13*ORÇAMENTO!$AF$7)*OFFSET(ORÇAMENTO!$W$15,ROW(BC140)-ROW(BC$15),0),15-13*ORÇAMENTO!$AF$11)),
         0)</f>
        <v>67.84</v>
      </c>
      <c r="BD140" s="352" t="n">
        <f aca="true">IF(AND($D140="Serviço",BD$12&lt;&gt;0,$H140&gt;0,OR(AUTOEVENTO&lt;&gt;"manual",$M140&lt;&gt;$A$15)),
        IF(Import.TipoArredondamento&lt;&gt;"TransfereGOV",
              ROUND(OFFSET($P140,0,BD$13),15-13*ORÇAMENTO!$AF$7)/$H140*OFFSET(ORÇAMENTO!$X$15,ROW(BD140)-ROW(BD$15),0),
              ROUND(ROUND(OFFSET($P140,0,BD$13),15-13*ORÇAMENTO!$AF$7)*OFFSET(ORÇAMENTO!$W$15,ROW(BD140)-ROW(BD$15),0),15-13*ORÇAMENTO!$AF$11)),
         0)</f>
        <v>67.84</v>
      </c>
      <c r="BE140" s="352" t="n">
        <f aca="true">IF(AND($D140="Serviço",BE$12&lt;&gt;0,$H140&gt;0,OR(AUTOEVENTO&lt;&gt;"manual",$M140&lt;&gt;$A$15)),
        IF(Import.TipoArredondamento&lt;&gt;"TransfereGOV",
              ROUND(OFFSET($P140,0,BE$13),15-13*ORÇAMENTO!$AF$7)/$H140*OFFSET(ORÇAMENTO!$X$15,ROW(BE140)-ROW(BE$15),0),
              ROUND(ROUND(OFFSET($P140,0,BE$13),15-13*ORÇAMENTO!$AF$7)*OFFSET(ORÇAMENTO!$W$15,ROW(BE140)-ROW(BE$15),0),15-13*ORÇAMENTO!$AF$11)),
         0)</f>
        <v>67.84</v>
      </c>
      <c r="BF140" s="352" t="n">
        <f aca="true">IF(AND($D140="Serviço",BF$12&lt;&gt;0,$H140&gt;0,OR(AUTOEVENTO&lt;&gt;"manual",$M140&lt;&gt;$A$15)),
        IF(Import.TipoArredondamento&lt;&gt;"TransfereGOV",
              ROUND(OFFSET($P140,0,BF$13),15-13*ORÇAMENTO!$AF$7)/$H140*OFFSET(ORÇAMENTO!$X$15,ROW(BF140)-ROW(BF$15),0),
              ROUND(ROUND(OFFSET($P140,0,BF$13),15-13*ORÇAMENTO!$AF$7)*OFFSET(ORÇAMENTO!$W$15,ROW(BF140)-ROW(BF$15),0),15-13*ORÇAMENTO!$AF$11)),
         0)</f>
        <v>67.84</v>
      </c>
      <c r="BG140" s="352" t="n">
        <f aca="true">IF(AND($D140="Serviço",BG$12&lt;&gt;0,$H140&gt;0,OR(AUTOEVENTO&lt;&gt;"manual",$M140&lt;&gt;$A$15)),
        IF(Import.TipoArredondamento&lt;&gt;"TransfereGOV",
              ROUND(OFFSET($P140,0,BG$13),15-13*ORÇAMENTO!$AF$7)/$H140*OFFSET(ORÇAMENTO!$X$15,ROW(BG140)-ROW(BG$15),0),
              ROUND(ROUND(OFFSET($P140,0,BG$13),15-13*ORÇAMENTO!$AF$7)*OFFSET(ORÇAMENTO!$W$15,ROW(BG140)-ROW(BG$15),0),15-13*ORÇAMENTO!$AF$11)),
         0)</f>
        <v>67.84</v>
      </c>
      <c r="BH140" s="352" t="n">
        <f aca="true">IF(AND($D140="Serviço",BH$12&lt;&gt;0,$H140&gt;0,OR(AUTOEVENTO&lt;&gt;"manual",$M140&lt;&gt;$A$15)),
        IF(Import.TipoArredondamento&lt;&gt;"TransfereGOV",
              ROUND(OFFSET($P140,0,BH$13),15-13*ORÇAMENTO!$AF$7)/$H140*OFFSET(ORÇAMENTO!$X$15,ROW(BH140)-ROW(BH$15),0),
              ROUND(ROUND(OFFSET($P140,0,BH$13),15-13*ORÇAMENTO!$AF$7)*OFFSET(ORÇAMENTO!$W$15,ROW(BH140)-ROW(BH$15),0),15-13*ORÇAMENTO!$AF$11)),
         0)</f>
        <v>67.84</v>
      </c>
      <c r="BI140" s="352" t="n">
        <f aca="true">IF(AND($D140="Serviço",BI$12&lt;&gt;0,$H140&gt;0,OR(AUTOEVENTO&lt;&gt;"manual",$M140&lt;&gt;$A$15)),
        IF(Import.TipoArredondamento&lt;&gt;"TransfereGOV",
              ROUND(OFFSET($P140,0,BI$13),15-13*ORÇAMENTO!$AF$7)/$H140*OFFSET(ORÇAMENTO!$X$15,ROW(BI140)-ROW(BI$15),0),
              ROUND(ROUND(OFFSET($P140,0,BI$13),15-13*ORÇAMENTO!$AF$7)*OFFSET(ORÇAMENTO!$W$15,ROW(BI140)-ROW(BI$15),0),15-13*ORÇAMENTO!$AF$11)),
         0)</f>
        <v>67.84</v>
      </c>
      <c r="BJ140" s="352" t="n">
        <f aca="true">IF(AND($D140="Serviço",BJ$12&lt;&gt;0,$H140&gt;0,OR(AUTOEVENTO&lt;&gt;"manual",$M140&lt;&gt;$A$15)),
        IF(Import.TipoArredondamento&lt;&gt;"TransfereGOV",
              ROUND(OFFSET($P140,0,BJ$13),15-13*ORÇAMENTO!$AF$7)/$H140*OFFSET(ORÇAMENTO!$X$15,ROW(BJ140)-ROW(BJ$15),0),
              ROUND(ROUND(OFFSET($P140,0,BJ$13),15-13*ORÇAMENTO!$AF$7)*OFFSET(ORÇAMENTO!$W$15,ROW(BJ140)-ROW(BJ$15),0),15-13*ORÇAMENTO!$AF$11)),
         0)</f>
        <v>67.84</v>
      </c>
      <c r="BK140" s="352" t="n">
        <f aca="true">IF(AND($D140="Serviço",BK$12&lt;&gt;0,$H140&gt;0,OR(AUTOEVENTO&lt;&gt;"manual",$M140&lt;&gt;$A$15)),
        IF(Import.TipoArredondamento&lt;&gt;"TransfereGOV",
              ROUND(OFFSET($P140,0,BK$13),15-13*ORÇAMENTO!$AF$7)/$H140*OFFSET(ORÇAMENTO!$X$15,ROW(BK140)-ROW(BK$15),0),
              ROUND(ROUND(OFFSET($P140,0,BK$13),15-13*ORÇAMENTO!$AF$7)*OFFSET(ORÇAMENTO!$W$15,ROW(BK140)-ROW(BK$15),0),15-13*ORÇAMENTO!$AF$11)),
         0)</f>
        <v>67.84</v>
      </c>
      <c r="BL140" s="352" t="n">
        <f aca="true">IF(AND($D140="Serviço",BL$12&lt;&gt;0,$H140&gt;0,OR(AUTOEVENTO&lt;&gt;"manual",$M140&lt;&gt;$A$15)),
        IF(Import.TipoArredondamento&lt;&gt;"TransfereGOV",
              ROUND(OFFSET($P140,0,BL$13),15-13*ORÇAMENTO!$AF$7)/$H140*OFFSET(ORÇAMENTO!$X$15,ROW(BL140)-ROW(BL$15),0),
              ROUND(ROUND(OFFSET($P140,0,BL$13),15-13*ORÇAMENTO!$AF$7)*OFFSET(ORÇAMENTO!$W$15,ROW(BL140)-ROW(BL$15),0),15-13*ORÇAMENTO!$AF$11)),
         0)</f>
        <v>67.84</v>
      </c>
      <c r="BM140" s="352" t="n">
        <f aca="true">IF(AND($D140="Serviço",BM$12&lt;&gt;0,$H140&gt;0,OR(AUTOEVENTO&lt;&gt;"manual",$M140&lt;&gt;$A$15)),
        IF(Import.TipoArredondamento&lt;&gt;"TransfereGOV",
              ROUND(OFFSET($P140,0,BM$13),15-13*ORÇAMENTO!$AF$7)/$H140*OFFSET(ORÇAMENTO!$X$15,ROW(BM140)-ROW(BM$15),0),
              ROUND(ROUND(OFFSET($P140,0,BM$13),15-13*ORÇAMENTO!$AF$7)*OFFSET(ORÇAMENTO!$W$15,ROW(BM140)-ROW(BM$15),0),15-13*ORÇAMENTO!$AF$11)),
         0)</f>
        <v>67.84</v>
      </c>
      <c r="BN140" s="352" t="n">
        <f aca="true">IF(AND($D140="Serviço",BN$12&lt;&gt;0,$H140&gt;0,OR(AUTOEVENTO&lt;&gt;"manual",$M140&lt;&gt;$A$15)),
        IF(Import.TipoArredondamento&lt;&gt;"TransfereGOV",
              ROUND(OFFSET($P140,0,BN$13),15-13*ORÇAMENTO!$AF$7)/$H140*OFFSET(ORÇAMENTO!$X$15,ROW(BN140)-ROW(BN$15),0),
              ROUND(ROUND(OFFSET($P140,0,BN$13),15-13*ORÇAMENTO!$AF$7)*OFFSET(ORÇAMENTO!$W$15,ROW(BN140)-ROW(BN$15),0),15-13*ORÇAMENTO!$AF$11)),
         0)</f>
        <v>67.84</v>
      </c>
      <c r="BO140" s="352" t="n">
        <f aca="true">IF(AND($D140="Serviço",BO$12&lt;&gt;0,$H140&gt;0,OR(AUTOEVENTO&lt;&gt;"manual",$M140&lt;&gt;$A$15)),
        IF(Import.TipoArredondamento&lt;&gt;"TransfereGOV",
              ROUND(OFFSET($P140,0,BO$13),15-13*ORÇAMENTO!$AF$7)/$H140*OFFSET(ORÇAMENTO!$X$15,ROW(BO140)-ROW(BO$15),0),
              ROUND(ROUND(OFFSET($P140,0,BO$13),15-13*ORÇAMENTO!$AF$7)*OFFSET(ORÇAMENTO!$W$15,ROW(BO140)-ROW(BO$15),0),15-13*ORÇAMENTO!$AF$11)),
         0)</f>
        <v>67.84</v>
      </c>
      <c r="BP140" s="352" t="n">
        <f aca="true">IF(AND($D140="Serviço",BP$12&lt;&gt;0,$H140&gt;0,OR(AUTOEVENTO&lt;&gt;"manual",$M140&lt;&gt;$A$15)),
        IF(Import.TipoArredondamento&lt;&gt;"TransfereGOV",
              ROUND(OFFSET($P140,0,BP$13),15-13*ORÇAMENTO!$AF$7)/$H140*OFFSET(ORÇAMENTO!$X$15,ROW(BP140)-ROW(BP$15),0),
              ROUND(ROUND(OFFSET($P140,0,BP$13),15-13*ORÇAMENTO!$AF$7)*OFFSET(ORÇAMENTO!$W$15,ROW(BP140)-ROW(BP$15),0),15-13*ORÇAMENTO!$AF$11)),
         0)</f>
        <v>67.84</v>
      </c>
      <c r="BQ140" s="352" t="n">
        <f aca="true">IF(AND($D140="Serviço",BQ$12&lt;&gt;0,$H140&gt;0,OR(AUTOEVENTO&lt;&gt;"manual",$M140&lt;&gt;$A$15)),
        IF(Import.TipoArredondamento&lt;&gt;"TransfereGOV",
              ROUND(OFFSET($P140,0,BQ$13),15-13*ORÇAMENTO!$AF$7)/$H140*OFFSET(ORÇAMENTO!$X$15,ROW(BQ140)-ROW(BQ$15),0),
              ROUND(ROUND(OFFSET($P140,0,BQ$13),15-13*ORÇAMENTO!$AF$7)*OFFSET(ORÇAMENTO!$W$15,ROW(BQ140)-ROW(BQ$15),0),15-13*ORÇAMENTO!$AF$11)),
         0)</f>
        <v>0</v>
      </c>
      <c r="BS140" s="353" t="n">
        <f aca="true">IF(OR($D140&lt;&gt;"Serviço",AND(AUTOEVENTO="Manual",$M140=$A$15)),0,
         IF(OFFSET(CRONOPLE!$F$15,$M140-$A$15,BS$13)=0,10^12,OFFSET(CRONOPLE!$F$15,$M140-$A$15,BS$13)))</f>
        <v>1</v>
      </c>
      <c r="BT140" s="353" t="n">
        <f aca="true">IF(OR($D140&lt;&gt;"Serviço",AND(AUTOEVENTO="Manual",$M140=$A$15)),0,
         IF(OFFSET(CRONOPLE!$F$15,$M140-$A$15,BT$13)=0,10^12,OFFSET(CRONOPLE!$F$15,$M140-$A$15,BT$13)))</f>
        <v>2</v>
      </c>
      <c r="BU140" s="353" t="n">
        <f aca="true">IF(OR($D140&lt;&gt;"Serviço",AND(AUTOEVENTO="Manual",$M140=$A$15)),0,
         IF(OFFSET(CRONOPLE!$F$15,$M140-$A$15,BU$13)=0,10^12,OFFSET(CRONOPLE!$F$15,$M140-$A$15,BU$13)))</f>
        <v>3</v>
      </c>
      <c r="BV140" s="353" t="n">
        <f aca="true">IF(OR($D140&lt;&gt;"Serviço",AND(AUTOEVENTO="Manual",$M140=$A$15)),0,
         IF(OFFSET(CRONOPLE!$F$15,$M140-$A$15,BV$13)=0,10^12,OFFSET(CRONOPLE!$F$15,$M140-$A$15,BV$13)))</f>
        <v>4</v>
      </c>
      <c r="BW140" s="353" t="n">
        <f aca="true">IF(OR($D140&lt;&gt;"Serviço",AND(AUTOEVENTO="Manual",$M140=$A$15)),0,
         IF(OFFSET(CRONOPLE!$F$15,$M140-$A$15,BW$13)=0,10^12,OFFSET(CRONOPLE!$F$15,$M140-$A$15,BW$13)))</f>
        <v>5</v>
      </c>
      <c r="BX140" s="353" t="n">
        <f aca="true">IF(OR($D140&lt;&gt;"Serviço",AND(AUTOEVENTO="Manual",$M140=$A$15)),0,
         IF(OFFSET(CRONOPLE!$F$15,$M140-$A$15,BX$13)=0,10^12,OFFSET(CRONOPLE!$F$15,$M140-$A$15,BX$13)))</f>
        <v>6</v>
      </c>
      <c r="BY140" s="353" t="n">
        <f aca="true">IF(OR($D140&lt;&gt;"Serviço",AND(AUTOEVENTO="Manual",$M140=$A$15)),0,
         IF(OFFSET(CRONOPLE!$F$15,$M140-$A$15,BY$13)=0,10^12,OFFSET(CRONOPLE!$F$15,$M140-$A$15,BY$13)))</f>
        <v>7</v>
      </c>
      <c r="BZ140" s="353" t="n">
        <f aca="true">IF(OR($D140&lt;&gt;"Serviço",AND(AUTOEVENTO="Manual",$M140=$A$15)),0,
         IF(OFFSET(CRONOPLE!$F$15,$M140-$A$15,BZ$13)=0,10^12,OFFSET(CRONOPLE!$F$15,$M140-$A$15,BZ$13)))</f>
        <v>8</v>
      </c>
      <c r="CA140" s="353" t="n">
        <f aca="true">IF(OR($D140&lt;&gt;"Serviço",AND(AUTOEVENTO="Manual",$M140=$A$15)),0,
         IF(OFFSET(CRONOPLE!$F$15,$M140-$A$15,CA$13)=0,10^12,OFFSET(CRONOPLE!$F$15,$M140-$A$15,CA$13)))</f>
        <v>9</v>
      </c>
      <c r="CB140" s="353" t="n">
        <f aca="true">IF(OR($D140&lt;&gt;"Serviço",AND(AUTOEVENTO="Manual",$M140=$A$15)),0,
         IF(OFFSET(CRONOPLE!$F$15,$M140-$A$15,CB$13)=0,10^12,OFFSET(CRONOPLE!$F$15,$M140-$A$15,CB$13)))</f>
        <v>10</v>
      </c>
      <c r="CC140" s="353" t="n">
        <f aca="true">IF(OR($D140&lt;&gt;"Serviço",AND(AUTOEVENTO="Manual",$M140=$A$15)),0,
         IF(OFFSET(CRONOPLE!$F$15,$M140-$A$15,CC$13)=0,10^12,OFFSET(CRONOPLE!$F$15,$M140-$A$15,CC$13)))</f>
        <v>11</v>
      </c>
      <c r="CD140" s="353" t="n">
        <f aca="true">IF(OR($D140&lt;&gt;"Serviço",AND(AUTOEVENTO="Manual",$M140=$A$15)),0,
         IF(OFFSET(CRONOPLE!$F$15,$M140-$A$15,CD$13)=0,10^12,OFFSET(CRONOPLE!$F$15,$M140-$A$15,CD$13)))</f>
        <v>12</v>
      </c>
      <c r="CE140" s="353" t="n">
        <f aca="true">IF(OR($D140&lt;&gt;"Serviço",AND(AUTOEVENTO="Manual",$M140=$A$15)),0,
         IF(OFFSET(CRONOPLE!$F$15,$M140-$A$15,CE$13)=0,10^12,OFFSET(CRONOPLE!$F$15,$M140-$A$15,CE$13)))</f>
        <v>13</v>
      </c>
      <c r="CF140" s="353" t="n">
        <f aca="true">IF(OR($D140&lt;&gt;"Serviço",AND(AUTOEVENTO="Manual",$M140=$A$15)),0,
         IF(OFFSET(CRONOPLE!$F$15,$M140-$A$15,CF$13)=0,10^12,OFFSET(CRONOPLE!$F$15,$M140-$A$15,CF$13)))</f>
        <v>14</v>
      </c>
      <c r="CG140" s="353" t="n">
        <f aca="true">IF(OR($D140&lt;&gt;"Serviço",AND(AUTOEVENTO="Manual",$M140=$A$15)),0,
         IF(OFFSET(CRONOPLE!$F$15,$M140-$A$15,CG$13)=0,10^12,OFFSET(CRONOPLE!$F$15,$M140-$A$15,CG$13)))</f>
        <v>15</v>
      </c>
      <c r="CH140" s="353" t="n">
        <f aca="true">IF(OR($D140&lt;&gt;"Serviço",AND(AUTOEVENTO="Manual",$M140=$A$15)),0,
         IF(OFFSET(CRONOPLE!$F$15,$M140-$A$15,CH$13)=0,10^12,OFFSET(CRONOPLE!$F$15,$M140-$A$15,CH$13)))</f>
        <v>16</v>
      </c>
      <c r="CI140" s="353" t="n">
        <f aca="true">IF(OR($D140&lt;&gt;"Serviço",AND(AUTOEVENTO="Manual",$M140=$A$15)),0,
         IF(OFFSET(CRONOPLE!$F$15,$M140-$A$15,CI$13)=0,10^12,OFFSET(CRONOPLE!$F$15,$M140-$A$15,CI$13)))</f>
        <v>17</v>
      </c>
      <c r="CJ140" s="353" t="n">
        <f aca="true">IF(OR($D140&lt;&gt;"Serviço",AND(AUTOEVENTO="Manual",$M140=$A$15)),0,
         IF(OFFSET(CRONOPLE!$F$15,$M140-$A$15,CJ$13)=0,10^12,OFFSET(CRONOPLE!$F$15,$M140-$A$15,CJ$13)))</f>
        <v>18</v>
      </c>
      <c r="CK140" s="353" t="n">
        <f aca="true">IF(OR($D140&lt;&gt;"Serviço",AND(AUTOEVENTO="Manual",$M140=$A$15)),0,
         IF(OFFSET(CRONOPLE!$F$15,$M140-$A$15,CK$13)=0,10^12,OFFSET(CRONOPLE!$F$15,$M140-$A$15,CK$13)))</f>
        <v>19</v>
      </c>
      <c r="CL140" s="353" t="n">
        <f aca="true">IF(OR($D140&lt;&gt;"Serviço",AND(AUTOEVENTO="Manual",$M140=$A$15)),0,
         IF(OFFSET(CRONOPLE!$F$15,$M140-$A$15,CL$13)=0,10^12,OFFSET(CRONOPLE!$F$15,$M140-$A$15,CL$13)))</f>
        <v>20</v>
      </c>
      <c r="CM140" s="353" t="n">
        <f aca="true">IF(OR($D140&lt;&gt;"Serviço",AND(AUTOEVENTO="Manual",$M140=$A$15)),0,
         IF(OFFSET(CRONOPLE!$F$15,$M140-$A$15,CM$13)=0,10^12,OFFSET(CRONOPLE!$F$15,$M140-$A$15,CM$13)))</f>
        <v>21</v>
      </c>
      <c r="CN140" s="353" t="n">
        <f aca="true">IF(OR($D140&lt;&gt;"Serviço",AND(AUTOEVENTO="Manual",$M140=$A$15)),0,
         IF(OFFSET(CRONOPLE!$F$15,$M140-$A$15,CN$13)=0,10^12,OFFSET(CRONOPLE!$F$15,$M140-$A$15,CN$13)))</f>
        <v>22</v>
      </c>
      <c r="CO140" s="353" t="n">
        <f aca="true">IF(OR($D140&lt;&gt;"Serviço",AND(AUTOEVENTO="Manual",$M140=$A$15)),0,
         IF(OFFSET(CRONOPLE!$F$15,$M140-$A$15,CO$13)=0,10^12,OFFSET(CRONOPLE!$F$15,$M140-$A$15,CO$13)))</f>
        <v>23</v>
      </c>
      <c r="CP140" s="353" t="n">
        <f aca="true">IF(OR($D140&lt;&gt;"Serviço",AND(AUTOEVENTO="Manual",$M140=$A$15)),0,
         IF(OFFSET(CRONOPLE!$F$15,$M140-$A$15,CP$13)=0,10^12,OFFSET(CRONOPLE!$F$15,$M140-$A$15,CP$13)))</f>
        <v>24</v>
      </c>
      <c r="CQ140" s="353" t="n">
        <f aca="true">IF(OR($D140&lt;&gt;"Serviço",AND(AUTOEVENTO="Manual",$M140=$A$15)),0,
         IF(OFFSET(CRONOPLE!$F$15,$M140-$A$15,CQ$13)=0,10^12,OFFSET(CRONOPLE!$F$15,$M140-$A$15,CQ$13)))</f>
        <v>25</v>
      </c>
      <c r="CR140" s="353" t="n">
        <f aca="true">IF(OR($D140&lt;&gt;"Serviço",AND(AUTOEVENTO="Manual",$M140=$A$15)),0,
         IF(OFFSET(CRONOPLE!$F$15,$M140-$A$15,CR$13)=0,10^12,OFFSET(CRONOPLE!$F$15,$M140-$A$15,CR$13)))</f>
        <v>1000000000000</v>
      </c>
      <c r="CT140" s="354" t="n">
        <f aca="true">IF(OR($D140&lt;&gt;"Serviço",AND(AUTOEVENTO="Manual",$M140=$A$15),$M140&gt;(ROW(PLE.lastrow)-ROW(PLE.firstrow))),0,
           IF(OFFSET(PLE!$G$15,$M140-$A$15,CT$13)="",10^12,OFFSET(PLE!$G$15,$M140-$A$15,CT$13)))</f>
        <v>1000000000000</v>
      </c>
      <c r="CU140" s="354" t="n">
        <f aca="true">IF(OR($D140&lt;&gt;"Serviço",AND(AUTOEVENTO="Manual",$M140=$A$15),$M140&gt;(ROW(PLE.lastrow)-ROW(PLE.firstrow))),0,
           IF(OFFSET(PLE!$G$15,$M140-$A$15,CU$13)="",10^12,OFFSET(PLE!$G$15,$M140-$A$15,CU$13)))</f>
        <v>1000000000000</v>
      </c>
      <c r="CV140" s="354" t="n">
        <f aca="true">IF(OR($D140&lt;&gt;"Serviço",AND(AUTOEVENTO="Manual",$M140=$A$15),$M140&gt;(ROW(PLE.lastrow)-ROW(PLE.firstrow))),0,
           IF(OFFSET(PLE!$G$15,$M140-$A$15,CV$13)="",10^12,OFFSET(PLE!$G$15,$M140-$A$15,CV$13)))</f>
        <v>1000000000000</v>
      </c>
      <c r="CW140" s="354" t="n">
        <f aca="true">IF(OR($D140&lt;&gt;"Serviço",AND(AUTOEVENTO="Manual",$M140=$A$15),$M140&gt;(ROW(PLE.lastrow)-ROW(PLE.firstrow))),0,
           IF(OFFSET(PLE!$G$15,$M140-$A$15,CW$13)="",10^12,OFFSET(PLE!$G$15,$M140-$A$15,CW$13)))</f>
        <v>1000000000000</v>
      </c>
      <c r="CX140" s="354" t="n">
        <f aca="true">IF(OR($D140&lt;&gt;"Serviço",AND(AUTOEVENTO="Manual",$M140=$A$15),$M140&gt;(ROW(PLE.lastrow)-ROW(PLE.firstrow))),0,
           IF(OFFSET(PLE!$G$15,$M140-$A$15,CX$13)="",10^12,OFFSET(PLE!$G$15,$M140-$A$15,CX$13)))</f>
        <v>1000000000000</v>
      </c>
      <c r="CY140" s="354" t="n">
        <f aca="true">IF(OR($D140&lt;&gt;"Serviço",AND(AUTOEVENTO="Manual",$M140=$A$15),$M140&gt;(ROW(PLE.lastrow)-ROW(PLE.firstrow))),0,
           IF(OFFSET(PLE!$G$15,$M140-$A$15,CY$13)="",10^12,OFFSET(PLE!$G$15,$M140-$A$15,CY$13)))</f>
        <v>1000000000000</v>
      </c>
      <c r="CZ140" s="354" t="n">
        <f aca="true">IF(OR($D140&lt;&gt;"Serviço",AND(AUTOEVENTO="Manual",$M140=$A$15),$M140&gt;(ROW(PLE.lastrow)-ROW(PLE.firstrow))),0,
           IF(OFFSET(PLE!$G$15,$M140-$A$15,CZ$13)="",10^12,OFFSET(PLE!$G$15,$M140-$A$15,CZ$13)))</f>
        <v>1000000000000</v>
      </c>
      <c r="DA140" s="354" t="n">
        <f aca="true">IF(OR($D140&lt;&gt;"Serviço",AND(AUTOEVENTO="Manual",$M140=$A$15),$M140&gt;(ROW(PLE.lastrow)-ROW(PLE.firstrow))),0,
           IF(OFFSET(PLE!$G$15,$M140-$A$15,DA$13)="",10^12,OFFSET(PLE!$G$15,$M140-$A$15,DA$13)))</f>
        <v>1000000000000</v>
      </c>
      <c r="DB140" s="354" t="n">
        <f aca="true">IF(OR($D140&lt;&gt;"Serviço",AND(AUTOEVENTO="Manual",$M140=$A$15),$M140&gt;(ROW(PLE.lastrow)-ROW(PLE.firstrow))),0,
           IF(OFFSET(PLE!$G$15,$M140-$A$15,DB$13)="",10^12,OFFSET(PLE!$G$15,$M140-$A$15,DB$13)))</f>
        <v>1000000000000</v>
      </c>
      <c r="DC140" s="354" t="n">
        <f aca="true">IF(OR($D140&lt;&gt;"Serviço",AND(AUTOEVENTO="Manual",$M140=$A$15),$M140&gt;(ROW(PLE.lastrow)-ROW(PLE.firstrow))),0,
           IF(OFFSET(PLE!$G$15,$M140-$A$15,DC$13)="",10^12,OFFSET(PLE!$G$15,$M140-$A$15,DC$13)))</f>
        <v>1000000000000</v>
      </c>
      <c r="DD140" s="354" t="n">
        <f aca="true">IF(OR($D140&lt;&gt;"Serviço",AND(AUTOEVENTO="Manual",$M140=$A$15),$M140&gt;(ROW(PLE.lastrow)-ROW(PLE.firstrow))),0,
           IF(OFFSET(PLE!$G$15,$M140-$A$15,DD$13)="",10^12,OFFSET(PLE!$G$15,$M140-$A$15,DD$13)))</f>
        <v>1000000000000</v>
      </c>
      <c r="DE140" s="354" t="n">
        <f aca="true">IF(OR($D140&lt;&gt;"Serviço",AND(AUTOEVENTO="Manual",$M140=$A$15),$M140&gt;(ROW(PLE.lastrow)-ROW(PLE.firstrow))),0,
           IF(OFFSET(PLE!$G$15,$M140-$A$15,DE$13)="",10^12,OFFSET(PLE!$G$15,$M140-$A$15,DE$13)))</f>
        <v>1000000000000</v>
      </c>
      <c r="DF140" s="354" t="n">
        <f aca="true">IF(OR($D140&lt;&gt;"Serviço",AND(AUTOEVENTO="Manual",$M140=$A$15),$M140&gt;(ROW(PLE.lastrow)-ROW(PLE.firstrow))),0,
           IF(OFFSET(PLE!$G$15,$M140-$A$15,DF$13)="",10^12,OFFSET(PLE!$G$15,$M140-$A$15,DF$13)))</f>
        <v>1000000000000</v>
      </c>
      <c r="DG140" s="354" t="n">
        <f aca="true">IF(OR($D140&lt;&gt;"Serviço",AND(AUTOEVENTO="Manual",$M140=$A$15),$M140&gt;(ROW(PLE.lastrow)-ROW(PLE.firstrow))),0,
           IF(OFFSET(PLE!$G$15,$M140-$A$15,DG$13)="",10^12,OFFSET(PLE!$G$15,$M140-$A$15,DG$13)))</f>
        <v>1000000000000</v>
      </c>
      <c r="DH140" s="354" t="n">
        <f aca="true">IF(OR($D140&lt;&gt;"Serviço",AND(AUTOEVENTO="Manual",$M140=$A$15),$M140&gt;(ROW(PLE.lastrow)-ROW(PLE.firstrow))),0,
           IF(OFFSET(PLE!$G$15,$M140-$A$15,DH$13)="",10^12,OFFSET(PLE!$G$15,$M140-$A$15,DH$13)))</f>
        <v>1000000000000</v>
      </c>
      <c r="DI140" s="354" t="n">
        <f aca="true">IF(OR($D140&lt;&gt;"Serviço",AND(AUTOEVENTO="Manual",$M140=$A$15),$M140&gt;(ROW(PLE.lastrow)-ROW(PLE.firstrow))),0,
           IF(OFFSET(PLE!$G$15,$M140-$A$15,DI$13)="",10^12,OFFSET(PLE!$G$15,$M140-$A$15,DI$13)))</f>
        <v>1000000000000</v>
      </c>
      <c r="DJ140" s="354" t="n">
        <f aca="true">IF(OR($D140&lt;&gt;"Serviço",AND(AUTOEVENTO="Manual",$M140=$A$15),$M140&gt;(ROW(PLE.lastrow)-ROW(PLE.firstrow))),0,
           IF(OFFSET(PLE!$G$15,$M140-$A$15,DJ$13)="",10^12,OFFSET(PLE!$G$15,$M140-$A$15,DJ$13)))</f>
        <v>1000000000000</v>
      </c>
      <c r="DK140" s="354" t="n">
        <f aca="true">IF(OR($D140&lt;&gt;"Serviço",AND(AUTOEVENTO="Manual",$M140=$A$15),$M140&gt;(ROW(PLE.lastrow)-ROW(PLE.firstrow))),0,
           IF(OFFSET(PLE!$G$15,$M140-$A$15,DK$13)="",10^12,OFFSET(PLE!$G$15,$M140-$A$15,DK$13)))</f>
        <v>1000000000000</v>
      </c>
      <c r="DL140" s="354" t="n">
        <f aca="true">IF(OR($D140&lt;&gt;"Serviço",AND(AUTOEVENTO="Manual",$M140=$A$15),$M140&gt;(ROW(PLE.lastrow)-ROW(PLE.firstrow))),0,
           IF(OFFSET(PLE!$G$15,$M140-$A$15,DL$13)="",10^12,OFFSET(PLE!$G$15,$M140-$A$15,DL$13)))</f>
        <v>1000000000000</v>
      </c>
      <c r="DM140" s="354" t="n">
        <f aca="true">IF(OR($D140&lt;&gt;"Serviço",AND(AUTOEVENTO="Manual",$M140=$A$15),$M140&gt;(ROW(PLE.lastrow)-ROW(PLE.firstrow))),0,
           IF(OFFSET(PLE!$G$15,$M140-$A$15,DM$13)="",10^12,OFFSET(PLE!$G$15,$M140-$A$15,DM$13)))</f>
        <v>1000000000000</v>
      </c>
      <c r="DN140" s="354" t="n">
        <f aca="true">IF(OR($D140&lt;&gt;"Serviço",AND(AUTOEVENTO="Manual",$M140=$A$15),$M140&gt;(ROW(PLE.lastrow)-ROW(PLE.firstrow))),0,
           IF(OFFSET(PLE!$G$15,$M140-$A$15,DN$13)="",10^12,OFFSET(PLE!$G$15,$M140-$A$15,DN$13)))</f>
        <v>1000000000000</v>
      </c>
      <c r="DO140" s="354" t="n">
        <f aca="true">IF(OR($D140&lt;&gt;"Serviço",AND(AUTOEVENTO="Manual",$M140=$A$15),$M140&gt;(ROW(PLE.lastrow)-ROW(PLE.firstrow))),0,
           IF(OFFSET(PLE!$G$15,$M140-$A$15,DO$13)="",10^12,OFFSET(PLE!$G$15,$M140-$A$15,DO$13)))</f>
        <v>1000000000000</v>
      </c>
      <c r="DP140" s="354" t="n">
        <f aca="true">IF(OR($D140&lt;&gt;"Serviço",AND(AUTOEVENTO="Manual",$M140=$A$15),$M140&gt;(ROW(PLE.lastrow)-ROW(PLE.firstrow))),0,
           IF(OFFSET(PLE!$G$15,$M140-$A$15,DP$13)="",10^12,OFFSET(PLE!$G$15,$M140-$A$15,DP$13)))</f>
        <v>1000000000000</v>
      </c>
      <c r="DQ140" s="354" t="n">
        <f aca="true">IF(OR($D140&lt;&gt;"Serviço",AND(AUTOEVENTO="Manual",$M140=$A$15),$M140&gt;(ROW(PLE.lastrow)-ROW(PLE.firstrow))),0,
           IF(OFFSET(PLE!$G$15,$M140-$A$15,DQ$13)="",10^12,OFFSET(PLE!$G$15,$M140-$A$15,DQ$13)))</f>
        <v>1000000000000</v>
      </c>
      <c r="DR140" s="354" t="n">
        <f aca="true">IF(OR($D140&lt;&gt;"Serviço",AND(AUTOEVENTO="Manual",$M140=$A$15),$M140&gt;(ROW(PLE.lastrow)-ROW(PLE.firstrow))),0,
           IF(OFFSET(PLE!$G$15,$M140-$A$15,DR$13)="",10^12,OFFSET(PLE!$G$15,$M140-$A$15,DR$13)))</f>
        <v>1000000000000</v>
      </c>
      <c r="DS140" s="354" t="n">
        <f aca="true">IF(OR($D140&lt;&gt;"Serviço",AND(AUTOEVENTO="Manual",$M140=$A$15),$M140&gt;(ROW(PLE.lastrow)-ROW(PLE.firstrow))),0,
           IF(OFFSET(PLE!$G$15,$M140-$A$15,DS$13)="",10^12,OFFSET(PLE!$G$15,$M140-$A$15,DS$13)))</f>
        <v>1000000000000</v>
      </c>
    </row>
    <row r="141" customFormat="false" ht="23.85" hidden="false" customHeight="false" outlineLevel="0" collapsed="false">
      <c r="A141" s="50" t="str">
        <f aca="true">IFERROR(IF(AUTOEVENTO="Manual",IF(K141&lt;&gt;"",MIN(VALUE(LEFT(K141,FIND(".",K141)-1)),COUNTA(EVENTOS.Lista)),0),IF(OR($B141&gt;AUTOEVENTO,$B141="S",$B141=0),SUBSTITUTE(OFFSET($A141,-1,0),IF($D141="Serviço",".",""),""),ROW(A141)-ROW($A$15)&amp;".")),0)</f>
        <v>121</v>
      </c>
      <c r="B141" s="50" t="str">
        <f aca="true">OFFSET(ORÇAMENTO!C$15,ROW(B141)-ROW(B$15),0)</f>
        <v>S</v>
      </c>
      <c r="C141" s="50" t="str">
        <f aca="true">OFFSET(ORÇAMENTO!L$15,ROW(C141)-ROW(C$15),0)</f>
        <v>F</v>
      </c>
      <c r="D141" s="201" t="str">
        <f aca="true">OFFSET(ORÇAMENTO!N$15,ROW(D141)-ROW(D$15),0)</f>
        <v>Serviço</v>
      </c>
      <c r="E141" s="202" t="str">
        <f aca="true">OFFSET(ORÇAMENTO!O$15,ROW(E141)-ROW(E$15),0)</f>
        <v>1.40.5.</v>
      </c>
      <c r="F141" s="341" t="str">
        <f aca="true">OFFSET(ORÇAMENTO!R$15,ROW(F141)-ROW(F$15),0)</f>
        <v>TUBO, PVC, SOLDÁVEL, DE 25MM, INSTALADO EM PRUMADA DE ÁGUA - FORNECIMENTO E INSTALAÇÃO. AF_06/2022</v>
      </c>
      <c r="G141" s="342" t="str">
        <f aca="true">IF($D141&lt;&gt;"Serviço","",OFFSET(ORÇAMENTO!S$15,ROW(G141)-ROW(G$15),0))</f>
        <v>M</v>
      </c>
      <c r="H141" s="207" t="n">
        <f aca="true">IF($D141&lt;&gt;"Serviço",0,IF(ACOMPANHAMENTO="BM",ROUND(OFFSET(ORÇAMENTO!AJ$15,ROW(H141)-ROW(H$15),0),15-13*ORÇAMENTO!$AF$7),SUMPRODUCT(($Q$1:$AQ$1=1)*ROUND($Q141:$AQ141,15-13*ORÇAMENTO!$AF$7))))</f>
        <v>127.5</v>
      </c>
      <c r="I141" s="343" t="s">
        <v>978</v>
      </c>
      <c r="J141" s="344" t="e">
        <f aca="false">IF(OR(B141&lt;&gt;"S",CÁLCULO.FrentesPreenchidas=0),"",IF(AND(ACOMPANHAMENTO="PLE",AUTOEVENTO="Manual",OR(H141&gt;0,ORÇAMENTO!AC141="QUANT."),OR(K141="",M141=0,N141="")),"►",IF(AND(ACOMPANHAMENTO="PLE",ORÇAMENTO!AC141="QUANT."),"►►",IF(AND(COUNTIF($P$11:$AQ$11,"▼")=0,H141&gt;0,I141=""),"◄",""))))</f>
        <v>#NAME?</v>
      </c>
      <c r="K141" s="345"/>
      <c r="L141" s="346" t="s">
        <v>876</v>
      </c>
      <c r="M141" s="347" t="n">
        <f aca="true">IF($D141&lt;&gt;"Serviço","",
          IF(AUTOEVENTO="manual",$A141,
                IF(ISERROR(MATCH($A141,$A$15:OFFSET($A141,-1,0),0)),MAX($M$15:OFFSET(M141,-1,0))+1,
                      INDEX($M$15:OFFSET(M141,-1,0),MATCH($A141,$A$15:OFFSET($A141,-1,0),0)))))</f>
        <v>24</v>
      </c>
      <c r="N141" s="348" t="str">
        <f aca="true">IF($D141&lt;&gt;"Serviço","",
         IF(AUTOEVENTO="Manual",
                IF($A141=0,"&lt;-- defina o número do agrupador",
                       OFFSET(EVENTOS!$D$15,$A141-$A$15,0)),
                OFFSET($F$15,$A141,0)))</f>
        <v>TUBULAÇÕES E CONEXÕES</v>
      </c>
      <c r="O141" s="349"/>
      <c r="Q141" s="349" t="n">
        <v>5.1</v>
      </c>
      <c r="R141" s="350" t="n">
        <f aca="false">Q141</f>
        <v>5.1</v>
      </c>
      <c r="S141" s="350" t="n">
        <f aca="false">R141</f>
        <v>5.1</v>
      </c>
      <c r="T141" s="350" t="n">
        <f aca="false">S141</f>
        <v>5.1</v>
      </c>
      <c r="U141" s="350" t="n">
        <f aca="false">T141</f>
        <v>5.1</v>
      </c>
      <c r="V141" s="350" t="n">
        <f aca="false">U141</f>
        <v>5.1</v>
      </c>
      <c r="W141" s="350" t="n">
        <f aca="false">V141</f>
        <v>5.1</v>
      </c>
      <c r="X141" s="350" t="n">
        <f aca="false">W141</f>
        <v>5.1</v>
      </c>
      <c r="Y141" s="350" t="n">
        <f aca="false">X141</f>
        <v>5.1</v>
      </c>
      <c r="Z141" s="351" t="n">
        <f aca="false">Y141</f>
        <v>5.1</v>
      </c>
      <c r="AA141" s="350" t="n">
        <f aca="false">Z141</f>
        <v>5.1</v>
      </c>
      <c r="AB141" s="350" t="n">
        <f aca="false">AA141</f>
        <v>5.1</v>
      </c>
      <c r="AC141" s="350" t="n">
        <f aca="false">AB141</f>
        <v>5.1</v>
      </c>
      <c r="AD141" s="350" t="n">
        <f aca="false">AC141</f>
        <v>5.1</v>
      </c>
      <c r="AE141" s="350" t="n">
        <f aca="false">AD141</f>
        <v>5.1</v>
      </c>
      <c r="AF141" s="350" t="n">
        <f aca="false">AE141</f>
        <v>5.1</v>
      </c>
      <c r="AG141" s="350" t="n">
        <f aca="false">AF141</f>
        <v>5.1</v>
      </c>
      <c r="AH141" s="351" t="n">
        <f aca="false">AG141</f>
        <v>5.1</v>
      </c>
      <c r="AI141" s="350" t="n">
        <f aca="false">AH141</f>
        <v>5.1</v>
      </c>
      <c r="AJ141" s="350" t="n">
        <f aca="false">AI141</f>
        <v>5.1</v>
      </c>
      <c r="AK141" s="350" t="n">
        <f aca="false">AJ141</f>
        <v>5.1</v>
      </c>
      <c r="AL141" s="350" t="n">
        <f aca="false">AK141</f>
        <v>5.1</v>
      </c>
      <c r="AM141" s="350" t="n">
        <f aca="false">AL141</f>
        <v>5.1</v>
      </c>
      <c r="AN141" s="350" t="n">
        <f aca="false">AM141</f>
        <v>5.1</v>
      </c>
      <c r="AO141" s="350" t="n">
        <f aca="false">AN141</f>
        <v>5.1</v>
      </c>
      <c r="AP141" s="351"/>
      <c r="AR141" s="352" t="n">
        <f aca="true">IF(AND($D141="Serviço",AR$12&lt;&gt;0,$H141&gt;0,OR(AUTOEVENTO&lt;&gt;"manual",$M141&lt;&gt;$A$15)),
        IF(Import.TipoArredondamento&lt;&gt;"TransfereGOV",
              ROUND(OFFSET($P141,0,AR$13),15-13*ORÇAMENTO!$AF$7)/$H141*OFFSET(ORÇAMENTO!$X$15,ROW(AR141)-ROW(AR$15),0),
              ROUND(ROUND(OFFSET($P141,0,AR$13),15-13*ORÇAMENTO!$AF$7)*OFFSET(ORÇAMENTO!$W$15,ROW(AR141)-ROW(AR$15),0),15-13*ORÇAMENTO!$AF$11)),
         0)</f>
        <v>34.02</v>
      </c>
      <c r="AS141" s="352" t="n">
        <f aca="true">IF(AND($D141="Serviço",AS$12&lt;&gt;0,$H141&gt;0,OR(AUTOEVENTO&lt;&gt;"manual",$M141&lt;&gt;$A$15)),
        IF(Import.TipoArredondamento&lt;&gt;"TransfereGOV",
              ROUND(OFFSET($P141,0,AS$13),15-13*ORÇAMENTO!$AF$7)/$H141*OFFSET(ORÇAMENTO!$X$15,ROW(AS141)-ROW(AS$15),0),
              ROUND(ROUND(OFFSET($P141,0,AS$13),15-13*ORÇAMENTO!$AF$7)*OFFSET(ORÇAMENTO!$W$15,ROW(AS141)-ROW(AS$15),0),15-13*ORÇAMENTO!$AF$11)),
         0)</f>
        <v>34.02</v>
      </c>
      <c r="AT141" s="352" t="n">
        <f aca="true">IF(AND($D141="Serviço",AT$12&lt;&gt;0,$H141&gt;0,OR(AUTOEVENTO&lt;&gt;"manual",$M141&lt;&gt;$A$15)),
        IF(Import.TipoArredondamento&lt;&gt;"TransfereGOV",
              ROUND(OFFSET($P141,0,AT$13),15-13*ORÇAMENTO!$AF$7)/$H141*OFFSET(ORÇAMENTO!$X$15,ROW(AT141)-ROW(AT$15),0),
              ROUND(ROUND(OFFSET($P141,0,AT$13),15-13*ORÇAMENTO!$AF$7)*OFFSET(ORÇAMENTO!$W$15,ROW(AT141)-ROW(AT$15),0),15-13*ORÇAMENTO!$AF$11)),
         0)</f>
        <v>34.02</v>
      </c>
      <c r="AU141" s="352" t="n">
        <f aca="true">IF(AND($D141="Serviço",AU$12&lt;&gt;0,$H141&gt;0,OR(AUTOEVENTO&lt;&gt;"manual",$M141&lt;&gt;$A$15)),
        IF(Import.TipoArredondamento&lt;&gt;"TransfereGOV",
              ROUND(OFFSET($P141,0,AU$13),15-13*ORÇAMENTO!$AF$7)/$H141*OFFSET(ORÇAMENTO!$X$15,ROW(AU141)-ROW(AU$15),0),
              ROUND(ROUND(OFFSET($P141,0,AU$13),15-13*ORÇAMENTO!$AF$7)*OFFSET(ORÇAMENTO!$W$15,ROW(AU141)-ROW(AU$15),0),15-13*ORÇAMENTO!$AF$11)),
         0)</f>
        <v>34.02</v>
      </c>
      <c r="AV141" s="352" t="n">
        <f aca="true">IF(AND($D141="Serviço",AV$12&lt;&gt;0,$H141&gt;0,OR(AUTOEVENTO&lt;&gt;"manual",$M141&lt;&gt;$A$15)),
        IF(Import.TipoArredondamento&lt;&gt;"TransfereGOV",
              ROUND(OFFSET($P141,0,AV$13),15-13*ORÇAMENTO!$AF$7)/$H141*OFFSET(ORÇAMENTO!$X$15,ROW(AV141)-ROW(AV$15),0),
              ROUND(ROUND(OFFSET($P141,0,AV$13),15-13*ORÇAMENTO!$AF$7)*OFFSET(ORÇAMENTO!$W$15,ROW(AV141)-ROW(AV$15),0),15-13*ORÇAMENTO!$AF$11)),
         0)</f>
        <v>34.02</v>
      </c>
      <c r="AW141" s="352" t="n">
        <f aca="true">IF(AND($D141="Serviço",AW$12&lt;&gt;0,$H141&gt;0,OR(AUTOEVENTO&lt;&gt;"manual",$M141&lt;&gt;$A$15)),
        IF(Import.TipoArredondamento&lt;&gt;"TransfereGOV",
              ROUND(OFFSET($P141,0,AW$13),15-13*ORÇAMENTO!$AF$7)/$H141*OFFSET(ORÇAMENTO!$X$15,ROW(AW141)-ROW(AW$15),0),
              ROUND(ROUND(OFFSET($P141,0,AW$13),15-13*ORÇAMENTO!$AF$7)*OFFSET(ORÇAMENTO!$W$15,ROW(AW141)-ROW(AW$15),0),15-13*ORÇAMENTO!$AF$11)),
         0)</f>
        <v>34.02</v>
      </c>
      <c r="AX141" s="352" t="n">
        <f aca="true">IF(AND($D141="Serviço",AX$12&lt;&gt;0,$H141&gt;0,OR(AUTOEVENTO&lt;&gt;"manual",$M141&lt;&gt;$A$15)),
        IF(Import.TipoArredondamento&lt;&gt;"TransfereGOV",
              ROUND(OFFSET($P141,0,AX$13),15-13*ORÇAMENTO!$AF$7)/$H141*OFFSET(ORÇAMENTO!$X$15,ROW(AX141)-ROW(AX$15),0),
              ROUND(ROUND(OFFSET($P141,0,AX$13),15-13*ORÇAMENTO!$AF$7)*OFFSET(ORÇAMENTO!$W$15,ROW(AX141)-ROW(AX$15),0),15-13*ORÇAMENTO!$AF$11)),
         0)</f>
        <v>34.02</v>
      </c>
      <c r="AY141" s="352" t="n">
        <f aca="true">IF(AND($D141="Serviço",AY$12&lt;&gt;0,$H141&gt;0,OR(AUTOEVENTO&lt;&gt;"manual",$M141&lt;&gt;$A$15)),
        IF(Import.TipoArredondamento&lt;&gt;"TransfereGOV",
              ROUND(OFFSET($P141,0,AY$13),15-13*ORÇAMENTO!$AF$7)/$H141*OFFSET(ORÇAMENTO!$X$15,ROW(AY141)-ROW(AY$15),0),
              ROUND(ROUND(OFFSET($P141,0,AY$13),15-13*ORÇAMENTO!$AF$7)*OFFSET(ORÇAMENTO!$W$15,ROW(AY141)-ROW(AY$15),0),15-13*ORÇAMENTO!$AF$11)),
         0)</f>
        <v>34.02</v>
      </c>
      <c r="AZ141" s="352" t="n">
        <f aca="true">IF(AND($D141="Serviço",AZ$12&lt;&gt;0,$H141&gt;0,OR(AUTOEVENTO&lt;&gt;"manual",$M141&lt;&gt;$A$15)),
        IF(Import.TipoArredondamento&lt;&gt;"TransfereGOV",
              ROUND(OFFSET($P141,0,AZ$13),15-13*ORÇAMENTO!$AF$7)/$H141*OFFSET(ORÇAMENTO!$X$15,ROW(AZ141)-ROW(AZ$15),0),
              ROUND(ROUND(OFFSET($P141,0,AZ$13),15-13*ORÇAMENTO!$AF$7)*OFFSET(ORÇAMENTO!$W$15,ROW(AZ141)-ROW(AZ$15),0),15-13*ORÇAMENTO!$AF$11)),
         0)</f>
        <v>34.02</v>
      </c>
      <c r="BA141" s="352" t="n">
        <f aca="true">IF(AND($D141="Serviço",BA$12&lt;&gt;0,$H141&gt;0,OR(AUTOEVENTO&lt;&gt;"manual",$M141&lt;&gt;$A$15)),
        IF(Import.TipoArredondamento&lt;&gt;"TransfereGOV",
              ROUND(OFFSET($P141,0,BA$13),15-13*ORÇAMENTO!$AF$7)/$H141*OFFSET(ORÇAMENTO!$X$15,ROW(BA141)-ROW(BA$15),0),
              ROUND(ROUND(OFFSET($P141,0,BA$13),15-13*ORÇAMENTO!$AF$7)*OFFSET(ORÇAMENTO!$W$15,ROW(BA141)-ROW(BA$15),0),15-13*ORÇAMENTO!$AF$11)),
         0)</f>
        <v>34.02</v>
      </c>
      <c r="BB141" s="352" t="n">
        <f aca="true">IF(AND($D141="Serviço",BB$12&lt;&gt;0,$H141&gt;0,OR(AUTOEVENTO&lt;&gt;"manual",$M141&lt;&gt;$A$15)),
        IF(Import.TipoArredondamento&lt;&gt;"TransfereGOV",
              ROUND(OFFSET($P141,0,BB$13),15-13*ORÇAMENTO!$AF$7)/$H141*OFFSET(ORÇAMENTO!$X$15,ROW(BB141)-ROW(BB$15),0),
              ROUND(ROUND(OFFSET($P141,0,BB$13),15-13*ORÇAMENTO!$AF$7)*OFFSET(ORÇAMENTO!$W$15,ROW(BB141)-ROW(BB$15),0),15-13*ORÇAMENTO!$AF$11)),
         0)</f>
        <v>34.02</v>
      </c>
      <c r="BC141" s="352" t="n">
        <f aca="true">IF(AND($D141="Serviço",BC$12&lt;&gt;0,$H141&gt;0,OR(AUTOEVENTO&lt;&gt;"manual",$M141&lt;&gt;$A$15)),
        IF(Import.TipoArredondamento&lt;&gt;"TransfereGOV",
              ROUND(OFFSET($P141,0,BC$13),15-13*ORÇAMENTO!$AF$7)/$H141*OFFSET(ORÇAMENTO!$X$15,ROW(BC141)-ROW(BC$15),0),
              ROUND(ROUND(OFFSET($P141,0,BC$13),15-13*ORÇAMENTO!$AF$7)*OFFSET(ORÇAMENTO!$W$15,ROW(BC141)-ROW(BC$15),0),15-13*ORÇAMENTO!$AF$11)),
         0)</f>
        <v>34.02</v>
      </c>
      <c r="BD141" s="352" t="n">
        <f aca="true">IF(AND($D141="Serviço",BD$12&lt;&gt;0,$H141&gt;0,OR(AUTOEVENTO&lt;&gt;"manual",$M141&lt;&gt;$A$15)),
        IF(Import.TipoArredondamento&lt;&gt;"TransfereGOV",
              ROUND(OFFSET($P141,0,BD$13),15-13*ORÇAMENTO!$AF$7)/$H141*OFFSET(ORÇAMENTO!$X$15,ROW(BD141)-ROW(BD$15),0),
              ROUND(ROUND(OFFSET($P141,0,BD$13),15-13*ORÇAMENTO!$AF$7)*OFFSET(ORÇAMENTO!$W$15,ROW(BD141)-ROW(BD$15),0),15-13*ORÇAMENTO!$AF$11)),
         0)</f>
        <v>34.02</v>
      </c>
      <c r="BE141" s="352" t="n">
        <f aca="true">IF(AND($D141="Serviço",BE$12&lt;&gt;0,$H141&gt;0,OR(AUTOEVENTO&lt;&gt;"manual",$M141&lt;&gt;$A$15)),
        IF(Import.TipoArredondamento&lt;&gt;"TransfereGOV",
              ROUND(OFFSET($P141,0,BE$13),15-13*ORÇAMENTO!$AF$7)/$H141*OFFSET(ORÇAMENTO!$X$15,ROW(BE141)-ROW(BE$15),0),
              ROUND(ROUND(OFFSET($P141,0,BE$13),15-13*ORÇAMENTO!$AF$7)*OFFSET(ORÇAMENTO!$W$15,ROW(BE141)-ROW(BE$15),0),15-13*ORÇAMENTO!$AF$11)),
         0)</f>
        <v>34.02</v>
      </c>
      <c r="BF141" s="352" t="n">
        <f aca="true">IF(AND($D141="Serviço",BF$12&lt;&gt;0,$H141&gt;0,OR(AUTOEVENTO&lt;&gt;"manual",$M141&lt;&gt;$A$15)),
        IF(Import.TipoArredondamento&lt;&gt;"TransfereGOV",
              ROUND(OFFSET($P141,0,BF$13),15-13*ORÇAMENTO!$AF$7)/$H141*OFFSET(ORÇAMENTO!$X$15,ROW(BF141)-ROW(BF$15),0),
              ROUND(ROUND(OFFSET($P141,0,BF$13),15-13*ORÇAMENTO!$AF$7)*OFFSET(ORÇAMENTO!$W$15,ROW(BF141)-ROW(BF$15),0),15-13*ORÇAMENTO!$AF$11)),
         0)</f>
        <v>34.02</v>
      </c>
      <c r="BG141" s="352" t="n">
        <f aca="true">IF(AND($D141="Serviço",BG$12&lt;&gt;0,$H141&gt;0,OR(AUTOEVENTO&lt;&gt;"manual",$M141&lt;&gt;$A$15)),
        IF(Import.TipoArredondamento&lt;&gt;"TransfereGOV",
              ROUND(OFFSET($P141,0,BG$13),15-13*ORÇAMENTO!$AF$7)/$H141*OFFSET(ORÇAMENTO!$X$15,ROW(BG141)-ROW(BG$15),0),
              ROUND(ROUND(OFFSET($P141,0,BG$13),15-13*ORÇAMENTO!$AF$7)*OFFSET(ORÇAMENTO!$W$15,ROW(BG141)-ROW(BG$15),0),15-13*ORÇAMENTO!$AF$11)),
         0)</f>
        <v>34.02</v>
      </c>
      <c r="BH141" s="352" t="n">
        <f aca="true">IF(AND($D141="Serviço",BH$12&lt;&gt;0,$H141&gt;0,OR(AUTOEVENTO&lt;&gt;"manual",$M141&lt;&gt;$A$15)),
        IF(Import.TipoArredondamento&lt;&gt;"TransfereGOV",
              ROUND(OFFSET($P141,0,BH$13),15-13*ORÇAMENTO!$AF$7)/$H141*OFFSET(ORÇAMENTO!$X$15,ROW(BH141)-ROW(BH$15),0),
              ROUND(ROUND(OFFSET($P141,0,BH$13),15-13*ORÇAMENTO!$AF$7)*OFFSET(ORÇAMENTO!$W$15,ROW(BH141)-ROW(BH$15),0),15-13*ORÇAMENTO!$AF$11)),
         0)</f>
        <v>34.02</v>
      </c>
      <c r="BI141" s="352" t="n">
        <f aca="true">IF(AND($D141="Serviço",BI$12&lt;&gt;0,$H141&gt;0,OR(AUTOEVENTO&lt;&gt;"manual",$M141&lt;&gt;$A$15)),
        IF(Import.TipoArredondamento&lt;&gt;"TransfereGOV",
              ROUND(OFFSET($P141,0,BI$13),15-13*ORÇAMENTO!$AF$7)/$H141*OFFSET(ORÇAMENTO!$X$15,ROW(BI141)-ROW(BI$15),0),
              ROUND(ROUND(OFFSET($P141,0,BI$13),15-13*ORÇAMENTO!$AF$7)*OFFSET(ORÇAMENTO!$W$15,ROW(BI141)-ROW(BI$15),0),15-13*ORÇAMENTO!$AF$11)),
         0)</f>
        <v>34.02</v>
      </c>
      <c r="BJ141" s="352" t="n">
        <f aca="true">IF(AND($D141="Serviço",BJ$12&lt;&gt;0,$H141&gt;0,OR(AUTOEVENTO&lt;&gt;"manual",$M141&lt;&gt;$A$15)),
        IF(Import.TipoArredondamento&lt;&gt;"TransfereGOV",
              ROUND(OFFSET($P141,0,BJ$13),15-13*ORÇAMENTO!$AF$7)/$H141*OFFSET(ORÇAMENTO!$X$15,ROW(BJ141)-ROW(BJ$15),0),
              ROUND(ROUND(OFFSET($P141,0,BJ$13),15-13*ORÇAMENTO!$AF$7)*OFFSET(ORÇAMENTO!$W$15,ROW(BJ141)-ROW(BJ$15),0),15-13*ORÇAMENTO!$AF$11)),
         0)</f>
        <v>34.02</v>
      </c>
      <c r="BK141" s="352" t="n">
        <f aca="true">IF(AND($D141="Serviço",BK$12&lt;&gt;0,$H141&gt;0,OR(AUTOEVENTO&lt;&gt;"manual",$M141&lt;&gt;$A$15)),
        IF(Import.TipoArredondamento&lt;&gt;"TransfereGOV",
              ROUND(OFFSET($P141,0,BK$13),15-13*ORÇAMENTO!$AF$7)/$H141*OFFSET(ORÇAMENTO!$X$15,ROW(BK141)-ROW(BK$15),0),
              ROUND(ROUND(OFFSET($P141,0,BK$13),15-13*ORÇAMENTO!$AF$7)*OFFSET(ORÇAMENTO!$W$15,ROW(BK141)-ROW(BK$15),0),15-13*ORÇAMENTO!$AF$11)),
         0)</f>
        <v>34.02</v>
      </c>
      <c r="BL141" s="352" t="n">
        <f aca="true">IF(AND($D141="Serviço",BL$12&lt;&gt;0,$H141&gt;0,OR(AUTOEVENTO&lt;&gt;"manual",$M141&lt;&gt;$A$15)),
        IF(Import.TipoArredondamento&lt;&gt;"TransfereGOV",
              ROUND(OFFSET($P141,0,BL$13),15-13*ORÇAMENTO!$AF$7)/$H141*OFFSET(ORÇAMENTO!$X$15,ROW(BL141)-ROW(BL$15),0),
              ROUND(ROUND(OFFSET($P141,0,BL$13),15-13*ORÇAMENTO!$AF$7)*OFFSET(ORÇAMENTO!$W$15,ROW(BL141)-ROW(BL$15),0),15-13*ORÇAMENTO!$AF$11)),
         0)</f>
        <v>34.02</v>
      </c>
      <c r="BM141" s="352" t="n">
        <f aca="true">IF(AND($D141="Serviço",BM$12&lt;&gt;0,$H141&gt;0,OR(AUTOEVENTO&lt;&gt;"manual",$M141&lt;&gt;$A$15)),
        IF(Import.TipoArredondamento&lt;&gt;"TransfereGOV",
              ROUND(OFFSET($P141,0,BM$13),15-13*ORÇAMENTO!$AF$7)/$H141*OFFSET(ORÇAMENTO!$X$15,ROW(BM141)-ROW(BM$15),0),
              ROUND(ROUND(OFFSET($P141,0,BM$13),15-13*ORÇAMENTO!$AF$7)*OFFSET(ORÇAMENTO!$W$15,ROW(BM141)-ROW(BM$15),0),15-13*ORÇAMENTO!$AF$11)),
         0)</f>
        <v>34.02</v>
      </c>
      <c r="BN141" s="352" t="n">
        <f aca="true">IF(AND($D141="Serviço",BN$12&lt;&gt;0,$H141&gt;0,OR(AUTOEVENTO&lt;&gt;"manual",$M141&lt;&gt;$A$15)),
        IF(Import.TipoArredondamento&lt;&gt;"TransfereGOV",
              ROUND(OFFSET($P141,0,BN$13),15-13*ORÇAMENTO!$AF$7)/$H141*OFFSET(ORÇAMENTO!$X$15,ROW(BN141)-ROW(BN$15),0),
              ROUND(ROUND(OFFSET($P141,0,BN$13),15-13*ORÇAMENTO!$AF$7)*OFFSET(ORÇAMENTO!$W$15,ROW(BN141)-ROW(BN$15),0),15-13*ORÇAMENTO!$AF$11)),
         0)</f>
        <v>34.02</v>
      </c>
      <c r="BO141" s="352" t="n">
        <f aca="true">IF(AND($D141="Serviço",BO$12&lt;&gt;0,$H141&gt;0,OR(AUTOEVENTO&lt;&gt;"manual",$M141&lt;&gt;$A$15)),
        IF(Import.TipoArredondamento&lt;&gt;"TransfereGOV",
              ROUND(OFFSET($P141,0,BO$13),15-13*ORÇAMENTO!$AF$7)/$H141*OFFSET(ORÇAMENTO!$X$15,ROW(BO141)-ROW(BO$15),0),
              ROUND(ROUND(OFFSET($P141,0,BO$13),15-13*ORÇAMENTO!$AF$7)*OFFSET(ORÇAMENTO!$W$15,ROW(BO141)-ROW(BO$15),0),15-13*ORÇAMENTO!$AF$11)),
         0)</f>
        <v>34.02</v>
      </c>
      <c r="BP141" s="352" t="n">
        <f aca="true">IF(AND($D141="Serviço",BP$12&lt;&gt;0,$H141&gt;0,OR(AUTOEVENTO&lt;&gt;"manual",$M141&lt;&gt;$A$15)),
        IF(Import.TipoArredondamento&lt;&gt;"TransfereGOV",
              ROUND(OFFSET($P141,0,BP$13),15-13*ORÇAMENTO!$AF$7)/$H141*OFFSET(ORÇAMENTO!$X$15,ROW(BP141)-ROW(BP$15),0),
              ROUND(ROUND(OFFSET($P141,0,BP$13),15-13*ORÇAMENTO!$AF$7)*OFFSET(ORÇAMENTO!$W$15,ROW(BP141)-ROW(BP$15),0),15-13*ORÇAMENTO!$AF$11)),
         0)</f>
        <v>34.02</v>
      </c>
      <c r="BQ141" s="352" t="n">
        <f aca="true">IF(AND($D141="Serviço",BQ$12&lt;&gt;0,$H141&gt;0,OR(AUTOEVENTO&lt;&gt;"manual",$M141&lt;&gt;$A$15)),
        IF(Import.TipoArredondamento&lt;&gt;"TransfereGOV",
              ROUND(OFFSET($P141,0,BQ$13),15-13*ORÇAMENTO!$AF$7)/$H141*OFFSET(ORÇAMENTO!$X$15,ROW(BQ141)-ROW(BQ$15),0),
              ROUND(ROUND(OFFSET($P141,0,BQ$13),15-13*ORÇAMENTO!$AF$7)*OFFSET(ORÇAMENTO!$W$15,ROW(BQ141)-ROW(BQ$15),0),15-13*ORÇAMENTO!$AF$11)),
         0)</f>
        <v>0</v>
      </c>
      <c r="BS141" s="353" t="n">
        <f aca="true">IF(OR($D141&lt;&gt;"Serviço",AND(AUTOEVENTO="Manual",$M141=$A$15)),0,
         IF(OFFSET(CRONOPLE!$F$15,$M141-$A$15,BS$13)=0,10^12,OFFSET(CRONOPLE!$F$15,$M141-$A$15,BS$13)))</f>
        <v>1</v>
      </c>
      <c r="BT141" s="353" t="n">
        <f aca="true">IF(OR($D141&lt;&gt;"Serviço",AND(AUTOEVENTO="Manual",$M141=$A$15)),0,
         IF(OFFSET(CRONOPLE!$F$15,$M141-$A$15,BT$13)=0,10^12,OFFSET(CRONOPLE!$F$15,$M141-$A$15,BT$13)))</f>
        <v>2</v>
      </c>
      <c r="BU141" s="353" t="n">
        <f aca="true">IF(OR($D141&lt;&gt;"Serviço",AND(AUTOEVENTO="Manual",$M141=$A$15)),0,
         IF(OFFSET(CRONOPLE!$F$15,$M141-$A$15,BU$13)=0,10^12,OFFSET(CRONOPLE!$F$15,$M141-$A$15,BU$13)))</f>
        <v>3</v>
      </c>
      <c r="BV141" s="353" t="n">
        <f aca="true">IF(OR($D141&lt;&gt;"Serviço",AND(AUTOEVENTO="Manual",$M141=$A$15)),0,
         IF(OFFSET(CRONOPLE!$F$15,$M141-$A$15,BV$13)=0,10^12,OFFSET(CRONOPLE!$F$15,$M141-$A$15,BV$13)))</f>
        <v>4</v>
      </c>
      <c r="BW141" s="353" t="n">
        <f aca="true">IF(OR($D141&lt;&gt;"Serviço",AND(AUTOEVENTO="Manual",$M141=$A$15)),0,
         IF(OFFSET(CRONOPLE!$F$15,$M141-$A$15,BW$13)=0,10^12,OFFSET(CRONOPLE!$F$15,$M141-$A$15,BW$13)))</f>
        <v>5</v>
      </c>
      <c r="BX141" s="353" t="n">
        <f aca="true">IF(OR($D141&lt;&gt;"Serviço",AND(AUTOEVENTO="Manual",$M141=$A$15)),0,
         IF(OFFSET(CRONOPLE!$F$15,$M141-$A$15,BX$13)=0,10^12,OFFSET(CRONOPLE!$F$15,$M141-$A$15,BX$13)))</f>
        <v>6</v>
      </c>
      <c r="BY141" s="353" t="n">
        <f aca="true">IF(OR($D141&lt;&gt;"Serviço",AND(AUTOEVENTO="Manual",$M141=$A$15)),0,
         IF(OFFSET(CRONOPLE!$F$15,$M141-$A$15,BY$13)=0,10^12,OFFSET(CRONOPLE!$F$15,$M141-$A$15,BY$13)))</f>
        <v>7</v>
      </c>
      <c r="BZ141" s="353" t="n">
        <f aca="true">IF(OR($D141&lt;&gt;"Serviço",AND(AUTOEVENTO="Manual",$M141=$A$15)),0,
         IF(OFFSET(CRONOPLE!$F$15,$M141-$A$15,BZ$13)=0,10^12,OFFSET(CRONOPLE!$F$15,$M141-$A$15,BZ$13)))</f>
        <v>8</v>
      </c>
      <c r="CA141" s="353" t="n">
        <f aca="true">IF(OR($D141&lt;&gt;"Serviço",AND(AUTOEVENTO="Manual",$M141=$A$15)),0,
         IF(OFFSET(CRONOPLE!$F$15,$M141-$A$15,CA$13)=0,10^12,OFFSET(CRONOPLE!$F$15,$M141-$A$15,CA$13)))</f>
        <v>9</v>
      </c>
      <c r="CB141" s="353" t="n">
        <f aca="true">IF(OR($D141&lt;&gt;"Serviço",AND(AUTOEVENTO="Manual",$M141=$A$15)),0,
         IF(OFFSET(CRONOPLE!$F$15,$M141-$A$15,CB$13)=0,10^12,OFFSET(CRONOPLE!$F$15,$M141-$A$15,CB$13)))</f>
        <v>10</v>
      </c>
      <c r="CC141" s="353" t="n">
        <f aca="true">IF(OR($D141&lt;&gt;"Serviço",AND(AUTOEVENTO="Manual",$M141=$A$15)),0,
         IF(OFFSET(CRONOPLE!$F$15,$M141-$A$15,CC$13)=0,10^12,OFFSET(CRONOPLE!$F$15,$M141-$A$15,CC$13)))</f>
        <v>11</v>
      </c>
      <c r="CD141" s="353" t="n">
        <f aca="true">IF(OR($D141&lt;&gt;"Serviço",AND(AUTOEVENTO="Manual",$M141=$A$15)),0,
         IF(OFFSET(CRONOPLE!$F$15,$M141-$A$15,CD$13)=0,10^12,OFFSET(CRONOPLE!$F$15,$M141-$A$15,CD$13)))</f>
        <v>12</v>
      </c>
      <c r="CE141" s="353" t="n">
        <f aca="true">IF(OR($D141&lt;&gt;"Serviço",AND(AUTOEVENTO="Manual",$M141=$A$15)),0,
         IF(OFFSET(CRONOPLE!$F$15,$M141-$A$15,CE$13)=0,10^12,OFFSET(CRONOPLE!$F$15,$M141-$A$15,CE$13)))</f>
        <v>13</v>
      </c>
      <c r="CF141" s="353" t="n">
        <f aca="true">IF(OR($D141&lt;&gt;"Serviço",AND(AUTOEVENTO="Manual",$M141=$A$15)),0,
         IF(OFFSET(CRONOPLE!$F$15,$M141-$A$15,CF$13)=0,10^12,OFFSET(CRONOPLE!$F$15,$M141-$A$15,CF$13)))</f>
        <v>14</v>
      </c>
      <c r="CG141" s="353" t="n">
        <f aca="true">IF(OR($D141&lt;&gt;"Serviço",AND(AUTOEVENTO="Manual",$M141=$A$15)),0,
         IF(OFFSET(CRONOPLE!$F$15,$M141-$A$15,CG$13)=0,10^12,OFFSET(CRONOPLE!$F$15,$M141-$A$15,CG$13)))</f>
        <v>15</v>
      </c>
      <c r="CH141" s="353" t="n">
        <f aca="true">IF(OR($D141&lt;&gt;"Serviço",AND(AUTOEVENTO="Manual",$M141=$A$15)),0,
         IF(OFFSET(CRONOPLE!$F$15,$M141-$A$15,CH$13)=0,10^12,OFFSET(CRONOPLE!$F$15,$M141-$A$15,CH$13)))</f>
        <v>16</v>
      </c>
      <c r="CI141" s="353" t="n">
        <f aca="true">IF(OR($D141&lt;&gt;"Serviço",AND(AUTOEVENTO="Manual",$M141=$A$15)),0,
         IF(OFFSET(CRONOPLE!$F$15,$M141-$A$15,CI$13)=0,10^12,OFFSET(CRONOPLE!$F$15,$M141-$A$15,CI$13)))</f>
        <v>17</v>
      </c>
      <c r="CJ141" s="353" t="n">
        <f aca="true">IF(OR($D141&lt;&gt;"Serviço",AND(AUTOEVENTO="Manual",$M141=$A$15)),0,
         IF(OFFSET(CRONOPLE!$F$15,$M141-$A$15,CJ$13)=0,10^12,OFFSET(CRONOPLE!$F$15,$M141-$A$15,CJ$13)))</f>
        <v>18</v>
      </c>
      <c r="CK141" s="353" t="n">
        <f aca="true">IF(OR($D141&lt;&gt;"Serviço",AND(AUTOEVENTO="Manual",$M141=$A$15)),0,
         IF(OFFSET(CRONOPLE!$F$15,$M141-$A$15,CK$13)=0,10^12,OFFSET(CRONOPLE!$F$15,$M141-$A$15,CK$13)))</f>
        <v>19</v>
      </c>
      <c r="CL141" s="353" t="n">
        <f aca="true">IF(OR($D141&lt;&gt;"Serviço",AND(AUTOEVENTO="Manual",$M141=$A$15)),0,
         IF(OFFSET(CRONOPLE!$F$15,$M141-$A$15,CL$13)=0,10^12,OFFSET(CRONOPLE!$F$15,$M141-$A$15,CL$13)))</f>
        <v>20</v>
      </c>
      <c r="CM141" s="353" t="n">
        <f aca="true">IF(OR($D141&lt;&gt;"Serviço",AND(AUTOEVENTO="Manual",$M141=$A$15)),0,
         IF(OFFSET(CRONOPLE!$F$15,$M141-$A$15,CM$13)=0,10^12,OFFSET(CRONOPLE!$F$15,$M141-$A$15,CM$13)))</f>
        <v>21</v>
      </c>
      <c r="CN141" s="353" t="n">
        <f aca="true">IF(OR($D141&lt;&gt;"Serviço",AND(AUTOEVENTO="Manual",$M141=$A$15)),0,
         IF(OFFSET(CRONOPLE!$F$15,$M141-$A$15,CN$13)=0,10^12,OFFSET(CRONOPLE!$F$15,$M141-$A$15,CN$13)))</f>
        <v>22</v>
      </c>
      <c r="CO141" s="353" t="n">
        <f aca="true">IF(OR($D141&lt;&gt;"Serviço",AND(AUTOEVENTO="Manual",$M141=$A$15)),0,
         IF(OFFSET(CRONOPLE!$F$15,$M141-$A$15,CO$13)=0,10^12,OFFSET(CRONOPLE!$F$15,$M141-$A$15,CO$13)))</f>
        <v>23</v>
      </c>
      <c r="CP141" s="353" t="n">
        <f aca="true">IF(OR($D141&lt;&gt;"Serviço",AND(AUTOEVENTO="Manual",$M141=$A$15)),0,
         IF(OFFSET(CRONOPLE!$F$15,$M141-$A$15,CP$13)=0,10^12,OFFSET(CRONOPLE!$F$15,$M141-$A$15,CP$13)))</f>
        <v>24</v>
      </c>
      <c r="CQ141" s="353" t="n">
        <f aca="true">IF(OR($D141&lt;&gt;"Serviço",AND(AUTOEVENTO="Manual",$M141=$A$15)),0,
         IF(OFFSET(CRONOPLE!$F$15,$M141-$A$15,CQ$13)=0,10^12,OFFSET(CRONOPLE!$F$15,$M141-$A$15,CQ$13)))</f>
        <v>25</v>
      </c>
      <c r="CR141" s="353" t="n">
        <f aca="true">IF(OR($D141&lt;&gt;"Serviço",AND(AUTOEVENTO="Manual",$M141=$A$15)),0,
         IF(OFFSET(CRONOPLE!$F$15,$M141-$A$15,CR$13)=0,10^12,OFFSET(CRONOPLE!$F$15,$M141-$A$15,CR$13)))</f>
        <v>1000000000000</v>
      </c>
      <c r="CT141" s="354" t="n">
        <f aca="true">IF(OR($D141&lt;&gt;"Serviço",AND(AUTOEVENTO="Manual",$M141=$A$15),$M141&gt;(ROW(PLE.lastrow)-ROW(PLE.firstrow))),0,
           IF(OFFSET(PLE!$G$15,$M141-$A$15,CT$13)="",10^12,OFFSET(PLE!$G$15,$M141-$A$15,CT$13)))</f>
        <v>1000000000000</v>
      </c>
      <c r="CU141" s="354" t="n">
        <f aca="true">IF(OR($D141&lt;&gt;"Serviço",AND(AUTOEVENTO="Manual",$M141=$A$15),$M141&gt;(ROW(PLE.lastrow)-ROW(PLE.firstrow))),0,
           IF(OFFSET(PLE!$G$15,$M141-$A$15,CU$13)="",10^12,OFFSET(PLE!$G$15,$M141-$A$15,CU$13)))</f>
        <v>1000000000000</v>
      </c>
      <c r="CV141" s="354" t="n">
        <f aca="true">IF(OR($D141&lt;&gt;"Serviço",AND(AUTOEVENTO="Manual",$M141=$A$15),$M141&gt;(ROW(PLE.lastrow)-ROW(PLE.firstrow))),0,
           IF(OFFSET(PLE!$G$15,$M141-$A$15,CV$13)="",10^12,OFFSET(PLE!$G$15,$M141-$A$15,CV$13)))</f>
        <v>1000000000000</v>
      </c>
      <c r="CW141" s="354" t="n">
        <f aca="true">IF(OR($D141&lt;&gt;"Serviço",AND(AUTOEVENTO="Manual",$M141=$A$15),$M141&gt;(ROW(PLE.lastrow)-ROW(PLE.firstrow))),0,
           IF(OFFSET(PLE!$G$15,$M141-$A$15,CW$13)="",10^12,OFFSET(PLE!$G$15,$M141-$A$15,CW$13)))</f>
        <v>1000000000000</v>
      </c>
      <c r="CX141" s="354" t="n">
        <f aca="true">IF(OR($D141&lt;&gt;"Serviço",AND(AUTOEVENTO="Manual",$M141=$A$15),$M141&gt;(ROW(PLE.lastrow)-ROW(PLE.firstrow))),0,
           IF(OFFSET(PLE!$G$15,$M141-$A$15,CX$13)="",10^12,OFFSET(PLE!$G$15,$M141-$A$15,CX$13)))</f>
        <v>1000000000000</v>
      </c>
      <c r="CY141" s="354" t="n">
        <f aca="true">IF(OR($D141&lt;&gt;"Serviço",AND(AUTOEVENTO="Manual",$M141=$A$15),$M141&gt;(ROW(PLE.lastrow)-ROW(PLE.firstrow))),0,
           IF(OFFSET(PLE!$G$15,$M141-$A$15,CY$13)="",10^12,OFFSET(PLE!$G$15,$M141-$A$15,CY$13)))</f>
        <v>1000000000000</v>
      </c>
      <c r="CZ141" s="354" t="n">
        <f aca="true">IF(OR($D141&lt;&gt;"Serviço",AND(AUTOEVENTO="Manual",$M141=$A$15),$M141&gt;(ROW(PLE.lastrow)-ROW(PLE.firstrow))),0,
           IF(OFFSET(PLE!$G$15,$M141-$A$15,CZ$13)="",10^12,OFFSET(PLE!$G$15,$M141-$A$15,CZ$13)))</f>
        <v>1000000000000</v>
      </c>
      <c r="DA141" s="354" t="n">
        <f aca="true">IF(OR($D141&lt;&gt;"Serviço",AND(AUTOEVENTO="Manual",$M141=$A$15),$M141&gt;(ROW(PLE.lastrow)-ROW(PLE.firstrow))),0,
           IF(OFFSET(PLE!$G$15,$M141-$A$15,DA$13)="",10^12,OFFSET(PLE!$G$15,$M141-$A$15,DA$13)))</f>
        <v>1000000000000</v>
      </c>
      <c r="DB141" s="354" t="n">
        <f aca="true">IF(OR($D141&lt;&gt;"Serviço",AND(AUTOEVENTO="Manual",$M141=$A$15),$M141&gt;(ROW(PLE.lastrow)-ROW(PLE.firstrow))),0,
           IF(OFFSET(PLE!$G$15,$M141-$A$15,DB$13)="",10^12,OFFSET(PLE!$G$15,$M141-$A$15,DB$13)))</f>
        <v>1000000000000</v>
      </c>
      <c r="DC141" s="354" t="n">
        <f aca="true">IF(OR($D141&lt;&gt;"Serviço",AND(AUTOEVENTO="Manual",$M141=$A$15),$M141&gt;(ROW(PLE.lastrow)-ROW(PLE.firstrow))),0,
           IF(OFFSET(PLE!$G$15,$M141-$A$15,DC$13)="",10^12,OFFSET(PLE!$G$15,$M141-$A$15,DC$13)))</f>
        <v>1000000000000</v>
      </c>
      <c r="DD141" s="354" t="n">
        <f aca="true">IF(OR($D141&lt;&gt;"Serviço",AND(AUTOEVENTO="Manual",$M141=$A$15),$M141&gt;(ROW(PLE.lastrow)-ROW(PLE.firstrow))),0,
           IF(OFFSET(PLE!$G$15,$M141-$A$15,DD$13)="",10^12,OFFSET(PLE!$G$15,$M141-$A$15,DD$13)))</f>
        <v>1000000000000</v>
      </c>
      <c r="DE141" s="354" t="n">
        <f aca="true">IF(OR($D141&lt;&gt;"Serviço",AND(AUTOEVENTO="Manual",$M141=$A$15),$M141&gt;(ROW(PLE.lastrow)-ROW(PLE.firstrow))),0,
           IF(OFFSET(PLE!$G$15,$M141-$A$15,DE$13)="",10^12,OFFSET(PLE!$G$15,$M141-$A$15,DE$13)))</f>
        <v>1000000000000</v>
      </c>
      <c r="DF141" s="354" t="n">
        <f aca="true">IF(OR($D141&lt;&gt;"Serviço",AND(AUTOEVENTO="Manual",$M141=$A$15),$M141&gt;(ROW(PLE.lastrow)-ROW(PLE.firstrow))),0,
           IF(OFFSET(PLE!$G$15,$M141-$A$15,DF$13)="",10^12,OFFSET(PLE!$G$15,$M141-$A$15,DF$13)))</f>
        <v>1000000000000</v>
      </c>
      <c r="DG141" s="354" t="n">
        <f aca="true">IF(OR($D141&lt;&gt;"Serviço",AND(AUTOEVENTO="Manual",$M141=$A$15),$M141&gt;(ROW(PLE.lastrow)-ROW(PLE.firstrow))),0,
           IF(OFFSET(PLE!$G$15,$M141-$A$15,DG$13)="",10^12,OFFSET(PLE!$G$15,$M141-$A$15,DG$13)))</f>
        <v>1000000000000</v>
      </c>
      <c r="DH141" s="354" t="n">
        <f aca="true">IF(OR($D141&lt;&gt;"Serviço",AND(AUTOEVENTO="Manual",$M141=$A$15),$M141&gt;(ROW(PLE.lastrow)-ROW(PLE.firstrow))),0,
           IF(OFFSET(PLE!$G$15,$M141-$A$15,DH$13)="",10^12,OFFSET(PLE!$G$15,$M141-$A$15,DH$13)))</f>
        <v>1000000000000</v>
      </c>
      <c r="DI141" s="354" t="n">
        <f aca="true">IF(OR($D141&lt;&gt;"Serviço",AND(AUTOEVENTO="Manual",$M141=$A$15),$M141&gt;(ROW(PLE.lastrow)-ROW(PLE.firstrow))),0,
           IF(OFFSET(PLE!$G$15,$M141-$A$15,DI$13)="",10^12,OFFSET(PLE!$G$15,$M141-$A$15,DI$13)))</f>
        <v>1000000000000</v>
      </c>
      <c r="DJ141" s="354" t="n">
        <f aca="true">IF(OR($D141&lt;&gt;"Serviço",AND(AUTOEVENTO="Manual",$M141=$A$15),$M141&gt;(ROW(PLE.lastrow)-ROW(PLE.firstrow))),0,
           IF(OFFSET(PLE!$G$15,$M141-$A$15,DJ$13)="",10^12,OFFSET(PLE!$G$15,$M141-$A$15,DJ$13)))</f>
        <v>1000000000000</v>
      </c>
      <c r="DK141" s="354" t="n">
        <f aca="true">IF(OR($D141&lt;&gt;"Serviço",AND(AUTOEVENTO="Manual",$M141=$A$15),$M141&gt;(ROW(PLE.lastrow)-ROW(PLE.firstrow))),0,
           IF(OFFSET(PLE!$G$15,$M141-$A$15,DK$13)="",10^12,OFFSET(PLE!$G$15,$M141-$A$15,DK$13)))</f>
        <v>1000000000000</v>
      </c>
      <c r="DL141" s="354" t="n">
        <f aca="true">IF(OR($D141&lt;&gt;"Serviço",AND(AUTOEVENTO="Manual",$M141=$A$15),$M141&gt;(ROW(PLE.lastrow)-ROW(PLE.firstrow))),0,
           IF(OFFSET(PLE!$G$15,$M141-$A$15,DL$13)="",10^12,OFFSET(PLE!$G$15,$M141-$A$15,DL$13)))</f>
        <v>1000000000000</v>
      </c>
      <c r="DM141" s="354" t="n">
        <f aca="true">IF(OR($D141&lt;&gt;"Serviço",AND(AUTOEVENTO="Manual",$M141=$A$15),$M141&gt;(ROW(PLE.lastrow)-ROW(PLE.firstrow))),0,
           IF(OFFSET(PLE!$G$15,$M141-$A$15,DM$13)="",10^12,OFFSET(PLE!$G$15,$M141-$A$15,DM$13)))</f>
        <v>1000000000000</v>
      </c>
      <c r="DN141" s="354" t="n">
        <f aca="true">IF(OR($D141&lt;&gt;"Serviço",AND(AUTOEVENTO="Manual",$M141=$A$15),$M141&gt;(ROW(PLE.lastrow)-ROW(PLE.firstrow))),0,
           IF(OFFSET(PLE!$G$15,$M141-$A$15,DN$13)="",10^12,OFFSET(PLE!$G$15,$M141-$A$15,DN$13)))</f>
        <v>1000000000000</v>
      </c>
      <c r="DO141" s="354" t="n">
        <f aca="true">IF(OR($D141&lt;&gt;"Serviço",AND(AUTOEVENTO="Manual",$M141=$A$15),$M141&gt;(ROW(PLE.lastrow)-ROW(PLE.firstrow))),0,
           IF(OFFSET(PLE!$G$15,$M141-$A$15,DO$13)="",10^12,OFFSET(PLE!$G$15,$M141-$A$15,DO$13)))</f>
        <v>1000000000000</v>
      </c>
      <c r="DP141" s="354" t="n">
        <f aca="true">IF(OR($D141&lt;&gt;"Serviço",AND(AUTOEVENTO="Manual",$M141=$A$15),$M141&gt;(ROW(PLE.lastrow)-ROW(PLE.firstrow))),0,
           IF(OFFSET(PLE!$G$15,$M141-$A$15,DP$13)="",10^12,OFFSET(PLE!$G$15,$M141-$A$15,DP$13)))</f>
        <v>1000000000000</v>
      </c>
      <c r="DQ141" s="354" t="n">
        <f aca="true">IF(OR($D141&lt;&gt;"Serviço",AND(AUTOEVENTO="Manual",$M141=$A$15),$M141&gt;(ROW(PLE.lastrow)-ROW(PLE.firstrow))),0,
           IF(OFFSET(PLE!$G$15,$M141-$A$15,DQ$13)="",10^12,OFFSET(PLE!$G$15,$M141-$A$15,DQ$13)))</f>
        <v>1000000000000</v>
      </c>
      <c r="DR141" s="354" t="n">
        <f aca="true">IF(OR($D141&lt;&gt;"Serviço",AND(AUTOEVENTO="Manual",$M141=$A$15),$M141&gt;(ROW(PLE.lastrow)-ROW(PLE.firstrow))),0,
           IF(OFFSET(PLE!$G$15,$M141-$A$15,DR$13)="",10^12,OFFSET(PLE!$G$15,$M141-$A$15,DR$13)))</f>
        <v>1000000000000</v>
      </c>
      <c r="DS141" s="354" t="n">
        <f aca="true">IF(OR($D141&lt;&gt;"Serviço",AND(AUTOEVENTO="Manual",$M141=$A$15),$M141&gt;(ROW(PLE.lastrow)-ROW(PLE.firstrow))),0,
           IF(OFFSET(PLE!$G$15,$M141-$A$15,DS$13)="",10^12,OFFSET(PLE!$G$15,$M141-$A$15,DS$13)))</f>
        <v>1000000000000</v>
      </c>
    </row>
    <row r="142" customFormat="false" ht="23.85" hidden="false" customHeight="false" outlineLevel="0" collapsed="false">
      <c r="A142" s="50" t="str">
        <f aca="true">IFERROR(IF(AUTOEVENTO="Manual",IF(K142&lt;&gt;"",MIN(VALUE(LEFT(K142,FIND(".",K142)-1)),COUNTA(EVENTOS.Lista)),0),IF(OR($B142&gt;AUTOEVENTO,$B142="S",$B142=0),SUBSTITUTE(OFFSET($A142,-1,0),IF($D142="Serviço",".",""),""),ROW(A142)-ROW($A$15)&amp;".")),0)</f>
        <v>121</v>
      </c>
      <c r="B142" s="50" t="str">
        <f aca="true">OFFSET(ORÇAMENTO!C$15,ROW(B142)-ROW(B$15),0)</f>
        <v>S</v>
      </c>
      <c r="C142" s="50" t="str">
        <f aca="true">OFFSET(ORÇAMENTO!L$15,ROW(C142)-ROW(C$15),0)</f>
        <v>F</v>
      </c>
      <c r="D142" s="201" t="str">
        <f aca="true">OFFSET(ORÇAMENTO!N$15,ROW(D142)-ROW(D$15),0)</f>
        <v>Serviço</v>
      </c>
      <c r="E142" s="202" t="str">
        <f aca="true">OFFSET(ORÇAMENTO!O$15,ROW(E142)-ROW(E$15),0)</f>
        <v>1.40.6.</v>
      </c>
      <c r="F142" s="341" t="str">
        <f aca="true">OFFSET(ORÇAMENTO!R$15,ROW(F142)-ROW(F$15),0)</f>
        <v>TUBO, PVC, SOLDÁVEL, DE 25MM, INSTALADO EM RAMAL OU SUB-RAMAL DE ÁGUA - FORNECIMENTO E INSTALAÇÃO. AF_06/2022</v>
      </c>
      <c r="G142" s="342" t="str">
        <f aca="true">IF($D142&lt;&gt;"Serviço","",OFFSET(ORÇAMENTO!S$15,ROW(G142)-ROW(G$15),0))</f>
        <v>M</v>
      </c>
      <c r="H142" s="207" t="n">
        <f aca="true">IF($D142&lt;&gt;"Serviço",0,IF(ACOMPANHAMENTO="BM",ROUND(OFFSET(ORÇAMENTO!AJ$15,ROW(H142)-ROW(H$15),0),15-13*ORÇAMENTO!$AF$7),SUMPRODUCT(($Q$1:$AQ$1=1)*ROUND($Q142:$AQ142,15-13*ORÇAMENTO!$AF$7))))</f>
        <v>217.5</v>
      </c>
      <c r="I142" s="343" t="s">
        <v>979</v>
      </c>
      <c r="J142" s="344" t="e">
        <f aca="false">IF(OR(B142&lt;&gt;"S",CÁLCULO.FrentesPreenchidas=0),"",IF(AND(ACOMPANHAMENTO="PLE",AUTOEVENTO="Manual",OR(H142&gt;0,ORÇAMENTO!AC142="QUANT."),OR(K142="",M142=0,N142="")),"►",IF(AND(ACOMPANHAMENTO="PLE",ORÇAMENTO!AC142="QUANT."),"►►",IF(AND(COUNTIF($P$11:$AQ$11,"▼")=0,H142&gt;0,I142=""),"◄",""))))</f>
        <v>#NAME?</v>
      </c>
      <c r="K142" s="345"/>
      <c r="L142" s="346" t="s">
        <v>876</v>
      </c>
      <c r="M142" s="347" t="n">
        <f aca="true">IF($D142&lt;&gt;"Serviço","",
          IF(AUTOEVENTO="manual",$A142,
                IF(ISERROR(MATCH($A142,$A$15:OFFSET($A142,-1,0),0)),MAX($M$15:OFFSET(M142,-1,0))+1,
                      INDEX($M$15:OFFSET(M142,-1,0),MATCH($A142,$A$15:OFFSET($A142,-1,0),0)))))</f>
        <v>24</v>
      </c>
      <c r="N142" s="348" t="str">
        <f aca="true">IF($D142&lt;&gt;"Serviço","",
         IF(AUTOEVENTO="Manual",
                IF($A142=0,"&lt;-- defina o número do agrupador",
                       OFFSET(EVENTOS!$D$15,$A142-$A$15,0)),
                OFFSET($F$15,$A142,0)))</f>
        <v>TUBULAÇÕES E CONEXÕES</v>
      </c>
      <c r="O142" s="349"/>
      <c r="Q142" s="349" t="n">
        <v>8.7</v>
      </c>
      <c r="R142" s="350" t="n">
        <f aca="false">Q142</f>
        <v>8.7</v>
      </c>
      <c r="S142" s="350" t="n">
        <f aca="false">R142</f>
        <v>8.7</v>
      </c>
      <c r="T142" s="350" t="n">
        <f aca="false">S142</f>
        <v>8.7</v>
      </c>
      <c r="U142" s="350" t="n">
        <f aca="false">T142</f>
        <v>8.7</v>
      </c>
      <c r="V142" s="350" t="n">
        <f aca="false">U142</f>
        <v>8.7</v>
      </c>
      <c r="W142" s="350" t="n">
        <f aca="false">V142</f>
        <v>8.7</v>
      </c>
      <c r="X142" s="350" t="n">
        <f aca="false">W142</f>
        <v>8.7</v>
      </c>
      <c r="Y142" s="350" t="n">
        <f aca="false">X142</f>
        <v>8.7</v>
      </c>
      <c r="Z142" s="351" t="n">
        <f aca="false">Y142</f>
        <v>8.7</v>
      </c>
      <c r="AA142" s="350" t="n">
        <f aca="false">Z142</f>
        <v>8.7</v>
      </c>
      <c r="AB142" s="350" t="n">
        <f aca="false">AA142</f>
        <v>8.7</v>
      </c>
      <c r="AC142" s="350" t="n">
        <f aca="false">AB142</f>
        <v>8.7</v>
      </c>
      <c r="AD142" s="350" t="n">
        <f aca="false">AC142</f>
        <v>8.7</v>
      </c>
      <c r="AE142" s="350" t="n">
        <f aca="false">AD142</f>
        <v>8.7</v>
      </c>
      <c r="AF142" s="350" t="n">
        <f aca="false">AE142</f>
        <v>8.7</v>
      </c>
      <c r="AG142" s="350" t="n">
        <f aca="false">AF142</f>
        <v>8.7</v>
      </c>
      <c r="AH142" s="351" t="n">
        <f aca="false">AG142</f>
        <v>8.7</v>
      </c>
      <c r="AI142" s="350" t="n">
        <f aca="false">AH142</f>
        <v>8.7</v>
      </c>
      <c r="AJ142" s="350" t="n">
        <f aca="false">AI142</f>
        <v>8.7</v>
      </c>
      <c r="AK142" s="350" t="n">
        <f aca="false">AJ142</f>
        <v>8.7</v>
      </c>
      <c r="AL142" s="350" t="n">
        <f aca="false">AK142</f>
        <v>8.7</v>
      </c>
      <c r="AM142" s="350" t="n">
        <f aca="false">AL142</f>
        <v>8.7</v>
      </c>
      <c r="AN142" s="350" t="n">
        <f aca="false">AM142</f>
        <v>8.7</v>
      </c>
      <c r="AO142" s="350" t="n">
        <f aca="false">AN142</f>
        <v>8.7</v>
      </c>
      <c r="AP142" s="351"/>
      <c r="AR142" s="352" t="n">
        <f aca="true">IF(AND($D142="Serviço",AR$12&lt;&gt;0,$H142&gt;0,OR(AUTOEVENTO&lt;&gt;"manual",$M142&lt;&gt;$A$15)),
        IF(Import.TipoArredondamento&lt;&gt;"TransfereGOV",
              ROUND(OFFSET($P142,0,AR$13),15-13*ORÇAMENTO!$AF$7)/$H142*OFFSET(ORÇAMENTO!$X$15,ROW(AR142)-ROW(AR$15),0),
              ROUND(ROUND(OFFSET($P142,0,AR$13),15-13*ORÇAMENTO!$AF$7)*OFFSET(ORÇAMENTO!$W$15,ROW(AR142)-ROW(AR$15),0),15-13*ORÇAMENTO!$AF$11)),
         0)</f>
        <v>264.48</v>
      </c>
      <c r="AS142" s="352" t="n">
        <f aca="true">IF(AND($D142="Serviço",AS$12&lt;&gt;0,$H142&gt;0,OR(AUTOEVENTO&lt;&gt;"manual",$M142&lt;&gt;$A$15)),
        IF(Import.TipoArredondamento&lt;&gt;"TransfereGOV",
              ROUND(OFFSET($P142,0,AS$13),15-13*ORÇAMENTO!$AF$7)/$H142*OFFSET(ORÇAMENTO!$X$15,ROW(AS142)-ROW(AS$15),0),
              ROUND(ROUND(OFFSET($P142,0,AS$13),15-13*ORÇAMENTO!$AF$7)*OFFSET(ORÇAMENTO!$W$15,ROW(AS142)-ROW(AS$15),0),15-13*ORÇAMENTO!$AF$11)),
         0)</f>
        <v>264.48</v>
      </c>
      <c r="AT142" s="352" t="n">
        <f aca="true">IF(AND($D142="Serviço",AT$12&lt;&gt;0,$H142&gt;0,OR(AUTOEVENTO&lt;&gt;"manual",$M142&lt;&gt;$A$15)),
        IF(Import.TipoArredondamento&lt;&gt;"TransfereGOV",
              ROUND(OFFSET($P142,0,AT$13),15-13*ORÇAMENTO!$AF$7)/$H142*OFFSET(ORÇAMENTO!$X$15,ROW(AT142)-ROW(AT$15),0),
              ROUND(ROUND(OFFSET($P142,0,AT$13),15-13*ORÇAMENTO!$AF$7)*OFFSET(ORÇAMENTO!$W$15,ROW(AT142)-ROW(AT$15),0),15-13*ORÇAMENTO!$AF$11)),
         0)</f>
        <v>264.48</v>
      </c>
      <c r="AU142" s="352" t="n">
        <f aca="true">IF(AND($D142="Serviço",AU$12&lt;&gt;0,$H142&gt;0,OR(AUTOEVENTO&lt;&gt;"manual",$M142&lt;&gt;$A$15)),
        IF(Import.TipoArredondamento&lt;&gt;"TransfereGOV",
              ROUND(OFFSET($P142,0,AU$13),15-13*ORÇAMENTO!$AF$7)/$H142*OFFSET(ORÇAMENTO!$X$15,ROW(AU142)-ROW(AU$15),0),
              ROUND(ROUND(OFFSET($P142,0,AU$13),15-13*ORÇAMENTO!$AF$7)*OFFSET(ORÇAMENTO!$W$15,ROW(AU142)-ROW(AU$15),0),15-13*ORÇAMENTO!$AF$11)),
         0)</f>
        <v>264.48</v>
      </c>
      <c r="AV142" s="352" t="n">
        <f aca="true">IF(AND($D142="Serviço",AV$12&lt;&gt;0,$H142&gt;0,OR(AUTOEVENTO&lt;&gt;"manual",$M142&lt;&gt;$A$15)),
        IF(Import.TipoArredondamento&lt;&gt;"TransfereGOV",
              ROUND(OFFSET($P142,0,AV$13),15-13*ORÇAMENTO!$AF$7)/$H142*OFFSET(ORÇAMENTO!$X$15,ROW(AV142)-ROW(AV$15),0),
              ROUND(ROUND(OFFSET($P142,0,AV$13),15-13*ORÇAMENTO!$AF$7)*OFFSET(ORÇAMENTO!$W$15,ROW(AV142)-ROW(AV$15),0),15-13*ORÇAMENTO!$AF$11)),
         0)</f>
        <v>264.48</v>
      </c>
      <c r="AW142" s="352" t="n">
        <f aca="true">IF(AND($D142="Serviço",AW$12&lt;&gt;0,$H142&gt;0,OR(AUTOEVENTO&lt;&gt;"manual",$M142&lt;&gt;$A$15)),
        IF(Import.TipoArredondamento&lt;&gt;"TransfereGOV",
              ROUND(OFFSET($P142,0,AW$13),15-13*ORÇAMENTO!$AF$7)/$H142*OFFSET(ORÇAMENTO!$X$15,ROW(AW142)-ROW(AW$15),0),
              ROUND(ROUND(OFFSET($P142,0,AW$13),15-13*ORÇAMENTO!$AF$7)*OFFSET(ORÇAMENTO!$W$15,ROW(AW142)-ROW(AW$15),0),15-13*ORÇAMENTO!$AF$11)),
         0)</f>
        <v>264.48</v>
      </c>
      <c r="AX142" s="352" t="n">
        <f aca="true">IF(AND($D142="Serviço",AX$12&lt;&gt;0,$H142&gt;0,OR(AUTOEVENTO&lt;&gt;"manual",$M142&lt;&gt;$A$15)),
        IF(Import.TipoArredondamento&lt;&gt;"TransfereGOV",
              ROUND(OFFSET($P142,0,AX$13),15-13*ORÇAMENTO!$AF$7)/$H142*OFFSET(ORÇAMENTO!$X$15,ROW(AX142)-ROW(AX$15),0),
              ROUND(ROUND(OFFSET($P142,0,AX$13),15-13*ORÇAMENTO!$AF$7)*OFFSET(ORÇAMENTO!$W$15,ROW(AX142)-ROW(AX$15),0),15-13*ORÇAMENTO!$AF$11)),
         0)</f>
        <v>264.48</v>
      </c>
      <c r="AY142" s="352" t="n">
        <f aca="true">IF(AND($D142="Serviço",AY$12&lt;&gt;0,$H142&gt;0,OR(AUTOEVENTO&lt;&gt;"manual",$M142&lt;&gt;$A$15)),
        IF(Import.TipoArredondamento&lt;&gt;"TransfereGOV",
              ROUND(OFFSET($P142,0,AY$13),15-13*ORÇAMENTO!$AF$7)/$H142*OFFSET(ORÇAMENTO!$X$15,ROW(AY142)-ROW(AY$15),0),
              ROUND(ROUND(OFFSET($P142,0,AY$13),15-13*ORÇAMENTO!$AF$7)*OFFSET(ORÇAMENTO!$W$15,ROW(AY142)-ROW(AY$15),0),15-13*ORÇAMENTO!$AF$11)),
         0)</f>
        <v>264.48</v>
      </c>
      <c r="AZ142" s="352" t="n">
        <f aca="true">IF(AND($D142="Serviço",AZ$12&lt;&gt;0,$H142&gt;0,OR(AUTOEVENTO&lt;&gt;"manual",$M142&lt;&gt;$A$15)),
        IF(Import.TipoArredondamento&lt;&gt;"TransfereGOV",
              ROUND(OFFSET($P142,0,AZ$13),15-13*ORÇAMENTO!$AF$7)/$H142*OFFSET(ORÇAMENTO!$X$15,ROW(AZ142)-ROW(AZ$15),0),
              ROUND(ROUND(OFFSET($P142,0,AZ$13),15-13*ORÇAMENTO!$AF$7)*OFFSET(ORÇAMENTO!$W$15,ROW(AZ142)-ROW(AZ$15),0),15-13*ORÇAMENTO!$AF$11)),
         0)</f>
        <v>264.48</v>
      </c>
      <c r="BA142" s="352" t="n">
        <f aca="true">IF(AND($D142="Serviço",BA$12&lt;&gt;0,$H142&gt;0,OR(AUTOEVENTO&lt;&gt;"manual",$M142&lt;&gt;$A$15)),
        IF(Import.TipoArredondamento&lt;&gt;"TransfereGOV",
              ROUND(OFFSET($P142,0,BA$13),15-13*ORÇAMENTO!$AF$7)/$H142*OFFSET(ORÇAMENTO!$X$15,ROW(BA142)-ROW(BA$15),0),
              ROUND(ROUND(OFFSET($P142,0,BA$13),15-13*ORÇAMENTO!$AF$7)*OFFSET(ORÇAMENTO!$W$15,ROW(BA142)-ROW(BA$15),0),15-13*ORÇAMENTO!$AF$11)),
         0)</f>
        <v>264.48</v>
      </c>
      <c r="BB142" s="352" t="n">
        <f aca="true">IF(AND($D142="Serviço",BB$12&lt;&gt;0,$H142&gt;0,OR(AUTOEVENTO&lt;&gt;"manual",$M142&lt;&gt;$A$15)),
        IF(Import.TipoArredondamento&lt;&gt;"TransfereGOV",
              ROUND(OFFSET($P142,0,BB$13),15-13*ORÇAMENTO!$AF$7)/$H142*OFFSET(ORÇAMENTO!$X$15,ROW(BB142)-ROW(BB$15),0),
              ROUND(ROUND(OFFSET($P142,0,BB$13),15-13*ORÇAMENTO!$AF$7)*OFFSET(ORÇAMENTO!$W$15,ROW(BB142)-ROW(BB$15),0),15-13*ORÇAMENTO!$AF$11)),
         0)</f>
        <v>264.48</v>
      </c>
      <c r="BC142" s="352" t="n">
        <f aca="true">IF(AND($D142="Serviço",BC$12&lt;&gt;0,$H142&gt;0,OR(AUTOEVENTO&lt;&gt;"manual",$M142&lt;&gt;$A$15)),
        IF(Import.TipoArredondamento&lt;&gt;"TransfereGOV",
              ROUND(OFFSET($P142,0,BC$13),15-13*ORÇAMENTO!$AF$7)/$H142*OFFSET(ORÇAMENTO!$X$15,ROW(BC142)-ROW(BC$15),0),
              ROUND(ROUND(OFFSET($P142,0,BC$13),15-13*ORÇAMENTO!$AF$7)*OFFSET(ORÇAMENTO!$W$15,ROW(BC142)-ROW(BC$15),0),15-13*ORÇAMENTO!$AF$11)),
         0)</f>
        <v>264.48</v>
      </c>
      <c r="BD142" s="352" t="n">
        <f aca="true">IF(AND($D142="Serviço",BD$12&lt;&gt;0,$H142&gt;0,OR(AUTOEVENTO&lt;&gt;"manual",$M142&lt;&gt;$A$15)),
        IF(Import.TipoArredondamento&lt;&gt;"TransfereGOV",
              ROUND(OFFSET($P142,0,BD$13),15-13*ORÇAMENTO!$AF$7)/$H142*OFFSET(ORÇAMENTO!$X$15,ROW(BD142)-ROW(BD$15),0),
              ROUND(ROUND(OFFSET($P142,0,BD$13),15-13*ORÇAMENTO!$AF$7)*OFFSET(ORÇAMENTO!$W$15,ROW(BD142)-ROW(BD$15),0),15-13*ORÇAMENTO!$AF$11)),
         0)</f>
        <v>264.48</v>
      </c>
      <c r="BE142" s="352" t="n">
        <f aca="true">IF(AND($D142="Serviço",BE$12&lt;&gt;0,$H142&gt;0,OR(AUTOEVENTO&lt;&gt;"manual",$M142&lt;&gt;$A$15)),
        IF(Import.TipoArredondamento&lt;&gt;"TransfereGOV",
              ROUND(OFFSET($P142,0,BE$13),15-13*ORÇAMENTO!$AF$7)/$H142*OFFSET(ORÇAMENTO!$X$15,ROW(BE142)-ROW(BE$15),0),
              ROUND(ROUND(OFFSET($P142,0,BE$13),15-13*ORÇAMENTO!$AF$7)*OFFSET(ORÇAMENTO!$W$15,ROW(BE142)-ROW(BE$15),0),15-13*ORÇAMENTO!$AF$11)),
         0)</f>
        <v>264.48</v>
      </c>
      <c r="BF142" s="352" t="n">
        <f aca="true">IF(AND($D142="Serviço",BF$12&lt;&gt;0,$H142&gt;0,OR(AUTOEVENTO&lt;&gt;"manual",$M142&lt;&gt;$A$15)),
        IF(Import.TipoArredondamento&lt;&gt;"TransfereGOV",
              ROUND(OFFSET($P142,0,BF$13),15-13*ORÇAMENTO!$AF$7)/$H142*OFFSET(ORÇAMENTO!$X$15,ROW(BF142)-ROW(BF$15),0),
              ROUND(ROUND(OFFSET($P142,0,BF$13),15-13*ORÇAMENTO!$AF$7)*OFFSET(ORÇAMENTO!$W$15,ROW(BF142)-ROW(BF$15),0),15-13*ORÇAMENTO!$AF$11)),
         0)</f>
        <v>264.48</v>
      </c>
      <c r="BG142" s="352" t="n">
        <f aca="true">IF(AND($D142="Serviço",BG$12&lt;&gt;0,$H142&gt;0,OR(AUTOEVENTO&lt;&gt;"manual",$M142&lt;&gt;$A$15)),
        IF(Import.TipoArredondamento&lt;&gt;"TransfereGOV",
              ROUND(OFFSET($P142,0,BG$13),15-13*ORÇAMENTO!$AF$7)/$H142*OFFSET(ORÇAMENTO!$X$15,ROW(BG142)-ROW(BG$15),0),
              ROUND(ROUND(OFFSET($P142,0,BG$13),15-13*ORÇAMENTO!$AF$7)*OFFSET(ORÇAMENTO!$W$15,ROW(BG142)-ROW(BG$15),0),15-13*ORÇAMENTO!$AF$11)),
         0)</f>
        <v>264.48</v>
      </c>
      <c r="BH142" s="352" t="n">
        <f aca="true">IF(AND($D142="Serviço",BH$12&lt;&gt;0,$H142&gt;0,OR(AUTOEVENTO&lt;&gt;"manual",$M142&lt;&gt;$A$15)),
        IF(Import.TipoArredondamento&lt;&gt;"TransfereGOV",
              ROUND(OFFSET($P142,0,BH$13),15-13*ORÇAMENTO!$AF$7)/$H142*OFFSET(ORÇAMENTO!$X$15,ROW(BH142)-ROW(BH$15),0),
              ROUND(ROUND(OFFSET($P142,0,BH$13),15-13*ORÇAMENTO!$AF$7)*OFFSET(ORÇAMENTO!$W$15,ROW(BH142)-ROW(BH$15),0),15-13*ORÇAMENTO!$AF$11)),
         0)</f>
        <v>264.48</v>
      </c>
      <c r="BI142" s="352" t="n">
        <f aca="true">IF(AND($D142="Serviço",BI$12&lt;&gt;0,$H142&gt;0,OR(AUTOEVENTO&lt;&gt;"manual",$M142&lt;&gt;$A$15)),
        IF(Import.TipoArredondamento&lt;&gt;"TransfereGOV",
              ROUND(OFFSET($P142,0,BI$13),15-13*ORÇAMENTO!$AF$7)/$H142*OFFSET(ORÇAMENTO!$X$15,ROW(BI142)-ROW(BI$15),0),
              ROUND(ROUND(OFFSET($P142,0,BI$13),15-13*ORÇAMENTO!$AF$7)*OFFSET(ORÇAMENTO!$W$15,ROW(BI142)-ROW(BI$15),0),15-13*ORÇAMENTO!$AF$11)),
         0)</f>
        <v>264.48</v>
      </c>
      <c r="BJ142" s="352" t="n">
        <f aca="true">IF(AND($D142="Serviço",BJ$12&lt;&gt;0,$H142&gt;0,OR(AUTOEVENTO&lt;&gt;"manual",$M142&lt;&gt;$A$15)),
        IF(Import.TipoArredondamento&lt;&gt;"TransfereGOV",
              ROUND(OFFSET($P142,0,BJ$13),15-13*ORÇAMENTO!$AF$7)/$H142*OFFSET(ORÇAMENTO!$X$15,ROW(BJ142)-ROW(BJ$15),0),
              ROUND(ROUND(OFFSET($P142,0,BJ$13),15-13*ORÇAMENTO!$AF$7)*OFFSET(ORÇAMENTO!$W$15,ROW(BJ142)-ROW(BJ$15),0),15-13*ORÇAMENTO!$AF$11)),
         0)</f>
        <v>264.48</v>
      </c>
      <c r="BK142" s="352" t="n">
        <f aca="true">IF(AND($D142="Serviço",BK$12&lt;&gt;0,$H142&gt;0,OR(AUTOEVENTO&lt;&gt;"manual",$M142&lt;&gt;$A$15)),
        IF(Import.TipoArredondamento&lt;&gt;"TransfereGOV",
              ROUND(OFFSET($P142,0,BK$13),15-13*ORÇAMENTO!$AF$7)/$H142*OFFSET(ORÇAMENTO!$X$15,ROW(BK142)-ROW(BK$15),0),
              ROUND(ROUND(OFFSET($P142,0,BK$13),15-13*ORÇAMENTO!$AF$7)*OFFSET(ORÇAMENTO!$W$15,ROW(BK142)-ROW(BK$15),0),15-13*ORÇAMENTO!$AF$11)),
         0)</f>
        <v>264.48</v>
      </c>
      <c r="BL142" s="352" t="n">
        <f aca="true">IF(AND($D142="Serviço",BL$12&lt;&gt;0,$H142&gt;0,OR(AUTOEVENTO&lt;&gt;"manual",$M142&lt;&gt;$A$15)),
        IF(Import.TipoArredondamento&lt;&gt;"TransfereGOV",
              ROUND(OFFSET($P142,0,BL$13),15-13*ORÇAMENTO!$AF$7)/$H142*OFFSET(ORÇAMENTO!$X$15,ROW(BL142)-ROW(BL$15),0),
              ROUND(ROUND(OFFSET($P142,0,BL$13),15-13*ORÇAMENTO!$AF$7)*OFFSET(ORÇAMENTO!$W$15,ROW(BL142)-ROW(BL$15),0),15-13*ORÇAMENTO!$AF$11)),
         0)</f>
        <v>264.48</v>
      </c>
      <c r="BM142" s="352" t="n">
        <f aca="true">IF(AND($D142="Serviço",BM$12&lt;&gt;0,$H142&gt;0,OR(AUTOEVENTO&lt;&gt;"manual",$M142&lt;&gt;$A$15)),
        IF(Import.TipoArredondamento&lt;&gt;"TransfereGOV",
              ROUND(OFFSET($P142,0,BM$13),15-13*ORÇAMENTO!$AF$7)/$H142*OFFSET(ORÇAMENTO!$X$15,ROW(BM142)-ROW(BM$15),0),
              ROUND(ROUND(OFFSET($P142,0,BM$13),15-13*ORÇAMENTO!$AF$7)*OFFSET(ORÇAMENTO!$W$15,ROW(BM142)-ROW(BM$15),0),15-13*ORÇAMENTO!$AF$11)),
         0)</f>
        <v>264.48</v>
      </c>
      <c r="BN142" s="352" t="n">
        <f aca="true">IF(AND($D142="Serviço",BN$12&lt;&gt;0,$H142&gt;0,OR(AUTOEVENTO&lt;&gt;"manual",$M142&lt;&gt;$A$15)),
        IF(Import.TipoArredondamento&lt;&gt;"TransfereGOV",
              ROUND(OFFSET($P142,0,BN$13),15-13*ORÇAMENTO!$AF$7)/$H142*OFFSET(ORÇAMENTO!$X$15,ROW(BN142)-ROW(BN$15),0),
              ROUND(ROUND(OFFSET($P142,0,BN$13),15-13*ORÇAMENTO!$AF$7)*OFFSET(ORÇAMENTO!$W$15,ROW(BN142)-ROW(BN$15),0),15-13*ORÇAMENTO!$AF$11)),
         0)</f>
        <v>264.48</v>
      </c>
      <c r="BO142" s="352" t="n">
        <f aca="true">IF(AND($D142="Serviço",BO$12&lt;&gt;0,$H142&gt;0,OR(AUTOEVENTO&lt;&gt;"manual",$M142&lt;&gt;$A$15)),
        IF(Import.TipoArredondamento&lt;&gt;"TransfereGOV",
              ROUND(OFFSET($P142,0,BO$13),15-13*ORÇAMENTO!$AF$7)/$H142*OFFSET(ORÇAMENTO!$X$15,ROW(BO142)-ROW(BO$15),0),
              ROUND(ROUND(OFFSET($P142,0,BO$13),15-13*ORÇAMENTO!$AF$7)*OFFSET(ORÇAMENTO!$W$15,ROW(BO142)-ROW(BO$15),0),15-13*ORÇAMENTO!$AF$11)),
         0)</f>
        <v>264.48</v>
      </c>
      <c r="BP142" s="352" t="n">
        <f aca="true">IF(AND($D142="Serviço",BP$12&lt;&gt;0,$H142&gt;0,OR(AUTOEVENTO&lt;&gt;"manual",$M142&lt;&gt;$A$15)),
        IF(Import.TipoArredondamento&lt;&gt;"TransfereGOV",
              ROUND(OFFSET($P142,0,BP$13),15-13*ORÇAMENTO!$AF$7)/$H142*OFFSET(ORÇAMENTO!$X$15,ROW(BP142)-ROW(BP$15),0),
              ROUND(ROUND(OFFSET($P142,0,BP$13),15-13*ORÇAMENTO!$AF$7)*OFFSET(ORÇAMENTO!$W$15,ROW(BP142)-ROW(BP$15),0),15-13*ORÇAMENTO!$AF$11)),
         0)</f>
        <v>264.48</v>
      </c>
      <c r="BQ142" s="352" t="n">
        <f aca="true">IF(AND($D142="Serviço",BQ$12&lt;&gt;0,$H142&gt;0,OR(AUTOEVENTO&lt;&gt;"manual",$M142&lt;&gt;$A$15)),
        IF(Import.TipoArredondamento&lt;&gt;"TransfereGOV",
              ROUND(OFFSET($P142,0,BQ$13),15-13*ORÇAMENTO!$AF$7)/$H142*OFFSET(ORÇAMENTO!$X$15,ROW(BQ142)-ROW(BQ$15),0),
              ROUND(ROUND(OFFSET($P142,0,BQ$13),15-13*ORÇAMENTO!$AF$7)*OFFSET(ORÇAMENTO!$W$15,ROW(BQ142)-ROW(BQ$15),0),15-13*ORÇAMENTO!$AF$11)),
         0)</f>
        <v>0</v>
      </c>
      <c r="BS142" s="353" t="n">
        <f aca="true">IF(OR($D142&lt;&gt;"Serviço",AND(AUTOEVENTO="Manual",$M142=$A$15)),0,
         IF(OFFSET(CRONOPLE!$F$15,$M142-$A$15,BS$13)=0,10^12,OFFSET(CRONOPLE!$F$15,$M142-$A$15,BS$13)))</f>
        <v>1</v>
      </c>
      <c r="BT142" s="353" t="n">
        <f aca="true">IF(OR($D142&lt;&gt;"Serviço",AND(AUTOEVENTO="Manual",$M142=$A$15)),0,
         IF(OFFSET(CRONOPLE!$F$15,$M142-$A$15,BT$13)=0,10^12,OFFSET(CRONOPLE!$F$15,$M142-$A$15,BT$13)))</f>
        <v>2</v>
      </c>
      <c r="BU142" s="353" t="n">
        <f aca="true">IF(OR($D142&lt;&gt;"Serviço",AND(AUTOEVENTO="Manual",$M142=$A$15)),0,
         IF(OFFSET(CRONOPLE!$F$15,$M142-$A$15,BU$13)=0,10^12,OFFSET(CRONOPLE!$F$15,$M142-$A$15,BU$13)))</f>
        <v>3</v>
      </c>
      <c r="BV142" s="353" t="n">
        <f aca="true">IF(OR($D142&lt;&gt;"Serviço",AND(AUTOEVENTO="Manual",$M142=$A$15)),0,
         IF(OFFSET(CRONOPLE!$F$15,$M142-$A$15,BV$13)=0,10^12,OFFSET(CRONOPLE!$F$15,$M142-$A$15,BV$13)))</f>
        <v>4</v>
      </c>
      <c r="BW142" s="353" t="n">
        <f aca="true">IF(OR($D142&lt;&gt;"Serviço",AND(AUTOEVENTO="Manual",$M142=$A$15)),0,
         IF(OFFSET(CRONOPLE!$F$15,$M142-$A$15,BW$13)=0,10^12,OFFSET(CRONOPLE!$F$15,$M142-$A$15,BW$13)))</f>
        <v>5</v>
      </c>
      <c r="BX142" s="353" t="n">
        <f aca="true">IF(OR($D142&lt;&gt;"Serviço",AND(AUTOEVENTO="Manual",$M142=$A$15)),0,
         IF(OFFSET(CRONOPLE!$F$15,$M142-$A$15,BX$13)=0,10^12,OFFSET(CRONOPLE!$F$15,$M142-$A$15,BX$13)))</f>
        <v>6</v>
      </c>
      <c r="BY142" s="353" t="n">
        <f aca="true">IF(OR($D142&lt;&gt;"Serviço",AND(AUTOEVENTO="Manual",$M142=$A$15)),0,
         IF(OFFSET(CRONOPLE!$F$15,$M142-$A$15,BY$13)=0,10^12,OFFSET(CRONOPLE!$F$15,$M142-$A$15,BY$13)))</f>
        <v>7</v>
      </c>
      <c r="BZ142" s="353" t="n">
        <f aca="true">IF(OR($D142&lt;&gt;"Serviço",AND(AUTOEVENTO="Manual",$M142=$A$15)),0,
         IF(OFFSET(CRONOPLE!$F$15,$M142-$A$15,BZ$13)=0,10^12,OFFSET(CRONOPLE!$F$15,$M142-$A$15,BZ$13)))</f>
        <v>8</v>
      </c>
      <c r="CA142" s="353" t="n">
        <f aca="true">IF(OR($D142&lt;&gt;"Serviço",AND(AUTOEVENTO="Manual",$M142=$A$15)),0,
         IF(OFFSET(CRONOPLE!$F$15,$M142-$A$15,CA$13)=0,10^12,OFFSET(CRONOPLE!$F$15,$M142-$A$15,CA$13)))</f>
        <v>9</v>
      </c>
      <c r="CB142" s="353" t="n">
        <f aca="true">IF(OR($D142&lt;&gt;"Serviço",AND(AUTOEVENTO="Manual",$M142=$A$15)),0,
         IF(OFFSET(CRONOPLE!$F$15,$M142-$A$15,CB$13)=0,10^12,OFFSET(CRONOPLE!$F$15,$M142-$A$15,CB$13)))</f>
        <v>10</v>
      </c>
      <c r="CC142" s="353" t="n">
        <f aca="true">IF(OR($D142&lt;&gt;"Serviço",AND(AUTOEVENTO="Manual",$M142=$A$15)),0,
         IF(OFFSET(CRONOPLE!$F$15,$M142-$A$15,CC$13)=0,10^12,OFFSET(CRONOPLE!$F$15,$M142-$A$15,CC$13)))</f>
        <v>11</v>
      </c>
      <c r="CD142" s="353" t="n">
        <f aca="true">IF(OR($D142&lt;&gt;"Serviço",AND(AUTOEVENTO="Manual",$M142=$A$15)),0,
         IF(OFFSET(CRONOPLE!$F$15,$M142-$A$15,CD$13)=0,10^12,OFFSET(CRONOPLE!$F$15,$M142-$A$15,CD$13)))</f>
        <v>12</v>
      </c>
      <c r="CE142" s="353" t="n">
        <f aca="true">IF(OR($D142&lt;&gt;"Serviço",AND(AUTOEVENTO="Manual",$M142=$A$15)),0,
         IF(OFFSET(CRONOPLE!$F$15,$M142-$A$15,CE$13)=0,10^12,OFFSET(CRONOPLE!$F$15,$M142-$A$15,CE$13)))</f>
        <v>13</v>
      </c>
      <c r="CF142" s="353" t="n">
        <f aca="true">IF(OR($D142&lt;&gt;"Serviço",AND(AUTOEVENTO="Manual",$M142=$A$15)),0,
         IF(OFFSET(CRONOPLE!$F$15,$M142-$A$15,CF$13)=0,10^12,OFFSET(CRONOPLE!$F$15,$M142-$A$15,CF$13)))</f>
        <v>14</v>
      </c>
      <c r="CG142" s="353" t="n">
        <f aca="true">IF(OR($D142&lt;&gt;"Serviço",AND(AUTOEVENTO="Manual",$M142=$A$15)),0,
         IF(OFFSET(CRONOPLE!$F$15,$M142-$A$15,CG$13)=0,10^12,OFFSET(CRONOPLE!$F$15,$M142-$A$15,CG$13)))</f>
        <v>15</v>
      </c>
      <c r="CH142" s="353" t="n">
        <f aca="true">IF(OR($D142&lt;&gt;"Serviço",AND(AUTOEVENTO="Manual",$M142=$A$15)),0,
         IF(OFFSET(CRONOPLE!$F$15,$M142-$A$15,CH$13)=0,10^12,OFFSET(CRONOPLE!$F$15,$M142-$A$15,CH$13)))</f>
        <v>16</v>
      </c>
      <c r="CI142" s="353" t="n">
        <f aca="true">IF(OR($D142&lt;&gt;"Serviço",AND(AUTOEVENTO="Manual",$M142=$A$15)),0,
         IF(OFFSET(CRONOPLE!$F$15,$M142-$A$15,CI$13)=0,10^12,OFFSET(CRONOPLE!$F$15,$M142-$A$15,CI$13)))</f>
        <v>17</v>
      </c>
      <c r="CJ142" s="353" t="n">
        <f aca="true">IF(OR($D142&lt;&gt;"Serviço",AND(AUTOEVENTO="Manual",$M142=$A$15)),0,
         IF(OFFSET(CRONOPLE!$F$15,$M142-$A$15,CJ$13)=0,10^12,OFFSET(CRONOPLE!$F$15,$M142-$A$15,CJ$13)))</f>
        <v>18</v>
      </c>
      <c r="CK142" s="353" t="n">
        <f aca="true">IF(OR($D142&lt;&gt;"Serviço",AND(AUTOEVENTO="Manual",$M142=$A$15)),0,
         IF(OFFSET(CRONOPLE!$F$15,$M142-$A$15,CK$13)=0,10^12,OFFSET(CRONOPLE!$F$15,$M142-$A$15,CK$13)))</f>
        <v>19</v>
      </c>
      <c r="CL142" s="353" t="n">
        <f aca="true">IF(OR($D142&lt;&gt;"Serviço",AND(AUTOEVENTO="Manual",$M142=$A$15)),0,
         IF(OFFSET(CRONOPLE!$F$15,$M142-$A$15,CL$13)=0,10^12,OFFSET(CRONOPLE!$F$15,$M142-$A$15,CL$13)))</f>
        <v>20</v>
      </c>
      <c r="CM142" s="353" t="n">
        <f aca="true">IF(OR($D142&lt;&gt;"Serviço",AND(AUTOEVENTO="Manual",$M142=$A$15)),0,
         IF(OFFSET(CRONOPLE!$F$15,$M142-$A$15,CM$13)=0,10^12,OFFSET(CRONOPLE!$F$15,$M142-$A$15,CM$13)))</f>
        <v>21</v>
      </c>
      <c r="CN142" s="353" t="n">
        <f aca="true">IF(OR($D142&lt;&gt;"Serviço",AND(AUTOEVENTO="Manual",$M142=$A$15)),0,
         IF(OFFSET(CRONOPLE!$F$15,$M142-$A$15,CN$13)=0,10^12,OFFSET(CRONOPLE!$F$15,$M142-$A$15,CN$13)))</f>
        <v>22</v>
      </c>
      <c r="CO142" s="353" t="n">
        <f aca="true">IF(OR($D142&lt;&gt;"Serviço",AND(AUTOEVENTO="Manual",$M142=$A$15)),0,
         IF(OFFSET(CRONOPLE!$F$15,$M142-$A$15,CO$13)=0,10^12,OFFSET(CRONOPLE!$F$15,$M142-$A$15,CO$13)))</f>
        <v>23</v>
      </c>
      <c r="CP142" s="353" t="n">
        <f aca="true">IF(OR($D142&lt;&gt;"Serviço",AND(AUTOEVENTO="Manual",$M142=$A$15)),0,
         IF(OFFSET(CRONOPLE!$F$15,$M142-$A$15,CP$13)=0,10^12,OFFSET(CRONOPLE!$F$15,$M142-$A$15,CP$13)))</f>
        <v>24</v>
      </c>
      <c r="CQ142" s="353" t="n">
        <f aca="true">IF(OR($D142&lt;&gt;"Serviço",AND(AUTOEVENTO="Manual",$M142=$A$15)),0,
         IF(OFFSET(CRONOPLE!$F$15,$M142-$A$15,CQ$13)=0,10^12,OFFSET(CRONOPLE!$F$15,$M142-$A$15,CQ$13)))</f>
        <v>25</v>
      </c>
      <c r="CR142" s="353" t="n">
        <f aca="true">IF(OR($D142&lt;&gt;"Serviço",AND(AUTOEVENTO="Manual",$M142=$A$15)),0,
         IF(OFFSET(CRONOPLE!$F$15,$M142-$A$15,CR$13)=0,10^12,OFFSET(CRONOPLE!$F$15,$M142-$A$15,CR$13)))</f>
        <v>1000000000000</v>
      </c>
      <c r="CT142" s="354" t="n">
        <f aca="true">IF(OR($D142&lt;&gt;"Serviço",AND(AUTOEVENTO="Manual",$M142=$A$15),$M142&gt;(ROW(PLE.lastrow)-ROW(PLE.firstrow))),0,
           IF(OFFSET(PLE!$G$15,$M142-$A$15,CT$13)="",10^12,OFFSET(PLE!$G$15,$M142-$A$15,CT$13)))</f>
        <v>1000000000000</v>
      </c>
      <c r="CU142" s="354" t="n">
        <f aca="true">IF(OR($D142&lt;&gt;"Serviço",AND(AUTOEVENTO="Manual",$M142=$A$15),$M142&gt;(ROW(PLE.lastrow)-ROW(PLE.firstrow))),0,
           IF(OFFSET(PLE!$G$15,$M142-$A$15,CU$13)="",10^12,OFFSET(PLE!$G$15,$M142-$A$15,CU$13)))</f>
        <v>1000000000000</v>
      </c>
      <c r="CV142" s="354" t="n">
        <f aca="true">IF(OR($D142&lt;&gt;"Serviço",AND(AUTOEVENTO="Manual",$M142=$A$15),$M142&gt;(ROW(PLE.lastrow)-ROW(PLE.firstrow))),0,
           IF(OFFSET(PLE!$G$15,$M142-$A$15,CV$13)="",10^12,OFFSET(PLE!$G$15,$M142-$A$15,CV$13)))</f>
        <v>1000000000000</v>
      </c>
      <c r="CW142" s="354" t="n">
        <f aca="true">IF(OR($D142&lt;&gt;"Serviço",AND(AUTOEVENTO="Manual",$M142=$A$15),$M142&gt;(ROW(PLE.lastrow)-ROW(PLE.firstrow))),0,
           IF(OFFSET(PLE!$G$15,$M142-$A$15,CW$13)="",10^12,OFFSET(PLE!$G$15,$M142-$A$15,CW$13)))</f>
        <v>1000000000000</v>
      </c>
      <c r="CX142" s="354" t="n">
        <f aca="true">IF(OR($D142&lt;&gt;"Serviço",AND(AUTOEVENTO="Manual",$M142=$A$15),$M142&gt;(ROW(PLE.lastrow)-ROW(PLE.firstrow))),0,
           IF(OFFSET(PLE!$G$15,$M142-$A$15,CX$13)="",10^12,OFFSET(PLE!$G$15,$M142-$A$15,CX$13)))</f>
        <v>1000000000000</v>
      </c>
      <c r="CY142" s="354" t="n">
        <f aca="true">IF(OR($D142&lt;&gt;"Serviço",AND(AUTOEVENTO="Manual",$M142=$A$15),$M142&gt;(ROW(PLE.lastrow)-ROW(PLE.firstrow))),0,
           IF(OFFSET(PLE!$G$15,$M142-$A$15,CY$13)="",10^12,OFFSET(PLE!$G$15,$M142-$A$15,CY$13)))</f>
        <v>1000000000000</v>
      </c>
      <c r="CZ142" s="354" t="n">
        <f aca="true">IF(OR($D142&lt;&gt;"Serviço",AND(AUTOEVENTO="Manual",$M142=$A$15),$M142&gt;(ROW(PLE.lastrow)-ROW(PLE.firstrow))),0,
           IF(OFFSET(PLE!$G$15,$M142-$A$15,CZ$13)="",10^12,OFFSET(PLE!$G$15,$M142-$A$15,CZ$13)))</f>
        <v>1000000000000</v>
      </c>
      <c r="DA142" s="354" t="n">
        <f aca="true">IF(OR($D142&lt;&gt;"Serviço",AND(AUTOEVENTO="Manual",$M142=$A$15),$M142&gt;(ROW(PLE.lastrow)-ROW(PLE.firstrow))),0,
           IF(OFFSET(PLE!$G$15,$M142-$A$15,DA$13)="",10^12,OFFSET(PLE!$G$15,$M142-$A$15,DA$13)))</f>
        <v>1000000000000</v>
      </c>
      <c r="DB142" s="354" t="n">
        <f aca="true">IF(OR($D142&lt;&gt;"Serviço",AND(AUTOEVENTO="Manual",$M142=$A$15),$M142&gt;(ROW(PLE.lastrow)-ROW(PLE.firstrow))),0,
           IF(OFFSET(PLE!$G$15,$M142-$A$15,DB$13)="",10^12,OFFSET(PLE!$G$15,$M142-$A$15,DB$13)))</f>
        <v>1000000000000</v>
      </c>
      <c r="DC142" s="354" t="n">
        <f aca="true">IF(OR($D142&lt;&gt;"Serviço",AND(AUTOEVENTO="Manual",$M142=$A$15),$M142&gt;(ROW(PLE.lastrow)-ROW(PLE.firstrow))),0,
           IF(OFFSET(PLE!$G$15,$M142-$A$15,DC$13)="",10^12,OFFSET(PLE!$G$15,$M142-$A$15,DC$13)))</f>
        <v>1000000000000</v>
      </c>
      <c r="DD142" s="354" t="n">
        <f aca="true">IF(OR($D142&lt;&gt;"Serviço",AND(AUTOEVENTO="Manual",$M142=$A$15),$M142&gt;(ROW(PLE.lastrow)-ROW(PLE.firstrow))),0,
           IF(OFFSET(PLE!$G$15,$M142-$A$15,DD$13)="",10^12,OFFSET(PLE!$G$15,$M142-$A$15,DD$13)))</f>
        <v>1000000000000</v>
      </c>
      <c r="DE142" s="354" t="n">
        <f aca="true">IF(OR($D142&lt;&gt;"Serviço",AND(AUTOEVENTO="Manual",$M142=$A$15),$M142&gt;(ROW(PLE.lastrow)-ROW(PLE.firstrow))),0,
           IF(OFFSET(PLE!$G$15,$M142-$A$15,DE$13)="",10^12,OFFSET(PLE!$G$15,$M142-$A$15,DE$13)))</f>
        <v>1000000000000</v>
      </c>
      <c r="DF142" s="354" t="n">
        <f aca="true">IF(OR($D142&lt;&gt;"Serviço",AND(AUTOEVENTO="Manual",$M142=$A$15),$M142&gt;(ROW(PLE.lastrow)-ROW(PLE.firstrow))),0,
           IF(OFFSET(PLE!$G$15,$M142-$A$15,DF$13)="",10^12,OFFSET(PLE!$G$15,$M142-$A$15,DF$13)))</f>
        <v>1000000000000</v>
      </c>
      <c r="DG142" s="354" t="n">
        <f aca="true">IF(OR($D142&lt;&gt;"Serviço",AND(AUTOEVENTO="Manual",$M142=$A$15),$M142&gt;(ROW(PLE.lastrow)-ROW(PLE.firstrow))),0,
           IF(OFFSET(PLE!$G$15,$M142-$A$15,DG$13)="",10^12,OFFSET(PLE!$G$15,$M142-$A$15,DG$13)))</f>
        <v>1000000000000</v>
      </c>
      <c r="DH142" s="354" t="n">
        <f aca="true">IF(OR($D142&lt;&gt;"Serviço",AND(AUTOEVENTO="Manual",$M142=$A$15),$M142&gt;(ROW(PLE.lastrow)-ROW(PLE.firstrow))),0,
           IF(OFFSET(PLE!$G$15,$M142-$A$15,DH$13)="",10^12,OFFSET(PLE!$G$15,$M142-$A$15,DH$13)))</f>
        <v>1000000000000</v>
      </c>
      <c r="DI142" s="354" t="n">
        <f aca="true">IF(OR($D142&lt;&gt;"Serviço",AND(AUTOEVENTO="Manual",$M142=$A$15),$M142&gt;(ROW(PLE.lastrow)-ROW(PLE.firstrow))),0,
           IF(OFFSET(PLE!$G$15,$M142-$A$15,DI$13)="",10^12,OFFSET(PLE!$G$15,$M142-$A$15,DI$13)))</f>
        <v>1000000000000</v>
      </c>
      <c r="DJ142" s="354" t="n">
        <f aca="true">IF(OR($D142&lt;&gt;"Serviço",AND(AUTOEVENTO="Manual",$M142=$A$15),$M142&gt;(ROW(PLE.lastrow)-ROW(PLE.firstrow))),0,
           IF(OFFSET(PLE!$G$15,$M142-$A$15,DJ$13)="",10^12,OFFSET(PLE!$G$15,$M142-$A$15,DJ$13)))</f>
        <v>1000000000000</v>
      </c>
      <c r="DK142" s="354" t="n">
        <f aca="true">IF(OR($D142&lt;&gt;"Serviço",AND(AUTOEVENTO="Manual",$M142=$A$15),$M142&gt;(ROW(PLE.lastrow)-ROW(PLE.firstrow))),0,
           IF(OFFSET(PLE!$G$15,$M142-$A$15,DK$13)="",10^12,OFFSET(PLE!$G$15,$M142-$A$15,DK$13)))</f>
        <v>1000000000000</v>
      </c>
      <c r="DL142" s="354" t="n">
        <f aca="true">IF(OR($D142&lt;&gt;"Serviço",AND(AUTOEVENTO="Manual",$M142=$A$15),$M142&gt;(ROW(PLE.lastrow)-ROW(PLE.firstrow))),0,
           IF(OFFSET(PLE!$G$15,$M142-$A$15,DL$13)="",10^12,OFFSET(PLE!$G$15,$M142-$A$15,DL$13)))</f>
        <v>1000000000000</v>
      </c>
      <c r="DM142" s="354" t="n">
        <f aca="true">IF(OR($D142&lt;&gt;"Serviço",AND(AUTOEVENTO="Manual",$M142=$A$15),$M142&gt;(ROW(PLE.lastrow)-ROW(PLE.firstrow))),0,
           IF(OFFSET(PLE!$G$15,$M142-$A$15,DM$13)="",10^12,OFFSET(PLE!$G$15,$M142-$A$15,DM$13)))</f>
        <v>1000000000000</v>
      </c>
      <c r="DN142" s="354" t="n">
        <f aca="true">IF(OR($D142&lt;&gt;"Serviço",AND(AUTOEVENTO="Manual",$M142=$A$15),$M142&gt;(ROW(PLE.lastrow)-ROW(PLE.firstrow))),0,
           IF(OFFSET(PLE!$G$15,$M142-$A$15,DN$13)="",10^12,OFFSET(PLE!$G$15,$M142-$A$15,DN$13)))</f>
        <v>1000000000000</v>
      </c>
      <c r="DO142" s="354" t="n">
        <f aca="true">IF(OR($D142&lt;&gt;"Serviço",AND(AUTOEVENTO="Manual",$M142=$A$15),$M142&gt;(ROW(PLE.lastrow)-ROW(PLE.firstrow))),0,
           IF(OFFSET(PLE!$G$15,$M142-$A$15,DO$13)="",10^12,OFFSET(PLE!$G$15,$M142-$A$15,DO$13)))</f>
        <v>1000000000000</v>
      </c>
      <c r="DP142" s="354" t="n">
        <f aca="true">IF(OR($D142&lt;&gt;"Serviço",AND(AUTOEVENTO="Manual",$M142=$A$15),$M142&gt;(ROW(PLE.lastrow)-ROW(PLE.firstrow))),0,
           IF(OFFSET(PLE!$G$15,$M142-$A$15,DP$13)="",10^12,OFFSET(PLE!$G$15,$M142-$A$15,DP$13)))</f>
        <v>1000000000000</v>
      </c>
      <c r="DQ142" s="354" t="n">
        <f aca="true">IF(OR($D142&lt;&gt;"Serviço",AND(AUTOEVENTO="Manual",$M142=$A$15),$M142&gt;(ROW(PLE.lastrow)-ROW(PLE.firstrow))),0,
           IF(OFFSET(PLE!$G$15,$M142-$A$15,DQ$13)="",10^12,OFFSET(PLE!$G$15,$M142-$A$15,DQ$13)))</f>
        <v>1000000000000</v>
      </c>
      <c r="DR142" s="354" t="n">
        <f aca="true">IF(OR($D142&lt;&gt;"Serviço",AND(AUTOEVENTO="Manual",$M142=$A$15),$M142&gt;(ROW(PLE.lastrow)-ROW(PLE.firstrow))),0,
           IF(OFFSET(PLE!$G$15,$M142-$A$15,DR$13)="",10^12,OFFSET(PLE!$G$15,$M142-$A$15,DR$13)))</f>
        <v>1000000000000</v>
      </c>
      <c r="DS142" s="354" t="n">
        <f aca="true">IF(OR($D142&lt;&gt;"Serviço",AND(AUTOEVENTO="Manual",$M142=$A$15),$M142&gt;(ROW(PLE.lastrow)-ROW(PLE.firstrow))),0,
           IF(OFFSET(PLE!$G$15,$M142-$A$15,DS$13)="",10^12,OFFSET(PLE!$G$15,$M142-$A$15,DS$13)))</f>
        <v>1000000000000</v>
      </c>
    </row>
    <row r="143" customFormat="false" ht="12.75" hidden="false" customHeight="false" outlineLevel="0" collapsed="false">
      <c r="A143" s="50" t="str">
        <f aca="true">IFERROR(IF(AUTOEVENTO="Manual",IF(K143&lt;&gt;"",MIN(VALUE(LEFT(K143,FIND(".",K143)-1)),COUNTA(EVENTOS.Lista)),0),IF(OR($B143&gt;AUTOEVENTO,$B143="S",$B143=0),SUBSTITUTE(OFFSET($A143,-1,0),IF($D143="Serviço",".",""),""),ROW(A143)-ROW($A$15)&amp;".")),0)</f>
        <v>128.</v>
      </c>
      <c r="B143" s="50" t="n">
        <f aca="true">OFFSET(ORÇAMENTO!C$15,ROW(B143)-ROW(B$15),0)</f>
        <v>2</v>
      </c>
      <c r="C143" s="50" t="str">
        <f aca="true">OFFSET(ORÇAMENTO!L$15,ROW(C143)-ROW(C$15),0)</f>
        <v>F</v>
      </c>
      <c r="D143" s="201" t="str">
        <f aca="true">OFFSET(ORÇAMENTO!N$15,ROW(D143)-ROW(D$15),0)</f>
        <v>Nível 2</v>
      </c>
      <c r="E143" s="202" t="str">
        <f aca="true">OFFSET(ORÇAMENTO!O$15,ROW(E143)-ROW(E$15),0)</f>
        <v>1.41.</v>
      </c>
      <c r="F143" s="341" t="str">
        <f aca="true">OFFSET(ORÇAMENTO!R$15,ROW(F143)-ROW(F$15),0)</f>
        <v>REGISTROS </v>
      </c>
      <c r="G143" s="342" t="str">
        <f aca="true">IF($D143&lt;&gt;"Serviço","",OFFSET(ORÇAMENTO!S$15,ROW(G143)-ROW(G$15),0))</f>
        <v/>
      </c>
      <c r="H143" s="207" t="n">
        <f aca="true">IF($D143&lt;&gt;"Serviço",0,IF(ACOMPANHAMENTO="BM",ROUND(OFFSET(ORÇAMENTO!AJ$15,ROW(H143)-ROW(H$15),0),15-13*ORÇAMENTO!$AF$7),SUMPRODUCT(($Q$1:$AQ$1=1)*ROUND($Q143:$AQ143,15-13*ORÇAMENTO!$AF$7))))</f>
        <v>0</v>
      </c>
      <c r="I143" s="343"/>
      <c r="J143" s="344" t="str">
        <f aca="false">IF(OR(B143&lt;&gt;"S",CÁLCULO.FrentesPreenchidas=0),"",IF(AND(ACOMPANHAMENTO="PLE",AUTOEVENTO="Manual",OR(H143&gt;0,ORÇAMENTO!AC143="QUANT."),OR(K143="",M143=0,N143="")),"►",IF(AND(ACOMPANHAMENTO="PLE",ORÇAMENTO!AC143="QUANT."),"►►",IF(AND(COUNTIF($P$11:$AQ$11,"▼")=0,H143&gt;0,I143=""),"◄",""))))</f>
        <v/>
      </c>
      <c r="K143" s="345"/>
      <c r="L143" s="346" t="s">
        <v>876</v>
      </c>
      <c r="M143" s="347" t="str">
        <f aca="true">IF($D143&lt;&gt;"Serviço","",
          IF(AUTOEVENTO="manual",$A143,
                IF(ISERROR(MATCH($A143,$A$15:OFFSET($A143,-1,0),0)),MAX($M$15:OFFSET(M143,-1,0))+1,
                      INDEX($M$15:OFFSET(M143,-1,0),MATCH($A143,$A$15:OFFSET($A143,-1,0),0)))))</f>
        <v/>
      </c>
      <c r="N143" s="348" t="str">
        <f aca="true">IF($D143&lt;&gt;"Serviço","",
         IF(AUTOEVENTO="Manual",
                IF($A143=0,"&lt;-- defina o número do agrupador",
                       OFFSET(EVENTOS!$D$15,$A143-$A$15,0)),
                OFFSET($F$15,$A143,0)))</f>
        <v/>
      </c>
      <c r="O143" s="349"/>
      <c r="Q143" s="349"/>
      <c r="R143" s="350"/>
      <c r="S143" s="350"/>
      <c r="T143" s="350"/>
      <c r="U143" s="350"/>
      <c r="V143" s="350"/>
      <c r="W143" s="350"/>
      <c r="X143" s="350"/>
      <c r="Y143" s="350"/>
      <c r="Z143" s="351"/>
      <c r="AA143" s="350"/>
      <c r="AB143" s="350"/>
      <c r="AC143" s="350"/>
      <c r="AD143" s="350"/>
      <c r="AE143" s="350"/>
      <c r="AF143" s="350"/>
      <c r="AG143" s="350"/>
      <c r="AH143" s="351"/>
      <c r="AI143" s="350"/>
      <c r="AJ143" s="350"/>
      <c r="AK143" s="350"/>
      <c r="AL143" s="350"/>
      <c r="AM143" s="350"/>
      <c r="AN143" s="350"/>
      <c r="AO143" s="350"/>
      <c r="AP143" s="351"/>
      <c r="AR143" s="352" t="n">
        <f aca="true">IF(AND($D143="Serviço",AR$12&lt;&gt;0,$H143&gt;0,OR(AUTOEVENTO&lt;&gt;"manual",$M143&lt;&gt;$A$15)),
        IF(Import.TipoArredondamento&lt;&gt;"TransfereGOV",
              ROUND(OFFSET($P143,0,AR$13),15-13*ORÇAMENTO!$AF$7)/$H143*OFFSET(ORÇAMENTO!$X$15,ROW(AR143)-ROW(AR$15),0),
              ROUND(ROUND(OFFSET($P143,0,AR$13),15-13*ORÇAMENTO!$AF$7)*OFFSET(ORÇAMENTO!$W$15,ROW(AR143)-ROW(AR$15),0),15-13*ORÇAMENTO!$AF$11)),
         0)</f>
        <v>0</v>
      </c>
      <c r="AS143" s="352" t="n">
        <f aca="true">IF(AND($D143="Serviço",AS$12&lt;&gt;0,$H143&gt;0,OR(AUTOEVENTO&lt;&gt;"manual",$M143&lt;&gt;$A$15)),
        IF(Import.TipoArredondamento&lt;&gt;"TransfereGOV",
              ROUND(OFFSET($P143,0,AS$13),15-13*ORÇAMENTO!$AF$7)/$H143*OFFSET(ORÇAMENTO!$X$15,ROW(AS143)-ROW(AS$15),0),
              ROUND(ROUND(OFFSET($P143,0,AS$13),15-13*ORÇAMENTO!$AF$7)*OFFSET(ORÇAMENTO!$W$15,ROW(AS143)-ROW(AS$15),0),15-13*ORÇAMENTO!$AF$11)),
         0)</f>
        <v>0</v>
      </c>
      <c r="AT143" s="352" t="n">
        <f aca="true">IF(AND($D143="Serviço",AT$12&lt;&gt;0,$H143&gt;0,OR(AUTOEVENTO&lt;&gt;"manual",$M143&lt;&gt;$A$15)),
        IF(Import.TipoArredondamento&lt;&gt;"TransfereGOV",
              ROUND(OFFSET($P143,0,AT$13),15-13*ORÇAMENTO!$AF$7)/$H143*OFFSET(ORÇAMENTO!$X$15,ROW(AT143)-ROW(AT$15),0),
              ROUND(ROUND(OFFSET($P143,0,AT$13),15-13*ORÇAMENTO!$AF$7)*OFFSET(ORÇAMENTO!$W$15,ROW(AT143)-ROW(AT$15),0),15-13*ORÇAMENTO!$AF$11)),
         0)</f>
        <v>0</v>
      </c>
      <c r="AU143" s="352" t="n">
        <f aca="true">IF(AND($D143="Serviço",AU$12&lt;&gt;0,$H143&gt;0,OR(AUTOEVENTO&lt;&gt;"manual",$M143&lt;&gt;$A$15)),
        IF(Import.TipoArredondamento&lt;&gt;"TransfereGOV",
              ROUND(OFFSET($P143,0,AU$13),15-13*ORÇAMENTO!$AF$7)/$H143*OFFSET(ORÇAMENTO!$X$15,ROW(AU143)-ROW(AU$15),0),
              ROUND(ROUND(OFFSET($P143,0,AU$13),15-13*ORÇAMENTO!$AF$7)*OFFSET(ORÇAMENTO!$W$15,ROW(AU143)-ROW(AU$15),0),15-13*ORÇAMENTO!$AF$11)),
         0)</f>
        <v>0</v>
      </c>
      <c r="AV143" s="352" t="n">
        <f aca="true">IF(AND($D143="Serviço",AV$12&lt;&gt;0,$H143&gt;0,OR(AUTOEVENTO&lt;&gt;"manual",$M143&lt;&gt;$A$15)),
        IF(Import.TipoArredondamento&lt;&gt;"TransfereGOV",
              ROUND(OFFSET($P143,0,AV$13),15-13*ORÇAMENTO!$AF$7)/$H143*OFFSET(ORÇAMENTO!$X$15,ROW(AV143)-ROW(AV$15),0),
              ROUND(ROUND(OFFSET($P143,0,AV$13),15-13*ORÇAMENTO!$AF$7)*OFFSET(ORÇAMENTO!$W$15,ROW(AV143)-ROW(AV$15),0),15-13*ORÇAMENTO!$AF$11)),
         0)</f>
        <v>0</v>
      </c>
      <c r="AW143" s="352" t="n">
        <f aca="true">IF(AND($D143="Serviço",AW$12&lt;&gt;0,$H143&gt;0,OR(AUTOEVENTO&lt;&gt;"manual",$M143&lt;&gt;$A$15)),
        IF(Import.TipoArredondamento&lt;&gt;"TransfereGOV",
              ROUND(OFFSET($P143,0,AW$13),15-13*ORÇAMENTO!$AF$7)/$H143*OFFSET(ORÇAMENTO!$X$15,ROW(AW143)-ROW(AW$15),0),
              ROUND(ROUND(OFFSET($P143,0,AW$13),15-13*ORÇAMENTO!$AF$7)*OFFSET(ORÇAMENTO!$W$15,ROW(AW143)-ROW(AW$15),0),15-13*ORÇAMENTO!$AF$11)),
         0)</f>
        <v>0</v>
      </c>
      <c r="AX143" s="352" t="n">
        <f aca="true">IF(AND($D143="Serviço",AX$12&lt;&gt;0,$H143&gt;0,OR(AUTOEVENTO&lt;&gt;"manual",$M143&lt;&gt;$A$15)),
        IF(Import.TipoArredondamento&lt;&gt;"TransfereGOV",
              ROUND(OFFSET($P143,0,AX$13),15-13*ORÇAMENTO!$AF$7)/$H143*OFFSET(ORÇAMENTO!$X$15,ROW(AX143)-ROW(AX$15),0),
              ROUND(ROUND(OFFSET($P143,0,AX$13),15-13*ORÇAMENTO!$AF$7)*OFFSET(ORÇAMENTO!$W$15,ROW(AX143)-ROW(AX$15),0),15-13*ORÇAMENTO!$AF$11)),
         0)</f>
        <v>0</v>
      </c>
      <c r="AY143" s="352" t="n">
        <f aca="true">IF(AND($D143="Serviço",AY$12&lt;&gt;0,$H143&gt;0,OR(AUTOEVENTO&lt;&gt;"manual",$M143&lt;&gt;$A$15)),
        IF(Import.TipoArredondamento&lt;&gt;"TransfereGOV",
              ROUND(OFFSET($P143,0,AY$13),15-13*ORÇAMENTO!$AF$7)/$H143*OFFSET(ORÇAMENTO!$X$15,ROW(AY143)-ROW(AY$15),0),
              ROUND(ROUND(OFFSET($P143,0,AY$13),15-13*ORÇAMENTO!$AF$7)*OFFSET(ORÇAMENTO!$W$15,ROW(AY143)-ROW(AY$15),0),15-13*ORÇAMENTO!$AF$11)),
         0)</f>
        <v>0</v>
      </c>
      <c r="AZ143" s="352" t="n">
        <f aca="true">IF(AND($D143="Serviço",AZ$12&lt;&gt;0,$H143&gt;0,OR(AUTOEVENTO&lt;&gt;"manual",$M143&lt;&gt;$A$15)),
        IF(Import.TipoArredondamento&lt;&gt;"TransfereGOV",
              ROUND(OFFSET($P143,0,AZ$13),15-13*ORÇAMENTO!$AF$7)/$H143*OFFSET(ORÇAMENTO!$X$15,ROW(AZ143)-ROW(AZ$15),0),
              ROUND(ROUND(OFFSET($P143,0,AZ$13),15-13*ORÇAMENTO!$AF$7)*OFFSET(ORÇAMENTO!$W$15,ROW(AZ143)-ROW(AZ$15),0),15-13*ORÇAMENTO!$AF$11)),
         0)</f>
        <v>0</v>
      </c>
      <c r="BA143" s="352" t="n">
        <f aca="true">IF(AND($D143="Serviço",BA$12&lt;&gt;0,$H143&gt;0,OR(AUTOEVENTO&lt;&gt;"manual",$M143&lt;&gt;$A$15)),
        IF(Import.TipoArredondamento&lt;&gt;"TransfereGOV",
              ROUND(OFFSET($P143,0,BA$13),15-13*ORÇAMENTO!$AF$7)/$H143*OFFSET(ORÇAMENTO!$X$15,ROW(BA143)-ROW(BA$15),0),
              ROUND(ROUND(OFFSET($P143,0,BA$13),15-13*ORÇAMENTO!$AF$7)*OFFSET(ORÇAMENTO!$W$15,ROW(BA143)-ROW(BA$15),0),15-13*ORÇAMENTO!$AF$11)),
         0)</f>
        <v>0</v>
      </c>
      <c r="BB143" s="352" t="n">
        <f aca="true">IF(AND($D143="Serviço",BB$12&lt;&gt;0,$H143&gt;0,OR(AUTOEVENTO&lt;&gt;"manual",$M143&lt;&gt;$A$15)),
        IF(Import.TipoArredondamento&lt;&gt;"TransfereGOV",
              ROUND(OFFSET($P143,0,BB$13),15-13*ORÇAMENTO!$AF$7)/$H143*OFFSET(ORÇAMENTO!$X$15,ROW(BB143)-ROW(BB$15),0),
              ROUND(ROUND(OFFSET($P143,0,BB$13),15-13*ORÇAMENTO!$AF$7)*OFFSET(ORÇAMENTO!$W$15,ROW(BB143)-ROW(BB$15),0),15-13*ORÇAMENTO!$AF$11)),
         0)</f>
        <v>0</v>
      </c>
      <c r="BC143" s="352" t="n">
        <f aca="true">IF(AND($D143="Serviço",BC$12&lt;&gt;0,$H143&gt;0,OR(AUTOEVENTO&lt;&gt;"manual",$M143&lt;&gt;$A$15)),
        IF(Import.TipoArredondamento&lt;&gt;"TransfereGOV",
              ROUND(OFFSET($P143,0,BC$13),15-13*ORÇAMENTO!$AF$7)/$H143*OFFSET(ORÇAMENTO!$X$15,ROW(BC143)-ROW(BC$15),0),
              ROUND(ROUND(OFFSET($P143,0,BC$13),15-13*ORÇAMENTO!$AF$7)*OFFSET(ORÇAMENTO!$W$15,ROW(BC143)-ROW(BC$15),0),15-13*ORÇAMENTO!$AF$11)),
         0)</f>
        <v>0</v>
      </c>
      <c r="BD143" s="352" t="n">
        <f aca="true">IF(AND($D143="Serviço",BD$12&lt;&gt;0,$H143&gt;0,OR(AUTOEVENTO&lt;&gt;"manual",$M143&lt;&gt;$A$15)),
        IF(Import.TipoArredondamento&lt;&gt;"TransfereGOV",
              ROUND(OFFSET($P143,0,BD$13),15-13*ORÇAMENTO!$AF$7)/$H143*OFFSET(ORÇAMENTO!$X$15,ROW(BD143)-ROW(BD$15),0),
              ROUND(ROUND(OFFSET($P143,0,BD$13),15-13*ORÇAMENTO!$AF$7)*OFFSET(ORÇAMENTO!$W$15,ROW(BD143)-ROW(BD$15),0),15-13*ORÇAMENTO!$AF$11)),
         0)</f>
        <v>0</v>
      </c>
      <c r="BE143" s="352" t="n">
        <f aca="true">IF(AND($D143="Serviço",BE$12&lt;&gt;0,$H143&gt;0,OR(AUTOEVENTO&lt;&gt;"manual",$M143&lt;&gt;$A$15)),
        IF(Import.TipoArredondamento&lt;&gt;"TransfereGOV",
              ROUND(OFFSET($P143,0,BE$13),15-13*ORÇAMENTO!$AF$7)/$H143*OFFSET(ORÇAMENTO!$X$15,ROW(BE143)-ROW(BE$15),0),
              ROUND(ROUND(OFFSET($P143,0,BE$13),15-13*ORÇAMENTO!$AF$7)*OFFSET(ORÇAMENTO!$W$15,ROW(BE143)-ROW(BE$15),0),15-13*ORÇAMENTO!$AF$11)),
         0)</f>
        <v>0</v>
      </c>
      <c r="BF143" s="352" t="n">
        <f aca="true">IF(AND($D143="Serviço",BF$12&lt;&gt;0,$H143&gt;0,OR(AUTOEVENTO&lt;&gt;"manual",$M143&lt;&gt;$A$15)),
        IF(Import.TipoArredondamento&lt;&gt;"TransfereGOV",
              ROUND(OFFSET($P143,0,BF$13),15-13*ORÇAMENTO!$AF$7)/$H143*OFFSET(ORÇAMENTO!$X$15,ROW(BF143)-ROW(BF$15),0),
              ROUND(ROUND(OFFSET($P143,0,BF$13),15-13*ORÇAMENTO!$AF$7)*OFFSET(ORÇAMENTO!$W$15,ROW(BF143)-ROW(BF$15),0),15-13*ORÇAMENTO!$AF$11)),
         0)</f>
        <v>0</v>
      </c>
      <c r="BG143" s="352" t="n">
        <f aca="true">IF(AND($D143="Serviço",BG$12&lt;&gt;0,$H143&gt;0,OR(AUTOEVENTO&lt;&gt;"manual",$M143&lt;&gt;$A$15)),
        IF(Import.TipoArredondamento&lt;&gt;"TransfereGOV",
              ROUND(OFFSET($P143,0,BG$13),15-13*ORÇAMENTO!$AF$7)/$H143*OFFSET(ORÇAMENTO!$X$15,ROW(BG143)-ROW(BG$15),0),
              ROUND(ROUND(OFFSET($P143,0,BG$13),15-13*ORÇAMENTO!$AF$7)*OFFSET(ORÇAMENTO!$W$15,ROW(BG143)-ROW(BG$15),0),15-13*ORÇAMENTO!$AF$11)),
         0)</f>
        <v>0</v>
      </c>
      <c r="BH143" s="352" t="n">
        <f aca="true">IF(AND($D143="Serviço",BH$12&lt;&gt;0,$H143&gt;0,OR(AUTOEVENTO&lt;&gt;"manual",$M143&lt;&gt;$A$15)),
        IF(Import.TipoArredondamento&lt;&gt;"TransfereGOV",
              ROUND(OFFSET($P143,0,BH$13),15-13*ORÇAMENTO!$AF$7)/$H143*OFFSET(ORÇAMENTO!$X$15,ROW(BH143)-ROW(BH$15),0),
              ROUND(ROUND(OFFSET($P143,0,BH$13),15-13*ORÇAMENTO!$AF$7)*OFFSET(ORÇAMENTO!$W$15,ROW(BH143)-ROW(BH$15),0),15-13*ORÇAMENTO!$AF$11)),
         0)</f>
        <v>0</v>
      </c>
      <c r="BI143" s="352" t="n">
        <f aca="true">IF(AND($D143="Serviço",BI$12&lt;&gt;0,$H143&gt;0,OR(AUTOEVENTO&lt;&gt;"manual",$M143&lt;&gt;$A$15)),
        IF(Import.TipoArredondamento&lt;&gt;"TransfereGOV",
              ROUND(OFFSET($P143,0,BI$13),15-13*ORÇAMENTO!$AF$7)/$H143*OFFSET(ORÇAMENTO!$X$15,ROW(BI143)-ROW(BI$15),0),
              ROUND(ROUND(OFFSET($P143,0,BI$13),15-13*ORÇAMENTO!$AF$7)*OFFSET(ORÇAMENTO!$W$15,ROW(BI143)-ROW(BI$15),0),15-13*ORÇAMENTO!$AF$11)),
         0)</f>
        <v>0</v>
      </c>
      <c r="BJ143" s="352" t="n">
        <f aca="true">IF(AND($D143="Serviço",BJ$12&lt;&gt;0,$H143&gt;0,OR(AUTOEVENTO&lt;&gt;"manual",$M143&lt;&gt;$A$15)),
        IF(Import.TipoArredondamento&lt;&gt;"TransfereGOV",
              ROUND(OFFSET($P143,0,BJ$13),15-13*ORÇAMENTO!$AF$7)/$H143*OFFSET(ORÇAMENTO!$X$15,ROW(BJ143)-ROW(BJ$15),0),
              ROUND(ROUND(OFFSET($P143,0,BJ$13),15-13*ORÇAMENTO!$AF$7)*OFFSET(ORÇAMENTO!$W$15,ROW(BJ143)-ROW(BJ$15),0),15-13*ORÇAMENTO!$AF$11)),
         0)</f>
        <v>0</v>
      </c>
      <c r="BK143" s="352" t="n">
        <f aca="true">IF(AND($D143="Serviço",BK$12&lt;&gt;0,$H143&gt;0,OR(AUTOEVENTO&lt;&gt;"manual",$M143&lt;&gt;$A$15)),
        IF(Import.TipoArredondamento&lt;&gt;"TransfereGOV",
              ROUND(OFFSET($P143,0,BK$13),15-13*ORÇAMENTO!$AF$7)/$H143*OFFSET(ORÇAMENTO!$X$15,ROW(BK143)-ROW(BK$15),0),
              ROUND(ROUND(OFFSET($P143,0,BK$13),15-13*ORÇAMENTO!$AF$7)*OFFSET(ORÇAMENTO!$W$15,ROW(BK143)-ROW(BK$15),0),15-13*ORÇAMENTO!$AF$11)),
         0)</f>
        <v>0</v>
      </c>
      <c r="BL143" s="352" t="n">
        <f aca="true">IF(AND($D143="Serviço",BL$12&lt;&gt;0,$H143&gt;0,OR(AUTOEVENTO&lt;&gt;"manual",$M143&lt;&gt;$A$15)),
        IF(Import.TipoArredondamento&lt;&gt;"TransfereGOV",
              ROUND(OFFSET($P143,0,BL$13),15-13*ORÇAMENTO!$AF$7)/$H143*OFFSET(ORÇAMENTO!$X$15,ROW(BL143)-ROW(BL$15),0),
              ROUND(ROUND(OFFSET($P143,0,BL$13),15-13*ORÇAMENTO!$AF$7)*OFFSET(ORÇAMENTO!$W$15,ROW(BL143)-ROW(BL$15),0),15-13*ORÇAMENTO!$AF$11)),
         0)</f>
        <v>0</v>
      </c>
      <c r="BM143" s="352" t="n">
        <f aca="true">IF(AND($D143="Serviço",BM$12&lt;&gt;0,$H143&gt;0,OR(AUTOEVENTO&lt;&gt;"manual",$M143&lt;&gt;$A$15)),
        IF(Import.TipoArredondamento&lt;&gt;"TransfereGOV",
              ROUND(OFFSET($P143,0,BM$13),15-13*ORÇAMENTO!$AF$7)/$H143*OFFSET(ORÇAMENTO!$X$15,ROW(BM143)-ROW(BM$15),0),
              ROUND(ROUND(OFFSET($P143,0,BM$13),15-13*ORÇAMENTO!$AF$7)*OFFSET(ORÇAMENTO!$W$15,ROW(BM143)-ROW(BM$15),0),15-13*ORÇAMENTO!$AF$11)),
         0)</f>
        <v>0</v>
      </c>
      <c r="BN143" s="352" t="n">
        <f aca="true">IF(AND($D143="Serviço",BN$12&lt;&gt;0,$H143&gt;0,OR(AUTOEVENTO&lt;&gt;"manual",$M143&lt;&gt;$A$15)),
        IF(Import.TipoArredondamento&lt;&gt;"TransfereGOV",
              ROUND(OFFSET($P143,0,BN$13),15-13*ORÇAMENTO!$AF$7)/$H143*OFFSET(ORÇAMENTO!$X$15,ROW(BN143)-ROW(BN$15),0),
              ROUND(ROUND(OFFSET($P143,0,BN$13),15-13*ORÇAMENTO!$AF$7)*OFFSET(ORÇAMENTO!$W$15,ROW(BN143)-ROW(BN$15),0),15-13*ORÇAMENTO!$AF$11)),
         0)</f>
        <v>0</v>
      </c>
      <c r="BO143" s="352" t="n">
        <f aca="true">IF(AND($D143="Serviço",BO$12&lt;&gt;0,$H143&gt;0,OR(AUTOEVENTO&lt;&gt;"manual",$M143&lt;&gt;$A$15)),
        IF(Import.TipoArredondamento&lt;&gt;"TransfereGOV",
              ROUND(OFFSET($P143,0,BO$13),15-13*ORÇAMENTO!$AF$7)/$H143*OFFSET(ORÇAMENTO!$X$15,ROW(BO143)-ROW(BO$15),0),
              ROUND(ROUND(OFFSET($P143,0,BO$13),15-13*ORÇAMENTO!$AF$7)*OFFSET(ORÇAMENTO!$W$15,ROW(BO143)-ROW(BO$15),0),15-13*ORÇAMENTO!$AF$11)),
         0)</f>
        <v>0</v>
      </c>
      <c r="BP143" s="352" t="n">
        <f aca="true">IF(AND($D143="Serviço",BP$12&lt;&gt;0,$H143&gt;0,OR(AUTOEVENTO&lt;&gt;"manual",$M143&lt;&gt;$A$15)),
        IF(Import.TipoArredondamento&lt;&gt;"TransfereGOV",
              ROUND(OFFSET($P143,0,BP$13),15-13*ORÇAMENTO!$AF$7)/$H143*OFFSET(ORÇAMENTO!$X$15,ROW(BP143)-ROW(BP$15),0),
              ROUND(ROUND(OFFSET($P143,0,BP$13),15-13*ORÇAMENTO!$AF$7)*OFFSET(ORÇAMENTO!$W$15,ROW(BP143)-ROW(BP$15),0),15-13*ORÇAMENTO!$AF$11)),
         0)</f>
        <v>0</v>
      </c>
      <c r="BQ143" s="352" t="n">
        <f aca="true">IF(AND($D143="Serviço",BQ$12&lt;&gt;0,$H143&gt;0,OR(AUTOEVENTO&lt;&gt;"manual",$M143&lt;&gt;$A$15)),
        IF(Import.TipoArredondamento&lt;&gt;"TransfereGOV",
              ROUND(OFFSET($P143,0,BQ$13),15-13*ORÇAMENTO!$AF$7)/$H143*OFFSET(ORÇAMENTO!$X$15,ROW(BQ143)-ROW(BQ$15),0),
              ROUND(ROUND(OFFSET($P143,0,BQ$13),15-13*ORÇAMENTO!$AF$7)*OFFSET(ORÇAMENTO!$W$15,ROW(BQ143)-ROW(BQ$15),0),15-13*ORÇAMENTO!$AF$11)),
         0)</f>
        <v>0</v>
      </c>
      <c r="BS143" s="353" t="n">
        <f aca="true">IF(OR($D143&lt;&gt;"Serviço",AND(AUTOEVENTO="Manual",$M143=$A$15)),0,
         IF(OFFSET(CRONOPLE!$F$15,$M143-$A$15,BS$13)=0,10^12,OFFSET(CRONOPLE!$F$15,$M143-$A$15,BS$13)))</f>
        <v>0</v>
      </c>
      <c r="BT143" s="353" t="n">
        <f aca="true">IF(OR($D143&lt;&gt;"Serviço",AND(AUTOEVENTO="Manual",$M143=$A$15)),0,
         IF(OFFSET(CRONOPLE!$F$15,$M143-$A$15,BT$13)=0,10^12,OFFSET(CRONOPLE!$F$15,$M143-$A$15,BT$13)))</f>
        <v>0</v>
      </c>
      <c r="BU143" s="353" t="n">
        <f aca="true">IF(OR($D143&lt;&gt;"Serviço",AND(AUTOEVENTO="Manual",$M143=$A$15)),0,
         IF(OFFSET(CRONOPLE!$F$15,$M143-$A$15,BU$13)=0,10^12,OFFSET(CRONOPLE!$F$15,$M143-$A$15,BU$13)))</f>
        <v>0</v>
      </c>
      <c r="BV143" s="353" t="n">
        <f aca="true">IF(OR($D143&lt;&gt;"Serviço",AND(AUTOEVENTO="Manual",$M143=$A$15)),0,
         IF(OFFSET(CRONOPLE!$F$15,$M143-$A$15,BV$13)=0,10^12,OFFSET(CRONOPLE!$F$15,$M143-$A$15,BV$13)))</f>
        <v>0</v>
      </c>
      <c r="BW143" s="353" t="n">
        <f aca="true">IF(OR($D143&lt;&gt;"Serviço",AND(AUTOEVENTO="Manual",$M143=$A$15)),0,
         IF(OFFSET(CRONOPLE!$F$15,$M143-$A$15,BW$13)=0,10^12,OFFSET(CRONOPLE!$F$15,$M143-$A$15,BW$13)))</f>
        <v>0</v>
      </c>
      <c r="BX143" s="353" t="n">
        <f aca="true">IF(OR($D143&lt;&gt;"Serviço",AND(AUTOEVENTO="Manual",$M143=$A$15)),0,
         IF(OFFSET(CRONOPLE!$F$15,$M143-$A$15,BX$13)=0,10^12,OFFSET(CRONOPLE!$F$15,$M143-$A$15,BX$13)))</f>
        <v>0</v>
      </c>
      <c r="BY143" s="353" t="n">
        <f aca="true">IF(OR($D143&lt;&gt;"Serviço",AND(AUTOEVENTO="Manual",$M143=$A$15)),0,
         IF(OFFSET(CRONOPLE!$F$15,$M143-$A$15,BY$13)=0,10^12,OFFSET(CRONOPLE!$F$15,$M143-$A$15,BY$13)))</f>
        <v>0</v>
      </c>
      <c r="BZ143" s="353" t="n">
        <f aca="true">IF(OR($D143&lt;&gt;"Serviço",AND(AUTOEVENTO="Manual",$M143=$A$15)),0,
         IF(OFFSET(CRONOPLE!$F$15,$M143-$A$15,BZ$13)=0,10^12,OFFSET(CRONOPLE!$F$15,$M143-$A$15,BZ$13)))</f>
        <v>0</v>
      </c>
      <c r="CA143" s="353" t="n">
        <f aca="true">IF(OR($D143&lt;&gt;"Serviço",AND(AUTOEVENTO="Manual",$M143=$A$15)),0,
         IF(OFFSET(CRONOPLE!$F$15,$M143-$A$15,CA$13)=0,10^12,OFFSET(CRONOPLE!$F$15,$M143-$A$15,CA$13)))</f>
        <v>0</v>
      </c>
      <c r="CB143" s="353" t="n">
        <f aca="true">IF(OR($D143&lt;&gt;"Serviço",AND(AUTOEVENTO="Manual",$M143=$A$15)),0,
         IF(OFFSET(CRONOPLE!$F$15,$M143-$A$15,CB$13)=0,10^12,OFFSET(CRONOPLE!$F$15,$M143-$A$15,CB$13)))</f>
        <v>0</v>
      </c>
      <c r="CC143" s="353" t="n">
        <f aca="true">IF(OR($D143&lt;&gt;"Serviço",AND(AUTOEVENTO="Manual",$M143=$A$15)),0,
         IF(OFFSET(CRONOPLE!$F$15,$M143-$A$15,CC$13)=0,10^12,OFFSET(CRONOPLE!$F$15,$M143-$A$15,CC$13)))</f>
        <v>0</v>
      </c>
      <c r="CD143" s="353" t="n">
        <f aca="true">IF(OR($D143&lt;&gt;"Serviço",AND(AUTOEVENTO="Manual",$M143=$A$15)),0,
         IF(OFFSET(CRONOPLE!$F$15,$M143-$A$15,CD$13)=0,10^12,OFFSET(CRONOPLE!$F$15,$M143-$A$15,CD$13)))</f>
        <v>0</v>
      </c>
      <c r="CE143" s="353" t="n">
        <f aca="true">IF(OR($D143&lt;&gt;"Serviço",AND(AUTOEVENTO="Manual",$M143=$A$15)),0,
         IF(OFFSET(CRONOPLE!$F$15,$M143-$A$15,CE$13)=0,10^12,OFFSET(CRONOPLE!$F$15,$M143-$A$15,CE$13)))</f>
        <v>0</v>
      </c>
      <c r="CF143" s="353" t="n">
        <f aca="true">IF(OR($D143&lt;&gt;"Serviço",AND(AUTOEVENTO="Manual",$M143=$A$15)),0,
         IF(OFFSET(CRONOPLE!$F$15,$M143-$A$15,CF$13)=0,10^12,OFFSET(CRONOPLE!$F$15,$M143-$A$15,CF$13)))</f>
        <v>0</v>
      </c>
      <c r="CG143" s="353" t="n">
        <f aca="true">IF(OR($D143&lt;&gt;"Serviço",AND(AUTOEVENTO="Manual",$M143=$A$15)),0,
         IF(OFFSET(CRONOPLE!$F$15,$M143-$A$15,CG$13)=0,10^12,OFFSET(CRONOPLE!$F$15,$M143-$A$15,CG$13)))</f>
        <v>0</v>
      </c>
      <c r="CH143" s="353" t="n">
        <f aca="true">IF(OR($D143&lt;&gt;"Serviço",AND(AUTOEVENTO="Manual",$M143=$A$15)),0,
         IF(OFFSET(CRONOPLE!$F$15,$M143-$A$15,CH$13)=0,10^12,OFFSET(CRONOPLE!$F$15,$M143-$A$15,CH$13)))</f>
        <v>0</v>
      </c>
      <c r="CI143" s="353" t="n">
        <f aca="true">IF(OR($D143&lt;&gt;"Serviço",AND(AUTOEVENTO="Manual",$M143=$A$15)),0,
         IF(OFFSET(CRONOPLE!$F$15,$M143-$A$15,CI$13)=0,10^12,OFFSET(CRONOPLE!$F$15,$M143-$A$15,CI$13)))</f>
        <v>0</v>
      </c>
      <c r="CJ143" s="353" t="n">
        <f aca="true">IF(OR($D143&lt;&gt;"Serviço",AND(AUTOEVENTO="Manual",$M143=$A$15)),0,
         IF(OFFSET(CRONOPLE!$F$15,$M143-$A$15,CJ$13)=0,10^12,OFFSET(CRONOPLE!$F$15,$M143-$A$15,CJ$13)))</f>
        <v>0</v>
      </c>
      <c r="CK143" s="353" t="n">
        <f aca="true">IF(OR($D143&lt;&gt;"Serviço",AND(AUTOEVENTO="Manual",$M143=$A$15)),0,
         IF(OFFSET(CRONOPLE!$F$15,$M143-$A$15,CK$13)=0,10^12,OFFSET(CRONOPLE!$F$15,$M143-$A$15,CK$13)))</f>
        <v>0</v>
      </c>
      <c r="CL143" s="353" t="n">
        <f aca="true">IF(OR($D143&lt;&gt;"Serviço",AND(AUTOEVENTO="Manual",$M143=$A$15)),0,
         IF(OFFSET(CRONOPLE!$F$15,$M143-$A$15,CL$13)=0,10^12,OFFSET(CRONOPLE!$F$15,$M143-$A$15,CL$13)))</f>
        <v>0</v>
      </c>
      <c r="CM143" s="353" t="n">
        <f aca="true">IF(OR($D143&lt;&gt;"Serviço",AND(AUTOEVENTO="Manual",$M143=$A$15)),0,
         IF(OFFSET(CRONOPLE!$F$15,$M143-$A$15,CM$13)=0,10^12,OFFSET(CRONOPLE!$F$15,$M143-$A$15,CM$13)))</f>
        <v>0</v>
      </c>
      <c r="CN143" s="353" t="n">
        <f aca="true">IF(OR($D143&lt;&gt;"Serviço",AND(AUTOEVENTO="Manual",$M143=$A$15)),0,
         IF(OFFSET(CRONOPLE!$F$15,$M143-$A$15,CN$13)=0,10^12,OFFSET(CRONOPLE!$F$15,$M143-$A$15,CN$13)))</f>
        <v>0</v>
      </c>
      <c r="CO143" s="353" t="n">
        <f aca="true">IF(OR($D143&lt;&gt;"Serviço",AND(AUTOEVENTO="Manual",$M143=$A$15)),0,
         IF(OFFSET(CRONOPLE!$F$15,$M143-$A$15,CO$13)=0,10^12,OFFSET(CRONOPLE!$F$15,$M143-$A$15,CO$13)))</f>
        <v>0</v>
      </c>
      <c r="CP143" s="353" t="n">
        <f aca="true">IF(OR($D143&lt;&gt;"Serviço",AND(AUTOEVENTO="Manual",$M143=$A$15)),0,
         IF(OFFSET(CRONOPLE!$F$15,$M143-$A$15,CP$13)=0,10^12,OFFSET(CRONOPLE!$F$15,$M143-$A$15,CP$13)))</f>
        <v>0</v>
      </c>
      <c r="CQ143" s="353" t="n">
        <f aca="true">IF(OR($D143&lt;&gt;"Serviço",AND(AUTOEVENTO="Manual",$M143=$A$15)),0,
         IF(OFFSET(CRONOPLE!$F$15,$M143-$A$15,CQ$13)=0,10^12,OFFSET(CRONOPLE!$F$15,$M143-$A$15,CQ$13)))</f>
        <v>0</v>
      </c>
      <c r="CR143" s="353" t="n">
        <f aca="true">IF(OR($D143&lt;&gt;"Serviço",AND(AUTOEVENTO="Manual",$M143=$A$15)),0,
         IF(OFFSET(CRONOPLE!$F$15,$M143-$A$15,CR$13)=0,10^12,OFFSET(CRONOPLE!$F$15,$M143-$A$15,CR$13)))</f>
        <v>0</v>
      </c>
      <c r="CT143" s="354" t="n">
        <f aca="true">IF(OR($D143&lt;&gt;"Serviço",AND(AUTOEVENTO="Manual",$M143=$A$15),$M143&gt;(ROW(PLE.lastrow)-ROW(PLE.firstrow))),0,
           IF(OFFSET(PLE!$G$15,$M143-$A$15,CT$13)="",10^12,OFFSET(PLE!$G$15,$M143-$A$15,CT$13)))</f>
        <v>0</v>
      </c>
      <c r="CU143" s="354" t="n">
        <f aca="true">IF(OR($D143&lt;&gt;"Serviço",AND(AUTOEVENTO="Manual",$M143=$A$15),$M143&gt;(ROW(PLE.lastrow)-ROW(PLE.firstrow))),0,
           IF(OFFSET(PLE!$G$15,$M143-$A$15,CU$13)="",10^12,OFFSET(PLE!$G$15,$M143-$A$15,CU$13)))</f>
        <v>0</v>
      </c>
      <c r="CV143" s="354" t="n">
        <f aca="true">IF(OR($D143&lt;&gt;"Serviço",AND(AUTOEVENTO="Manual",$M143=$A$15),$M143&gt;(ROW(PLE.lastrow)-ROW(PLE.firstrow))),0,
           IF(OFFSET(PLE!$G$15,$M143-$A$15,CV$13)="",10^12,OFFSET(PLE!$G$15,$M143-$A$15,CV$13)))</f>
        <v>0</v>
      </c>
      <c r="CW143" s="354" t="n">
        <f aca="true">IF(OR($D143&lt;&gt;"Serviço",AND(AUTOEVENTO="Manual",$M143=$A$15),$M143&gt;(ROW(PLE.lastrow)-ROW(PLE.firstrow))),0,
           IF(OFFSET(PLE!$G$15,$M143-$A$15,CW$13)="",10^12,OFFSET(PLE!$G$15,$M143-$A$15,CW$13)))</f>
        <v>0</v>
      </c>
      <c r="CX143" s="354" t="n">
        <f aca="true">IF(OR($D143&lt;&gt;"Serviço",AND(AUTOEVENTO="Manual",$M143=$A$15),$M143&gt;(ROW(PLE.lastrow)-ROW(PLE.firstrow))),0,
           IF(OFFSET(PLE!$G$15,$M143-$A$15,CX$13)="",10^12,OFFSET(PLE!$G$15,$M143-$A$15,CX$13)))</f>
        <v>0</v>
      </c>
      <c r="CY143" s="354" t="n">
        <f aca="true">IF(OR($D143&lt;&gt;"Serviço",AND(AUTOEVENTO="Manual",$M143=$A$15),$M143&gt;(ROW(PLE.lastrow)-ROW(PLE.firstrow))),0,
           IF(OFFSET(PLE!$G$15,$M143-$A$15,CY$13)="",10^12,OFFSET(PLE!$G$15,$M143-$A$15,CY$13)))</f>
        <v>0</v>
      </c>
      <c r="CZ143" s="354" t="n">
        <f aca="true">IF(OR($D143&lt;&gt;"Serviço",AND(AUTOEVENTO="Manual",$M143=$A$15),$M143&gt;(ROW(PLE.lastrow)-ROW(PLE.firstrow))),0,
           IF(OFFSET(PLE!$G$15,$M143-$A$15,CZ$13)="",10^12,OFFSET(PLE!$G$15,$M143-$A$15,CZ$13)))</f>
        <v>0</v>
      </c>
      <c r="DA143" s="354" t="n">
        <f aca="true">IF(OR($D143&lt;&gt;"Serviço",AND(AUTOEVENTO="Manual",$M143=$A$15),$M143&gt;(ROW(PLE.lastrow)-ROW(PLE.firstrow))),0,
           IF(OFFSET(PLE!$G$15,$M143-$A$15,DA$13)="",10^12,OFFSET(PLE!$G$15,$M143-$A$15,DA$13)))</f>
        <v>0</v>
      </c>
      <c r="DB143" s="354" t="n">
        <f aca="true">IF(OR($D143&lt;&gt;"Serviço",AND(AUTOEVENTO="Manual",$M143=$A$15),$M143&gt;(ROW(PLE.lastrow)-ROW(PLE.firstrow))),0,
           IF(OFFSET(PLE!$G$15,$M143-$A$15,DB$13)="",10^12,OFFSET(PLE!$G$15,$M143-$A$15,DB$13)))</f>
        <v>0</v>
      </c>
      <c r="DC143" s="354" t="n">
        <f aca="true">IF(OR($D143&lt;&gt;"Serviço",AND(AUTOEVENTO="Manual",$M143=$A$15),$M143&gt;(ROW(PLE.lastrow)-ROW(PLE.firstrow))),0,
           IF(OFFSET(PLE!$G$15,$M143-$A$15,DC$13)="",10^12,OFFSET(PLE!$G$15,$M143-$A$15,DC$13)))</f>
        <v>0</v>
      </c>
      <c r="DD143" s="354" t="n">
        <f aca="true">IF(OR($D143&lt;&gt;"Serviço",AND(AUTOEVENTO="Manual",$M143=$A$15),$M143&gt;(ROW(PLE.lastrow)-ROW(PLE.firstrow))),0,
           IF(OFFSET(PLE!$G$15,$M143-$A$15,DD$13)="",10^12,OFFSET(PLE!$G$15,$M143-$A$15,DD$13)))</f>
        <v>0</v>
      </c>
      <c r="DE143" s="354" t="n">
        <f aca="true">IF(OR($D143&lt;&gt;"Serviço",AND(AUTOEVENTO="Manual",$M143=$A$15),$M143&gt;(ROW(PLE.lastrow)-ROW(PLE.firstrow))),0,
           IF(OFFSET(PLE!$G$15,$M143-$A$15,DE$13)="",10^12,OFFSET(PLE!$G$15,$M143-$A$15,DE$13)))</f>
        <v>0</v>
      </c>
      <c r="DF143" s="354" t="n">
        <f aca="true">IF(OR($D143&lt;&gt;"Serviço",AND(AUTOEVENTO="Manual",$M143=$A$15),$M143&gt;(ROW(PLE.lastrow)-ROW(PLE.firstrow))),0,
           IF(OFFSET(PLE!$G$15,$M143-$A$15,DF$13)="",10^12,OFFSET(PLE!$G$15,$M143-$A$15,DF$13)))</f>
        <v>0</v>
      </c>
      <c r="DG143" s="354" t="n">
        <f aca="true">IF(OR($D143&lt;&gt;"Serviço",AND(AUTOEVENTO="Manual",$M143=$A$15),$M143&gt;(ROW(PLE.lastrow)-ROW(PLE.firstrow))),0,
           IF(OFFSET(PLE!$G$15,$M143-$A$15,DG$13)="",10^12,OFFSET(PLE!$G$15,$M143-$A$15,DG$13)))</f>
        <v>0</v>
      </c>
      <c r="DH143" s="354" t="n">
        <f aca="true">IF(OR($D143&lt;&gt;"Serviço",AND(AUTOEVENTO="Manual",$M143=$A$15),$M143&gt;(ROW(PLE.lastrow)-ROW(PLE.firstrow))),0,
           IF(OFFSET(PLE!$G$15,$M143-$A$15,DH$13)="",10^12,OFFSET(PLE!$G$15,$M143-$A$15,DH$13)))</f>
        <v>0</v>
      </c>
      <c r="DI143" s="354" t="n">
        <f aca="true">IF(OR($D143&lt;&gt;"Serviço",AND(AUTOEVENTO="Manual",$M143=$A$15),$M143&gt;(ROW(PLE.lastrow)-ROW(PLE.firstrow))),0,
           IF(OFFSET(PLE!$G$15,$M143-$A$15,DI$13)="",10^12,OFFSET(PLE!$G$15,$M143-$A$15,DI$13)))</f>
        <v>0</v>
      </c>
      <c r="DJ143" s="354" t="n">
        <f aca="true">IF(OR($D143&lt;&gt;"Serviço",AND(AUTOEVENTO="Manual",$M143=$A$15),$M143&gt;(ROW(PLE.lastrow)-ROW(PLE.firstrow))),0,
           IF(OFFSET(PLE!$G$15,$M143-$A$15,DJ$13)="",10^12,OFFSET(PLE!$G$15,$M143-$A$15,DJ$13)))</f>
        <v>0</v>
      </c>
      <c r="DK143" s="354" t="n">
        <f aca="true">IF(OR($D143&lt;&gt;"Serviço",AND(AUTOEVENTO="Manual",$M143=$A$15),$M143&gt;(ROW(PLE.lastrow)-ROW(PLE.firstrow))),0,
           IF(OFFSET(PLE!$G$15,$M143-$A$15,DK$13)="",10^12,OFFSET(PLE!$G$15,$M143-$A$15,DK$13)))</f>
        <v>0</v>
      </c>
      <c r="DL143" s="354" t="n">
        <f aca="true">IF(OR($D143&lt;&gt;"Serviço",AND(AUTOEVENTO="Manual",$M143=$A$15),$M143&gt;(ROW(PLE.lastrow)-ROW(PLE.firstrow))),0,
           IF(OFFSET(PLE!$G$15,$M143-$A$15,DL$13)="",10^12,OFFSET(PLE!$G$15,$M143-$A$15,DL$13)))</f>
        <v>0</v>
      </c>
      <c r="DM143" s="354" t="n">
        <f aca="true">IF(OR($D143&lt;&gt;"Serviço",AND(AUTOEVENTO="Manual",$M143=$A$15),$M143&gt;(ROW(PLE.lastrow)-ROW(PLE.firstrow))),0,
           IF(OFFSET(PLE!$G$15,$M143-$A$15,DM$13)="",10^12,OFFSET(PLE!$G$15,$M143-$A$15,DM$13)))</f>
        <v>0</v>
      </c>
      <c r="DN143" s="354" t="n">
        <f aca="true">IF(OR($D143&lt;&gt;"Serviço",AND(AUTOEVENTO="Manual",$M143=$A$15),$M143&gt;(ROW(PLE.lastrow)-ROW(PLE.firstrow))),0,
           IF(OFFSET(PLE!$G$15,$M143-$A$15,DN$13)="",10^12,OFFSET(PLE!$G$15,$M143-$A$15,DN$13)))</f>
        <v>0</v>
      </c>
      <c r="DO143" s="354" t="n">
        <f aca="true">IF(OR($D143&lt;&gt;"Serviço",AND(AUTOEVENTO="Manual",$M143=$A$15),$M143&gt;(ROW(PLE.lastrow)-ROW(PLE.firstrow))),0,
           IF(OFFSET(PLE!$G$15,$M143-$A$15,DO$13)="",10^12,OFFSET(PLE!$G$15,$M143-$A$15,DO$13)))</f>
        <v>0</v>
      </c>
      <c r="DP143" s="354" t="n">
        <f aca="true">IF(OR($D143&lt;&gt;"Serviço",AND(AUTOEVENTO="Manual",$M143=$A$15),$M143&gt;(ROW(PLE.lastrow)-ROW(PLE.firstrow))),0,
           IF(OFFSET(PLE!$G$15,$M143-$A$15,DP$13)="",10^12,OFFSET(PLE!$G$15,$M143-$A$15,DP$13)))</f>
        <v>0</v>
      </c>
      <c r="DQ143" s="354" t="n">
        <f aca="true">IF(OR($D143&lt;&gt;"Serviço",AND(AUTOEVENTO="Manual",$M143=$A$15),$M143&gt;(ROW(PLE.lastrow)-ROW(PLE.firstrow))),0,
           IF(OFFSET(PLE!$G$15,$M143-$A$15,DQ$13)="",10^12,OFFSET(PLE!$G$15,$M143-$A$15,DQ$13)))</f>
        <v>0</v>
      </c>
      <c r="DR143" s="354" t="n">
        <f aca="true">IF(OR($D143&lt;&gt;"Serviço",AND(AUTOEVENTO="Manual",$M143=$A$15),$M143&gt;(ROW(PLE.lastrow)-ROW(PLE.firstrow))),0,
           IF(OFFSET(PLE!$G$15,$M143-$A$15,DR$13)="",10^12,OFFSET(PLE!$G$15,$M143-$A$15,DR$13)))</f>
        <v>0</v>
      </c>
      <c r="DS143" s="354" t="n">
        <f aca="true">IF(OR($D143&lt;&gt;"Serviço",AND(AUTOEVENTO="Manual",$M143=$A$15),$M143&gt;(ROW(PLE.lastrow)-ROW(PLE.firstrow))),0,
           IF(OFFSET(PLE!$G$15,$M143-$A$15,DS$13)="",10^12,OFFSET(PLE!$G$15,$M143-$A$15,DS$13)))</f>
        <v>0</v>
      </c>
    </row>
    <row r="144" customFormat="false" ht="35.05" hidden="false" customHeight="false" outlineLevel="0" collapsed="false">
      <c r="A144" s="50" t="str">
        <f aca="true">IFERROR(IF(AUTOEVENTO="Manual",IF(K144&lt;&gt;"",MIN(VALUE(LEFT(K144,FIND(".",K144)-1)),COUNTA(EVENTOS.Lista)),0),IF(OR($B144&gt;AUTOEVENTO,$B144="S",$B144=0),SUBSTITUTE(OFFSET($A144,-1,0),IF($D144="Serviço",".",""),""),ROW(A144)-ROW($A$15)&amp;".")),0)</f>
        <v>128</v>
      </c>
      <c r="B144" s="50" t="str">
        <f aca="true">OFFSET(ORÇAMENTO!C$15,ROW(B144)-ROW(B$15),0)</f>
        <v>S</v>
      </c>
      <c r="C144" s="50" t="str">
        <f aca="true">OFFSET(ORÇAMENTO!L$15,ROW(C144)-ROW(C$15),0)</f>
        <v>F</v>
      </c>
      <c r="D144" s="201" t="str">
        <f aca="true">OFFSET(ORÇAMENTO!N$15,ROW(D144)-ROW(D$15),0)</f>
        <v>Serviço</v>
      </c>
      <c r="E144" s="202" t="str">
        <f aca="true">OFFSET(ORÇAMENTO!O$15,ROW(E144)-ROW(E$15),0)</f>
        <v>1.41.1.</v>
      </c>
      <c r="F144" s="341" t="str">
        <f aca="true">OFFSET(ORÇAMENTO!R$15,ROW(F144)-ROW(F$15),0)</f>
        <v>REGISTRO DE PRESSÃO BRUTO, LATÃO, ROSCÁVEL, 3/4", COM ACABAMENTO E CANOPLA CROMADOS - FORNECIMENTO E INSTALAÇÃO. AF_08/2021</v>
      </c>
      <c r="G144" s="342" t="str">
        <f aca="true">IF($D144&lt;&gt;"Serviço","",OFFSET(ORÇAMENTO!S$15,ROW(G144)-ROW(G$15),0))</f>
        <v>UN</v>
      </c>
      <c r="H144" s="207" t="n">
        <f aca="true">IF($D144&lt;&gt;"Serviço",0,IF(ACOMPANHAMENTO="BM",ROUND(OFFSET(ORÇAMENTO!AJ$15,ROW(H144)-ROW(H$15),0),15-13*ORÇAMENTO!$AF$7),SUMPRODUCT(($Q$1:$AQ$1=1)*ROUND($Q144:$AQ144,15-13*ORÇAMENTO!$AF$7))))</f>
        <v>25</v>
      </c>
      <c r="I144" s="343" t="s">
        <v>969</v>
      </c>
      <c r="J144" s="344" t="e">
        <f aca="false">IF(OR(B144&lt;&gt;"S",CÁLCULO.FrentesPreenchidas=0),"",IF(AND(ACOMPANHAMENTO="PLE",AUTOEVENTO="Manual",OR(H144&gt;0,ORÇAMENTO!AC144="QUANT."),OR(K144="",M144=0,N144="")),"►",IF(AND(ACOMPANHAMENTO="PLE",ORÇAMENTO!AC144="QUANT."),"►►",IF(AND(COUNTIF($P$11:$AQ$11,"▼")=0,H144&gt;0,I144=""),"◄",""))))</f>
        <v>#NAME?</v>
      </c>
      <c r="K144" s="345"/>
      <c r="L144" s="346" t="s">
        <v>876</v>
      </c>
      <c r="M144" s="347" t="n">
        <f aca="true">IF($D144&lt;&gt;"Serviço","",
          IF(AUTOEVENTO="manual",$A144,
                IF(ISERROR(MATCH($A144,$A$15:OFFSET($A144,-1,0),0)),MAX($M$15:OFFSET(M144,-1,0))+1,
                      INDEX($M$15:OFFSET(M144,-1,0),MATCH($A144,$A$15:OFFSET($A144,-1,0),0)))))</f>
        <v>25</v>
      </c>
      <c r="N144" s="348" t="str">
        <f aca="true">IF($D144&lt;&gt;"Serviço","",
         IF(AUTOEVENTO="Manual",
                IF($A144=0,"&lt;-- defina o número do agrupador",
                       OFFSET(EVENTOS!$D$15,$A144-$A$15,0)),
                OFFSET($F$15,$A144,0)))</f>
        <v>REGISTROS </v>
      </c>
      <c r="O144" s="349"/>
      <c r="Q144" s="349" t="n">
        <v>1</v>
      </c>
      <c r="R144" s="350" t="n">
        <f aca="false">Q144</f>
        <v>1</v>
      </c>
      <c r="S144" s="350" t="n">
        <f aca="false">R144</f>
        <v>1</v>
      </c>
      <c r="T144" s="350" t="n">
        <f aca="false">S144</f>
        <v>1</v>
      </c>
      <c r="U144" s="350" t="n">
        <f aca="false">T144</f>
        <v>1</v>
      </c>
      <c r="V144" s="350" t="n">
        <f aca="false">U144</f>
        <v>1</v>
      </c>
      <c r="W144" s="350" t="n">
        <f aca="false">V144</f>
        <v>1</v>
      </c>
      <c r="X144" s="350" t="n">
        <f aca="false">W144</f>
        <v>1</v>
      </c>
      <c r="Y144" s="350" t="n">
        <f aca="false">X144</f>
        <v>1</v>
      </c>
      <c r="Z144" s="351" t="n">
        <f aca="false">Y144</f>
        <v>1</v>
      </c>
      <c r="AA144" s="350" t="n">
        <f aca="false">Z144</f>
        <v>1</v>
      </c>
      <c r="AB144" s="350" t="n">
        <f aca="false">AA144</f>
        <v>1</v>
      </c>
      <c r="AC144" s="350" t="n">
        <f aca="false">AB144</f>
        <v>1</v>
      </c>
      <c r="AD144" s="350" t="n">
        <f aca="false">AC144</f>
        <v>1</v>
      </c>
      <c r="AE144" s="350" t="n">
        <f aca="false">AD144</f>
        <v>1</v>
      </c>
      <c r="AF144" s="350" t="n">
        <f aca="false">AE144</f>
        <v>1</v>
      </c>
      <c r="AG144" s="350" t="n">
        <f aca="false">AF144</f>
        <v>1</v>
      </c>
      <c r="AH144" s="351" t="n">
        <f aca="false">AG144</f>
        <v>1</v>
      </c>
      <c r="AI144" s="350" t="n">
        <f aca="false">AH144</f>
        <v>1</v>
      </c>
      <c r="AJ144" s="350" t="n">
        <f aca="false">AI144</f>
        <v>1</v>
      </c>
      <c r="AK144" s="350" t="n">
        <f aca="false">AJ144</f>
        <v>1</v>
      </c>
      <c r="AL144" s="350" t="n">
        <f aca="false">AK144</f>
        <v>1</v>
      </c>
      <c r="AM144" s="350" t="n">
        <f aca="false">AL144</f>
        <v>1</v>
      </c>
      <c r="AN144" s="350" t="n">
        <f aca="false">AM144</f>
        <v>1</v>
      </c>
      <c r="AO144" s="350" t="n">
        <f aca="false">AN144</f>
        <v>1</v>
      </c>
      <c r="AP144" s="351"/>
      <c r="AR144" s="352" t="n">
        <f aca="true">IF(AND($D144="Serviço",AR$12&lt;&gt;0,$H144&gt;0,OR(AUTOEVENTO&lt;&gt;"manual",$M144&lt;&gt;$A$15)),
        IF(Import.TipoArredondamento&lt;&gt;"TransfereGOV",
              ROUND(OFFSET($P144,0,AR$13),15-13*ORÇAMENTO!$AF$7)/$H144*OFFSET(ORÇAMENTO!$X$15,ROW(AR144)-ROW(AR$15),0),
              ROUND(ROUND(OFFSET($P144,0,AR$13),15-13*ORÇAMENTO!$AF$7)*OFFSET(ORÇAMENTO!$W$15,ROW(AR144)-ROW(AR$15),0),15-13*ORÇAMENTO!$AF$11)),
         0)</f>
        <v>181.92</v>
      </c>
      <c r="AS144" s="352" t="n">
        <f aca="true">IF(AND($D144="Serviço",AS$12&lt;&gt;0,$H144&gt;0,OR(AUTOEVENTO&lt;&gt;"manual",$M144&lt;&gt;$A$15)),
        IF(Import.TipoArredondamento&lt;&gt;"TransfereGOV",
              ROUND(OFFSET($P144,0,AS$13),15-13*ORÇAMENTO!$AF$7)/$H144*OFFSET(ORÇAMENTO!$X$15,ROW(AS144)-ROW(AS$15),0),
              ROUND(ROUND(OFFSET($P144,0,AS$13),15-13*ORÇAMENTO!$AF$7)*OFFSET(ORÇAMENTO!$W$15,ROW(AS144)-ROW(AS$15),0),15-13*ORÇAMENTO!$AF$11)),
         0)</f>
        <v>181.92</v>
      </c>
      <c r="AT144" s="352" t="n">
        <f aca="true">IF(AND($D144="Serviço",AT$12&lt;&gt;0,$H144&gt;0,OR(AUTOEVENTO&lt;&gt;"manual",$M144&lt;&gt;$A$15)),
        IF(Import.TipoArredondamento&lt;&gt;"TransfereGOV",
              ROUND(OFFSET($P144,0,AT$13),15-13*ORÇAMENTO!$AF$7)/$H144*OFFSET(ORÇAMENTO!$X$15,ROW(AT144)-ROW(AT$15),0),
              ROUND(ROUND(OFFSET($P144,0,AT$13),15-13*ORÇAMENTO!$AF$7)*OFFSET(ORÇAMENTO!$W$15,ROW(AT144)-ROW(AT$15),0),15-13*ORÇAMENTO!$AF$11)),
         0)</f>
        <v>181.92</v>
      </c>
      <c r="AU144" s="352" t="n">
        <f aca="true">IF(AND($D144="Serviço",AU$12&lt;&gt;0,$H144&gt;0,OR(AUTOEVENTO&lt;&gt;"manual",$M144&lt;&gt;$A$15)),
        IF(Import.TipoArredondamento&lt;&gt;"TransfereGOV",
              ROUND(OFFSET($P144,0,AU$13),15-13*ORÇAMENTO!$AF$7)/$H144*OFFSET(ORÇAMENTO!$X$15,ROW(AU144)-ROW(AU$15),0),
              ROUND(ROUND(OFFSET($P144,0,AU$13),15-13*ORÇAMENTO!$AF$7)*OFFSET(ORÇAMENTO!$W$15,ROW(AU144)-ROW(AU$15),0),15-13*ORÇAMENTO!$AF$11)),
         0)</f>
        <v>181.92</v>
      </c>
      <c r="AV144" s="352" t="n">
        <f aca="true">IF(AND($D144="Serviço",AV$12&lt;&gt;0,$H144&gt;0,OR(AUTOEVENTO&lt;&gt;"manual",$M144&lt;&gt;$A$15)),
        IF(Import.TipoArredondamento&lt;&gt;"TransfereGOV",
              ROUND(OFFSET($P144,0,AV$13),15-13*ORÇAMENTO!$AF$7)/$H144*OFFSET(ORÇAMENTO!$X$15,ROW(AV144)-ROW(AV$15),0),
              ROUND(ROUND(OFFSET($P144,0,AV$13),15-13*ORÇAMENTO!$AF$7)*OFFSET(ORÇAMENTO!$W$15,ROW(AV144)-ROW(AV$15),0),15-13*ORÇAMENTO!$AF$11)),
         0)</f>
        <v>181.92</v>
      </c>
      <c r="AW144" s="352" t="n">
        <f aca="true">IF(AND($D144="Serviço",AW$12&lt;&gt;0,$H144&gt;0,OR(AUTOEVENTO&lt;&gt;"manual",$M144&lt;&gt;$A$15)),
        IF(Import.TipoArredondamento&lt;&gt;"TransfereGOV",
              ROUND(OFFSET($P144,0,AW$13),15-13*ORÇAMENTO!$AF$7)/$H144*OFFSET(ORÇAMENTO!$X$15,ROW(AW144)-ROW(AW$15),0),
              ROUND(ROUND(OFFSET($P144,0,AW$13),15-13*ORÇAMENTO!$AF$7)*OFFSET(ORÇAMENTO!$W$15,ROW(AW144)-ROW(AW$15),0),15-13*ORÇAMENTO!$AF$11)),
         0)</f>
        <v>181.92</v>
      </c>
      <c r="AX144" s="352" t="n">
        <f aca="true">IF(AND($D144="Serviço",AX$12&lt;&gt;0,$H144&gt;0,OR(AUTOEVENTO&lt;&gt;"manual",$M144&lt;&gt;$A$15)),
        IF(Import.TipoArredondamento&lt;&gt;"TransfereGOV",
              ROUND(OFFSET($P144,0,AX$13),15-13*ORÇAMENTO!$AF$7)/$H144*OFFSET(ORÇAMENTO!$X$15,ROW(AX144)-ROW(AX$15),0),
              ROUND(ROUND(OFFSET($P144,0,AX$13),15-13*ORÇAMENTO!$AF$7)*OFFSET(ORÇAMENTO!$W$15,ROW(AX144)-ROW(AX$15),0),15-13*ORÇAMENTO!$AF$11)),
         0)</f>
        <v>181.92</v>
      </c>
      <c r="AY144" s="352" t="n">
        <f aca="true">IF(AND($D144="Serviço",AY$12&lt;&gt;0,$H144&gt;0,OR(AUTOEVENTO&lt;&gt;"manual",$M144&lt;&gt;$A$15)),
        IF(Import.TipoArredondamento&lt;&gt;"TransfereGOV",
              ROUND(OFFSET($P144,0,AY$13),15-13*ORÇAMENTO!$AF$7)/$H144*OFFSET(ORÇAMENTO!$X$15,ROW(AY144)-ROW(AY$15),0),
              ROUND(ROUND(OFFSET($P144,0,AY$13),15-13*ORÇAMENTO!$AF$7)*OFFSET(ORÇAMENTO!$W$15,ROW(AY144)-ROW(AY$15),0),15-13*ORÇAMENTO!$AF$11)),
         0)</f>
        <v>181.92</v>
      </c>
      <c r="AZ144" s="352" t="n">
        <f aca="true">IF(AND($D144="Serviço",AZ$12&lt;&gt;0,$H144&gt;0,OR(AUTOEVENTO&lt;&gt;"manual",$M144&lt;&gt;$A$15)),
        IF(Import.TipoArredondamento&lt;&gt;"TransfereGOV",
              ROUND(OFFSET($P144,0,AZ$13),15-13*ORÇAMENTO!$AF$7)/$H144*OFFSET(ORÇAMENTO!$X$15,ROW(AZ144)-ROW(AZ$15),0),
              ROUND(ROUND(OFFSET($P144,0,AZ$13),15-13*ORÇAMENTO!$AF$7)*OFFSET(ORÇAMENTO!$W$15,ROW(AZ144)-ROW(AZ$15),0),15-13*ORÇAMENTO!$AF$11)),
         0)</f>
        <v>181.92</v>
      </c>
      <c r="BA144" s="352" t="n">
        <f aca="true">IF(AND($D144="Serviço",BA$12&lt;&gt;0,$H144&gt;0,OR(AUTOEVENTO&lt;&gt;"manual",$M144&lt;&gt;$A$15)),
        IF(Import.TipoArredondamento&lt;&gt;"TransfereGOV",
              ROUND(OFFSET($P144,0,BA$13),15-13*ORÇAMENTO!$AF$7)/$H144*OFFSET(ORÇAMENTO!$X$15,ROW(BA144)-ROW(BA$15),0),
              ROUND(ROUND(OFFSET($P144,0,BA$13),15-13*ORÇAMENTO!$AF$7)*OFFSET(ORÇAMENTO!$W$15,ROW(BA144)-ROW(BA$15),0),15-13*ORÇAMENTO!$AF$11)),
         0)</f>
        <v>181.92</v>
      </c>
      <c r="BB144" s="352" t="n">
        <f aca="true">IF(AND($D144="Serviço",BB$12&lt;&gt;0,$H144&gt;0,OR(AUTOEVENTO&lt;&gt;"manual",$M144&lt;&gt;$A$15)),
        IF(Import.TipoArredondamento&lt;&gt;"TransfereGOV",
              ROUND(OFFSET($P144,0,BB$13),15-13*ORÇAMENTO!$AF$7)/$H144*OFFSET(ORÇAMENTO!$X$15,ROW(BB144)-ROW(BB$15),0),
              ROUND(ROUND(OFFSET($P144,0,BB$13),15-13*ORÇAMENTO!$AF$7)*OFFSET(ORÇAMENTO!$W$15,ROW(BB144)-ROW(BB$15),0),15-13*ORÇAMENTO!$AF$11)),
         0)</f>
        <v>181.92</v>
      </c>
      <c r="BC144" s="352" t="n">
        <f aca="true">IF(AND($D144="Serviço",BC$12&lt;&gt;0,$H144&gt;0,OR(AUTOEVENTO&lt;&gt;"manual",$M144&lt;&gt;$A$15)),
        IF(Import.TipoArredondamento&lt;&gt;"TransfereGOV",
              ROUND(OFFSET($P144,0,BC$13),15-13*ORÇAMENTO!$AF$7)/$H144*OFFSET(ORÇAMENTO!$X$15,ROW(BC144)-ROW(BC$15),0),
              ROUND(ROUND(OFFSET($P144,0,BC$13),15-13*ORÇAMENTO!$AF$7)*OFFSET(ORÇAMENTO!$W$15,ROW(BC144)-ROW(BC$15),0),15-13*ORÇAMENTO!$AF$11)),
         0)</f>
        <v>181.92</v>
      </c>
      <c r="BD144" s="352" t="n">
        <f aca="true">IF(AND($D144="Serviço",BD$12&lt;&gt;0,$H144&gt;0,OR(AUTOEVENTO&lt;&gt;"manual",$M144&lt;&gt;$A$15)),
        IF(Import.TipoArredondamento&lt;&gt;"TransfereGOV",
              ROUND(OFFSET($P144,0,BD$13),15-13*ORÇAMENTO!$AF$7)/$H144*OFFSET(ORÇAMENTO!$X$15,ROW(BD144)-ROW(BD$15),0),
              ROUND(ROUND(OFFSET($P144,0,BD$13),15-13*ORÇAMENTO!$AF$7)*OFFSET(ORÇAMENTO!$W$15,ROW(BD144)-ROW(BD$15),0),15-13*ORÇAMENTO!$AF$11)),
         0)</f>
        <v>181.92</v>
      </c>
      <c r="BE144" s="352" t="n">
        <f aca="true">IF(AND($D144="Serviço",BE$12&lt;&gt;0,$H144&gt;0,OR(AUTOEVENTO&lt;&gt;"manual",$M144&lt;&gt;$A$15)),
        IF(Import.TipoArredondamento&lt;&gt;"TransfereGOV",
              ROUND(OFFSET($P144,0,BE$13),15-13*ORÇAMENTO!$AF$7)/$H144*OFFSET(ORÇAMENTO!$X$15,ROW(BE144)-ROW(BE$15),0),
              ROUND(ROUND(OFFSET($P144,0,BE$13),15-13*ORÇAMENTO!$AF$7)*OFFSET(ORÇAMENTO!$W$15,ROW(BE144)-ROW(BE$15),0),15-13*ORÇAMENTO!$AF$11)),
         0)</f>
        <v>181.92</v>
      </c>
      <c r="BF144" s="352" t="n">
        <f aca="true">IF(AND($D144="Serviço",BF$12&lt;&gt;0,$H144&gt;0,OR(AUTOEVENTO&lt;&gt;"manual",$M144&lt;&gt;$A$15)),
        IF(Import.TipoArredondamento&lt;&gt;"TransfereGOV",
              ROUND(OFFSET($P144,0,BF$13),15-13*ORÇAMENTO!$AF$7)/$H144*OFFSET(ORÇAMENTO!$X$15,ROW(BF144)-ROW(BF$15),0),
              ROUND(ROUND(OFFSET($P144,0,BF$13),15-13*ORÇAMENTO!$AF$7)*OFFSET(ORÇAMENTO!$W$15,ROW(BF144)-ROW(BF$15),0),15-13*ORÇAMENTO!$AF$11)),
         0)</f>
        <v>181.92</v>
      </c>
      <c r="BG144" s="352" t="n">
        <f aca="true">IF(AND($D144="Serviço",BG$12&lt;&gt;0,$H144&gt;0,OR(AUTOEVENTO&lt;&gt;"manual",$M144&lt;&gt;$A$15)),
        IF(Import.TipoArredondamento&lt;&gt;"TransfereGOV",
              ROUND(OFFSET($P144,0,BG$13),15-13*ORÇAMENTO!$AF$7)/$H144*OFFSET(ORÇAMENTO!$X$15,ROW(BG144)-ROW(BG$15),0),
              ROUND(ROUND(OFFSET($P144,0,BG$13),15-13*ORÇAMENTO!$AF$7)*OFFSET(ORÇAMENTO!$W$15,ROW(BG144)-ROW(BG$15),0),15-13*ORÇAMENTO!$AF$11)),
         0)</f>
        <v>181.92</v>
      </c>
      <c r="BH144" s="352" t="n">
        <f aca="true">IF(AND($D144="Serviço",BH$12&lt;&gt;0,$H144&gt;0,OR(AUTOEVENTO&lt;&gt;"manual",$M144&lt;&gt;$A$15)),
        IF(Import.TipoArredondamento&lt;&gt;"TransfereGOV",
              ROUND(OFFSET($P144,0,BH$13),15-13*ORÇAMENTO!$AF$7)/$H144*OFFSET(ORÇAMENTO!$X$15,ROW(BH144)-ROW(BH$15),0),
              ROUND(ROUND(OFFSET($P144,0,BH$13),15-13*ORÇAMENTO!$AF$7)*OFFSET(ORÇAMENTO!$W$15,ROW(BH144)-ROW(BH$15),0),15-13*ORÇAMENTO!$AF$11)),
         0)</f>
        <v>181.92</v>
      </c>
      <c r="BI144" s="352" t="n">
        <f aca="true">IF(AND($D144="Serviço",BI$12&lt;&gt;0,$H144&gt;0,OR(AUTOEVENTO&lt;&gt;"manual",$M144&lt;&gt;$A$15)),
        IF(Import.TipoArredondamento&lt;&gt;"TransfereGOV",
              ROUND(OFFSET($P144,0,BI$13),15-13*ORÇAMENTO!$AF$7)/$H144*OFFSET(ORÇAMENTO!$X$15,ROW(BI144)-ROW(BI$15),0),
              ROUND(ROUND(OFFSET($P144,0,BI$13),15-13*ORÇAMENTO!$AF$7)*OFFSET(ORÇAMENTO!$W$15,ROW(BI144)-ROW(BI$15),0),15-13*ORÇAMENTO!$AF$11)),
         0)</f>
        <v>181.92</v>
      </c>
      <c r="BJ144" s="352" t="n">
        <f aca="true">IF(AND($D144="Serviço",BJ$12&lt;&gt;0,$H144&gt;0,OR(AUTOEVENTO&lt;&gt;"manual",$M144&lt;&gt;$A$15)),
        IF(Import.TipoArredondamento&lt;&gt;"TransfereGOV",
              ROUND(OFFSET($P144,0,BJ$13),15-13*ORÇAMENTO!$AF$7)/$H144*OFFSET(ORÇAMENTO!$X$15,ROW(BJ144)-ROW(BJ$15),0),
              ROUND(ROUND(OFFSET($P144,0,BJ$13),15-13*ORÇAMENTO!$AF$7)*OFFSET(ORÇAMENTO!$W$15,ROW(BJ144)-ROW(BJ$15),0),15-13*ORÇAMENTO!$AF$11)),
         0)</f>
        <v>181.92</v>
      </c>
      <c r="BK144" s="352" t="n">
        <f aca="true">IF(AND($D144="Serviço",BK$12&lt;&gt;0,$H144&gt;0,OR(AUTOEVENTO&lt;&gt;"manual",$M144&lt;&gt;$A$15)),
        IF(Import.TipoArredondamento&lt;&gt;"TransfereGOV",
              ROUND(OFFSET($P144,0,BK$13),15-13*ORÇAMENTO!$AF$7)/$H144*OFFSET(ORÇAMENTO!$X$15,ROW(BK144)-ROW(BK$15),0),
              ROUND(ROUND(OFFSET($P144,0,BK$13),15-13*ORÇAMENTO!$AF$7)*OFFSET(ORÇAMENTO!$W$15,ROW(BK144)-ROW(BK$15),0),15-13*ORÇAMENTO!$AF$11)),
         0)</f>
        <v>181.92</v>
      </c>
      <c r="BL144" s="352" t="n">
        <f aca="true">IF(AND($D144="Serviço",BL$12&lt;&gt;0,$H144&gt;0,OR(AUTOEVENTO&lt;&gt;"manual",$M144&lt;&gt;$A$15)),
        IF(Import.TipoArredondamento&lt;&gt;"TransfereGOV",
              ROUND(OFFSET($P144,0,BL$13),15-13*ORÇAMENTO!$AF$7)/$H144*OFFSET(ORÇAMENTO!$X$15,ROW(BL144)-ROW(BL$15),0),
              ROUND(ROUND(OFFSET($P144,0,BL$13),15-13*ORÇAMENTO!$AF$7)*OFFSET(ORÇAMENTO!$W$15,ROW(BL144)-ROW(BL$15),0),15-13*ORÇAMENTO!$AF$11)),
         0)</f>
        <v>181.92</v>
      </c>
      <c r="BM144" s="352" t="n">
        <f aca="true">IF(AND($D144="Serviço",BM$12&lt;&gt;0,$H144&gt;0,OR(AUTOEVENTO&lt;&gt;"manual",$M144&lt;&gt;$A$15)),
        IF(Import.TipoArredondamento&lt;&gt;"TransfereGOV",
              ROUND(OFFSET($P144,0,BM$13),15-13*ORÇAMENTO!$AF$7)/$H144*OFFSET(ORÇAMENTO!$X$15,ROW(BM144)-ROW(BM$15),0),
              ROUND(ROUND(OFFSET($P144,0,BM$13),15-13*ORÇAMENTO!$AF$7)*OFFSET(ORÇAMENTO!$W$15,ROW(BM144)-ROW(BM$15),0),15-13*ORÇAMENTO!$AF$11)),
         0)</f>
        <v>181.92</v>
      </c>
      <c r="BN144" s="352" t="n">
        <f aca="true">IF(AND($D144="Serviço",BN$12&lt;&gt;0,$H144&gt;0,OR(AUTOEVENTO&lt;&gt;"manual",$M144&lt;&gt;$A$15)),
        IF(Import.TipoArredondamento&lt;&gt;"TransfereGOV",
              ROUND(OFFSET($P144,0,BN$13),15-13*ORÇAMENTO!$AF$7)/$H144*OFFSET(ORÇAMENTO!$X$15,ROW(BN144)-ROW(BN$15),0),
              ROUND(ROUND(OFFSET($P144,0,BN$13),15-13*ORÇAMENTO!$AF$7)*OFFSET(ORÇAMENTO!$W$15,ROW(BN144)-ROW(BN$15),0),15-13*ORÇAMENTO!$AF$11)),
         0)</f>
        <v>181.92</v>
      </c>
      <c r="BO144" s="352" t="n">
        <f aca="true">IF(AND($D144="Serviço",BO$12&lt;&gt;0,$H144&gt;0,OR(AUTOEVENTO&lt;&gt;"manual",$M144&lt;&gt;$A$15)),
        IF(Import.TipoArredondamento&lt;&gt;"TransfereGOV",
              ROUND(OFFSET($P144,0,BO$13),15-13*ORÇAMENTO!$AF$7)/$H144*OFFSET(ORÇAMENTO!$X$15,ROW(BO144)-ROW(BO$15),0),
              ROUND(ROUND(OFFSET($P144,0,BO$13),15-13*ORÇAMENTO!$AF$7)*OFFSET(ORÇAMENTO!$W$15,ROW(BO144)-ROW(BO$15),0),15-13*ORÇAMENTO!$AF$11)),
         0)</f>
        <v>181.92</v>
      </c>
      <c r="BP144" s="352" t="n">
        <f aca="true">IF(AND($D144="Serviço",BP$12&lt;&gt;0,$H144&gt;0,OR(AUTOEVENTO&lt;&gt;"manual",$M144&lt;&gt;$A$15)),
        IF(Import.TipoArredondamento&lt;&gt;"TransfereGOV",
              ROUND(OFFSET($P144,0,BP$13),15-13*ORÇAMENTO!$AF$7)/$H144*OFFSET(ORÇAMENTO!$X$15,ROW(BP144)-ROW(BP$15),0),
              ROUND(ROUND(OFFSET($P144,0,BP$13),15-13*ORÇAMENTO!$AF$7)*OFFSET(ORÇAMENTO!$W$15,ROW(BP144)-ROW(BP$15),0),15-13*ORÇAMENTO!$AF$11)),
         0)</f>
        <v>181.92</v>
      </c>
      <c r="BQ144" s="352" t="n">
        <f aca="true">IF(AND($D144="Serviço",BQ$12&lt;&gt;0,$H144&gt;0,OR(AUTOEVENTO&lt;&gt;"manual",$M144&lt;&gt;$A$15)),
        IF(Import.TipoArredondamento&lt;&gt;"TransfereGOV",
              ROUND(OFFSET($P144,0,BQ$13),15-13*ORÇAMENTO!$AF$7)/$H144*OFFSET(ORÇAMENTO!$X$15,ROW(BQ144)-ROW(BQ$15),0),
              ROUND(ROUND(OFFSET($P144,0,BQ$13),15-13*ORÇAMENTO!$AF$7)*OFFSET(ORÇAMENTO!$W$15,ROW(BQ144)-ROW(BQ$15),0),15-13*ORÇAMENTO!$AF$11)),
         0)</f>
        <v>0</v>
      </c>
      <c r="BS144" s="353" t="n">
        <f aca="true">IF(OR($D144&lt;&gt;"Serviço",AND(AUTOEVENTO="Manual",$M144=$A$15)),0,
         IF(OFFSET(CRONOPLE!$F$15,$M144-$A$15,BS$13)=0,10^12,OFFSET(CRONOPLE!$F$15,$M144-$A$15,BS$13)))</f>
        <v>1</v>
      </c>
      <c r="BT144" s="353" t="n">
        <f aca="true">IF(OR($D144&lt;&gt;"Serviço",AND(AUTOEVENTO="Manual",$M144=$A$15)),0,
         IF(OFFSET(CRONOPLE!$F$15,$M144-$A$15,BT$13)=0,10^12,OFFSET(CRONOPLE!$F$15,$M144-$A$15,BT$13)))</f>
        <v>2</v>
      </c>
      <c r="BU144" s="353" t="n">
        <f aca="true">IF(OR($D144&lt;&gt;"Serviço",AND(AUTOEVENTO="Manual",$M144=$A$15)),0,
         IF(OFFSET(CRONOPLE!$F$15,$M144-$A$15,BU$13)=0,10^12,OFFSET(CRONOPLE!$F$15,$M144-$A$15,BU$13)))</f>
        <v>3</v>
      </c>
      <c r="BV144" s="353" t="n">
        <f aca="true">IF(OR($D144&lt;&gt;"Serviço",AND(AUTOEVENTO="Manual",$M144=$A$15)),0,
         IF(OFFSET(CRONOPLE!$F$15,$M144-$A$15,BV$13)=0,10^12,OFFSET(CRONOPLE!$F$15,$M144-$A$15,BV$13)))</f>
        <v>4</v>
      </c>
      <c r="BW144" s="353" t="n">
        <f aca="true">IF(OR($D144&lt;&gt;"Serviço",AND(AUTOEVENTO="Manual",$M144=$A$15)),0,
         IF(OFFSET(CRONOPLE!$F$15,$M144-$A$15,BW$13)=0,10^12,OFFSET(CRONOPLE!$F$15,$M144-$A$15,BW$13)))</f>
        <v>5</v>
      </c>
      <c r="BX144" s="353" t="n">
        <f aca="true">IF(OR($D144&lt;&gt;"Serviço",AND(AUTOEVENTO="Manual",$M144=$A$15)),0,
         IF(OFFSET(CRONOPLE!$F$15,$M144-$A$15,BX$13)=0,10^12,OFFSET(CRONOPLE!$F$15,$M144-$A$15,BX$13)))</f>
        <v>6</v>
      </c>
      <c r="BY144" s="353" t="n">
        <f aca="true">IF(OR($D144&lt;&gt;"Serviço",AND(AUTOEVENTO="Manual",$M144=$A$15)),0,
         IF(OFFSET(CRONOPLE!$F$15,$M144-$A$15,BY$13)=0,10^12,OFFSET(CRONOPLE!$F$15,$M144-$A$15,BY$13)))</f>
        <v>7</v>
      </c>
      <c r="BZ144" s="353" t="n">
        <f aca="true">IF(OR($D144&lt;&gt;"Serviço",AND(AUTOEVENTO="Manual",$M144=$A$15)),0,
         IF(OFFSET(CRONOPLE!$F$15,$M144-$A$15,BZ$13)=0,10^12,OFFSET(CRONOPLE!$F$15,$M144-$A$15,BZ$13)))</f>
        <v>8</v>
      </c>
      <c r="CA144" s="353" t="n">
        <f aca="true">IF(OR($D144&lt;&gt;"Serviço",AND(AUTOEVENTO="Manual",$M144=$A$15)),0,
         IF(OFFSET(CRONOPLE!$F$15,$M144-$A$15,CA$13)=0,10^12,OFFSET(CRONOPLE!$F$15,$M144-$A$15,CA$13)))</f>
        <v>9</v>
      </c>
      <c r="CB144" s="353" t="n">
        <f aca="true">IF(OR($D144&lt;&gt;"Serviço",AND(AUTOEVENTO="Manual",$M144=$A$15)),0,
         IF(OFFSET(CRONOPLE!$F$15,$M144-$A$15,CB$13)=0,10^12,OFFSET(CRONOPLE!$F$15,$M144-$A$15,CB$13)))</f>
        <v>10</v>
      </c>
      <c r="CC144" s="353" t="n">
        <f aca="true">IF(OR($D144&lt;&gt;"Serviço",AND(AUTOEVENTO="Manual",$M144=$A$15)),0,
         IF(OFFSET(CRONOPLE!$F$15,$M144-$A$15,CC$13)=0,10^12,OFFSET(CRONOPLE!$F$15,$M144-$A$15,CC$13)))</f>
        <v>11</v>
      </c>
      <c r="CD144" s="353" t="n">
        <f aca="true">IF(OR($D144&lt;&gt;"Serviço",AND(AUTOEVENTO="Manual",$M144=$A$15)),0,
         IF(OFFSET(CRONOPLE!$F$15,$M144-$A$15,CD$13)=0,10^12,OFFSET(CRONOPLE!$F$15,$M144-$A$15,CD$13)))</f>
        <v>12</v>
      </c>
      <c r="CE144" s="353" t="n">
        <f aca="true">IF(OR($D144&lt;&gt;"Serviço",AND(AUTOEVENTO="Manual",$M144=$A$15)),0,
         IF(OFFSET(CRONOPLE!$F$15,$M144-$A$15,CE$13)=0,10^12,OFFSET(CRONOPLE!$F$15,$M144-$A$15,CE$13)))</f>
        <v>13</v>
      </c>
      <c r="CF144" s="353" t="n">
        <f aca="true">IF(OR($D144&lt;&gt;"Serviço",AND(AUTOEVENTO="Manual",$M144=$A$15)),0,
         IF(OFFSET(CRONOPLE!$F$15,$M144-$A$15,CF$13)=0,10^12,OFFSET(CRONOPLE!$F$15,$M144-$A$15,CF$13)))</f>
        <v>14</v>
      </c>
      <c r="CG144" s="353" t="n">
        <f aca="true">IF(OR($D144&lt;&gt;"Serviço",AND(AUTOEVENTO="Manual",$M144=$A$15)),0,
         IF(OFFSET(CRONOPLE!$F$15,$M144-$A$15,CG$13)=0,10^12,OFFSET(CRONOPLE!$F$15,$M144-$A$15,CG$13)))</f>
        <v>15</v>
      </c>
      <c r="CH144" s="353" t="n">
        <f aca="true">IF(OR($D144&lt;&gt;"Serviço",AND(AUTOEVENTO="Manual",$M144=$A$15)),0,
         IF(OFFSET(CRONOPLE!$F$15,$M144-$A$15,CH$13)=0,10^12,OFFSET(CRONOPLE!$F$15,$M144-$A$15,CH$13)))</f>
        <v>16</v>
      </c>
      <c r="CI144" s="353" t="n">
        <f aca="true">IF(OR($D144&lt;&gt;"Serviço",AND(AUTOEVENTO="Manual",$M144=$A$15)),0,
         IF(OFFSET(CRONOPLE!$F$15,$M144-$A$15,CI$13)=0,10^12,OFFSET(CRONOPLE!$F$15,$M144-$A$15,CI$13)))</f>
        <v>17</v>
      </c>
      <c r="CJ144" s="353" t="n">
        <f aca="true">IF(OR($D144&lt;&gt;"Serviço",AND(AUTOEVENTO="Manual",$M144=$A$15)),0,
         IF(OFFSET(CRONOPLE!$F$15,$M144-$A$15,CJ$13)=0,10^12,OFFSET(CRONOPLE!$F$15,$M144-$A$15,CJ$13)))</f>
        <v>18</v>
      </c>
      <c r="CK144" s="353" t="n">
        <f aca="true">IF(OR($D144&lt;&gt;"Serviço",AND(AUTOEVENTO="Manual",$M144=$A$15)),0,
         IF(OFFSET(CRONOPLE!$F$15,$M144-$A$15,CK$13)=0,10^12,OFFSET(CRONOPLE!$F$15,$M144-$A$15,CK$13)))</f>
        <v>19</v>
      </c>
      <c r="CL144" s="353" t="n">
        <f aca="true">IF(OR($D144&lt;&gt;"Serviço",AND(AUTOEVENTO="Manual",$M144=$A$15)),0,
         IF(OFFSET(CRONOPLE!$F$15,$M144-$A$15,CL$13)=0,10^12,OFFSET(CRONOPLE!$F$15,$M144-$A$15,CL$13)))</f>
        <v>20</v>
      </c>
      <c r="CM144" s="353" t="n">
        <f aca="true">IF(OR($D144&lt;&gt;"Serviço",AND(AUTOEVENTO="Manual",$M144=$A$15)),0,
         IF(OFFSET(CRONOPLE!$F$15,$M144-$A$15,CM$13)=0,10^12,OFFSET(CRONOPLE!$F$15,$M144-$A$15,CM$13)))</f>
        <v>21</v>
      </c>
      <c r="CN144" s="353" t="n">
        <f aca="true">IF(OR($D144&lt;&gt;"Serviço",AND(AUTOEVENTO="Manual",$M144=$A$15)),0,
         IF(OFFSET(CRONOPLE!$F$15,$M144-$A$15,CN$13)=0,10^12,OFFSET(CRONOPLE!$F$15,$M144-$A$15,CN$13)))</f>
        <v>22</v>
      </c>
      <c r="CO144" s="353" t="n">
        <f aca="true">IF(OR($D144&lt;&gt;"Serviço",AND(AUTOEVENTO="Manual",$M144=$A$15)),0,
         IF(OFFSET(CRONOPLE!$F$15,$M144-$A$15,CO$13)=0,10^12,OFFSET(CRONOPLE!$F$15,$M144-$A$15,CO$13)))</f>
        <v>23</v>
      </c>
      <c r="CP144" s="353" t="n">
        <f aca="true">IF(OR($D144&lt;&gt;"Serviço",AND(AUTOEVENTO="Manual",$M144=$A$15)),0,
         IF(OFFSET(CRONOPLE!$F$15,$M144-$A$15,CP$13)=0,10^12,OFFSET(CRONOPLE!$F$15,$M144-$A$15,CP$13)))</f>
        <v>24</v>
      </c>
      <c r="CQ144" s="353" t="n">
        <f aca="true">IF(OR($D144&lt;&gt;"Serviço",AND(AUTOEVENTO="Manual",$M144=$A$15)),0,
         IF(OFFSET(CRONOPLE!$F$15,$M144-$A$15,CQ$13)=0,10^12,OFFSET(CRONOPLE!$F$15,$M144-$A$15,CQ$13)))</f>
        <v>25</v>
      </c>
      <c r="CR144" s="353" t="n">
        <f aca="true">IF(OR($D144&lt;&gt;"Serviço",AND(AUTOEVENTO="Manual",$M144=$A$15)),0,
         IF(OFFSET(CRONOPLE!$F$15,$M144-$A$15,CR$13)=0,10^12,OFFSET(CRONOPLE!$F$15,$M144-$A$15,CR$13)))</f>
        <v>1000000000000</v>
      </c>
      <c r="CT144" s="354" t="n">
        <f aca="true">IF(OR($D144&lt;&gt;"Serviço",AND(AUTOEVENTO="Manual",$M144=$A$15),$M144&gt;(ROW(PLE.lastrow)-ROW(PLE.firstrow))),0,
           IF(OFFSET(PLE!$G$15,$M144-$A$15,CT$13)="",10^12,OFFSET(PLE!$G$15,$M144-$A$15,CT$13)))</f>
        <v>1000000000000</v>
      </c>
      <c r="CU144" s="354" t="n">
        <f aca="true">IF(OR($D144&lt;&gt;"Serviço",AND(AUTOEVENTO="Manual",$M144=$A$15),$M144&gt;(ROW(PLE.lastrow)-ROW(PLE.firstrow))),0,
           IF(OFFSET(PLE!$G$15,$M144-$A$15,CU$13)="",10^12,OFFSET(PLE!$G$15,$M144-$A$15,CU$13)))</f>
        <v>1000000000000</v>
      </c>
      <c r="CV144" s="354" t="n">
        <f aca="true">IF(OR($D144&lt;&gt;"Serviço",AND(AUTOEVENTO="Manual",$M144=$A$15),$M144&gt;(ROW(PLE.lastrow)-ROW(PLE.firstrow))),0,
           IF(OFFSET(PLE!$G$15,$M144-$A$15,CV$13)="",10^12,OFFSET(PLE!$G$15,$M144-$A$15,CV$13)))</f>
        <v>1000000000000</v>
      </c>
      <c r="CW144" s="354" t="n">
        <f aca="true">IF(OR($D144&lt;&gt;"Serviço",AND(AUTOEVENTO="Manual",$M144=$A$15),$M144&gt;(ROW(PLE.lastrow)-ROW(PLE.firstrow))),0,
           IF(OFFSET(PLE!$G$15,$M144-$A$15,CW$13)="",10^12,OFFSET(PLE!$G$15,$M144-$A$15,CW$13)))</f>
        <v>1000000000000</v>
      </c>
      <c r="CX144" s="354" t="n">
        <f aca="true">IF(OR($D144&lt;&gt;"Serviço",AND(AUTOEVENTO="Manual",$M144=$A$15),$M144&gt;(ROW(PLE.lastrow)-ROW(PLE.firstrow))),0,
           IF(OFFSET(PLE!$G$15,$M144-$A$15,CX$13)="",10^12,OFFSET(PLE!$G$15,$M144-$A$15,CX$13)))</f>
        <v>1000000000000</v>
      </c>
      <c r="CY144" s="354" t="n">
        <f aca="true">IF(OR($D144&lt;&gt;"Serviço",AND(AUTOEVENTO="Manual",$M144=$A$15),$M144&gt;(ROW(PLE.lastrow)-ROW(PLE.firstrow))),0,
           IF(OFFSET(PLE!$G$15,$M144-$A$15,CY$13)="",10^12,OFFSET(PLE!$G$15,$M144-$A$15,CY$13)))</f>
        <v>1000000000000</v>
      </c>
      <c r="CZ144" s="354" t="n">
        <f aca="true">IF(OR($D144&lt;&gt;"Serviço",AND(AUTOEVENTO="Manual",$M144=$A$15),$M144&gt;(ROW(PLE.lastrow)-ROW(PLE.firstrow))),0,
           IF(OFFSET(PLE!$G$15,$M144-$A$15,CZ$13)="",10^12,OFFSET(PLE!$G$15,$M144-$A$15,CZ$13)))</f>
        <v>1000000000000</v>
      </c>
      <c r="DA144" s="354" t="n">
        <f aca="true">IF(OR($D144&lt;&gt;"Serviço",AND(AUTOEVENTO="Manual",$M144=$A$15),$M144&gt;(ROW(PLE.lastrow)-ROW(PLE.firstrow))),0,
           IF(OFFSET(PLE!$G$15,$M144-$A$15,DA$13)="",10^12,OFFSET(PLE!$G$15,$M144-$A$15,DA$13)))</f>
        <v>1000000000000</v>
      </c>
      <c r="DB144" s="354" t="n">
        <f aca="true">IF(OR($D144&lt;&gt;"Serviço",AND(AUTOEVENTO="Manual",$M144=$A$15),$M144&gt;(ROW(PLE.lastrow)-ROW(PLE.firstrow))),0,
           IF(OFFSET(PLE!$G$15,$M144-$A$15,DB$13)="",10^12,OFFSET(PLE!$G$15,$M144-$A$15,DB$13)))</f>
        <v>1000000000000</v>
      </c>
      <c r="DC144" s="354" t="n">
        <f aca="true">IF(OR($D144&lt;&gt;"Serviço",AND(AUTOEVENTO="Manual",$M144=$A$15),$M144&gt;(ROW(PLE.lastrow)-ROW(PLE.firstrow))),0,
           IF(OFFSET(PLE!$G$15,$M144-$A$15,DC$13)="",10^12,OFFSET(PLE!$G$15,$M144-$A$15,DC$13)))</f>
        <v>1000000000000</v>
      </c>
      <c r="DD144" s="354" t="n">
        <f aca="true">IF(OR($D144&lt;&gt;"Serviço",AND(AUTOEVENTO="Manual",$M144=$A$15),$M144&gt;(ROW(PLE.lastrow)-ROW(PLE.firstrow))),0,
           IF(OFFSET(PLE!$G$15,$M144-$A$15,DD$13)="",10^12,OFFSET(PLE!$G$15,$M144-$A$15,DD$13)))</f>
        <v>1000000000000</v>
      </c>
      <c r="DE144" s="354" t="n">
        <f aca="true">IF(OR($D144&lt;&gt;"Serviço",AND(AUTOEVENTO="Manual",$M144=$A$15),$M144&gt;(ROW(PLE.lastrow)-ROW(PLE.firstrow))),0,
           IF(OFFSET(PLE!$G$15,$M144-$A$15,DE$13)="",10^12,OFFSET(PLE!$G$15,$M144-$A$15,DE$13)))</f>
        <v>1000000000000</v>
      </c>
      <c r="DF144" s="354" t="n">
        <f aca="true">IF(OR($D144&lt;&gt;"Serviço",AND(AUTOEVENTO="Manual",$M144=$A$15),$M144&gt;(ROW(PLE.lastrow)-ROW(PLE.firstrow))),0,
           IF(OFFSET(PLE!$G$15,$M144-$A$15,DF$13)="",10^12,OFFSET(PLE!$G$15,$M144-$A$15,DF$13)))</f>
        <v>1000000000000</v>
      </c>
      <c r="DG144" s="354" t="n">
        <f aca="true">IF(OR($D144&lt;&gt;"Serviço",AND(AUTOEVENTO="Manual",$M144=$A$15),$M144&gt;(ROW(PLE.lastrow)-ROW(PLE.firstrow))),0,
           IF(OFFSET(PLE!$G$15,$M144-$A$15,DG$13)="",10^12,OFFSET(PLE!$G$15,$M144-$A$15,DG$13)))</f>
        <v>1000000000000</v>
      </c>
      <c r="DH144" s="354" t="n">
        <f aca="true">IF(OR($D144&lt;&gt;"Serviço",AND(AUTOEVENTO="Manual",$M144=$A$15),$M144&gt;(ROW(PLE.lastrow)-ROW(PLE.firstrow))),0,
           IF(OFFSET(PLE!$G$15,$M144-$A$15,DH$13)="",10^12,OFFSET(PLE!$G$15,$M144-$A$15,DH$13)))</f>
        <v>1000000000000</v>
      </c>
      <c r="DI144" s="354" t="n">
        <f aca="true">IF(OR($D144&lt;&gt;"Serviço",AND(AUTOEVENTO="Manual",$M144=$A$15),$M144&gt;(ROW(PLE.lastrow)-ROW(PLE.firstrow))),0,
           IF(OFFSET(PLE!$G$15,$M144-$A$15,DI$13)="",10^12,OFFSET(PLE!$G$15,$M144-$A$15,DI$13)))</f>
        <v>1000000000000</v>
      </c>
      <c r="DJ144" s="354" t="n">
        <f aca="true">IF(OR($D144&lt;&gt;"Serviço",AND(AUTOEVENTO="Manual",$M144=$A$15),$M144&gt;(ROW(PLE.lastrow)-ROW(PLE.firstrow))),0,
           IF(OFFSET(PLE!$G$15,$M144-$A$15,DJ$13)="",10^12,OFFSET(PLE!$G$15,$M144-$A$15,DJ$13)))</f>
        <v>1000000000000</v>
      </c>
      <c r="DK144" s="354" t="n">
        <f aca="true">IF(OR($D144&lt;&gt;"Serviço",AND(AUTOEVENTO="Manual",$M144=$A$15),$M144&gt;(ROW(PLE.lastrow)-ROW(PLE.firstrow))),0,
           IF(OFFSET(PLE!$G$15,$M144-$A$15,DK$13)="",10^12,OFFSET(PLE!$G$15,$M144-$A$15,DK$13)))</f>
        <v>1000000000000</v>
      </c>
      <c r="DL144" s="354" t="n">
        <f aca="true">IF(OR($D144&lt;&gt;"Serviço",AND(AUTOEVENTO="Manual",$M144=$A$15),$M144&gt;(ROW(PLE.lastrow)-ROW(PLE.firstrow))),0,
           IF(OFFSET(PLE!$G$15,$M144-$A$15,DL$13)="",10^12,OFFSET(PLE!$G$15,$M144-$A$15,DL$13)))</f>
        <v>1000000000000</v>
      </c>
      <c r="DM144" s="354" t="n">
        <f aca="true">IF(OR($D144&lt;&gt;"Serviço",AND(AUTOEVENTO="Manual",$M144=$A$15),$M144&gt;(ROW(PLE.lastrow)-ROW(PLE.firstrow))),0,
           IF(OFFSET(PLE!$G$15,$M144-$A$15,DM$13)="",10^12,OFFSET(PLE!$G$15,$M144-$A$15,DM$13)))</f>
        <v>1000000000000</v>
      </c>
      <c r="DN144" s="354" t="n">
        <f aca="true">IF(OR($D144&lt;&gt;"Serviço",AND(AUTOEVENTO="Manual",$M144=$A$15),$M144&gt;(ROW(PLE.lastrow)-ROW(PLE.firstrow))),0,
           IF(OFFSET(PLE!$G$15,$M144-$A$15,DN$13)="",10^12,OFFSET(PLE!$G$15,$M144-$A$15,DN$13)))</f>
        <v>1000000000000</v>
      </c>
      <c r="DO144" s="354" t="n">
        <f aca="true">IF(OR($D144&lt;&gt;"Serviço",AND(AUTOEVENTO="Manual",$M144=$A$15),$M144&gt;(ROW(PLE.lastrow)-ROW(PLE.firstrow))),0,
           IF(OFFSET(PLE!$G$15,$M144-$A$15,DO$13)="",10^12,OFFSET(PLE!$G$15,$M144-$A$15,DO$13)))</f>
        <v>1000000000000</v>
      </c>
      <c r="DP144" s="354" t="n">
        <f aca="true">IF(OR($D144&lt;&gt;"Serviço",AND(AUTOEVENTO="Manual",$M144=$A$15),$M144&gt;(ROW(PLE.lastrow)-ROW(PLE.firstrow))),0,
           IF(OFFSET(PLE!$G$15,$M144-$A$15,DP$13)="",10^12,OFFSET(PLE!$G$15,$M144-$A$15,DP$13)))</f>
        <v>1000000000000</v>
      </c>
      <c r="DQ144" s="354" t="n">
        <f aca="true">IF(OR($D144&lt;&gt;"Serviço",AND(AUTOEVENTO="Manual",$M144=$A$15),$M144&gt;(ROW(PLE.lastrow)-ROW(PLE.firstrow))),0,
           IF(OFFSET(PLE!$G$15,$M144-$A$15,DQ$13)="",10^12,OFFSET(PLE!$G$15,$M144-$A$15,DQ$13)))</f>
        <v>1000000000000</v>
      </c>
      <c r="DR144" s="354" t="n">
        <f aca="true">IF(OR($D144&lt;&gt;"Serviço",AND(AUTOEVENTO="Manual",$M144=$A$15),$M144&gt;(ROW(PLE.lastrow)-ROW(PLE.firstrow))),0,
           IF(OFFSET(PLE!$G$15,$M144-$A$15,DR$13)="",10^12,OFFSET(PLE!$G$15,$M144-$A$15,DR$13)))</f>
        <v>1000000000000</v>
      </c>
      <c r="DS144" s="354" t="n">
        <f aca="true">IF(OR($D144&lt;&gt;"Serviço",AND(AUTOEVENTO="Manual",$M144=$A$15),$M144&gt;(ROW(PLE.lastrow)-ROW(PLE.firstrow))),0,
           IF(OFFSET(PLE!$G$15,$M144-$A$15,DS$13)="",10^12,OFFSET(PLE!$G$15,$M144-$A$15,DS$13)))</f>
        <v>1000000000000</v>
      </c>
    </row>
    <row r="145" customFormat="false" ht="35.05" hidden="false" customHeight="false" outlineLevel="0" collapsed="false">
      <c r="A145" s="50" t="str">
        <f aca="true">IFERROR(IF(AUTOEVENTO="Manual",IF(K145&lt;&gt;"",MIN(VALUE(LEFT(K145,FIND(".",K145)-1)),COUNTA(EVENTOS.Lista)),0),IF(OR($B145&gt;AUTOEVENTO,$B145="S",$B145=0),SUBSTITUTE(OFFSET($A145,-1,0),IF($D145="Serviço",".",""),""),ROW(A145)-ROW($A$15)&amp;".")),0)</f>
        <v>128</v>
      </c>
      <c r="B145" s="50" t="str">
        <f aca="true">OFFSET(ORÇAMENTO!C$15,ROW(B145)-ROW(B$15),0)</f>
        <v>S</v>
      </c>
      <c r="C145" s="50" t="str">
        <f aca="true">OFFSET(ORÇAMENTO!L$15,ROW(C145)-ROW(C$15),0)</f>
        <v>F</v>
      </c>
      <c r="D145" s="201" t="str">
        <f aca="true">OFFSET(ORÇAMENTO!N$15,ROW(D145)-ROW(D$15),0)</f>
        <v>Serviço</v>
      </c>
      <c r="E145" s="202" t="str">
        <f aca="true">OFFSET(ORÇAMENTO!O$15,ROW(E145)-ROW(E$15),0)</f>
        <v>1.41.2.</v>
      </c>
      <c r="F145" s="341" t="str">
        <f aca="true">OFFSET(ORÇAMENTO!R$15,ROW(F145)-ROW(F$15),0)</f>
        <v>REGISTRO DE GAVETA BRUTO, LATÃO, ROSCÁVEL, 3/4", COM ACABAMENTO E CANOPLA CROMADOS - FORNECIMENTO E INSTALAÇÃO. AF_08/2021</v>
      </c>
      <c r="G145" s="342" t="str">
        <f aca="true">IF($D145&lt;&gt;"Serviço","",OFFSET(ORÇAMENTO!S$15,ROW(G145)-ROW(G$15),0))</f>
        <v>UN</v>
      </c>
      <c r="H145" s="207" t="n">
        <f aca="true">IF($D145&lt;&gt;"Serviço",0,IF(ACOMPANHAMENTO="BM",ROUND(OFFSET(ORÇAMENTO!AJ$15,ROW(H145)-ROW(H$15),0),15-13*ORÇAMENTO!$AF$7),SUMPRODUCT(($Q$1:$AQ$1=1)*ROUND($Q145:$AQ145,15-13*ORÇAMENTO!$AF$7))))</f>
        <v>75</v>
      </c>
      <c r="I145" s="343" t="s">
        <v>970</v>
      </c>
      <c r="J145" s="344" t="e">
        <f aca="false">IF(OR(B145&lt;&gt;"S",CÁLCULO.FrentesPreenchidas=0),"",IF(AND(ACOMPANHAMENTO="PLE",AUTOEVENTO="Manual",OR(H145&gt;0,ORÇAMENTO!AC145="QUANT."),OR(K145="",M145=0,N145="")),"►",IF(AND(ACOMPANHAMENTO="PLE",ORÇAMENTO!AC145="QUANT."),"►►",IF(AND(COUNTIF($P$11:$AQ$11,"▼")=0,H145&gt;0,I145=""),"◄",""))))</f>
        <v>#NAME?</v>
      </c>
      <c r="K145" s="345"/>
      <c r="L145" s="346" t="s">
        <v>876</v>
      </c>
      <c r="M145" s="347" t="n">
        <f aca="true">IF($D145&lt;&gt;"Serviço","",
          IF(AUTOEVENTO="manual",$A145,
                IF(ISERROR(MATCH($A145,$A$15:OFFSET($A145,-1,0),0)),MAX($M$15:OFFSET(M145,-1,0))+1,
                      INDEX($M$15:OFFSET(M145,-1,0),MATCH($A145,$A$15:OFFSET($A145,-1,0),0)))))</f>
        <v>25</v>
      </c>
      <c r="N145" s="348" t="str">
        <f aca="true">IF($D145&lt;&gt;"Serviço","",
         IF(AUTOEVENTO="Manual",
                IF($A145=0,"&lt;-- defina o número do agrupador",
                       OFFSET(EVENTOS!$D$15,$A145-$A$15,0)),
                OFFSET($F$15,$A145,0)))</f>
        <v>REGISTROS </v>
      </c>
      <c r="O145" s="349"/>
      <c r="Q145" s="349" t="n">
        <v>3</v>
      </c>
      <c r="R145" s="350" t="n">
        <f aca="false">Q145</f>
        <v>3</v>
      </c>
      <c r="S145" s="350" t="n">
        <f aca="false">R145</f>
        <v>3</v>
      </c>
      <c r="T145" s="350" t="n">
        <f aca="false">S145</f>
        <v>3</v>
      </c>
      <c r="U145" s="350" t="n">
        <f aca="false">T145</f>
        <v>3</v>
      </c>
      <c r="V145" s="350" t="n">
        <f aca="false">U145</f>
        <v>3</v>
      </c>
      <c r="W145" s="350" t="n">
        <f aca="false">V145</f>
        <v>3</v>
      </c>
      <c r="X145" s="350" t="n">
        <f aca="false">W145</f>
        <v>3</v>
      </c>
      <c r="Y145" s="350" t="n">
        <f aca="false">X145</f>
        <v>3</v>
      </c>
      <c r="Z145" s="351" t="n">
        <f aca="false">Y145</f>
        <v>3</v>
      </c>
      <c r="AA145" s="350" t="n">
        <f aca="false">Z145</f>
        <v>3</v>
      </c>
      <c r="AB145" s="350" t="n">
        <f aca="false">AA145</f>
        <v>3</v>
      </c>
      <c r="AC145" s="350" t="n">
        <f aca="false">AB145</f>
        <v>3</v>
      </c>
      <c r="AD145" s="350" t="n">
        <f aca="false">AC145</f>
        <v>3</v>
      </c>
      <c r="AE145" s="350" t="n">
        <f aca="false">AD145</f>
        <v>3</v>
      </c>
      <c r="AF145" s="350" t="n">
        <f aca="false">AE145</f>
        <v>3</v>
      </c>
      <c r="AG145" s="350" t="n">
        <f aca="false">AF145</f>
        <v>3</v>
      </c>
      <c r="AH145" s="351" t="n">
        <f aca="false">AG145</f>
        <v>3</v>
      </c>
      <c r="AI145" s="350" t="n">
        <f aca="false">AH145</f>
        <v>3</v>
      </c>
      <c r="AJ145" s="350" t="n">
        <f aca="false">AI145</f>
        <v>3</v>
      </c>
      <c r="AK145" s="350" t="n">
        <f aca="false">AJ145</f>
        <v>3</v>
      </c>
      <c r="AL145" s="350" t="n">
        <f aca="false">AK145</f>
        <v>3</v>
      </c>
      <c r="AM145" s="350" t="n">
        <f aca="false">AL145</f>
        <v>3</v>
      </c>
      <c r="AN145" s="350" t="n">
        <f aca="false">AM145</f>
        <v>3</v>
      </c>
      <c r="AO145" s="350" t="n">
        <f aca="false">AN145</f>
        <v>3</v>
      </c>
      <c r="AP145" s="351"/>
      <c r="AR145" s="352" t="n">
        <f aca="true">IF(AND($D145="Serviço",AR$12&lt;&gt;0,$H145&gt;0,OR(AUTOEVENTO&lt;&gt;"manual",$M145&lt;&gt;$A$15)),
        IF(Import.TipoArredondamento&lt;&gt;"TransfereGOV",
              ROUND(OFFSET($P145,0,AR$13),15-13*ORÇAMENTO!$AF$7)/$H145*OFFSET(ORÇAMENTO!$X$15,ROW(AR145)-ROW(AR$15),0),
              ROUND(ROUND(OFFSET($P145,0,AR$13),15-13*ORÇAMENTO!$AF$7)*OFFSET(ORÇAMENTO!$W$15,ROW(AR145)-ROW(AR$15),0),15-13*ORÇAMENTO!$AF$11)),
         0)</f>
        <v>576</v>
      </c>
      <c r="AS145" s="352" t="n">
        <f aca="true">IF(AND($D145="Serviço",AS$12&lt;&gt;0,$H145&gt;0,OR(AUTOEVENTO&lt;&gt;"manual",$M145&lt;&gt;$A$15)),
        IF(Import.TipoArredondamento&lt;&gt;"TransfereGOV",
              ROUND(OFFSET($P145,0,AS$13),15-13*ORÇAMENTO!$AF$7)/$H145*OFFSET(ORÇAMENTO!$X$15,ROW(AS145)-ROW(AS$15),0),
              ROUND(ROUND(OFFSET($P145,0,AS$13),15-13*ORÇAMENTO!$AF$7)*OFFSET(ORÇAMENTO!$W$15,ROW(AS145)-ROW(AS$15),0),15-13*ORÇAMENTO!$AF$11)),
         0)</f>
        <v>576</v>
      </c>
      <c r="AT145" s="352" t="n">
        <f aca="true">IF(AND($D145="Serviço",AT$12&lt;&gt;0,$H145&gt;0,OR(AUTOEVENTO&lt;&gt;"manual",$M145&lt;&gt;$A$15)),
        IF(Import.TipoArredondamento&lt;&gt;"TransfereGOV",
              ROUND(OFFSET($P145,0,AT$13),15-13*ORÇAMENTO!$AF$7)/$H145*OFFSET(ORÇAMENTO!$X$15,ROW(AT145)-ROW(AT$15),0),
              ROUND(ROUND(OFFSET($P145,0,AT$13),15-13*ORÇAMENTO!$AF$7)*OFFSET(ORÇAMENTO!$W$15,ROW(AT145)-ROW(AT$15),0),15-13*ORÇAMENTO!$AF$11)),
         0)</f>
        <v>576</v>
      </c>
      <c r="AU145" s="352" t="n">
        <f aca="true">IF(AND($D145="Serviço",AU$12&lt;&gt;0,$H145&gt;0,OR(AUTOEVENTO&lt;&gt;"manual",$M145&lt;&gt;$A$15)),
        IF(Import.TipoArredondamento&lt;&gt;"TransfereGOV",
              ROUND(OFFSET($P145,0,AU$13),15-13*ORÇAMENTO!$AF$7)/$H145*OFFSET(ORÇAMENTO!$X$15,ROW(AU145)-ROW(AU$15),0),
              ROUND(ROUND(OFFSET($P145,0,AU$13),15-13*ORÇAMENTO!$AF$7)*OFFSET(ORÇAMENTO!$W$15,ROW(AU145)-ROW(AU$15),0),15-13*ORÇAMENTO!$AF$11)),
         0)</f>
        <v>576</v>
      </c>
      <c r="AV145" s="352" t="n">
        <f aca="true">IF(AND($D145="Serviço",AV$12&lt;&gt;0,$H145&gt;0,OR(AUTOEVENTO&lt;&gt;"manual",$M145&lt;&gt;$A$15)),
        IF(Import.TipoArredondamento&lt;&gt;"TransfereGOV",
              ROUND(OFFSET($P145,0,AV$13),15-13*ORÇAMENTO!$AF$7)/$H145*OFFSET(ORÇAMENTO!$X$15,ROW(AV145)-ROW(AV$15),0),
              ROUND(ROUND(OFFSET($P145,0,AV$13),15-13*ORÇAMENTO!$AF$7)*OFFSET(ORÇAMENTO!$W$15,ROW(AV145)-ROW(AV$15),0),15-13*ORÇAMENTO!$AF$11)),
         0)</f>
        <v>576</v>
      </c>
      <c r="AW145" s="352" t="n">
        <f aca="true">IF(AND($D145="Serviço",AW$12&lt;&gt;0,$H145&gt;0,OR(AUTOEVENTO&lt;&gt;"manual",$M145&lt;&gt;$A$15)),
        IF(Import.TipoArredondamento&lt;&gt;"TransfereGOV",
              ROUND(OFFSET($P145,0,AW$13),15-13*ORÇAMENTO!$AF$7)/$H145*OFFSET(ORÇAMENTO!$X$15,ROW(AW145)-ROW(AW$15),0),
              ROUND(ROUND(OFFSET($P145,0,AW$13),15-13*ORÇAMENTO!$AF$7)*OFFSET(ORÇAMENTO!$W$15,ROW(AW145)-ROW(AW$15),0),15-13*ORÇAMENTO!$AF$11)),
         0)</f>
        <v>576</v>
      </c>
      <c r="AX145" s="352" t="n">
        <f aca="true">IF(AND($D145="Serviço",AX$12&lt;&gt;0,$H145&gt;0,OR(AUTOEVENTO&lt;&gt;"manual",$M145&lt;&gt;$A$15)),
        IF(Import.TipoArredondamento&lt;&gt;"TransfereGOV",
              ROUND(OFFSET($P145,0,AX$13),15-13*ORÇAMENTO!$AF$7)/$H145*OFFSET(ORÇAMENTO!$X$15,ROW(AX145)-ROW(AX$15),0),
              ROUND(ROUND(OFFSET($P145,0,AX$13),15-13*ORÇAMENTO!$AF$7)*OFFSET(ORÇAMENTO!$W$15,ROW(AX145)-ROW(AX$15),0),15-13*ORÇAMENTO!$AF$11)),
         0)</f>
        <v>576</v>
      </c>
      <c r="AY145" s="352" t="n">
        <f aca="true">IF(AND($D145="Serviço",AY$12&lt;&gt;0,$H145&gt;0,OR(AUTOEVENTO&lt;&gt;"manual",$M145&lt;&gt;$A$15)),
        IF(Import.TipoArredondamento&lt;&gt;"TransfereGOV",
              ROUND(OFFSET($P145,0,AY$13),15-13*ORÇAMENTO!$AF$7)/$H145*OFFSET(ORÇAMENTO!$X$15,ROW(AY145)-ROW(AY$15),0),
              ROUND(ROUND(OFFSET($P145,0,AY$13),15-13*ORÇAMENTO!$AF$7)*OFFSET(ORÇAMENTO!$W$15,ROW(AY145)-ROW(AY$15),0),15-13*ORÇAMENTO!$AF$11)),
         0)</f>
        <v>576</v>
      </c>
      <c r="AZ145" s="352" t="n">
        <f aca="true">IF(AND($D145="Serviço",AZ$12&lt;&gt;0,$H145&gt;0,OR(AUTOEVENTO&lt;&gt;"manual",$M145&lt;&gt;$A$15)),
        IF(Import.TipoArredondamento&lt;&gt;"TransfereGOV",
              ROUND(OFFSET($P145,0,AZ$13),15-13*ORÇAMENTO!$AF$7)/$H145*OFFSET(ORÇAMENTO!$X$15,ROW(AZ145)-ROW(AZ$15),0),
              ROUND(ROUND(OFFSET($P145,0,AZ$13),15-13*ORÇAMENTO!$AF$7)*OFFSET(ORÇAMENTO!$W$15,ROW(AZ145)-ROW(AZ$15),0),15-13*ORÇAMENTO!$AF$11)),
         0)</f>
        <v>576</v>
      </c>
      <c r="BA145" s="352" t="n">
        <f aca="true">IF(AND($D145="Serviço",BA$12&lt;&gt;0,$H145&gt;0,OR(AUTOEVENTO&lt;&gt;"manual",$M145&lt;&gt;$A$15)),
        IF(Import.TipoArredondamento&lt;&gt;"TransfereGOV",
              ROUND(OFFSET($P145,0,BA$13),15-13*ORÇAMENTO!$AF$7)/$H145*OFFSET(ORÇAMENTO!$X$15,ROW(BA145)-ROW(BA$15),0),
              ROUND(ROUND(OFFSET($P145,0,BA$13),15-13*ORÇAMENTO!$AF$7)*OFFSET(ORÇAMENTO!$W$15,ROW(BA145)-ROW(BA$15),0),15-13*ORÇAMENTO!$AF$11)),
         0)</f>
        <v>576</v>
      </c>
      <c r="BB145" s="352" t="n">
        <f aca="true">IF(AND($D145="Serviço",BB$12&lt;&gt;0,$H145&gt;0,OR(AUTOEVENTO&lt;&gt;"manual",$M145&lt;&gt;$A$15)),
        IF(Import.TipoArredondamento&lt;&gt;"TransfereGOV",
              ROUND(OFFSET($P145,0,BB$13),15-13*ORÇAMENTO!$AF$7)/$H145*OFFSET(ORÇAMENTO!$X$15,ROW(BB145)-ROW(BB$15),0),
              ROUND(ROUND(OFFSET($P145,0,BB$13),15-13*ORÇAMENTO!$AF$7)*OFFSET(ORÇAMENTO!$W$15,ROW(BB145)-ROW(BB$15),0),15-13*ORÇAMENTO!$AF$11)),
         0)</f>
        <v>576</v>
      </c>
      <c r="BC145" s="352" t="n">
        <f aca="true">IF(AND($D145="Serviço",BC$12&lt;&gt;0,$H145&gt;0,OR(AUTOEVENTO&lt;&gt;"manual",$M145&lt;&gt;$A$15)),
        IF(Import.TipoArredondamento&lt;&gt;"TransfereGOV",
              ROUND(OFFSET($P145,0,BC$13),15-13*ORÇAMENTO!$AF$7)/$H145*OFFSET(ORÇAMENTO!$X$15,ROW(BC145)-ROW(BC$15),0),
              ROUND(ROUND(OFFSET($P145,0,BC$13),15-13*ORÇAMENTO!$AF$7)*OFFSET(ORÇAMENTO!$W$15,ROW(BC145)-ROW(BC$15),0),15-13*ORÇAMENTO!$AF$11)),
         0)</f>
        <v>576</v>
      </c>
      <c r="BD145" s="352" t="n">
        <f aca="true">IF(AND($D145="Serviço",BD$12&lt;&gt;0,$H145&gt;0,OR(AUTOEVENTO&lt;&gt;"manual",$M145&lt;&gt;$A$15)),
        IF(Import.TipoArredondamento&lt;&gt;"TransfereGOV",
              ROUND(OFFSET($P145,0,BD$13),15-13*ORÇAMENTO!$AF$7)/$H145*OFFSET(ORÇAMENTO!$X$15,ROW(BD145)-ROW(BD$15),0),
              ROUND(ROUND(OFFSET($P145,0,BD$13),15-13*ORÇAMENTO!$AF$7)*OFFSET(ORÇAMENTO!$W$15,ROW(BD145)-ROW(BD$15),0),15-13*ORÇAMENTO!$AF$11)),
         0)</f>
        <v>576</v>
      </c>
      <c r="BE145" s="352" t="n">
        <f aca="true">IF(AND($D145="Serviço",BE$12&lt;&gt;0,$H145&gt;0,OR(AUTOEVENTO&lt;&gt;"manual",$M145&lt;&gt;$A$15)),
        IF(Import.TipoArredondamento&lt;&gt;"TransfereGOV",
              ROUND(OFFSET($P145,0,BE$13),15-13*ORÇAMENTO!$AF$7)/$H145*OFFSET(ORÇAMENTO!$X$15,ROW(BE145)-ROW(BE$15),0),
              ROUND(ROUND(OFFSET($P145,0,BE$13),15-13*ORÇAMENTO!$AF$7)*OFFSET(ORÇAMENTO!$W$15,ROW(BE145)-ROW(BE$15),0),15-13*ORÇAMENTO!$AF$11)),
         0)</f>
        <v>576</v>
      </c>
      <c r="BF145" s="352" t="n">
        <f aca="true">IF(AND($D145="Serviço",BF$12&lt;&gt;0,$H145&gt;0,OR(AUTOEVENTO&lt;&gt;"manual",$M145&lt;&gt;$A$15)),
        IF(Import.TipoArredondamento&lt;&gt;"TransfereGOV",
              ROUND(OFFSET($P145,0,BF$13),15-13*ORÇAMENTO!$AF$7)/$H145*OFFSET(ORÇAMENTO!$X$15,ROW(BF145)-ROW(BF$15),0),
              ROUND(ROUND(OFFSET($P145,0,BF$13),15-13*ORÇAMENTO!$AF$7)*OFFSET(ORÇAMENTO!$W$15,ROW(BF145)-ROW(BF$15),0),15-13*ORÇAMENTO!$AF$11)),
         0)</f>
        <v>576</v>
      </c>
      <c r="BG145" s="352" t="n">
        <f aca="true">IF(AND($D145="Serviço",BG$12&lt;&gt;0,$H145&gt;0,OR(AUTOEVENTO&lt;&gt;"manual",$M145&lt;&gt;$A$15)),
        IF(Import.TipoArredondamento&lt;&gt;"TransfereGOV",
              ROUND(OFFSET($P145,0,BG$13),15-13*ORÇAMENTO!$AF$7)/$H145*OFFSET(ORÇAMENTO!$X$15,ROW(BG145)-ROW(BG$15),0),
              ROUND(ROUND(OFFSET($P145,0,BG$13),15-13*ORÇAMENTO!$AF$7)*OFFSET(ORÇAMENTO!$W$15,ROW(BG145)-ROW(BG$15),0),15-13*ORÇAMENTO!$AF$11)),
         0)</f>
        <v>576</v>
      </c>
      <c r="BH145" s="352" t="n">
        <f aca="true">IF(AND($D145="Serviço",BH$12&lt;&gt;0,$H145&gt;0,OR(AUTOEVENTO&lt;&gt;"manual",$M145&lt;&gt;$A$15)),
        IF(Import.TipoArredondamento&lt;&gt;"TransfereGOV",
              ROUND(OFFSET($P145,0,BH$13),15-13*ORÇAMENTO!$AF$7)/$H145*OFFSET(ORÇAMENTO!$X$15,ROW(BH145)-ROW(BH$15),0),
              ROUND(ROUND(OFFSET($P145,0,BH$13),15-13*ORÇAMENTO!$AF$7)*OFFSET(ORÇAMENTO!$W$15,ROW(BH145)-ROW(BH$15),0),15-13*ORÇAMENTO!$AF$11)),
         0)</f>
        <v>576</v>
      </c>
      <c r="BI145" s="352" t="n">
        <f aca="true">IF(AND($D145="Serviço",BI$12&lt;&gt;0,$H145&gt;0,OR(AUTOEVENTO&lt;&gt;"manual",$M145&lt;&gt;$A$15)),
        IF(Import.TipoArredondamento&lt;&gt;"TransfereGOV",
              ROUND(OFFSET($P145,0,BI$13),15-13*ORÇAMENTO!$AF$7)/$H145*OFFSET(ORÇAMENTO!$X$15,ROW(BI145)-ROW(BI$15),0),
              ROUND(ROUND(OFFSET($P145,0,BI$13),15-13*ORÇAMENTO!$AF$7)*OFFSET(ORÇAMENTO!$W$15,ROW(BI145)-ROW(BI$15),0),15-13*ORÇAMENTO!$AF$11)),
         0)</f>
        <v>576</v>
      </c>
      <c r="BJ145" s="352" t="n">
        <f aca="true">IF(AND($D145="Serviço",BJ$12&lt;&gt;0,$H145&gt;0,OR(AUTOEVENTO&lt;&gt;"manual",$M145&lt;&gt;$A$15)),
        IF(Import.TipoArredondamento&lt;&gt;"TransfereGOV",
              ROUND(OFFSET($P145,0,BJ$13),15-13*ORÇAMENTO!$AF$7)/$H145*OFFSET(ORÇAMENTO!$X$15,ROW(BJ145)-ROW(BJ$15),0),
              ROUND(ROUND(OFFSET($P145,0,BJ$13),15-13*ORÇAMENTO!$AF$7)*OFFSET(ORÇAMENTO!$W$15,ROW(BJ145)-ROW(BJ$15),0),15-13*ORÇAMENTO!$AF$11)),
         0)</f>
        <v>576</v>
      </c>
      <c r="BK145" s="352" t="n">
        <f aca="true">IF(AND($D145="Serviço",BK$12&lt;&gt;0,$H145&gt;0,OR(AUTOEVENTO&lt;&gt;"manual",$M145&lt;&gt;$A$15)),
        IF(Import.TipoArredondamento&lt;&gt;"TransfereGOV",
              ROUND(OFFSET($P145,0,BK$13),15-13*ORÇAMENTO!$AF$7)/$H145*OFFSET(ORÇAMENTO!$X$15,ROW(BK145)-ROW(BK$15),0),
              ROUND(ROUND(OFFSET($P145,0,BK$13),15-13*ORÇAMENTO!$AF$7)*OFFSET(ORÇAMENTO!$W$15,ROW(BK145)-ROW(BK$15),0),15-13*ORÇAMENTO!$AF$11)),
         0)</f>
        <v>576</v>
      </c>
      <c r="BL145" s="352" t="n">
        <f aca="true">IF(AND($D145="Serviço",BL$12&lt;&gt;0,$H145&gt;0,OR(AUTOEVENTO&lt;&gt;"manual",$M145&lt;&gt;$A$15)),
        IF(Import.TipoArredondamento&lt;&gt;"TransfereGOV",
              ROUND(OFFSET($P145,0,BL$13),15-13*ORÇAMENTO!$AF$7)/$H145*OFFSET(ORÇAMENTO!$X$15,ROW(BL145)-ROW(BL$15),0),
              ROUND(ROUND(OFFSET($P145,0,BL$13),15-13*ORÇAMENTO!$AF$7)*OFFSET(ORÇAMENTO!$W$15,ROW(BL145)-ROW(BL$15),0),15-13*ORÇAMENTO!$AF$11)),
         0)</f>
        <v>576</v>
      </c>
      <c r="BM145" s="352" t="n">
        <f aca="true">IF(AND($D145="Serviço",BM$12&lt;&gt;0,$H145&gt;0,OR(AUTOEVENTO&lt;&gt;"manual",$M145&lt;&gt;$A$15)),
        IF(Import.TipoArredondamento&lt;&gt;"TransfereGOV",
              ROUND(OFFSET($P145,0,BM$13),15-13*ORÇAMENTO!$AF$7)/$H145*OFFSET(ORÇAMENTO!$X$15,ROW(BM145)-ROW(BM$15),0),
              ROUND(ROUND(OFFSET($P145,0,BM$13),15-13*ORÇAMENTO!$AF$7)*OFFSET(ORÇAMENTO!$W$15,ROW(BM145)-ROW(BM$15),0),15-13*ORÇAMENTO!$AF$11)),
         0)</f>
        <v>576</v>
      </c>
      <c r="BN145" s="352" t="n">
        <f aca="true">IF(AND($D145="Serviço",BN$12&lt;&gt;0,$H145&gt;0,OR(AUTOEVENTO&lt;&gt;"manual",$M145&lt;&gt;$A$15)),
        IF(Import.TipoArredondamento&lt;&gt;"TransfereGOV",
              ROUND(OFFSET($P145,0,BN$13),15-13*ORÇAMENTO!$AF$7)/$H145*OFFSET(ORÇAMENTO!$X$15,ROW(BN145)-ROW(BN$15),0),
              ROUND(ROUND(OFFSET($P145,0,BN$13),15-13*ORÇAMENTO!$AF$7)*OFFSET(ORÇAMENTO!$W$15,ROW(BN145)-ROW(BN$15),0),15-13*ORÇAMENTO!$AF$11)),
         0)</f>
        <v>576</v>
      </c>
      <c r="BO145" s="352" t="n">
        <f aca="true">IF(AND($D145="Serviço",BO$12&lt;&gt;0,$H145&gt;0,OR(AUTOEVENTO&lt;&gt;"manual",$M145&lt;&gt;$A$15)),
        IF(Import.TipoArredondamento&lt;&gt;"TransfereGOV",
              ROUND(OFFSET($P145,0,BO$13),15-13*ORÇAMENTO!$AF$7)/$H145*OFFSET(ORÇAMENTO!$X$15,ROW(BO145)-ROW(BO$15),0),
              ROUND(ROUND(OFFSET($P145,0,BO$13),15-13*ORÇAMENTO!$AF$7)*OFFSET(ORÇAMENTO!$W$15,ROW(BO145)-ROW(BO$15),0),15-13*ORÇAMENTO!$AF$11)),
         0)</f>
        <v>576</v>
      </c>
      <c r="BP145" s="352" t="n">
        <f aca="true">IF(AND($D145="Serviço",BP$12&lt;&gt;0,$H145&gt;0,OR(AUTOEVENTO&lt;&gt;"manual",$M145&lt;&gt;$A$15)),
        IF(Import.TipoArredondamento&lt;&gt;"TransfereGOV",
              ROUND(OFFSET($P145,0,BP$13),15-13*ORÇAMENTO!$AF$7)/$H145*OFFSET(ORÇAMENTO!$X$15,ROW(BP145)-ROW(BP$15),0),
              ROUND(ROUND(OFFSET($P145,0,BP$13),15-13*ORÇAMENTO!$AF$7)*OFFSET(ORÇAMENTO!$W$15,ROW(BP145)-ROW(BP$15),0),15-13*ORÇAMENTO!$AF$11)),
         0)</f>
        <v>576</v>
      </c>
      <c r="BQ145" s="352" t="n">
        <f aca="true">IF(AND($D145="Serviço",BQ$12&lt;&gt;0,$H145&gt;0,OR(AUTOEVENTO&lt;&gt;"manual",$M145&lt;&gt;$A$15)),
        IF(Import.TipoArredondamento&lt;&gt;"TransfereGOV",
              ROUND(OFFSET($P145,0,BQ$13),15-13*ORÇAMENTO!$AF$7)/$H145*OFFSET(ORÇAMENTO!$X$15,ROW(BQ145)-ROW(BQ$15),0),
              ROUND(ROUND(OFFSET($P145,0,BQ$13),15-13*ORÇAMENTO!$AF$7)*OFFSET(ORÇAMENTO!$W$15,ROW(BQ145)-ROW(BQ$15),0),15-13*ORÇAMENTO!$AF$11)),
         0)</f>
        <v>0</v>
      </c>
      <c r="BS145" s="353" t="n">
        <f aca="true">IF(OR($D145&lt;&gt;"Serviço",AND(AUTOEVENTO="Manual",$M145=$A$15)),0,
         IF(OFFSET(CRONOPLE!$F$15,$M145-$A$15,BS$13)=0,10^12,OFFSET(CRONOPLE!$F$15,$M145-$A$15,BS$13)))</f>
        <v>1</v>
      </c>
      <c r="BT145" s="353" t="n">
        <f aca="true">IF(OR($D145&lt;&gt;"Serviço",AND(AUTOEVENTO="Manual",$M145=$A$15)),0,
         IF(OFFSET(CRONOPLE!$F$15,$M145-$A$15,BT$13)=0,10^12,OFFSET(CRONOPLE!$F$15,$M145-$A$15,BT$13)))</f>
        <v>2</v>
      </c>
      <c r="BU145" s="353" t="n">
        <f aca="true">IF(OR($D145&lt;&gt;"Serviço",AND(AUTOEVENTO="Manual",$M145=$A$15)),0,
         IF(OFFSET(CRONOPLE!$F$15,$M145-$A$15,BU$13)=0,10^12,OFFSET(CRONOPLE!$F$15,$M145-$A$15,BU$13)))</f>
        <v>3</v>
      </c>
      <c r="BV145" s="353" t="n">
        <f aca="true">IF(OR($D145&lt;&gt;"Serviço",AND(AUTOEVENTO="Manual",$M145=$A$15)),0,
         IF(OFFSET(CRONOPLE!$F$15,$M145-$A$15,BV$13)=0,10^12,OFFSET(CRONOPLE!$F$15,$M145-$A$15,BV$13)))</f>
        <v>4</v>
      </c>
      <c r="BW145" s="353" t="n">
        <f aca="true">IF(OR($D145&lt;&gt;"Serviço",AND(AUTOEVENTO="Manual",$M145=$A$15)),0,
         IF(OFFSET(CRONOPLE!$F$15,$M145-$A$15,BW$13)=0,10^12,OFFSET(CRONOPLE!$F$15,$M145-$A$15,BW$13)))</f>
        <v>5</v>
      </c>
      <c r="BX145" s="353" t="n">
        <f aca="true">IF(OR($D145&lt;&gt;"Serviço",AND(AUTOEVENTO="Manual",$M145=$A$15)),0,
         IF(OFFSET(CRONOPLE!$F$15,$M145-$A$15,BX$13)=0,10^12,OFFSET(CRONOPLE!$F$15,$M145-$A$15,BX$13)))</f>
        <v>6</v>
      </c>
      <c r="BY145" s="353" t="n">
        <f aca="true">IF(OR($D145&lt;&gt;"Serviço",AND(AUTOEVENTO="Manual",$M145=$A$15)),0,
         IF(OFFSET(CRONOPLE!$F$15,$M145-$A$15,BY$13)=0,10^12,OFFSET(CRONOPLE!$F$15,$M145-$A$15,BY$13)))</f>
        <v>7</v>
      </c>
      <c r="BZ145" s="353" t="n">
        <f aca="true">IF(OR($D145&lt;&gt;"Serviço",AND(AUTOEVENTO="Manual",$M145=$A$15)),0,
         IF(OFFSET(CRONOPLE!$F$15,$M145-$A$15,BZ$13)=0,10^12,OFFSET(CRONOPLE!$F$15,$M145-$A$15,BZ$13)))</f>
        <v>8</v>
      </c>
      <c r="CA145" s="353" t="n">
        <f aca="true">IF(OR($D145&lt;&gt;"Serviço",AND(AUTOEVENTO="Manual",$M145=$A$15)),0,
         IF(OFFSET(CRONOPLE!$F$15,$M145-$A$15,CA$13)=0,10^12,OFFSET(CRONOPLE!$F$15,$M145-$A$15,CA$13)))</f>
        <v>9</v>
      </c>
      <c r="CB145" s="353" t="n">
        <f aca="true">IF(OR($D145&lt;&gt;"Serviço",AND(AUTOEVENTO="Manual",$M145=$A$15)),0,
         IF(OFFSET(CRONOPLE!$F$15,$M145-$A$15,CB$13)=0,10^12,OFFSET(CRONOPLE!$F$15,$M145-$A$15,CB$13)))</f>
        <v>10</v>
      </c>
      <c r="CC145" s="353" t="n">
        <f aca="true">IF(OR($D145&lt;&gt;"Serviço",AND(AUTOEVENTO="Manual",$M145=$A$15)),0,
         IF(OFFSET(CRONOPLE!$F$15,$M145-$A$15,CC$13)=0,10^12,OFFSET(CRONOPLE!$F$15,$M145-$A$15,CC$13)))</f>
        <v>11</v>
      </c>
      <c r="CD145" s="353" t="n">
        <f aca="true">IF(OR($D145&lt;&gt;"Serviço",AND(AUTOEVENTO="Manual",$M145=$A$15)),0,
         IF(OFFSET(CRONOPLE!$F$15,$M145-$A$15,CD$13)=0,10^12,OFFSET(CRONOPLE!$F$15,$M145-$A$15,CD$13)))</f>
        <v>12</v>
      </c>
      <c r="CE145" s="353" t="n">
        <f aca="true">IF(OR($D145&lt;&gt;"Serviço",AND(AUTOEVENTO="Manual",$M145=$A$15)),0,
         IF(OFFSET(CRONOPLE!$F$15,$M145-$A$15,CE$13)=0,10^12,OFFSET(CRONOPLE!$F$15,$M145-$A$15,CE$13)))</f>
        <v>13</v>
      </c>
      <c r="CF145" s="353" t="n">
        <f aca="true">IF(OR($D145&lt;&gt;"Serviço",AND(AUTOEVENTO="Manual",$M145=$A$15)),0,
         IF(OFFSET(CRONOPLE!$F$15,$M145-$A$15,CF$13)=0,10^12,OFFSET(CRONOPLE!$F$15,$M145-$A$15,CF$13)))</f>
        <v>14</v>
      </c>
      <c r="CG145" s="353" t="n">
        <f aca="true">IF(OR($D145&lt;&gt;"Serviço",AND(AUTOEVENTO="Manual",$M145=$A$15)),0,
         IF(OFFSET(CRONOPLE!$F$15,$M145-$A$15,CG$13)=0,10^12,OFFSET(CRONOPLE!$F$15,$M145-$A$15,CG$13)))</f>
        <v>15</v>
      </c>
      <c r="CH145" s="353" t="n">
        <f aca="true">IF(OR($D145&lt;&gt;"Serviço",AND(AUTOEVENTO="Manual",$M145=$A$15)),0,
         IF(OFFSET(CRONOPLE!$F$15,$M145-$A$15,CH$13)=0,10^12,OFFSET(CRONOPLE!$F$15,$M145-$A$15,CH$13)))</f>
        <v>16</v>
      </c>
      <c r="CI145" s="353" t="n">
        <f aca="true">IF(OR($D145&lt;&gt;"Serviço",AND(AUTOEVENTO="Manual",$M145=$A$15)),0,
         IF(OFFSET(CRONOPLE!$F$15,$M145-$A$15,CI$13)=0,10^12,OFFSET(CRONOPLE!$F$15,$M145-$A$15,CI$13)))</f>
        <v>17</v>
      </c>
      <c r="CJ145" s="353" t="n">
        <f aca="true">IF(OR($D145&lt;&gt;"Serviço",AND(AUTOEVENTO="Manual",$M145=$A$15)),0,
         IF(OFFSET(CRONOPLE!$F$15,$M145-$A$15,CJ$13)=0,10^12,OFFSET(CRONOPLE!$F$15,$M145-$A$15,CJ$13)))</f>
        <v>18</v>
      </c>
      <c r="CK145" s="353" t="n">
        <f aca="true">IF(OR($D145&lt;&gt;"Serviço",AND(AUTOEVENTO="Manual",$M145=$A$15)),0,
         IF(OFFSET(CRONOPLE!$F$15,$M145-$A$15,CK$13)=0,10^12,OFFSET(CRONOPLE!$F$15,$M145-$A$15,CK$13)))</f>
        <v>19</v>
      </c>
      <c r="CL145" s="353" t="n">
        <f aca="true">IF(OR($D145&lt;&gt;"Serviço",AND(AUTOEVENTO="Manual",$M145=$A$15)),0,
         IF(OFFSET(CRONOPLE!$F$15,$M145-$A$15,CL$13)=0,10^12,OFFSET(CRONOPLE!$F$15,$M145-$A$15,CL$13)))</f>
        <v>20</v>
      </c>
      <c r="CM145" s="353" t="n">
        <f aca="true">IF(OR($D145&lt;&gt;"Serviço",AND(AUTOEVENTO="Manual",$M145=$A$15)),0,
         IF(OFFSET(CRONOPLE!$F$15,$M145-$A$15,CM$13)=0,10^12,OFFSET(CRONOPLE!$F$15,$M145-$A$15,CM$13)))</f>
        <v>21</v>
      </c>
      <c r="CN145" s="353" t="n">
        <f aca="true">IF(OR($D145&lt;&gt;"Serviço",AND(AUTOEVENTO="Manual",$M145=$A$15)),0,
         IF(OFFSET(CRONOPLE!$F$15,$M145-$A$15,CN$13)=0,10^12,OFFSET(CRONOPLE!$F$15,$M145-$A$15,CN$13)))</f>
        <v>22</v>
      </c>
      <c r="CO145" s="353" t="n">
        <f aca="true">IF(OR($D145&lt;&gt;"Serviço",AND(AUTOEVENTO="Manual",$M145=$A$15)),0,
         IF(OFFSET(CRONOPLE!$F$15,$M145-$A$15,CO$13)=0,10^12,OFFSET(CRONOPLE!$F$15,$M145-$A$15,CO$13)))</f>
        <v>23</v>
      </c>
      <c r="CP145" s="353" t="n">
        <f aca="true">IF(OR($D145&lt;&gt;"Serviço",AND(AUTOEVENTO="Manual",$M145=$A$15)),0,
         IF(OFFSET(CRONOPLE!$F$15,$M145-$A$15,CP$13)=0,10^12,OFFSET(CRONOPLE!$F$15,$M145-$A$15,CP$13)))</f>
        <v>24</v>
      </c>
      <c r="CQ145" s="353" t="n">
        <f aca="true">IF(OR($D145&lt;&gt;"Serviço",AND(AUTOEVENTO="Manual",$M145=$A$15)),0,
         IF(OFFSET(CRONOPLE!$F$15,$M145-$A$15,CQ$13)=0,10^12,OFFSET(CRONOPLE!$F$15,$M145-$A$15,CQ$13)))</f>
        <v>25</v>
      </c>
      <c r="CR145" s="353" t="n">
        <f aca="true">IF(OR($D145&lt;&gt;"Serviço",AND(AUTOEVENTO="Manual",$M145=$A$15)),0,
         IF(OFFSET(CRONOPLE!$F$15,$M145-$A$15,CR$13)=0,10^12,OFFSET(CRONOPLE!$F$15,$M145-$A$15,CR$13)))</f>
        <v>1000000000000</v>
      </c>
      <c r="CT145" s="354" t="n">
        <f aca="true">IF(OR($D145&lt;&gt;"Serviço",AND(AUTOEVENTO="Manual",$M145=$A$15),$M145&gt;(ROW(PLE.lastrow)-ROW(PLE.firstrow))),0,
           IF(OFFSET(PLE!$G$15,$M145-$A$15,CT$13)="",10^12,OFFSET(PLE!$G$15,$M145-$A$15,CT$13)))</f>
        <v>1000000000000</v>
      </c>
      <c r="CU145" s="354" t="n">
        <f aca="true">IF(OR($D145&lt;&gt;"Serviço",AND(AUTOEVENTO="Manual",$M145=$A$15),$M145&gt;(ROW(PLE.lastrow)-ROW(PLE.firstrow))),0,
           IF(OFFSET(PLE!$G$15,$M145-$A$15,CU$13)="",10^12,OFFSET(PLE!$G$15,$M145-$A$15,CU$13)))</f>
        <v>1000000000000</v>
      </c>
      <c r="CV145" s="354" t="n">
        <f aca="true">IF(OR($D145&lt;&gt;"Serviço",AND(AUTOEVENTO="Manual",$M145=$A$15),$M145&gt;(ROW(PLE.lastrow)-ROW(PLE.firstrow))),0,
           IF(OFFSET(PLE!$G$15,$M145-$A$15,CV$13)="",10^12,OFFSET(PLE!$G$15,$M145-$A$15,CV$13)))</f>
        <v>1000000000000</v>
      </c>
      <c r="CW145" s="354" t="n">
        <f aca="true">IF(OR($D145&lt;&gt;"Serviço",AND(AUTOEVENTO="Manual",$M145=$A$15),$M145&gt;(ROW(PLE.lastrow)-ROW(PLE.firstrow))),0,
           IF(OFFSET(PLE!$G$15,$M145-$A$15,CW$13)="",10^12,OFFSET(PLE!$G$15,$M145-$A$15,CW$13)))</f>
        <v>1000000000000</v>
      </c>
      <c r="CX145" s="354" t="n">
        <f aca="true">IF(OR($D145&lt;&gt;"Serviço",AND(AUTOEVENTO="Manual",$M145=$A$15),$M145&gt;(ROW(PLE.lastrow)-ROW(PLE.firstrow))),0,
           IF(OFFSET(PLE!$G$15,$M145-$A$15,CX$13)="",10^12,OFFSET(PLE!$G$15,$M145-$A$15,CX$13)))</f>
        <v>1000000000000</v>
      </c>
      <c r="CY145" s="354" t="n">
        <f aca="true">IF(OR($D145&lt;&gt;"Serviço",AND(AUTOEVENTO="Manual",$M145=$A$15),$M145&gt;(ROW(PLE.lastrow)-ROW(PLE.firstrow))),0,
           IF(OFFSET(PLE!$G$15,$M145-$A$15,CY$13)="",10^12,OFFSET(PLE!$G$15,$M145-$A$15,CY$13)))</f>
        <v>1000000000000</v>
      </c>
      <c r="CZ145" s="354" t="n">
        <f aca="true">IF(OR($D145&lt;&gt;"Serviço",AND(AUTOEVENTO="Manual",$M145=$A$15),$M145&gt;(ROW(PLE.lastrow)-ROW(PLE.firstrow))),0,
           IF(OFFSET(PLE!$G$15,$M145-$A$15,CZ$13)="",10^12,OFFSET(PLE!$G$15,$M145-$A$15,CZ$13)))</f>
        <v>1000000000000</v>
      </c>
      <c r="DA145" s="354" t="n">
        <f aca="true">IF(OR($D145&lt;&gt;"Serviço",AND(AUTOEVENTO="Manual",$M145=$A$15),$M145&gt;(ROW(PLE.lastrow)-ROW(PLE.firstrow))),0,
           IF(OFFSET(PLE!$G$15,$M145-$A$15,DA$13)="",10^12,OFFSET(PLE!$G$15,$M145-$A$15,DA$13)))</f>
        <v>1000000000000</v>
      </c>
      <c r="DB145" s="354" t="n">
        <f aca="true">IF(OR($D145&lt;&gt;"Serviço",AND(AUTOEVENTO="Manual",$M145=$A$15),$M145&gt;(ROW(PLE.lastrow)-ROW(PLE.firstrow))),0,
           IF(OFFSET(PLE!$G$15,$M145-$A$15,DB$13)="",10^12,OFFSET(PLE!$G$15,$M145-$A$15,DB$13)))</f>
        <v>1000000000000</v>
      </c>
      <c r="DC145" s="354" t="n">
        <f aca="true">IF(OR($D145&lt;&gt;"Serviço",AND(AUTOEVENTO="Manual",$M145=$A$15),$M145&gt;(ROW(PLE.lastrow)-ROW(PLE.firstrow))),0,
           IF(OFFSET(PLE!$G$15,$M145-$A$15,DC$13)="",10^12,OFFSET(PLE!$G$15,$M145-$A$15,DC$13)))</f>
        <v>1000000000000</v>
      </c>
      <c r="DD145" s="354" t="n">
        <f aca="true">IF(OR($D145&lt;&gt;"Serviço",AND(AUTOEVENTO="Manual",$M145=$A$15),$M145&gt;(ROW(PLE.lastrow)-ROW(PLE.firstrow))),0,
           IF(OFFSET(PLE!$G$15,$M145-$A$15,DD$13)="",10^12,OFFSET(PLE!$G$15,$M145-$A$15,DD$13)))</f>
        <v>1000000000000</v>
      </c>
      <c r="DE145" s="354" t="n">
        <f aca="true">IF(OR($D145&lt;&gt;"Serviço",AND(AUTOEVENTO="Manual",$M145=$A$15),$M145&gt;(ROW(PLE.lastrow)-ROW(PLE.firstrow))),0,
           IF(OFFSET(PLE!$G$15,$M145-$A$15,DE$13)="",10^12,OFFSET(PLE!$G$15,$M145-$A$15,DE$13)))</f>
        <v>1000000000000</v>
      </c>
      <c r="DF145" s="354" t="n">
        <f aca="true">IF(OR($D145&lt;&gt;"Serviço",AND(AUTOEVENTO="Manual",$M145=$A$15),$M145&gt;(ROW(PLE.lastrow)-ROW(PLE.firstrow))),0,
           IF(OFFSET(PLE!$G$15,$M145-$A$15,DF$13)="",10^12,OFFSET(PLE!$G$15,$M145-$A$15,DF$13)))</f>
        <v>1000000000000</v>
      </c>
      <c r="DG145" s="354" t="n">
        <f aca="true">IF(OR($D145&lt;&gt;"Serviço",AND(AUTOEVENTO="Manual",$M145=$A$15),$M145&gt;(ROW(PLE.lastrow)-ROW(PLE.firstrow))),0,
           IF(OFFSET(PLE!$G$15,$M145-$A$15,DG$13)="",10^12,OFFSET(PLE!$G$15,$M145-$A$15,DG$13)))</f>
        <v>1000000000000</v>
      </c>
      <c r="DH145" s="354" t="n">
        <f aca="true">IF(OR($D145&lt;&gt;"Serviço",AND(AUTOEVENTO="Manual",$M145=$A$15),$M145&gt;(ROW(PLE.lastrow)-ROW(PLE.firstrow))),0,
           IF(OFFSET(PLE!$G$15,$M145-$A$15,DH$13)="",10^12,OFFSET(PLE!$G$15,$M145-$A$15,DH$13)))</f>
        <v>1000000000000</v>
      </c>
      <c r="DI145" s="354" t="n">
        <f aca="true">IF(OR($D145&lt;&gt;"Serviço",AND(AUTOEVENTO="Manual",$M145=$A$15),$M145&gt;(ROW(PLE.lastrow)-ROW(PLE.firstrow))),0,
           IF(OFFSET(PLE!$G$15,$M145-$A$15,DI$13)="",10^12,OFFSET(PLE!$G$15,$M145-$A$15,DI$13)))</f>
        <v>1000000000000</v>
      </c>
      <c r="DJ145" s="354" t="n">
        <f aca="true">IF(OR($D145&lt;&gt;"Serviço",AND(AUTOEVENTO="Manual",$M145=$A$15),$M145&gt;(ROW(PLE.lastrow)-ROW(PLE.firstrow))),0,
           IF(OFFSET(PLE!$G$15,$M145-$A$15,DJ$13)="",10^12,OFFSET(PLE!$G$15,$M145-$A$15,DJ$13)))</f>
        <v>1000000000000</v>
      </c>
      <c r="DK145" s="354" t="n">
        <f aca="true">IF(OR($D145&lt;&gt;"Serviço",AND(AUTOEVENTO="Manual",$M145=$A$15),$M145&gt;(ROW(PLE.lastrow)-ROW(PLE.firstrow))),0,
           IF(OFFSET(PLE!$G$15,$M145-$A$15,DK$13)="",10^12,OFFSET(PLE!$G$15,$M145-$A$15,DK$13)))</f>
        <v>1000000000000</v>
      </c>
      <c r="DL145" s="354" t="n">
        <f aca="true">IF(OR($D145&lt;&gt;"Serviço",AND(AUTOEVENTO="Manual",$M145=$A$15),$M145&gt;(ROW(PLE.lastrow)-ROW(PLE.firstrow))),0,
           IF(OFFSET(PLE!$G$15,$M145-$A$15,DL$13)="",10^12,OFFSET(PLE!$G$15,$M145-$A$15,DL$13)))</f>
        <v>1000000000000</v>
      </c>
      <c r="DM145" s="354" t="n">
        <f aca="true">IF(OR($D145&lt;&gt;"Serviço",AND(AUTOEVENTO="Manual",$M145=$A$15),$M145&gt;(ROW(PLE.lastrow)-ROW(PLE.firstrow))),0,
           IF(OFFSET(PLE!$G$15,$M145-$A$15,DM$13)="",10^12,OFFSET(PLE!$G$15,$M145-$A$15,DM$13)))</f>
        <v>1000000000000</v>
      </c>
      <c r="DN145" s="354" t="n">
        <f aca="true">IF(OR($D145&lt;&gt;"Serviço",AND(AUTOEVENTO="Manual",$M145=$A$15),$M145&gt;(ROW(PLE.lastrow)-ROW(PLE.firstrow))),0,
           IF(OFFSET(PLE!$G$15,$M145-$A$15,DN$13)="",10^12,OFFSET(PLE!$G$15,$M145-$A$15,DN$13)))</f>
        <v>1000000000000</v>
      </c>
      <c r="DO145" s="354" t="n">
        <f aca="true">IF(OR($D145&lt;&gt;"Serviço",AND(AUTOEVENTO="Manual",$M145=$A$15),$M145&gt;(ROW(PLE.lastrow)-ROW(PLE.firstrow))),0,
           IF(OFFSET(PLE!$G$15,$M145-$A$15,DO$13)="",10^12,OFFSET(PLE!$G$15,$M145-$A$15,DO$13)))</f>
        <v>1000000000000</v>
      </c>
      <c r="DP145" s="354" t="n">
        <f aca="true">IF(OR($D145&lt;&gt;"Serviço",AND(AUTOEVENTO="Manual",$M145=$A$15),$M145&gt;(ROW(PLE.lastrow)-ROW(PLE.firstrow))),0,
           IF(OFFSET(PLE!$G$15,$M145-$A$15,DP$13)="",10^12,OFFSET(PLE!$G$15,$M145-$A$15,DP$13)))</f>
        <v>1000000000000</v>
      </c>
      <c r="DQ145" s="354" t="n">
        <f aca="true">IF(OR($D145&lt;&gt;"Serviço",AND(AUTOEVENTO="Manual",$M145=$A$15),$M145&gt;(ROW(PLE.lastrow)-ROW(PLE.firstrow))),0,
           IF(OFFSET(PLE!$G$15,$M145-$A$15,DQ$13)="",10^12,OFFSET(PLE!$G$15,$M145-$A$15,DQ$13)))</f>
        <v>1000000000000</v>
      </c>
      <c r="DR145" s="354" t="n">
        <f aca="true">IF(OR($D145&lt;&gt;"Serviço",AND(AUTOEVENTO="Manual",$M145=$A$15),$M145&gt;(ROW(PLE.lastrow)-ROW(PLE.firstrow))),0,
           IF(OFFSET(PLE!$G$15,$M145-$A$15,DR$13)="",10^12,OFFSET(PLE!$G$15,$M145-$A$15,DR$13)))</f>
        <v>1000000000000</v>
      </c>
      <c r="DS145" s="354" t="n">
        <f aca="true">IF(OR($D145&lt;&gt;"Serviço",AND(AUTOEVENTO="Manual",$M145=$A$15),$M145&gt;(ROW(PLE.lastrow)-ROW(PLE.firstrow))),0,
           IF(OFFSET(PLE!$G$15,$M145-$A$15,DS$13)="",10^12,OFFSET(PLE!$G$15,$M145-$A$15,DS$13)))</f>
        <v>1000000000000</v>
      </c>
    </row>
    <row r="146" customFormat="false" ht="23.85" hidden="false" customHeight="false" outlineLevel="0" collapsed="false">
      <c r="A146" s="50" t="str">
        <f aca="true">IFERROR(IF(AUTOEVENTO="Manual",IF(K146&lt;&gt;"",MIN(VALUE(LEFT(K146,FIND(".",K146)-1)),COUNTA(EVENTOS.Lista)),0),IF(OR($B146&gt;AUTOEVENTO,$B146="S",$B146=0),SUBSTITUTE(OFFSET($A146,-1,0),IF($D146="Serviço",".",""),""),ROW(A146)-ROW($A$15)&amp;".")),0)</f>
        <v>128</v>
      </c>
      <c r="B146" s="50" t="str">
        <f aca="true">OFFSET(ORÇAMENTO!C$15,ROW(B146)-ROW(B$15),0)</f>
        <v>S</v>
      </c>
      <c r="C146" s="50" t="str">
        <f aca="true">OFFSET(ORÇAMENTO!L$15,ROW(C146)-ROW(C$15),0)</f>
        <v>F</v>
      </c>
      <c r="D146" s="201" t="str">
        <f aca="true">OFFSET(ORÇAMENTO!N$15,ROW(D146)-ROW(D$15),0)</f>
        <v>Serviço</v>
      </c>
      <c r="E146" s="202" t="str">
        <f aca="true">OFFSET(ORÇAMENTO!O$15,ROW(E146)-ROW(E$15),0)</f>
        <v>1.41.3.</v>
      </c>
      <c r="F146" s="341" t="str">
        <f aca="true">OFFSET(ORÇAMENTO!R$15,ROW(F146)-ROW(F$15),0)</f>
        <v>REGISTRO DE ESFERA, PVC, SOLDÁVEL, COM VOLANTE, DN 32 MM - FORNECIMENTO E INSTALAÇÃO. AF_08/2021</v>
      </c>
      <c r="G146" s="342" t="str">
        <f aca="true">IF($D146&lt;&gt;"Serviço","",OFFSET(ORÇAMENTO!S$15,ROW(G146)-ROW(G$15),0))</f>
        <v>UN</v>
      </c>
      <c r="H146" s="207" t="n">
        <f aca="true">IF($D146&lt;&gt;"Serviço",0,IF(ACOMPANHAMENTO="BM",ROUND(OFFSET(ORÇAMENTO!AJ$15,ROW(H146)-ROW(H$15),0),15-13*ORÇAMENTO!$AF$7),SUMPRODUCT(($Q$1:$AQ$1=1)*ROUND($Q146:$AQ146,15-13*ORÇAMENTO!$AF$7))))</f>
        <v>50</v>
      </c>
      <c r="I146" s="343" t="s">
        <v>972</v>
      </c>
      <c r="J146" s="344" t="e">
        <f aca="false">IF(OR(B146&lt;&gt;"S",CÁLCULO.FrentesPreenchidas=0),"",IF(AND(ACOMPANHAMENTO="PLE",AUTOEVENTO="Manual",OR(H146&gt;0,ORÇAMENTO!AC146="QUANT."),OR(K146="",M146=0,N146="")),"►",IF(AND(ACOMPANHAMENTO="PLE",ORÇAMENTO!AC146="QUANT."),"►►",IF(AND(COUNTIF($P$11:$AQ$11,"▼")=0,H146&gt;0,I146=""),"◄",""))))</f>
        <v>#NAME?</v>
      </c>
      <c r="K146" s="345"/>
      <c r="L146" s="346" t="s">
        <v>876</v>
      </c>
      <c r="M146" s="347" t="n">
        <f aca="true">IF($D146&lt;&gt;"Serviço","",
          IF(AUTOEVENTO="manual",$A146,
                IF(ISERROR(MATCH($A146,$A$15:OFFSET($A146,-1,0),0)),MAX($M$15:OFFSET(M146,-1,0))+1,
                      INDEX($M$15:OFFSET(M146,-1,0),MATCH($A146,$A$15:OFFSET($A146,-1,0),0)))))</f>
        <v>25</v>
      </c>
      <c r="N146" s="348" t="str">
        <f aca="true">IF($D146&lt;&gt;"Serviço","",
         IF(AUTOEVENTO="Manual",
                IF($A146=0,"&lt;-- defina o número do agrupador",
                       OFFSET(EVENTOS!$D$15,$A146-$A$15,0)),
                OFFSET($F$15,$A146,0)))</f>
        <v>REGISTROS </v>
      </c>
      <c r="O146" s="349"/>
      <c r="Q146" s="349" t="n">
        <v>2</v>
      </c>
      <c r="R146" s="350" t="n">
        <f aca="false">Q146</f>
        <v>2</v>
      </c>
      <c r="S146" s="350" t="n">
        <f aca="false">R146</f>
        <v>2</v>
      </c>
      <c r="T146" s="350" t="n">
        <f aca="false">S146</f>
        <v>2</v>
      </c>
      <c r="U146" s="350" t="n">
        <f aca="false">T146</f>
        <v>2</v>
      </c>
      <c r="V146" s="350" t="n">
        <f aca="false">U146</f>
        <v>2</v>
      </c>
      <c r="W146" s="350" t="n">
        <f aca="false">V146</f>
        <v>2</v>
      </c>
      <c r="X146" s="350" t="n">
        <f aca="false">W146</f>
        <v>2</v>
      </c>
      <c r="Y146" s="350" t="n">
        <f aca="false">X146</f>
        <v>2</v>
      </c>
      <c r="Z146" s="351" t="n">
        <f aca="false">Y146</f>
        <v>2</v>
      </c>
      <c r="AA146" s="350" t="n">
        <f aca="false">Z146</f>
        <v>2</v>
      </c>
      <c r="AB146" s="350" t="n">
        <f aca="false">AA146</f>
        <v>2</v>
      </c>
      <c r="AC146" s="350" t="n">
        <f aca="false">AB146</f>
        <v>2</v>
      </c>
      <c r="AD146" s="350" t="n">
        <f aca="false">AC146</f>
        <v>2</v>
      </c>
      <c r="AE146" s="350" t="n">
        <f aca="false">AD146</f>
        <v>2</v>
      </c>
      <c r="AF146" s="350" t="n">
        <f aca="false">AE146</f>
        <v>2</v>
      </c>
      <c r="AG146" s="350" t="n">
        <f aca="false">AF146</f>
        <v>2</v>
      </c>
      <c r="AH146" s="351" t="n">
        <f aca="false">AG146</f>
        <v>2</v>
      </c>
      <c r="AI146" s="350" t="n">
        <f aca="false">AH146</f>
        <v>2</v>
      </c>
      <c r="AJ146" s="350" t="n">
        <f aca="false">AI146</f>
        <v>2</v>
      </c>
      <c r="AK146" s="350" t="n">
        <f aca="false">AJ146</f>
        <v>2</v>
      </c>
      <c r="AL146" s="350" t="n">
        <f aca="false">AK146</f>
        <v>2</v>
      </c>
      <c r="AM146" s="350" t="n">
        <f aca="false">AL146</f>
        <v>2</v>
      </c>
      <c r="AN146" s="350" t="n">
        <f aca="false">AM146</f>
        <v>2</v>
      </c>
      <c r="AO146" s="350" t="n">
        <f aca="false">AN146</f>
        <v>2</v>
      </c>
      <c r="AP146" s="351"/>
      <c r="AR146" s="352" t="n">
        <f aca="true">IF(AND($D146="Serviço",AR$12&lt;&gt;0,$H146&gt;0,OR(AUTOEVENTO&lt;&gt;"manual",$M146&lt;&gt;$A$15)),
        IF(Import.TipoArredondamento&lt;&gt;"TransfereGOV",
              ROUND(OFFSET($P146,0,AR$13),15-13*ORÇAMENTO!$AF$7)/$H146*OFFSET(ORÇAMENTO!$X$15,ROW(AR146)-ROW(AR$15),0),
              ROUND(ROUND(OFFSET($P146,0,AR$13),15-13*ORÇAMENTO!$AF$7)*OFFSET(ORÇAMENTO!$W$15,ROW(AR146)-ROW(AR$15),0),15-13*ORÇAMENTO!$AF$11)),
         0)</f>
        <v>77.44</v>
      </c>
      <c r="AS146" s="352" t="n">
        <f aca="true">IF(AND($D146="Serviço",AS$12&lt;&gt;0,$H146&gt;0,OR(AUTOEVENTO&lt;&gt;"manual",$M146&lt;&gt;$A$15)),
        IF(Import.TipoArredondamento&lt;&gt;"TransfereGOV",
              ROUND(OFFSET($P146,0,AS$13),15-13*ORÇAMENTO!$AF$7)/$H146*OFFSET(ORÇAMENTO!$X$15,ROW(AS146)-ROW(AS$15),0),
              ROUND(ROUND(OFFSET($P146,0,AS$13),15-13*ORÇAMENTO!$AF$7)*OFFSET(ORÇAMENTO!$W$15,ROW(AS146)-ROW(AS$15),0),15-13*ORÇAMENTO!$AF$11)),
         0)</f>
        <v>77.44</v>
      </c>
      <c r="AT146" s="352" t="n">
        <f aca="true">IF(AND($D146="Serviço",AT$12&lt;&gt;0,$H146&gt;0,OR(AUTOEVENTO&lt;&gt;"manual",$M146&lt;&gt;$A$15)),
        IF(Import.TipoArredondamento&lt;&gt;"TransfereGOV",
              ROUND(OFFSET($P146,0,AT$13),15-13*ORÇAMENTO!$AF$7)/$H146*OFFSET(ORÇAMENTO!$X$15,ROW(AT146)-ROW(AT$15),0),
              ROUND(ROUND(OFFSET($P146,0,AT$13),15-13*ORÇAMENTO!$AF$7)*OFFSET(ORÇAMENTO!$W$15,ROW(AT146)-ROW(AT$15),0),15-13*ORÇAMENTO!$AF$11)),
         0)</f>
        <v>77.44</v>
      </c>
      <c r="AU146" s="352" t="n">
        <f aca="true">IF(AND($D146="Serviço",AU$12&lt;&gt;0,$H146&gt;0,OR(AUTOEVENTO&lt;&gt;"manual",$M146&lt;&gt;$A$15)),
        IF(Import.TipoArredondamento&lt;&gt;"TransfereGOV",
              ROUND(OFFSET($P146,0,AU$13),15-13*ORÇAMENTO!$AF$7)/$H146*OFFSET(ORÇAMENTO!$X$15,ROW(AU146)-ROW(AU$15),0),
              ROUND(ROUND(OFFSET($P146,0,AU$13),15-13*ORÇAMENTO!$AF$7)*OFFSET(ORÇAMENTO!$W$15,ROW(AU146)-ROW(AU$15),0),15-13*ORÇAMENTO!$AF$11)),
         0)</f>
        <v>77.44</v>
      </c>
      <c r="AV146" s="352" t="n">
        <f aca="true">IF(AND($D146="Serviço",AV$12&lt;&gt;0,$H146&gt;0,OR(AUTOEVENTO&lt;&gt;"manual",$M146&lt;&gt;$A$15)),
        IF(Import.TipoArredondamento&lt;&gt;"TransfereGOV",
              ROUND(OFFSET($P146,0,AV$13),15-13*ORÇAMENTO!$AF$7)/$H146*OFFSET(ORÇAMENTO!$X$15,ROW(AV146)-ROW(AV$15),0),
              ROUND(ROUND(OFFSET($P146,0,AV$13),15-13*ORÇAMENTO!$AF$7)*OFFSET(ORÇAMENTO!$W$15,ROW(AV146)-ROW(AV$15),0),15-13*ORÇAMENTO!$AF$11)),
         0)</f>
        <v>77.44</v>
      </c>
      <c r="AW146" s="352" t="n">
        <f aca="true">IF(AND($D146="Serviço",AW$12&lt;&gt;0,$H146&gt;0,OR(AUTOEVENTO&lt;&gt;"manual",$M146&lt;&gt;$A$15)),
        IF(Import.TipoArredondamento&lt;&gt;"TransfereGOV",
              ROUND(OFFSET($P146,0,AW$13),15-13*ORÇAMENTO!$AF$7)/$H146*OFFSET(ORÇAMENTO!$X$15,ROW(AW146)-ROW(AW$15),0),
              ROUND(ROUND(OFFSET($P146,0,AW$13),15-13*ORÇAMENTO!$AF$7)*OFFSET(ORÇAMENTO!$W$15,ROW(AW146)-ROW(AW$15),0),15-13*ORÇAMENTO!$AF$11)),
         0)</f>
        <v>77.44</v>
      </c>
      <c r="AX146" s="352" t="n">
        <f aca="true">IF(AND($D146="Serviço",AX$12&lt;&gt;0,$H146&gt;0,OR(AUTOEVENTO&lt;&gt;"manual",$M146&lt;&gt;$A$15)),
        IF(Import.TipoArredondamento&lt;&gt;"TransfereGOV",
              ROUND(OFFSET($P146,0,AX$13),15-13*ORÇAMENTO!$AF$7)/$H146*OFFSET(ORÇAMENTO!$X$15,ROW(AX146)-ROW(AX$15),0),
              ROUND(ROUND(OFFSET($P146,0,AX$13),15-13*ORÇAMENTO!$AF$7)*OFFSET(ORÇAMENTO!$W$15,ROW(AX146)-ROW(AX$15),0),15-13*ORÇAMENTO!$AF$11)),
         0)</f>
        <v>77.44</v>
      </c>
      <c r="AY146" s="352" t="n">
        <f aca="true">IF(AND($D146="Serviço",AY$12&lt;&gt;0,$H146&gt;0,OR(AUTOEVENTO&lt;&gt;"manual",$M146&lt;&gt;$A$15)),
        IF(Import.TipoArredondamento&lt;&gt;"TransfereGOV",
              ROUND(OFFSET($P146,0,AY$13),15-13*ORÇAMENTO!$AF$7)/$H146*OFFSET(ORÇAMENTO!$X$15,ROW(AY146)-ROW(AY$15),0),
              ROUND(ROUND(OFFSET($P146,0,AY$13),15-13*ORÇAMENTO!$AF$7)*OFFSET(ORÇAMENTO!$W$15,ROW(AY146)-ROW(AY$15),0),15-13*ORÇAMENTO!$AF$11)),
         0)</f>
        <v>77.44</v>
      </c>
      <c r="AZ146" s="352" t="n">
        <f aca="true">IF(AND($D146="Serviço",AZ$12&lt;&gt;0,$H146&gt;0,OR(AUTOEVENTO&lt;&gt;"manual",$M146&lt;&gt;$A$15)),
        IF(Import.TipoArredondamento&lt;&gt;"TransfereGOV",
              ROUND(OFFSET($P146,0,AZ$13),15-13*ORÇAMENTO!$AF$7)/$H146*OFFSET(ORÇAMENTO!$X$15,ROW(AZ146)-ROW(AZ$15),0),
              ROUND(ROUND(OFFSET($P146,0,AZ$13),15-13*ORÇAMENTO!$AF$7)*OFFSET(ORÇAMENTO!$W$15,ROW(AZ146)-ROW(AZ$15),0),15-13*ORÇAMENTO!$AF$11)),
         0)</f>
        <v>77.44</v>
      </c>
      <c r="BA146" s="352" t="n">
        <f aca="true">IF(AND($D146="Serviço",BA$12&lt;&gt;0,$H146&gt;0,OR(AUTOEVENTO&lt;&gt;"manual",$M146&lt;&gt;$A$15)),
        IF(Import.TipoArredondamento&lt;&gt;"TransfereGOV",
              ROUND(OFFSET($P146,0,BA$13),15-13*ORÇAMENTO!$AF$7)/$H146*OFFSET(ORÇAMENTO!$X$15,ROW(BA146)-ROW(BA$15),0),
              ROUND(ROUND(OFFSET($P146,0,BA$13),15-13*ORÇAMENTO!$AF$7)*OFFSET(ORÇAMENTO!$W$15,ROW(BA146)-ROW(BA$15),0),15-13*ORÇAMENTO!$AF$11)),
         0)</f>
        <v>77.44</v>
      </c>
      <c r="BB146" s="352" t="n">
        <f aca="true">IF(AND($D146="Serviço",BB$12&lt;&gt;0,$H146&gt;0,OR(AUTOEVENTO&lt;&gt;"manual",$M146&lt;&gt;$A$15)),
        IF(Import.TipoArredondamento&lt;&gt;"TransfereGOV",
              ROUND(OFFSET($P146,0,BB$13),15-13*ORÇAMENTO!$AF$7)/$H146*OFFSET(ORÇAMENTO!$X$15,ROW(BB146)-ROW(BB$15),0),
              ROUND(ROUND(OFFSET($P146,0,BB$13),15-13*ORÇAMENTO!$AF$7)*OFFSET(ORÇAMENTO!$W$15,ROW(BB146)-ROW(BB$15),0),15-13*ORÇAMENTO!$AF$11)),
         0)</f>
        <v>77.44</v>
      </c>
      <c r="BC146" s="352" t="n">
        <f aca="true">IF(AND($D146="Serviço",BC$12&lt;&gt;0,$H146&gt;0,OR(AUTOEVENTO&lt;&gt;"manual",$M146&lt;&gt;$A$15)),
        IF(Import.TipoArredondamento&lt;&gt;"TransfereGOV",
              ROUND(OFFSET($P146,0,BC$13),15-13*ORÇAMENTO!$AF$7)/$H146*OFFSET(ORÇAMENTO!$X$15,ROW(BC146)-ROW(BC$15),0),
              ROUND(ROUND(OFFSET($P146,0,BC$13),15-13*ORÇAMENTO!$AF$7)*OFFSET(ORÇAMENTO!$W$15,ROW(BC146)-ROW(BC$15),0),15-13*ORÇAMENTO!$AF$11)),
         0)</f>
        <v>77.44</v>
      </c>
      <c r="BD146" s="352" t="n">
        <f aca="true">IF(AND($D146="Serviço",BD$12&lt;&gt;0,$H146&gt;0,OR(AUTOEVENTO&lt;&gt;"manual",$M146&lt;&gt;$A$15)),
        IF(Import.TipoArredondamento&lt;&gt;"TransfereGOV",
              ROUND(OFFSET($P146,0,BD$13),15-13*ORÇAMENTO!$AF$7)/$H146*OFFSET(ORÇAMENTO!$X$15,ROW(BD146)-ROW(BD$15),0),
              ROUND(ROUND(OFFSET($P146,0,BD$13),15-13*ORÇAMENTO!$AF$7)*OFFSET(ORÇAMENTO!$W$15,ROW(BD146)-ROW(BD$15),0),15-13*ORÇAMENTO!$AF$11)),
         0)</f>
        <v>77.44</v>
      </c>
      <c r="BE146" s="352" t="n">
        <f aca="true">IF(AND($D146="Serviço",BE$12&lt;&gt;0,$H146&gt;0,OR(AUTOEVENTO&lt;&gt;"manual",$M146&lt;&gt;$A$15)),
        IF(Import.TipoArredondamento&lt;&gt;"TransfereGOV",
              ROUND(OFFSET($P146,0,BE$13),15-13*ORÇAMENTO!$AF$7)/$H146*OFFSET(ORÇAMENTO!$X$15,ROW(BE146)-ROW(BE$15),0),
              ROUND(ROUND(OFFSET($P146,0,BE$13),15-13*ORÇAMENTO!$AF$7)*OFFSET(ORÇAMENTO!$W$15,ROW(BE146)-ROW(BE$15),0),15-13*ORÇAMENTO!$AF$11)),
         0)</f>
        <v>77.44</v>
      </c>
      <c r="BF146" s="352" t="n">
        <f aca="true">IF(AND($D146="Serviço",BF$12&lt;&gt;0,$H146&gt;0,OR(AUTOEVENTO&lt;&gt;"manual",$M146&lt;&gt;$A$15)),
        IF(Import.TipoArredondamento&lt;&gt;"TransfereGOV",
              ROUND(OFFSET($P146,0,BF$13),15-13*ORÇAMENTO!$AF$7)/$H146*OFFSET(ORÇAMENTO!$X$15,ROW(BF146)-ROW(BF$15),0),
              ROUND(ROUND(OFFSET($P146,0,BF$13),15-13*ORÇAMENTO!$AF$7)*OFFSET(ORÇAMENTO!$W$15,ROW(BF146)-ROW(BF$15),0),15-13*ORÇAMENTO!$AF$11)),
         0)</f>
        <v>77.44</v>
      </c>
      <c r="BG146" s="352" t="n">
        <f aca="true">IF(AND($D146="Serviço",BG$12&lt;&gt;0,$H146&gt;0,OR(AUTOEVENTO&lt;&gt;"manual",$M146&lt;&gt;$A$15)),
        IF(Import.TipoArredondamento&lt;&gt;"TransfereGOV",
              ROUND(OFFSET($P146,0,BG$13),15-13*ORÇAMENTO!$AF$7)/$H146*OFFSET(ORÇAMENTO!$X$15,ROW(BG146)-ROW(BG$15),0),
              ROUND(ROUND(OFFSET($P146,0,BG$13),15-13*ORÇAMENTO!$AF$7)*OFFSET(ORÇAMENTO!$W$15,ROW(BG146)-ROW(BG$15),0),15-13*ORÇAMENTO!$AF$11)),
         0)</f>
        <v>77.44</v>
      </c>
      <c r="BH146" s="352" t="n">
        <f aca="true">IF(AND($D146="Serviço",BH$12&lt;&gt;0,$H146&gt;0,OR(AUTOEVENTO&lt;&gt;"manual",$M146&lt;&gt;$A$15)),
        IF(Import.TipoArredondamento&lt;&gt;"TransfereGOV",
              ROUND(OFFSET($P146,0,BH$13),15-13*ORÇAMENTO!$AF$7)/$H146*OFFSET(ORÇAMENTO!$X$15,ROW(BH146)-ROW(BH$15),0),
              ROUND(ROUND(OFFSET($P146,0,BH$13),15-13*ORÇAMENTO!$AF$7)*OFFSET(ORÇAMENTO!$W$15,ROW(BH146)-ROW(BH$15),0),15-13*ORÇAMENTO!$AF$11)),
         0)</f>
        <v>77.44</v>
      </c>
      <c r="BI146" s="352" t="n">
        <f aca="true">IF(AND($D146="Serviço",BI$12&lt;&gt;0,$H146&gt;0,OR(AUTOEVENTO&lt;&gt;"manual",$M146&lt;&gt;$A$15)),
        IF(Import.TipoArredondamento&lt;&gt;"TransfereGOV",
              ROUND(OFFSET($P146,0,BI$13),15-13*ORÇAMENTO!$AF$7)/$H146*OFFSET(ORÇAMENTO!$X$15,ROW(BI146)-ROW(BI$15),0),
              ROUND(ROUND(OFFSET($P146,0,BI$13),15-13*ORÇAMENTO!$AF$7)*OFFSET(ORÇAMENTO!$W$15,ROW(BI146)-ROW(BI$15),0),15-13*ORÇAMENTO!$AF$11)),
         0)</f>
        <v>77.44</v>
      </c>
      <c r="BJ146" s="352" t="n">
        <f aca="true">IF(AND($D146="Serviço",BJ$12&lt;&gt;0,$H146&gt;0,OR(AUTOEVENTO&lt;&gt;"manual",$M146&lt;&gt;$A$15)),
        IF(Import.TipoArredondamento&lt;&gt;"TransfereGOV",
              ROUND(OFFSET($P146,0,BJ$13),15-13*ORÇAMENTO!$AF$7)/$H146*OFFSET(ORÇAMENTO!$X$15,ROW(BJ146)-ROW(BJ$15),0),
              ROUND(ROUND(OFFSET($P146,0,BJ$13),15-13*ORÇAMENTO!$AF$7)*OFFSET(ORÇAMENTO!$W$15,ROW(BJ146)-ROW(BJ$15),0),15-13*ORÇAMENTO!$AF$11)),
         0)</f>
        <v>77.44</v>
      </c>
      <c r="BK146" s="352" t="n">
        <f aca="true">IF(AND($D146="Serviço",BK$12&lt;&gt;0,$H146&gt;0,OR(AUTOEVENTO&lt;&gt;"manual",$M146&lt;&gt;$A$15)),
        IF(Import.TipoArredondamento&lt;&gt;"TransfereGOV",
              ROUND(OFFSET($P146,0,BK$13),15-13*ORÇAMENTO!$AF$7)/$H146*OFFSET(ORÇAMENTO!$X$15,ROW(BK146)-ROW(BK$15),0),
              ROUND(ROUND(OFFSET($P146,0,BK$13),15-13*ORÇAMENTO!$AF$7)*OFFSET(ORÇAMENTO!$W$15,ROW(BK146)-ROW(BK$15),0),15-13*ORÇAMENTO!$AF$11)),
         0)</f>
        <v>77.44</v>
      </c>
      <c r="BL146" s="352" t="n">
        <f aca="true">IF(AND($D146="Serviço",BL$12&lt;&gt;0,$H146&gt;0,OR(AUTOEVENTO&lt;&gt;"manual",$M146&lt;&gt;$A$15)),
        IF(Import.TipoArredondamento&lt;&gt;"TransfereGOV",
              ROUND(OFFSET($P146,0,BL$13),15-13*ORÇAMENTO!$AF$7)/$H146*OFFSET(ORÇAMENTO!$X$15,ROW(BL146)-ROW(BL$15),0),
              ROUND(ROUND(OFFSET($P146,0,BL$13),15-13*ORÇAMENTO!$AF$7)*OFFSET(ORÇAMENTO!$W$15,ROW(BL146)-ROW(BL$15),0),15-13*ORÇAMENTO!$AF$11)),
         0)</f>
        <v>77.44</v>
      </c>
      <c r="BM146" s="352" t="n">
        <f aca="true">IF(AND($D146="Serviço",BM$12&lt;&gt;0,$H146&gt;0,OR(AUTOEVENTO&lt;&gt;"manual",$M146&lt;&gt;$A$15)),
        IF(Import.TipoArredondamento&lt;&gt;"TransfereGOV",
              ROUND(OFFSET($P146,0,BM$13),15-13*ORÇAMENTO!$AF$7)/$H146*OFFSET(ORÇAMENTO!$X$15,ROW(BM146)-ROW(BM$15),0),
              ROUND(ROUND(OFFSET($P146,0,BM$13),15-13*ORÇAMENTO!$AF$7)*OFFSET(ORÇAMENTO!$W$15,ROW(BM146)-ROW(BM$15),0),15-13*ORÇAMENTO!$AF$11)),
         0)</f>
        <v>77.44</v>
      </c>
      <c r="BN146" s="352" t="n">
        <f aca="true">IF(AND($D146="Serviço",BN$12&lt;&gt;0,$H146&gt;0,OR(AUTOEVENTO&lt;&gt;"manual",$M146&lt;&gt;$A$15)),
        IF(Import.TipoArredondamento&lt;&gt;"TransfereGOV",
              ROUND(OFFSET($P146,0,BN$13),15-13*ORÇAMENTO!$AF$7)/$H146*OFFSET(ORÇAMENTO!$X$15,ROW(BN146)-ROW(BN$15),0),
              ROUND(ROUND(OFFSET($P146,0,BN$13),15-13*ORÇAMENTO!$AF$7)*OFFSET(ORÇAMENTO!$W$15,ROW(BN146)-ROW(BN$15),0),15-13*ORÇAMENTO!$AF$11)),
         0)</f>
        <v>77.44</v>
      </c>
      <c r="BO146" s="352" t="n">
        <f aca="true">IF(AND($D146="Serviço",BO$12&lt;&gt;0,$H146&gt;0,OR(AUTOEVENTO&lt;&gt;"manual",$M146&lt;&gt;$A$15)),
        IF(Import.TipoArredondamento&lt;&gt;"TransfereGOV",
              ROUND(OFFSET($P146,0,BO$13),15-13*ORÇAMENTO!$AF$7)/$H146*OFFSET(ORÇAMENTO!$X$15,ROW(BO146)-ROW(BO$15),0),
              ROUND(ROUND(OFFSET($P146,0,BO$13),15-13*ORÇAMENTO!$AF$7)*OFFSET(ORÇAMENTO!$W$15,ROW(BO146)-ROW(BO$15),0),15-13*ORÇAMENTO!$AF$11)),
         0)</f>
        <v>77.44</v>
      </c>
      <c r="BP146" s="352" t="n">
        <f aca="true">IF(AND($D146="Serviço",BP$12&lt;&gt;0,$H146&gt;0,OR(AUTOEVENTO&lt;&gt;"manual",$M146&lt;&gt;$A$15)),
        IF(Import.TipoArredondamento&lt;&gt;"TransfereGOV",
              ROUND(OFFSET($P146,0,BP$13),15-13*ORÇAMENTO!$AF$7)/$H146*OFFSET(ORÇAMENTO!$X$15,ROW(BP146)-ROW(BP$15),0),
              ROUND(ROUND(OFFSET($P146,0,BP$13),15-13*ORÇAMENTO!$AF$7)*OFFSET(ORÇAMENTO!$W$15,ROW(BP146)-ROW(BP$15),0),15-13*ORÇAMENTO!$AF$11)),
         0)</f>
        <v>77.44</v>
      </c>
      <c r="BQ146" s="352" t="n">
        <f aca="true">IF(AND($D146="Serviço",BQ$12&lt;&gt;0,$H146&gt;0,OR(AUTOEVENTO&lt;&gt;"manual",$M146&lt;&gt;$A$15)),
        IF(Import.TipoArredondamento&lt;&gt;"TransfereGOV",
              ROUND(OFFSET($P146,0,BQ$13),15-13*ORÇAMENTO!$AF$7)/$H146*OFFSET(ORÇAMENTO!$X$15,ROW(BQ146)-ROW(BQ$15),0),
              ROUND(ROUND(OFFSET($P146,0,BQ$13),15-13*ORÇAMENTO!$AF$7)*OFFSET(ORÇAMENTO!$W$15,ROW(BQ146)-ROW(BQ$15),0),15-13*ORÇAMENTO!$AF$11)),
         0)</f>
        <v>0</v>
      </c>
      <c r="BS146" s="353" t="n">
        <f aca="true">IF(OR($D146&lt;&gt;"Serviço",AND(AUTOEVENTO="Manual",$M146=$A$15)),0,
         IF(OFFSET(CRONOPLE!$F$15,$M146-$A$15,BS$13)=0,10^12,OFFSET(CRONOPLE!$F$15,$M146-$A$15,BS$13)))</f>
        <v>1</v>
      </c>
      <c r="BT146" s="353" t="n">
        <f aca="true">IF(OR($D146&lt;&gt;"Serviço",AND(AUTOEVENTO="Manual",$M146=$A$15)),0,
         IF(OFFSET(CRONOPLE!$F$15,$M146-$A$15,BT$13)=0,10^12,OFFSET(CRONOPLE!$F$15,$M146-$A$15,BT$13)))</f>
        <v>2</v>
      </c>
      <c r="BU146" s="353" t="n">
        <f aca="true">IF(OR($D146&lt;&gt;"Serviço",AND(AUTOEVENTO="Manual",$M146=$A$15)),0,
         IF(OFFSET(CRONOPLE!$F$15,$M146-$A$15,BU$13)=0,10^12,OFFSET(CRONOPLE!$F$15,$M146-$A$15,BU$13)))</f>
        <v>3</v>
      </c>
      <c r="BV146" s="353" t="n">
        <f aca="true">IF(OR($D146&lt;&gt;"Serviço",AND(AUTOEVENTO="Manual",$M146=$A$15)),0,
         IF(OFFSET(CRONOPLE!$F$15,$M146-$A$15,BV$13)=0,10^12,OFFSET(CRONOPLE!$F$15,$M146-$A$15,BV$13)))</f>
        <v>4</v>
      </c>
      <c r="BW146" s="353" t="n">
        <f aca="true">IF(OR($D146&lt;&gt;"Serviço",AND(AUTOEVENTO="Manual",$M146=$A$15)),0,
         IF(OFFSET(CRONOPLE!$F$15,$M146-$A$15,BW$13)=0,10^12,OFFSET(CRONOPLE!$F$15,$M146-$A$15,BW$13)))</f>
        <v>5</v>
      </c>
      <c r="BX146" s="353" t="n">
        <f aca="true">IF(OR($D146&lt;&gt;"Serviço",AND(AUTOEVENTO="Manual",$M146=$A$15)),0,
         IF(OFFSET(CRONOPLE!$F$15,$M146-$A$15,BX$13)=0,10^12,OFFSET(CRONOPLE!$F$15,$M146-$A$15,BX$13)))</f>
        <v>6</v>
      </c>
      <c r="BY146" s="353" t="n">
        <f aca="true">IF(OR($D146&lt;&gt;"Serviço",AND(AUTOEVENTO="Manual",$M146=$A$15)),0,
         IF(OFFSET(CRONOPLE!$F$15,$M146-$A$15,BY$13)=0,10^12,OFFSET(CRONOPLE!$F$15,$M146-$A$15,BY$13)))</f>
        <v>7</v>
      </c>
      <c r="BZ146" s="353" t="n">
        <f aca="true">IF(OR($D146&lt;&gt;"Serviço",AND(AUTOEVENTO="Manual",$M146=$A$15)),0,
         IF(OFFSET(CRONOPLE!$F$15,$M146-$A$15,BZ$13)=0,10^12,OFFSET(CRONOPLE!$F$15,$M146-$A$15,BZ$13)))</f>
        <v>8</v>
      </c>
      <c r="CA146" s="353" t="n">
        <f aca="true">IF(OR($D146&lt;&gt;"Serviço",AND(AUTOEVENTO="Manual",$M146=$A$15)),0,
         IF(OFFSET(CRONOPLE!$F$15,$M146-$A$15,CA$13)=0,10^12,OFFSET(CRONOPLE!$F$15,$M146-$A$15,CA$13)))</f>
        <v>9</v>
      </c>
      <c r="CB146" s="353" t="n">
        <f aca="true">IF(OR($D146&lt;&gt;"Serviço",AND(AUTOEVENTO="Manual",$M146=$A$15)),0,
         IF(OFFSET(CRONOPLE!$F$15,$M146-$A$15,CB$13)=0,10^12,OFFSET(CRONOPLE!$F$15,$M146-$A$15,CB$13)))</f>
        <v>10</v>
      </c>
      <c r="CC146" s="353" t="n">
        <f aca="true">IF(OR($D146&lt;&gt;"Serviço",AND(AUTOEVENTO="Manual",$M146=$A$15)),0,
         IF(OFFSET(CRONOPLE!$F$15,$M146-$A$15,CC$13)=0,10^12,OFFSET(CRONOPLE!$F$15,$M146-$A$15,CC$13)))</f>
        <v>11</v>
      </c>
      <c r="CD146" s="353" t="n">
        <f aca="true">IF(OR($D146&lt;&gt;"Serviço",AND(AUTOEVENTO="Manual",$M146=$A$15)),0,
         IF(OFFSET(CRONOPLE!$F$15,$M146-$A$15,CD$13)=0,10^12,OFFSET(CRONOPLE!$F$15,$M146-$A$15,CD$13)))</f>
        <v>12</v>
      </c>
      <c r="CE146" s="353" t="n">
        <f aca="true">IF(OR($D146&lt;&gt;"Serviço",AND(AUTOEVENTO="Manual",$M146=$A$15)),0,
         IF(OFFSET(CRONOPLE!$F$15,$M146-$A$15,CE$13)=0,10^12,OFFSET(CRONOPLE!$F$15,$M146-$A$15,CE$13)))</f>
        <v>13</v>
      </c>
      <c r="CF146" s="353" t="n">
        <f aca="true">IF(OR($D146&lt;&gt;"Serviço",AND(AUTOEVENTO="Manual",$M146=$A$15)),0,
         IF(OFFSET(CRONOPLE!$F$15,$M146-$A$15,CF$13)=0,10^12,OFFSET(CRONOPLE!$F$15,$M146-$A$15,CF$13)))</f>
        <v>14</v>
      </c>
      <c r="CG146" s="353" t="n">
        <f aca="true">IF(OR($D146&lt;&gt;"Serviço",AND(AUTOEVENTO="Manual",$M146=$A$15)),0,
         IF(OFFSET(CRONOPLE!$F$15,$M146-$A$15,CG$13)=0,10^12,OFFSET(CRONOPLE!$F$15,$M146-$A$15,CG$13)))</f>
        <v>15</v>
      </c>
      <c r="CH146" s="353" t="n">
        <f aca="true">IF(OR($D146&lt;&gt;"Serviço",AND(AUTOEVENTO="Manual",$M146=$A$15)),0,
         IF(OFFSET(CRONOPLE!$F$15,$M146-$A$15,CH$13)=0,10^12,OFFSET(CRONOPLE!$F$15,$M146-$A$15,CH$13)))</f>
        <v>16</v>
      </c>
      <c r="CI146" s="353" t="n">
        <f aca="true">IF(OR($D146&lt;&gt;"Serviço",AND(AUTOEVENTO="Manual",$M146=$A$15)),0,
         IF(OFFSET(CRONOPLE!$F$15,$M146-$A$15,CI$13)=0,10^12,OFFSET(CRONOPLE!$F$15,$M146-$A$15,CI$13)))</f>
        <v>17</v>
      </c>
      <c r="CJ146" s="353" t="n">
        <f aca="true">IF(OR($D146&lt;&gt;"Serviço",AND(AUTOEVENTO="Manual",$M146=$A$15)),0,
         IF(OFFSET(CRONOPLE!$F$15,$M146-$A$15,CJ$13)=0,10^12,OFFSET(CRONOPLE!$F$15,$M146-$A$15,CJ$13)))</f>
        <v>18</v>
      </c>
      <c r="CK146" s="353" t="n">
        <f aca="true">IF(OR($D146&lt;&gt;"Serviço",AND(AUTOEVENTO="Manual",$M146=$A$15)),0,
         IF(OFFSET(CRONOPLE!$F$15,$M146-$A$15,CK$13)=0,10^12,OFFSET(CRONOPLE!$F$15,$M146-$A$15,CK$13)))</f>
        <v>19</v>
      </c>
      <c r="CL146" s="353" t="n">
        <f aca="true">IF(OR($D146&lt;&gt;"Serviço",AND(AUTOEVENTO="Manual",$M146=$A$15)),0,
         IF(OFFSET(CRONOPLE!$F$15,$M146-$A$15,CL$13)=0,10^12,OFFSET(CRONOPLE!$F$15,$M146-$A$15,CL$13)))</f>
        <v>20</v>
      </c>
      <c r="CM146" s="353" t="n">
        <f aca="true">IF(OR($D146&lt;&gt;"Serviço",AND(AUTOEVENTO="Manual",$M146=$A$15)),0,
         IF(OFFSET(CRONOPLE!$F$15,$M146-$A$15,CM$13)=0,10^12,OFFSET(CRONOPLE!$F$15,$M146-$A$15,CM$13)))</f>
        <v>21</v>
      </c>
      <c r="CN146" s="353" t="n">
        <f aca="true">IF(OR($D146&lt;&gt;"Serviço",AND(AUTOEVENTO="Manual",$M146=$A$15)),0,
         IF(OFFSET(CRONOPLE!$F$15,$M146-$A$15,CN$13)=0,10^12,OFFSET(CRONOPLE!$F$15,$M146-$A$15,CN$13)))</f>
        <v>22</v>
      </c>
      <c r="CO146" s="353" t="n">
        <f aca="true">IF(OR($D146&lt;&gt;"Serviço",AND(AUTOEVENTO="Manual",$M146=$A$15)),0,
         IF(OFFSET(CRONOPLE!$F$15,$M146-$A$15,CO$13)=0,10^12,OFFSET(CRONOPLE!$F$15,$M146-$A$15,CO$13)))</f>
        <v>23</v>
      </c>
      <c r="CP146" s="353" t="n">
        <f aca="true">IF(OR($D146&lt;&gt;"Serviço",AND(AUTOEVENTO="Manual",$M146=$A$15)),0,
         IF(OFFSET(CRONOPLE!$F$15,$M146-$A$15,CP$13)=0,10^12,OFFSET(CRONOPLE!$F$15,$M146-$A$15,CP$13)))</f>
        <v>24</v>
      </c>
      <c r="CQ146" s="353" t="n">
        <f aca="true">IF(OR($D146&lt;&gt;"Serviço",AND(AUTOEVENTO="Manual",$M146=$A$15)),0,
         IF(OFFSET(CRONOPLE!$F$15,$M146-$A$15,CQ$13)=0,10^12,OFFSET(CRONOPLE!$F$15,$M146-$A$15,CQ$13)))</f>
        <v>25</v>
      </c>
      <c r="CR146" s="353" t="n">
        <f aca="true">IF(OR($D146&lt;&gt;"Serviço",AND(AUTOEVENTO="Manual",$M146=$A$15)),0,
         IF(OFFSET(CRONOPLE!$F$15,$M146-$A$15,CR$13)=0,10^12,OFFSET(CRONOPLE!$F$15,$M146-$A$15,CR$13)))</f>
        <v>1000000000000</v>
      </c>
      <c r="CT146" s="354" t="n">
        <f aca="true">IF(OR($D146&lt;&gt;"Serviço",AND(AUTOEVENTO="Manual",$M146=$A$15),$M146&gt;(ROW(PLE.lastrow)-ROW(PLE.firstrow))),0,
           IF(OFFSET(PLE!$G$15,$M146-$A$15,CT$13)="",10^12,OFFSET(PLE!$G$15,$M146-$A$15,CT$13)))</f>
        <v>1000000000000</v>
      </c>
      <c r="CU146" s="354" t="n">
        <f aca="true">IF(OR($D146&lt;&gt;"Serviço",AND(AUTOEVENTO="Manual",$M146=$A$15),$M146&gt;(ROW(PLE.lastrow)-ROW(PLE.firstrow))),0,
           IF(OFFSET(PLE!$G$15,$M146-$A$15,CU$13)="",10^12,OFFSET(PLE!$G$15,$M146-$A$15,CU$13)))</f>
        <v>1000000000000</v>
      </c>
      <c r="CV146" s="354" t="n">
        <f aca="true">IF(OR($D146&lt;&gt;"Serviço",AND(AUTOEVENTO="Manual",$M146=$A$15),$M146&gt;(ROW(PLE.lastrow)-ROW(PLE.firstrow))),0,
           IF(OFFSET(PLE!$G$15,$M146-$A$15,CV$13)="",10^12,OFFSET(PLE!$G$15,$M146-$A$15,CV$13)))</f>
        <v>1000000000000</v>
      </c>
      <c r="CW146" s="354" t="n">
        <f aca="true">IF(OR($D146&lt;&gt;"Serviço",AND(AUTOEVENTO="Manual",$M146=$A$15),$M146&gt;(ROW(PLE.lastrow)-ROW(PLE.firstrow))),0,
           IF(OFFSET(PLE!$G$15,$M146-$A$15,CW$13)="",10^12,OFFSET(PLE!$G$15,$M146-$A$15,CW$13)))</f>
        <v>1000000000000</v>
      </c>
      <c r="CX146" s="354" t="n">
        <f aca="true">IF(OR($D146&lt;&gt;"Serviço",AND(AUTOEVENTO="Manual",$M146=$A$15),$M146&gt;(ROW(PLE.lastrow)-ROW(PLE.firstrow))),0,
           IF(OFFSET(PLE!$G$15,$M146-$A$15,CX$13)="",10^12,OFFSET(PLE!$G$15,$M146-$A$15,CX$13)))</f>
        <v>1000000000000</v>
      </c>
      <c r="CY146" s="354" t="n">
        <f aca="true">IF(OR($D146&lt;&gt;"Serviço",AND(AUTOEVENTO="Manual",$M146=$A$15),$M146&gt;(ROW(PLE.lastrow)-ROW(PLE.firstrow))),0,
           IF(OFFSET(PLE!$G$15,$M146-$A$15,CY$13)="",10^12,OFFSET(PLE!$G$15,$M146-$A$15,CY$13)))</f>
        <v>1000000000000</v>
      </c>
      <c r="CZ146" s="354" t="n">
        <f aca="true">IF(OR($D146&lt;&gt;"Serviço",AND(AUTOEVENTO="Manual",$M146=$A$15),$M146&gt;(ROW(PLE.lastrow)-ROW(PLE.firstrow))),0,
           IF(OFFSET(PLE!$G$15,$M146-$A$15,CZ$13)="",10^12,OFFSET(PLE!$G$15,$M146-$A$15,CZ$13)))</f>
        <v>1000000000000</v>
      </c>
      <c r="DA146" s="354" t="n">
        <f aca="true">IF(OR($D146&lt;&gt;"Serviço",AND(AUTOEVENTO="Manual",$M146=$A$15),$M146&gt;(ROW(PLE.lastrow)-ROW(PLE.firstrow))),0,
           IF(OFFSET(PLE!$G$15,$M146-$A$15,DA$13)="",10^12,OFFSET(PLE!$G$15,$M146-$A$15,DA$13)))</f>
        <v>1000000000000</v>
      </c>
      <c r="DB146" s="354" t="n">
        <f aca="true">IF(OR($D146&lt;&gt;"Serviço",AND(AUTOEVENTO="Manual",$M146=$A$15),$M146&gt;(ROW(PLE.lastrow)-ROW(PLE.firstrow))),0,
           IF(OFFSET(PLE!$G$15,$M146-$A$15,DB$13)="",10^12,OFFSET(PLE!$G$15,$M146-$A$15,DB$13)))</f>
        <v>1000000000000</v>
      </c>
      <c r="DC146" s="354" t="n">
        <f aca="true">IF(OR($D146&lt;&gt;"Serviço",AND(AUTOEVENTO="Manual",$M146=$A$15),$M146&gt;(ROW(PLE.lastrow)-ROW(PLE.firstrow))),0,
           IF(OFFSET(PLE!$G$15,$M146-$A$15,DC$13)="",10^12,OFFSET(PLE!$G$15,$M146-$A$15,DC$13)))</f>
        <v>1000000000000</v>
      </c>
      <c r="DD146" s="354" t="n">
        <f aca="true">IF(OR($D146&lt;&gt;"Serviço",AND(AUTOEVENTO="Manual",$M146=$A$15),$M146&gt;(ROW(PLE.lastrow)-ROW(PLE.firstrow))),0,
           IF(OFFSET(PLE!$G$15,$M146-$A$15,DD$13)="",10^12,OFFSET(PLE!$G$15,$M146-$A$15,DD$13)))</f>
        <v>1000000000000</v>
      </c>
      <c r="DE146" s="354" t="n">
        <f aca="true">IF(OR($D146&lt;&gt;"Serviço",AND(AUTOEVENTO="Manual",$M146=$A$15),$M146&gt;(ROW(PLE.lastrow)-ROW(PLE.firstrow))),0,
           IF(OFFSET(PLE!$G$15,$M146-$A$15,DE$13)="",10^12,OFFSET(PLE!$G$15,$M146-$A$15,DE$13)))</f>
        <v>1000000000000</v>
      </c>
      <c r="DF146" s="354" t="n">
        <f aca="true">IF(OR($D146&lt;&gt;"Serviço",AND(AUTOEVENTO="Manual",$M146=$A$15),$M146&gt;(ROW(PLE.lastrow)-ROW(PLE.firstrow))),0,
           IF(OFFSET(PLE!$G$15,$M146-$A$15,DF$13)="",10^12,OFFSET(PLE!$G$15,$M146-$A$15,DF$13)))</f>
        <v>1000000000000</v>
      </c>
      <c r="DG146" s="354" t="n">
        <f aca="true">IF(OR($D146&lt;&gt;"Serviço",AND(AUTOEVENTO="Manual",$M146=$A$15),$M146&gt;(ROW(PLE.lastrow)-ROW(PLE.firstrow))),0,
           IF(OFFSET(PLE!$G$15,$M146-$A$15,DG$13)="",10^12,OFFSET(PLE!$G$15,$M146-$A$15,DG$13)))</f>
        <v>1000000000000</v>
      </c>
      <c r="DH146" s="354" t="n">
        <f aca="true">IF(OR($D146&lt;&gt;"Serviço",AND(AUTOEVENTO="Manual",$M146=$A$15),$M146&gt;(ROW(PLE.lastrow)-ROW(PLE.firstrow))),0,
           IF(OFFSET(PLE!$G$15,$M146-$A$15,DH$13)="",10^12,OFFSET(PLE!$G$15,$M146-$A$15,DH$13)))</f>
        <v>1000000000000</v>
      </c>
      <c r="DI146" s="354" t="n">
        <f aca="true">IF(OR($D146&lt;&gt;"Serviço",AND(AUTOEVENTO="Manual",$M146=$A$15),$M146&gt;(ROW(PLE.lastrow)-ROW(PLE.firstrow))),0,
           IF(OFFSET(PLE!$G$15,$M146-$A$15,DI$13)="",10^12,OFFSET(PLE!$G$15,$M146-$A$15,DI$13)))</f>
        <v>1000000000000</v>
      </c>
      <c r="DJ146" s="354" t="n">
        <f aca="true">IF(OR($D146&lt;&gt;"Serviço",AND(AUTOEVENTO="Manual",$M146=$A$15),$M146&gt;(ROW(PLE.lastrow)-ROW(PLE.firstrow))),0,
           IF(OFFSET(PLE!$G$15,$M146-$A$15,DJ$13)="",10^12,OFFSET(PLE!$G$15,$M146-$A$15,DJ$13)))</f>
        <v>1000000000000</v>
      </c>
      <c r="DK146" s="354" t="n">
        <f aca="true">IF(OR($D146&lt;&gt;"Serviço",AND(AUTOEVENTO="Manual",$M146=$A$15),$M146&gt;(ROW(PLE.lastrow)-ROW(PLE.firstrow))),0,
           IF(OFFSET(PLE!$G$15,$M146-$A$15,DK$13)="",10^12,OFFSET(PLE!$G$15,$M146-$A$15,DK$13)))</f>
        <v>1000000000000</v>
      </c>
      <c r="DL146" s="354" t="n">
        <f aca="true">IF(OR($D146&lt;&gt;"Serviço",AND(AUTOEVENTO="Manual",$M146=$A$15),$M146&gt;(ROW(PLE.lastrow)-ROW(PLE.firstrow))),0,
           IF(OFFSET(PLE!$G$15,$M146-$A$15,DL$13)="",10^12,OFFSET(PLE!$G$15,$M146-$A$15,DL$13)))</f>
        <v>1000000000000</v>
      </c>
      <c r="DM146" s="354" t="n">
        <f aca="true">IF(OR($D146&lt;&gt;"Serviço",AND(AUTOEVENTO="Manual",$M146=$A$15),$M146&gt;(ROW(PLE.lastrow)-ROW(PLE.firstrow))),0,
           IF(OFFSET(PLE!$G$15,$M146-$A$15,DM$13)="",10^12,OFFSET(PLE!$G$15,$M146-$A$15,DM$13)))</f>
        <v>1000000000000</v>
      </c>
      <c r="DN146" s="354" t="n">
        <f aca="true">IF(OR($D146&lt;&gt;"Serviço",AND(AUTOEVENTO="Manual",$M146=$A$15),$M146&gt;(ROW(PLE.lastrow)-ROW(PLE.firstrow))),0,
           IF(OFFSET(PLE!$G$15,$M146-$A$15,DN$13)="",10^12,OFFSET(PLE!$G$15,$M146-$A$15,DN$13)))</f>
        <v>1000000000000</v>
      </c>
      <c r="DO146" s="354" t="n">
        <f aca="true">IF(OR($D146&lt;&gt;"Serviço",AND(AUTOEVENTO="Manual",$M146=$A$15),$M146&gt;(ROW(PLE.lastrow)-ROW(PLE.firstrow))),0,
           IF(OFFSET(PLE!$G$15,$M146-$A$15,DO$13)="",10^12,OFFSET(PLE!$G$15,$M146-$A$15,DO$13)))</f>
        <v>1000000000000</v>
      </c>
      <c r="DP146" s="354" t="n">
        <f aca="true">IF(OR($D146&lt;&gt;"Serviço",AND(AUTOEVENTO="Manual",$M146=$A$15),$M146&gt;(ROW(PLE.lastrow)-ROW(PLE.firstrow))),0,
           IF(OFFSET(PLE!$G$15,$M146-$A$15,DP$13)="",10^12,OFFSET(PLE!$G$15,$M146-$A$15,DP$13)))</f>
        <v>1000000000000</v>
      </c>
      <c r="DQ146" s="354" t="n">
        <f aca="true">IF(OR($D146&lt;&gt;"Serviço",AND(AUTOEVENTO="Manual",$M146=$A$15),$M146&gt;(ROW(PLE.lastrow)-ROW(PLE.firstrow))),0,
           IF(OFFSET(PLE!$G$15,$M146-$A$15,DQ$13)="",10^12,OFFSET(PLE!$G$15,$M146-$A$15,DQ$13)))</f>
        <v>1000000000000</v>
      </c>
      <c r="DR146" s="354" t="n">
        <f aca="true">IF(OR($D146&lt;&gt;"Serviço",AND(AUTOEVENTO="Manual",$M146=$A$15),$M146&gt;(ROW(PLE.lastrow)-ROW(PLE.firstrow))),0,
           IF(OFFSET(PLE!$G$15,$M146-$A$15,DR$13)="",10^12,OFFSET(PLE!$G$15,$M146-$A$15,DR$13)))</f>
        <v>1000000000000</v>
      </c>
      <c r="DS146" s="354" t="n">
        <f aca="true">IF(OR($D146&lt;&gt;"Serviço",AND(AUTOEVENTO="Manual",$M146=$A$15),$M146&gt;(ROW(PLE.lastrow)-ROW(PLE.firstrow))),0,
           IF(OFFSET(PLE!$G$15,$M146-$A$15,DS$13)="",10^12,OFFSET(PLE!$G$15,$M146-$A$15,DS$13)))</f>
        <v>1000000000000</v>
      </c>
    </row>
    <row r="147" customFormat="false" ht="23.85" hidden="false" customHeight="false" outlineLevel="0" collapsed="false">
      <c r="A147" s="50" t="str">
        <f aca="true">IFERROR(IF(AUTOEVENTO="Manual",IF(K147&lt;&gt;"",MIN(VALUE(LEFT(K147,FIND(".",K147)-1)),COUNTA(EVENTOS.Lista)),0),IF(OR($B147&gt;AUTOEVENTO,$B147="S",$B147=0),SUBSTITUTE(OFFSET($A147,-1,0),IF($D147="Serviço",".",""),""),ROW(A147)-ROW($A$15)&amp;".")),0)</f>
        <v>128</v>
      </c>
      <c r="B147" s="50" t="str">
        <f aca="true">OFFSET(ORÇAMENTO!C$15,ROW(B147)-ROW(B$15),0)</f>
        <v>S</v>
      </c>
      <c r="C147" s="50" t="str">
        <f aca="true">OFFSET(ORÇAMENTO!L$15,ROW(C147)-ROW(C$15),0)</f>
        <v>F</v>
      </c>
      <c r="D147" s="201" t="str">
        <f aca="true">OFFSET(ORÇAMENTO!N$15,ROW(D147)-ROW(D$15),0)</f>
        <v>Serviço</v>
      </c>
      <c r="E147" s="202" t="str">
        <f aca="true">OFFSET(ORÇAMENTO!O$15,ROW(E147)-ROW(E$15),0)</f>
        <v>1.41.4.</v>
      </c>
      <c r="F147" s="341" t="str">
        <f aca="true">OFFSET(ORÇAMENTO!R$15,ROW(F147)-ROW(F$15),0)</f>
        <v>ENGATE FLEXÍVEL EM PLÁSTICO BRANCO, 1/2" X 40CM - FORNECIMENTO E INSTALAÇÃO. AF_01/2020</v>
      </c>
      <c r="G147" s="342" t="str">
        <f aca="true">IF($D147&lt;&gt;"Serviço","",OFFSET(ORÇAMENTO!S$15,ROW(G147)-ROW(G$15),0))</f>
        <v>UN</v>
      </c>
      <c r="H147" s="207" t="n">
        <f aca="true">IF($D147&lt;&gt;"Serviço",0,IF(ACOMPANHAMENTO="BM",ROUND(OFFSET(ORÇAMENTO!AJ$15,ROW(H147)-ROW(H$15),0),15-13*ORÇAMENTO!$AF$7),SUMPRODUCT(($Q$1:$AQ$1=1)*ROUND($Q147:$AQ147,15-13*ORÇAMENTO!$AF$7))))</f>
        <v>100</v>
      </c>
      <c r="I147" s="343" t="s">
        <v>977</v>
      </c>
      <c r="J147" s="344" t="e">
        <f aca="false">IF(OR(B147&lt;&gt;"S",CÁLCULO.FrentesPreenchidas=0),"",IF(AND(ACOMPANHAMENTO="PLE",AUTOEVENTO="Manual",OR(H147&gt;0,ORÇAMENTO!AC147="QUANT."),OR(K147="",M147=0,N147="")),"►",IF(AND(ACOMPANHAMENTO="PLE",ORÇAMENTO!AC147="QUANT."),"►►",IF(AND(COUNTIF($P$11:$AQ$11,"▼")=0,H147&gt;0,I147=""),"◄",""))))</f>
        <v>#NAME?</v>
      </c>
      <c r="K147" s="345"/>
      <c r="L147" s="346" t="s">
        <v>876</v>
      </c>
      <c r="M147" s="347" t="n">
        <f aca="true">IF($D147&lt;&gt;"Serviço","",
          IF(AUTOEVENTO="manual",$A147,
                IF(ISERROR(MATCH($A147,$A$15:OFFSET($A147,-1,0),0)),MAX($M$15:OFFSET(M147,-1,0))+1,
                      INDEX($M$15:OFFSET(M147,-1,0),MATCH($A147,$A$15:OFFSET($A147,-1,0),0)))))</f>
        <v>25</v>
      </c>
      <c r="N147" s="348" t="str">
        <f aca="true">IF($D147&lt;&gt;"Serviço","",
         IF(AUTOEVENTO="Manual",
                IF($A147=0,"&lt;-- defina o número do agrupador",
                       OFFSET(EVENTOS!$D$15,$A147-$A$15,0)),
                OFFSET($F$15,$A147,0)))</f>
        <v>REGISTROS </v>
      </c>
      <c r="O147" s="349"/>
      <c r="Q147" s="349" t="n">
        <v>4</v>
      </c>
      <c r="R147" s="350" t="n">
        <f aca="false">Q147</f>
        <v>4</v>
      </c>
      <c r="S147" s="350" t="n">
        <f aca="false">R147</f>
        <v>4</v>
      </c>
      <c r="T147" s="350" t="n">
        <f aca="false">S147</f>
        <v>4</v>
      </c>
      <c r="U147" s="350" t="n">
        <f aca="false">T147</f>
        <v>4</v>
      </c>
      <c r="V147" s="350" t="n">
        <f aca="false">U147</f>
        <v>4</v>
      </c>
      <c r="W147" s="350" t="n">
        <f aca="false">V147</f>
        <v>4</v>
      </c>
      <c r="X147" s="350" t="n">
        <f aca="false">W147</f>
        <v>4</v>
      </c>
      <c r="Y147" s="350" t="n">
        <f aca="false">X147</f>
        <v>4</v>
      </c>
      <c r="Z147" s="351" t="n">
        <f aca="false">Y147</f>
        <v>4</v>
      </c>
      <c r="AA147" s="350" t="n">
        <f aca="false">Z147</f>
        <v>4</v>
      </c>
      <c r="AB147" s="350" t="n">
        <f aca="false">AA147</f>
        <v>4</v>
      </c>
      <c r="AC147" s="350" t="n">
        <f aca="false">AB147</f>
        <v>4</v>
      </c>
      <c r="AD147" s="350" t="n">
        <f aca="false">AC147</f>
        <v>4</v>
      </c>
      <c r="AE147" s="350" t="n">
        <f aca="false">AD147</f>
        <v>4</v>
      </c>
      <c r="AF147" s="350" t="n">
        <f aca="false">AE147</f>
        <v>4</v>
      </c>
      <c r="AG147" s="350" t="n">
        <f aca="false">AF147</f>
        <v>4</v>
      </c>
      <c r="AH147" s="351" t="n">
        <f aca="false">AG147</f>
        <v>4</v>
      </c>
      <c r="AI147" s="350" t="n">
        <f aca="false">AH147</f>
        <v>4</v>
      </c>
      <c r="AJ147" s="350" t="n">
        <f aca="false">AI147</f>
        <v>4</v>
      </c>
      <c r="AK147" s="350" t="n">
        <f aca="false">AJ147</f>
        <v>4</v>
      </c>
      <c r="AL147" s="350" t="n">
        <f aca="false">AK147</f>
        <v>4</v>
      </c>
      <c r="AM147" s="350" t="n">
        <f aca="false">AL147</f>
        <v>4</v>
      </c>
      <c r="AN147" s="350" t="n">
        <f aca="false">AM147</f>
        <v>4</v>
      </c>
      <c r="AO147" s="350" t="n">
        <f aca="false">AN147</f>
        <v>4</v>
      </c>
      <c r="AP147" s="351"/>
      <c r="AR147" s="352" t="n">
        <f aca="true">IF(AND($D147="Serviço",AR$12&lt;&gt;0,$H147&gt;0,OR(AUTOEVENTO&lt;&gt;"manual",$M147&lt;&gt;$A$15)),
        IF(Import.TipoArredondamento&lt;&gt;"TransfereGOV",
              ROUND(OFFSET($P147,0,AR$13),15-13*ORÇAMENTO!$AF$7)/$H147*OFFSET(ORÇAMENTO!$X$15,ROW(AR147)-ROW(AR$15),0),
              ROUND(ROUND(OFFSET($P147,0,AR$13),15-13*ORÇAMENTO!$AF$7)*OFFSET(ORÇAMENTO!$W$15,ROW(AR147)-ROW(AR$15),0),15-13*ORÇAMENTO!$AF$11)),
         0)</f>
        <v>67.68</v>
      </c>
      <c r="AS147" s="352" t="n">
        <f aca="true">IF(AND($D147="Serviço",AS$12&lt;&gt;0,$H147&gt;0,OR(AUTOEVENTO&lt;&gt;"manual",$M147&lt;&gt;$A$15)),
        IF(Import.TipoArredondamento&lt;&gt;"TransfereGOV",
              ROUND(OFFSET($P147,0,AS$13),15-13*ORÇAMENTO!$AF$7)/$H147*OFFSET(ORÇAMENTO!$X$15,ROW(AS147)-ROW(AS$15),0),
              ROUND(ROUND(OFFSET($P147,0,AS$13),15-13*ORÇAMENTO!$AF$7)*OFFSET(ORÇAMENTO!$W$15,ROW(AS147)-ROW(AS$15),0),15-13*ORÇAMENTO!$AF$11)),
         0)</f>
        <v>67.68</v>
      </c>
      <c r="AT147" s="352" t="n">
        <f aca="true">IF(AND($D147="Serviço",AT$12&lt;&gt;0,$H147&gt;0,OR(AUTOEVENTO&lt;&gt;"manual",$M147&lt;&gt;$A$15)),
        IF(Import.TipoArredondamento&lt;&gt;"TransfereGOV",
              ROUND(OFFSET($P147,0,AT$13),15-13*ORÇAMENTO!$AF$7)/$H147*OFFSET(ORÇAMENTO!$X$15,ROW(AT147)-ROW(AT$15),0),
              ROUND(ROUND(OFFSET($P147,0,AT$13),15-13*ORÇAMENTO!$AF$7)*OFFSET(ORÇAMENTO!$W$15,ROW(AT147)-ROW(AT$15),0),15-13*ORÇAMENTO!$AF$11)),
         0)</f>
        <v>67.68</v>
      </c>
      <c r="AU147" s="352" t="n">
        <f aca="true">IF(AND($D147="Serviço",AU$12&lt;&gt;0,$H147&gt;0,OR(AUTOEVENTO&lt;&gt;"manual",$M147&lt;&gt;$A$15)),
        IF(Import.TipoArredondamento&lt;&gt;"TransfereGOV",
              ROUND(OFFSET($P147,0,AU$13),15-13*ORÇAMENTO!$AF$7)/$H147*OFFSET(ORÇAMENTO!$X$15,ROW(AU147)-ROW(AU$15),0),
              ROUND(ROUND(OFFSET($P147,0,AU$13),15-13*ORÇAMENTO!$AF$7)*OFFSET(ORÇAMENTO!$W$15,ROW(AU147)-ROW(AU$15),0),15-13*ORÇAMENTO!$AF$11)),
         0)</f>
        <v>67.68</v>
      </c>
      <c r="AV147" s="352" t="n">
        <f aca="true">IF(AND($D147="Serviço",AV$12&lt;&gt;0,$H147&gt;0,OR(AUTOEVENTO&lt;&gt;"manual",$M147&lt;&gt;$A$15)),
        IF(Import.TipoArredondamento&lt;&gt;"TransfereGOV",
              ROUND(OFFSET($P147,0,AV$13),15-13*ORÇAMENTO!$AF$7)/$H147*OFFSET(ORÇAMENTO!$X$15,ROW(AV147)-ROW(AV$15),0),
              ROUND(ROUND(OFFSET($P147,0,AV$13),15-13*ORÇAMENTO!$AF$7)*OFFSET(ORÇAMENTO!$W$15,ROW(AV147)-ROW(AV$15),0),15-13*ORÇAMENTO!$AF$11)),
         0)</f>
        <v>67.68</v>
      </c>
      <c r="AW147" s="352" t="n">
        <f aca="true">IF(AND($D147="Serviço",AW$12&lt;&gt;0,$H147&gt;0,OR(AUTOEVENTO&lt;&gt;"manual",$M147&lt;&gt;$A$15)),
        IF(Import.TipoArredondamento&lt;&gt;"TransfereGOV",
              ROUND(OFFSET($P147,0,AW$13),15-13*ORÇAMENTO!$AF$7)/$H147*OFFSET(ORÇAMENTO!$X$15,ROW(AW147)-ROW(AW$15),0),
              ROUND(ROUND(OFFSET($P147,0,AW$13),15-13*ORÇAMENTO!$AF$7)*OFFSET(ORÇAMENTO!$W$15,ROW(AW147)-ROW(AW$15),0),15-13*ORÇAMENTO!$AF$11)),
         0)</f>
        <v>67.68</v>
      </c>
      <c r="AX147" s="352" t="n">
        <f aca="true">IF(AND($D147="Serviço",AX$12&lt;&gt;0,$H147&gt;0,OR(AUTOEVENTO&lt;&gt;"manual",$M147&lt;&gt;$A$15)),
        IF(Import.TipoArredondamento&lt;&gt;"TransfereGOV",
              ROUND(OFFSET($P147,0,AX$13),15-13*ORÇAMENTO!$AF$7)/$H147*OFFSET(ORÇAMENTO!$X$15,ROW(AX147)-ROW(AX$15),0),
              ROUND(ROUND(OFFSET($P147,0,AX$13),15-13*ORÇAMENTO!$AF$7)*OFFSET(ORÇAMENTO!$W$15,ROW(AX147)-ROW(AX$15),0),15-13*ORÇAMENTO!$AF$11)),
         0)</f>
        <v>67.68</v>
      </c>
      <c r="AY147" s="352" t="n">
        <f aca="true">IF(AND($D147="Serviço",AY$12&lt;&gt;0,$H147&gt;0,OR(AUTOEVENTO&lt;&gt;"manual",$M147&lt;&gt;$A$15)),
        IF(Import.TipoArredondamento&lt;&gt;"TransfereGOV",
              ROUND(OFFSET($P147,0,AY$13),15-13*ORÇAMENTO!$AF$7)/$H147*OFFSET(ORÇAMENTO!$X$15,ROW(AY147)-ROW(AY$15),0),
              ROUND(ROUND(OFFSET($P147,0,AY$13),15-13*ORÇAMENTO!$AF$7)*OFFSET(ORÇAMENTO!$W$15,ROW(AY147)-ROW(AY$15),0),15-13*ORÇAMENTO!$AF$11)),
         0)</f>
        <v>67.68</v>
      </c>
      <c r="AZ147" s="352" t="n">
        <f aca="true">IF(AND($D147="Serviço",AZ$12&lt;&gt;0,$H147&gt;0,OR(AUTOEVENTO&lt;&gt;"manual",$M147&lt;&gt;$A$15)),
        IF(Import.TipoArredondamento&lt;&gt;"TransfereGOV",
              ROUND(OFFSET($P147,0,AZ$13),15-13*ORÇAMENTO!$AF$7)/$H147*OFFSET(ORÇAMENTO!$X$15,ROW(AZ147)-ROW(AZ$15),0),
              ROUND(ROUND(OFFSET($P147,0,AZ$13),15-13*ORÇAMENTO!$AF$7)*OFFSET(ORÇAMENTO!$W$15,ROW(AZ147)-ROW(AZ$15),0),15-13*ORÇAMENTO!$AF$11)),
         0)</f>
        <v>67.68</v>
      </c>
      <c r="BA147" s="352" t="n">
        <f aca="true">IF(AND($D147="Serviço",BA$12&lt;&gt;0,$H147&gt;0,OR(AUTOEVENTO&lt;&gt;"manual",$M147&lt;&gt;$A$15)),
        IF(Import.TipoArredondamento&lt;&gt;"TransfereGOV",
              ROUND(OFFSET($P147,0,BA$13),15-13*ORÇAMENTO!$AF$7)/$H147*OFFSET(ORÇAMENTO!$X$15,ROW(BA147)-ROW(BA$15),0),
              ROUND(ROUND(OFFSET($P147,0,BA$13),15-13*ORÇAMENTO!$AF$7)*OFFSET(ORÇAMENTO!$W$15,ROW(BA147)-ROW(BA$15),0),15-13*ORÇAMENTO!$AF$11)),
         0)</f>
        <v>67.68</v>
      </c>
      <c r="BB147" s="352" t="n">
        <f aca="true">IF(AND($D147="Serviço",BB$12&lt;&gt;0,$H147&gt;0,OR(AUTOEVENTO&lt;&gt;"manual",$M147&lt;&gt;$A$15)),
        IF(Import.TipoArredondamento&lt;&gt;"TransfereGOV",
              ROUND(OFFSET($P147,0,BB$13),15-13*ORÇAMENTO!$AF$7)/$H147*OFFSET(ORÇAMENTO!$X$15,ROW(BB147)-ROW(BB$15),0),
              ROUND(ROUND(OFFSET($P147,0,BB$13),15-13*ORÇAMENTO!$AF$7)*OFFSET(ORÇAMENTO!$W$15,ROW(BB147)-ROW(BB$15),0),15-13*ORÇAMENTO!$AF$11)),
         0)</f>
        <v>67.68</v>
      </c>
      <c r="BC147" s="352" t="n">
        <f aca="true">IF(AND($D147="Serviço",BC$12&lt;&gt;0,$H147&gt;0,OR(AUTOEVENTO&lt;&gt;"manual",$M147&lt;&gt;$A$15)),
        IF(Import.TipoArredondamento&lt;&gt;"TransfereGOV",
              ROUND(OFFSET($P147,0,BC$13),15-13*ORÇAMENTO!$AF$7)/$H147*OFFSET(ORÇAMENTO!$X$15,ROW(BC147)-ROW(BC$15),0),
              ROUND(ROUND(OFFSET($P147,0,BC$13),15-13*ORÇAMENTO!$AF$7)*OFFSET(ORÇAMENTO!$W$15,ROW(BC147)-ROW(BC$15),0),15-13*ORÇAMENTO!$AF$11)),
         0)</f>
        <v>67.68</v>
      </c>
      <c r="BD147" s="352" t="n">
        <f aca="true">IF(AND($D147="Serviço",BD$12&lt;&gt;0,$H147&gt;0,OR(AUTOEVENTO&lt;&gt;"manual",$M147&lt;&gt;$A$15)),
        IF(Import.TipoArredondamento&lt;&gt;"TransfereGOV",
              ROUND(OFFSET($P147,0,BD$13),15-13*ORÇAMENTO!$AF$7)/$H147*OFFSET(ORÇAMENTO!$X$15,ROW(BD147)-ROW(BD$15),0),
              ROUND(ROUND(OFFSET($P147,0,BD$13),15-13*ORÇAMENTO!$AF$7)*OFFSET(ORÇAMENTO!$W$15,ROW(BD147)-ROW(BD$15),0),15-13*ORÇAMENTO!$AF$11)),
         0)</f>
        <v>67.68</v>
      </c>
      <c r="BE147" s="352" t="n">
        <f aca="true">IF(AND($D147="Serviço",BE$12&lt;&gt;0,$H147&gt;0,OR(AUTOEVENTO&lt;&gt;"manual",$M147&lt;&gt;$A$15)),
        IF(Import.TipoArredondamento&lt;&gt;"TransfereGOV",
              ROUND(OFFSET($P147,0,BE$13),15-13*ORÇAMENTO!$AF$7)/$H147*OFFSET(ORÇAMENTO!$X$15,ROW(BE147)-ROW(BE$15),0),
              ROUND(ROUND(OFFSET($P147,0,BE$13),15-13*ORÇAMENTO!$AF$7)*OFFSET(ORÇAMENTO!$W$15,ROW(BE147)-ROW(BE$15),0),15-13*ORÇAMENTO!$AF$11)),
         0)</f>
        <v>67.68</v>
      </c>
      <c r="BF147" s="352" t="n">
        <f aca="true">IF(AND($D147="Serviço",BF$12&lt;&gt;0,$H147&gt;0,OR(AUTOEVENTO&lt;&gt;"manual",$M147&lt;&gt;$A$15)),
        IF(Import.TipoArredondamento&lt;&gt;"TransfereGOV",
              ROUND(OFFSET($P147,0,BF$13),15-13*ORÇAMENTO!$AF$7)/$H147*OFFSET(ORÇAMENTO!$X$15,ROW(BF147)-ROW(BF$15),0),
              ROUND(ROUND(OFFSET($P147,0,BF$13),15-13*ORÇAMENTO!$AF$7)*OFFSET(ORÇAMENTO!$W$15,ROW(BF147)-ROW(BF$15),0),15-13*ORÇAMENTO!$AF$11)),
         0)</f>
        <v>67.68</v>
      </c>
      <c r="BG147" s="352" t="n">
        <f aca="true">IF(AND($D147="Serviço",BG$12&lt;&gt;0,$H147&gt;0,OR(AUTOEVENTO&lt;&gt;"manual",$M147&lt;&gt;$A$15)),
        IF(Import.TipoArredondamento&lt;&gt;"TransfereGOV",
              ROUND(OFFSET($P147,0,BG$13),15-13*ORÇAMENTO!$AF$7)/$H147*OFFSET(ORÇAMENTO!$X$15,ROW(BG147)-ROW(BG$15),0),
              ROUND(ROUND(OFFSET($P147,0,BG$13),15-13*ORÇAMENTO!$AF$7)*OFFSET(ORÇAMENTO!$W$15,ROW(BG147)-ROW(BG$15),0),15-13*ORÇAMENTO!$AF$11)),
         0)</f>
        <v>67.68</v>
      </c>
      <c r="BH147" s="352" t="n">
        <f aca="true">IF(AND($D147="Serviço",BH$12&lt;&gt;0,$H147&gt;0,OR(AUTOEVENTO&lt;&gt;"manual",$M147&lt;&gt;$A$15)),
        IF(Import.TipoArredondamento&lt;&gt;"TransfereGOV",
              ROUND(OFFSET($P147,0,BH$13),15-13*ORÇAMENTO!$AF$7)/$H147*OFFSET(ORÇAMENTO!$X$15,ROW(BH147)-ROW(BH$15),0),
              ROUND(ROUND(OFFSET($P147,0,BH$13),15-13*ORÇAMENTO!$AF$7)*OFFSET(ORÇAMENTO!$W$15,ROW(BH147)-ROW(BH$15),0),15-13*ORÇAMENTO!$AF$11)),
         0)</f>
        <v>67.68</v>
      </c>
      <c r="BI147" s="352" t="n">
        <f aca="true">IF(AND($D147="Serviço",BI$12&lt;&gt;0,$H147&gt;0,OR(AUTOEVENTO&lt;&gt;"manual",$M147&lt;&gt;$A$15)),
        IF(Import.TipoArredondamento&lt;&gt;"TransfereGOV",
              ROUND(OFFSET($P147,0,BI$13),15-13*ORÇAMENTO!$AF$7)/$H147*OFFSET(ORÇAMENTO!$X$15,ROW(BI147)-ROW(BI$15),0),
              ROUND(ROUND(OFFSET($P147,0,BI$13),15-13*ORÇAMENTO!$AF$7)*OFFSET(ORÇAMENTO!$W$15,ROW(BI147)-ROW(BI$15),0),15-13*ORÇAMENTO!$AF$11)),
         0)</f>
        <v>67.68</v>
      </c>
      <c r="BJ147" s="352" t="n">
        <f aca="true">IF(AND($D147="Serviço",BJ$12&lt;&gt;0,$H147&gt;0,OR(AUTOEVENTO&lt;&gt;"manual",$M147&lt;&gt;$A$15)),
        IF(Import.TipoArredondamento&lt;&gt;"TransfereGOV",
              ROUND(OFFSET($P147,0,BJ$13),15-13*ORÇAMENTO!$AF$7)/$H147*OFFSET(ORÇAMENTO!$X$15,ROW(BJ147)-ROW(BJ$15),0),
              ROUND(ROUND(OFFSET($P147,0,BJ$13),15-13*ORÇAMENTO!$AF$7)*OFFSET(ORÇAMENTO!$W$15,ROW(BJ147)-ROW(BJ$15),0),15-13*ORÇAMENTO!$AF$11)),
         0)</f>
        <v>67.68</v>
      </c>
      <c r="BK147" s="352" t="n">
        <f aca="true">IF(AND($D147="Serviço",BK$12&lt;&gt;0,$H147&gt;0,OR(AUTOEVENTO&lt;&gt;"manual",$M147&lt;&gt;$A$15)),
        IF(Import.TipoArredondamento&lt;&gt;"TransfereGOV",
              ROUND(OFFSET($P147,0,BK$13),15-13*ORÇAMENTO!$AF$7)/$H147*OFFSET(ORÇAMENTO!$X$15,ROW(BK147)-ROW(BK$15),0),
              ROUND(ROUND(OFFSET($P147,0,BK$13),15-13*ORÇAMENTO!$AF$7)*OFFSET(ORÇAMENTO!$W$15,ROW(BK147)-ROW(BK$15),0),15-13*ORÇAMENTO!$AF$11)),
         0)</f>
        <v>67.68</v>
      </c>
      <c r="BL147" s="352" t="n">
        <f aca="true">IF(AND($D147="Serviço",BL$12&lt;&gt;0,$H147&gt;0,OR(AUTOEVENTO&lt;&gt;"manual",$M147&lt;&gt;$A$15)),
        IF(Import.TipoArredondamento&lt;&gt;"TransfereGOV",
              ROUND(OFFSET($P147,0,BL$13),15-13*ORÇAMENTO!$AF$7)/$H147*OFFSET(ORÇAMENTO!$X$15,ROW(BL147)-ROW(BL$15),0),
              ROUND(ROUND(OFFSET($P147,0,BL$13),15-13*ORÇAMENTO!$AF$7)*OFFSET(ORÇAMENTO!$W$15,ROW(BL147)-ROW(BL$15),0),15-13*ORÇAMENTO!$AF$11)),
         0)</f>
        <v>67.68</v>
      </c>
      <c r="BM147" s="352" t="n">
        <f aca="true">IF(AND($D147="Serviço",BM$12&lt;&gt;0,$H147&gt;0,OR(AUTOEVENTO&lt;&gt;"manual",$M147&lt;&gt;$A$15)),
        IF(Import.TipoArredondamento&lt;&gt;"TransfereGOV",
              ROUND(OFFSET($P147,0,BM$13),15-13*ORÇAMENTO!$AF$7)/$H147*OFFSET(ORÇAMENTO!$X$15,ROW(BM147)-ROW(BM$15),0),
              ROUND(ROUND(OFFSET($P147,0,BM$13),15-13*ORÇAMENTO!$AF$7)*OFFSET(ORÇAMENTO!$W$15,ROW(BM147)-ROW(BM$15),0),15-13*ORÇAMENTO!$AF$11)),
         0)</f>
        <v>67.68</v>
      </c>
      <c r="BN147" s="352" t="n">
        <f aca="true">IF(AND($D147="Serviço",BN$12&lt;&gt;0,$H147&gt;0,OR(AUTOEVENTO&lt;&gt;"manual",$M147&lt;&gt;$A$15)),
        IF(Import.TipoArredondamento&lt;&gt;"TransfereGOV",
              ROUND(OFFSET($P147,0,BN$13),15-13*ORÇAMENTO!$AF$7)/$H147*OFFSET(ORÇAMENTO!$X$15,ROW(BN147)-ROW(BN$15),0),
              ROUND(ROUND(OFFSET($P147,0,BN$13),15-13*ORÇAMENTO!$AF$7)*OFFSET(ORÇAMENTO!$W$15,ROW(BN147)-ROW(BN$15),0),15-13*ORÇAMENTO!$AF$11)),
         0)</f>
        <v>67.68</v>
      </c>
      <c r="BO147" s="352" t="n">
        <f aca="true">IF(AND($D147="Serviço",BO$12&lt;&gt;0,$H147&gt;0,OR(AUTOEVENTO&lt;&gt;"manual",$M147&lt;&gt;$A$15)),
        IF(Import.TipoArredondamento&lt;&gt;"TransfereGOV",
              ROUND(OFFSET($P147,0,BO$13),15-13*ORÇAMENTO!$AF$7)/$H147*OFFSET(ORÇAMENTO!$X$15,ROW(BO147)-ROW(BO$15),0),
              ROUND(ROUND(OFFSET($P147,0,BO$13),15-13*ORÇAMENTO!$AF$7)*OFFSET(ORÇAMENTO!$W$15,ROW(BO147)-ROW(BO$15),0),15-13*ORÇAMENTO!$AF$11)),
         0)</f>
        <v>67.68</v>
      </c>
      <c r="BP147" s="352" t="n">
        <f aca="true">IF(AND($D147="Serviço",BP$12&lt;&gt;0,$H147&gt;0,OR(AUTOEVENTO&lt;&gt;"manual",$M147&lt;&gt;$A$15)),
        IF(Import.TipoArredondamento&lt;&gt;"TransfereGOV",
              ROUND(OFFSET($P147,0,BP$13),15-13*ORÇAMENTO!$AF$7)/$H147*OFFSET(ORÇAMENTO!$X$15,ROW(BP147)-ROW(BP$15),0),
              ROUND(ROUND(OFFSET($P147,0,BP$13),15-13*ORÇAMENTO!$AF$7)*OFFSET(ORÇAMENTO!$W$15,ROW(BP147)-ROW(BP$15),0),15-13*ORÇAMENTO!$AF$11)),
         0)</f>
        <v>67.68</v>
      </c>
      <c r="BQ147" s="352" t="n">
        <f aca="true">IF(AND($D147="Serviço",BQ$12&lt;&gt;0,$H147&gt;0,OR(AUTOEVENTO&lt;&gt;"manual",$M147&lt;&gt;$A$15)),
        IF(Import.TipoArredondamento&lt;&gt;"TransfereGOV",
              ROUND(OFFSET($P147,0,BQ$13),15-13*ORÇAMENTO!$AF$7)/$H147*OFFSET(ORÇAMENTO!$X$15,ROW(BQ147)-ROW(BQ$15),0),
              ROUND(ROUND(OFFSET($P147,0,BQ$13),15-13*ORÇAMENTO!$AF$7)*OFFSET(ORÇAMENTO!$W$15,ROW(BQ147)-ROW(BQ$15),0),15-13*ORÇAMENTO!$AF$11)),
         0)</f>
        <v>0</v>
      </c>
      <c r="BS147" s="353" t="n">
        <f aca="true">IF(OR($D147&lt;&gt;"Serviço",AND(AUTOEVENTO="Manual",$M147=$A$15)),0,
         IF(OFFSET(CRONOPLE!$F$15,$M147-$A$15,BS$13)=0,10^12,OFFSET(CRONOPLE!$F$15,$M147-$A$15,BS$13)))</f>
        <v>1</v>
      </c>
      <c r="BT147" s="353" t="n">
        <f aca="true">IF(OR($D147&lt;&gt;"Serviço",AND(AUTOEVENTO="Manual",$M147=$A$15)),0,
         IF(OFFSET(CRONOPLE!$F$15,$M147-$A$15,BT$13)=0,10^12,OFFSET(CRONOPLE!$F$15,$M147-$A$15,BT$13)))</f>
        <v>2</v>
      </c>
      <c r="BU147" s="353" t="n">
        <f aca="true">IF(OR($D147&lt;&gt;"Serviço",AND(AUTOEVENTO="Manual",$M147=$A$15)),0,
         IF(OFFSET(CRONOPLE!$F$15,$M147-$A$15,BU$13)=0,10^12,OFFSET(CRONOPLE!$F$15,$M147-$A$15,BU$13)))</f>
        <v>3</v>
      </c>
      <c r="BV147" s="353" t="n">
        <f aca="true">IF(OR($D147&lt;&gt;"Serviço",AND(AUTOEVENTO="Manual",$M147=$A$15)),0,
         IF(OFFSET(CRONOPLE!$F$15,$M147-$A$15,BV$13)=0,10^12,OFFSET(CRONOPLE!$F$15,$M147-$A$15,BV$13)))</f>
        <v>4</v>
      </c>
      <c r="BW147" s="353" t="n">
        <f aca="true">IF(OR($D147&lt;&gt;"Serviço",AND(AUTOEVENTO="Manual",$M147=$A$15)),0,
         IF(OFFSET(CRONOPLE!$F$15,$M147-$A$15,BW$13)=0,10^12,OFFSET(CRONOPLE!$F$15,$M147-$A$15,BW$13)))</f>
        <v>5</v>
      </c>
      <c r="BX147" s="353" t="n">
        <f aca="true">IF(OR($D147&lt;&gt;"Serviço",AND(AUTOEVENTO="Manual",$M147=$A$15)),0,
         IF(OFFSET(CRONOPLE!$F$15,$M147-$A$15,BX$13)=0,10^12,OFFSET(CRONOPLE!$F$15,$M147-$A$15,BX$13)))</f>
        <v>6</v>
      </c>
      <c r="BY147" s="353" t="n">
        <f aca="true">IF(OR($D147&lt;&gt;"Serviço",AND(AUTOEVENTO="Manual",$M147=$A$15)),0,
         IF(OFFSET(CRONOPLE!$F$15,$M147-$A$15,BY$13)=0,10^12,OFFSET(CRONOPLE!$F$15,$M147-$A$15,BY$13)))</f>
        <v>7</v>
      </c>
      <c r="BZ147" s="353" t="n">
        <f aca="true">IF(OR($D147&lt;&gt;"Serviço",AND(AUTOEVENTO="Manual",$M147=$A$15)),0,
         IF(OFFSET(CRONOPLE!$F$15,$M147-$A$15,BZ$13)=0,10^12,OFFSET(CRONOPLE!$F$15,$M147-$A$15,BZ$13)))</f>
        <v>8</v>
      </c>
      <c r="CA147" s="353" t="n">
        <f aca="true">IF(OR($D147&lt;&gt;"Serviço",AND(AUTOEVENTO="Manual",$M147=$A$15)),0,
         IF(OFFSET(CRONOPLE!$F$15,$M147-$A$15,CA$13)=0,10^12,OFFSET(CRONOPLE!$F$15,$M147-$A$15,CA$13)))</f>
        <v>9</v>
      </c>
      <c r="CB147" s="353" t="n">
        <f aca="true">IF(OR($D147&lt;&gt;"Serviço",AND(AUTOEVENTO="Manual",$M147=$A$15)),0,
         IF(OFFSET(CRONOPLE!$F$15,$M147-$A$15,CB$13)=0,10^12,OFFSET(CRONOPLE!$F$15,$M147-$A$15,CB$13)))</f>
        <v>10</v>
      </c>
      <c r="CC147" s="353" t="n">
        <f aca="true">IF(OR($D147&lt;&gt;"Serviço",AND(AUTOEVENTO="Manual",$M147=$A$15)),0,
         IF(OFFSET(CRONOPLE!$F$15,$M147-$A$15,CC$13)=0,10^12,OFFSET(CRONOPLE!$F$15,$M147-$A$15,CC$13)))</f>
        <v>11</v>
      </c>
      <c r="CD147" s="353" t="n">
        <f aca="true">IF(OR($D147&lt;&gt;"Serviço",AND(AUTOEVENTO="Manual",$M147=$A$15)),0,
         IF(OFFSET(CRONOPLE!$F$15,$M147-$A$15,CD$13)=0,10^12,OFFSET(CRONOPLE!$F$15,$M147-$A$15,CD$13)))</f>
        <v>12</v>
      </c>
      <c r="CE147" s="353" t="n">
        <f aca="true">IF(OR($D147&lt;&gt;"Serviço",AND(AUTOEVENTO="Manual",$M147=$A$15)),0,
         IF(OFFSET(CRONOPLE!$F$15,$M147-$A$15,CE$13)=0,10^12,OFFSET(CRONOPLE!$F$15,$M147-$A$15,CE$13)))</f>
        <v>13</v>
      </c>
      <c r="CF147" s="353" t="n">
        <f aca="true">IF(OR($D147&lt;&gt;"Serviço",AND(AUTOEVENTO="Manual",$M147=$A$15)),0,
         IF(OFFSET(CRONOPLE!$F$15,$M147-$A$15,CF$13)=0,10^12,OFFSET(CRONOPLE!$F$15,$M147-$A$15,CF$13)))</f>
        <v>14</v>
      </c>
      <c r="CG147" s="353" t="n">
        <f aca="true">IF(OR($D147&lt;&gt;"Serviço",AND(AUTOEVENTO="Manual",$M147=$A$15)),0,
         IF(OFFSET(CRONOPLE!$F$15,$M147-$A$15,CG$13)=0,10^12,OFFSET(CRONOPLE!$F$15,$M147-$A$15,CG$13)))</f>
        <v>15</v>
      </c>
      <c r="CH147" s="353" t="n">
        <f aca="true">IF(OR($D147&lt;&gt;"Serviço",AND(AUTOEVENTO="Manual",$M147=$A$15)),0,
         IF(OFFSET(CRONOPLE!$F$15,$M147-$A$15,CH$13)=0,10^12,OFFSET(CRONOPLE!$F$15,$M147-$A$15,CH$13)))</f>
        <v>16</v>
      </c>
      <c r="CI147" s="353" t="n">
        <f aca="true">IF(OR($D147&lt;&gt;"Serviço",AND(AUTOEVENTO="Manual",$M147=$A$15)),0,
         IF(OFFSET(CRONOPLE!$F$15,$M147-$A$15,CI$13)=0,10^12,OFFSET(CRONOPLE!$F$15,$M147-$A$15,CI$13)))</f>
        <v>17</v>
      </c>
      <c r="CJ147" s="353" t="n">
        <f aca="true">IF(OR($D147&lt;&gt;"Serviço",AND(AUTOEVENTO="Manual",$M147=$A$15)),0,
         IF(OFFSET(CRONOPLE!$F$15,$M147-$A$15,CJ$13)=0,10^12,OFFSET(CRONOPLE!$F$15,$M147-$A$15,CJ$13)))</f>
        <v>18</v>
      </c>
      <c r="CK147" s="353" t="n">
        <f aca="true">IF(OR($D147&lt;&gt;"Serviço",AND(AUTOEVENTO="Manual",$M147=$A$15)),0,
         IF(OFFSET(CRONOPLE!$F$15,$M147-$A$15,CK$13)=0,10^12,OFFSET(CRONOPLE!$F$15,$M147-$A$15,CK$13)))</f>
        <v>19</v>
      </c>
      <c r="CL147" s="353" t="n">
        <f aca="true">IF(OR($D147&lt;&gt;"Serviço",AND(AUTOEVENTO="Manual",$M147=$A$15)),0,
         IF(OFFSET(CRONOPLE!$F$15,$M147-$A$15,CL$13)=0,10^12,OFFSET(CRONOPLE!$F$15,$M147-$A$15,CL$13)))</f>
        <v>20</v>
      </c>
      <c r="CM147" s="353" t="n">
        <f aca="true">IF(OR($D147&lt;&gt;"Serviço",AND(AUTOEVENTO="Manual",$M147=$A$15)),0,
         IF(OFFSET(CRONOPLE!$F$15,$M147-$A$15,CM$13)=0,10^12,OFFSET(CRONOPLE!$F$15,$M147-$A$15,CM$13)))</f>
        <v>21</v>
      </c>
      <c r="CN147" s="353" t="n">
        <f aca="true">IF(OR($D147&lt;&gt;"Serviço",AND(AUTOEVENTO="Manual",$M147=$A$15)),0,
         IF(OFFSET(CRONOPLE!$F$15,$M147-$A$15,CN$13)=0,10^12,OFFSET(CRONOPLE!$F$15,$M147-$A$15,CN$13)))</f>
        <v>22</v>
      </c>
      <c r="CO147" s="353" t="n">
        <f aca="true">IF(OR($D147&lt;&gt;"Serviço",AND(AUTOEVENTO="Manual",$M147=$A$15)),0,
         IF(OFFSET(CRONOPLE!$F$15,$M147-$A$15,CO$13)=0,10^12,OFFSET(CRONOPLE!$F$15,$M147-$A$15,CO$13)))</f>
        <v>23</v>
      </c>
      <c r="CP147" s="353" t="n">
        <f aca="true">IF(OR($D147&lt;&gt;"Serviço",AND(AUTOEVENTO="Manual",$M147=$A$15)),0,
         IF(OFFSET(CRONOPLE!$F$15,$M147-$A$15,CP$13)=0,10^12,OFFSET(CRONOPLE!$F$15,$M147-$A$15,CP$13)))</f>
        <v>24</v>
      </c>
      <c r="CQ147" s="353" t="n">
        <f aca="true">IF(OR($D147&lt;&gt;"Serviço",AND(AUTOEVENTO="Manual",$M147=$A$15)),0,
         IF(OFFSET(CRONOPLE!$F$15,$M147-$A$15,CQ$13)=0,10^12,OFFSET(CRONOPLE!$F$15,$M147-$A$15,CQ$13)))</f>
        <v>25</v>
      </c>
      <c r="CR147" s="353" t="n">
        <f aca="true">IF(OR($D147&lt;&gt;"Serviço",AND(AUTOEVENTO="Manual",$M147=$A$15)),0,
         IF(OFFSET(CRONOPLE!$F$15,$M147-$A$15,CR$13)=0,10^12,OFFSET(CRONOPLE!$F$15,$M147-$A$15,CR$13)))</f>
        <v>1000000000000</v>
      </c>
      <c r="CT147" s="354" t="n">
        <f aca="true">IF(OR($D147&lt;&gt;"Serviço",AND(AUTOEVENTO="Manual",$M147=$A$15),$M147&gt;(ROW(PLE.lastrow)-ROW(PLE.firstrow))),0,
           IF(OFFSET(PLE!$G$15,$M147-$A$15,CT$13)="",10^12,OFFSET(PLE!$G$15,$M147-$A$15,CT$13)))</f>
        <v>1000000000000</v>
      </c>
      <c r="CU147" s="354" t="n">
        <f aca="true">IF(OR($D147&lt;&gt;"Serviço",AND(AUTOEVENTO="Manual",$M147=$A$15),$M147&gt;(ROW(PLE.lastrow)-ROW(PLE.firstrow))),0,
           IF(OFFSET(PLE!$G$15,$M147-$A$15,CU$13)="",10^12,OFFSET(PLE!$G$15,$M147-$A$15,CU$13)))</f>
        <v>1000000000000</v>
      </c>
      <c r="CV147" s="354" t="n">
        <f aca="true">IF(OR($D147&lt;&gt;"Serviço",AND(AUTOEVENTO="Manual",$M147=$A$15),$M147&gt;(ROW(PLE.lastrow)-ROW(PLE.firstrow))),0,
           IF(OFFSET(PLE!$G$15,$M147-$A$15,CV$13)="",10^12,OFFSET(PLE!$G$15,$M147-$A$15,CV$13)))</f>
        <v>1000000000000</v>
      </c>
      <c r="CW147" s="354" t="n">
        <f aca="true">IF(OR($D147&lt;&gt;"Serviço",AND(AUTOEVENTO="Manual",$M147=$A$15),$M147&gt;(ROW(PLE.lastrow)-ROW(PLE.firstrow))),0,
           IF(OFFSET(PLE!$G$15,$M147-$A$15,CW$13)="",10^12,OFFSET(PLE!$G$15,$M147-$A$15,CW$13)))</f>
        <v>1000000000000</v>
      </c>
      <c r="CX147" s="354" t="n">
        <f aca="true">IF(OR($D147&lt;&gt;"Serviço",AND(AUTOEVENTO="Manual",$M147=$A$15),$M147&gt;(ROW(PLE.lastrow)-ROW(PLE.firstrow))),0,
           IF(OFFSET(PLE!$G$15,$M147-$A$15,CX$13)="",10^12,OFFSET(PLE!$G$15,$M147-$A$15,CX$13)))</f>
        <v>1000000000000</v>
      </c>
      <c r="CY147" s="354" t="n">
        <f aca="true">IF(OR($D147&lt;&gt;"Serviço",AND(AUTOEVENTO="Manual",$M147=$A$15),$M147&gt;(ROW(PLE.lastrow)-ROW(PLE.firstrow))),0,
           IF(OFFSET(PLE!$G$15,$M147-$A$15,CY$13)="",10^12,OFFSET(PLE!$G$15,$M147-$A$15,CY$13)))</f>
        <v>1000000000000</v>
      </c>
      <c r="CZ147" s="354" t="n">
        <f aca="true">IF(OR($D147&lt;&gt;"Serviço",AND(AUTOEVENTO="Manual",$M147=$A$15),$M147&gt;(ROW(PLE.lastrow)-ROW(PLE.firstrow))),0,
           IF(OFFSET(PLE!$G$15,$M147-$A$15,CZ$13)="",10^12,OFFSET(PLE!$G$15,$M147-$A$15,CZ$13)))</f>
        <v>1000000000000</v>
      </c>
      <c r="DA147" s="354" t="n">
        <f aca="true">IF(OR($D147&lt;&gt;"Serviço",AND(AUTOEVENTO="Manual",$M147=$A$15),$M147&gt;(ROW(PLE.lastrow)-ROW(PLE.firstrow))),0,
           IF(OFFSET(PLE!$G$15,$M147-$A$15,DA$13)="",10^12,OFFSET(PLE!$G$15,$M147-$A$15,DA$13)))</f>
        <v>1000000000000</v>
      </c>
      <c r="DB147" s="354" t="n">
        <f aca="true">IF(OR($D147&lt;&gt;"Serviço",AND(AUTOEVENTO="Manual",$M147=$A$15),$M147&gt;(ROW(PLE.lastrow)-ROW(PLE.firstrow))),0,
           IF(OFFSET(PLE!$G$15,$M147-$A$15,DB$13)="",10^12,OFFSET(PLE!$G$15,$M147-$A$15,DB$13)))</f>
        <v>1000000000000</v>
      </c>
      <c r="DC147" s="354" t="n">
        <f aca="true">IF(OR($D147&lt;&gt;"Serviço",AND(AUTOEVENTO="Manual",$M147=$A$15),$M147&gt;(ROW(PLE.lastrow)-ROW(PLE.firstrow))),0,
           IF(OFFSET(PLE!$G$15,$M147-$A$15,DC$13)="",10^12,OFFSET(PLE!$G$15,$M147-$A$15,DC$13)))</f>
        <v>1000000000000</v>
      </c>
      <c r="DD147" s="354" t="n">
        <f aca="true">IF(OR($D147&lt;&gt;"Serviço",AND(AUTOEVENTO="Manual",$M147=$A$15),$M147&gt;(ROW(PLE.lastrow)-ROW(PLE.firstrow))),0,
           IF(OFFSET(PLE!$G$15,$M147-$A$15,DD$13)="",10^12,OFFSET(PLE!$G$15,$M147-$A$15,DD$13)))</f>
        <v>1000000000000</v>
      </c>
      <c r="DE147" s="354" t="n">
        <f aca="true">IF(OR($D147&lt;&gt;"Serviço",AND(AUTOEVENTO="Manual",$M147=$A$15),$M147&gt;(ROW(PLE.lastrow)-ROW(PLE.firstrow))),0,
           IF(OFFSET(PLE!$G$15,$M147-$A$15,DE$13)="",10^12,OFFSET(PLE!$G$15,$M147-$A$15,DE$13)))</f>
        <v>1000000000000</v>
      </c>
      <c r="DF147" s="354" t="n">
        <f aca="true">IF(OR($D147&lt;&gt;"Serviço",AND(AUTOEVENTO="Manual",$M147=$A$15),$M147&gt;(ROW(PLE.lastrow)-ROW(PLE.firstrow))),0,
           IF(OFFSET(PLE!$G$15,$M147-$A$15,DF$13)="",10^12,OFFSET(PLE!$G$15,$M147-$A$15,DF$13)))</f>
        <v>1000000000000</v>
      </c>
      <c r="DG147" s="354" t="n">
        <f aca="true">IF(OR($D147&lt;&gt;"Serviço",AND(AUTOEVENTO="Manual",$M147=$A$15),$M147&gt;(ROW(PLE.lastrow)-ROW(PLE.firstrow))),0,
           IF(OFFSET(PLE!$G$15,$M147-$A$15,DG$13)="",10^12,OFFSET(PLE!$G$15,$M147-$A$15,DG$13)))</f>
        <v>1000000000000</v>
      </c>
      <c r="DH147" s="354" t="n">
        <f aca="true">IF(OR($D147&lt;&gt;"Serviço",AND(AUTOEVENTO="Manual",$M147=$A$15),$M147&gt;(ROW(PLE.lastrow)-ROW(PLE.firstrow))),0,
           IF(OFFSET(PLE!$G$15,$M147-$A$15,DH$13)="",10^12,OFFSET(PLE!$G$15,$M147-$A$15,DH$13)))</f>
        <v>1000000000000</v>
      </c>
      <c r="DI147" s="354" t="n">
        <f aca="true">IF(OR($D147&lt;&gt;"Serviço",AND(AUTOEVENTO="Manual",$M147=$A$15),$M147&gt;(ROW(PLE.lastrow)-ROW(PLE.firstrow))),0,
           IF(OFFSET(PLE!$G$15,$M147-$A$15,DI$13)="",10^12,OFFSET(PLE!$G$15,$M147-$A$15,DI$13)))</f>
        <v>1000000000000</v>
      </c>
      <c r="DJ147" s="354" t="n">
        <f aca="true">IF(OR($D147&lt;&gt;"Serviço",AND(AUTOEVENTO="Manual",$M147=$A$15),$M147&gt;(ROW(PLE.lastrow)-ROW(PLE.firstrow))),0,
           IF(OFFSET(PLE!$G$15,$M147-$A$15,DJ$13)="",10^12,OFFSET(PLE!$G$15,$M147-$A$15,DJ$13)))</f>
        <v>1000000000000</v>
      </c>
      <c r="DK147" s="354" t="n">
        <f aca="true">IF(OR($D147&lt;&gt;"Serviço",AND(AUTOEVENTO="Manual",$M147=$A$15),$M147&gt;(ROW(PLE.lastrow)-ROW(PLE.firstrow))),0,
           IF(OFFSET(PLE!$G$15,$M147-$A$15,DK$13)="",10^12,OFFSET(PLE!$G$15,$M147-$A$15,DK$13)))</f>
        <v>1000000000000</v>
      </c>
      <c r="DL147" s="354" t="n">
        <f aca="true">IF(OR($D147&lt;&gt;"Serviço",AND(AUTOEVENTO="Manual",$M147=$A$15),$M147&gt;(ROW(PLE.lastrow)-ROW(PLE.firstrow))),0,
           IF(OFFSET(PLE!$G$15,$M147-$A$15,DL$13)="",10^12,OFFSET(PLE!$G$15,$M147-$A$15,DL$13)))</f>
        <v>1000000000000</v>
      </c>
      <c r="DM147" s="354" t="n">
        <f aca="true">IF(OR($D147&lt;&gt;"Serviço",AND(AUTOEVENTO="Manual",$M147=$A$15),$M147&gt;(ROW(PLE.lastrow)-ROW(PLE.firstrow))),0,
           IF(OFFSET(PLE!$G$15,$M147-$A$15,DM$13)="",10^12,OFFSET(PLE!$G$15,$M147-$A$15,DM$13)))</f>
        <v>1000000000000</v>
      </c>
      <c r="DN147" s="354" t="n">
        <f aca="true">IF(OR($D147&lt;&gt;"Serviço",AND(AUTOEVENTO="Manual",$M147=$A$15),$M147&gt;(ROW(PLE.lastrow)-ROW(PLE.firstrow))),0,
           IF(OFFSET(PLE!$G$15,$M147-$A$15,DN$13)="",10^12,OFFSET(PLE!$G$15,$M147-$A$15,DN$13)))</f>
        <v>1000000000000</v>
      </c>
      <c r="DO147" s="354" t="n">
        <f aca="true">IF(OR($D147&lt;&gt;"Serviço",AND(AUTOEVENTO="Manual",$M147=$A$15),$M147&gt;(ROW(PLE.lastrow)-ROW(PLE.firstrow))),0,
           IF(OFFSET(PLE!$G$15,$M147-$A$15,DO$13)="",10^12,OFFSET(PLE!$G$15,$M147-$A$15,DO$13)))</f>
        <v>1000000000000</v>
      </c>
      <c r="DP147" s="354" t="n">
        <f aca="true">IF(OR($D147&lt;&gt;"Serviço",AND(AUTOEVENTO="Manual",$M147=$A$15),$M147&gt;(ROW(PLE.lastrow)-ROW(PLE.firstrow))),0,
           IF(OFFSET(PLE!$G$15,$M147-$A$15,DP$13)="",10^12,OFFSET(PLE!$G$15,$M147-$A$15,DP$13)))</f>
        <v>1000000000000</v>
      </c>
      <c r="DQ147" s="354" t="n">
        <f aca="true">IF(OR($D147&lt;&gt;"Serviço",AND(AUTOEVENTO="Manual",$M147=$A$15),$M147&gt;(ROW(PLE.lastrow)-ROW(PLE.firstrow))),0,
           IF(OFFSET(PLE!$G$15,$M147-$A$15,DQ$13)="",10^12,OFFSET(PLE!$G$15,$M147-$A$15,DQ$13)))</f>
        <v>1000000000000</v>
      </c>
      <c r="DR147" s="354" t="n">
        <f aca="true">IF(OR($D147&lt;&gt;"Serviço",AND(AUTOEVENTO="Manual",$M147=$A$15),$M147&gt;(ROW(PLE.lastrow)-ROW(PLE.firstrow))),0,
           IF(OFFSET(PLE!$G$15,$M147-$A$15,DR$13)="",10^12,OFFSET(PLE!$G$15,$M147-$A$15,DR$13)))</f>
        <v>1000000000000</v>
      </c>
      <c r="DS147" s="354" t="n">
        <f aca="true">IF(OR($D147&lt;&gt;"Serviço",AND(AUTOEVENTO="Manual",$M147=$A$15),$M147&gt;(ROW(PLE.lastrow)-ROW(PLE.firstrow))),0,
           IF(OFFSET(PLE!$G$15,$M147-$A$15,DS$13)="",10^12,OFFSET(PLE!$G$15,$M147-$A$15,DS$13)))</f>
        <v>1000000000000</v>
      </c>
    </row>
    <row r="148" customFormat="false" ht="12.75" hidden="false" customHeight="false" outlineLevel="0" collapsed="false">
      <c r="A148" s="50" t="str">
        <f aca="true">IFERROR(IF(AUTOEVENTO="Manual",IF(K148&lt;&gt;"",MIN(VALUE(LEFT(K148,FIND(".",K148)-1)),COUNTA(EVENTOS.Lista)),0),IF(OR($B148&gt;AUTOEVENTO,$B148="S",$B148=0),SUBSTITUTE(OFFSET($A148,-1,0),IF($D148="Serviço",".",""),""),ROW(A148)-ROW($A$15)&amp;".")),0)</f>
        <v>133.</v>
      </c>
      <c r="B148" s="50" t="n">
        <f aca="true">OFFSET(ORÇAMENTO!C$15,ROW(B148)-ROW(B$15),0)</f>
        <v>2</v>
      </c>
      <c r="C148" s="50" t="str">
        <f aca="true">OFFSET(ORÇAMENTO!L$15,ROW(C148)-ROW(C$15),0)</f>
        <v>F</v>
      </c>
      <c r="D148" s="201" t="str">
        <f aca="true">OFFSET(ORÇAMENTO!N$15,ROW(D148)-ROW(D$15),0)</f>
        <v>Nível 2</v>
      </c>
      <c r="E148" s="202" t="str">
        <f aca="true">OFFSET(ORÇAMENTO!O$15,ROW(E148)-ROW(E$15),0)</f>
        <v>1.42.</v>
      </c>
      <c r="F148" s="341" t="str">
        <f aca="true">OFFSET(ORÇAMENTO!R$15,ROW(F148)-ROW(F$15),0)</f>
        <v>ENTRADA / ALIMENTAÇÃO</v>
      </c>
      <c r="G148" s="342" t="str">
        <f aca="true">IF($D148&lt;&gt;"Serviço","",OFFSET(ORÇAMENTO!S$15,ROW(G148)-ROW(G$15),0))</f>
        <v/>
      </c>
      <c r="H148" s="207" t="n">
        <f aca="true">IF($D148&lt;&gt;"Serviço",0,IF(ACOMPANHAMENTO="BM",ROUND(OFFSET(ORÇAMENTO!AJ$15,ROW(H148)-ROW(H$15),0),15-13*ORÇAMENTO!$AF$7),SUMPRODUCT(($Q$1:$AQ$1=1)*ROUND($Q148:$AQ148,15-13*ORÇAMENTO!$AF$7))))</f>
        <v>0</v>
      </c>
      <c r="I148" s="343"/>
      <c r="J148" s="344" t="str">
        <f aca="false">IF(OR(B148&lt;&gt;"S",CÁLCULO.FrentesPreenchidas=0),"",IF(AND(ACOMPANHAMENTO="PLE",AUTOEVENTO="Manual",OR(H148&gt;0,ORÇAMENTO!AC148="QUANT."),OR(K148="",M148=0,N148="")),"►",IF(AND(ACOMPANHAMENTO="PLE",ORÇAMENTO!AC148="QUANT."),"►►",IF(AND(COUNTIF($P$11:$AQ$11,"▼")=0,H148&gt;0,I148=""),"◄",""))))</f>
        <v/>
      </c>
      <c r="K148" s="345"/>
      <c r="L148" s="346" t="s">
        <v>876</v>
      </c>
      <c r="M148" s="347" t="str">
        <f aca="true">IF($D148&lt;&gt;"Serviço","",
          IF(AUTOEVENTO="manual",$A148,
                IF(ISERROR(MATCH($A148,$A$15:OFFSET($A148,-1,0),0)),MAX($M$15:OFFSET(M148,-1,0))+1,
                      INDEX($M$15:OFFSET(M148,-1,0),MATCH($A148,$A$15:OFFSET($A148,-1,0),0)))))</f>
        <v/>
      </c>
      <c r="N148" s="348" t="str">
        <f aca="true">IF($D148&lt;&gt;"Serviço","",
         IF(AUTOEVENTO="Manual",
                IF($A148=0,"&lt;-- defina o número do agrupador",
                       OFFSET(EVENTOS!$D$15,$A148-$A$15,0)),
                OFFSET($F$15,$A148,0)))</f>
        <v/>
      </c>
      <c r="O148" s="349"/>
      <c r="Q148" s="349"/>
      <c r="R148" s="350"/>
      <c r="S148" s="350"/>
      <c r="T148" s="350"/>
      <c r="U148" s="350"/>
      <c r="V148" s="350"/>
      <c r="W148" s="350"/>
      <c r="X148" s="350"/>
      <c r="Y148" s="350"/>
      <c r="Z148" s="351"/>
      <c r="AA148" s="350"/>
      <c r="AB148" s="350"/>
      <c r="AC148" s="350"/>
      <c r="AD148" s="350"/>
      <c r="AE148" s="350"/>
      <c r="AF148" s="350"/>
      <c r="AG148" s="350"/>
      <c r="AH148" s="351"/>
      <c r="AI148" s="350"/>
      <c r="AJ148" s="350"/>
      <c r="AK148" s="350"/>
      <c r="AL148" s="350"/>
      <c r="AM148" s="350"/>
      <c r="AN148" s="350"/>
      <c r="AO148" s="350"/>
      <c r="AP148" s="351"/>
      <c r="AR148" s="352" t="n">
        <f aca="true">IF(AND($D148="Serviço",AR$12&lt;&gt;0,$H148&gt;0,OR(AUTOEVENTO&lt;&gt;"manual",$M148&lt;&gt;$A$15)),
        IF(Import.TipoArredondamento&lt;&gt;"TransfereGOV",
              ROUND(OFFSET($P148,0,AR$13),15-13*ORÇAMENTO!$AF$7)/$H148*OFFSET(ORÇAMENTO!$X$15,ROW(AR148)-ROW(AR$15),0),
              ROUND(ROUND(OFFSET($P148,0,AR$13),15-13*ORÇAMENTO!$AF$7)*OFFSET(ORÇAMENTO!$W$15,ROW(AR148)-ROW(AR$15),0),15-13*ORÇAMENTO!$AF$11)),
         0)</f>
        <v>0</v>
      </c>
      <c r="AS148" s="352" t="n">
        <f aca="true">IF(AND($D148="Serviço",AS$12&lt;&gt;0,$H148&gt;0,OR(AUTOEVENTO&lt;&gt;"manual",$M148&lt;&gt;$A$15)),
        IF(Import.TipoArredondamento&lt;&gt;"TransfereGOV",
              ROUND(OFFSET($P148,0,AS$13),15-13*ORÇAMENTO!$AF$7)/$H148*OFFSET(ORÇAMENTO!$X$15,ROW(AS148)-ROW(AS$15),0),
              ROUND(ROUND(OFFSET($P148,0,AS$13),15-13*ORÇAMENTO!$AF$7)*OFFSET(ORÇAMENTO!$W$15,ROW(AS148)-ROW(AS$15),0),15-13*ORÇAMENTO!$AF$11)),
         0)</f>
        <v>0</v>
      </c>
      <c r="AT148" s="352" t="n">
        <f aca="true">IF(AND($D148="Serviço",AT$12&lt;&gt;0,$H148&gt;0,OR(AUTOEVENTO&lt;&gt;"manual",$M148&lt;&gt;$A$15)),
        IF(Import.TipoArredondamento&lt;&gt;"TransfereGOV",
              ROUND(OFFSET($P148,0,AT$13),15-13*ORÇAMENTO!$AF$7)/$H148*OFFSET(ORÇAMENTO!$X$15,ROW(AT148)-ROW(AT$15),0),
              ROUND(ROUND(OFFSET($P148,0,AT$13),15-13*ORÇAMENTO!$AF$7)*OFFSET(ORÇAMENTO!$W$15,ROW(AT148)-ROW(AT$15),0),15-13*ORÇAMENTO!$AF$11)),
         0)</f>
        <v>0</v>
      </c>
      <c r="AU148" s="352" t="n">
        <f aca="true">IF(AND($D148="Serviço",AU$12&lt;&gt;0,$H148&gt;0,OR(AUTOEVENTO&lt;&gt;"manual",$M148&lt;&gt;$A$15)),
        IF(Import.TipoArredondamento&lt;&gt;"TransfereGOV",
              ROUND(OFFSET($P148,0,AU$13),15-13*ORÇAMENTO!$AF$7)/$H148*OFFSET(ORÇAMENTO!$X$15,ROW(AU148)-ROW(AU$15),0),
              ROUND(ROUND(OFFSET($P148,0,AU$13),15-13*ORÇAMENTO!$AF$7)*OFFSET(ORÇAMENTO!$W$15,ROW(AU148)-ROW(AU$15),0),15-13*ORÇAMENTO!$AF$11)),
         0)</f>
        <v>0</v>
      </c>
      <c r="AV148" s="352" t="n">
        <f aca="true">IF(AND($D148="Serviço",AV$12&lt;&gt;0,$H148&gt;0,OR(AUTOEVENTO&lt;&gt;"manual",$M148&lt;&gt;$A$15)),
        IF(Import.TipoArredondamento&lt;&gt;"TransfereGOV",
              ROUND(OFFSET($P148,0,AV$13),15-13*ORÇAMENTO!$AF$7)/$H148*OFFSET(ORÇAMENTO!$X$15,ROW(AV148)-ROW(AV$15),0),
              ROUND(ROUND(OFFSET($P148,0,AV$13),15-13*ORÇAMENTO!$AF$7)*OFFSET(ORÇAMENTO!$W$15,ROW(AV148)-ROW(AV$15),0),15-13*ORÇAMENTO!$AF$11)),
         0)</f>
        <v>0</v>
      </c>
      <c r="AW148" s="352" t="n">
        <f aca="true">IF(AND($D148="Serviço",AW$12&lt;&gt;0,$H148&gt;0,OR(AUTOEVENTO&lt;&gt;"manual",$M148&lt;&gt;$A$15)),
        IF(Import.TipoArredondamento&lt;&gt;"TransfereGOV",
              ROUND(OFFSET($P148,0,AW$13),15-13*ORÇAMENTO!$AF$7)/$H148*OFFSET(ORÇAMENTO!$X$15,ROW(AW148)-ROW(AW$15),0),
              ROUND(ROUND(OFFSET($P148,0,AW$13),15-13*ORÇAMENTO!$AF$7)*OFFSET(ORÇAMENTO!$W$15,ROW(AW148)-ROW(AW$15),0),15-13*ORÇAMENTO!$AF$11)),
         0)</f>
        <v>0</v>
      </c>
      <c r="AX148" s="352" t="n">
        <f aca="true">IF(AND($D148="Serviço",AX$12&lt;&gt;0,$H148&gt;0,OR(AUTOEVENTO&lt;&gt;"manual",$M148&lt;&gt;$A$15)),
        IF(Import.TipoArredondamento&lt;&gt;"TransfereGOV",
              ROUND(OFFSET($P148,0,AX$13),15-13*ORÇAMENTO!$AF$7)/$H148*OFFSET(ORÇAMENTO!$X$15,ROW(AX148)-ROW(AX$15),0),
              ROUND(ROUND(OFFSET($P148,0,AX$13),15-13*ORÇAMENTO!$AF$7)*OFFSET(ORÇAMENTO!$W$15,ROW(AX148)-ROW(AX$15),0),15-13*ORÇAMENTO!$AF$11)),
         0)</f>
        <v>0</v>
      </c>
      <c r="AY148" s="352" t="n">
        <f aca="true">IF(AND($D148="Serviço",AY$12&lt;&gt;0,$H148&gt;0,OR(AUTOEVENTO&lt;&gt;"manual",$M148&lt;&gt;$A$15)),
        IF(Import.TipoArredondamento&lt;&gt;"TransfereGOV",
              ROUND(OFFSET($P148,0,AY$13),15-13*ORÇAMENTO!$AF$7)/$H148*OFFSET(ORÇAMENTO!$X$15,ROW(AY148)-ROW(AY$15),0),
              ROUND(ROUND(OFFSET($P148,0,AY$13),15-13*ORÇAMENTO!$AF$7)*OFFSET(ORÇAMENTO!$W$15,ROW(AY148)-ROW(AY$15),0),15-13*ORÇAMENTO!$AF$11)),
         0)</f>
        <v>0</v>
      </c>
      <c r="AZ148" s="352" t="n">
        <f aca="true">IF(AND($D148="Serviço",AZ$12&lt;&gt;0,$H148&gt;0,OR(AUTOEVENTO&lt;&gt;"manual",$M148&lt;&gt;$A$15)),
        IF(Import.TipoArredondamento&lt;&gt;"TransfereGOV",
              ROUND(OFFSET($P148,0,AZ$13),15-13*ORÇAMENTO!$AF$7)/$H148*OFFSET(ORÇAMENTO!$X$15,ROW(AZ148)-ROW(AZ$15),0),
              ROUND(ROUND(OFFSET($P148,0,AZ$13),15-13*ORÇAMENTO!$AF$7)*OFFSET(ORÇAMENTO!$W$15,ROW(AZ148)-ROW(AZ$15),0),15-13*ORÇAMENTO!$AF$11)),
         0)</f>
        <v>0</v>
      </c>
      <c r="BA148" s="352" t="n">
        <f aca="true">IF(AND($D148="Serviço",BA$12&lt;&gt;0,$H148&gt;0,OR(AUTOEVENTO&lt;&gt;"manual",$M148&lt;&gt;$A$15)),
        IF(Import.TipoArredondamento&lt;&gt;"TransfereGOV",
              ROUND(OFFSET($P148,0,BA$13),15-13*ORÇAMENTO!$AF$7)/$H148*OFFSET(ORÇAMENTO!$X$15,ROW(BA148)-ROW(BA$15),0),
              ROUND(ROUND(OFFSET($P148,0,BA$13),15-13*ORÇAMENTO!$AF$7)*OFFSET(ORÇAMENTO!$W$15,ROW(BA148)-ROW(BA$15),0),15-13*ORÇAMENTO!$AF$11)),
         0)</f>
        <v>0</v>
      </c>
      <c r="BB148" s="352" t="n">
        <f aca="true">IF(AND($D148="Serviço",BB$12&lt;&gt;0,$H148&gt;0,OR(AUTOEVENTO&lt;&gt;"manual",$M148&lt;&gt;$A$15)),
        IF(Import.TipoArredondamento&lt;&gt;"TransfereGOV",
              ROUND(OFFSET($P148,0,BB$13),15-13*ORÇAMENTO!$AF$7)/$H148*OFFSET(ORÇAMENTO!$X$15,ROW(BB148)-ROW(BB$15),0),
              ROUND(ROUND(OFFSET($P148,0,BB$13),15-13*ORÇAMENTO!$AF$7)*OFFSET(ORÇAMENTO!$W$15,ROW(BB148)-ROW(BB$15),0),15-13*ORÇAMENTO!$AF$11)),
         0)</f>
        <v>0</v>
      </c>
      <c r="BC148" s="352" t="n">
        <f aca="true">IF(AND($D148="Serviço",BC$12&lt;&gt;0,$H148&gt;0,OR(AUTOEVENTO&lt;&gt;"manual",$M148&lt;&gt;$A$15)),
        IF(Import.TipoArredondamento&lt;&gt;"TransfereGOV",
              ROUND(OFFSET($P148,0,BC$13),15-13*ORÇAMENTO!$AF$7)/$H148*OFFSET(ORÇAMENTO!$X$15,ROW(BC148)-ROW(BC$15),0),
              ROUND(ROUND(OFFSET($P148,0,BC$13),15-13*ORÇAMENTO!$AF$7)*OFFSET(ORÇAMENTO!$W$15,ROW(BC148)-ROW(BC$15),0),15-13*ORÇAMENTO!$AF$11)),
         0)</f>
        <v>0</v>
      </c>
      <c r="BD148" s="352" t="n">
        <f aca="true">IF(AND($D148="Serviço",BD$12&lt;&gt;0,$H148&gt;0,OR(AUTOEVENTO&lt;&gt;"manual",$M148&lt;&gt;$A$15)),
        IF(Import.TipoArredondamento&lt;&gt;"TransfereGOV",
              ROUND(OFFSET($P148,0,BD$13),15-13*ORÇAMENTO!$AF$7)/$H148*OFFSET(ORÇAMENTO!$X$15,ROW(BD148)-ROW(BD$15),0),
              ROUND(ROUND(OFFSET($P148,0,BD$13),15-13*ORÇAMENTO!$AF$7)*OFFSET(ORÇAMENTO!$W$15,ROW(BD148)-ROW(BD$15),0),15-13*ORÇAMENTO!$AF$11)),
         0)</f>
        <v>0</v>
      </c>
      <c r="BE148" s="352" t="n">
        <f aca="true">IF(AND($D148="Serviço",BE$12&lt;&gt;0,$H148&gt;0,OR(AUTOEVENTO&lt;&gt;"manual",$M148&lt;&gt;$A$15)),
        IF(Import.TipoArredondamento&lt;&gt;"TransfereGOV",
              ROUND(OFFSET($P148,0,BE$13),15-13*ORÇAMENTO!$AF$7)/$H148*OFFSET(ORÇAMENTO!$X$15,ROW(BE148)-ROW(BE$15),0),
              ROUND(ROUND(OFFSET($P148,0,BE$13),15-13*ORÇAMENTO!$AF$7)*OFFSET(ORÇAMENTO!$W$15,ROW(BE148)-ROW(BE$15),0),15-13*ORÇAMENTO!$AF$11)),
         0)</f>
        <v>0</v>
      </c>
      <c r="BF148" s="352" t="n">
        <f aca="true">IF(AND($D148="Serviço",BF$12&lt;&gt;0,$H148&gt;0,OR(AUTOEVENTO&lt;&gt;"manual",$M148&lt;&gt;$A$15)),
        IF(Import.TipoArredondamento&lt;&gt;"TransfereGOV",
              ROUND(OFFSET($P148,0,BF$13),15-13*ORÇAMENTO!$AF$7)/$H148*OFFSET(ORÇAMENTO!$X$15,ROW(BF148)-ROW(BF$15),0),
              ROUND(ROUND(OFFSET($P148,0,BF$13),15-13*ORÇAMENTO!$AF$7)*OFFSET(ORÇAMENTO!$W$15,ROW(BF148)-ROW(BF$15),0),15-13*ORÇAMENTO!$AF$11)),
         0)</f>
        <v>0</v>
      </c>
      <c r="BG148" s="352" t="n">
        <f aca="true">IF(AND($D148="Serviço",BG$12&lt;&gt;0,$H148&gt;0,OR(AUTOEVENTO&lt;&gt;"manual",$M148&lt;&gt;$A$15)),
        IF(Import.TipoArredondamento&lt;&gt;"TransfereGOV",
              ROUND(OFFSET($P148,0,BG$13),15-13*ORÇAMENTO!$AF$7)/$H148*OFFSET(ORÇAMENTO!$X$15,ROW(BG148)-ROW(BG$15),0),
              ROUND(ROUND(OFFSET($P148,0,BG$13),15-13*ORÇAMENTO!$AF$7)*OFFSET(ORÇAMENTO!$W$15,ROW(BG148)-ROW(BG$15),0),15-13*ORÇAMENTO!$AF$11)),
         0)</f>
        <v>0</v>
      </c>
      <c r="BH148" s="352" t="n">
        <f aca="true">IF(AND($D148="Serviço",BH$12&lt;&gt;0,$H148&gt;0,OR(AUTOEVENTO&lt;&gt;"manual",$M148&lt;&gt;$A$15)),
        IF(Import.TipoArredondamento&lt;&gt;"TransfereGOV",
              ROUND(OFFSET($P148,0,BH$13),15-13*ORÇAMENTO!$AF$7)/$H148*OFFSET(ORÇAMENTO!$X$15,ROW(BH148)-ROW(BH$15),0),
              ROUND(ROUND(OFFSET($P148,0,BH$13),15-13*ORÇAMENTO!$AF$7)*OFFSET(ORÇAMENTO!$W$15,ROW(BH148)-ROW(BH$15),0),15-13*ORÇAMENTO!$AF$11)),
         0)</f>
        <v>0</v>
      </c>
      <c r="BI148" s="352" t="n">
        <f aca="true">IF(AND($D148="Serviço",BI$12&lt;&gt;0,$H148&gt;0,OR(AUTOEVENTO&lt;&gt;"manual",$M148&lt;&gt;$A$15)),
        IF(Import.TipoArredondamento&lt;&gt;"TransfereGOV",
              ROUND(OFFSET($P148,0,BI$13),15-13*ORÇAMENTO!$AF$7)/$H148*OFFSET(ORÇAMENTO!$X$15,ROW(BI148)-ROW(BI$15),0),
              ROUND(ROUND(OFFSET($P148,0,BI$13),15-13*ORÇAMENTO!$AF$7)*OFFSET(ORÇAMENTO!$W$15,ROW(BI148)-ROW(BI$15),0),15-13*ORÇAMENTO!$AF$11)),
         0)</f>
        <v>0</v>
      </c>
      <c r="BJ148" s="352" t="n">
        <f aca="true">IF(AND($D148="Serviço",BJ$12&lt;&gt;0,$H148&gt;0,OR(AUTOEVENTO&lt;&gt;"manual",$M148&lt;&gt;$A$15)),
        IF(Import.TipoArredondamento&lt;&gt;"TransfereGOV",
              ROUND(OFFSET($P148,0,BJ$13),15-13*ORÇAMENTO!$AF$7)/$H148*OFFSET(ORÇAMENTO!$X$15,ROW(BJ148)-ROW(BJ$15),0),
              ROUND(ROUND(OFFSET($P148,0,BJ$13),15-13*ORÇAMENTO!$AF$7)*OFFSET(ORÇAMENTO!$W$15,ROW(BJ148)-ROW(BJ$15),0),15-13*ORÇAMENTO!$AF$11)),
         0)</f>
        <v>0</v>
      </c>
      <c r="BK148" s="352" t="n">
        <f aca="true">IF(AND($D148="Serviço",BK$12&lt;&gt;0,$H148&gt;0,OR(AUTOEVENTO&lt;&gt;"manual",$M148&lt;&gt;$A$15)),
        IF(Import.TipoArredondamento&lt;&gt;"TransfereGOV",
              ROUND(OFFSET($P148,0,BK$13),15-13*ORÇAMENTO!$AF$7)/$H148*OFFSET(ORÇAMENTO!$X$15,ROW(BK148)-ROW(BK$15),0),
              ROUND(ROUND(OFFSET($P148,0,BK$13),15-13*ORÇAMENTO!$AF$7)*OFFSET(ORÇAMENTO!$W$15,ROW(BK148)-ROW(BK$15),0),15-13*ORÇAMENTO!$AF$11)),
         0)</f>
        <v>0</v>
      </c>
      <c r="BL148" s="352" t="n">
        <f aca="true">IF(AND($D148="Serviço",BL$12&lt;&gt;0,$H148&gt;0,OR(AUTOEVENTO&lt;&gt;"manual",$M148&lt;&gt;$A$15)),
        IF(Import.TipoArredondamento&lt;&gt;"TransfereGOV",
              ROUND(OFFSET($P148,0,BL$13),15-13*ORÇAMENTO!$AF$7)/$H148*OFFSET(ORÇAMENTO!$X$15,ROW(BL148)-ROW(BL$15),0),
              ROUND(ROUND(OFFSET($P148,0,BL$13),15-13*ORÇAMENTO!$AF$7)*OFFSET(ORÇAMENTO!$W$15,ROW(BL148)-ROW(BL$15),0),15-13*ORÇAMENTO!$AF$11)),
         0)</f>
        <v>0</v>
      </c>
      <c r="BM148" s="352" t="n">
        <f aca="true">IF(AND($D148="Serviço",BM$12&lt;&gt;0,$H148&gt;0,OR(AUTOEVENTO&lt;&gt;"manual",$M148&lt;&gt;$A$15)),
        IF(Import.TipoArredondamento&lt;&gt;"TransfereGOV",
              ROUND(OFFSET($P148,0,BM$13),15-13*ORÇAMENTO!$AF$7)/$H148*OFFSET(ORÇAMENTO!$X$15,ROW(BM148)-ROW(BM$15),0),
              ROUND(ROUND(OFFSET($P148,0,BM$13),15-13*ORÇAMENTO!$AF$7)*OFFSET(ORÇAMENTO!$W$15,ROW(BM148)-ROW(BM$15),0),15-13*ORÇAMENTO!$AF$11)),
         0)</f>
        <v>0</v>
      </c>
      <c r="BN148" s="352" t="n">
        <f aca="true">IF(AND($D148="Serviço",BN$12&lt;&gt;0,$H148&gt;0,OR(AUTOEVENTO&lt;&gt;"manual",$M148&lt;&gt;$A$15)),
        IF(Import.TipoArredondamento&lt;&gt;"TransfereGOV",
              ROUND(OFFSET($P148,0,BN$13),15-13*ORÇAMENTO!$AF$7)/$H148*OFFSET(ORÇAMENTO!$X$15,ROW(BN148)-ROW(BN$15),0),
              ROUND(ROUND(OFFSET($P148,0,BN$13),15-13*ORÇAMENTO!$AF$7)*OFFSET(ORÇAMENTO!$W$15,ROW(BN148)-ROW(BN$15),0),15-13*ORÇAMENTO!$AF$11)),
         0)</f>
        <v>0</v>
      </c>
      <c r="BO148" s="352" t="n">
        <f aca="true">IF(AND($D148="Serviço",BO$12&lt;&gt;0,$H148&gt;0,OR(AUTOEVENTO&lt;&gt;"manual",$M148&lt;&gt;$A$15)),
        IF(Import.TipoArredondamento&lt;&gt;"TransfereGOV",
              ROUND(OFFSET($P148,0,BO$13),15-13*ORÇAMENTO!$AF$7)/$H148*OFFSET(ORÇAMENTO!$X$15,ROW(BO148)-ROW(BO$15),0),
              ROUND(ROUND(OFFSET($P148,0,BO$13),15-13*ORÇAMENTO!$AF$7)*OFFSET(ORÇAMENTO!$W$15,ROW(BO148)-ROW(BO$15),0),15-13*ORÇAMENTO!$AF$11)),
         0)</f>
        <v>0</v>
      </c>
      <c r="BP148" s="352" t="n">
        <f aca="true">IF(AND($D148="Serviço",BP$12&lt;&gt;0,$H148&gt;0,OR(AUTOEVENTO&lt;&gt;"manual",$M148&lt;&gt;$A$15)),
        IF(Import.TipoArredondamento&lt;&gt;"TransfereGOV",
              ROUND(OFFSET($P148,0,BP$13),15-13*ORÇAMENTO!$AF$7)/$H148*OFFSET(ORÇAMENTO!$X$15,ROW(BP148)-ROW(BP$15),0),
              ROUND(ROUND(OFFSET($P148,0,BP$13),15-13*ORÇAMENTO!$AF$7)*OFFSET(ORÇAMENTO!$W$15,ROW(BP148)-ROW(BP$15),0),15-13*ORÇAMENTO!$AF$11)),
         0)</f>
        <v>0</v>
      </c>
      <c r="BQ148" s="352" t="n">
        <f aca="true">IF(AND($D148="Serviço",BQ$12&lt;&gt;0,$H148&gt;0,OR(AUTOEVENTO&lt;&gt;"manual",$M148&lt;&gt;$A$15)),
        IF(Import.TipoArredondamento&lt;&gt;"TransfereGOV",
              ROUND(OFFSET($P148,0,BQ$13),15-13*ORÇAMENTO!$AF$7)/$H148*OFFSET(ORÇAMENTO!$X$15,ROW(BQ148)-ROW(BQ$15),0),
              ROUND(ROUND(OFFSET($P148,0,BQ$13),15-13*ORÇAMENTO!$AF$7)*OFFSET(ORÇAMENTO!$W$15,ROW(BQ148)-ROW(BQ$15),0),15-13*ORÇAMENTO!$AF$11)),
         0)</f>
        <v>0</v>
      </c>
      <c r="BS148" s="353" t="n">
        <f aca="true">IF(OR($D148&lt;&gt;"Serviço",AND(AUTOEVENTO="Manual",$M148=$A$15)),0,
         IF(OFFSET(CRONOPLE!$F$15,$M148-$A$15,BS$13)=0,10^12,OFFSET(CRONOPLE!$F$15,$M148-$A$15,BS$13)))</f>
        <v>0</v>
      </c>
      <c r="BT148" s="353" t="n">
        <f aca="true">IF(OR($D148&lt;&gt;"Serviço",AND(AUTOEVENTO="Manual",$M148=$A$15)),0,
         IF(OFFSET(CRONOPLE!$F$15,$M148-$A$15,BT$13)=0,10^12,OFFSET(CRONOPLE!$F$15,$M148-$A$15,BT$13)))</f>
        <v>0</v>
      </c>
      <c r="BU148" s="353" t="n">
        <f aca="true">IF(OR($D148&lt;&gt;"Serviço",AND(AUTOEVENTO="Manual",$M148=$A$15)),0,
         IF(OFFSET(CRONOPLE!$F$15,$M148-$A$15,BU$13)=0,10^12,OFFSET(CRONOPLE!$F$15,$M148-$A$15,BU$13)))</f>
        <v>0</v>
      </c>
      <c r="BV148" s="353" t="n">
        <f aca="true">IF(OR($D148&lt;&gt;"Serviço",AND(AUTOEVENTO="Manual",$M148=$A$15)),0,
         IF(OFFSET(CRONOPLE!$F$15,$M148-$A$15,BV$13)=0,10^12,OFFSET(CRONOPLE!$F$15,$M148-$A$15,BV$13)))</f>
        <v>0</v>
      </c>
      <c r="BW148" s="353" t="n">
        <f aca="true">IF(OR($D148&lt;&gt;"Serviço",AND(AUTOEVENTO="Manual",$M148=$A$15)),0,
         IF(OFFSET(CRONOPLE!$F$15,$M148-$A$15,BW$13)=0,10^12,OFFSET(CRONOPLE!$F$15,$M148-$A$15,BW$13)))</f>
        <v>0</v>
      </c>
      <c r="BX148" s="353" t="n">
        <f aca="true">IF(OR($D148&lt;&gt;"Serviço",AND(AUTOEVENTO="Manual",$M148=$A$15)),0,
         IF(OFFSET(CRONOPLE!$F$15,$M148-$A$15,BX$13)=0,10^12,OFFSET(CRONOPLE!$F$15,$M148-$A$15,BX$13)))</f>
        <v>0</v>
      </c>
      <c r="BY148" s="353" t="n">
        <f aca="true">IF(OR($D148&lt;&gt;"Serviço",AND(AUTOEVENTO="Manual",$M148=$A$15)),0,
         IF(OFFSET(CRONOPLE!$F$15,$M148-$A$15,BY$13)=0,10^12,OFFSET(CRONOPLE!$F$15,$M148-$A$15,BY$13)))</f>
        <v>0</v>
      </c>
      <c r="BZ148" s="353" t="n">
        <f aca="true">IF(OR($D148&lt;&gt;"Serviço",AND(AUTOEVENTO="Manual",$M148=$A$15)),0,
         IF(OFFSET(CRONOPLE!$F$15,$M148-$A$15,BZ$13)=0,10^12,OFFSET(CRONOPLE!$F$15,$M148-$A$15,BZ$13)))</f>
        <v>0</v>
      </c>
      <c r="CA148" s="353" t="n">
        <f aca="true">IF(OR($D148&lt;&gt;"Serviço",AND(AUTOEVENTO="Manual",$M148=$A$15)),0,
         IF(OFFSET(CRONOPLE!$F$15,$M148-$A$15,CA$13)=0,10^12,OFFSET(CRONOPLE!$F$15,$M148-$A$15,CA$13)))</f>
        <v>0</v>
      </c>
      <c r="CB148" s="353" t="n">
        <f aca="true">IF(OR($D148&lt;&gt;"Serviço",AND(AUTOEVENTO="Manual",$M148=$A$15)),0,
         IF(OFFSET(CRONOPLE!$F$15,$M148-$A$15,CB$13)=0,10^12,OFFSET(CRONOPLE!$F$15,$M148-$A$15,CB$13)))</f>
        <v>0</v>
      </c>
      <c r="CC148" s="353" t="n">
        <f aca="true">IF(OR($D148&lt;&gt;"Serviço",AND(AUTOEVENTO="Manual",$M148=$A$15)),0,
         IF(OFFSET(CRONOPLE!$F$15,$M148-$A$15,CC$13)=0,10^12,OFFSET(CRONOPLE!$F$15,$M148-$A$15,CC$13)))</f>
        <v>0</v>
      </c>
      <c r="CD148" s="353" t="n">
        <f aca="true">IF(OR($D148&lt;&gt;"Serviço",AND(AUTOEVENTO="Manual",$M148=$A$15)),0,
         IF(OFFSET(CRONOPLE!$F$15,$M148-$A$15,CD$13)=0,10^12,OFFSET(CRONOPLE!$F$15,$M148-$A$15,CD$13)))</f>
        <v>0</v>
      </c>
      <c r="CE148" s="353" t="n">
        <f aca="true">IF(OR($D148&lt;&gt;"Serviço",AND(AUTOEVENTO="Manual",$M148=$A$15)),0,
         IF(OFFSET(CRONOPLE!$F$15,$M148-$A$15,CE$13)=0,10^12,OFFSET(CRONOPLE!$F$15,$M148-$A$15,CE$13)))</f>
        <v>0</v>
      </c>
      <c r="CF148" s="353" t="n">
        <f aca="true">IF(OR($D148&lt;&gt;"Serviço",AND(AUTOEVENTO="Manual",$M148=$A$15)),0,
         IF(OFFSET(CRONOPLE!$F$15,$M148-$A$15,CF$13)=0,10^12,OFFSET(CRONOPLE!$F$15,$M148-$A$15,CF$13)))</f>
        <v>0</v>
      </c>
      <c r="CG148" s="353" t="n">
        <f aca="true">IF(OR($D148&lt;&gt;"Serviço",AND(AUTOEVENTO="Manual",$M148=$A$15)),0,
         IF(OFFSET(CRONOPLE!$F$15,$M148-$A$15,CG$13)=0,10^12,OFFSET(CRONOPLE!$F$15,$M148-$A$15,CG$13)))</f>
        <v>0</v>
      </c>
      <c r="CH148" s="353" t="n">
        <f aca="true">IF(OR($D148&lt;&gt;"Serviço",AND(AUTOEVENTO="Manual",$M148=$A$15)),0,
         IF(OFFSET(CRONOPLE!$F$15,$M148-$A$15,CH$13)=0,10^12,OFFSET(CRONOPLE!$F$15,$M148-$A$15,CH$13)))</f>
        <v>0</v>
      </c>
      <c r="CI148" s="353" t="n">
        <f aca="true">IF(OR($D148&lt;&gt;"Serviço",AND(AUTOEVENTO="Manual",$M148=$A$15)),0,
         IF(OFFSET(CRONOPLE!$F$15,$M148-$A$15,CI$13)=0,10^12,OFFSET(CRONOPLE!$F$15,$M148-$A$15,CI$13)))</f>
        <v>0</v>
      </c>
      <c r="CJ148" s="353" t="n">
        <f aca="true">IF(OR($D148&lt;&gt;"Serviço",AND(AUTOEVENTO="Manual",$M148=$A$15)),0,
         IF(OFFSET(CRONOPLE!$F$15,$M148-$A$15,CJ$13)=0,10^12,OFFSET(CRONOPLE!$F$15,$M148-$A$15,CJ$13)))</f>
        <v>0</v>
      </c>
      <c r="CK148" s="353" t="n">
        <f aca="true">IF(OR($D148&lt;&gt;"Serviço",AND(AUTOEVENTO="Manual",$M148=$A$15)),0,
         IF(OFFSET(CRONOPLE!$F$15,$M148-$A$15,CK$13)=0,10^12,OFFSET(CRONOPLE!$F$15,$M148-$A$15,CK$13)))</f>
        <v>0</v>
      </c>
      <c r="CL148" s="353" t="n">
        <f aca="true">IF(OR($D148&lt;&gt;"Serviço",AND(AUTOEVENTO="Manual",$M148=$A$15)),0,
         IF(OFFSET(CRONOPLE!$F$15,$M148-$A$15,CL$13)=0,10^12,OFFSET(CRONOPLE!$F$15,$M148-$A$15,CL$13)))</f>
        <v>0</v>
      </c>
      <c r="CM148" s="353" t="n">
        <f aca="true">IF(OR($D148&lt;&gt;"Serviço",AND(AUTOEVENTO="Manual",$M148=$A$15)),0,
         IF(OFFSET(CRONOPLE!$F$15,$M148-$A$15,CM$13)=0,10^12,OFFSET(CRONOPLE!$F$15,$M148-$A$15,CM$13)))</f>
        <v>0</v>
      </c>
      <c r="CN148" s="353" t="n">
        <f aca="true">IF(OR($D148&lt;&gt;"Serviço",AND(AUTOEVENTO="Manual",$M148=$A$15)),0,
         IF(OFFSET(CRONOPLE!$F$15,$M148-$A$15,CN$13)=0,10^12,OFFSET(CRONOPLE!$F$15,$M148-$A$15,CN$13)))</f>
        <v>0</v>
      </c>
      <c r="CO148" s="353" t="n">
        <f aca="true">IF(OR($D148&lt;&gt;"Serviço",AND(AUTOEVENTO="Manual",$M148=$A$15)),0,
         IF(OFFSET(CRONOPLE!$F$15,$M148-$A$15,CO$13)=0,10^12,OFFSET(CRONOPLE!$F$15,$M148-$A$15,CO$13)))</f>
        <v>0</v>
      </c>
      <c r="CP148" s="353" t="n">
        <f aca="true">IF(OR($D148&lt;&gt;"Serviço",AND(AUTOEVENTO="Manual",$M148=$A$15)),0,
         IF(OFFSET(CRONOPLE!$F$15,$M148-$A$15,CP$13)=0,10^12,OFFSET(CRONOPLE!$F$15,$M148-$A$15,CP$13)))</f>
        <v>0</v>
      </c>
      <c r="CQ148" s="353" t="n">
        <f aca="true">IF(OR($D148&lt;&gt;"Serviço",AND(AUTOEVENTO="Manual",$M148=$A$15)),0,
         IF(OFFSET(CRONOPLE!$F$15,$M148-$A$15,CQ$13)=0,10^12,OFFSET(CRONOPLE!$F$15,$M148-$A$15,CQ$13)))</f>
        <v>0</v>
      </c>
      <c r="CR148" s="353" t="n">
        <f aca="true">IF(OR($D148&lt;&gt;"Serviço",AND(AUTOEVENTO="Manual",$M148=$A$15)),0,
         IF(OFFSET(CRONOPLE!$F$15,$M148-$A$15,CR$13)=0,10^12,OFFSET(CRONOPLE!$F$15,$M148-$A$15,CR$13)))</f>
        <v>0</v>
      </c>
      <c r="CT148" s="354" t="n">
        <f aca="true">IF(OR($D148&lt;&gt;"Serviço",AND(AUTOEVENTO="Manual",$M148=$A$15),$M148&gt;(ROW(PLE.lastrow)-ROW(PLE.firstrow))),0,
           IF(OFFSET(PLE!$G$15,$M148-$A$15,CT$13)="",10^12,OFFSET(PLE!$G$15,$M148-$A$15,CT$13)))</f>
        <v>0</v>
      </c>
      <c r="CU148" s="354" t="n">
        <f aca="true">IF(OR($D148&lt;&gt;"Serviço",AND(AUTOEVENTO="Manual",$M148=$A$15),$M148&gt;(ROW(PLE.lastrow)-ROW(PLE.firstrow))),0,
           IF(OFFSET(PLE!$G$15,$M148-$A$15,CU$13)="",10^12,OFFSET(PLE!$G$15,$M148-$A$15,CU$13)))</f>
        <v>0</v>
      </c>
      <c r="CV148" s="354" t="n">
        <f aca="true">IF(OR($D148&lt;&gt;"Serviço",AND(AUTOEVENTO="Manual",$M148=$A$15),$M148&gt;(ROW(PLE.lastrow)-ROW(PLE.firstrow))),0,
           IF(OFFSET(PLE!$G$15,$M148-$A$15,CV$13)="",10^12,OFFSET(PLE!$G$15,$M148-$A$15,CV$13)))</f>
        <v>0</v>
      </c>
      <c r="CW148" s="354" t="n">
        <f aca="true">IF(OR($D148&lt;&gt;"Serviço",AND(AUTOEVENTO="Manual",$M148=$A$15),$M148&gt;(ROW(PLE.lastrow)-ROW(PLE.firstrow))),0,
           IF(OFFSET(PLE!$G$15,$M148-$A$15,CW$13)="",10^12,OFFSET(PLE!$G$15,$M148-$A$15,CW$13)))</f>
        <v>0</v>
      </c>
      <c r="CX148" s="354" t="n">
        <f aca="true">IF(OR($D148&lt;&gt;"Serviço",AND(AUTOEVENTO="Manual",$M148=$A$15),$M148&gt;(ROW(PLE.lastrow)-ROW(PLE.firstrow))),0,
           IF(OFFSET(PLE!$G$15,$M148-$A$15,CX$13)="",10^12,OFFSET(PLE!$G$15,$M148-$A$15,CX$13)))</f>
        <v>0</v>
      </c>
      <c r="CY148" s="354" t="n">
        <f aca="true">IF(OR($D148&lt;&gt;"Serviço",AND(AUTOEVENTO="Manual",$M148=$A$15),$M148&gt;(ROW(PLE.lastrow)-ROW(PLE.firstrow))),0,
           IF(OFFSET(PLE!$G$15,$M148-$A$15,CY$13)="",10^12,OFFSET(PLE!$G$15,$M148-$A$15,CY$13)))</f>
        <v>0</v>
      </c>
      <c r="CZ148" s="354" t="n">
        <f aca="true">IF(OR($D148&lt;&gt;"Serviço",AND(AUTOEVENTO="Manual",$M148=$A$15),$M148&gt;(ROW(PLE.lastrow)-ROW(PLE.firstrow))),0,
           IF(OFFSET(PLE!$G$15,$M148-$A$15,CZ$13)="",10^12,OFFSET(PLE!$G$15,$M148-$A$15,CZ$13)))</f>
        <v>0</v>
      </c>
      <c r="DA148" s="354" t="n">
        <f aca="true">IF(OR($D148&lt;&gt;"Serviço",AND(AUTOEVENTO="Manual",$M148=$A$15),$M148&gt;(ROW(PLE.lastrow)-ROW(PLE.firstrow))),0,
           IF(OFFSET(PLE!$G$15,$M148-$A$15,DA$13)="",10^12,OFFSET(PLE!$G$15,$M148-$A$15,DA$13)))</f>
        <v>0</v>
      </c>
      <c r="DB148" s="354" t="n">
        <f aca="true">IF(OR($D148&lt;&gt;"Serviço",AND(AUTOEVENTO="Manual",$M148=$A$15),$M148&gt;(ROW(PLE.lastrow)-ROW(PLE.firstrow))),0,
           IF(OFFSET(PLE!$G$15,$M148-$A$15,DB$13)="",10^12,OFFSET(PLE!$G$15,$M148-$A$15,DB$13)))</f>
        <v>0</v>
      </c>
      <c r="DC148" s="354" t="n">
        <f aca="true">IF(OR($D148&lt;&gt;"Serviço",AND(AUTOEVENTO="Manual",$M148=$A$15),$M148&gt;(ROW(PLE.lastrow)-ROW(PLE.firstrow))),0,
           IF(OFFSET(PLE!$G$15,$M148-$A$15,DC$13)="",10^12,OFFSET(PLE!$G$15,$M148-$A$15,DC$13)))</f>
        <v>0</v>
      </c>
      <c r="DD148" s="354" t="n">
        <f aca="true">IF(OR($D148&lt;&gt;"Serviço",AND(AUTOEVENTO="Manual",$M148=$A$15),$M148&gt;(ROW(PLE.lastrow)-ROW(PLE.firstrow))),0,
           IF(OFFSET(PLE!$G$15,$M148-$A$15,DD$13)="",10^12,OFFSET(PLE!$G$15,$M148-$A$15,DD$13)))</f>
        <v>0</v>
      </c>
      <c r="DE148" s="354" t="n">
        <f aca="true">IF(OR($D148&lt;&gt;"Serviço",AND(AUTOEVENTO="Manual",$M148=$A$15),$M148&gt;(ROW(PLE.lastrow)-ROW(PLE.firstrow))),0,
           IF(OFFSET(PLE!$G$15,$M148-$A$15,DE$13)="",10^12,OFFSET(PLE!$G$15,$M148-$A$15,DE$13)))</f>
        <v>0</v>
      </c>
      <c r="DF148" s="354" t="n">
        <f aca="true">IF(OR($D148&lt;&gt;"Serviço",AND(AUTOEVENTO="Manual",$M148=$A$15),$M148&gt;(ROW(PLE.lastrow)-ROW(PLE.firstrow))),0,
           IF(OFFSET(PLE!$G$15,$M148-$A$15,DF$13)="",10^12,OFFSET(PLE!$G$15,$M148-$A$15,DF$13)))</f>
        <v>0</v>
      </c>
      <c r="DG148" s="354" t="n">
        <f aca="true">IF(OR($D148&lt;&gt;"Serviço",AND(AUTOEVENTO="Manual",$M148=$A$15),$M148&gt;(ROW(PLE.lastrow)-ROW(PLE.firstrow))),0,
           IF(OFFSET(PLE!$G$15,$M148-$A$15,DG$13)="",10^12,OFFSET(PLE!$G$15,$M148-$A$15,DG$13)))</f>
        <v>0</v>
      </c>
      <c r="DH148" s="354" t="n">
        <f aca="true">IF(OR($D148&lt;&gt;"Serviço",AND(AUTOEVENTO="Manual",$M148=$A$15),$M148&gt;(ROW(PLE.lastrow)-ROW(PLE.firstrow))),0,
           IF(OFFSET(PLE!$G$15,$M148-$A$15,DH$13)="",10^12,OFFSET(PLE!$G$15,$M148-$A$15,DH$13)))</f>
        <v>0</v>
      </c>
      <c r="DI148" s="354" t="n">
        <f aca="true">IF(OR($D148&lt;&gt;"Serviço",AND(AUTOEVENTO="Manual",$M148=$A$15),$M148&gt;(ROW(PLE.lastrow)-ROW(PLE.firstrow))),0,
           IF(OFFSET(PLE!$G$15,$M148-$A$15,DI$13)="",10^12,OFFSET(PLE!$G$15,$M148-$A$15,DI$13)))</f>
        <v>0</v>
      </c>
      <c r="DJ148" s="354" t="n">
        <f aca="true">IF(OR($D148&lt;&gt;"Serviço",AND(AUTOEVENTO="Manual",$M148=$A$15),$M148&gt;(ROW(PLE.lastrow)-ROW(PLE.firstrow))),0,
           IF(OFFSET(PLE!$G$15,$M148-$A$15,DJ$13)="",10^12,OFFSET(PLE!$G$15,$M148-$A$15,DJ$13)))</f>
        <v>0</v>
      </c>
      <c r="DK148" s="354" t="n">
        <f aca="true">IF(OR($D148&lt;&gt;"Serviço",AND(AUTOEVENTO="Manual",$M148=$A$15),$M148&gt;(ROW(PLE.lastrow)-ROW(PLE.firstrow))),0,
           IF(OFFSET(PLE!$G$15,$M148-$A$15,DK$13)="",10^12,OFFSET(PLE!$G$15,$M148-$A$15,DK$13)))</f>
        <v>0</v>
      </c>
      <c r="DL148" s="354" t="n">
        <f aca="true">IF(OR($D148&lt;&gt;"Serviço",AND(AUTOEVENTO="Manual",$M148=$A$15),$M148&gt;(ROW(PLE.lastrow)-ROW(PLE.firstrow))),0,
           IF(OFFSET(PLE!$G$15,$M148-$A$15,DL$13)="",10^12,OFFSET(PLE!$G$15,$M148-$A$15,DL$13)))</f>
        <v>0</v>
      </c>
      <c r="DM148" s="354" t="n">
        <f aca="true">IF(OR($D148&lt;&gt;"Serviço",AND(AUTOEVENTO="Manual",$M148=$A$15),$M148&gt;(ROW(PLE.lastrow)-ROW(PLE.firstrow))),0,
           IF(OFFSET(PLE!$G$15,$M148-$A$15,DM$13)="",10^12,OFFSET(PLE!$G$15,$M148-$A$15,DM$13)))</f>
        <v>0</v>
      </c>
      <c r="DN148" s="354" t="n">
        <f aca="true">IF(OR($D148&lt;&gt;"Serviço",AND(AUTOEVENTO="Manual",$M148=$A$15),$M148&gt;(ROW(PLE.lastrow)-ROW(PLE.firstrow))),0,
           IF(OFFSET(PLE!$G$15,$M148-$A$15,DN$13)="",10^12,OFFSET(PLE!$G$15,$M148-$A$15,DN$13)))</f>
        <v>0</v>
      </c>
      <c r="DO148" s="354" t="n">
        <f aca="true">IF(OR($D148&lt;&gt;"Serviço",AND(AUTOEVENTO="Manual",$M148=$A$15),$M148&gt;(ROW(PLE.lastrow)-ROW(PLE.firstrow))),0,
           IF(OFFSET(PLE!$G$15,$M148-$A$15,DO$13)="",10^12,OFFSET(PLE!$G$15,$M148-$A$15,DO$13)))</f>
        <v>0</v>
      </c>
      <c r="DP148" s="354" t="n">
        <f aca="true">IF(OR($D148&lt;&gt;"Serviço",AND(AUTOEVENTO="Manual",$M148=$A$15),$M148&gt;(ROW(PLE.lastrow)-ROW(PLE.firstrow))),0,
           IF(OFFSET(PLE!$G$15,$M148-$A$15,DP$13)="",10^12,OFFSET(PLE!$G$15,$M148-$A$15,DP$13)))</f>
        <v>0</v>
      </c>
      <c r="DQ148" s="354" t="n">
        <f aca="true">IF(OR($D148&lt;&gt;"Serviço",AND(AUTOEVENTO="Manual",$M148=$A$15),$M148&gt;(ROW(PLE.lastrow)-ROW(PLE.firstrow))),0,
           IF(OFFSET(PLE!$G$15,$M148-$A$15,DQ$13)="",10^12,OFFSET(PLE!$G$15,$M148-$A$15,DQ$13)))</f>
        <v>0</v>
      </c>
      <c r="DR148" s="354" t="n">
        <f aca="true">IF(OR($D148&lt;&gt;"Serviço",AND(AUTOEVENTO="Manual",$M148=$A$15),$M148&gt;(ROW(PLE.lastrow)-ROW(PLE.firstrow))),0,
           IF(OFFSET(PLE!$G$15,$M148-$A$15,DR$13)="",10^12,OFFSET(PLE!$G$15,$M148-$A$15,DR$13)))</f>
        <v>0</v>
      </c>
      <c r="DS148" s="354" t="n">
        <f aca="true">IF(OR($D148&lt;&gt;"Serviço",AND(AUTOEVENTO="Manual",$M148=$A$15),$M148&gt;(ROW(PLE.lastrow)-ROW(PLE.firstrow))),0,
           IF(OFFSET(PLE!$G$15,$M148-$A$15,DS$13)="",10^12,OFFSET(PLE!$G$15,$M148-$A$15,DS$13)))</f>
        <v>0</v>
      </c>
    </row>
    <row r="149" customFormat="false" ht="35.05" hidden="false" customHeight="false" outlineLevel="0" collapsed="false">
      <c r="A149" s="50" t="str">
        <f aca="true">IFERROR(IF(AUTOEVENTO="Manual",IF(K149&lt;&gt;"",MIN(VALUE(LEFT(K149,FIND(".",K149)-1)),COUNTA(EVENTOS.Lista)),0),IF(OR($B149&gt;AUTOEVENTO,$B149="S",$B149=0),SUBSTITUTE(OFFSET($A149,-1,0),IF($D149="Serviço",".",""),""),ROW(A149)-ROW($A$15)&amp;".")),0)</f>
        <v>133</v>
      </c>
      <c r="B149" s="50" t="str">
        <f aca="true">OFFSET(ORÇAMENTO!C$15,ROW(B149)-ROW(B$15),0)</f>
        <v>S</v>
      </c>
      <c r="C149" s="50" t="str">
        <f aca="true">OFFSET(ORÇAMENTO!L$15,ROW(C149)-ROW(C$15),0)</f>
        <v>F</v>
      </c>
      <c r="D149" s="201" t="str">
        <f aca="true">OFFSET(ORÇAMENTO!N$15,ROW(D149)-ROW(D$15),0)</f>
        <v>Serviço</v>
      </c>
      <c r="E149" s="202" t="str">
        <f aca="true">OFFSET(ORÇAMENTO!O$15,ROW(E149)-ROW(E$15),0)</f>
        <v>1.42.1.</v>
      </c>
      <c r="F149" s="341" t="str">
        <f aca="true">OFFSET(ORÇAMENTO!R$15,ROW(F149)-ROW(F$15),0)</f>
        <v>KIT CAVALETE PARA MEDIÇÃO DE ÁGUA - ENTRADA INDIVIDUALIZADA, EM PVC 25 MM (3/4"), PARA 1 MEDIDOR - FORNECIMENTO E INSTALAÇÃO (EXCLUSIVE HIDRÔMETRO). AF_03/2024</v>
      </c>
      <c r="G149" s="342" t="str">
        <f aca="true">IF($D149&lt;&gt;"Serviço","",OFFSET(ORÇAMENTO!S$15,ROW(G149)-ROW(G$15),0))</f>
        <v>UN</v>
      </c>
      <c r="H149" s="207" t="n">
        <f aca="true">IF($D149&lt;&gt;"Serviço",0,IF(ACOMPANHAMENTO="BM",ROUND(OFFSET(ORÇAMENTO!AJ$15,ROW(H149)-ROW(H$15),0),15-13*ORÇAMENTO!$AF$7),SUMPRODUCT(($Q$1:$AQ$1=1)*ROUND($Q149:$AQ149,15-13*ORÇAMENTO!$AF$7))))</f>
        <v>25</v>
      </c>
      <c r="I149" s="343" t="s">
        <v>969</v>
      </c>
      <c r="J149" s="344" t="e">
        <f aca="false">IF(OR(B149&lt;&gt;"S",CÁLCULO.FrentesPreenchidas=0),"",IF(AND(ACOMPANHAMENTO="PLE",AUTOEVENTO="Manual",OR(H149&gt;0,ORÇAMENTO!AC149="QUANT."),OR(K149="",M149=0,N149="")),"►",IF(AND(ACOMPANHAMENTO="PLE",ORÇAMENTO!AC149="QUANT."),"►►",IF(AND(COUNTIF($P$11:$AQ$11,"▼")=0,H149&gt;0,I149=""),"◄",""))))</f>
        <v>#NAME?</v>
      </c>
      <c r="K149" s="345"/>
      <c r="L149" s="346" t="s">
        <v>876</v>
      </c>
      <c r="M149" s="347" t="n">
        <f aca="true">IF($D149&lt;&gt;"Serviço","",
          IF(AUTOEVENTO="manual",$A149,
                IF(ISERROR(MATCH($A149,$A$15:OFFSET($A149,-1,0),0)),MAX($M$15:OFFSET(M149,-1,0))+1,
                      INDEX($M$15:OFFSET(M149,-1,0),MATCH($A149,$A$15:OFFSET($A149,-1,0),0)))))</f>
        <v>26</v>
      </c>
      <c r="N149" s="348" t="str">
        <f aca="true">IF($D149&lt;&gt;"Serviço","",
         IF(AUTOEVENTO="Manual",
                IF($A149=0,"&lt;-- defina o número do agrupador",
                       OFFSET(EVENTOS!$D$15,$A149-$A$15,0)),
                OFFSET($F$15,$A149,0)))</f>
        <v>ENTRADA / ALIMENTAÇÃO</v>
      </c>
      <c r="O149" s="349"/>
      <c r="Q149" s="349" t="n">
        <v>1</v>
      </c>
      <c r="R149" s="350" t="n">
        <f aca="false">Q149</f>
        <v>1</v>
      </c>
      <c r="S149" s="350" t="n">
        <f aca="false">R149</f>
        <v>1</v>
      </c>
      <c r="T149" s="350" t="n">
        <f aca="false">S149</f>
        <v>1</v>
      </c>
      <c r="U149" s="350" t="n">
        <f aca="false">T149</f>
        <v>1</v>
      </c>
      <c r="V149" s="350" t="n">
        <f aca="false">U149</f>
        <v>1</v>
      </c>
      <c r="W149" s="350" t="n">
        <f aca="false">V149</f>
        <v>1</v>
      </c>
      <c r="X149" s="350" t="n">
        <f aca="false">W149</f>
        <v>1</v>
      </c>
      <c r="Y149" s="350" t="n">
        <f aca="false">X149</f>
        <v>1</v>
      </c>
      <c r="Z149" s="351" t="n">
        <f aca="false">Y149</f>
        <v>1</v>
      </c>
      <c r="AA149" s="350" t="n">
        <f aca="false">Z149</f>
        <v>1</v>
      </c>
      <c r="AB149" s="350" t="n">
        <f aca="false">AA149</f>
        <v>1</v>
      </c>
      <c r="AC149" s="350" t="n">
        <f aca="false">AB149</f>
        <v>1</v>
      </c>
      <c r="AD149" s="350" t="n">
        <f aca="false">AC149</f>
        <v>1</v>
      </c>
      <c r="AE149" s="350" t="n">
        <f aca="false">AD149</f>
        <v>1</v>
      </c>
      <c r="AF149" s="350" t="n">
        <f aca="false">AE149</f>
        <v>1</v>
      </c>
      <c r="AG149" s="350" t="n">
        <f aca="false">AF149</f>
        <v>1</v>
      </c>
      <c r="AH149" s="351" t="n">
        <f aca="false">AG149</f>
        <v>1</v>
      </c>
      <c r="AI149" s="350" t="n">
        <f aca="false">AH149</f>
        <v>1</v>
      </c>
      <c r="AJ149" s="350" t="n">
        <f aca="false">AI149</f>
        <v>1</v>
      </c>
      <c r="AK149" s="350" t="n">
        <f aca="false">AJ149</f>
        <v>1</v>
      </c>
      <c r="AL149" s="350" t="n">
        <f aca="false">AK149</f>
        <v>1</v>
      </c>
      <c r="AM149" s="350" t="n">
        <f aca="false">AL149</f>
        <v>1</v>
      </c>
      <c r="AN149" s="350" t="n">
        <f aca="false">AM149</f>
        <v>1</v>
      </c>
      <c r="AO149" s="350" t="n">
        <f aca="false">AN149</f>
        <v>1</v>
      </c>
      <c r="AP149" s="351"/>
      <c r="AR149" s="352" t="n">
        <f aca="true">IF(AND($D149="Serviço",AR$12&lt;&gt;0,$H149&gt;0,OR(AUTOEVENTO&lt;&gt;"manual",$M149&lt;&gt;$A$15)),
        IF(Import.TipoArredondamento&lt;&gt;"TransfereGOV",
              ROUND(OFFSET($P149,0,AR$13),15-13*ORÇAMENTO!$AF$7)/$H149*OFFSET(ORÇAMENTO!$X$15,ROW(AR149)-ROW(AR$15),0),
              ROUND(ROUND(OFFSET($P149,0,AR$13),15-13*ORÇAMENTO!$AF$7)*OFFSET(ORÇAMENTO!$W$15,ROW(AR149)-ROW(AR$15),0),15-13*ORÇAMENTO!$AF$11)),
         0)</f>
        <v>242.63</v>
      </c>
      <c r="AS149" s="352" t="n">
        <f aca="true">IF(AND($D149="Serviço",AS$12&lt;&gt;0,$H149&gt;0,OR(AUTOEVENTO&lt;&gt;"manual",$M149&lt;&gt;$A$15)),
        IF(Import.TipoArredondamento&lt;&gt;"TransfereGOV",
              ROUND(OFFSET($P149,0,AS$13),15-13*ORÇAMENTO!$AF$7)/$H149*OFFSET(ORÇAMENTO!$X$15,ROW(AS149)-ROW(AS$15),0),
              ROUND(ROUND(OFFSET($P149,0,AS$13),15-13*ORÇAMENTO!$AF$7)*OFFSET(ORÇAMENTO!$W$15,ROW(AS149)-ROW(AS$15),0),15-13*ORÇAMENTO!$AF$11)),
         0)</f>
        <v>242.63</v>
      </c>
      <c r="AT149" s="352" t="n">
        <f aca="true">IF(AND($D149="Serviço",AT$12&lt;&gt;0,$H149&gt;0,OR(AUTOEVENTO&lt;&gt;"manual",$M149&lt;&gt;$A$15)),
        IF(Import.TipoArredondamento&lt;&gt;"TransfereGOV",
              ROUND(OFFSET($P149,0,AT$13),15-13*ORÇAMENTO!$AF$7)/$H149*OFFSET(ORÇAMENTO!$X$15,ROW(AT149)-ROW(AT$15),0),
              ROUND(ROUND(OFFSET($P149,0,AT$13),15-13*ORÇAMENTO!$AF$7)*OFFSET(ORÇAMENTO!$W$15,ROW(AT149)-ROW(AT$15),0),15-13*ORÇAMENTO!$AF$11)),
         0)</f>
        <v>242.63</v>
      </c>
      <c r="AU149" s="352" t="n">
        <f aca="true">IF(AND($D149="Serviço",AU$12&lt;&gt;0,$H149&gt;0,OR(AUTOEVENTO&lt;&gt;"manual",$M149&lt;&gt;$A$15)),
        IF(Import.TipoArredondamento&lt;&gt;"TransfereGOV",
              ROUND(OFFSET($P149,0,AU$13),15-13*ORÇAMENTO!$AF$7)/$H149*OFFSET(ORÇAMENTO!$X$15,ROW(AU149)-ROW(AU$15),0),
              ROUND(ROUND(OFFSET($P149,0,AU$13),15-13*ORÇAMENTO!$AF$7)*OFFSET(ORÇAMENTO!$W$15,ROW(AU149)-ROW(AU$15),0),15-13*ORÇAMENTO!$AF$11)),
         0)</f>
        <v>242.63</v>
      </c>
      <c r="AV149" s="352" t="n">
        <f aca="true">IF(AND($D149="Serviço",AV$12&lt;&gt;0,$H149&gt;0,OR(AUTOEVENTO&lt;&gt;"manual",$M149&lt;&gt;$A$15)),
        IF(Import.TipoArredondamento&lt;&gt;"TransfereGOV",
              ROUND(OFFSET($P149,0,AV$13),15-13*ORÇAMENTO!$AF$7)/$H149*OFFSET(ORÇAMENTO!$X$15,ROW(AV149)-ROW(AV$15),0),
              ROUND(ROUND(OFFSET($P149,0,AV$13),15-13*ORÇAMENTO!$AF$7)*OFFSET(ORÇAMENTO!$W$15,ROW(AV149)-ROW(AV$15),0),15-13*ORÇAMENTO!$AF$11)),
         0)</f>
        <v>242.63</v>
      </c>
      <c r="AW149" s="352" t="n">
        <f aca="true">IF(AND($D149="Serviço",AW$12&lt;&gt;0,$H149&gt;0,OR(AUTOEVENTO&lt;&gt;"manual",$M149&lt;&gt;$A$15)),
        IF(Import.TipoArredondamento&lt;&gt;"TransfereGOV",
              ROUND(OFFSET($P149,0,AW$13),15-13*ORÇAMENTO!$AF$7)/$H149*OFFSET(ORÇAMENTO!$X$15,ROW(AW149)-ROW(AW$15),0),
              ROUND(ROUND(OFFSET($P149,0,AW$13),15-13*ORÇAMENTO!$AF$7)*OFFSET(ORÇAMENTO!$W$15,ROW(AW149)-ROW(AW$15),0),15-13*ORÇAMENTO!$AF$11)),
         0)</f>
        <v>242.63</v>
      </c>
      <c r="AX149" s="352" t="n">
        <f aca="true">IF(AND($D149="Serviço",AX$12&lt;&gt;0,$H149&gt;0,OR(AUTOEVENTO&lt;&gt;"manual",$M149&lt;&gt;$A$15)),
        IF(Import.TipoArredondamento&lt;&gt;"TransfereGOV",
              ROUND(OFFSET($P149,0,AX$13),15-13*ORÇAMENTO!$AF$7)/$H149*OFFSET(ORÇAMENTO!$X$15,ROW(AX149)-ROW(AX$15),0),
              ROUND(ROUND(OFFSET($P149,0,AX$13),15-13*ORÇAMENTO!$AF$7)*OFFSET(ORÇAMENTO!$W$15,ROW(AX149)-ROW(AX$15),0),15-13*ORÇAMENTO!$AF$11)),
         0)</f>
        <v>242.63</v>
      </c>
      <c r="AY149" s="352" t="n">
        <f aca="true">IF(AND($D149="Serviço",AY$12&lt;&gt;0,$H149&gt;0,OR(AUTOEVENTO&lt;&gt;"manual",$M149&lt;&gt;$A$15)),
        IF(Import.TipoArredondamento&lt;&gt;"TransfereGOV",
              ROUND(OFFSET($P149,0,AY$13),15-13*ORÇAMENTO!$AF$7)/$H149*OFFSET(ORÇAMENTO!$X$15,ROW(AY149)-ROW(AY$15),0),
              ROUND(ROUND(OFFSET($P149,0,AY$13),15-13*ORÇAMENTO!$AF$7)*OFFSET(ORÇAMENTO!$W$15,ROW(AY149)-ROW(AY$15),0),15-13*ORÇAMENTO!$AF$11)),
         0)</f>
        <v>242.63</v>
      </c>
      <c r="AZ149" s="352" t="n">
        <f aca="true">IF(AND($D149="Serviço",AZ$12&lt;&gt;0,$H149&gt;0,OR(AUTOEVENTO&lt;&gt;"manual",$M149&lt;&gt;$A$15)),
        IF(Import.TipoArredondamento&lt;&gt;"TransfereGOV",
              ROUND(OFFSET($P149,0,AZ$13),15-13*ORÇAMENTO!$AF$7)/$H149*OFFSET(ORÇAMENTO!$X$15,ROW(AZ149)-ROW(AZ$15),0),
              ROUND(ROUND(OFFSET($P149,0,AZ$13),15-13*ORÇAMENTO!$AF$7)*OFFSET(ORÇAMENTO!$W$15,ROW(AZ149)-ROW(AZ$15),0),15-13*ORÇAMENTO!$AF$11)),
         0)</f>
        <v>242.63</v>
      </c>
      <c r="BA149" s="352" t="n">
        <f aca="true">IF(AND($D149="Serviço",BA$12&lt;&gt;0,$H149&gt;0,OR(AUTOEVENTO&lt;&gt;"manual",$M149&lt;&gt;$A$15)),
        IF(Import.TipoArredondamento&lt;&gt;"TransfereGOV",
              ROUND(OFFSET($P149,0,BA$13),15-13*ORÇAMENTO!$AF$7)/$H149*OFFSET(ORÇAMENTO!$X$15,ROW(BA149)-ROW(BA$15),0),
              ROUND(ROUND(OFFSET($P149,0,BA$13),15-13*ORÇAMENTO!$AF$7)*OFFSET(ORÇAMENTO!$W$15,ROW(BA149)-ROW(BA$15),0),15-13*ORÇAMENTO!$AF$11)),
         0)</f>
        <v>242.63</v>
      </c>
      <c r="BB149" s="352" t="n">
        <f aca="true">IF(AND($D149="Serviço",BB$12&lt;&gt;0,$H149&gt;0,OR(AUTOEVENTO&lt;&gt;"manual",$M149&lt;&gt;$A$15)),
        IF(Import.TipoArredondamento&lt;&gt;"TransfereGOV",
              ROUND(OFFSET($P149,0,BB$13),15-13*ORÇAMENTO!$AF$7)/$H149*OFFSET(ORÇAMENTO!$X$15,ROW(BB149)-ROW(BB$15),0),
              ROUND(ROUND(OFFSET($P149,0,BB$13),15-13*ORÇAMENTO!$AF$7)*OFFSET(ORÇAMENTO!$W$15,ROW(BB149)-ROW(BB$15),0),15-13*ORÇAMENTO!$AF$11)),
         0)</f>
        <v>242.63</v>
      </c>
      <c r="BC149" s="352" t="n">
        <f aca="true">IF(AND($D149="Serviço",BC$12&lt;&gt;0,$H149&gt;0,OR(AUTOEVENTO&lt;&gt;"manual",$M149&lt;&gt;$A$15)),
        IF(Import.TipoArredondamento&lt;&gt;"TransfereGOV",
              ROUND(OFFSET($P149,0,BC$13),15-13*ORÇAMENTO!$AF$7)/$H149*OFFSET(ORÇAMENTO!$X$15,ROW(BC149)-ROW(BC$15),0),
              ROUND(ROUND(OFFSET($P149,0,BC$13),15-13*ORÇAMENTO!$AF$7)*OFFSET(ORÇAMENTO!$W$15,ROW(BC149)-ROW(BC$15),0),15-13*ORÇAMENTO!$AF$11)),
         0)</f>
        <v>242.63</v>
      </c>
      <c r="BD149" s="352" t="n">
        <f aca="true">IF(AND($D149="Serviço",BD$12&lt;&gt;0,$H149&gt;0,OR(AUTOEVENTO&lt;&gt;"manual",$M149&lt;&gt;$A$15)),
        IF(Import.TipoArredondamento&lt;&gt;"TransfereGOV",
              ROUND(OFFSET($P149,0,BD$13),15-13*ORÇAMENTO!$AF$7)/$H149*OFFSET(ORÇAMENTO!$X$15,ROW(BD149)-ROW(BD$15),0),
              ROUND(ROUND(OFFSET($P149,0,BD$13),15-13*ORÇAMENTO!$AF$7)*OFFSET(ORÇAMENTO!$W$15,ROW(BD149)-ROW(BD$15),0),15-13*ORÇAMENTO!$AF$11)),
         0)</f>
        <v>242.63</v>
      </c>
      <c r="BE149" s="352" t="n">
        <f aca="true">IF(AND($D149="Serviço",BE$12&lt;&gt;0,$H149&gt;0,OR(AUTOEVENTO&lt;&gt;"manual",$M149&lt;&gt;$A$15)),
        IF(Import.TipoArredondamento&lt;&gt;"TransfereGOV",
              ROUND(OFFSET($P149,0,BE$13),15-13*ORÇAMENTO!$AF$7)/$H149*OFFSET(ORÇAMENTO!$X$15,ROW(BE149)-ROW(BE$15),0),
              ROUND(ROUND(OFFSET($P149,0,BE$13),15-13*ORÇAMENTO!$AF$7)*OFFSET(ORÇAMENTO!$W$15,ROW(BE149)-ROW(BE$15),0),15-13*ORÇAMENTO!$AF$11)),
         0)</f>
        <v>242.63</v>
      </c>
      <c r="BF149" s="352" t="n">
        <f aca="true">IF(AND($D149="Serviço",BF$12&lt;&gt;0,$H149&gt;0,OR(AUTOEVENTO&lt;&gt;"manual",$M149&lt;&gt;$A$15)),
        IF(Import.TipoArredondamento&lt;&gt;"TransfereGOV",
              ROUND(OFFSET($P149,0,BF$13),15-13*ORÇAMENTO!$AF$7)/$H149*OFFSET(ORÇAMENTO!$X$15,ROW(BF149)-ROW(BF$15),0),
              ROUND(ROUND(OFFSET($P149,0,BF$13),15-13*ORÇAMENTO!$AF$7)*OFFSET(ORÇAMENTO!$W$15,ROW(BF149)-ROW(BF$15),0),15-13*ORÇAMENTO!$AF$11)),
         0)</f>
        <v>242.63</v>
      </c>
      <c r="BG149" s="352" t="n">
        <f aca="true">IF(AND($D149="Serviço",BG$12&lt;&gt;0,$H149&gt;0,OR(AUTOEVENTO&lt;&gt;"manual",$M149&lt;&gt;$A$15)),
        IF(Import.TipoArredondamento&lt;&gt;"TransfereGOV",
              ROUND(OFFSET($P149,0,BG$13),15-13*ORÇAMENTO!$AF$7)/$H149*OFFSET(ORÇAMENTO!$X$15,ROW(BG149)-ROW(BG$15),0),
              ROUND(ROUND(OFFSET($P149,0,BG$13),15-13*ORÇAMENTO!$AF$7)*OFFSET(ORÇAMENTO!$W$15,ROW(BG149)-ROW(BG$15),0),15-13*ORÇAMENTO!$AF$11)),
         0)</f>
        <v>242.63</v>
      </c>
      <c r="BH149" s="352" t="n">
        <f aca="true">IF(AND($D149="Serviço",BH$12&lt;&gt;0,$H149&gt;0,OR(AUTOEVENTO&lt;&gt;"manual",$M149&lt;&gt;$A$15)),
        IF(Import.TipoArredondamento&lt;&gt;"TransfereGOV",
              ROUND(OFFSET($P149,0,BH$13),15-13*ORÇAMENTO!$AF$7)/$H149*OFFSET(ORÇAMENTO!$X$15,ROW(BH149)-ROW(BH$15),0),
              ROUND(ROUND(OFFSET($P149,0,BH$13),15-13*ORÇAMENTO!$AF$7)*OFFSET(ORÇAMENTO!$W$15,ROW(BH149)-ROW(BH$15),0),15-13*ORÇAMENTO!$AF$11)),
         0)</f>
        <v>242.63</v>
      </c>
      <c r="BI149" s="352" t="n">
        <f aca="true">IF(AND($D149="Serviço",BI$12&lt;&gt;0,$H149&gt;0,OR(AUTOEVENTO&lt;&gt;"manual",$M149&lt;&gt;$A$15)),
        IF(Import.TipoArredondamento&lt;&gt;"TransfereGOV",
              ROUND(OFFSET($P149,0,BI$13),15-13*ORÇAMENTO!$AF$7)/$H149*OFFSET(ORÇAMENTO!$X$15,ROW(BI149)-ROW(BI$15),0),
              ROUND(ROUND(OFFSET($P149,0,BI$13),15-13*ORÇAMENTO!$AF$7)*OFFSET(ORÇAMENTO!$W$15,ROW(BI149)-ROW(BI$15),0),15-13*ORÇAMENTO!$AF$11)),
         0)</f>
        <v>242.63</v>
      </c>
      <c r="BJ149" s="352" t="n">
        <f aca="true">IF(AND($D149="Serviço",BJ$12&lt;&gt;0,$H149&gt;0,OR(AUTOEVENTO&lt;&gt;"manual",$M149&lt;&gt;$A$15)),
        IF(Import.TipoArredondamento&lt;&gt;"TransfereGOV",
              ROUND(OFFSET($P149,0,BJ$13),15-13*ORÇAMENTO!$AF$7)/$H149*OFFSET(ORÇAMENTO!$X$15,ROW(BJ149)-ROW(BJ$15),0),
              ROUND(ROUND(OFFSET($P149,0,BJ$13),15-13*ORÇAMENTO!$AF$7)*OFFSET(ORÇAMENTO!$W$15,ROW(BJ149)-ROW(BJ$15),0),15-13*ORÇAMENTO!$AF$11)),
         0)</f>
        <v>242.63</v>
      </c>
      <c r="BK149" s="352" t="n">
        <f aca="true">IF(AND($D149="Serviço",BK$12&lt;&gt;0,$H149&gt;0,OR(AUTOEVENTO&lt;&gt;"manual",$M149&lt;&gt;$A$15)),
        IF(Import.TipoArredondamento&lt;&gt;"TransfereGOV",
              ROUND(OFFSET($P149,0,BK$13),15-13*ORÇAMENTO!$AF$7)/$H149*OFFSET(ORÇAMENTO!$X$15,ROW(BK149)-ROW(BK$15),0),
              ROUND(ROUND(OFFSET($P149,0,BK$13),15-13*ORÇAMENTO!$AF$7)*OFFSET(ORÇAMENTO!$W$15,ROW(BK149)-ROW(BK$15),0),15-13*ORÇAMENTO!$AF$11)),
         0)</f>
        <v>242.63</v>
      </c>
      <c r="BL149" s="352" t="n">
        <f aca="true">IF(AND($D149="Serviço",BL$12&lt;&gt;0,$H149&gt;0,OR(AUTOEVENTO&lt;&gt;"manual",$M149&lt;&gt;$A$15)),
        IF(Import.TipoArredondamento&lt;&gt;"TransfereGOV",
              ROUND(OFFSET($P149,0,BL$13),15-13*ORÇAMENTO!$AF$7)/$H149*OFFSET(ORÇAMENTO!$X$15,ROW(BL149)-ROW(BL$15),0),
              ROUND(ROUND(OFFSET($P149,0,BL$13),15-13*ORÇAMENTO!$AF$7)*OFFSET(ORÇAMENTO!$W$15,ROW(BL149)-ROW(BL$15),0),15-13*ORÇAMENTO!$AF$11)),
         0)</f>
        <v>242.63</v>
      </c>
      <c r="BM149" s="352" t="n">
        <f aca="true">IF(AND($D149="Serviço",BM$12&lt;&gt;0,$H149&gt;0,OR(AUTOEVENTO&lt;&gt;"manual",$M149&lt;&gt;$A$15)),
        IF(Import.TipoArredondamento&lt;&gt;"TransfereGOV",
              ROUND(OFFSET($P149,0,BM$13),15-13*ORÇAMENTO!$AF$7)/$H149*OFFSET(ORÇAMENTO!$X$15,ROW(BM149)-ROW(BM$15),0),
              ROUND(ROUND(OFFSET($P149,0,BM$13),15-13*ORÇAMENTO!$AF$7)*OFFSET(ORÇAMENTO!$W$15,ROW(BM149)-ROW(BM$15),0),15-13*ORÇAMENTO!$AF$11)),
         0)</f>
        <v>242.63</v>
      </c>
      <c r="BN149" s="352" t="n">
        <f aca="true">IF(AND($D149="Serviço",BN$12&lt;&gt;0,$H149&gt;0,OR(AUTOEVENTO&lt;&gt;"manual",$M149&lt;&gt;$A$15)),
        IF(Import.TipoArredondamento&lt;&gt;"TransfereGOV",
              ROUND(OFFSET($P149,0,BN$13),15-13*ORÇAMENTO!$AF$7)/$H149*OFFSET(ORÇAMENTO!$X$15,ROW(BN149)-ROW(BN$15),0),
              ROUND(ROUND(OFFSET($P149,0,BN$13),15-13*ORÇAMENTO!$AF$7)*OFFSET(ORÇAMENTO!$W$15,ROW(BN149)-ROW(BN$15),0),15-13*ORÇAMENTO!$AF$11)),
         0)</f>
        <v>242.63</v>
      </c>
      <c r="BO149" s="352" t="n">
        <f aca="true">IF(AND($D149="Serviço",BO$12&lt;&gt;0,$H149&gt;0,OR(AUTOEVENTO&lt;&gt;"manual",$M149&lt;&gt;$A$15)),
        IF(Import.TipoArredondamento&lt;&gt;"TransfereGOV",
              ROUND(OFFSET($P149,0,BO$13),15-13*ORÇAMENTO!$AF$7)/$H149*OFFSET(ORÇAMENTO!$X$15,ROW(BO149)-ROW(BO$15),0),
              ROUND(ROUND(OFFSET($P149,0,BO$13),15-13*ORÇAMENTO!$AF$7)*OFFSET(ORÇAMENTO!$W$15,ROW(BO149)-ROW(BO$15),0),15-13*ORÇAMENTO!$AF$11)),
         0)</f>
        <v>242.63</v>
      </c>
      <c r="BP149" s="352" t="n">
        <f aca="true">IF(AND($D149="Serviço",BP$12&lt;&gt;0,$H149&gt;0,OR(AUTOEVENTO&lt;&gt;"manual",$M149&lt;&gt;$A$15)),
        IF(Import.TipoArredondamento&lt;&gt;"TransfereGOV",
              ROUND(OFFSET($P149,0,BP$13),15-13*ORÇAMENTO!$AF$7)/$H149*OFFSET(ORÇAMENTO!$X$15,ROW(BP149)-ROW(BP$15),0),
              ROUND(ROUND(OFFSET($P149,0,BP$13),15-13*ORÇAMENTO!$AF$7)*OFFSET(ORÇAMENTO!$W$15,ROW(BP149)-ROW(BP$15),0),15-13*ORÇAMENTO!$AF$11)),
         0)</f>
        <v>242.63</v>
      </c>
      <c r="BQ149" s="352" t="n">
        <f aca="true">IF(AND($D149="Serviço",BQ$12&lt;&gt;0,$H149&gt;0,OR(AUTOEVENTO&lt;&gt;"manual",$M149&lt;&gt;$A$15)),
        IF(Import.TipoArredondamento&lt;&gt;"TransfereGOV",
              ROUND(OFFSET($P149,0,BQ$13),15-13*ORÇAMENTO!$AF$7)/$H149*OFFSET(ORÇAMENTO!$X$15,ROW(BQ149)-ROW(BQ$15),0),
              ROUND(ROUND(OFFSET($P149,0,BQ$13),15-13*ORÇAMENTO!$AF$7)*OFFSET(ORÇAMENTO!$W$15,ROW(BQ149)-ROW(BQ$15),0),15-13*ORÇAMENTO!$AF$11)),
         0)</f>
        <v>0</v>
      </c>
      <c r="BS149" s="353" t="n">
        <f aca="true">IF(OR($D149&lt;&gt;"Serviço",AND(AUTOEVENTO="Manual",$M149=$A$15)),0,
         IF(OFFSET(CRONOPLE!$F$15,$M149-$A$15,BS$13)=0,10^12,OFFSET(CRONOPLE!$F$15,$M149-$A$15,BS$13)))</f>
        <v>1</v>
      </c>
      <c r="BT149" s="353" t="n">
        <f aca="true">IF(OR($D149&lt;&gt;"Serviço",AND(AUTOEVENTO="Manual",$M149=$A$15)),0,
         IF(OFFSET(CRONOPLE!$F$15,$M149-$A$15,BT$13)=0,10^12,OFFSET(CRONOPLE!$F$15,$M149-$A$15,BT$13)))</f>
        <v>2</v>
      </c>
      <c r="BU149" s="353" t="n">
        <f aca="true">IF(OR($D149&lt;&gt;"Serviço",AND(AUTOEVENTO="Manual",$M149=$A$15)),0,
         IF(OFFSET(CRONOPLE!$F$15,$M149-$A$15,BU$13)=0,10^12,OFFSET(CRONOPLE!$F$15,$M149-$A$15,BU$13)))</f>
        <v>3</v>
      </c>
      <c r="BV149" s="353" t="n">
        <f aca="true">IF(OR($D149&lt;&gt;"Serviço",AND(AUTOEVENTO="Manual",$M149=$A$15)),0,
         IF(OFFSET(CRONOPLE!$F$15,$M149-$A$15,BV$13)=0,10^12,OFFSET(CRONOPLE!$F$15,$M149-$A$15,BV$13)))</f>
        <v>4</v>
      </c>
      <c r="BW149" s="353" t="n">
        <f aca="true">IF(OR($D149&lt;&gt;"Serviço",AND(AUTOEVENTO="Manual",$M149=$A$15)),0,
         IF(OFFSET(CRONOPLE!$F$15,$M149-$A$15,BW$13)=0,10^12,OFFSET(CRONOPLE!$F$15,$M149-$A$15,BW$13)))</f>
        <v>5</v>
      </c>
      <c r="BX149" s="353" t="n">
        <f aca="true">IF(OR($D149&lt;&gt;"Serviço",AND(AUTOEVENTO="Manual",$M149=$A$15)),0,
         IF(OFFSET(CRONOPLE!$F$15,$M149-$A$15,BX$13)=0,10^12,OFFSET(CRONOPLE!$F$15,$M149-$A$15,BX$13)))</f>
        <v>6</v>
      </c>
      <c r="BY149" s="353" t="n">
        <f aca="true">IF(OR($D149&lt;&gt;"Serviço",AND(AUTOEVENTO="Manual",$M149=$A$15)),0,
         IF(OFFSET(CRONOPLE!$F$15,$M149-$A$15,BY$13)=0,10^12,OFFSET(CRONOPLE!$F$15,$M149-$A$15,BY$13)))</f>
        <v>7</v>
      </c>
      <c r="BZ149" s="353" t="n">
        <f aca="true">IF(OR($D149&lt;&gt;"Serviço",AND(AUTOEVENTO="Manual",$M149=$A$15)),0,
         IF(OFFSET(CRONOPLE!$F$15,$M149-$A$15,BZ$13)=0,10^12,OFFSET(CRONOPLE!$F$15,$M149-$A$15,BZ$13)))</f>
        <v>8</v>
      </c>
      <c r="CA149" s="353" t="n">
        <f aca="true">IF(OR($D149&lt;&gt;"Serviço",AND(AUTOEVENTO="Manual",$M149=$A$15)),0,
         IF(OFFSET(CRONOPLE!$F$15,$M149-$A$15,CA$13)=0,10^12,OFFSET(CRONOPLE!$F$15,$M149-$A$15,CA$13)))</f>
        <v>9</v>
      </c>
      <c r="CB149" s="353" t="n">
        <f aca="true">IF(OR($D149&lt;&gt;"Serviço",AND(AUTOEVENTO="Manual",$M149=$A$15)),0,
         IF(OFFSET(CRONOPLE!$F$15,$M149-$A$15,CB$13)=0,10^12,OFFSET(CRONOPLE!$F$15,$M149-$A$15,CB$13)))</f>
        <v>10</v>
      </c>
      <c r="CC149" s="353" t="n">
        <f aca="true">IF(OR($D149&lt;&gt;"Serviço",AND(AUTOEVENTO="Manual",$M149=$A$15)),0,
         IF(OFFSET(CRONOPLE!$F$15,$M149-$A$15,CC$13)=0,10^12,OFFSET(CRONOPLE!$F$15,$M149-$A$15,CC$13)))</f>
        <v>11</v>
      </c>
      <c r="CD149" s="353" t="n">
        <f aca="true">IF(OR($D149&lt;&gt;"Serviço",AND(AUTOEVENTO="Manual",$M149=$A$15)),0,
         IF(OFFSET(CRONOPLE!$F$15,$M149-$A$15,CD$13)=0,10^12,OFFSET(CRONOPLE!$F$15,$M149-$A$15,CD$13)))</f>
        <v>12</v>
      </c>
      <c r="CE149" s="353" t="n">
        <f aca="true">IF(OR($D149&lt;&gt;"Serviço",AND(AUTOEVENTO="Manual",$M149=$A$15)),0,
         IF(OFFSET(CRONOPLE!$F$15,$M149-$A$15,CE$13)=0,10^12,OFFSET(CRONOPLE!$F$15,$M149-$A$15,CE$13)))</f>
        <v>13</v>
      </c>
      <c r="CF149" s="353" t="n">
        <f aca="true">IF(OR($D149&lt;&gt;"Serviço",AND(AUTOEVENTO="Manual",$M149=$A$15)),0,
         IF(OFFSET(CRONOPLE!$F$15,$M149-$A$15,CF$13)=0,10^12,OFFSET(CRONOPLE!$F$15,$M149-$A$15,CF$13)))</f>
        <v>14</v>
      </c>
      <c r="CG149" s="353" t="n">
        <f aca="true">IF(OR($D149&lt;&gt;"Serviço",AND(AUTOEVENTO="Manual",$M149=$A$15)),0,
         IF(OFFSET(CRONOPLE!$F$15,$M149-$A$15,CG$13)=0,10^12,OFFSET(CRONOPLE!$F$15,$M149-$A$15,CG$13)))</f>
        <v>15</v>
      </c>
      <c r="CH149" s="353" t="n">
        <f aca="true">IF(OR($D149&lt;&gt;"Serviço",AND(AUTOEVENTO="Manual",$M149=$A$15)),0,
         IF(OFFSET(CRONOPLE!$F$15,$M149-$A$15,CH$13)=0,10^12,OFFSET(CRONOPLE!$F$15,$M149-$A$15,CH$13)))</f>
        <v>16</v>
      </c>
      <c r="CI149" s="353" t="n">
        <f aca="true">IF(OR($D149&lt;&gt;"Serviço",AND(AUTOEVENTO="Manual",$M149=$A$15)),0,
         IF(OFFSET(CRONOPLE!$F$15,$M149-$A$15,CI$13)=0,10^12,OFFSET(CRONOPLE!$F$15,$M149-$A$15,CI$13)))</f>
        <v>17</v>
      </c>
      <c r="CJ149" s="353" t="n">
        <f aca="true">IF(OR($D149&lt;&gt;"Serviço",AND(AUTOEVENTO="Manual",$M149=$A$15)),0,
         IF(OFFSET(CRONOPLE!$F$15,$M149-$A$15,CJ$13)=0,10^12,OFFSET(CRONOPLE!$F$15,$M149-$A$15,CJ$13)))</f>
        <v>18</v>
      </c>
      <c r="CK149" s="353" t="n">
        <f aca="true">IF(OR($D149&lt;&gt;"Serviço",AND(AUTOEVENTO="Manual",$M149=$A$15)),0,
         IF(OFFSET(CRONOPLE!$F$15,$M149-$A$15,CK$13)=0,10^12,OFFSET(CRONOPLE!$F$15,$M149-$A$15,CK$13)))</f>
        <v>19</v>
      </c>
      <c r="CL149" s="353" t="n">
        <f aca="true">IF(OR($D149&lt;&gt;"Serviço",AND(AUTOEVENTO="Manual",$M149=$A$15)),0,
         IF(OFFSET(CRONOPLE!$F$15,$M149-$A$15,CL$13)=0,10^12,OFFSET(CRONOPLE!$F$15,$M149-$A$15,CL$13)))</f>
        <v>20</v>
      </c>
      <c r="CM149" s="353" t="n">
        <f aca="true">IF(OR($D149&lt;&gt;"Serviço",AND(AUTOEVENTO="Manual",$M149=$A$15)),0,
         IF(OFFSET(CRONOPLE!$F$15,$M149-$A$15,CM$13)=0,10^12,OFFSET(CRONOPLE!$F$15,$M149-$A$15,CM$13)))</f>
        <v>21</v>
      </c>
      <c r="CN149" s="353" t="n">
        <f aca="true">IF(OR($D149&lt;&gt;"Serviço",AND(AUTOEVENTO="Manual",$M149=$A$15)),0,
         IF(OFFSET(CRONOPLE!$F$15,$M149-$A$15,CN$13)=0,10^12,OFFSET(CRONOPLE!$F$15,$M149-$A$15,CN$13)))</f>
        <v>22</v>
      </c>
      <c r="CO149" s="353" t="n">
        <f aca="true">IF(OR($D149&lt;&gt;"Serviço",AND(AUTOEVENTO="Manual",$M149=$A$15)),0,
         IF(OFFSET(CRONOPLE!$F$15,$M149-$A$15,CO$13)=0,10^12,OFFSET(CRONOPLE!$F$15,$M149-$A$15,CO$13)))</f>
        <v>23</v>
      </c>
      <c r="CP149" s="353" t="n">
        <f aca="true">IF(OR($D149&lt;&gt;"Serviço",AND(AUTOEVENTO="Manual",$M149=$A$15)),0,
         IF(OFFSET(CRONOPLE!$F$15,$M149-$A$15,CP$13)=0,10^12,OFFSET(CRONOPLE!$F$15,$M149-$A$15,CP$13)))</f>
        <v>24</v>
      </c>
      <c r="CQ149" s="353" t="n">
        <f aca="true">IF(OR($D149&lt;&gt;"Serviço",AND(AUTOEVENTO="Manual",$M149=$A$15)),0,
         IF(OFFSET(CRONOPLE!$F$15,$M149-$A$15,CQ$13)=0,10^12,OFFSET(CRONOPLE!$F$15,$M149-$A$15,CQ$13)))</f>
        <v>25</v>
      </c>
      <c r="CR149" s="353" t="n">
        <f aca="true">IF(OR($D149&lt;&gt;"Serviço",AND(AUTOEVENTO="Manual",$M149=$A$15)),0,
         IF(OFFSET(CRONOPLE!$F$15,$M149-$A$15,CR$13)=0,10^12,OFFSET(CRONOPLE!$F$15,$M149-$A$15,CR$13)))</f>
        <v>1000000000000</v>
      </c>
      <c r="CT149" s="354" t="n">
        <f aca="true">IF(OR($D149&lt;&gt;"Serviço",AND(AUTOEVENTO="Manual",$M149=$A$15),$M149&gt;(ROW(PLE.lastrow)-ROW(PLE.firstrow))),0,
           IF(OFFSET(PLE!$G$15,$M149-$A$15,CT$13)="",10^12,OFFSET(PLE!$G$15,$M149-$A$15,CT$13)))</f>
        <v>1000000000000</v>
      </c>
      <c r="CU149" s="354" t="n">
        <f aca="true">IF(OR($D149&lt;&gt;"Serviço",AND(AUTOEVENTO="Manual",$M149=$A$15),$M149&gt;(ROW(PLE.lastrow)-ROW(PLE.firstrow))),0,
           IF(OFFSET(PLE!$G$15,$M149-$A$15,CU$13)="",10^12,OFFSET(PLE!$G$15,$M149-$A$15,CU$13)))</f>
        <v>1000000000000</v>
      </c>
      <c r="CV149" s="354" t="n">
        <f aca="true">IF(OR($D149&lt;&gt;"Serviço",AND(AUTOEVENTO="Manual",$M149=$A$15),$M149&gt;(ROW(PLE.lastrow)-ROW(PLE.firstrow))),0,
           IF(OFFSET(PLE!$G$15,$M149-$A$15,CV$13)="",10^12,OFFSET(PLE!$G$15,$M149-$A$15,CV$13)))</f>
        <v>1000000000000</v>
      </c>
      <c r="CW149" s="354" t="n">
        <f aca="true">IF(OR($D149&lt;&gt;"Serviço",AND(AUTOEVENTO="Manual",$M149=$A$15),$M149&gt;(ROW(PLE.lastrow)-ROW(PLE.firstrow))),0,
           IF(OFFSET(PLE!$G$15,$M149-$A$15,CW$13)="",10^12,OFFSET(PLE!$G$15,$M149-$A$15,CW$13)))</f>
        <v>1000000000000</v>
      </c>
      <c r="CX149" s="354" t="n">
        <f aca="true">IF(OR($D149&lt;&gt;"Serviço",AND(AUTOEVENTO="Manual",$M149=$A$15),$M149&gt;(ROW(PLE.lastrow)-ROW(PLE.firstrow))),0,
           IF(OFFSET(PLE!$G$15,$M149-$A$15,CX$13)="",10^12,OFFSET(PLE!$G$15,$M149-$A$15,CX$13)))</f>
        <v>1000000000000</v>
      </c>
      <c r="CY149" s="354" t="n">
        <f aca="true">IF(OR($D149&lt;&gt;"Serviço",AND(AUTOEVENTO="Manual",$M149=$A$15),$M149&gt;(ROW(PLE.lastrow)-ROW(PLE.firstrow))),0,
           IF(OFFSET(PLE!$G$15,$M149-$A$15,CY$13)="",10^12,OFFSET(PLE!$G$15,$M149-$A$15,CY$13)))</f>
        <v>1000000000000</v>
      </c>
      <c r="CZ149" s="354" t="n">
        <f aca="true">IF(OR($D149&lt;&gt;"Serviço",AND(AUTOEVENTO="Manual",$M149=$A$15),$M149&gt;(ROW(PLE.lastrow)-ROW(PLE.firstrow))),0,
           IF(OFFSET(PLE!$G$15,$M149-$A$15,CZ$13)="",10^12,OFFSET(PLE!$G$15,$M149-$A$15,CZ$13)))</f>
        <v>1000000000000</v>
      </c>
      <c r="DA149" s="354" t="n">
        <f aca="true">IF(OR($D149&lt;&gt;"Serviço",AND(AUTOEVENTO="Manual",$M149=$A$15),$M149&gt;(ROW(PLE.lastrow)-ROW(PLE.firstrow))),0,
           IF(OFFSET(PLE!$G$15,$M149-$A$15,DA$13)="",10^12,OFFSET(PLE!$G$15,$M149-$A$15,DA$13)))</f>
        <v>1000000000000</v>
      </c>
      <c r="DB149" s="354" t="n">
        <f aca="true">IF(OR($D149&lt;&gt;"Serviço",AND(AUTOEVENTO="Manual",$M149=$A$15),$M149&gt;(ROW(PLE.lastrow)-ROW(PLE.firstrow))),0,
           IF(OFFSET(PLE!$G$15,$M149-$A$15,DB$13)="",10^12,OFFSET(PLE!$G$15,$M149-$A$15,DB$13)))</f>
        <v>1000000000000</v>
      </c>
      <c r="DC149" s="354" t="n">
        <f aca="true">IF(OR($D149&lt;&gt;"Serviço",AND(AUTOEVENTO="Manual",$M149=$A$15),$M149&gt;(ROW(PLE.lastrow)-ROW(PLE.firstrow))),0,
           IF(OFFSET(PLE!$G$15,$M149-$A$15,DC$13)="",10^12,OFFSET(PLE!$G$15,$M149-$A$15,DC$13)))</f>
        <v>1000000000000</v>
      </c>
      <c r="DD149" s="354" t="n">
        <f aca="true">IF(OR($D149&lt;&gt;"Serviço",AND(AUTOEVENTO="Manual",$M149=$A$15),$M149&gt;(ROW(PLE.lastrow)-ROW(PLE.firstrow))),0,
           IF(OFFSET(PLE!$G$15,$M149-$A$15,DD$13)="",10^12,OFFSET(PLE!$G$15,$M149-$A$15,DD$13)))</f>
        <v>1000000000000</v>
      </c>
      <c r="DE149" s="354" t="n">
        <f aca="true">IF(OR($D149&lt;&gt;"Serviço",AND(AUTOEVENTO="Manual",$M149=$A$15),$M149&gt;(ROW(PLE.lastrow)-ROW(PLE.firstrow))),0,
           IF(OFFSET(PLE!$G$15,$M149-$A$15,DE$13)="",10^12,OFFSET(PLE!$G$15,$M149-$A$15,DE$13)))</f>
        <v>1000000000000</v>
      </c>
      <c r="DF149" s="354" t="n">
        <f aca="true">IF(OR($D149&lt;&gt;"Serviço",AND(AUTOEVENTO="Manual",$M149=$A$15),$M149&gt;(ROW(PLE.lastrow)-ROW(PLE.firstrow))),0,
           IF(OFFSET(PLE!$G$15,$M149-$A$15,DF$13)="",10^12,OFFSET(PLE!$G$15,$M149-$A$15,DF$13)))</f>
        <v>1000000000000</v>
      </c>
      <c r="DG149" s="354" t="n">
        <f aca="true">IF(OR($D149&lt;&gt;"Serviço",AND(AUTOEVENTO="Manual",$M149=$A$15),$M149&gt;(ROW(PLE.lastrow)-ROW(PLE.firstrow))),0,
           IF(OFFSET(PLE!$G$15,$M149-$A$15,DG$13)="",10^12,OFFSET(PLE!$G$15,$M149-$A$15,DG$13)))</f>
        <v>1000000000000</v>
      </c>
      <c r="DH149" s="354" t="n">
        <f aca="true">IF(OR($D149&lt;&gt;"Serviço",AND(AUTOEVENTO="Manual",$M149=$A$15),$M149&gt;(ROW(PLE.lastrow)-ROW(PLE.firstrow))),0,
           IF(OFFSET(PLE!$G$15,$M149-$A$15,DH$13)="",10^12,OFFSET(PLE!$G$15,$M149-$A$15,DH$13)))</f>
        <v>1000000000000</v>
      </c>
      <c r="DI149" s="354" t="n">
        <f aca="true">IF(OR($D149&lt;&gt;"Serviço",AND(AUTOEVENTO="Manual",$M149=$A$15),$M149&gt;(ROW(PLE.lastrow)-ROW(PLE.firstrow))),0,
           IF(OFFSET(PLE!$G$15,$M149-$A$15,DI$13)="",10^12,OFFSET(PLE!$G$15,$M149-$A$15,DI$13)))</f>
        <v>1000000000000</v>
      </c>
      <c r="DJ149" s="354" t="n">
        <f aca="true">IF(OR($D149&lt;&gt;"Serviço",AND(AUTOEVENTO="Manual",$M149=$A$15),$M149&gt;(ROW(PLE.lastrow)-ROW(PLE.firstrow))),0,
           IF(OFFSET(PLE!$G$15,$M149-$A$15,DJ$13)="",10^12,OFFSET(PLE!$G$15,$M149-$A$15,DJ$13)))</f>
        <v>1000000000000</v>
      </c>
      <c r="DK149" s="354" t="n">
        <f aca="true">IF(OR($D149&lt;&gt;"Serviço",AND(AUTOEVENTO="Manual",$M149=$A$15),$M149&gt;(ROW(PLE.lastrow)-ROW(PLE.firstrow))),0,
           IF(OFFSET(PLE!$G$15,$M149-$A$15,DK$13)="",10^12,OFFSET(PLE!$G$15,$M149-$A$15,DK$13)))</f>
        <v>1000000000000</v>
      </c>
      <c r="DL149" s="354" t="n">
        <f aca="true">IF(OR($D149&lt;&gt;"Serviço",AND(AUTOEVENTO="Manual",$M149=$A$15),$M149&gt;(ROW(PLE.lastrow)-ROW(PLE.firstrow))),0,
           IF(OFFSET(PLE!$G$15,$M149-$A$15,DL$13)="",10^12,OFFSET(PLE!$G$15,$M149-$A$15,DL$13)))</f>
        <v>1000000000000</v>
      </c>
      <c r="DM149" s="354" t="n">
        <f aca="true">IF(OR($D149&lt;&gt;"Serviço",AND(AUTOEVENTO="Manual",$M149=$A$15),$M149&gt;(ROW(PLE.lastrow)-ROW(PLE.firstrow))),0,
           IF(OFFSET(PLE!$G$15,$M149-$A$15,DM$13)="",10^12,OFFSET(PLE!$G$15,$M149-$A$15,DM$13)))</f>
        <v>1000000000000</v>
      </c>
      <c r="DN149" s="354" t="n">
        <f aca="true">IF(OR($D149&lt;&gt;"Serviço",AND(AUTOEVENTO="Manual",$M149=$A$15),$M149&gt;(ROW(PLE.lastrow)-ROW(PLE.firstrow))),0,
           IF(OFFSET(PLE!$G$15,$M149-$A$15,DN$13)="",10^12,OFFSET(PLE!$G$15,$M149-$A$15,DN$13)))</f>
        <v>1000000000000</v>
      </c>
      <c r="DO149" s="354" t="n">
        <f aca="true">IF(OR($D149&lt;&gt;"Serviço",AND(AUTOEVENTO="Manual",$M149=$A$15),$M149&gt;(ROW(PLE.lastrow)-ROW(PLE.firstrow))),0,
           IF(OFFSET(PLE!$G$15,$M149-$A$15,DO$13)="",10^12,OFFSET(PLE!$G$15,$M149-$A$15,DO$13)))</f>
        <v>1000000000000</v>
      </c>
      <c r="DP149" s="354" t="n">
        <f aca="true">IF(OR($D149&lt;&gt;"Serviço",AND(AUTOEVENTO="Manual",$M149=$A$15),$M149&gt;(ROW(PLE.lastrow)-ROW(PLE.firstrow))),0,
           IF(OFFSET(PLE!$G$15,$M149-$A$15,DP$13)="",10^12,OFFSET(PLE!$G$15,$M149-$A$15,DP$13)))</f>
        <v>1000000000000</v>
      </c>
      <c r="DQ149" s="354" t="n">
        <f aca="true">IF(OR($D149&lt;&gt;"Serviço",AND(AUTOEVENTO="Manual",$M149=$A$15),$M149&gt;(ROW(PLE.lastrow)-ROW(PLE.firstrow))),0,
           IF(OFFSET(PLE!$G$15,$M149-$A$15,DQ$13)="",10^12,OFFSET(PLE!$G$15,$M149-$A$15,DQ$13)))</f>
        <v>1000000000000</v>
      </c>
      <c r="DR149" s="354" t="n">
        <f aca="true">IF(OR($D149&lt;&gt;"Serviço",AND(AUTOEVENTO="Manual",$M149=$A$15),$M149&gt;(ROW(PLE.lastrow)-ROW(PLE.firstrow))),0,
           IF(OFFSET(PLE!$G$15,$M149-$A$15,DR$13)="",10^12,OFFSET(PLE!$G$15,$M149-$A$15,DR$13)))</f>
        <v>1000000000000</v>
      </c>
      <c r="DS149" s="354" t="n">
        <f aca="true">IF(OR($D149&lt;&gt;"Serviço",AND(AUTOEVENTO="Manual",$M149=$A$15),$M149&gt;(ROW(PLE.lastrow)-ROW(PLE.firstrow))),0,
           IF(OFFSET(PLE!$G$15,$M149-$A$15,DS$13)="",10^12,OFFSET(PLE!$G$15,$M149-$A$15,DS$13)))</f>
        <v>1000000000000</v>
      </c>
    </row>
    <row r="150" customFormat="false" ht="35.05" hidden="false" customHeight="false" outlineLevel="0" collapsed="false">
      <c r="A150" s="50" t="str">
        <f aca="true">IFERROR(IF(AUTOEVENTO="Manual",IF(K150&lt;&gt;"",MIN(VALUE(LEFT(K150,FIND(".",K150)-1)),COUNTA(EVENTOS.Lista)),0),IF(OR($B150&gt;AUTOEVENTO,$B150="S",$B150=0),SUBSTITUTE(OFFSET($A150,-1,0),IF($D150="Serviço",".",""),""),ROW(A150)-ROW($A$15)&amp;".")),0)</f>
        <v>133</v>
      </c>
      <c r="B150" s="50" t="str">
        <f aca="true">OFFSET(ORÇAMENTO!C$15,ROW(B150)-ROW(B$15),0)</f>
        <v>S</v>
      </c>
      <c r="C150" s="50" t="str">
        <f aca="true">OFFSET(ORÇAMENTO!L$15,ROW(C150)-ROW(C$15),0)</f>
        <v>F</v>
      </c>
      <c r="D150" s="201" t="str">
        <f aca="true">OFFSET(ORÇAMENTO!N$15,ROW(D150)-ROW(D$15),0)</f>
        <v>Serviço</v>
      </c>
      <c r="E150" s="202" t="str">
        <f aca="true">OFFSET(ORÇAMENTO!O$15,ROW(E150)-ROW(E$15),0)</f>
        <v>1.42.2.</v>
      </c>
      <c r="F150" s="341" t="str">
        <f aca="true">OFFSET(ORÇAMENTO!R$15,ROW(F150)-ROW(F$15),0)</f>
        <v>CAIXA DE EMBUTIR EM POLICARBONATO PARA ABRIGO DE HIDRÔMETRO - FORNECIMENTO E INSTALAÇÃO (EXCLUSIVE HIDRÔMETRO).</v>
      </c>
      <c r="G150" s="342" t="str">
        <f aca="true">IF($D150&lt;&gt;"Serviço","",OFFSET(ORÇAMENTO!S$15,ROW(G150)-ROW(G$15),0))</f>
        <v>UN</v>
      </c>
      <c r="H150" s="207" t="n">
        <f aca="true">IF($D150&lt;&gt;"Serviço",0,IF(ACOMPANHAMENTO="BM",ROUND(OFFSET(ORÇAMENTO!AJ$15,ROW(H150)-ROW(H$15),0),15-13*ORÇAMENTO!$AF$7),SUMPRODUCT(($Q$1:$AQ$1=1)*ROUND($Q150:$AQ150,15-13*ORÇAMENTO!$AF$7))))</f>
        <v>25</v>
      </c>
      <c r="I150" s="343" t="s">
        <v>969</v>
      </c>
      <c r="J150" s="344" t="e">
        <f aca="false">IF(OR(B150&lt;&gt;"S",CÁLCULO.FrentesPreenchidas=0),"",IF(AND(ACOMPANHAMENTO="PLE",AUTOEVENTO="Manual",OR(H150&gt;0,ORÇAMENTO!AC150="QUANT."),OR(K150="",M150=0,N150="")),"►",IF(AND(ACOMPANHAMENTO="PLE",ORÇAMENTO!AC150="QUANT."),"►►",IF(AND(COUNTIF($P$11:$AQ$11,"▼")=0,H150&gt;0,I150=""),"◄",""))))</f>
        <v>#NAME?</v>
      </c>
      <c r="K150" s="345"/>
      <c r="L150" s="346" t="s">
        <v>876</v>
      </c>
      <c r="M150" s="347" t="n">
        <f aca="true">IF($D150&lt;&gt;"Serviço","",
          IF(AUTOEVENTO="manual",$A150,
                IF(ISERROR(MATCH($A150,$A$15:OFFSET($A150,-1,0),0)),MAX($M$15:OFFSET(M150,-1,0))+1,
                      INDEX($M$15:OFFSET(M150,-1,0),MATCH($A150,$A$15:OFFSET($A150,-1,0),0)))))</f>
        <v>26</v>
      </c>
      <c r="N150" s="348" t="str">
        <f aca="true">IF($D150&lt;&gt;"Serviço","",
         IF(AUTOEVENTO="Manual",
                IF($A150=0,"&lt;-- defina o número do agrupador",
                       OFFSET(EVENTOS!$D$15,$A150-$A$15,0)),
                OFFSET($F$15,$A150,0)))</f>
        <v>ENTRADA / ALIMENTAÇÃO</v>
      </c>
      <c r="O150" s="349"/>
      <c r="Q150" s="349" t="n">
        <v>1</v>
      </c>
      <c r="R150" s="350" t="n">
        <f aca="false">Q150</f>
        <v>1</v>
      </c>
      <c r="S150" s="350" t="n">
        <f aca="false">R150</f>
        <v>1</v>
      </c>
      <c r="T150" s="350" t="n">
        <f aca="false">S150</f>
        <v>1</v>
      </c>
      <c r="U150" s="350" t="n">
        <f aca="false">T150</f>
        <v>1</v>
      </c>
      <c r="V150" s="350" t="n">
        <f aca="false">U150</f>
        <v>1</v>
      </c>
      <c r="W150" s="350" t="n">
        <f aca="false">V150</f>
        <v>1</v>
      </c>
      <c r="X150" s="350" t="n">
        <f aca="false">W150</f>
        <v>1</v>
      </c>
      <c r="Y150" s="350" t="n">
        <f aca="false">X150</f>
        <v>1</v>
      </c>
      <c r="Z150" s="351" t="n">
        <f aca="false">Y150</f>
        <v>1</v>
      </c>
      <c r="AA150" s="350" t="n">
        <f aca="false">Z150</f>
        <v>1</v>
      </c>
      <c r="AB150" s="350" t="n">
        <f aca="false">AA150</f>
        <v>1</v>
      </c>
      <c r="AC150" s="350" t="n">
        <f aca="false">AB150</f>
        <v>1</v>
      </c>
      <c r="AD150" s="350" t="n">
        <f aca="false">AC150</f>
        <v>1</v>
      </c>
      <c r="AE150" s="350" t="n">
        <f aca="false">AD150</f>
        <v>1</v>
      </c>
      <c r="AF150" s="350" t="n">
        <f aca="false">AE150</f>
        <v>1</v>
      </c>
      <c r="AG150" s="350" t="n">
        <f aca="false">AF150</f>
        <v>1</v>
      </c>
      <c r="AH150" s="351" t="n">
        <f aca="false">AG150</f>
        <v>1</v>
      </c>
      <c r="AI150" s="350" t="n">
        <f aca="false">AH150</f>
        <v>1</v>
      </c>
      <c r="AJ150" s="350" t="n">
        <f aca="false">AI150</f>
        <v>1</v>
      </c>
      <c r="AK150" s="350" t="n">
        <f aca="false">AJ150</f>
        <v>1</v>
      </c>
      <c r="AL150" s="350" t="n">
        <f aca="false">AK150</f>
        <v>1</v>
      </c>
      <c r="AM150" s="350" t="n">
        <f aca="false">AL150</f>
        <v>1</v>
      </c>
      <c r="AN150" s="350" t="n">
        <f aca="false">AM150</f>
        <v>1</v>
      </c>
      <c r="AO150" s="350" t="n">
        <f aca="false">AN150</f>
        <v>1</v>
      </c>
      <c r="AP150" s="351"/>
      <c r="AR150" s="352" t="n">
        <f aca="true">IF(AND($D150="Serviço",AR$12&lt;&gt;0,$H150&gt;0,OR(AUTOEVENTO&lt;&gt;"manual",$M150&lt;&gt;$A$15)),
        IF(Import.TipoArredondamento&lt;&gt;"TransfereGOV",
              ROUND(OFFSET($P150,0,AR$13),15-13*ORÇAMENTO!$AF$7)/$H150*OFFSET(ORÇAMENTO!$X$15,ROW(AR150)-ROW(AR$15),0),
              ROUND(ROUND(OFFSET($P150,0,AR$13),15-13*ORÇAMENTO!$AF$7)*OFFSET(ORÇAMENTO!$W$15,ROW(AR150)-ROW(AR$15),0),15-13*ORÇAMENTO!$AF$11)),
         0)</f>
        <v>198.79</v>
      </c>
      <c r="AS150" s="352" t="n">
        <f aca="true">IF(AND($D150="Serviço",AS$12&lt;&gt;0,$H150&gt;0,OR(AUTOEVENTO&lt;&gt;"manual",$M150&lt;&gt;$A$15)),
        IF(Import.TipoArredondamento&lt;&gt;"TransfereGOV",
              ROUND(OFFSET($P150,0,AS$13),15-13*ORÇAMENTO!$AF$7)/$H150*OFFSET(ORÇAMENTO!$X$15,ROW(AS150)-ROW(AS$15),0),
              ROUND(ROUND(OFFSET($P150,0,AS$13),15-13*ORÇAMENTO!$AF$7)*OFFSET(ORÇAMENTO!$W$15,ROW(AS150)-ROW(AS$15),0),15-13*ORÇAMENTO!$AF$11)),
         0)</f>
        <v>198.79</v>
      </c>
      <c r="AT150" s="352" t="n">
        <f aca="true">IF(AND($D150="Serviço",AT$12&lt;&gt;0,$H150&gt;0,OR(AUTOEVENTO&lt;&gt;"manual",$M150&lt;&gt;$A$15)),
        IF(Import.TipoArredondamento&lt;&gt;"TransfereGOV",
              ROUND(OFFSET($P150,0,AT$13),15-13*ORÇAMENTO!$AF$7)/$H150*OFFSET(ORÇAMENTO!$X$15,ROW(AT150)-ROW(AT$15),0),
              ROUND(ROUND(OFFSET($P150,0,AT$13),15-13*ORÇAMENTO!$AF$7)*OFFSET(ORÇAMENTO!$W$15,ROW(AT150)-ROW(AT$15),0),15-13*ORÇAMENTO!$AF$11)),
         0)</f>
        <v>198.79</v>
      </c>
      <c r="AU150" s="352" t="n">
        <f aca="true">IF(AND($D150="Serviço",AU$12&lt;&gt;0,$H150&gt;0,OR(AUTOEVENTO&lt;&gt;"manual",$M150&lt;&gt;$A$15)),
        IF(Import.TipoArredondamento&lt;&gt;"TransfereGOV",
              ROUND(OFFSET($P150,0,AU$13),15-13*ORÇAMENTO!$AF$7)/$H150*OFFSET(ORÇAMENTO!$X$15,ROW(AU150)-ROW(AU$15),0),
              ROUND(ROUND(OFFSET($P150,0,AU$13),15-13*ORÇAMENTO!$AF$7)*OFFSET(ORÇAMENTO!$W$15,ROW(AU150)-ROW(AU$15),0),15-13*ORÇAMENTO!$AF$11)),
         0)</f>
        <v>198.79</v>
      </c>
      <c r="AV150" s="352" t="n">
        <f aca="true">IF(AND($D150="Serviço",AV$12&lt;&gt;0,$H150&gt;0,OR(AUTOEVENTO&lt;&gt;"manual",$M150&lt;&gt;$A$15)),
        IF(Import.TipoArredondamento&lt;&gt;"TransfereGOV",
              ROUND(OFFSET($P150,0,AV$13),15-13*ORÇAMENTO!$AF$7)/$H150*OFFSET(ORÇAMENTO!$X$15,ROW(AV150)-ROW(AV$15),0),
              ROUND(ROUND(OFFSET($P150,0,AV$13),15-13*ORÇAMENTO!$AF$7)*OFFSET(ORÇAMENTO!$W$15,ROW(AV150)-ROW(AV$15),0),15-13*ORÇAMENTO!$AF$11)),
         0)</f>
        <v>198.79</v>
      </c>
      <c r="AW150" s="352" t="n">
        <f aca="true">IF(AND($D150="Serviço",AW$12&lt;&gt;0,$H150&gt;0,OR(AUTOEVENTO&lt;&gt;"manual",$M150&lt;&gt;$A$15)),
        IF(Import.TipoArredondamento&lt;&gt;"TransfereGOV",
              ROUND(OFFSET($P150,0,AW$13),15-13*ORÇAMENTO!$AF$7)/$H150*OFFSET(ORÇAMENTO!$X$15,ROW(AW150)-ROW(AW$15),0),
              ROUND(ROUND(OFFSET($P150,0,AW$13),15-13*ORÇAMENTO!$AF$7)*OFFSET(ORÇAMENTO!$W$15,ROW(AW150)-ROW(AW$15),0),15-13*ORÇAMENTO!$AF$11)),
         0)</f>
        <v>198.79</v>
      </c>
      <c r="AX150" s="352" t="n">
        <f aca="true">IF(AND($D150="Serviço",AX$12&lt;&gt;0,$H150&gt;0,OR(AUTOEVENTO&lt;&gt;"manual",$M150&lt;&gt;$A$15)),
        IF(Import.TipoArredondamento&lt;&gt;"TransfereGOV",
              ROUND(OFFSET($P150,0,AX$13),15-13*ORÇAMENTO!$AF$7)/$H150*OFFSET(ORÇAMENTO!$X$15,ROW(AX150)-ROW(AX$15),0),
              ROUND(ROUND(OFFSET($P150,0,AX$13),15-13*ORÇAMENTO!$AF$7)*OFFSET(ORÇAMENTO!$W$15,ROW(AX150)-ROW(AX$15),0),15-13*ORÇAMENTO!$AF$11)),
         0)</f>
        <v>198.79</v>
      </c>
      <c r="AY150" s="352" t="n">
        <f aca="true">IF(AND($D150="Serviço",AY$12&lt;&gt;0,$H150&gt;0,OR(AUTOEVENTO&lt;&gt;"manual",$M150&lt;&gt;$A$15)),
        IF(Import.TipoArredondamento&lt;&gt;"TransfereGOV",
              ROUND(OFFSET($P150,0,AY$13),15-13*ORÇAMENTO!$AF$7)/$H150*OFFSET(ORÇAMENTO!$X$15,ROW(AY150)-ROW(AY$15),0),
              ROUND(ROUND(OFFSET($P150,0,AY$13),15-13*ORÇAMENTO!$AF$7)*OFFSET(ORÇAMENTO!$W$15,ROW(AY150)-ROW(AY$15),0),15-13*ORÇAMENTO!$AF$11)),
         0)</f>
        <v>198.79</v>
      </c>
      <c r="AZ150" s="352" t="n">
        <f aca="true">IF(AND($D150="Serviço",AZ$12&lt;&gt;0,$H150&gt;0,OR(AUTOEVENTO&lt;&gt;"manual",$M150&lt;&gt;$A$15)),
        IF(Import.TipoArredondamento&lt;&gt;"TransfereGOV",
              ROUND(OFFSET($P150,0,AZ$13),15-13*ORÇAMENTO!$AF$7)/$H150*OFFSET(ORÇAMENTO!$X$15,ROW(AZ150)-ROW(AZ$15),0),
              ROUND(ROUND(OFFSET($P150,0,AZ$13),15-13*ORÇAMENTO!$AF$7)*OFFSET(ORÇAMENTO!$W$15,ROW(AZ150)-ROW(AZ$15),0),15-13*ORÇAMENTO!$AF$11)),
         0)</f>
        <v>198.79</v>
      </c>
      <c r="BA150" s="352" t="n">
        <f aca="true">IF(AND($D150="Serviço",BA$12&lt;&gt;0,$H150&gt;0,OR(AUTOEVENTO&lt;&gt;"manual",$M150&lt;&gt;$A$15)),
        IF(Import.TipoArredondamento&lt;&gt;"TransfereGOV",
              ROUND(OFFSET($P150,0,BA$13),15-13*ORÇAMENTO!$AF$7)/$H150*OFFSET(ORÇAMENTO!$X$15,ROW(BA150)-ROW(BA$15),0),
              ROUND(ROUND(OFFSET($P150,0,BA$13),15-13*ORÇAMENTO!$AF$7)*OFFSET(ORÇAMENTO!$W$15,ROW(BA150)-ROW(BA$15),0),15-13*ORÇAMENTO!$AF$11)),
         0)</f>
        <v>198.79</v>
      </c>
      <c r="BB150" s="352" t="n">
        <f aca="true">IF(AND($D150="Serviço",BB$12&lt;&gt;0,$H150&gt;0,OR(AUTOEVENTO&lt;&gt;"manual",$M150&lt;&gt;$A$15)),
        IF(Import.TipoArredondamento&lt;&gt;"TransfereGOV",
              ROUND(OFFSET($P150,0,BB$13),15-13*ORÇAMENTO!$AF$7)/$H150*OFFSET(ORÇAMENTO!$X$15,ROW(BB150)-ROW(BB$15),0),
              ROUND(ROUND(OFFSET($P150,0,BB$13),15-13*ORÇAMENTO!$AF$7)*OFFSET(ORÇAMENTO!$W$15,ROW(BB150)-ROW(BB$15),0),15-13*ORÇAMENTO!$AF$11)),
         0)</f>
        <v>198.79</v>
      </c>
      <c r="BC150" s="352" t="n">
        <f aca="true">IF(AND($D150="Serviço",BC$12&lt;&gt;0,$H150&gt;0,OR(AUTOEVENTO&lt;&gt;"manual",$M150&lt;&gt;$A$15)),
        IF(Import.TipoArredondamento&lt;&gt;"TransfereGOV",
              ROUND(OFFSET($P150,0,BC$13),15-13*ORÇAMENTO!$AF$7)/$H150*OFFSET(ORÇAMENTO!$X$15,ROW(BC150)-ROW(BC$15),0),
              ROUND(ROUND(OFFSET($P150,0,BC$13),15-13*ORÇAMENTO!$AF$7)*OFFSET(ORÇAMENTO!$W$15,ROW(BC150)-ROW(BC$15),0),15-13*ORÇAMENTO!$AF$11)),
         0)</f>
        <v>198.79</v>
      </c>
      <c r="BD150" s="352" t="n">
        <f aca="true">IF(AND($D150="Serviço",BD$12&lt;&gt;0,$H150&gt;0,OR(AUTOEVENTO&lt;&gt;"manual",$M150&lt;&gt;$A$15)),
        IF(Import.TipoArredondamento&lt;&gt;"TransfereGOV",
              ROUND(OFFSET($P150,0,BD$13),15-13*ORÇAMENTO!$AF$7)/$H150*OFFSET(ORÇAMENTO!$X$15,ROW(BD150)-ROW(BD$15),0),
              ROUND(ROUND(OFFSET($P150,0,BD$13),15-13*ORÇAMENTO!$AF$7)*OFFSET(ORÇAMENTO!$W$15,ROW(BD150)-ROW(BD$15),0),15-13*ORÇAMENTO!$AF$11)),
         0)</f>
        <v>198.79</v>
      </c>
      <c r="BE150" s="352" t="n">
        <f aca="true">IF(AND($D150="Serviço",BE$12&lt;&gt;0,$H150&gt;0,OR(AUTOEVENTO&lt;&gt;"manual",$M150&lt;&gt;$A$15)),
        IF(Import.TipoArredondamento&lt;&gt;"TransfereGOV",
              ROUND(OFFSET($P150,0,BE$13),15-13*ORÇAMENTO!$AF$7)/$H150*OFFSET(ORÇAMENTO!$X$15,ROW(BE150)-ROW(BE$15),0),
              ROUND(ROUND(OFFSET($P150,0,BE$13),15-13*ORÇAMENTO!$AF$7)*OFFSET(ORÇAMENTO!$W$15,ROW(BE150)-ROW(BE$15),0),15-13*ORÇAMENTO!$AF$11)),
         0)</f>
        <v>198.79</v>
      </c>
      <c r="BF150" s="352" t="n">
        <f aca="true">IF(AND($D150="Serviço",BF$12&lt;&gt;0,$H150&gt;0,OR(AUTOEVENTO&lt;&gt;"manual",$M150&lt;&gt;$A$15)),
        IF(Import.TipoArredondamento&lt;&gt;"TransfereGOV",
              ROUND(OFFSET($P150,0,BF$13),15-13*ORÇAMENTO!$AF$7)/$H150*OFFSET(ORÇAMENTO!$X$15,ROW(BF150)-ROW(BF$15),0),
              ROUND(ROUND(OFFSET($P150,0,BF$13),15-13*ORÇAMENTO!$AF$7)*OFFSET(ORÇAMENTO!$W$15,ROW(BF150)-ROW(BF$15),0),15-13*ORÇAMENTO!$AF$11)),
         0)</f>
        <v>198.79</v>
      </c>
      <c r="BG150" s="352" t="n">
        <f aca="true">IF(AND($D150="Serviço",BG$12&lt;&gt;0,$H150&gt;0,OR(AUTOEVENTO&lt;&gt;"manual",$M150&lt;&gt;$A$15)),
        IF(Import.TipoArredondamento&lt;&gt;"TransfereGOV",
              ROUND(OFFSET($P150,0,BG$13),15-13*ORÇAMENTO!$AF$7)/$H150*OFFSET(ORÇAMENTO!$X$15,ROW(BG150)-ROW(BG$15),0),
              ROUND(ROUND(OFFSET($P150,0,BG$13),15-13*ORÇAMENTO!$AF$7)*OFFSET(ORÇAMENTO!$W$15,ROW(BG150)-ROW(BG$15),0),15-13*ORÇAMENTO!$AF$11)),
         0)</f>
        <v>198.79</v>
      </c>
      <c r="BH150" s="352" t="n">
        <f aca="true">IF(AND($D150="Serviço",BH$12&lt;&gt;0,$H150&gt;0,OR(AUTOEVENTO&lt;&gt;"manual",$M150&lt;&gt;$A$15)),
        IF(Import.TipoArredondamento&lt;&gt;"TransfereGOV",
              ROUND(OFFSET($P150,0,BH$13),15-13*ORÇAMENTO!$AF$7)/$H150*OFFSET(ORÇAMENTO!$X$15,ROW(BH150)-ROW(BH$15),0),
              ROUND(ROUND(OFFSET($P150,0,BH$13),15-13*ORÇAMENTO!$AF$7)*OFFSET(ORÇAMENTO!$W$15,ROW(BH150)-ROW(BH$15),0),15-13*ORÇAMENTO!$AF$11)),
         0)</f>
        <v>198.79</v>
      </c>
      <c r="BI150" s="352" t="n">
        <f aca="true">IF(AND($D150="Serviço",BI$12&lt;&gt;0,$H150&gt;0,OR(AUTOEVENTO&lt;&gt;"manual",$M150&lt;&gt;$A$15)),
        IF(Import.TipoArredondamento&lt;&gt;"TransfereGOV",
              ROUND(OFFSET($P150,0,BI$13),15-13*ORÇAMENTO!$AF$7)/$H150*OFFSET(ORÇAMENTO!$X$15,ROW(BI150)-ROW(BI$15),0),
              ROUND(ROUND(OFFSET($P150,0,BI$13),15-13*ORÇAMENTO!$AF$7)*OFFSET(ORÇAMENTO!$W$15,ROW(BI150)-ROW(BI$15),0),15-13*ORÇAMENTO!$AF$11)),
         0)</f>
        <v>198.79</v>
      </c>
      <c r="BJ150" s="352" t="n">
        <f aca="true">IF(AND($D150="Serviço",BJ$12&lt;&gt;0,$H150&gt;0,OR(AUTOEVENTO&lt;&gt;"manual",$M150&lt;&gt;$A$15)),
        IF(Import.TipoArredondamento&lt;&gt;"TransfereGOV",
              ROUND(OFFSET($P150,0,BJ$13),15-13*ORÇAMENTO!$AF$7)/$H150*OFFSET(ORÇAMENTO!$X$15,ROW(BJ150)-ROW(BJ$15),0),
              ROUND(ROUND(OFFSET($P150,0,BJ$13),15-13*ORÇAMENTO!$AF$7)*OFFSET(ORÇAMENTO!$W$15,ROW(BJ150)-ROW(BJ$15),0),15-13*ORÇAMENTO!$AF$11)),
         0)</f>
        <v>198.79</v>
      </c>
      <c r="BK150" s="352" t="n">
        <f aca="true">IF(AND($D150="Serviço",BK$12&lt;&gt;0,$H150&gt;0,OR(AUTOEVENTO&lt;&gt;"manual",$M150&lt;&gt;$A$15)),
        IF(Import.TipoArredondamento&lt;&gt;"TransfereGOV",
              ROUND(OFFSET($P150,0,BK$13),15-13*ORÇAMENTO!$AF$7)/$H150*OFFSET(ORÇAMENTO!$X$15,ROW(BK150)-ROW(BK$15),0),
              ROUND(ROUND(OFFSET($P150,0,BK$13),15-13*ORÇAMENTO!$AF$7)*OFFSET(ORÇAMENTO!$W$15,ROW(BK150)-ROW(BK$15),0),15-13*ORÇAMENTO!$AF$11)),
         0)</f>
        <v>198.79</v>
      </c>
      <c r="BL150" s="352" t="n">
        <f aca="true">IF(AND($D150="Serviço",BL$12&lt;&gt;0,$H150&gt;0,OR(AUTOEVENTO&lt;&gt;"manual",$M150&lt;&gt;$A$15)),
        IF(Import.TipoArredondamento&lt;&gt;"TransfereGOV",
              ROUND(OFFSET($P150,0,BL$13),15-13*ORÇAMENTO!$AF$7)/$H150*OFFSET(ORÇAMENTO!$X$15,ROW(BL150)-ROW(BL$15),0),
              ROUND(ROUND(OFFSET($P150,0,BL$13),15-13*ORÇAMENTO!$AF$7)*OFFSET(ORÇAMENTO!$W$15,ROW(BL150)-ROW(BL$15),0),15-13*ORÇAMENTO!$AF$11)),
         0)</f>
        <v>198.79</v>
      </c>
      <c r="BM150" s="352" t="n">
        <f aca="true">IF(AND($D150="Serviço",BM$12&lt;&gt;0,$H150&gt;0,OR(AUTOEVENTO&lt;&gt;"manual",$M150&lt;&gt;$A$15)),
        IF(Import.TipoArredondamento&lt;&gt;"TransfereGOV",
              ROUND(OFFSET($P150,0,BM$13),15-13*ORÇAMENTO!$AF$7)/$H150*OFFSET(ORÇAMENTO!$X$15,ROW(BM150)-ROW(BM$15),0),
              ROUND(ROUND(OFFSET($P150,0,BM$13),15-13*ORÇAMENTO!$AF$7)*OFFSET(ORÇAMENTO!$W$15,ROW(BM150)-ROW(BM$15),0),15-13*ORÇAMENTO!$AF$11)),
         0)</f>
        <v>198.79</v>
      </c>
      <c r="BN150" s="352" t="n">
        <f aca="true">IF(AND($D150="Serviço",BN$12&lt;&gt;0,$H150&gt;0,OR(AUTOEVENTO&lt;&gt;"manual",$M150&lt;&gt;$A$15)),
        IF(Import.TipoArredondamento&lt;&gt;"TransfereGOV",
              ROUND(OFFSET($P150,0,BN$13),15-13*ORÇAMENTO!$AF$7)/$H150*OFFSET(ORÇAMENTO!$X$15,ROW(BN150)-ROW(BN$15),0),
              ROUND(ROUND(OFFSET($P150,0,BN$13),15-13*ORÇAMENTO!$AF$7)*OFFSET(ORÇAMENTO!$W$15,ROW(BN150)-ROW(BN$15),0),15-13*ORÇAMENTO!$AF$11)),
         0)</f>
        <v>198.79</v>
      </c>
      <c r="BO150" s="352" t="n">
        <f aca="true">IF(AND($D150="Serviço",BO$12&lt;&gt;0,$H150&gt;0,OR(AUTOEVENTO&lt;&gt;"manual",$M150&lt;&gt;$A$15)),
        IF(Import.TipoArredondamento&lt;&gt;"TransfereGOV",
              ROUND(OFFSET($P150,0,BO$13),15-13*ORÇAMENTO!$AF$7)/$H150*OFFSET(ORÇAMENTO!$X$15,ROW(BO150)-ROW(BO$15),0),
              ROUND(ROUND(OFFSET($P150,0,BO$13),15-13*ORÇAMENTO!$AF$7)*OFFSET(ORÇAMENTO!$W$15,ROW(BO150)-ROW(BO$15),0),15-13*ORÇAMENTO!$AF$11)),
         0)</f>
        <v>198.79</v>
      </c>
      <c r="BP150" s="352" t="n">
        <f aca="true">IF(AND($D150="Serviço",BP$12&lt;&gt;0,$H150&gt;0,OR(AUTOEVENTO&lt;&gt;"manual",$M150&lt;&gt;$A$15)),
        IF(Import.TipoArredondamento&lt;&gt;"TransfereGOV",
              ROUND(OFFSET($P150,0,BP$13),15-13*ORÇAMENTO!$AF$7)/$H150*OFFSET(ORÇAMENTO!$X$15,ROW(BP150)-ROW(BP$15),0),
              ROUND(ROUND(OFFSET($P150,0,BP$13),15-13*ORÇAMENTO!$AF$7)*OFFSET(ORÇAMENTO!$W$15,ROW(BP150)-ROW(BP$15),0),15-13*ORÇAMENTO!$AF$11)),
         0)</f>
        <v>198.79</v>
      </c>
      <c r="BQ150" s="352" t="n">
        <f aca="true">IF(AND($D150="Serviço",BQ$12&lt;&gt;0,$H150&gt;0,OR(AUTOEVENTO&lt;&gt;"manual",$M150&lt;&gt;$A$15)),
        IF(Import.TipoArredondamento&lt;&gt;"TransfereGOV",
              ROUND(OFFSET($P150,0,BQ$13),15-13*ORÇAMENTO!$AF$7)/$H150*OFFSET(ORÇAMENTO!$X$15,ROW(BQ150)-ROW(BQ$15),0),
              ROUND(ROUND(OFFSET($P150,0,BQ$13),15-13*ORÇAMENTO!$AF$7)*OFFSET(ORÇAMENTO!$W$15,ROW(BQ150)-ROW(BQ$15),0),15-13*ORÇAMENTO!$AF$11)),
         0)</f>
        <v>0</v>
      </c>
      <c r="BS150" s="353" t="n">
        <f aca="true">IF(OR($D150&lt;&gt;"Serviço",AND(AUTOEVENTO="Manual",$M150=$A$15)),0,
         IF(OFFSET(CRONOPLE!$F$15,$M150-$A$15,BS$13)=0,10^12,OFFSET(CRONOPLE!$F$15,$M150-$A$15,BS$13)))</f>
        <v>1</v>
      </c>
      <c r="BT150" s="353" t="n">
        <f aca="true">IF(OR($D150&lt;&gt;"Serviço",AND(AUTOEVENTO="Manual",$M150=$A$15)),0,
         IF(OFFSET(CRONOPLE!$F$15,$M150-$A$15,BT$13)=0,10^12,OFFSET(CRONOPLE!$F$15,$M150-$A$15,BT$13)))</f>
        <v>2</v>
      </c>
      <c r="BU150" s="353" t="n">
        <f aca="true">IF(OR($D150&lt;&gt;"Serviço",AND(AUTOEVENTO="Manual",$M150=$A$15)),0,
         IF(OFFSET(CRONOPLE!$F$15,$M150-$A$15,BU$13)=0,10^12,OFFSET(CRONOPLE!$F$15,$M150-$A$15,BU$13)))</f>
        <v>3</v>
      </c>
      <c r="BV150" s="353" t="n">
        <f aca="true">IF(OR($D150&lt;&gt;"Serviço",AND(AUTOEVENTO="Manual",$M150=$A$15)),0,
         IF(OFFSET(CRONOPLE!$F$15,$M150-$A$15,BV$13)=0,10^12,OFFSET(CRONOPLE!$F$15,$M150-$A$15,BV$13)))</f>
        <v>4</v>
      </c>
      <c r="BW150" s="353" t="n">
        <f aca="true">IF(OR($D150&lt;&gt;"Serviço",AND(AUTOEVENTO="Manual",$M150=$A$15)),0,
         IF(OFFSET(CRONOPLE!$F$15,$M150-$A$15,BW$13)=0,10^12,OFFSET(CRONOPLE!$F$15,$M150-$A$15,BW$13)))</f>
        <v>5</v>
      </c>
      <c r="BX150" s="353" t="n">
        <f aca="true">IF(OR($D150&lt;&gt;"Serviço",AND(AUTOEVENTO="Manual",$M150=$A$15)),0,
         IF(OFFSET(CRONOPLE!$F$15,$M150-$A$15,BX$13)=0,10^12,OFFSET(CRONOPLE!$F$15,$M150-$A$15,BX$13)))</f>
        <v>6</v>
      </c>
      <c r="BY150" s="353" t="n">
        <f aca="true">IF(OR($D150&lt;&gt;"Serviço",AND(AUTOEVENTO="Manual",$M150=$A$15)),0,
         IF(OFFSET(CRONOPLE!$F$15,$M150-$A$15,BY$13)=0,10^12,OFFSET(CRONOPLE!$F$15,$M150-$A$15,BY$13)))</f>
        <v>7</v>
      </c>
      <c r="BZ150" s="353" t="n">
        <f aca="true">IF(OR($D150&lt;&gt;"Serviço",AND(AUTOEVENTO="Manual",$M150=$A$15)),0,
         IF(OFFSET(CRONOPLE!$F$15,$M150-$A$15,BZ$13)=0,10^12,OFFSET(CRONOPLE!$F$15,$M150-$A$15,BZ$13)))</f>
        <v>8</v>
      </c>
      <c r="CA150" s="353" t="n">
        <f aca="true">IF(OR($D150&lt;&gt;"Serviço",AND(AUTOEVENTO="Manual",$M150=$A$15)),0,
         IF(OFFSET(CRONOPLE!$F$15,$M150-$A$15,CA$13)=0,10^12,OFFSET(CRONOPLE!$F$15,$M150-$A$15,CA$13)))</f>
        <v>9</v>
      </c>
      <c r="CB150" s="353" t="n">
        <f aca="true">IF(OR($D150&lt;&gt;"Serviço",AND(AUTOEVENTO="Manual",$M150=$A$15)),0,
         IF(OFFSET(CRONOPLE!$F$15,$M150-$A$15,CB$13)=0,10^12,OFFSET(CRONOPLE!$F$15,$M150-$A$15,CB$13)))</f>
        <v>10</v>
      </c>
      <c r="CC150" s="353" t="n">
        <f aca="true">IF(OR($D150&lt;&gt;"Serviço",AND(AUTOEVENTO="Manual",$M150=$A$15)),0,
         IF(OFFSET(CRONOPLE!$F$15,$M150-$A$15,CC$13)=0,10^12,OFFSET(CRONOPLE!$F$15,$M150-$A$15,CC$13)))</f>
        <v>11</v>
      </c>
      <c r="CD150" s="353" t="n">
        <f aca="true">IF(OR($D150&lt;&gt;"Serviço",AND(AUTOEVENTO="Manual",$M150=$A$15)),0,
         IF(OFFSET(CRONOPLE!$F$15,$M150-$A$15,CD$13)=0,10^12,OFFSET(CRONOPLE!$F$15,$M150-$A$15,CD$13)))</f>
        <v>12</v>
      </c>
      <c r="CE150" s="353" t="n">
        <f aca="true">IF(OR($D150&lt;&gt;"Serviço",AND(AUTOEVENTO="Manual",$M150=$A$15)),0,
         IF(OFFSET(CRONOPLE!$F$15,$M150-$A$15,CE$13)=0,10^12,OFFSET(CRONOPLE!$F$15,$M150-$A$15,CE$13)))</f>
        <v>13</v>
      </c>
      <c r="CF150" s="353" t="n">
        <f aca="true">IF(OR($D150&lt;&gt;"Serviço",AND(AUTOEVENTO="Manual",$M150=$A$15)),0,
         IF(OFFSET(CRONOPLE!$F$15,$M150-$A$15,CF$13)=0,10^12,OFFSET(CRONOPLE!$F$15,$M150-$A$15,CF$13)))</f>
        <v>14</v>
      </c>
      <c r="CG150" s="353" t="n">
        <f aca="true">IF(OR($D150&lt;&gt;"Serviço",AND(AUTOEVENTO="Manual",$M150=$A$15)),0,
         IF(OFFSET(CRONOPLE!$F$15,$M150-$A$15,CG$13)=0,10^12,OFFSET(CRONOPLE!$F$15,$M150-$A$15,CG$13)))</f>
        <v>15</v>
      </c>
      <c r="CH150" s="353" t="n">
        <f aca="true">IF(OR($D150&lt;&gt;"Serviço",AND(AUTOEVENTO="Manual",$M150=$A$15)),0,
         IF(OFFSET(CRONOPLE!$F$15,$M150-$A$15,CH$13)=0,10^12,OFFSET(CRONOPLE!$F$15,$M150-$A$15,CH$13)))</f>
        <v>16</v>
      </c>
      <c r="CI150" s="353" t="n">
        <f aca="true">IF(OR($D150&lt;&gt;"Serviço",AND(AUTOEVENTO="Manual",$M150=$A$15)),0,
         IF(OFFSET(CRONOPLE!$F$15,$M150-$A$15,CI$13)=0,10^12,OFFSET(CRONOPLE!$F$15,$M150-$A$15,CI$13)))</f>
        <v>17</v>
      </c>
      <c r="CJ150" s="353" t="n">
        <f aca="true">IF(OR($D150&lt;&gt;"Serviço",AND(AUTOEVENTO="Manual",$M150=$A$15)),0,
         IF(OFFSET(CRONOPLE!$F$15,$M150-$A$15,CJ$13)=0,10^12,OFFSET(CRONOPLE!$F$15,$M150-$A$15,CJ$13)))</f>
        <v>18</v>
      </c>
      <c r="CK150" s="353" t="n">
        <f aca="true">IF(OR($D150&lt;&gt;"Serviço",AND(AUTOEVENTO="Manual",$M150=$A$15)),0,
         IF(OFFSET(CRONOPLE!$F$15,$M150-$A$15,CK$13)=0,10^12,OFFSET(CRONOPLE!$F$15,$M150-$A$15,CK$13)))</f>
        <v>19</v>
      </c>
      <c r="CL150" s="353" t="n">
        <f aca="true">IF(OR($D150&lt;&gt;"Serviço",AND(AUTOEVENTO="Manual",$M150=$A$15)),0,
         IF(OFFSET(CRONOPLE!$F$15,$M150-$A$15,CL$13)=0,10^12,OFFSET(CRONOPLE!$F$15,$M150-$A$15,CL$13)))</f>
        <v>20</v>
      </c>
      <c r="CM150" s="353" t="n">
        <f aca="true">IF(OR($D150&lt;&gt;"Serviço",AND(AUTOEVENTO="Manual",$M150=$A$15)),0,
         IF(OFFSET(CRONOPLE!$F$15,$M150-$A$15,CM$13)=0,10^12,OFFSET(CRONOPLE!$F$15,$M150-$A$15,CM$13)))</f>
        <v>21</v>
      </c>
      <c r="CN150" s="353" t="n">
        <f aca="true">IF(OR($D150&lt;&gt;"Serviço",AND(AUTOEVENTO="Manual",$M150=$A$15)),0,
         IF(OFFSET(CRONOPLE!$F$15,$M150-$A$15,CN$13)=0,10^12,OFFSET(CRONOPLE!$F$15,$M150-$A$15,CN$13)))</f>
        <v>22</v>
      </c>
      <c r="CO150" s="353" t="n">
        <f aca="true">IF(OR($D150&lt;&gt;"Serviço",AND(AUTOEVENTO="Manual",$M150=$A$15)),0,
         IF(OFFSET(CRONOPLE!$F$15,$M150-$A$15,CO$13)=0,10^12,OFFSET(CRONOPLE!$F$15,$M150-$A$15,CO$13)))</f>
        <v>23</v>
      </c>
      <c r="CP150" s="353" t="n">
        <f aca="true">IF(OR($D150&lt;&gt;"Serviço",AND(AUTOEVENTO="Manual",$M150=$A$15)),0,
         IF(OFFSET(CRONOPLE!$F$15,$M150-$A$15,CP$13)=0,10^12,OFFSET(CRONOPLE!$F$15,$M150-$A$15,CP$13)))</f>
        <v>24</v>
      </c>
      <c r="CQ150" s="353" t="n">
        <f aca="true">IF(OR($D150&lt;&gt;"Serviço",AND(AUTOEVENTO="Manual",$M150=$A$15)),0,
         IF(OFFSET(CRONOPLE!$F$15,$M150-$A$15,CQ$13)=0,10^12,OFFSET(CRONOPLE!$F$15,$M150-$A$15,CQ$13)))</f>
        <v>25</v>
      </c>
      <c r="CR150" s="353" t="n">
        <f aca="true">IF(OR($D150&lt;&gt;"Serviço",AND(AUTOEVENTO="Manual",$M150=$A$15)),0,
         IF(OFFSET(CRONOPLE!$F$15,$M150-$A$15,CR$13)=0,10^12,OFFSET(CRONOPLE!$F$15,$M150-$A$15,CR$13)))</f>
        <v>1000000000000</v>
      </c>
      <c r="CT150" s="354" t="n">
        <f aca="true">IF(OR($D150&lt;&gt;"Serviço",AND(AUTOEVENTO="Manual",$M150=$A$15),$M150&gt;(ROW(PLE.lastrow)-ROW(PLE.firstrow))),0,
           IF(OFFSET(PLE!$G$15,$M150-$A$15,CT$13)="",10^12,OFFSET(PLE!$G$15,$M150-$A$15,CT$13)))</f>
        <v>1000000000000</v>
      </c>
      <c r="CU150" s="354" t="n">
        <f aca="true">IF(OR($D150&lt;&gt;"Serviço",AND(AUTOEVENTO="Manual",$M150=$A$15),$M150&gt;(ROW(PLE.lastrow)-ROW(PLE.firstrow))),0,
           IF(OFFSET(PLE!$G$15,$M150-$A$15,CU$13)="",10^12,OFFSET(PLE!$G$15,$M150-$A$15,CU$13)))</f>
        <v>1000000000000</v>
      </c>
      <c r="CV150" s="354" t="n">
        <f aca="true">IF(OR($D150&lt;&gt;"Serviço",AND(AUTOEVENTO="Manual",$M150=$A$15),$M150&gt;(ROW(PLE.lastrow)-ROW(PLE.firstrow))),0,
           IF(OFFSET(PLE!$G$15,$M150-$A$15,CV$13)="",10^12,OFFSET(PLE!$G$15,$M150-$A$15,CV$13)))</f>
        <v>1000000000000</v>
      </c>
      <c r="CW150" s="354" t="n">
        <f aca="true">IF(OR($D150&lt;&gt;"Serviço",AND(AUTOEVENTO="Manual",$M150=$A$15),$M150&gt;(ROW(PLE.lastrow)-ROW(PLE.firstrow))),0,
           IF(OFFSET(PLE!$G$15,$M150-$A$15,CW$13)="",10^12,OFFSET(PLE!$G$15,$M150-$A$15,CW$13)))</f>
        <v>1000000000000</v>
      </c>
      <c r="CX150" s="354" t="n">
        <f aca="true">IF(OR($D150&lt;&gt;"Serviço",AND(AUTOEVENTO="Manual",$M150=$A$15),$M150&gt;(ROW(PLE.lastrow)-ROW(PLE.firstrow))),0,
           IF(OFFSET(PLE!$G$15,$M150-$A$15,CX$13)="",10^12,OFFSET(PLE!$G$15,$M150-$A$15,CX$13)))</f>
        <v>1000000000000</v>
      </c>
      <c r="CY150" s="354" t="n">
        <f aca="true">IF(OR($D150&lt;&gt;"Serviço",AND(AUTOEVENTO="Manual",$M150=$A$15),$M150&gt;(ROW(PLE.lastrow)-ROW(PLE.firstrow))),0,
           IF(OFFSET(PLE!$G$15,$M150-$A$15,CY$13)="",10^12,OFFSET(PLE!$G$15,$M150-$A$15,CY$13)))</f>
        <v>1000000000000</v>
      </c>
      <c r="CZ150" s="354" t="n">
        <f aca="true">IF(OR($D150&lt;&gt;"Serviço",AND(AUTOEVENTO="Manual",$M150=$A$15),$M150&gt;(ROW(PLE.lastrow)-ROW(PLE.firstrow))),0,
           IF(OFFSET(PLE!$G$15,$M150-$A$15,CZ$13)="",10^12,OFFSET(PLE!$G$15,$M150-$A$15,CZ$13)))</f>
        <v>1000000000000</v>
      </c>
      <c r="DA150" s="354" t="n">
        <f aca="true">IF(OR($D150&lt;&gt;"Serviço",AND(AUTOEVENTO="Manual",$M150=$A$15),$M150&gt;(ROW(PLE.lastrow)-ROW(PLE.firstrow))),0,
           IF(OFFSET(PLE!$G$15,$M150-$A$15,DA$13)="",10^12,OFFSET(PLE!$G$15,$M150-$A$15,DA$13)))</f>
        <v>1000000000000</v>
      </c>
      <c r="DB150" s="354" t="n">
        <f aca="true">IF(OR($D150&lt;&gt;"Serviço",AND(AUTOEVENTO="Manual",$M150=$A$15),$M150&gt;(ROW(PLE.lastrow)-ROW(PLE.firstrow))),0,
           IF(OFFSET(PLE!$G$15,$M150-$A$15,DB$13)="",10^12,OFFSET(PLE!$G$15,$M150-$A$15,DB$13)))</f>
        <v>1000000000000</v>
      </c>
      <c r="DC150" s="354" t="n">
        <f aca="true">IF(OR($D150&lt;&gt;"Serviço",AND(AUTOEVENTO="Manual",$M150=$A$15),$M150&gt;(ROW(PLE.lastrow)-ROW(PLE.firstrow))),0,
           IF(OFFSET(PLE!$G$15,$M150-$A$15,DC$13)="",10^12,OFFSET(PLE!$G$15,$M150-$A$15,DC$13)))</f>
        <v>1000000000000</v>
      </c>
      <c r="DD150" s="354" t="n">
        <f aca="true">IF(OR($D150&lt;&gt;"Serviço",AND(AUTOEVENTO="Manual",$M150=$A$15),$M150&gt;(ROW(PLE.lastrow)-ROW(PLE.firstrow))),0,
           IF(OFFSET(PLE!$G$15,$M150-$A$15,DD$13)="",10^12,OFFSET(PLE!$G$15,$M150-$A$15,DD$13)))</f>
        <v>1000000000000</v>
      </c>
      <c r="DE150" s="354" t="n">
        <f aca="true">IF(OR($D150&lt;&gt;"Serviço",AND(AUTOEVENTO="Manual",$M150=$A$15),$M150&gt;(ROW(PLE.lastrow)-ROW(PLE.firstrow))),0,
           IF(OFFSET(PLE!$G$15,$M150-$A$15,DE$13)="",10^12,OFFSET(PLE!$G$15,$M150-$A$15,DE$13)))</f>
        <v>1000000000000</v>
      </c>
      <c r="DF150" s="354" t="n">
        <f aca="true">IF(OR($D150&lt;&gt;"Serviço",AND(AUTOEVENTO="Manual",$M150=$A$15),$M150&gt;(ROW(PLE.lastrow)-ROW(PLE.firstrow))),0,
           IF(OFFSET(PLE!$G$15,$M150-$A$15,DF$13)="",10^12,OFFSET(PLE!$G$15,$M150-$A$15,DF$13)))</f>
        <v>1000000000000</v>
      </c>
      <c r="DG150" s="354" t="n">
        <f aca="true">IF(OR($D150&lt;&gt;"Serviço",AND(AUTOEVENTO="Manual",$M150=$A$15),$M150&gt;(ROW(PLE.lastrow)-ROW(PLE.firstrow))),0,
           IF(OFFSET(PLE!$G$15,$M150-$A$15,DG$13)="",10^12,OFFSET(PLE!$G$15,$M150-$A$15,DG$13)))</f>
        <v>1000000000000</v>
      </c>
      <c r="DH150" s="354" t="n">
        <f aca="true">IF(OR($D150&lt;&gt;"Serviço",AND(AUTOEVENTO="Manual",$M150=$A$15),$M150&gt;(ROW(PLE.lastrow)-ROW(PLE.firstrow))),0,
           IF(OFFSET(PLE!$G$15,$M150-$A$15,DH$13)="",10^12,OFFSET(PLE!$G$15,$M150-$A$15,DH$13)))</f>
        <v>1000000000000</v>
      </c>
      <c r="DI150" s="354" t="n">
        <f aca="true">IF(OR($D150&lt;&gt;"Serviço",AND(AUTOEVENTO="Manual",$M150=$A$15),$M150&gt;(ROW(PLE.lastrow)-ROW(PLE.firstrow))),0,
           IF(OFFSET(PLE!$G$15,$M150-$A$15,DI$13)="",10^12,OFFSET(PLE!$G$15,$M150-$A$15,DI$13)))</f>
        <v>1000000000000</v>
      </c>
      <c r="DJ150" s="354" t="n">
        <f aca="true">IF(OR($D150&lt;&gt;"Serviço",AND(AUTOEVENTO="Manual",$M150=$A$15),$M150&gt;(ROW(PLE.lastrow)-ROW(PLE.firstrow))),0,
           IF(OFFSET(PLE!$G$15,$M150-$A$15,DJ$13)="",10^12,OFFSET(PLE!$G$15,$M150-$A$15,DJ$13)))</f>
        <v>1000000000000</v>
      </c>
      <c r="DK150" s="354" t="n">
        <f aca="true">IF(OR($D150&lt;&gt;"Serviço",AND(AUTOEVENTO="Manual",$M150=$A$15),$M150&gt;(ROW(PLE.lastrow)-ROW(PLE.firstrow))),0,
           IF(OFFSET(PLE!$G$15,$M150-$A$15,DK$13)="",10^12,OFFSET(PLE!$G$15,$M150-$A$15,DK$13)))</f>
        <v>1000000000000</v>
      </c>
      <c r="DL150" s="354" t="n">
        <f aca="true">IF(OR($D150&lt;&gt;"Serviço",AND(AUTOEVENTO="Manual",$M150=$A$15),$M150&gt;(ROW(PLE.lastrow)-ROW(PLE.firstrow))),0,
           IF(OFFSET(PLE!$G$15,$M150-$A$15,DL$13)="",10^12,OFFSET(PLE!$G$15,$M150-$A$15,DL$13)))</f>
        <v>1000000000000</v>
      </c>
      <c r="DM150" s="354" t="n">
        <f aca="true">IF(OR($D150&lt;&gt;"Serviço",AND(AUTOEVENTO="Manual",$M150=$A$15),$M150&gt;(ROW(PLE.lastrow)-ROW(PLE.firstrow))),0,
           IF(OFFSET(PLE!$G$15,$M150-$A$15,DM$13)="",10^12,OFFSET(PLE!$G$15,$M150-$A$15,DM$13)))</f>
        <v>1000000000000</v>
      </c>
      <c r="DN150" s="354" t="n">
        <f aca="true">IF(OR($D150&lt;&gt;"Serviço",AND(AUTOEVENTO="Manual",$M150=$A$15),$M150&gt;(ROW(PLE.lastrow)-ROW(PLE.firstrow))),0,
           IF(OFFSET(PLE!$G$15,$M150-$A$15,DN$13)="",10^12,OFFSET(PLE!$G$15,$M150-$A$15,DN$13)))</f>
        <v>1000000000000</v>
      </c>
      <c r="DO150" s="354" t="n">
        <f aca="true">IF(OR($D150&lt;&gt;"Serviço",AND(AUTOEVENTO="Manual",$M150=$A$15),$M150&gt;(ROW(PLE.lastrow)-ROW(PLE.firstrow))),0,
           IF(OFFSET(PLE!$G$15,$M150-$A$15,DO$13)="",10^12,OFFSET(PLE!$G$15,$M150-$A$15,DO$13)))</f>
        <v>1000000000000</v>
      </c>
      <c r="DP150" s="354" t="n">
        <f aca="true">IF(OR($D150&lt;&gt;"Serviço",AND(AUTOEVENTO="Manual",$M150=$A$15),$M150&gt;(ROW(PLE.lastrow)-ROW(PLE.firstrow))),0,
           IF(OFFSET(PLE!$G$15,$M150-$A$15,DP$13)="",10^12,OFFSET(PLE!$G$15,$M150-$A$15,DP$13)))</f>
        <v>1000000000000</v>
      </c>
      <c r="DQ150" s="354" t="n">
        <f aca="true">IF(OR($D150&lt;&gt;"Serviço",AND(AUTOEVENTO="Manual",$M150=$A$15),$M150&gt;(ROW(PLE.lastrow)-ROW(PLE.firstrow))),0,
           IF(OFFSET(PLE!$G$15,$M150-$A$15,DQ$13)="",10^12,OFFSET(PLE!$G$15,$M150-$A$15,DQ$13)))</f>
        <v>1000000000000</v>
      </c>
      <c r="DR150" s="354" t="n">
        <f aca="true">IF(OR($D150&lt;&gt;"Serviço",AND(AUTOEVENTO="Manual",$M150=$A$15),$M150&gt;(ROW(PLE.lastrow)-ROW(PLE.firstrow))),0,
           IF(OFFSET(PLE!$G$15,$M150-$A$15,DR$13)="",10^12,OFFSET(PLE!$G$15,$M150-$A$15,DR$13)))</f>
        <v>1000000000000</v>
      </c>
      <c r="DS150" s="354" t="n">
        <f aca="true">IF(OR($D150&lt;&gt;"Serviço",AND(AUTOEVENTO="Manual",$M150=$A$15),$M150&gt;(ROW(PLE.lastrow)-ROW(PLE.firstrow))),0,
           IF(OFFSET(PLE!$G$15,$M150-$A$15,DS$13)="",10^12,OFFSET(PLE!$G$15,$M150-$A$15,DS$13)))</f>
        <v>1000000000000</v>
      </c>
    </row>
    <row r="151" customFormat="false" ht="23.85" hidden="false" customHeight="false" outlineLevel="0" collapsed="false">
      <c r="A151" s="50" t="str">
        <f aca="true">IFERROR(IF(AUTOEVENTO="Manual",IF(K151&lt;&gt;"",MIN(VALUE(LEFT(K151,FIND(".",K151)-1)),COUNTA(EVENTOS.Lista)),0),IF(OR($B151&gt;AUTOEVENTO,$B151="S",$B151=0),SUBSTITUTE(OFFSET($A151,-1,0),IF($D151="Serviço",".",""),""),ROW(A151)-ROW($A$15)&amp;".")),0)</f>
        <v>133</v>
      </c>
      <c r="B151" s="50" t="str">
        <f aca="true">OFFSET(ORÇAMENTO!C$15,ROW(B151)-ROW(B$15),0)</f>
        <v>S</v>
      </c>
      <c r="C151" s="50" t="str">
        <f aca="true">OFFSET(ORÇAMENTO!L$15,ROW(C151)-ROW(C$15),0)</f>
        <v>F</v>
      </c>
      <c r="D151" s="201" t="str">
        <f aca="true">OFFSET(ORÇAMENTO!N$15,ROW(D151)-ROW(D$15),0)</f>
        <v>Serviço</v>
      </c>
      <c r="E151" s="202" t="str">
        <f aca="true">OFFSET(ORÇAMENTO!O$15,ROW(E151)-ROW(E$15),0)</f>
        <v>1.42.3.</v>
      </c>
      <c r="F151" s="341" t="str">
        <f aca="true">OFFSET(ORÇAMENTO!R$15,ROW(F151)-ROW(F$15),0)</f>
        <v>REGISTRO DE GAVETA BRUTO, LATÃO, ROSCÁVEL, 3/4" - FORNECIMENTO E INSTALAÇÃO. AF_08/2021</v>
      </c>
      <c r="G151" s="342" t="str">
        <f aca="true">IF($D151&lt;&gt;"Serviço","",OFFSET(ORÇAMENTO!S$15,ROW(G151)-ROW(G$15),0))</f>
        <v>UN</v>
      </c>
      <c r="H151" s="207" t="n">
        <f aca="true">IF($D151&lt;&gt;"Serviço",0,IF(ACOMPANHAMENTO="BM",ROUND(OFFSET(ORÇAMENTO!AJ$15,ROW(H151)-ROW(H$15),0),15-13*ORÇAMENTO!$AF$7),SUMPRODUCT(($Q$1:$AQ$1=1)*ROUND($Q151:$AQ151,15-13*ORÇAMENTO!$AF$7))))</f>
        <v>25</v>
      </c>
      <c r="I151" s="343" t="s">
        <v>969</v>
      </c>
      <c r="J151" s="344" t="e">
        <f aca="false">IF(OR(B151&lt;&gt;"S",CÁLCULO.FrentesPreenchidas=0),"",IF(AND(ACOMPANHAMENTO="PLE",AUTOEVENTO="Manual",OR(H151&gt;0,ORÇAMENTO!AC151="QUANT."),OR(K151="",M151=0,N151="")),"►",IF(AND(ACOMPANHAMENTO="PLE",ORÇAMENTO!AC151="QUANT."),"►►",IF(AND(COUNTIF($P$11:$AQ$11,"▼")=0,H151&gt;0,I151=""),"◄",""))))</f>
        <v>#NAME?</v>
      </c>
      <c r="K151" s="345"/>
      <c r="L151" s="346" t="s">
        <v>876</v>
      </c>
      <c r="M151" s="347" t="n">
        <f aca="true">IF($D151&lt;&gt;"Serviço","",
          IF(AUTOEVENTO="manual",$A151,
                IF(ISERROR(MATCH($A151,$A$15:OFFSET($A151,-1,0),0)),MAX($M$15:OFFSET(M151,-1,0))+1,
                      INDEX($M$15:OFFSET(M151,-1,0),MATCH($A151,$A$15:OFFSET($A151,-1,0),0)))))</f>
        <v>26</v>
      </c>
      <c r="N151" s="348" t="str">
        <f aca="true">IF($D151&lt;&gt;"Serviço","",
         IF(AUTOEVENTO="Manual",
                IF($A151=0,"&lt;-- defina o número do agrupador",
                       OFFSET(EVENTOS!$D$15,$A151-$A$15,0)),
                OFFSET($F$15,$A151,0)))</f>
        <v>ENTRADA / ALIMENTAÇÃO</v>
      </c>
      <c r="O151" s="349"/>
      <c r="Q151" s="349" t="n">
        <v>1</v>
      </c>
      <c r="R151" s="350" t="n">
        <f aca="false">Q151</f>
        <v>1</v>
      </c>
      <c r="S151" s="350" t="n">
        <f aca="false">R151</f>
        <v>1</v>
      </c>
      <c r="T151" s="350" t="n">
        <f aca="false">S151</f>
        <v>1</v>
      </c>
      <c r="U151" s="350" t="n">
        <f aca="false">T151</f>
        <v>1</v>
      </c>
      <c r="V151" s="350" t="n">
        <f aca="false">U151</f>
        <v>1</v>
      </c>
      <c r="W151" s="350" t="n">
        <f aca="false">V151</f>
        <v>1</v>
      </c>
      <c r="X151" s="350" t="n">
        <f aca="false">W151</f>
        <v>1</v>
      </c>
      <c r="Y151" s="350" t="n">
        <f aca="false">X151</f>
        <v>1</v>
      </c>
      <c r="Z151" s="351" t="n">
        <f aca="false">Y151</f>
        <v>1</v>
      </c>
      <c r="AA151" s="350" t="n">
        <f aca="false">Z151</f>
        <v>1</v>
      </c>
      <c r="AB151" s="350" t="n">
        <f aca="false">AA151</f>
        <v>1</v>
      </c>
      <c r="AC151" s="350" t="n">
        <f aca="false">AB151</f>
        <v>1</v>
      </c>
      <c r="AD151" s="350" t="n">
        <f aca="false">AC151</f>
        <v>1</v>
      </c>
      <c r="AE151" s="350" t="n">
        <f aca="false">AD151</f>
        <v>1</v>
      </c>
      <c r="AF151" s="350" t="n">
        <f aca="false">AE151</f>
        <v>1</v>
      </c>
      <c r="AG151" s="350" t="n">
        <f aca="false">AF151</f>
        <v>1</v>
      </c>
      <c r="AH151" s="351" t="n">
        <f aca="false">AG151</f>
        <v>1</v>
      </c>
      <c r="AI151" s="350" t="n">
        <f aca="false">AH151</f>
        <v>1</v>
      </c>
      <c r="AJ151" s="350" t="n">
        <f aca="false">AI151</f>
        <v>1</v>
      </c>
      <c r="AK151" s="350" t="n">
        <f aca="false">AJ151</f>
        <v>1</v>
      </c>
      <c r="AL151" s="350" t="n">
        <f aca="false">AK151</f>
        <v>1</v>
      </c>
      <c r="AM151" s="350" t="n">
        <f aca="false">AL151</f>
        <v>1</v>
      </c>
      <c r="AN151" s="350" t="n">
        <f aca="false">AM151</f>
        <v>1</v>
      </c>
      <c r="AO151" s="350" t="n">
        <f aca="false">AN151</f>
        <v>1</v>
      </c>
      <c r="AP151" s="351"/>
      <c r="AR151" s="352" t="n">
        <f aca="true">IF(AND($D151="Serviço",AR$12&lt;&gt;0,$H151&gt;0,OR(AUTOEVENTO&lt;&gt;"manual",$M151&lt;&gt;$A$15)),
        IF(Import.TipoArredondamento&lt;&gt;"TransfereGOV",
              ROUND(OFFSET($P151,0,AR$13),15-13*ORÇAMENTO!$AF$7)/$H151*OFFSET(ORÇAMENTO!$X$15,ROW(AR151)-ROW(AR$15),0),
              ROUND(ROUND(OFFSET($P151,0,AR$13),15-13*ORÇAMENTO!$AF$7)*OFFSET(ORÇAMENTO!$W$15,ROW(AR151)-ROW(AR$15),0),15-13*ORÇAMENTO!$AF$11)),
         0)</f>
        <v>80.08</v>
      </c>
      <c r="AS151" s="352" t="n">
        <f aca="true">IF(AND($D151="Serviço",AS$12&lt;&gt;0,$H151&gt;0,OR(AUTOEVENTO&lt;&gt;"manual",$M151&lt;&gt;$A$15)),
        IF(Import.TipoArredondamento&lt;&gt;"TransfereGOV",
              ROUND(OFFSET($P151,0,AS$13),15-13*ORÇAMENTO!$AF$7)/$H151*OFFSET(ORÇAMENTO!$X$15,ROW(AS151)-ROW(AS$15),0),
              ROUND(ROUND(OFFSET($P151,0,AS$13),15-13*ORÇAMENTO!$AF$7)*OFFSET(ORÇAMENTO!$W$15,ROW(AS151)-ROW(AS$15),0),15-13*ORÇAMENTO!$AF$11)),
         0)</f>
        <v>80.08</v>
      </c>
      <c r="AT151" s="352" t="n">
        <f aca="true">IF(AND($D151="Serviço",AT$12&lt;&gt;0,$H151&gt;0,OR(AUTOEVENTO&lt;&gt;"manual",$M151&lt;&gt;$A$15)),
        IF(Import.TipoArredondamento&lt;&gt;"TransfereGOV",
              ROUND(OFFSET($P151,0,AT$13),15-13*ORÇAMENTO!$AF$7)/$H151*OFFSET(ORÇAMENTO!$X$15,ROW(AT151)-ROW(AT$15),0),
              ROUND(ROUND(OFFSET($P151,0,AT$13),15-13*ORÇAMENTO!$AF$7)*OFFSET(ORÇAMENTO!$W$15,ROW(AT151)-ROW(AT$15),0),15-13*ORÇAMENTO!$AF$11)),
         0)</f>
        <v>80.08</v>
      </c>
      <c r="AU151" s="352" t="n">
        <f aca="true">IF(AND($D151="Serviço",AU$12&lt;&gt;0,$H151&gt;0,OR(AUTOEVENTO&lt;&gt;"manual",$M151&lt;&gt;$A$15)),
        IF(Import.TipoArredondamento&lt;&gt;"TransfereGOV",
              ROUND(OFFSET($P151,0,AU$13),15-13*ORÇAMENTO!$AF$7)/$H151*OFFSET(ORÇAMENTO!$X$15,ROW(AU151)-ROW(AU$15),0),
              ROUND(ROUND(OFFSET($P151,0,AU$13),15-13*ORÇAMENTO!$AF$7)*OFFSET(ORÇAMENTO!$W$15,ROW(AU151)-ROW(AU$15),0),15-13*ORÇAMENTO!$AF$11)),
         0)</f>
        <v>80.08</v>
      </c>
      <c r="AV151" s="352" t="n">
        <f aca="true">IF(AND($D151="Serviço",AV$12&lt;&gt;0,$H151&gt;0,OR(AUTOEVENTO&lt;&gt;"manual",$M151&lt;&gt;$A$15)),
        IF(Import.TipoArredondamento&lt;&gt;"TransfereGOV",
              ROUND(OFFSET($P151,0,AV$13),15-13*ORÇAMENTO!$AF$7)/$H151*OFFSET(ORÇAMENTO!$X$15,ROW(AV151)-ROW(AV$15),0),
              ROUND(ROUND(OFFSET($P151,0,AV$13),15-13*ORÇAMENTO!$AF$7)*OFFSET(ORÇAMENTO!$W$15,ROW(AV151)-ROW(AV$15),0),15-13*ORÇAMENTO!$AF$11)),
         0)</f>
        <v>80.08</v>
      </c>
      <c r="AW151" s="352" t="n">
        <f aca="true">IF(AND($D151="Serviço",AW$12&lt;&gt;0,$H151&gt;0,OR(AUTOEVENTO&lt;&gt;"manual",$M151&lt;&gt;$A$15)),
        IF(Import.TipoArredondamento&lt;&gt;"TransfereGOV",
              ROUND(OFFSET($P151,0,AW$13),15-13*ORÇAMENTO!$AF$7)/$H151*OFFSET(ORÇAMENTO!$X$15,ROW(AW151)-ROW(AW$15),0),
              ROUND(ROUND(OFFSET($P151,0,AW$13),15-13*ORÇAMENTO!$AF$7)*OFFSET(ORÇAMENTO!$W$15,ROW(AW151)-ROW(AW$15),0),15-13*ORÇAMENTO!$AF$11)),
         0)</f>
        <v>80.08</v>
      </c>
      <c r="AX151" s="352" t="n">
        <f aca="true">IF(AND($D151="Serviço",AX$12&lt;&gt;0,$H151&gt;0,OR(AUTOEVENTO&lt;&gt;"manual",$M151&lt;&gt;$A$15)),
        IF(Import.TipoArredondamento&lt;&gt;"TransfereGOV",
              ROUND(OFFSET($P151,0,AX$13),15-13*ORÇAMENTO!$AF$7)/$H151*OFFSET(ORÇAMENTO!$X$15,ROW(AX151)-ROW(AX$15),0),
              ROUND(ROUND(OFFSET($P151,0,AX$13),15-13*ORÇAMENTO!$AF$7)*OFFSET(ORÇAMENTO!$W$15,ROW(AX151)-ROW(AX$15),0),15-13*ORÇAMENTO!$AF$11)),
         0)</f>
        <v>80.08</v>
      </c>
      <c r="AY151" s="352" t="n">
        <f aca="true">IF(AND($D151="Serviço",AY$12&lt;&gt;0,$H151&gt;0,OR(AUTOEVENTO&lt;&gt;"manual",$M151&lt;&gt;$A$15)),
        IF(Import.TipoArredondamento&lt;&gt;"TransfereGOV",
              ROUND(OFFSET($P151,0,AY$13),15-13*ORÇAMENTO!$AF$7)/$H151*OFFSET(ORÇAMENTO!$X$15,ROW(AY151)-ROW(AY$15),0),
              ROUND(ROUND(OFFSET($P151,0,AY$13),15-13*ORÇAMENTO!$AF$7)*OFFSET(ORÇAMENTO!$W$15,ROW(AY151)-ROW(AY$15),0),15-13*ORÇAMENTO!$AF$11)),
         0)</f>
        <v>80.08</v>
      </c>
      <c r="AZ151" s="352" t="n">
        <f aca="true">IF(AND($D151="Serviço",AZ$12&lt;&gt;0,$H151&gt;0,OR(AUTOEVENTO&lt;&gt;"manual",$M151&lt;&gt;$A$15)),
        IF(Import.TipoArredondamento&lt;&gt;"TransfereGOV",
              ROUND(OFFSET($P151,0,AZ$13),15-13*ORÇAMENTO!$AF$7)/$H151*OFFSET(ORÇAMENTO!$X$15,ROW(AZ151)-ROW(AZ$15),0),
              ROUND(ROUND(OFFSET($P151,0,AZ$13),15-13*ORÇAMENTO!$AF$7)*OFFSET(ORÇAMENTO!$W$15,ROW(AZ151)-ROW(AZ$15),0),15-13*ORÇAMENTO!$AF$11)),
         0)</f>
        <v>80.08</v>
      </c>
      <c r="BA151" s="352" t="n">
        <f aca="true">IF(AND($D151="Serviço",BA$12&lt;&gt;0,$H151&gt;0,OR(AUTOEVENTO&lt;&gt;"manual",$M151&lt;&gt;$A$15)),
        IF(Import.TipoArredondamento&lt;&gt;"TransfereGOV",
              ROUND(OFFSET($P151,0,BA$13),15-13*ORÇAMENTO!$AF$7)/$H151*OFFSET(ORÇAMENTO!$X$15,ROW(BA151)-ROW(BA$15),0),
              ROUND(ROUND(OFFSET($P151,0,BA$13),15-13*ORÇAMENTO!$AF$7)*OFFSET(ORÇAMENTO!$W$15,ROW(BA151)-ROW(BA$15),0),15-13*ORÇAMENTO!$AF$11)),
         0)</f>
        <v>80.08</v>
      </c>
      <c r="BB151" s="352" t="n">
        <f aca="true">IF(AND($D151="Serviço",BB$12&lt;&gt;0,$H151&gt;0,OR(AUTOEVENTO&lt;&gt;"manual",$M151&lt;&gt;$A$15)),
        IF(Import.TipoArredondamento&lt;&gt;"TransfereGOV",
              ROUND(OFFSET($P151,0,BB$13),15-13*ORÇAMENTO!$AF$7)/$H151*OFFSET(ORÇAMENTO!$X$15,ROW(BB151)-ROW(BB$15),0),
              ROUND(ROUND(OFFSET($P151,0,BB$13),15-13*ORÇAMENTO!$AF$7)*OFFSET(ORÇAMENTO!$W$15,ROW(BB151)-ROW(BB$15),0),15-13*ORÇAMENTO!$AF$11)),
         0)</f>
        <v>80.08</v>
      </c>
      <c r="BC151" s="352" t="n">
        <f aca="true">IF(AND($D151="Serviço",BC$12&lt;&gt;0,$H151&gt;0,OR(AUTOEVENTO&lt;&gt;"manual",$M151&lt;&gt;$A$15)),
        IF(Import.TipoArredondamento&lt;&gt;"TransfereGOV",
              ROUND(OFFSET($P151,0,BC$13),15-13*ORÇAMENTO!$AF$7)/$H151*OFFSET(ORÇAMENTO!$X$15,ROW(BC151)-ROW(BC$15),0),
              ROUND(ROUND(OFFSET($P151,0,BC$13),15-13*ORÇAMENTO!$AF$7)*OFFSET(ORÇAMENTO!$W$15,ROW(BC151)-ROW(BC$15),0),15-13*ORÇAMENTO!$AF$11)),
         0)</f>
        <v>80.08</v>
      </c>
      <c r="BD151" s="352" t="n">
        <f aca="true">IF(AND($D151="Serviço",BD$12&lt;&gt;0,$H151&gt;0,OR(AUTOEVENTO&lt;&gt;"manual",$M151&lt;&gt;$A$15)),
        IF(Import.TipoArredondamento&lt;&gt;"TransfereGOV",
              ROUND(OFFSET($P151,0,BD$13),15-13*ORÇAMENTO!$AF$7)/$H151*OFFSET(ORÇAMENTO!$X$15,ROW(BD151)-ROW(BD$15),0),
              ROUND(ROUND(OFFSET($P151,0,BD$13),15-13*ORÇAMENTO!$AF$7)*OFFSET(ORÇAMENTO!$W$15,ROW(BD151)-ROW(BD$15),0),15-13*ORÇAMENTO!$AF$11)),
         0)</f>
        <v>80.08</v>
      </c>
      <c r="BE151" s="352" t="n">
        <f aca="true">IF(AND($D151="Serviço",BE$12&lt;&gt;0,$H151&gt;0,OR(AUTOEVENTO&lt;&gt;"manual",$M151&lt;&gt;$A$15)),
        IF(Import.TipoArredondamento&lt;&gt;"TransfereGOV",
              ROUND(OFFSET($P151,0,BE$13),15-13*ORÇAMENTO!$AF$7)/$H151*OFFSET(ORÇAMENTO!$X$15,ROW(BE151)-ROW(BE$15),0),
              ROUND(ROUND(OFFSET($P151,0,BE$13),15-13*ORÇAMENTO!$AF$7)*OFFSET(ORÇAMENTO!$W$15,ROW(BE151)-ROW(BE$15),0),15-13*ORÇAMENTO!$AF$11)),
         0)</f>
        <v>80.08</v>
      </c>
      <c r="BF151" s="352" t="n">
        <f aca="true">IF(AND($D151="Serviço",BF$12&lt;&gt;0,$H151&gt;0,OR(AUTOEVENTO&lt;&gt;"manual",$M151&lt;&gt;$A$15)),
        IF(Import.TipoArredondamento&lt;&gt;"TransfereGOV",
              ROUND(OFFSET($P151,0,BF$13),15-13*ORÇAMENTO!$AF$7)/$H151*OFFSET(ORÇAMENTO!$X$15,ROW(BF151)-ROW(BF$15),0),
              ROUND(ROUND(OFFSET($P151,0,BF$13),15-13*ORÇAMENTO!$AF$7)*OFFSET(ORÇAMENTO!$W$15,ROW(BF151)-ROW(BF$15),0),15-13*ORÇAMENTO!$AF$11)),
         0)</f>
        <v>80.08</v>
      </c>
      <c r="BG151" s="352" t="n">
        <f aca="true">IF(AND($D151="Serviço",BG$12&lt;&gt;0,$H151&gt;0,OR(AUTOEVENTO&lt;&gt;"manual",$M151&lt;&gt;$A$15)),
        IF(Import.TipoArredondamento&lt;&gt;"TransfereGOV",
              ROUND(OFFSET($P151,0,BG$13),15-13*ORÇAMENTO!$AF$7)/$H151*OFFSET(ORÇAMENTO!$X$15,ROW(BG151)-ROW(BG$15),0),
              ROUND(ROUND(OFFSET($P151,0,BG$13),15-13*ORÇAMENTO!$AF$7)*OFFSET(ORÇAMENTO!$W$15,ROW(BG151)-ROW(BG$15),0),15-13*ORÇAMENTO!$AF$11)),
         0)</f>
        <v>80.08</v>
      </c>
      <c r="BH151" s="352" t="n">
        <f aca="true">IF(AND($D151="Serviço",BH$12&lt;&gt;0,$H151&gt;0,OR(AUTOEVENTO&lt;&gt;"manual",$M151&lt;&gt;$A$15)),
        IF(Import.TipoArredondamento&lt;&gt;"TransfereGOV",
              ROUND(OFFSET($P151,0,BH$13),15-13*ORÇAMENTO!$AF$7)/$H151*OFFSET(ORÇAMENTO!$X$15,ROW(BH151)-ROW(BH$15),0),
              ROUND(ROUND(OFFSET($P151,0,BH$13),15-13*ORÇAMENTO!$AF$7)*OFFSET(ORÇAMENTO!$W$15,ROW(BH151)-ROW(BH$15),0),15-13*ORÇAMENTO!$AF$11)),
         0)</f>
        <v>80.08</v>
      </c>
      <c r="BI151" s="352" t="n">
        <f aca="true">IF(AND($D151="Serviço",BI$12&lt;&gt;0,$H151&gt;0,OR(AUTOEVENTO&lt;&gt;"manual",$M151&lt;&gt;$A$15)),
        IF(Import.TipoArredondamento&lt;&gt;"TransfereGOV",
              ROUND(OFFSET($P151,0,BI$13),15-13*ORÇAMENTO!$AF$7)/$H151*OFFSET(ORÇAMENTO!$X$15,ROW(BI151)-ROW(BI$15),0),
              ROUND(ROUND(OFFSET($P151,0,BI$13),15-13*ORÇAMENTO!$AF$7)*OFFSET(ORÇAMENTO!$W$15,ROW(BI151)-ROW(BI$15),0),15-13*ORÇAMENTO!$AF$11)),
         0)</f>
        <v>80.08</v>
      </c>
      <c r="BJ151" s="352" t="n">
        <f aca="true">IF(AND($D151="Serviço",BJ$12&lt;&gt;0,$H151&gt;0,OR(AUTOEVENTO&lt;&gt;"manual",$M151&lt;&gt;$A$15)),
        IF(Import.TipoArredondamento&lt;&gt;"TransfereGOV",
              ROUND(OFFSET($P151,0,BJ$13),15-13*ORÇAMENTO!$AF$7)/$H151*OFFSET(ORÇAMENTO!$X$15,ROW(BJ151)-ROW(BJ$15),0),
              ROUND(ROUND(OFFSET($P151,0,BJ$13),15-13*ORÇAMENTO!$AF$7)*OFFSET(ORÇAMENTO!$W$15,ROW(BJ151)-ROW(BJ$15),0),15-13*ORÇAMENTO!$AF$11)),
         0)</f>
        <v>80.08</v>
      </c>
      <c r="BK151" s="352" t="n">
        <f aca="true">IF(AND($D151="Serviço",BK$12&lt;&gt;0,$H151&gt;0,OR(AUTOEVENTO&lt;&gt;"manual",$M151&lt;&gt;$A$15)),
        IF(Import.TipoArredondamento&lt;&gt;"TransfereGOV",
              ROUND(OFFSET($P151,0,BK$13),15-13*ORÇAMENTO!$AF$7)/$H151*OFFSET(ORÇAMENTO!$X$15,ROW(BK151)-ROW(BK$15),0),
              ROUND(ROUND(OFFSET($P151,0,BK$13),15-13*ORÇAMENTO!$AF$7)*OFFSET(ORÇAMENTO!$W$15,ROW(BK151)-ROW(BK$15),0),15-13*ORÇAMENTO!$AF$11)),
         0)</f>
        <v>80.08</v>
      </c>
      <c r="BL151" s="352" t="n">
        <f aca="true">IF(AND($D151="Serviço",BL$12&lt;&gt;0,$H151&gt;0,OR(AUTOEVENTO&lt;&gt;"manual",$M151&lt;&gt;$A$15)),
        IF(Import.TipoArredondamento&lt;&gt;"TransfereGOV",
              ROUND(OFFSET($P151,0,BL$13),15-13*ORÇAMENTO!$AF$7)/$H151*OFFSET(ORÇAMENTO!$X$15,ROW(BL151)-ROW(BL$15),0),
              ROUND(ROUND(OFFSET($P151,0,BL$13),15-13*ORÇAMENTO!$AF$7)*OFFSET(ORÇAMENTO!$W$15,ROW(BL151)-ROW(BL$15),0),15-13*ORÇAMENTO!$AF$11)),
         0)</f>
        <v>80.08</v>
      </c>
      <c r="BM151" s="352" t="n">
        <f aca="true">IF(AND($D151="Serviço",BM$12&lt;&gt;0,$H151&gt;0,OR(AUTOEVENTO&lt;&gt;"manual",$M151&lt;&gt;$A$15)),
        IF(Import.TipoArredondamento&lt;&gt;"TransfereGOV",
              ROUND(OFFSET($P151,0,BM$13),15-13*ORÇAMENTO!$AF$7)/$H151*OFFSET(ORÇAMENTO!$X$15,ROW(BM151)-ROW(BM$15),0),
              ROUND(ROUND(OFFSET($P151,0,BM$13),15-13*ORÇAMENTO!$AF$7)*OFFSET(ORÇAMENTO!$W$15,ROW(BM151)-ROW(BM$15),0),15-13*ORÇAMENTO!$AF$11)),
         0)</f>
        <v>80.08</v>
      </c>
      <c r="BN151" s="352" t="n">
        <f aca="true">IF(AND($D151="Serviço",BN$12&lt;&gt;0,$H151&gt;0,OR(AUTOEVENTO&lt;&gt;"manual",$M151&lt;&gt;$A$15)),
        IF(Import.TipoArredondamento&lt;&gt;"TransfereGOV",
              ROUND(OFFSET($P151,0,BN$13),15-13*ORÇAMENTO!$AF$7)/$H151*OFFSET(ORÇAMENTO!$X$15,ROW(BN151)-ROW(BN$15),0),
              ROUND(ROUND(OFFSET($P151,0,BN$13),15-13*ORÇAMENTO!$AF$7)*OFFSET(ORÇAMENTO!$W$15,ROW(BN151)-ROW(BN$15),0),15-13*ORÇAMENTO!$AF$11)),
         0)</f>
        <v>80.08</v>
      </c>
      <c r="BO151" s="352" t="n">
        <f aca="true">IF(AND($D151="Serviço",BO$12&lt;&gt;0,$H151&gt;0,OR(AUTOEVENTO&lt;&gt;"manual",$M151&lt;&gt;$A$15)),
        IF(Import.TipoArredondamento&lt;&gt;"TransfereGOV",
              ROUND(OFFSET($P151,0,BO$13),15-13*ORÇAMENTO!$AF$7)/$H151*OFFSET(ORÇAMENTO!$X$15,ROW(BO151)-ROW(BO$15),0),
              ROUND(ROUND(OFFSET($P151,0,BO$13),15-13*ORÇAMENTO!$AF$7)*OFFSET(ORÇAMENTO!$W$15,ROW(BO151)-ROW(BO$15),0),15-13*ORÇAMENTO!$AF$11)),
         0)</f>
        <v>80.08</v>
      </c>
      <c r="BP151" s="352" t="n">
        <f aca="true">IF(AND($D151="Serviço",BP$12&lt;&gt;0,$H151&gt;0,OR(AUTOEVENTO&lt;&gt;"manual",$M151&lt;&gt;$A$15)),
        IF(Import.TipoArredondamento&lt;&gt;"TransfereGOV",
              ROUND(OFFSET($P151,0,BP$13),15-13*ORÇAMENTO!$AF$7)/$H151*OFFSET(ORÇAMENTO!$X$15,ROW(BP151)-ROW(BP$15),0),
              ROUND(ROUND(OFFSET($P151,0,BP$13),15-13*ORÇAMENTO!$AF$7)*OFFSET(ORÇAMENTO!$W$15,ROW(BP151)-ROW(BP$15),0),15-13*ORÇAMENTO!$AF$11)),
         0)</f>
        <v>80.08</v>
      </c>
      <c r="BQ151" s="352" t="n">
        <f aca="true">IF(AND($D151="Serviço",BQ$12&lt;&gt;0,$H151&gt;0,OR(AUTOEVENTO&lt;&gt;"manual",$M151&lt;&gt;$A$15)),
        IF(Import.TipoArredondamento&lt;&gt;"TransfereGOV",
              ROUND(OFFSET($P151,0,BQ$13),15-13*ORÇAMENTO!$AF$7)/$H151*OFFSET(ORÇAMENTO!$X$15,ROW(BQ151)-ROW(BQ$15),0),
              ROUND(ROUND(OFFSET($P151,0,BQ$13),15-13*ORÇAMENTO!$AF$7)*OFFSET(ORÇAMENTO!$W$15,ROW(BQ151)-ROW(BQ$15),0),15-13*ORÇAMENTO!$AF$11)),
         0)</f>
        <v>0</v>
      </c>
      <c r="BS151" s="353" t="n">
        <f aca="true">IF(OR($D151&lt;&gt;"Serviço",AND(AUTOEVENTO="Manual",$M151=$A$15)),0,
         IF(OFFSET(CRONOPLE!$F$15,$M151-$A$15,BS$13)=0,10^12,OFFSET(CRONOPLE!$F$15,$M151-$A$15,BS$13)))</f>
        <v>1</v>
      </c>
      <c r="BT151" s="353" t="n">
        <f aca="true">IF(OR($D151&lt;&gt;"Serviço",AND(AUTOEVENTO="Manual",$M151=$A$15)),0,
         IF(OFFSET(CRONOPLE!$F$15,$M151-$A$15,BT$13)=0,10^12,OFFSET(CRONOPLE!$F$15,$M151-$A$15,BT$13)))</f>
        <v>2</v>
      </c>
      <c r="BU151" s="353" t="n">
        <f aca="true">IF(OR($D151&lt;&gt;"Serviço",AND(AUTOEVENTO="Manual",$M151=$A$15)),0,
         IF(OFFSET(CRONOPLE!$F$15,$M151-$A$15,BU$13)=0,10^12,OFFSET(CRONOPLE!$F$15,$M151-$A$15,BU$13)))</f>
        <v>3</v>
      </c>
      <c r="BV151" s="353" t="n">
        <f aca="true">IF(OR($D151&lt;&gt;"Serviço",AND(AUTOEVENTO="Manual",$M151=$A$15)),0,
         IF(OFFSET(CRONOPLE!$F$15,$M151-$A$15,BV$13)=0,10^12,OFFSET(CRONOPLE!$F$15,$M151-$A$15,BV$13)))</f>
        <v>4</v>
      </c>
      <c r="BW151" s="353" t="n">
        <f aca="true">IF(OR($D151&lt;&gt;"Serviço",AND(AUTOEVENTO="Manual",$M151=$A$15)),0,
         IF(OFFSET(CRONOPLE!$F$15,$M151-$A$15,BW$13)=0,10^12,OFFSET(CRONOPLE!$F$15,$M151-$A$15,BW$13)))</f>
        <v>5</v>
      </c>
      <c r="BX151" s="353" t="n">
        <f aca="true">IF(OR($D151&lt;&gt;"Serviço",AND(AUTOEVENTO="Manual",$M151=$A$15)),0,
         IF(OFFSET(CRONOPLE!$F$15,$M151-$A$15,BX$13)=0,10^12,OFFSET(CRONOPLE!$F$15,$M151-$A$15,BX$13)))</f>
        <v>6</v>
      </c>
      <c r="BY151" s="353" t="n">
        <f aca="true">IF(OR($D151&lt;&gt;"Serviço",AND(AUTOEVENTO="Manual",$M151=$A$15)),0,
         IF(OFFSET(CRONOPLE!$F$15,$M151-$A$15,BY$13)=0,10^12,OFFSET(CRONOPLE!$F$15,$M151-$A$15,BY$13)))</f>
        <v>7</v>
      </c>
      <c r="BZ151" s="353" t="n">
        <f aca="true">IF(OR($D151&lt;&gt;"Serviço",AND(AUTOEVENTO="Manual",$M151=$A$15)),0,
         IF(OFFSET(CRONOPLE!$F$15,$M151-$A$15,BZ$13)=0,10^12,OFFSET(CRONOPLE!$F$15,$M151-$A$15,BZ$13)))</f>
        <v>8</v>
      </c>
      <c r="CA151" s="353" t="n">
        <f aca="true">IF(OR($D151&lt;&gt;"Serviço",AND(AUTOEVENTO="Manual",$M151=$A$15)),0,
         IF(OFFSET(CRONOPLE!$F$15,$M151-$A$15,CA$13)=0,10^12,OFFSET(CRONOPLE!$F$15,$M151-$A$15,CA$13)))</f>
        <v>9</v>
      </c>
      <c r="CB151" s="353" t="n">
        <f aca="true">IF(OR($D151&lt;&gt;"Serviço",AND(AUTOEVENTO="Manual",$M151=$A$15)),0,
         IF(OFFSET(CRONOPLE!$F$15,$M151-$A$15,CB$13)=0,10^12,OFFSET(CRONOPLE!$F$15,$M151-$A$15,CB$13)))</f>
        <v>10</v>
      </c>
      <c r="CC151" s="353" t="n">
        <f aca="true">IF(OR($D151&lt;&gt;"Serviço",AND(AUTOEVENTO="Manual",$M151=$A$15)),0,
         IF(OFFSET(CRONOPLE!$F$15,$M151-$A$15,CC$13)=0,10^12,OFFSET(CRONOPLE!$F$15,$M151-$A$15,CC$13)))</f>
        <v>11</v>
      </c>
      <c r="CD151" s="353" t="n">
        <f aca="true">IF(OR($D151&lt;&gt;"Serviço",AND(AUTOEVENTO="Manual",$M151=$A$15)),0,
         IF(OFFSET(CRONOPLE!$F$15,$M151-$A$15,CD$13)=0,10^12,OFFSET(CRONOPLE!$F$15,$M151-$A$15,CD$13)))</f>
        <v>12</v>
      </c>
      <c r="CE151" s="353" t="n">
        <f aca="true">IF(OR($D151&lt;&gt;"Serviço",AND(AUTOEVENTO="Manual",$M151=$A$15)),0,
         IF(OFFSET(CRONOPLE!$F$15,$M151-$A$15,CE$13)=0,10^12,OFFSET(CRONOPLE!$F$15,$M151-$A$15,CE$13)))</f>
        <v>13</v>
      </c>
      <c r="CF151" s="353" t="n">
        <f aca="true">IF(OR($D151&lt;&gt;"Serviço",AND(AUTOEVENTO="Manual",$M151=$A$15)),0,
         IF(OFFSET(CRONOPLE!$F$15,$M151-$A$15,CF$13)=0,10^12,OFFSET(CRONOPLE!$F$15,$M151-$A$15,CF$13)))</f>
        <v>14</v>
      </c>
      <c r="CG151" s="353" t="n">
        <f aca="true">IF(OR($D151&lt;&gt;"Serviço",AND(AUTOEVENTO="Manual",$M151=$A$15)),0,
         IF(OFFSET(CRONOPLE!$F$15,$M151-$A$15,CG$13)=0,10^12,OFFSET(CRONOPLE!$F$15,$M151-$A$15,CG$13)))</f>
        <v>15</v>
      </c>
      <c r="CH151" s="353" t="n">
        <f aca="true">IF(OR($D151&lt;&gt;"Serviço",AND(AUTOEVENTO="Manual",$M151=$A$15)),0,
         IF(OFFSET(CRONOPLE!$F$15,$M151-$A$15,CH$13)=0,10^12,OFFSET(CRONOPLE!$F$15,$M151-$A$15,CH$13)))</f>
        <v>16</v>
      </c>
      <c r="CI151" s="353" t="n">
        <f aca="true">IF(OR($D151&lt;&gt;"Serviço",AND(AUTOEVENTO="Manual",$M151=$A$15)),0,
         IF(OFFSET(CRONOPLE!$F$15,$M151-$A$15,CI$13)=0,10^12,OFFSET(CRONOPLE!$F$15,$M151-$A$15,CI$13)))</f>
        <v>17</v>
      </c>
      <c r="CJ151" s="353" t="n">
        <f aca="true">IF(OR($D151&lt;&gt;"Serviço",AND(AUTOEVENTO="Manual",$M151=$A$15)),0,
         IF(OFFSET(CRONOPLE!$F$15,$M151-$A$15,CJ$13)=0,10^12,OFFSET(CRONOPLE!$F$15,$M151-$A$15,CJ$13)))</f>
        <v>18</v>
      </c>
      <c r="CK151" s="353" t="n">
        <f aca="true">IF(OR($D151&lt;&gt;"Serviço",AND(AUTOEVENTO="Manual",$M151=$A$15)),0,
         IF(OFFSET(CRONOPLE!$F$15,$M151-$A$15,CK$13)=0,10^12,OFFSET(CRONOPLE!$F$15,$M151-$A$15,CK$13)))</f>
        <v>19</v>
      </c>
      <c r="CL151" s="353" t="n">
        <f aca="true">IF(OR($D151&lt;&gt;"Serviço",AND(AUTOEVENTO="Manual",$M151=$A$15)),0,
         IF(OFFSET(CRONOPLE!$F$15,$M151-$A$15,CL$13)=0,10^12,OFFSET(CRONOPLE!$F$15,$M151-$A$15,CL$13)))</f>
        <v>20</v>
      </c>
      <c r="CM151" s="353" t="n">
        <f aca="true">IF(OR($D151&lt;&gt;"Serviço",AND(AUTOEVENTO="Manual",$M151=$A$15)),0,
         IF(OFFSET(CRONOPLE!$F$15,$M151-$A$15,CM$13)=0,10^12,OFFSET(CRONOPLE!$F$15,$M151-$A$15,CM$13)))</f>
        <v>21</v>
      </c>
      <c r="CN151" s="353" t="n">
        <f aca="true">IF(OR($D151&lt;&gt;"Serviço",AND(AUTOEVENTO="Manual",$M151=$A$15)),0,
         IF(OFFSET(CRONOPLE!$F$15,$M151-$A$15,CN$13)=0,10^12,OFFSET(CRONOPLE!$F$15,$M151-$A$15,CN$13)))</f>
        <v>22</v>
      </c>
      <c r="CO151" s="353" t="n">
        <f aca="true">IF(OR($D151&lt;&gt;"Serviço",AND(AUTOEVENTO="Manual",$M151=$A$15)),0,
         IF(OFFSET(CRONOPLE!$F$15,$M151-$A$15,CO$13)=0,10^12,OFFSET(CRONOPLE!$F$15,$M151-$A$15,CO$13)))</f>
        <v>23</v>
      </c>
      <c r="CP151" s="353" t="n">
        <f aca="true">IF(OR($D151&lt;&gt;"Serviço",AND(AUTOEVENTO="Manual",$M151=$A$15)),0,
         IF(OFFSET(CRONOPLE!$F$15,$M151-$A$15,CP$13)=0,10^12,OFFSET(CRONOPLE!$F$15,$M151-$A$15,CP$13)))</f>
        <v>24</v>
      </c>
      <c r="CQ151" s="353" t="n">
        <f aca="true">IF(OR($D151&lt;&gt;"Serviço",AND(AUTOEVENTO="Manual",$M151=$A$15)),0,
         IF(OFFSET(CRONOPLE!$F$15,$M151-$A$15,CQ$13)=0,10^12,OFFSET(CRONOPLE!$F$15,$M151-$A$15,CQ$13)))</f>
        <v>25</v>
      </c>
      <c r="CR151" s="353" t="n">
        <f aca="true">IF(OR($D151&lt;&gt;"Serviço",AND(AUTOEVENTO="Manual",$M151=$A$15)),0,
         IF(OFFSET(CRONOPLE!$F$15,$M151-$A$15,CR$13)=0,10^12,OFFSET(CRONOPLE!$F$15,$M151-$A$15,CR$13)))</f>
        <v>1000000000000</v>
      </c>
      <c r="CT151" s="354" t="n">
        <f aca="true">IF(OR($D151&lt;&gt;"Serviço",AND(AUTOEVENTO="Manual",$M151=$A$15),$M151&gt;(ROW(PLE.lastrow)-ROW(PLE.firstrow))),0,
           IF(OFFSET(PLE!$G$15,$M151-$A$15,CT$13)="",10^12,OFFSET(PLE!$G$15,$M151-$A$15,CT$13)))</f>
        <v>1000000000000</v>
      </c>
      <c r="CU151" s="354" t="n">
        <f aca="true">IF(OR($D151&lt;&gt;"Serviço",AND(AUTOEVENTO="Manual",$M151=$A$15),$M151&gt;(ROW(PLE.lastrow)-ROW(PLE.firstrow))),0,
           IF(OFFSET(PLE!$G$15,$M151-$A$15,CU$13)="",10^12,OFFSET(PLE!$G$15,$M151-$A$15,CU$13)))</f>
        <v>1000000000000</v>
      </c>
      <c r="CV151" s="354" t="n">
        <f aca="true">IF(OR($D151&lt;&gt;"Serviço",AND(AUTOEVENTO="Manual",$M151=$A$15),$M151&gt;(ROW(PLE.lastrow)-ROW(PLE.firstrow))),0,
           IF(OFFSET(PLE!$G$15,$M151-$A$15,CV$13)="",10^12,OFFSET(PLE!$G$15,$M151-$A$15,CV$13)))</f>
        <v>1000000000000</v>
      </c>
      <c r="CW151" s="354" t="n">
        <f aca="true">IF(OR($D151&lt;&gt;"Serviço",AND(AUTOEVENTO="Manual",$M151=$A$15),$M151&gt;(ROW(PLE.lastrow)-ROW(PLE.firstrow))),0,
           IF(OFFSET(PLE!$G$15,$M151-$A$15,CW$13)="",10^12,OFFSET(PLE!$G$15,$M151-$A$15,CW$13)))</f>
        <v>1000000000000</v>
      </c>
      <c r="CX151" s="354" t="n">
        <f aca="true">IF(OR($D151&lt;&gt;"Serviço",AND(AUTOEVENTO="Manual",$M151=$A$15),$M151&gt;(ROW(PLE.lastrow)-ROW(PLE.firstrow))),0,
           IF(OFFSET(PLE!$G$15,$M151-$A$15,CX$13)="",10^12,OFFSET(PLE!$G$15,$M151-$A$15,CX$13)))</f>
        <v>1000000000000</v>
      </c>
      <c r="CY151" s="354" t="n">
        <f aca="true">IF(OR($D151&lt;&gt;"Serviço",AND(AUTOEVENTO="Manual",$M151=$A$15),$M151&gt;(ROW(PLE.lastrow)-ROW(PLE.firstrow))),0,
           IF(OFFSET(PLE!$G$15,$M151-$A$15,CY$13)="",10^12,OFFSET(PLE!$G$15,$M151-$A$15,CY$13)))</f>
        <v>1000000000000</v>
      </c>
      <c r="CZ151" s="354" t="n">
        <f aca="true">IF(OR($D151&lt;&gt;"Serviço",AND(AUTOEVENTO="Manual",$M151=$A$15),$M151&gt;(ROW(PLE.lastrow)-ROW(PLE.firstrow))),0,
           IF(OFFSET(PLE!$G$15,$M151-$A$15,CZ$13)="",10^12,OFFSET(PLE!$G$15,$M151-$A$15,CZ$13)))</f>
        <v>1000000000000</v>
      </c>
      <c r="DA151" s="354" t="n">
        <f aca="true">IF(OR($D151&lt;&gt;"Serviço",AND(AUTOEVENTO="Manual",$M151=$A$15),$M151&gt;(ROW(PLE.lastrow)-ROW(PLE.firstrow))),0,
           IF(OFFSET(PLE!$G$15,$M151-$A$15,DA$13)="",10^12,OFFSET(PLE!$G$15,$M151-$A$15,DA$13)))</f>
        <v>1000000000000</v>
      </c>
      <c r="DB151" s="354" t="n">
        <f aca="true">IF(OR($D151&lt;&gt;"Serviço",AND(AUTOEVENTO="Manual",$M151=$A$15),$M151&gt;(ROW(PLE.lastrow)-ROW(PLE.firstrow))),0,
           IF(OFFSET(PLE!$G$15,$M151-$A$15,DB$13)="",10^12,OFFSET(PLE!$G$15,$M151-$A$15,DB$13)))</f>
        <v>1000000000000</v>
      </c>
      <c r="DC151" s="354" t="n">
        <f aca="true">IF(OR($D151&lt;&gt;"Serviço",AND(AUTOEVENTO="Manual",$M151=$A$15),$M151&gt;(ROW(PLE.lastrow)-ROW(PLE.firstrow))),0,
           IF(OFFSET(PLE!$G$15,$M151-$A$15,DC$13)="",10^12,OFFSET(PLE!$G$15,$M151-$A$15,DC$13)))</f>
        <v>1000000000000</v>
      </c>
      <c r="DD151" s="354" t="n">
        <f aca="true">IF(OR($D151&lt;&gt;"Serviço",AND(AUTOEVENTO="Manual",$M151=$A$15),$M151&gt;(ROW(PLE.lastrow)-ROW(PLE.firstrow))),0,
           IF(OFFSET(PLE!$G$15,$M151-$A$15,DD$13)="",10^12,OFFSET(PLE!$G$15,$M151-$A$15,DD$13)))</f>
        <v>1000000000000</v>
      </c>
      <c r="DE151" s="354" t="n">
        <f aca="true">IF(OR($D151&lt;&gt;"Serviço",AND(AUTOEVENTO="Manual",$M151=$A$15),$M151&gt;(ROW(PLE.lastrow)-ROW(PLE.firstrow))),0,
           IF(OFFSET(PLE!$G$15,$M151-$A$15,DE$13)="",10^12,OFFSET(PLE!$G$15,$M151-$A$15,DE$13)))</f>
        <v>1000000000000</v>
      </c>
      <c r="DF151" s="354" t="n">
        <f aca="true">IF(OR($D151&lt;&gt;"Serviço",AND(AUTOEVENTO="Manual",$M151=$A$15),$M151&gt;(ROW(PLE.lastrow)-ROW(PLE.firstrow))),0,
           IF(OFFSET(PLE!$G$15,$M151-$A$15,DF$13)="",10^12,OFFSET(PLE!$G$15,$M151-$A$15,DF$13)))</f>
        <v>1000000000000</v>
      </c>
      <c r="DG151" s="354" t="n">
        <f aca="true">IF(OR($D151&lt;&gt;"Serviço",AND(AUTOEVENTO="Manual",$M151=$A$15),$M151&gt;(ROW(PLE.lastrow)-ROW(PLE.firstrow))),0,
           IF(OFFSET(PLE!$G$15,$M151-$A$15,DG$13)="",10^12,OFFSET(PLE!$G$15,$M151-$A$15,DG$13)))</f>
        <v>1000000000000</v>
      </c>
      <c r="DH151" s="354" t="n">
        <f aca="true">IF(OR($D151&lt;&gt;"Serviço",AND(AUTOEVENTO="Manual",$M151=$A$15),$M151&gt;(ROW(PLE.lastrow)-ROW(PLE.firstrow))),0,
           IF(OFFSET(PLE!$G$15,$M151-$A$15,DH$13)="",10^12,OFFSET(PLE!$G$15,$M151-$A$15,DH$13)))</f>
        <v>1000000000000</v>
      </c>
      <c r="DI151" s="354" t="n">
        <f aca="true">IF(OR($D151&lt;&gt;"Serviço",AND(AUTOEVENTO="Manual",$M151=$A$15),$M151&gt;(ROW(PLE.lastrow)-ROW(PLE.firstrow))),0,
           IF(OFFSET(PLE!$G$15,$M151-$A$15,DI$13)="",10^12,OFFSET(PLE!$G$15,$M151-$A$15,DI$13)))</f>
        <v>1000000000000</v>
      </c>
      <c r="DJ151" s="354" t="n">
        <f aca="true">IF(OR($D151&lt;&gt;"Serviço",AND(AUTOEVENTO="Manual",$M151=$A$15),$M151&gt;(ROW(PLE.lastrow)-ROW(PLE.firstrow))),0,
           IF(OFFSET(PLE!$G$15,$M151-$A$15,DJ$13)="",10^12,OFFSET(PLE!$G$15,$M151-$A$15,DJ$13)))</f>
        <v>1000000000000</v>
      </c>
      <c r="DK151" s="354" t="n">
        <f aca="true">IF(OR($D151&lt;&gt;"Serviço",AND(AUTOEVENTO="Manual",$M151=$A$15),$M151&gt;(ROW(PLE.lastrow)-ROW(PLE.firstrow))),0,
           IF(OFFSET(PLE!$G$15,$M151-$A$15,DK$13)="",10^12,OFFSET(PLE!$G$15,$M151-$A$15,DK$13)))</f>
        <v>1000000000000</v>
      </c>
      <c r="DL151" s="354" t="n">
        <f aca="true">IF(OR($D151&lt;&gt;"Serviço",AND(AUTOEVENTO="Manual",$M151=$A$15),$M151&gt;(ROW(PLE.lastrow)-ROW(PLE.firstrow))),0,
           IF(OFFSET(PLE!$G$15,$M151-$A$15,DL$13)="",10^12,OFFSET(PLE!$G$15,$M151-$A$15,DL$13)))</f>
        <v>1000000000000</v>
      </c>
      <c r="DM151" s="354" t="n">
        <f aca="true">IF(OR($D151&lt;&gt;"Serviço",AND(AUTOEVENTO="Manual",$M151=$A$15),$M151&gt;(ROW(PLE.lastrow)-ROW(PLE.firstrow))),0,
           IF(OFFSET(PLE!$G$15,$M151-$A$15,DM$13)="",10^12,OFFSET(PLE!$G$15,$M151-$A$15,DM$13)))</f>
        <v>1000000000000</v>
      </c>
      <c r="DN151" s="354" t="n">
        <f aca="true">IF(OR($D151&lt;&gt;"Serviço",AND(AUTOEVENTO="Manual",$M151=$A$15),$M151&gt;(ROW(PLE.lastrow)-ROW(PLE.firstrow))),0,
           IF(OFFSET(PLE!$G$15,$M151-$A$15,DN$13)="",10^12,OFFSET(PLE!$G$15,$M151-$A$15,DN$13)))</f>
        <v>1000000000000</v>
      </c>
      <c r="DO151" s="354" t="n">
        <f aca="true">IF(OR($D151&lt;&gt;"Serviço",AND(AUTOEVENTO="Manual",$M151=$A$15),$M151&gt;(ROW(PLE.lastrow)-ROW(PLE.firstrow))),0,
           IF(OFFSET(PLE!$G$15,$M151-$A$15,DO$13)="",10^12,OFFSET(PLE!$G$15,$M151-$A$15,DO$13)))</f>
        <v>1000000000000</v>
      </c>
      <c r="DP151" s="354" t="n">
        <f aca="true">IF(OR($D151&lt;&gt;"Serviço",AND(AUTOEVENTO="Manual",$M151=$A$15),$M151&gt;(ROW(PLE.lastrow)-ROW(PLE.firstrow))),0,
           IF(OFFSET(PLE!$G$15,$M151-$A$15,DP$13)="",10^12,OFFSET(PLE!$G$15,$M151-$A$15,DP$13)))</f>
        <v>1000000000000</v>
      </c>
      <c r="DQ151" s="354" t="n">
        <f aca="true">IF(OR($D151&lt;&gt;"Serviço",AND(AUTOEVENTO="Manual",$M151=$A$15),$M151&gt;(ROW(PLE.lastrow)-ROW(PLE.firstrow))),0,
           IF(OFFSET(PLE!$G$15,$M151-$A$15,DQ$13)="",10^12,OFFSET(PLE!$G$15,$M151-$A$15,DQ$13)))</f>
        <v>1000000000000</v>
      </c>
      <c r="DR151" s="354" t="n">
        <f aca="true">IF(OR($D151&lt;&gt;"Serviço",AND(AUTOEVENTO="Manual",$M151=$A$15),$M151&gt;(ROW(PLE.lastrow)-ROW(PLE.firstrow))),0,
           IF(OFFSET(PLE!$G$15,$M151-$A$15,DR$13)="",10^12,OFFSET(PLE!$G$15,$M151-$A$15,DR$13)))</f>
        <v>1000000000000</v>
      </c>
      <c r="DS151" s="354" t="n">
        <f aca="true">IF(OR($D151&lt;&gt;"Serviço",AND(AUTOEVENTO="Manual",$M151=$A$15),$M151&gt;(ROW(PLE.lastrow)-ROW(PLE.firstrow))),0,
           IF(OFFSET(PLE!$G$15,$M151-$A$15,DS$13)="",10^12,OFFSET(PLE!$G$15,$M151-$A$15,DS$13)))</f>
        <v>1000000000000</v>
      </c>
    </row>
    <row r="152" customFormat="false" ht="23.85" hidden="false" customHeight="false" outlineLevel="0" collapsed="false">
      <c r="A152" s="50" t="str">
        <f aca="true">IFERROR(IF(AUTOEVENTO="Manual",IF(K152&lt;&gt;"",MIN(VALUE(LEFT(K152,FIND(".",K152)-1)),COUNTA(EVENTOS.Lista)),0),IF(OR($B152&gt;AUTOEVENTO,$B152="S",$B152=0),SUBSTITUTE(OFFSET($A152,-1,0),IF($D152="Serviço",".",""),""),ROW(A152)-ROW($A$15)&amp;".")),0)</f>
        <v>133</v>
      </c>
      <c r="B152" s="50" t="str">
        <f aca="true">OFFSET(ORÇAMENTO!C$15,ROW(B152)-ROW(B$15),0)</f>
        <v>S</v>
      </c>
      <c r="C152" s="50" t="str">
        <f aca="true">OFFSET(ORÇAMENTO!L$15,ROW(C152)-ROW(C$15),0)</f>
        <v>F</v>
      </c>
      <c r="D152" s="201" t="str">
        <f aca="true">OFFSET(ORÇAMENTO!N$15,ROW(D152)-ROW(D$15),0)</f>
        <v>Serviço</v>
      </c>
      <c r="E152" s="202" t="str">
        <f aca="true">OFFSET(ORÇAMENTO!O$15,ROW(E152)-ROW(E$15),0)</f>
        <v>1.42.4.</v>
      </c>
      <c r="F152" s="341" t="str">
        <f aca="true">OFFSET(ORÇAMENTO!R$15,ROW(F152)-ROW(F$15),0)</f>
        <v>TUBO, PVC, SOLDÁVEL, DE 25MM, INSTALADO EM RAMAL DE DISTRIBUIÇÃO DE ÁGUA - FORNECIMENTO E INSTALAÇÃO. AF_06/2022</v>
      </c>
      <c r="G152" s="342" t="str">
        <f aca="true">IF($D152&lt;&gt;"Serviço","",OFFSET(ORÇAMENTO!S$15,ROW(G152)-ROW(G$15),0))</f>
        <v>M</v>
      </c>
      <c r="H152" s="207" t="n">
        <f aca="true">IF($D152&lt;&gt;"Serviço",0,IF(ACOMPANHAMENTO="BM",ROUND(OFFSET(ORÇAMENTO!AJ$15,ROW(H152)-ROW(H$15),0),15-13*ORÇAMENTO!$AF$7),SUMPRODUCT(($Q$1:$AQ$1=1)*ROUND($Q152:$AQ152,15-13*ORÇAMENTO!$AF$7))))</f>
        <v>168.75</v>
      </c>
      <c r="I152" s="343" t="s">
        <v>980</v>
      </c>
      <c r="J152" s="344" t="e">
        <f aca="false">IF(OR(B152&lt;&gt;"S",CÁLCULO.FrentesPreenchidas=0),"",IF(AND(ACOMPANHAMENTO="PLE",AUTOEVENTO="Manual",OR(H152&gt;0,ORÇAMENTO!AC152="QUANT."),OR(K152="",M152=0,N152="")),"►",IF(AND(ACOMPANHAMENTO="PLE",ORÇAMENTO!AC152="QUANT."),"►►",IF(AND(COUNTIF($P$11:$AQ$11,"▼")=0,H152&gt;0,I152=""),"◄",""))))</f>
        <v>#NAME?</v>
      </c>
      <c r="K152" s="345"/>
      <c r="L152" s="346" t="s">
        <v>876</v>
      </c>
      <c r="M152" s="347" t="n">
        <f aca="true">IF($D152&lt;&gt;"Serviço","",
          IF(AUTOEVENTO="manual",$A152,
                IF(ISERROR(MATCH($A152,$A$15:OFFSET($A152,-1,0),0)),MAX($M$15:OFFSET(M152,-1,0))+1,
                      INDEX($M$15:OFFSET(M152,-1,0),MATCH($A152,$A$15:OFFSET($A152,-1,0),0)))))</f>
        <v>26</v>
      </c>
      <c r="N152" s="348" t="str">
        <f aca="true">IF($D152&lt;&gt;"Serviço","",
         IF(AUTOEVENTO="Manual",
                IF($A152=0,"&lt;-- defina o número do agrupador",
                       OFFSET(EVENTOS!$D$15,$A152-$A$15,0)),
                OFFSET($F$15,$A152,0)))</f>
        <v>ENTRADA / ALIMENTAÇÃO</v>
      </c>
      <c r="O152" s="349"/>
      <c r="Q152" s="349" t="n">
        <v>6.75</v>
      </c>
      <c r="R152" s="350" t="n">
        <f aca="false">Q152</f>
        <v>6.75</v>
      </c>
      <c r="S152" s="350" t="n">
        <f aca="false">R152</f>
        <v>6.75</v>
      </c>
      <c r="T152" s="350" t="n">
        <f aca="false">S152</f>
        <v>6.75</v>
      </c>
      <c r="U152" s="350" t="n">
        <f aca="false">T152</f>
        <v>6.75</v>
      </c>
      <c r="V152" s="350" t="n">
        <f aca="false">U152</f>
        <v>6.75</v>
      </c>
      <c r="W152" s="350" t="n">
        <f aca="false">V152</f>
        <v>6.75</v>
      </c>
      <c r="X152" s="350" t="n">
        <f aca="false">W152</f>
        <v>6.75</v>
      </c>
      <c r="Y152" s="350" t="n">
        <f aca="false">X152</f>
        <v>6.75</v>
      </c>
      <c r="Z152" s="351" t="n">
        <f aca="false">Y152</f>
        <v>6.75</v>
      </c>
      <c r="AA152" s="350" t="n">
        <f aca="false">Z152</f>
        <v>6.75</v>
      </c>
      <c r="AB152" s="350" t="n">
        <f aca="false">AA152</f>
        <v>6.75</v>
      </c>
      <c r="AC152" s="350" t="n">
        <f aca="false">AB152</f>
        <v>6.75</v>
      </c>
      <c r="AD152" s="350" t="n">
        <f aca="false">AC152</f>
        <v>6.75</v>
      </c>
      <c r="AE152" s="350" t="n">
        <f aca="false">AD152</f>
        <v>6.75</v>
      </c>
      <c r="AF152" s="350" t="n">
        <f aca="false">AE152</f>
        <v>6.75</v>
      </c>
      <c r="AG152" s="350" t="n">
        <f aca="false">AF152</f>
        <v>6.75</v>
      </c>
      <c r="AH152" s="351" t="n">
        <f aca="false">AG152</f>
        <v>6.75</v>
      </c>
      <c r="AI152" s="350" t="n">
        <f aca="false">AH152</f>
        <v>6.75</v>
      </c>
      <c r="AJ152" s="350" t="n">
        <f aca="false">AI152</f>
        <v>6.75</v>
      </c>
      <c r="AK152" s="350" t="n">
        <f aca="false">AJ152</f>
        <v>6.75</v>
      </c>
      <c r="AL152" s="350" t="n">
        <f aca="false">AK152</f>
        <v>6.75</v>
      </c>
      <c r="AM152" s="350" t="n">
        <f aca="false">AL152</f>
        <v>6.75</v>
      </c>
      <c r="AN152" s="350" t="n">
        <f aca="false">AM152</f>
        <v>6.75</v>
      </c>
      <c r="AO152" s="350" t="n">
        <f aca="false">AN152</f>
        <v>6.75</v>
      </c>
      <c r="AP152" s="351"/>
      <c r="AR152" s="352" t="n">
        <f aca="true">IF(AND($D152="Serviço",AR$12&lt;&gt;0,$H152&gt;0,OR(AUTOEVENTO&lt;&gt;"manual",$M152&lt;&gt;$A$15)),
        IF(Import.TipoArredondamento&lt;&gt;"TransfereGOV",
              ROUND(OFFSET($P152,0,AR$13),15-13*ORÇAMENTO!$AF$7)/$H152*OFFSET(ORÇAMENTO!$X$15,ROW(AR152)-ROW(AR$15),0),
              ROUND(ROUND(OFFSET($P152,0,AR$13),15-13*ORÇAMENTO!$AF$7)*OFFSET(ORÇAMENTO!$W$15,ROW(AR152)-ROW(AR$15),0),15-13*ORÇAMENTO!$AF$11)),
         0)</f>
        <v>106.85</v>
      </c>
      <c r="AS152" s="352" t="n">
        <f aca="true">IF(AND($D152="Serviço",AS$12&lt;&gt;0,$H152&gt;0,OR(AUTOEVENTO&lt;&gt;"manual",$M152&lt;&gt;$A$15)),
        IF(Import.TipoArredondamento&lt;&gt;"TransfereGOV",
              ROUND(OFFSET($P152,0,AS$13),15-13*ORÇAMENTO!$AF$7)/$H152*OFFSET(ORÇAMENTO!$X$15,ROW(AS152)-ROW(AS$15),0),
              ROUND(ROUND(OFFSET($P152,0,AS$13),15-13*ORÇAMENTO!$AF$7)*OFFSET(ORÇAMENTO!$W$15,ROW(AS152)-ROW(AS$15),0),15-13*ORÇAMENTO!$AF$11)),
         0)</f>
        <v>106.85</v>
      </c>
      <c r="AT152" s="352" t="n">
        <f aca="true">IF(AND($D152="Serviço",AT$12&lt;&gt;0,$H152&gt;0,OR(AUTOEVENTO&lt;&gt;"manual",$M152&lt;&gt;$A$15)),
        IF(Import.TipoArredondamento&lt;&gt;"TransfereGOV",
              ROUND(OFFSET($P152,0,AT$13),15-13*ORÇAMENTO!$AF$7)/$H152*OFFSET(ORÇAMENTO!$X$15,ROW(AT152)-ROW(AT$15),0),
              ROUND(ROUND(OFFSET($P152,0,AT$13),15-13*ORÇAMENTO!$AF$7)*OFFSET(ORÇAMENTO!$W$15,ROW(AT152)-ROW(AT$15),0),15-13*ORÇAMENTO!$AF$11)),
         0)</f>
        <v>106.85</v>
      </c>
      <c r="AU152" s="352" t="n">
        <f aca="true">IF(AND($D152="Serviço",AU$12&lt;&gt;0,$H152&gt;0,OR(AUTOEVENTO&lt;&gt;"manual",$M152&lt;&gt;$A$15)),
        IF(Import.TipoArredondamento&lt;&gt;"TransfereGOV",
              ROUND(OFFSET($P152,0,AU$13),15-13*ORÇAMENTO!$AF$7)/$H152*OFFSET(ORÇAMENTO!$X$15,ROW(AU152)-ROW(AU$15),0),
              ROUND(ROUND(OFFSET($P152,0,AU$13),15-13*ORÇAMENTO!$AF$7)*OFFSET(ORÇAMENTO!$W$15,ROW(AU152)-ROW(AU$15),0),15-13*ORÇAMENTO!$AF$11)),
         0)</f>
        <v>106.85</v>
      </c>
      <c r="AV152" s="352" t="n">
        <f aca="true">IF(AND($D152="Serviço",AV$12&lt;&gt;0,$H152&gt;0,OR(AUTOEVENTO&lt;&gt;"manual",$M152&lt;&gt;$A$15)),
        IF(Import.TipoArredondamento&lt;&gt;"TransfereGOV",
              ROUND(OFFSET($P152,0,AV$13),15-13*ORÇAMENTO!$AF$7)/$H152*OFFSET(ORÇAMENTO!$X$15,ROW(AV152)-ROW(AV$15),0),
              ROUND(ROUND(OFFSET($P152,0,AV$13),15-13*ORÇAMENTO!$AF$7)*OFFSET(ORÇAMENTO!$W$15,ROW(AV152)-ROW(AV$15),0),15-13*ORÇAMENTO!$AF$11)),
         0)</f>
        <v>106.85</v>
      </c>
      <c r="AW152" s="352" t="n">
        <f aca="true">IF(AND($D152="Serviço",AW$12&lt;&gt;0,$H152&gt;0,OR(AUTOEVENTO&lt;&gt;"manual",$M152&lt;&gt;$A$15)),
        IF(Import.TipoArredondamento&lt;&gt;"TransfereGOV",
              ROUND(OFFSET($P152,0,AW$13),15-13*ORÇAMENTO!$AF$7)/$H152*OFFSET(ORÇAMENTO!$X$15,ROW(AW152)-ROW(AW$15),0),
              ROUND(ROUND(OFFSET($P152,0,AW$13),15-13*ORÇAMENTO!$AF$7)*OFFSET(ORÇAMENTO!$W$15,ROW(AW152)-ROW(AW$15),0),15-13*ORÇAMENTO!$AF$11)),
         0)</f>
        <v>106.85</v>
      </c>
      <c r="AX152" s="352" t="n">
        <f aca="true">IF(AND($D152="Serviço",AX$12&lt;&gt;0,$H152&gt;0,OR(AUTOEVENTO&lt;&gt;"manual",$M152&lt;&gt;$A$15)),
        IF(Import.TipoArredondamento&lt;&gt;"TransfereGOV",
              ROUND(OFFSET($P152,0,AX$13),15-13*ORÇAMENTO!$AF$7)/$H152*OFFSET(ORÇAMENTO!$X$15,ROW(AX152)-ROW(AX$15),0),
              ROUND(ROUND(OFFSET($P152,0,AX$13),15-13*ORÇAMENTO!$AF$7)*OFFSET(ORÇAMENTO!$W$15,ROW(AX152)-ROW(AX$15),0),15-13*ORÇAMENTO!$AF$11)),
         0)</f>
        <v>106.85</v>
      </c>
      <c r="AY152" s="352" t="n">
        <f aca="true">IF(AND($D152="Serviço",AY$12&lt;&gt;0,$H152&gt;0,OR(AUTOEVENTO&lt;&gt;"manual",$M152&lt;&gt;$A$15)),
        IF(Import.TipoArredondamento&lt;&gt;"TransfereGOV",
              ROUND(OFFSET($P152,0,AY$13),15-13*ORÇAMENTO!$AF$7)/$H152*OFFSET(ORÇAMENTO!$X$15,ROW(AY152)-ROW(AY$15),0),
              ROUND(ROUND(OFFSET($P152,0,AY$13),15-13*ORÇAMENTO!$AF$7)*OFFSET(ORÇAMENTO!$W$15,ROW(AY152)-ROW(AY$15),0),15-13*ORÇAMENTO!$AF$11)),
         0)</f>
        <v>106.85</v>
      </c>
      <c r="AZ152" s="352" t="n">
        <f aca="true">IF(AND($D152="Serviço",AZ$12&lt;&gt;0,$H152&gt;0,OR(AUTOEVENTO&lt;&gt;"manual",$M152&lt;&gt;$A$15)),
        IF(Import.TipoArredondamento&lt;&gt;"TransfereGOV",
              ROUND(OFFSET($P152,0,AZ$13),15-13*ORÇAMENTO!$AF$7)/$H152*OFFSET(ORÇAMENTO!$X$15,ROW(AZ152)-ROW(AZ$15),0),
              ROUND(ROUND(OFFSET($P152,0,AZ$13),15-13*ORÇAMENTO!$AF$7)*OFFSET(ORÇAMENTO!$W$15,ROW(AZ152)-ROW(AZ$15),0),15-13*ORÇAMENTO!$AF$11)),
         0)</f>
        <v>106.85</v>
      </c>
      <c r="BA152" s="352" t="n">
        <f aca="true">IF(AND($D152="Serviço",BA$12&lt;&gt;0,$H152&gt;0,OR(AUTOEVENTO&lt;&gt;"manual",$M152&lt;&gt;$A$15)),
        IF(Import.TipoArredondamento&lt;&gt;"TransfereGOV",
              ROUND(OFFSET($P152,0,BA$13),15-13*ORÇAMENTO!$AF$7)/$H152*OFFSET(ORÇAMENTO!$X$15,ROW(BA152)-ROW(BA$15),0),
              ROUND(ROUND(OFFSET($P152,0,BA$13),15-13*ORÇAMENTO!$AF$7)*OFFSET(ORÇAMENTO!$W$15,ROW(BA152)-ROW(BA$15),0),15-13*ORÇAMENTO!$AF$11)),
         0)</f>
        <v>106.85</v>
      </c>
      <c r="BB152" s="352" t="n">
        <f aca="true">IF(AND($D152="Serviço",BB$12&lt;&gt;0,$H152&gt;0,OR(AUTOEVENTO&lt;&gt;"manual",$M152&lt;&gt;$A$15)),
        IF(Import.TipoArredondamento&lt;&gt;"TransfereGOV",
              ROUND(OFFSET($P152,0,BB$13),15-13*ORÇAMENTO!$AF$7)/$H152*OFFSET(ORÇAMENTO!$X$15,ROW(BB152)-ROW(BB$15),0),
              ROUND(ROUND(OFFSET($P152,0,BB$13),15-13*ORÇAMENTO!$AF$7)*OFFSET(ORÇAMENTO!$W$15,ROW(BB152)-ROW(BB$15),0),15-13*ORÇAMENTO!$AF$11)),
         0)</f>
        <v>106.85</v>
      </c>
      <c r="BC152" s="352" t="n">
        <f aca="true">IF(AND($D152="Serviço",BC$12&lt;&gt;0,$H152&gt;0,OR(AUTOEVENTO&lt;&gt;"manual",$M152&lt;&gt;$A$15)),
        IF(Import.TipoArredondamento&lt;&gt;"TransfereGOV",
              ROUND(OFFSET($P152,0,BC$13),15-13*ORÇAMENTO!$AF$7)/$H152*OFFSET(ORÇAMENTO!$X$15,ROW(BC152)-ROW(BC$15),0),
              ROUND(ROUND(OFFSET($P152,0,BC$13),15-13*ORÇAMENTO!$AF$7)*OFFSET(ORÇAMENTO!$W$15,ROW(BC152)-ROW(BC$15),0),15-13*ORÇAMENTO!$AF$11)),
         0)</f>
        <v>106.85</v>
      </c>
      <c r="BD152" s="352" t="n">
        <f aca="true">IF(AND($D152="Serviço",BD$12&lt;&gt;0,$H152&gt;0,OR(AUTOEVENTO&lt;&gt;"manual",$M152&lt;&gt;$A$15)),
        IF(Import.TipoArredondamento&lt;&gt;"TransfereGOV",
              ROUND(OFFSET($P152,0,BD$13),15-13*ORÇAMENTO!$AF$7)/$H152*OFFSET(ORÇAMENTO!$X$15,ROW(BD152)-ROW(BD$15),0),
              ROUND(ROUND(OFFSET($P152,0,BD$13),15-13*ORÇAMENTO!$AF$7)*OFFSET(ORÇAMENTO!$W$15,ROW(BD152)-ROW(BD$15),0),15-13*ORÇAMENTO!$AF$11)),
         0)</f>
        <v>106.85</v>
      </c>
      <c r="BE152" s="352" t="n">
        <f aca="true">IF(AND($D152="Serviço",BE$12&lt;&gt;0,$H152&gt;0,OR(AUTOEVENTO&lt;&gt;"manual",$M152&lt;&gt;$A$15)),
        IF(Import.TipoArredondamento&lt;&gt;"TransfereGOV",
              ROUND(OFFSET($P152,0,BE$13),15-13*ORÇAMENTO!$AF$7)/$H152*OFFSET(ORÇAMENTO!$X$15,ROW(BE152)-ROW(BE$15),0),
              ROUND(ROUND(OFFSET($P152,0,BE$13),15-13*ORÇAMENTO!$AF$7)*OFFSET(ORÇAMENTO!$W$15,ROW(BE152)-ROW(BE$15),0),15-13*ORÇAMENTO!$AF$11)),
         0)</f>
        <v>106.85</v>
      </c>
      <c r="BF152" s="352" t="n">
        <f aca="true">IF(AND($D152="Serviço",BF$12&lt;&gt;0,$H152&gt;0,OR(AUTOEVENTO&lt;&gt;"manual",$M152&lt;&gt;$A$15)),
        IF(Import.TipoArredondamento&lt;&gt;"TransfereGOV",
              ROUND(OFFSET($P152,0,BF$13),15-13*ORÇAMENTO!$AF$7)/$H152*OFFSET(ORÇAMENTO!$X$15,ROW(BF152)-ROW(BF$15),0),
              ROUND(ROUND(OFFSET($P152,0,BF$13),15-13*ORÇAMENTO!$AF$7)*OFFSET(ORÇAMENTO!$W$15,ROW(BF152)-ROW(BF$15),0),15-13*ORÇAMENTO!$AF$11)),
         0)</f>
        <v>106.85</v>
      </c>
      <c r="BG152" s="352" t="n">
        <f aca="true">IF(AND($D152="Serviço",BG$12&lt;&gt;0,$H152&gt;0,OR(AUTOEVENTO&lt;&gt;"manual",$M152&lt;&gt;$A$15)),
        IF(Import.TipoArredondamento&lt;&gt;"TransfereGOV",
              ROUND(OFFSET($P152,0,BG$13),15-13*ORÇAMENTO!$AF$7)/$H152*OFFSET(ORÇAMENTO!$X$15,ROW(BG152)-ROW(BG$15),0),
              ROUND(ROUND(OFFSET($P152,0,BG$13),15-13*ORÇAMENTO!$AF$7)*OFFSET(ORÇAMENTO!$W$15,ROW(BG152)-ROW(BG$15),0),15-13*ORÇAMENTO!$AF$11)),
         0)</f>
        <v>106.85</v>
      </c>
      <c r="BH152" s="352" t="n">
        <f aca="true">IF(AND($D152="Serviço",BH$12&lt;&gt;0,$H152&gt;0,OR(AUTOEVENTO&lt;&gt;"manual",$M152&lt;&gt;$A$15)),
        IF(Import.TipoArredondamento&lt;&gt;"TransfereGOV",
              ROUND(OFFSET($P152,0,BH$13),15-13*ORÇAMENTO!$AF$7)/$H152*OFFSET(ORÇAMENTO!$X$15,ROW(BH152)-ROW(BH$15),0),
              ROUND(ROUND(OFFSET($P152,0,BH$13),15-13*ORÇAMENTO!$AF$7)*OFFSET(ORÇAMENTO!$W$15,ROW(BH152)-ROW(BH$15),0),15-13*ORÇAMENTO!$AF$11)),
         0)</f>
        <v>106.85</v>
      </c>
      <c r="BI152" s="352" t="n">
        <f aca="true">IF(AND($D152="Serviço",BI$12&lt;&gt;0,$H152&gt;0,OR(AUTOEVENTO&lt;&gt;"manual",$M152&lt;&gt;$A$15)),
        IF(Import.TipoArredondamento&lt;&gt;"TransfereGOV",
              ROUND(OFFSET($P152,0,BI$13),15-13*ORÇAMENTO!$AF$7)/$H152*OFFSET(ORÇAMENTO!$X$15,ROW(BI152)-ROW(BI$15),0),
              ROUND(ROUND(OFFSET($P152,0,BI$13),15-13*ORÇAMENTO!$AF$7)*OFFSET(ORÇAMENTO!$W$15,ROW(BI152)-ROW(BI$15),0),15-13*ORÇAMENTO!$AF$11)),
         0)</f>
        <v>106.85</v>
      </c>
      <c r="BJ152" s="352" t="n">
        <f aca="true">IF(AND($D152="Serviço",BJ$12&lt;&gt;0,$H152&gt;0,OR(AUTOEVENTO&lt;&gt;"manual",$M152&lt;&gt;$A$15)),
        IF(Import.TipoArredondamento&lt;&gt;"TransfereGOV",
              ROUND(OFFSET($P152,0,BJ$13),15-13*ORÇAMENTO!$AF$7)/$H152*OFFSET(ORÇAMENTO!$X$15,ROW(BJ152)-ROW(BJ$15),0),
              ROUND(ROUND(OFFSET($P152,0,BJ$13),15-13*ORÇAMENTO!$AF$7)*OFFSET(ORÇAMENTO!$W$15,ROW(BJ152)-ROW(BJ$15),0),15-13*ORÇAMENTO!$AF$11)),
         0)</f>
        <v>106.85</v>
      </c>
      <c r="BK152" s="352" t="n">
        <f aca="true">IF(AND($D152="Serviço",BK$12&lt;&gt;0,$H152&gt;0,OR(AUTOEVENTO&lt;&gt;"manual",$M152&lt;&gt;$A$15)),
        IF(Import.TipoArredondamento&lt;&gt;"TransfereGOV",
              ROUND(OFFSET($P152,0,BK$13),15-13*ORÇAMENTO!$AF$7)/$H152*OFFSET(ORÇAMENTO!$X$15,ROW(BK152)-ROW(BK$15),0),
              ROUND(ROUND(OFFSET($P152,0,BK$13),15-13*ORÇAMENTO!$AF$7)*OFFSET(ORÇAMENTO!$W$15,ROW(BK152)-ROW(BK$15),0),15-13*ORÇAMENTO!$AF$11)),
         0)</f>
        <v>106.85</v>
      </c>
      <c r="BL152" s="352" t="n">
        <f aca="true">IF(AND($D152="Serviço",BL$12&lt;&gt;0,$H152&gt;0,OR(AUTOEVENTO&lt;&gt;"manual",$M152&lt;&gt;$A$15)),
        IF(Import.TipoArredondamento&lt;&gt;"TransfereGOV",
              ROUND(OFFSET($P152,0,BL$13),15-13*ORÇAMENTO!$AF$7)/$H152*OFFSET(ORÇAMENTO!$X$15,ROW(BL152)-ROW(BL$15),0),
              ROUND(ROUND(OFFSET($P152,0,BL$13),15-13*ORÇAMENTO!$AF$7)*OFFSET(ORÇAMENTO!$W$15,ROW(BL152)-ROW(BL$15),0),15-13*ORÇAMENTO!$AF$11)),
         0)</f>
        <v>106.85</v>
      </c>
      <c r="BM152" s="352" t="n">
        <f aca="true">IF(AND($D152="Serviço",BM$12&lt;&gt;0,$H152&gt;0,OR(AUTOEVENTO&lt;&gt;"manual",$M152&lt;&gt;$A$15)),
        IF(Import.TipoArredondamento&lt;&gt;"TransfereGOV",
              ROUND(OFFSET($P152,0,BM$13),15-13*ORÇAMENTO!$AF$7)/$H152*OFFSET(ORÇAMENTO!$X$15,ROW(BM152)-ROW(BM$15),0),
              ROUND(ROUND(OFFSET($P152,0,BM$13),15-13*ORÇAMENTO!$AF$7)*OFFSET(ORÇAMENTO!$W$15,ROW(BM152)-ROW(BM$15),0),15-13*ORÇAMENTO!$AF$11)),
         0)</f>
        <v>106.85</v>
      </c>
      <c r="BN152" s="352" t="n">
        <f aca="true">IF(AND($D152="Serviço",BN$12&lt;&gt;0,$H152&gt;0,OR(AUTOEVENTO&lt;&gt;"manual",$M152&lt;&gt;$A$15)),
        IF(Import.TipoArredondamento&lt;&gt;"TransfereGOV",
              ROUND(OFFSET($P152,0,BN$13),15-13*ORÇAMENTO!$AF$7)/$H152*OFFSET(ORÇAMENTO!$X$15,ROW(BN152)-ROW(BN$15),0),
              ROUND(ROUND(OFFSET($P152,0,BN$13),15-13*ORÇAMENTO!$AF$7)*OFFSET(ORÇAMENTO!$W$15,ROW(BN152)-ROW(BN$15),0),15-13*ORÇAMENTO!$AF$11)),
         0)</f>
        <v>106.85</v>
      </c>
      <c r="BO152" s="352" t="n">
        <f aca="true">IF(AND($D152="Serviço",BO$12&lt;&gt;0,$H152&gt;0,OR(AUTOEVENTO&lt;&gt;"manual",$M152&lt;&gt;$A$15)),
        IF(Import.TipoArredondamento&lt;&gt;"TransfereGOV",
              ROUND(OFFSET($P152,0,BO$13),15-13*ORÇAMENTO!$AF$7)/$H152*OFFSET(ORÇAMENTO!$X$15,ROW(BO152)-ROW(BO$15),0),
              ROUND(ROUND(OFFSET($P152,0,BO$13),15-13*ORÇAMENTO!$AF$7)*OFFSET(ORÇAMENTO!$W$15,ROW(BO152)-ROW(BO$15),0),15-13*ORÇAMENTO!$AF$11)),
         0)</f>
        <v>106.85</v>
      </c>
      <c r="BP152" s="352" t="n">
        <f aca="true">IF(AND($D152="Serviço",BP$12&lt;&gt;0,$H152&gt;0,OR(AUTOEVENTO&lt;&gt;"manual",$M152&lt;&gt;$A$15)),
        IF(Import.TipoArredondamento&lt;&gt;"TransfereGOV",
              ROUND(OFFSET($P152,0,BP$13),15-13*ORÇAMENTO!$AF$7)/$H152*OFFSET(ORÇAMENTO!$X$15,ROW(BP152)-ROW(BP$15),0),
              ROUND(ROUND(OFFSET($P152,0,BP$13),15-13*ORÇAMENTO!$AF$7)*OFFSET(ORÇAMENTO!$W$15,ROW(BP152)-ROW(BP$15),0),15-13*ORÇAMENTO!$AF$11)),
         0)</f>
        <v>106.85</v>
      </c>
      <c r="BQ152" s="352" t="n">
        <f aca="true">IF(AND($D152="Serviço",BQ$12&lt;&gt;0,$H152&gt;0,OR(AUTOEVENTO&lt;&gt;"manual",$M152&lt;&gt;$A$15)),
        IF(Import.TipoArredondamento&lt;&gt;"TransfereGOV",
              ROUND(OFFSET($P152,0,BQ$13),15-13*ORÇAMENTO!$AF$7)/$H152*OFFSET(ORÇAMENTO!$X$15,ROW(BQ152)-ROW(BQ$15),0),
              ROUND(ROUND(OFFSET($P152,0,BQ$13),15-13*ORÇAMENTO!$AF$7)*OFFSET(ORÇAMENTO!$W$15,ROW(BQ152)-ROW(BQ$15),0),15-13*ORÇAMENTO!$AF$11)),
         0)</f>
        <v>0</v>
      </c>
      <c r="BS152" s="353" t="n">
        <f aca="true">IF(OR($D152&lt;&gt;"Serviço",AND(AUTOEVENTO="Manual",$M152=$A$15)),0,
         IF(OFFSET(CRONOPLE!$F$15,$M152-$A$15,BS$13)=0,10^12,OFFSET(CRONOPLE!$F$15,$M152-$A$15,BS$13)))</f>
        <v>1</v>
      </c>
      <c r="BT152" s="353" t="n">
        <f aca="true">IF(OR($D152&lt;&gt;"Serviço",AND(AUTOEVENTO="Manual",$M152=$A$15)),0,
         IF(OFFSET(CRONOPLE!$F$15,$M152-$A$15,BT$13)=0,10^12,OFFSET(CRONOPLE!$F$15,$M152-$A$15,BT$13)))</f>
        <v>2</v>
      </c>
      <c r="BU152" s="353" t="n">
        <f aca="true">IF(OR($D152&lt;&gt;"Serviço",AND(AUTOEVENTO="Manual",$M152=$A$15)),0,
         IF(OFFSET(CRONOPLE!$F$15,$M152-$A$15,BU$13)=0,10^12,OFFSET(CRONOPLE!$F$15,$M152-$A$15,BU$13)))</f>
        <v>3</v>
      </c>
      <c r="BV152" s="353" t="n">
        <f aca="true">IF(OR($D152&lt;&gt;"Serviço",AND(AUTOEVENTO="Manual",$M152=$A$15)),0,
         IF(OFFSET(CRONOPLE!$F$15,$M152-$A$15,BV$13)=0,10^12,OFFSET(CRONOPLE!$F$15,$M152-$A$15,BV$13)))</f>
        <v>4</v>
      </c>
      <c r="BW152" s="353" t="n">
        <f aca="true">IF(OR($D152&lt;&gt;"Serviço",AND(AUTOEVENTO="Manual",$M152=$A$15)),0,
         IF(OFFSET(CRONOPLE!$F$15,$M152-$A$15,BW$13)=0,10^12,OFFSET(CRONOPLE!$F$15,$M152-$A$15,BW$13)))</f>
        <v>5</v>
      </c>
      <c r="BX152" s="353" t="n">
        <f aca="true">IF(OR($D152&lt;&gt;"Serviço",AND(AUTOEVENTO="Manual",$M152=$A$15)),0,
         IF(OFFSET(CRONOPLE!$F$15,$M152-$A$15,BX$13)=0,10^12,OFFSET(CRONOPLE!$F$15,$M152-$A$15,BX$13)))</f>
        <v>6</v>
      </c>
      <c r="BY152" s="353" t="n">
        <f aca="true">IF(OR($D152&lt;&gt;"Serviço",AND(AUTOEVENTO="Manual",$M152=$A$15)),0,
         IF(OFFSET(CRONOPLE!$F$15,$M152-$A$15,BY$13)=0,10^12,OFFSET(CRONOPLE!$F$15,$M152-$A$15,BY$13)))</f>
        <v>7</v>
      </c>
      <c r="BZ152" s="353" t="n">
        <f aca="true">IF(OR($D152&lt;&gt;"Serviço",AND(AUTOEVENTO="Manual",$M152=$A$15)),0,
         IF(OFFSET(CRONOPLE!$F$15,$M152-$A$15,BZ$13)=0,10^12,OFFSET(CRONOPLE!$F$15,$M152-$A$15,BZ$13)))</f>
        <v>8</v>
      </c>
      <c r="CA152" s="353" t="n">
        <f aca="true">IF(OR($D152&lt;&gt;"Serviço",AND(AUTOEVENTO="Manual",$M152=$A$15)),0,
         IF(OFFSET(CRONOPLE!$F$15,$M152-$A$15,CA$13)=0,10^12,OFFSET(CRONOPLE!$F$15,$M152-$A$15,CA$13)))</f>
        <v>9</v>
      </c>
      <c r="CB152" s="353" t="n">
        <f aca="true">IF(OR($D152&lt;&gt;"Serviço",AND(AUTOEVENTO="Manual",$M152=$A$15)),0,
         IF(OFFSET(CRONOPLE!$F$15,$M152-$A$15,CB$13)=0,10^12,OFFSET(CRONOPLE!$F$15,$M152-$A$15,CB$13)))</f>
        <v>10</v>
      </c>
      <c r="CC152" s="353" t="n">
        <f aca="true">IF(OR($D152&lt;&gt;"Serviço",AND(AUTOEVENTO="Manual",$M152=$A$15)),0,
         IF(OFFSET(CRONOPLE!$F$15,$M152-$A$15,CC$13)=0,10^12,OFFSET(CRONOPLE!$F$15,$M152-$A$15,CC$13)))</f>
        <v>11</v>
      </c>
      <c r="CD152" s="353" t="n">
        <f aca="true">IF(OR($D152&lt;&gt;"Serviço",AND(AUTOEVENTO="Manual",$M152=$A$15)),0,
         IF(OFFSET(CRONOPLE!$F$15,$M152-$A$15,CD$13)=0,10^12,OFFSET(CRONOPLE!$F$15,$M152-$A$15,CD$13)))</f>
        <v>12</v>
      </c>
      <c r="CE152" s="353" t="n">
        <f aca="true">IF(OR($D152&lt;&gt;"Serviço",AND(AUTOEVENTO="Manual",$M152=$A$15)),0,
         IF(OFFSET(CRONOPLE!$F$15,$M152-$A$15,CE$13)=0,10^12,OFFSET(CRONOPLE!$F$15,$M152-$A$15,CE$13)))</f>
        <v>13</v>
      </c>
      <c r="CF152" s="353" t="n">
        <f aca="true">IF(OR($D152&lt;&gt;"Serviço",AND(AUTOEVENTO="Manual",$M152=$A$15)),0,
         IF(OFFSET(CRONOPLE!$F$15,$M152-$A$15,CF$13)=0,10^12,OFFSET(CRONOPLE!$F$15,$M152-$A$15,CF$13)))</f>
        <v>14</v>
      </c>
      <c r="CG152" s="353" t="n">
        <f aca="true">IF(OR($D152&lt;&gt;"Serviço",AND(AUTOEVENTO="Manual",$M152=$A$15)),0,
         IF(OFFSET(CRONOPLE!$F$15,$M152-$A$15,CG$13)=0,10^12,OFFSET(CRONOPLE!$F$15,$M152-$A$15,CG$13)))</f>
        <v>15</v>
      </c>
      <c r="CH152" s="353" t="n">
        <f aca="true">IF(OR($D152&lt;&gt;"Serviço",AND(AUTOEVENTO="Manual",$M152=$A$15)),0,
         IF(OFFSET(CRONOPLE!$F$15,$M152-$A$15,CH$13)=0,10^12,OFFSET(CRONOPLE!$F$15,$M152-$A$15,CH$13)))</f>
        <v>16</v>
      </c>
      <c r="CI152" s="353" t="n">
        <f aca="true">IF(OR($D152&lt;&gt;"Serviço",AND(AUTOEVENTO="Manual",$M152=$A$15)),0,
         IF(OFFSET(CRONOPLE!$F$15,$M152-$A$15,CI$13)=0,10^12,OFFSET(CRONOPLE!$F$15,$M152-$A$15,CI$13)))</f>
        <v>17</v>
      </c>
      <c r="CJ152" s="353" t="n">
        <f aca="true">IF(OR($D152&lt;&gt;"Serviço",AND(AUTOEVENTO="Manual",$M152=$A$15)),0,
         IF(OFFSET(CRONOPLE!$F$15,$M152-$A$15,CJ$13)=0,10^12,OFFSET(CRONOPLE!$F$15,$M152-$A$15,CJ$13)))</f>
        <v>18</v>
      </c>
      <c r="CK152" s="353" t="n">
        <f aca="true">IF(OR($D152&lt;&gt;"Serviço",AND(AUTOEVENTO="Manual",$M152=$A$15)),0,
         IF(OFFSET(CRONOPLE!$F$15,$M152-$A$15,CK$13)=0,10^12,OFFSET(CRONOPLE!$F$15,$M152-$A$15,CK$13)))</f>
        <v>19</v>
      </c>
      <c r="CL152" s="353" t="n">
        <f aca="true">IF(OR($D152&lt;&gt;"Serviço",AND(AUTOEVENTO="Manual",$M152=$A$15)),0,
         IF(OFFSET(CRONOPLE!$F$15,$M152-$A$15,CL$13)=0,10^12,OFFSET(CRONOPLE!$F$15,$M152-$A$15,CL$13)))</f>
        <v>20</v>
      </c>
      <c r="CM152" s="353" t="n">
        <f aca="true">IF(OR($D152&lt;&gt;"Serviço",AND(AUTOEVENTO="Manual",$M152=$A$15)),0,
         IF(OFFSET(CRONOPLE!$F$15,$M152-$A$15,CM$13)=0,10^12,OFFSET(CRONOPLE!$F$15,$M152-$A$15,CM$13)))</f>
        <v>21</v>
      </c>
      <c r="CN152" s="353" t="n">
        <f aca="true">IF(OR($D152&lt;&gt;"Serviço",AND(AUTOEVENTO="Manual",$M152=$A$15)),0,
         IF(OFFSET(CRONOPLE!$F$15,$M152-$A$15,CN$13)=0,10^12,OFFSET(CRONOPLE!$F$15,$M152-$A$15,CN$13)))</f>
        <v>22</v>
      </c>
      <c r="CO152" s="353" t="n">
        <f aca="true">IF(OR($D152&lt;&gt;"Serviço",AND(AUTOEVENTO="Manual",$M152=$A$15)),0,
         IF(OFFSET(CRONOPLE!$F$15,$M152-$A$15,CO$13)=0,10^12,OFFSET(CRONOPLE!$F$15,$M152-$A$15,CO$13)))</f>
        <v>23</v>
      </c>
      <c r="CP152" s="353" t="n">
        <f aca="true">IF(OR($D152&lt;&gt;"Serviço",AND(AUTOEVENTO="Manual",$M152=$A$15)),0,
         IF(OFFSET(CRONOPLE!$F$15,$M152-$A$15,CP$13)=0,10^12,OFFSET(CRONOPLE!$F$15,$M152-$A$15,CP$13)))</f>
        <v>24</v>
      </c>
      <c r="CQ152" s="353" t="n">
        <f aca="true">IF(OR($D152&lt;&gt;"Serviço",AND(AUTOEVENTO="Manual",$M152=$A$15)),0,
         IF(OFFSET(CRONOPLE!$F$15,$M152-$A$15,CQ$13)=0,10^12,OFFSET(CRONOPLE!$F$15,$M152-$A$15,CQ$13)))</f>
        <v>25</v>
      </c>
      <c r="CR152" s="353" t="n">
        <f aca="true">IF(OR($D152&lt;&gt;"Serviço",AND(AUTOEVENTO="Manual",$M152=$A$15)),0,
         IF(OFFSET(CRONOPLE!$F$15,$M152-$A$15,CR$13)=0,10^12,OFFSET(CRONOPLE!$F$15,$M152-$A$15,CR$13)))</f>
        <v>1000000000000</v>
      </c>
      <c r="CT152" s="354" t="n">
        <f aca="true">IF(OR($D152&lt;&gt;"Serviço",AND(AUTOEVENTO="Manual",$M152=$A$15),$M152&gt;(ROW(PLE.lastrow)-ROW(PLE.firstrow))),0,
           IF(OFFSET(PLE!$G$15,$M152-$A$15,CT$13)="",10^12,OFFSET(PLE!$G$15,$M152-$A$15,CT$13)))</f>
        <v>1000000000000</v>
      </c>
      <c r="CU152" s="354" t="n">
        <f aca="true">IF(OR($D152&lt;&gt;"Serviço",AND(AUTOEVENTO="Manual",$M152=$A$15),$M152&gt;(ROW(PLE.lastrow)-ROW(PLE.firstrow))),0,
           IF(OFFSET(PLE!$G$15,$M152-$A$15,CU$13)="",10^12,OFFSET(PLE!$G$15,$M152-$A$15,CU$13)))</f>
        <v>1000000000000</v>
      </c>
      <c r="CV152" s="354" t="n">
        <f aca="true">IF(OR($D152&lt;&gt;"Serviço",AND(AUTOEVENTO="Manual",$M152=$A$15),$M152&gt;(ROW(PLE.lastrow)-ROW(PLE.firstrow))),0,
           IF(OFFSET(PLE!$G$15,$M152-$A$15,CV$13)="",10^12,OFFSET(PLE!$G$15,$M152-$A$15,CV$13)))</f>
        <v>1000000000000</v>
      </c>
      <c r="CW152" s="354" t="n">
        <f aca="true">IF(OR($D152&lt;&gt;"Serviço",AND(AUTOEVENTO="Manual",$M152=$A$15),$M152&gt;(ROW(PLE.lastrow)-ROW(PLE.firstrow))),0,
           IF(OFFSET(PLE!$G$15,$M152-$A$15,CW$13)="",10^12,OFFSET(PLE!$G$15,$M152-$A$15,CW$13)))</f>
        <v>1000000000000</v>
      </c>
      <c r="CX152" s="354" t="n">
        <f aca="true">IF(OR($D152&lt;&gt;"Serviço",AND(AUTOEVENTO="Manual",$M152=$A$15),$M152&gt;(ROW(PLE.lastrow)-ROW(PLE.firstrow))),0,
           IF(OFFSET(PLE!$G$15,$M152-$A$15,CX$13)="",10^12,OFFSET(PLE!$G$15,$M152-$A$15,CX$13)))</f>
        <v>1000000000000</v>
      </c>
      <c r="CY152" s="354" t="n">
        <f aca="true">IF(OR($D152&lt;&gt;"Serviço",AND(AUTOEVENTO="Manual",$M152=$A$15),$M152&gt;(ROW(PLE.lastrow)-ROW(PLE.firstrow))),0,
           IF(OFFSET(PLE!$G$15,$M152-$A$15,CY$13)="",10^12,OFFSET(PLE!$G$15,$M152-$A$15,CY$13)))</f>
        <v>1000000000000</v>
      </c>
      <c r="CZ152" s="354" t="n">
        <f aca="true">IF(OR($D152&lt;&gt;"Serviço",AND(AUTOEVENTO="Manual",$M152=$A$15),$M152&gt;(ROW(PLE.lastrow)-ROW(PLE.firstrow))),0,
           IF(OFFSET(PLE!$G$15,$M152-$A$15,CZ$13)="",10^12,OFFSET(PLE!$G$15,$M152-$A$15,CZ$13)))</f>
        <v>1000000000000</v>
      </c>
      <c r="DA152" s="354" t="n">
        <f aca="true">IF(OR($D152&lt;&gt;"Serviço",AND(AUTOEVENTO="Manual",$M152=$A$15),$M152&gt;(ROW(PLE.lastrow)-ROW(PLE.firstrow))),0,
           IF(OFFSET(PLE!$G$15,$M152-$A$15,DA$13)="",10^12,OFFSET(PLE!$G$15,$M152-$A$15,DA$13)))</f>
        <v>1000000000000</v>
      </c>
      <c r="DB152" s="354" t="n">
        <f aca="true">IF(OR($D152&lt;&gt;"Serviço",AND(AUTOEVENTO="Manual",$M152=$A$15),$M152&gt;(ROW(PLE.lastrow)-ROW(PLE.firstrow))),0,
           IF(OFFSET(PLE!$G$15,$M152-$A$15,DB$13)="",10^12,OFFSET(PLE!$G$15,$M152-$A$15,DB$13)))</f>
        <v>1000000000000</v>
      </c>
      <c r="DC152" s="354" t="n">
        <f aca="true">IF(OR($D152&lt;&gt;"Serviço",AND(AUTOEVENTO="Manual",$M152=$A$15),$M152&gt;(ROW(PLE.lastrow)-ROW(PLE.firstrow))),0,
           IF(OFFSET(PLE!$G$15,$M152-$A$15,DC$13)="",10^12,OFFSET(PLE!$G$15,$M152-$A$15,DC$13)))</f>
        <v>1000000000000</v>
      </c>
      <c r="DD152" s="354" t="n">
        <f aca="true">IF(OR($D152&lt;&gt;"Serviço",AND(AUTOEVENTO="Manual",$M152=$A$15),$M152&gt;(ROW(PLE.lastrow)-ROW(PLE.firstrow))),0,
           IF(OFFSET(PLE!$G$15,$M152-$A$15,DD$13)="",10^12,OFFSET(PLE!$G$15,$M152-$A$15,DD$13)))</f>
        <v>1000000000000</v>
      </c>
      <c r="DE152" s="354" t="n">
        <f aca="true">IF(OR($D152&lt;&gt;"Serviço",AND(AUTOEVENTO="Manual",$M152=$A$15),$M152&gt;(ROW(PLE.lastrow)-ROW(PLE.firstrow))),0,
           IF(OFFSET(PLE!$G$15,$M152-$A$15,DE$13)="",10^12,OFFSET(PLE!$G$15,$M152-$A$15,DE$13)))</f>
        <v>1000000000000</v>
      </c>
      <c r="DF152" s="354" t="n">
        <f aca="true">IF(OR($D152&lt;&gt;"Serviço",AND(AUTOEVENTO="Manual",$M152=$A$15),$M152&gt;(ROW(PLE.lastrow)-ROW(PLE.firstrow))),0,
           IF(OFFSET(PLE!$G$15,$M152-$A$15,DF$13)="",10^12,OFFSET(PLE!$G$15,$M152-$A$15,DF$13)))</f>
        <v>1000000000000</v>
      </c>
      <c r="DG152" s="354" t="n">
        <f aca="true">IF(OR($D152&lt;&gt;"Serviço",AND(AUTOEVENTO="Manual",$M152=$A$15),$M152&gt;(ROW(PLE.lastrow)-ROW(PLE.firstrow))),0,
           IF(OFFSET(PLE!$G$15,$M152-$A$15,DG$13)="",10^12,OFFSET(PLE!$G$15,$M152-$A$15,DG$13)))</f>
        <v>1000000000000</v>
      </c>
      <c r="DH152" s="354" t="n">
        <f aca="true">IF(OR($D152&lt;&gt;"Serviço",AND(AUTOEVENTO="Manual",$M152=$A$15),$M152&gt;(ROW(PLE.lastrow)-ROW(PLE.firstrow))),0,
           IF(OFFSET(PLE!$G$15,$M152-$A$15,DH$13)="",10^12,OFFSET(PLE!$G$15,$M152-$A$15,DH$13)))</f>
        <v>1000000000000</v>
      </c>
      <c r="DI152" s="354" t="n">
        <f aca="true">IF(OR($D152&lt;&gt;"Serviço",AND(AUTOEVENTO="Manual",$M152=$A$15),$M152&gt;(ROW(PLE.lastrow)-ROW(PLE.firstrow))),0,
           IF(OFFSET(PLE!$G$15,$M152-$A$15,DI$13)="",10^12,OFFSET(PLE!$G$15,$M152-$A$15,DI$13)))</f>
        <v>1000000000000</v>
      </c>
      <c r="DJ152" s="354" t="n">
        <f aca="true">IF(OR($D152&lt;&gt;"Serviço",AND(AUTOEVENTO="Manual",$M152=$A$15),$M152&gt;(ROW(PLE.lastrow)-ROW(PLE.firstrow))),0,
           IF(OFFSET(PLE!$G$15,$M152-$A$15,DJ$13)="",10^12,OFFSET(PLE!$G$15,$M152-$A$15,DJ$13)))</f>
        <v>1000000000000</v>
      </c>
      <c r="DK152" s="354" t="n">
        <f aca="true">IF(OR($D152&lt;&gt;"Serviço",AND(AUTOEVENTO="Manual",$M152=$A$15),$M152&gt;(ROW(PLE.lastrow)-ROW(PLE.firstrow))),0,
           IF(OFFSET(PLE!$G$15,$M152-$A$15,DK$13)="",10^12,OFFSET(PLE!$G$15,$M152-$A$15,DK$13)))</f>
        <v>1000000000000</v>
      </c>
      <c r="DL152" s="354" t="n">
        <f aca="true">IF(OR($D152&lt;&gt;"Serviço",AND(AUTOEVENTO="Manual",$M152=$A$15),$M152&gt;(ROW(PLE.lastrow)-ROW(PLE.firstrow))),0,
           IF(OFFSET(PLE!$G$15,$M152-$A$15,DL$13)="",10^12,OFFSET(PLE!$G$15,$M152-$A$15,DL$13)))</f>
        <v>1000000000000</v>
      </c>
      <c r="DM152" s="354" t="n">
        <f aca="true">IF(OR($D152&lt;&gt;"Serviço",AND(AUTOEVENTO="Manual",$M152=$A$15),$M152&gt;(ROW(PLE.lastrow)-ROW(PLE.firstrow))),0,
           IF(OFFSET(PLE!$G$15,$M152-$A$15,DM$13)="",10^12,OFFSET(PLE!$G$15,$M152-$A$15,DM$13)))</f>
        <v>1000000000000</v>
      </c>
      <c r="DN152" s="354" t="n">
        <f aca="true">IF(OR($D152&lt;&gt;"Serviço",AND(AUTOEVENTO="Manual",$M152=$A$15),$M152&gt;(ROW(PLE.lastrow)-ROW(PLE.firstrow))),0,
           IF(OFFSET(PLE!$G$15,$M152-$A$15,DN$13)="",10^12,OFFSET(PLE!$G$15,$M152-$A$15,DN$13)))</f>
        <v>1000000000000</v>
      </c>
      <c r="DO152" s="354" t="n">
        <f aca="true">IF(OR($D152&lt;&gt;"Serviço",AND(AUTOEVENTO="Manual",$M152=$A$15),$M152&gt;(ROW(PLE.lastrow)-ROW(PLE.firstrow))),0,
           IF(OFFSET(PLE!$G$15,$M152-$A$15,DO$13)="",10^12,OFFSET(PLE!$G$15,$M152-$A$15,DO$13)))</f>
        <v>1000000000000</v>
      </c>
      <c r="DP152" s="354" t="n">
        <f aca="true">IF(OR($D152&lt;&gt;"Serviço",AND(AUTOEVENTO="Manual",$M152=$A$15),$M152&gt;(ROW(PLE.lastrow)-ROW(PLE.firstrow))),0,
           IF(OFFSET(PLE!$G$15,$M152-$A$15,DP$13)="",10^12,OFFSET(PLE!$G$15,$M152-$A$15,DP$13)))</f>
        <v>1000000000000</v>
      </c>
      <c r="DQ152" s="354" t="n">
        <f aca="true">IF(OR($D152&lt;&gt;"Serviço",AND(AUTOEVENTO="Manual",$M152=$A$15),$M152&gt;(ROW(PLE.lastrow)-ROW(PLE.firstrow))),0,
           IF(OFFSET(PLE!$G$15,$M152-$A$15,DQ$13)="",10^12,OFFSET(PLE!$G$15,$M152-$A$15,DQ$13)))</f>
        <v>1000000000000</v>
      </c>
      <c r="DR152" s="354" t="n">
        <f aca="true">IF(OR($D152&lt;&gt;"Serviço",AND(AUTOEVENTO="Manual",$M152=$A$15),$M152&gt;(ROW(PLE.lastrow)-ROW(PLE.firstrow))),0,
           IF(OFFSET(PLE!$G$15,$M152-$A$15,DR$13)="",10^12,OFFSET(PLE!$G$15,$M152-$A$15,DR$13)))</f>
        <v>1000000000000</v>
      </c>
      <c r="DS152" s="354" t="n">
        <f aca="true">IF(OR($D152&lt;&gt;"Serviço",AND(AUTOEVENTO="Manual",$M152=$A$15),$M152&gt;(ROW(PLE.lastrow)-ROW(PLE.firstrow))),0,
           IF(OFFSET(PLE!$G$15,$M152-$A$15,DS$13)="",10^12,OFFSET(PLE!$G$15,$M152-$A$15,DS$13)))</f>
        <v>1000000000000</v>
      </c>
    </row>
    <row r="153" customFormat="false" ht="23.85" hidden="false" customHeight="false" outlineLevel="0" collapsed="false">
      <c r="A153" s="50" t="str">
        <f aca="true">IFERROR(IF(AUTOEVENTO="Manual",IF(K153&lt;&gt;"",MIN(VALUE(LEFT(K153,FIND(".",K153)-1)),COUNTA(EVENTOS.Lista)),0),IF(OR($B153&gt;AUTOEVENTO,$B153="S",$B153=0),SUBSTITUTE(OFFSET($A153,-1,0),IF($D153="Serviço",".",""),""),ROW(A153)-ROW($A$15)&amp;".")),0)</f>
        <v>133</v>
      </c>
      <c r="B153" s="50" t="str">
        <f aca="true">OFFSET(ORÇAMENTO!C$15,ROW(B153)-ROW(B$15),0)</f>
        <v>S</v>
      </c>
      <c r="C153" s="50" t="str">
        <f aca="true">OFFSET(ORÇAMENTO!L$15,ROW(C153)-ROW(C$15),0)</f>
        <v>F</v>
      </c>
      <c r="D153" s="201" t="str">
        <f aca="true">OFFSET(ORÇAMENTO!N$15,ROW(D153)-ROW(D$15),0)</f>
        <v>Serviço</v>
      </c>
      <c r="E153" s="202" t="str">
        <f aca="true">OFFSET(ORÇAMENTO!O$15,ROW(E153)-ROW(E$15),0)</f>
        <v>1.42.5.</v>
      </c>
      <c r="F153" s="341" t="str">
        <f aca="true">OFFSET(ORÇAMENTO!R$15,ROW(F153)-ROW(F$15),0)</f>
        <v>TUBO, PVC, SOLDÁVEL, DE 25MM, INSTALADO EM PRUMADA DE ÁGUA - FORNECIMENTO E INSTALAÇÃO. AF_06/2022</v>
      </c>
      <c r="G153" s="342" t="str">
        <f aca="true">IF($D153&lt;&gt;"Serviço","",OFFSET(ORÇAMENTO!S$15,ROW(G153)-ROW(G$15),0))</f>
        <v>M</v>
      </c>
      <c r="H153" s="207" t="n">
        <f aca="true">IF($D153&lt;&gt;"Serviço",0,IF(ACOMPANHAMENTO="BM",ROUND(OFFSET(ORÇAMENTO!AJ$15,ROW(H153)-ROW(H$15),0),15-13*ORÇAMENTO!$AF$7),SUMPRODUCT(($Q$1:$AQ$1=1)*ROUND($Q153:$AQ153,15-13*ORÇAMENTO!$AF$7))))</f>
        <v>75</v>
      </c>
      <c r="I153" s="343" t="s">
        <v>970</v>
      </c>
      <c r="J153" s="344" t="e">
        <f aca="false">IF(OR(B153&lt;&gt;"S",CÁLCULO.FrentesPreenchidas=0),"",IF(AND(ACOMPANHAMENTO="PLE",AUTOEVENTO="Manual",OR(H153&gt;0,ORÇAMENTO!AC153="QUANT."),OR(K153="",M153=0,N153="")),"►",IF(AND(ACOMPANHAMENTO="PLE",ORÇAMENTO!AC153="QUANT."),"►►",IF(AND(COUNTIF($P$11:$AQ$11,"▼")=0,H153&gt;0,I153=""),"◄",""))))</f>
        <v>#NAME?</v>
      </c>
      <c r="K153" s="345"/>
      <c r="L153" s="346" t="s">
        <v>876</v>
      </c>
      <c r="M153" s="347" t="n">
        <f aca="true">IF($D153&lt;&gt;"Serviço","",
          IF(AUTOEVENTO="manual",$A153,
                IF(ISERROR(MATCH($A153,$A$15:OFFSET($A153,-1,0),0)),MAX($M$15:OFFSET(M153,-1,0))+1,
                      INDEX($M$15:OFFSET(M153,-1,0),MATCH($A153,$A$15:OFFSET($A153,-1,0),0)))))</f>
        <v>26</v>
      </c>
      <c r="N153" s="348" t="str">
        <f aca="true">IF($D153&lt;&gt;"Serviço","",
         IF(AUTOEVENTO="Manual",
                IF($A153=0,"&lt;-- defina o número do agrupador",
                       OFFSET(EVENTOS!$D$15,$A153-$A$15,0)),
                OFFSET($F$15,$A153,0)))</f>
        <v>ENTRADA / ALIMENTAÇÃO</v>
      </c>
      <c r="O153" s="349"/>
      <c r="Q153" s="349" t="n">
        <v>3</v>
      </c>
      <c r="R153" s="350" t="n">
        <f aca="false">Q153</f>
        <v>3</v>
      </c>
      <c r="S153" s="350" t="n">
        <f aca="false">R153</f>
        <v>3</v>
      </c>
      <c r="T153" s="350" t="n">
        <f aca="false">S153</f>
        <v>3</v>
      </c>
      <c r="U153" s="350" t="n">
        <f aca="false">T153</f>
        <v>3</v>
      </c>
      <c r="V153" s="350" t="n">
        <f aca="false">U153</f>
        <v>3</v>
      </c>
      <c r="W153" s="350" t="n">
        <f aca="false">V153</f>
        <v>3</v>
      </c>
      <c r="X153" s="350" t="n">
        <f aca="false">W153</f>
        <v>3</v>
      </c>
      <c r="Y153" s="350" t="n">
        <f aca="false">X153</f>
        <v>3</v>
      </c>
      <c r="Z153" s="351" t="n">
        <f aca="false">Y153</f>
        <v>3</v>
      </c>
      <c r="AA153" s="350" t="n">
        <f aca="false">Z153</f>
        <v>3</v>
      </c>
      <c r="AB153" s="350" t="n">
        <f aca="false">AA153</f>
        <v>3</v>
      </c>
      <c r="AC153" s="350" t="n">
        <f aca="false">AB153</f>
        <v>3</v>
      </c>
      <c r="AD153" s="350" t="n">
        <f aca="false">AC153</f>
        <v>3</v>
      </c>
      <c r="AE153" s="350" t="n">
        <f aca="false">AD153</f>
        <v>3</v>
      </c>
      <c r="AF153" s="350" t="n">
        <f aca="false">AE153</f>
        <v>3</v>
      </c>
      <c r="AG153" s="350" t="n">
        <f aca="false">AF153</f>
        <v>3</v>
      </c>
      <c r="AH153" s="351" t="n">
        <f aca="false">AG153</f>
        <v>3</v>
      </c>
      <c r="AI153" s="350" t="n">
        <f aca="false">AH153</f>
        <v>3</v>
      </c>
      <c r="AJ153" s="350" t="n">
        <f aca="false">AI153</f>
        <v>3</v>
      </c>
      <c r="AK153" s="350" t="n">
        <f aca="false">AJ153</f>
        <v>3</v>
      </c>
      <c r="AL153" s="350" t="n">
        <f aca="false">AK153</f>
        <v>3</v>
      </c>
      <c r="AM153" s="350" t="n">
        <f aca="false">AL153</f>
        <v>3</v>
      </c>
      <c r="AN153" s="350" t="n">
        <f aca="false">AM153</f>
        <v>3</v>
      </c>
      <c r="AO153" s="350" t="n">
        <f aca="false">AN153</f>
        <v>3</v>
      </c>
      <c r="AP153" s="351"/>
      <c r="AR153" s="352" t="n">
        <f aca="true">IF(AND($D153="Serviço",AR$12&lt;&gt;0,$H153&gt;0,OR(AUTOEVENTO&lt;&gt;"manual",$M153&lt;&gt;$A$15)),
        IF(Import.TipoArredondamento&lt;&gt;"TransfereGOV",
              ROUND(OFFSET($P153,0,AR$13),15-13*ORÇAMENTO!$AF$7)/$H153*OFFSET(ORÇAMENTO!$X$15,ROW(AR153)-ROW(AR$15),0),
              ROUND(ROUND(OFFSET($P153,0,AR$13),15-13*ORÇAMENTO!$AF$7)*OFFSET(ORÇAMENTO!$W$15,ROW(AR153)-ROW(AR$15),0),15-13*ORÇAMENTO!$AF$11)),
         0)</f>
        <v>20.01</v>
      </c>
      <c r="AS153" s="352" t="n">
        <f aca="true">IF(AND($D153="Serviço",AS$12&lt;&gt;0,$H153&gt;0,OR(AUTOEVENTO&lt;&gt;"manual",$M153&lt;&gt;$A$15)),
        IF(Import.TipoArredondamento&lt;&gt;"TransfereGOV",
              ROUND(OFFSET($P153,0,AS$13),15-13*ORÇAMENTO!$AF$7)/$H153*OFFSET(ORÇAMENTO!$X$15,ROW(AS153)-ROW(AS$15),0),
              ROUND(ROUND(OFFSET($P153,0,AS$13),15-13*ORÇAMENTO!$AF$7)*OFFSET(ORÇAMENTO!$W$15,ROW(AS153)-ROW(AS$15),0),15-13*ORÇAMENTO!$AF$11)),
         0)</f>
        <v>20.01</v>
      </c>
      <c r="AT153" s="352" t="n">
        <f aca="true">IF(AND($D153="Serviço",AT$12&lt;&gt;0,$H153&gt;0,OR(AUTOEVENTO&lt;&gt;"manual",$M153&lt;&gt;$A$15)),
        IF(Import.TipoArredondamento&lt;&gt;"TransfereGOV",
              ROUND(OFFSET($P153,0,AT$13),15-13*ORÇAMENTO!$AF$7)/$H153*OFFSET(ORÇAMENTO!$X$15,ROW(AT153)-ROW(AT$15),0),
              ROUND(ROUND(OFFSET($P153,0,AT$13),15-13*ORÇAMENTO!$AF$7)*OFFSET(ORÇAMENTO!$W$15,ROW(AT153)-ROW(AT$15),0),15-13*ORÇAMENTO!$AF$11)),
         0)</f>
        <v>20.01</v>
      </c>
      <c r="AU153" s="352" t="n">
        <f aca="true">IF(AND($D153="Serviço",AU$12&lt;&gt;0,$H153&gt;0,OR(AUTOEVENTO&lt;&gt;"manual",$M153&lt;&gt;$A$15)),
        IF(Import.TipoArredondamento&lt;&gt;"TransfereGOV",
              ROUND(OFFSET($P153,0,AU$13),15-13*ORÇAMENTO!$AF$7)/$H153*OFFSET(ORÇAMENTO!$X$15,ROW(AU153)-ROW(AU$15),0),
              ROUND(ROUND(OFFSET($P153,0,AU$13),15-13*ORÇAMENTO!$AF$7)*OFFSET(ORÇAMENTO!$W$15,ROW(AU153)-ROW(AU$15),0),15-13*ORÇAMENTO!$AF$11)),
         0)</f>
        <v>20.01</v>
      </c>
      <c r="AV153" s="352" t="n">
        <f aca="true">IF(AND($D153="Serviço",AV$12&lt;&gt;0,$H153&gt;0,OR(AUTOEVENTO&lt;&gt;"manual",$M153&lt;&gt;$A$15)),
        IF(Import.TipoArredondamento&lt;&gt;"TransfereGOV",
              ROUND(OFFSET($P153,0,AV$13),15-13*ORÇAMENTO!$AF$7)/$H153*OFFSET(ORÇAMENTO!$X$15,ROW(AV153)-ROW(AV$15),0),
              ROUND(ROUND(OFFSET($P153,0,AV$13),15-13*ORÇAMENTO!$AF$7)*OFFSET(ORÇAMENTO!$W$15,ROW(AV153)-ROW(AV$15),0),15-13*ORÇAMENTO!$AF$11)),
         0)</f>
        <v>20.01</v>
      </c>
      <c r="AW153" s="352" t="n">
        <f aca="true">IF(AND($D153="Serviço",AW$12&lt;&gt;0,$H153&gt;0,OR(AUTOEVENTO&lt;&gt;"manual",$M153&lt;&gt;$A$15)),
        IF(Import.TipoArredondamento&lt;&gt;"TransfereGOV",
              ROUND(OFFSET($P153,0,AW$13),15-13*ORÇAMENTO!$AF$7)/$H153*OFFSET(ORÇAMENTO!$X$15,ROW(AW153)-ROW(AW$15),0),
              ROUND(ROUND(OFFSET($P153,0,AW$13),15-13*ORÇAMENTO!$AF$7)*OFFSET(ORÇAMENTO!$W$15,ROW(AW153)-ROW(AW$15),0),15-13*ORÇAMENTO!$AF$11)),
         0)</f>
        <v>20.01</v>
      </c>
      <c r="AX153" s="352" t="n">
        <f aca="true">IF(AND($D153="Serviço",AX$12&lt;&gt;0,$H153&gt;0,OR(AUTOEVENTO&lt;&gt;"manual",$M153&lt;&gt;$A$15)),
        IF(Import.TipoArredondamento&lt;&gt;"TransfereGOV",
              ROUND(OFFSET($P153,0,AX$13),15-13*ORÇAMENTO!$AF$7)/$H153*OFFSET(ORÇAMENTO!$X$15,ROW(AX153)-ROW(AX$15),0),
              ROUND(ROUND(OFFSET($P153,0,AX$13),15-13*ORÇAMENTO!$AF$7)*OFFSET(ORÇAMENTO!$W$15,ROW(AX153)-ROW(AX$15),0),15-13*ORÇAMENTO!$AF$11)),
         0)</f>
        <v>20.01</v>
      </c>
      <c r="AY153" s="352" t="n">
        <f aca="true">IF(AND($D153="Serviço",AY$12&lt;&gt;0,$H153&gt;0,OR(AUTOEVENTO&lt;&gt;"manual",$M153&lt;&gt;$A$15)),
        IF(Import.TipoArredondamento&lt;&gt;"TransfereGOV",
              ROUND(OFFSET($P153,0,AY$13),15-13*ORÇAMENTO!$AF$7)/$H153*OFFSET(ORÇAMENTO!$X$15,ROW(AY153)-ROW(AY$15),0),
              ROUND(ROUND(OFFSET($P153,0,AY$13),15-13*ORÇAMENTO!$AF$7)*OFFSET(ORÇAMENTO!$W$15,ROW(AY153)-ROW(AY$15),0),15-13*ORÇAMENTO!$AF$11)),
         0)</f>
        <v>20.01</v>
      </c>
      <c r="AZ153" s="352" t="n">
        <f aca="true">IF(AND($D153="Serviço",AZ$12&lt;&gt;0,$H153&gt;0,OR(AUTOEVENTO&lt;&gt;"manual",$M153&lt;&gt;$A$15)),
        IF(Import.TipoArredondamento&lt;&gt;"TransfereGOV",
              ROUND(OFFSET($P153,0,AZ$13),15-13*ORÇAMENTO!$AF$7)/$H153*OFFSET(ORÇAMENTO!$X$15,ROW(AZ153)-ROW(AZ$15),0),
              ROUND(ROUND(OFFSET($P153,0,AZ$13),15-13*ORÇAMENTO!$AF$7)*OFFSET(ORÇAMENTO!$W$15,ROW(AZ153)-ROW(AZ$15),0),15-13*ORÇAMENTO!$AF$11)),
         0)</f>
        <v>20.01</v>
      </c>
      <c r="BA153" s="352" t="n">
        <f aca="true">IF(AND($D153="Serviço",BA$12&lt;&gt;0,$H153&gt;0,OR(AUTOEVENTO&lt;&gt;"manual",$M153&lt;&gt;$A$15)),
        IF(Import.TipoArredondamento&lt;&gt;"TransfereGOV",
              ROUND(OFFSET($P153,0,BA$13),15-13*ORÇAMENTO!$AF$7)/$H153*OFFSET(ORÇAMENTO!$X$15,ROW(BA153)-ROW(BA$15),0),
              ROUND(ROUND(OFFSET($P153,0,BA$13),15-13*ORÇAMENTO!$AF$7)*OFFSET(ORÇAMENTO!$W$15,ROW(BA153)-ROW(BA$15),0),15-13*ORÇAMENTO!$AF$11)),
         0)</f>
        <v>20.01</v>
      </c>
      <c r="BB153" s="352" t="n">
        <f aca="true">IF(AND($D153="Serviço",BB$12&lt;&gt;0,$H153&gt;0,OR(AUTOEVENTO&lt;&gt;"manual",$M153&lt;&gt;$A$15)),
        IF(Import.TipoArredondamento&lt;&gt;"TransfereGOV",
              ROUND(OFFSET($P153,0,BB$13),15-13*ORÇAMENTO!$AF$7)/$H153*OFFSET(ORÇAMENTO!$X$15,ROW(BB153)-ROW(BB$15),0),
              ROUND(ROUND(OFFSET($P153,0,BB$13),15-13*ORÇAMENTO!$AF$7)*OFFSET(ORÇAMENTO!$W$15,ROW(BB153)-ROW(BB$15),0),15-13*ORÇAMENTO!$AF$11)),
         0)</f>
        <v>20.01</v>
      </c>
      <c r="BC153" s="352" t="n">
        <f aca="true">IF(AND($D153="Serviço",BC$12&lt;&gt;0,$H153&gt;0,OR(AUTOEVENTO&lt;&gt;"manual",$M153&lt;&gt;$A$15)),
        IF(Import.TipoArredondamento&lt;&gt;"TransfereGOV",
              ROUND(OFFSET($P153,0,BC$13),15-13*ORÇAMENTO!$AF$7)/$H153*OFFSET(ORÇAMENTO!$X$15,ROW(BC153)-ROW(BC$15),0),
              ROUND(ROUND(OFFSET($P153,0,BC$13),15-13*ORÇAMENTO!$AF$7)*OFFSET(ORÇAMENTO!$W$15,ROW(BC153)-ROW(BC$15),0),15-13*ORÇAMENTO!$AF$11)),
         0)</f>
        <v>20.01</v>
      </c>
      <c r="BD153" s="352" t="n">
        <f aca="true">IF(AND($D153="Serviço",BD$12&lt;&gt;0,$H153&gt;0,OR(AUTOEVENTO&lt;&gt;"manual",$M153&lt;&gt;$A$15)),
        IF(Import.TipoArredondamento&lt;&gt;"TransfereGOV",
              ROUND(OFFSET($P153,0,BD$13),15-13*ORÇAMENTO!$AF$7)/$H153*OFFSET(ORÇAMENTO!$X$15,ROW(BD153)-ROW(BD$15),0),
              ROUND(ROUND(OFFSET($P153,0,BD$13),15-13*ORÇAMENTO!$AF$7)*OFFSET(ORÇAMENTO!$W$15,ROW(BD153)-ROW(BD$15),0),15-13*ORÇAMENTO!$AF$11)),
         0)</f>
        <v>20.01</v>
      </c>
      <c r="BE153" s="352" t="n">
        <f aca="true">IF(AND($D153="Serviço",BE$12&lt;&gt;0,$H153&gt;0,OR(AUTOEVENTO&lt;&gt;"manual",$M153&lt;&gt;$A$15)),
        IF(Import.TipoArredondamento&lt;&gt;"TransfereGOV",
              ROUND(OFFSET($P153,0,BE$13),15-13*ORÇAMENTO!$AF$7)/$H153*OFFSET(ORÇAMENTO!$X$15,ROW(BE153)-ROW(BE$15),0),
              ROUND(ROUND(OFFSET($P153,0,BE$13),15-13*ORÇAMENTO!$AF$7)*OFFSET(ORÇAMENTO!$W$15,ROW(BE153)-ROW(BE$15),0),15-13*ORÇAMENTO!$AF$11)),
         0)</f>
        <v>20.01</v>
      </c>
      <c r="BF153" s="352" t="n">
        <f aca="true">IF(AND($D153="Serviço",BF$12&lt;&gt;0,$H153&gt;0,OR(AUTOEVENTO&lt;&gt;"manual",$M153&lt;&gt;$A$15)),
        IF(Import.TipoArredondamento&lt;&gt;"TransfereGOV",
              ROUND(OFFSET($P153,0,BF$13),15-13*ORÇAMENTO!$AF$7)/$H153*OFFSET(ORÇAMENTO!$X$15,ROW(BF153)-ROW(BF$15),0),
              ROUND(ROUND(OFFSET($P153,0,BF$13),15-13*ORÇAMENTO!$AF$7)*OFFSET(ORÇAMENTO!$W$15,ROW(BF153)-ROW(BF$15),0),15-13*ORÇAMENTO!$AF$11)),
         0)</f>
        <v>20.01</v>
      </c>
      <c r="BG153" s="352" t="n">
        <f aca="true">IF(AND($D153="Serviço",BG$12&lt;&gt;0,$H153&gt;0,OR(AUTOEVENTO&lt;&gt;"manual",$M153&lt;&gt;$A$15)),
        IF(Import.TipoArredondamento&lt;&gt;"TransfereGOV",
              ROUND(OFFSET($P153,0,BG$13),15-13*ORÇAMENTO!$AF$7)/$H153*OFFSET(ORÇAMENTO!$X$15,ROW(BG153)-ROW(BG$15),0),
              ROUND(ROUND(OFFSET($P153,0,BG$13),15-13*ORÇAMENTO!$AF$7)*OFFSET(ORÇAMENTO!$W$15,ROW(BG153)-ROW(BG$15),0),15-13*ORÇAMENTO!$AF$11)),
         0)</f>
        <v>20.01</v>
      </c>
      <c r="BH153" s="352" t="n">
        <f aca="true">IF(AND($D153="Serviço",BH$12&lt;&gt;0,$H153&gt;0,OR(AUTOEVENTO&lt;&gt;"manual",$M153&lt;&gt;$A$15)),
        IF(Import.TipoArredondamento&lt;&gt;"TransfereGOV",
              ROUND(OFFSET($P153,0,BH$13),15-13*ORÇAMENTO!$AF$7)/$H153*OFFSET(ORÇAMENTO!$X$15,ROW(BH153)-ROW(BH$15),0),
              ROUND(ROUND(OFFSET($P153,0,BH$13),15-13*ORÇAMENTO!$AF$7)*OFFSET(ORÇAMENTO!$W$15,ROW(BH153)-ROW(BH$15),0),15-13*ORÇAMENTO!$AF$11)),
         0)</f>
        <v>20.01</v>
      </c>
      <c r="BI153" s="352" t="n">
        <f aca="true">IF(AND($D153="Serviço",BI$12&lt;&gt;0,$H153&gt;0,OR(AUTOEVENTO&lt;&gt;"manual",$M153&lt;&gt;$A$15)),
        IF(Import.TipoArredondamento&lt;&gt;"TransfereGOV",
              ROUND(OFFSET($P153,0,BI$13),15-13*ORÇAMENTO!$AF$7)/$H153*OFFSET(ORÇAMENTO!$X$15,ROW(BI153)-ROW(BI$15),0),
              ROUND(ROUND(OFFSET($P153,0,BI$13),15-13*ORÇAMENTO!$AF$7)*OFFSET(ORÇAMENTO!$W$15,ROW(BI153)-ROW(BI$15),0),15-13*ORÇAMENTO!$AF$11)),
         0)</f>
        <v>20.01</v>
      </c>
      <c r="BJ153" s="352" t="n">
        <f aca="true">IF(AND($D153="Serviço",BJ$12&lt;&gt;0,$H153&gt;0,OR(AUTOEVENTO&lt;&gt;"manual",$M153&lt;&gt;$A$15)),
        IF(Import.TipoArredondamento&lt;&gt;"TransfereGOV",
              ROUND(OFFSET($P153,0,BJ$13),15-13*ORÇAMENTO!$AF$7)/$H153*OFFSET(ORÇAMENTO!$X$15,ROW(BJ153)-ROW(BJ$15),0),
              ROUND(ROUND(OFFSET($P153,0,BJ$13),15-13*ORÇAMENTO!$AF$7)*OFFSET(ORÇAMENTO!$W$15,ROW(BJ153)-ROW(BJ$15),0),15-13*ORÇAMENTO!$AF$11)),
         0)</f>
        <v>20.01</v>
      </c>
      <c r="BK153" s="352" t="n">
        <f aca="true">IF(AND($D153="Serviço",BK$12&lt;&gt;0,$H153&gt;0,OR(AUTOEVENTO&lt;&gt;"manual",$M153&lt;&gt;$A$15)),
        IF(Import.TipoArredondamento&lt;&gt;"TransfereGOV",
              ROUND(OFFSET($P153,0,BK$13),15-13*ORÇAMENTO!$AF$7)/$H153*OFFSET(ORÇAMENTO!$X$15,ROW(BK153)-ROW(BK$15),0),
              ROUND(ROUND(OFFSET($P153,0,BK$13),15-13*ORÇAMENTO!$AF$7)*OFFSET(ORÇAMENTO!$W$15,ROW(BK153)-ROW(BK$15),0),15-13*ORÇAMENTO!$AF$11)),
         0)</f>
        <v>20.01</v>
      </c>
      <c r="BL153" s="352" t="n">
        <f aca="true">IF(AND($D153="Serviço",BL$12&lt;&gt;0,$H153&gt;0,OR(AUTOEVENTO&lt;&gt;"manual",$M153&lt;&gt;$A$15)),
        IF(Import.TipoArredondamento&lt;&gt;"TransfereGOV",
              ROUND(OFFSET($P153,0,BL$13),15-13*ORÇAMENTO!$AF$7)/$H153*OFFSET(ORÇAMENTO!$X$15,ROW(BL153)-ROW(BL$15),0),
              ROUND(ROUND(OFFSET($P153,0,BL$13),15-13*ORÇAMENTO!$AF$7)*OFFSET(ORÇAMENTO!$W$15,ROW(BL153)-ROW(BL$15),0),15-13*ORÇAMENTO!$AF$11)),
         0)</f>
        <v>20.01</v>
      </c>
      <c r="BM153" s="352" t="n">
        <f aca="true">IF(AND($D153="Serviço",BM$12&lt;&gt;0,$H153&gt;0,OR(AUTOEVENTO&lt;&gt;"manual",$M153&lt;&gt;$A$15)),
        IF(Import.TipoArredondamento&lt;&gt;"TransfereGOV",
              ROUND(OFFSET($P153,0,BM$13),15-13*ORÇAMENTO!$AF$7)/$H153*OFFSET(ORÇAMENTO!$X$15,ROW(BM153)-ROW(BM$15),0),
              ROUND(ROUND(OFFSET($P153,0,BM$13),15-13*ORÇAMENTO!$AF$7)*OFFSET(ORÇAMENTO!$W$15,ROW(BM153)-ROW(BM$15),0),15-13*ORÇAMENTO!$AF$11)),
         0)</f>
        <v>20.01</v>
      </c>
      <c r="BN153" s="352" t="n">
        <f aca="true">IF(AND($D153="Serviço",BN$12&lt;&gt;0,$H153&gt;0,OR(AUTOEVENTO&lt;&gt;"manual",$M153&lt;&gt;$A$15)),
        IF(Import.TipoArredondamento&lt;&gt;"TransfereGOV",
              ROUND(OFFSET($P153,0,BN$13),15-13*ORÇAMENTO!$AF$7)/$H153*OFFSET(ORÇAMENTO!$X$15,ROW(BN153)-ROW(BN$15),0),
              ROUND(ROUND(OFFSET($P153,0,BN$13),15-13*ORÇAMENTO!$AF$7)*OFFSET(ORÇAMENTO!$W$15,ROW(BN153)-ROW(BN$15),0),15-13*ORÇAMENTO!$AF$11)),
         0)</f>
        <v>20.01</v>
      </c>
      <c r="BO153" s="352" t="n">
        <f aca="true">IF(AND($D153="Serviço",BO$12&lt;&gt;0,$H153&gt;0,OR(AUTOEVENTO&lt;&gt;"manual",$M153&lt;&gt;$A$15)),
        IF(Import.TipoArredondamento&lt;&gt;"TransfereGOV",
              ROUND(OFFSET($P153,0,BO$13),15-13*ORÇAMENTO!$AF$7)/$H153*OFFSET(ORÇAMENTO!$X$15,ROW(BO153)-ROW(BO$15),0),
              ROUND(ROUND(OFFSET($P153,0,BO$13),15-13*ORÇAMENTO!$AF$7)*OFFSET(ORÇAMENTO!$W$15,ROW(BO153)-ROW(BO$15),0),15-13*ORÇAMENTO!$AF$11)),
         0)</f>
        <v>20.01</v>
      </c>
      <c r="BP153" s="352" t="n">
        <f aca="true">IF(AND($D153="Serviço",BP$12&lt;&gt;0,$H153&gt;0,OR(AUTOEVENTO&lt;&gt;"manual",$M153&lt;&gt;$A$15)),
        IF(Import.TipoArredondamento&lt;&gt;"TransfereGOV",
              ROUND(OFFSET($P153,0,BP$13),15-13*ORÇAMENTO!$AF$7)/$H153*OFFSET(ORÇAMENTO!$X$15,ROW(BP153)-ROW(BP$15),0),
              ROUND(ROUND(OFFSET($P153,0,BP$13),15-13*ORÇAMENTO!$AF$7)*OFFSET(ORÇAMENTO!$W$15,ROW(BP153)-ROW(BP$15),0),15-13*ORÇAMENTO!$AF$11)),
         0)</f>
        <v>20.01</v>
      </c>
      <c r="BQ153" s="352" t="n">
        <f aca="true">IF(AND($D153="Serviço",BQ$12&lt;&gt;0,$H153&gt;0,OR(AUTOEVENTO&lt;&gt;"manual",$M153&lt;&gt;$A$15)),
        IF(Import.TipoArredondamento&lt;&gt;"TransfereGOV",
              ROUND(OFFSET($P153,0,BQ$13),15-13*ORÇAMENTO!$AF$7)/$H153*OFFSET(ORÇAMENTO!$X$15,ROW(BQ153)-ROW(BQ$15),0),
              ROUND(ROUND(OFFSET($P153,0,BQ$13),15-13*ORÇAMENTO!$AF$7)*OFFSET(ORÇAMENTO!$W$15,ROW(BQ153)-ROW(BQ$15),0),15-13*ORÇAMENTO!$AF$11)),
         0)</f>
        <v>0</v>
      </c>
      <c r="BS153" s="353" t="n">
        <f aca="true">IF(OR($D153&lt;&gt;"Serviço",AND(AUTOEVENTO="Manual",$M153=$A$15)),0,
         IF(OFFSET(CRONOPLE!$F$15,$M153-$A$15,BS$13)=0,10^12,OFFSET(CRONOPLE!$F$15,$M153-$A$15,BS$13)))</f>
        <v>1</v>
      </c>
      <c r="BT153" s="353" t="n">
        <f aca="true">IF(OR($D153&lt;&gt;"Serviço",AND(AUTOEVENTO="Manual",$M153=$A$15)),0,
         IF(OFFSET(CRONOPLE!$F$15,$M153-$A$15,BT$13)=0,10^12,OFFSET(CRONOPLE!$F$15,$M153-$A$15,BT$13)))</f>
        <v>2</v>
      </c>
      <c r="BU153" s="353" t="n">
        <f aca="true">IF(OR($D153&lt;&gt;"Serviço",AND(AUTOEVENTO="Manual",$M153=$A$15)),0,
         IF(OFFSET(CRONOPLE!$F$15,$M153-$A$15,BU$13)=0,10^12,OFFSET(CRONOPLE!$F$15,$M153-$A$15,BU$13)))</f>
        <v>3</v>
      </c>
      <c r="BV153" s="353" t="n">
        <f aca="true">IF(OR($D153&lt;&gt;"Serviço",AND(AUTOEVENTO="Manual",$M153=$A$15)),0,
         IF(OFFSET(CRONOPLE!$F$15,$M153-$A$15,BV$13)=0,10^12,OFFSET(CRONOPLE!$F$15,$M153-$A$15,BV$13)))</f>
        <v>4</v>
      </c>
      <c r="BW153" s="353" t="n">
        <f aca="true">IF(OR($D153&lt;&gt;"Serviço",AND(AUTOEVENTO="Manual",$M153=$A$15)),0,
         IF(OFFSET(CRONOPLE!$F$15,$M153-$A$15,BW$13)=0,10^12,OFFSET(CRONOPLE!$F$15,$M153-$A$15,BW$13)))</f>
        <v>5</v>
      </c>
      <c r="BX153" s="353" t="n">
        <f aca="true">IF(OR($D153&lt;&gt;"Serviço",AND(AUTOEVENTO="Manual",$M153=$A$15)),0,
         IF(OFFSET(CRONOPLE!$F$15,$M153-$A$15,BX$13)=0,10^12,OFFSET(CRONOPLE!$F$15,$M153-$A$15,BX$13)))</f>
        <v>6</v>
      </c>
      <c r="BY153" s="353" t="n">
        <f aca="true">IF(OR($D153&lt;&gt;"Serviço",AND(AUTOEVENTO="Manual",$M153=$A$15)),0,
         IF(OFFSET(CRONOPLE!$F$15,$M153-$A$15,BY$13)=0,10^12,OFFSET(CRONOPLE!$F$15,$M153-$A$15,BY$13)))</f>
        <v>7</v>
      </c>
      <c r="BZ153" s="353" t="n">
        <f aca="true">IF(OR($D153&lt;&gt;"Serviço",AND(AUTOEVENTO="Manual",$M153=$A$15)),0,
         IF(OFFSET(CRONOPLE!$F$15,$M153-$A$15,BZ$13)=0,10^12,OFFSET(CRONOPLE!$F$15,$M153-$A$15,BZ$13)))</f>
        <v>8</v>
      </c>
      <c r="CA153" s="353" t="n">
        <f aca="true">IF(OR($D153&lt;&gt;"Serviço",AND(AUTOEVENTO="Manual",$M153=$A$15)),0,
         IF(OFFSET(CRONOPLE!$F$15,$M153-$A$15,CA$13)=0,10^12,OFFSET(CRONOPLE!$F$15,$M153-$A$15,CA$13)))</f>
        <v>9</v>
      </c>
      <c r="CB153" s="353" t="n">
        <f aca="true">IF(OR($D153&lt;&gt;"Serviço",AND(AUTOEVENTO="Manual",$M153=$A$15)),0,
         IF(OFFSET(CRONOPLE!$F$15,$M153-$A$15,CB$13)=0,10^12,OFFSET(CRONOPLE!$F$15,$M153-$A$15,CB$13)))</f>
        <v>10</v>
      </c>
      <c r="CC153" s="353" t="n">
        <f aca="true">IF(OR($D153&lt;&gt;"Serviço",AND(AUTOEVENTO="Manual",$M153=$A$15)),0,
         IF(OFFSET(CRONOPLE!$F$15,$M153-$A$15,CC$13)=0,10^12,OFFSET(CRONOPLE!$F$15,$M153-$A$15,CC$13)))</f>
        <v>11</v>
      </c>
      <c r="CD153" s="353" t="n">
        <f aca="true">IF(OR($D153&lt;&gt;"Serviço",AND(AUTOEVENTO="Manual",$M153=$A$15)),0,
         IF(OFFSET(CRONOPLE!$F$15,$M153-$A$15,CD$13)=0,10^12,OFFSET(CRONOPLE!$F$15,$M153-$A$15,CD$13)))</f>
        <v>12</v>
      </c>
      <c r="CE153" s="353" t="n">
        <f aca="true">IF(OR($D153&lt;&gt;"Serviço",AND(AUTOEVENTO="Manual",$M153=$A$15)),0,
         IF(OFFSET(CRONOPLE!$F$15,$M153-$A$15,CE$13)=0,10^12,OFFSET(CRONOPLE!$F$15,$M153-$A$15,CE$13)))</f>
        <v>13</v>
      </c>
      <c r="CF153" s="353" t="n">
        <f aca="true">IF(OR($D153&lt;&gt;"Serviço",AND(AUTOEVENTO="Manual",$M153=$A$15)),0,
         IF(OFFSET(CRONOPLE!$F$15,$M153-$A$15,CF$13)=0,10^12,OFFSET(CRONOPLE!$F$15,$M153-$A$15,CF$13)))</f>
        <v>14</v>
      </c>
      <c r="CG153" s="353" t="n">
        <f aca="true">IF(OR($D153&lt;&gt;"Serviço",AND(AUTOEVENTO="Manual",$M153=$A$15)),0,
         IF(OFFSET(CRONOPLE!$F$15,$M153-$A$15,CG$13)=0,10^12,OFFSET(CRONOPLE!$F$15,$M153-$A$15,CG$13)))</f>
        <v>15</v>
      </c>
      <c r="CH153" s="353" t="n">
        <f aca="true">IF(OR($D153&lt;&gt;"Serviço",AND(AUTOEVENTO="Manual",$M153=$A$15)),0,
         IF(OFFSET(CRONOPLE!$F$15,$M153-$A$15,CH$13)=0,10^12,OFFSET(CRONOPLE!$F$15,$M153-$A$15,CH$13)))</f>
        <v>16</v>
      </c>
      <c r="CI153" s="353" t="n">
        <f aca="true">IF(OR($D153&lt;&gt;"Serviço",AND(AUTOEVENTO="Manual",$M153=$A$15)),0,
         IF(OFFSET(CRONOPLE!$F$15,$M153-$A$15,CI$13)=0,10^12,OFFSET(CRONOPLE!$F$15,$M153-$A$15,CI$13)))</f>
        <v>17</v>
      </c>
      <c r="CJ153" s="353" t="n">
        <f aca="true">IF(OR($D153&lt;&gt;"Serviço",AND(AUTOEVENTO="Manual",$M153=$A$15)),0,
         IF(OFFSET(CRONOPLE!$F$15,$M153-$A$15,CJ$13)=0,10^12,OFFSET(CRONOPLE!$F$15,$M153-$A$15,CJ$13)))</f>
        <v>18</v>
      </c>
      <c r="CK153" s="353" t="n">
        <f aca="true">IF(OR($D153&lt;&gt;"Serviço",AND(AUTOEVENTO="Manual",$M153=$A$15)),0,
         IF(OFFSET(CRONOPLE!$F$15,$M153-$A$15,CK$13)=0,10^12,OFFSET(CRONOPLE!$F$15,$M153-$A$15,CK$13)))</f>
        <v>19</v>
      </c>
      <c r="CL153" s="353" t="n">
        <f aca="true">IF(OR($D153&lt;&gt;"Serviço",AND(AUTOEVENTO="Manual",$M153=$A$15)),0,
         IF(OFFSET(CRONOPLE!$F$15,$M153-$A$15,CL$13)=0,10^12,OFFSET(CRONOPLE!$F$15,$M153-$A$15,CL$13)))</f>
        <v>20</v>
      </c>
      <c r="CM153" s="353" t="n">
        <f aca="true">IF(OR($D153&lt;&gt;"Serviço",AND(AUTOEVENTO="Manual",$M153=$A$15)),0,
         IF(OFFSET(CRONOPLE!$F$15,$M153-$A$15,CM$13)=0,10^12,OFFSET(CRONOPLE!$F$15,$M153-$A$15,CM$13)))</f>
        <v>21</v>
      </c>
      <c r="CN153" s="353" t="n">
        <f aca="true">IF(OR($D153&lt;&gt;"Serviço",AND(AUTOEVENTO="Manual",$M153=$A$15)),0,
         IF(OFFSET(CRONOPLE!$F$15,$M153-$A$15,CN$13)=0,10^12,OFFSET(CRONOPLE!$F$15,$M153-$A$15,CN$13)))</f>
        <v>22</v>
      </c>
      <c r="CO153" s="353" t="n">
        <f aca="true">IF(OR($D153&lt;&gt;"Serviço",AND(AUTOEVENTO="Manual",$M153=$A$15)),0,
         IF(OFFSET(CRONOPLE!$F$15,$M153-$A$15,CO$13)=0,10^12,OFFSET(CRONOPLE!$F$15,$M153-$A$15,CO$13)))</f>
        <v>23</v>
      </c>
      <c r="CP153" s="353" t="n">
        <f aca="true">IF(OR($D153&lt;&gt;"Serviço",AND(AUTOEVENTO="Manual",$M153=$A$15)),0,
         IF(OFFSET(CRONOPLE!$F$15,$M153-$A$15,CP$13)=0,10^12,OFFSET(CRONOPLE!$F$15,$M153-$A$15,CP$13)))</f>
        <v>24</v>
      </c>
      <c r="CQ153" s="353" t="n">
        <f aca="true">IF(OR($D153&lt;&gt;"Serviço",AND(AUTOEVENTO="Manual",$M153=$A$15)),0,
         IF(OFFSET(CRONOPLE!$F$15,$M153-$A$15,CQ$13)=0,10^12,OFFSET(CRONOPLE!$F$15,$M153-$A$15,CQ$13)))</f>
        <v>25</v>
      </c>
      <c r="CR153" s="353" t="n">
        <f aca="true">IF(OR($D153&lt;&gt;"Serviço",AND(AUTOEVENTO="Manual",$M153=$A$15)),0,
         IF(OFFSET(CRONOPLE!$F$15,$M153-$A$15,CR$13)=0,10^12,OFFSET(CRONOPLE!$F$15,$M153-$A$15,CR$13)))</f>
        <v>1000000000000</v>
      </c>
      <c r="CT153" s="354" t="n">
        <f aca="true">IF(OR($D153&lt;&gt;"Serviço",AND(AUTOEVENTO="Manual",$M153=$A$15),$M153&gt;(ROW(PLE.lastrow)-ROW(PLE.firstrow))),0,
           IF(OFFSET(PLE!$G$15,$M153-$A$15,CT$13)="",10^12,OFFSET(PLE!$G$15,$M153-$A$15,CT$13)))</f>
        <v>1000000000000</v>
      </c>
      <c r="CU153" s="354" t="n">
        <f aca="true">IF(OR($D153&lt;&gt;"Serviço",AND(AUTOEVENTO="Manual",$M153=$A$15),$M153&gt;(ROW(PLE.lastrow)-ROW(PLE.firstrow))),0,
           IF(OFFSET(PLE!$G$15,$M153-$A$15,CU$13)="",10^12,OFFSET(PLE!$G$15,$M153-$A$15,CU$13)))</f>
        <v>1000000000000</v>
      </c>
      <c r="CV153" s="354" t="n">
        <f aca="true">IF(OR($D153&lt;&gt;"Serviço",AND(AUTOEVENTO="Manual",$M153=$A$15),$M153&gt;(ROW(PLE.lastrow)-ROW(PLE.firstrow))),0,
           IF(OFFSET(PLE!$G$15,$M153-$A$15,CV$13)="",10^12,OFFSET(PLE!$G$15,$M153-$A$15,CV$13)))</f>
        <v>1000000000000</v>
      </c>
      <c r="CW153" s="354" t="n">
        <f aca="true">IF(OR($D153&lt;&gt;"Serviço",AND(AUTOEVENTO="Manual",$M153=$A$15),$M153&gt;(ROW(PLE.lastrow)-ROW(PLE.firstrow))),0,
           IF(OFFSET(PLE!$G$15,$M153-$A$15,CW$13)="",10^12,OFFSET(PLE!$G$15,$M153-$A$15,CW$13)))</f>
        <v>1000000000000</v>
      </c>
      <c r="CX153" s="354" t="n">
        <f aca="true">IF(OR($D153&lt;&gt;"Serviço",AND(AUTOEVENTO="Manual",$M153=$A$15),$M153&gt;(ROW(PLE.lastrow)-ROW(PLE.firstrow))),0,
           IF(OFFSET(PLE!$G$15,$M153-$A$15,CX$13)="",10^12,OFFSET(PLE!$G$15,$M153-$A$15,CX$13)))</f>
        <v>1000000000000</v>
      </c>
      <c r="CY153" s="354" t="n">
        <f aca="true">IF(OR($D153&lt;&gt;"Serviço",AND(AUTOEVENTO="Manual",$M153=$A$15),$M153&gt;(ROW(PLE.lastrow)-ROW(PLE.firstrow))),0,
           IF(OFFSET(PLE!$G$15,$M153-$A$15,CY$13)="",10^12,OFFSET(PLE!$G$15,$M153-$A$15,CY$13)))</f>
        <v>1000000000000</v>
      </c>
      <c r="CZ153" s="354" t="n">
        <f aca="true">IF(OR($D153&lt;&gt;"Serviço",AND(AUTOEVENTO="Manual",$M153=$A$15),$M153&gt;(ROW(PLE.lastrow)-ROW(PLE.firstrow))),0,
           IF(OFFSET(PLE!$G$15,$M153-$A$15,CZ$13)="",10^12,OFFSET(PLE!$G$15,$M153-$A$15,CZ$13)))</f>
        <v>1000000000000</v>
      </c>
      <c r="DA153" s="354" t="n">
        <f aca="true">IF(OR($D153&lt;&gt;"Serviço",AND(AUTOEVENTO="Manual",$M153=$A$15),$M153&gt;(ROW(PLE.lastrow)-ROW(PLE.firstrow))),0,
           IF(OFFSET(PLE!$G$15,$M153-$A$15,DA$13)="",10^12,OFFSET(PLE!$G$15,$M153-$A$15,DA$13)))</f>
        <v>1000000000000</v>
      </c>
      <c r="DB153" s="354" t="n">
        <f aca="true">IF(OR($D153&lt;&gt;"Serviço",AND(AUTOEVENTO="Manual",$M153=$A$15),$M153&gt;(ROW(PLE.lastrow)-ROW(PLE.firstrow))),0,
           IF(OFFSET(PLE!$G$15,$M153-$A$15,DB$13)="",10^12,OFFSET(PLE!$G$15,$M153-$A$15,DB$13)))</f>
        <v>1000000000000</v>
      </c>
      <c r="DC153" s="354" t="n">
        <f aca="true">IF(OR($D153&lt;&gt;"Serviço",AND(AUTOEVENTO="Manual",$M153=$A$15),$M153&gt;(ROW(PLE.lastrow)-ROW(PLE.firstrow))),0,
           IF(OFFSET(PLE!$G$15,$M153-$A$15,DC$13)="",10^12,OFFSET(PLE!$G$15,$M153-$A$15,DC$13)))</f>
        <v>1000000000000</v>
      </c>
      <c r="DD153" s="354" t="n">
        <f aca="true">IF(OR($D153&lt;&gt;"Serviço",AND(AUTOEVENTO="Manual",$M153=$A$15),$M153&gt;(ROW(PLE.lastrow)-ROW(PLE.firstrow))),0,
           IF(OFFSET(PLE!$G$15,$M153-$A$15,DD$13)="",10^12,OFFSET(PLE!$G$15,$M153-$A$15,DD$13)))</f>
        <v>1000000000000</v>
      </c>
      <c r="DE153" s="354" t="n">
        <f aca="true">IF(OR($D153&lt;&gt;"Serviço",AND(AUTOEVENTO="Manual",$M153=$A$15),$M153&gt;(ROW(PLE.lastrow)-ROW(PLE.firstrow))),0,
           IF(OFFSET(PLE!$G$15,$M153-$A$15,DE$13)="",10^12,OFFSET(PLE!$G$15,$M153-$A$15,DE$13)))</f>
        <v>1000000000000</v>
      </c>
      <c r="DF153" s="354" t="n">
        <f aca="true">IF(OR($D153&lt;&gt;"Serviço",AND(AUTOEVENTO="Manual",$M153=$A$15),$M153&gt;(ROW(PLE.lastrow)-ROW(PLE.firstrow))),0,
           IF(OFFSET(PLE!$G$15,$M153-$A$15,DF$13)="",10^12,OFFSET(PLE!$G$15,$M153-$A$15,DF$13)))</f>
        <v>1000000000000</v>
      </c>
      <c r="DG153" s="354" t="n">
        <f aca="true">IF(OR($D153&lt;&gt;"Serviço",AND(AUTOEVENTO="Manual",$M153=$A$15),$M153&gt;(ROW(PLE.lastrow)-ROW(PLE.firstrow))),0,
           IF(OFFSET(PLE!$G$15,$M153-$A$15,DG$13)="",10^12,OFFSET(PLE!$G$15,$M153-$A$15,DG$13)))</f>
        <v>1000000000000</v>
      </c>
      <c r="DH153" s="354" t="n">
        <f aca="true">IF(OR($D153&lt;&gt;"Serviço",AND(AUTOEVENTO="Manual",$M153=$A$15),$M153&gt;(ROW(PLE.lastrow)-ROW(PLE.firstrow))),0,
           IF(OFFSET(PLE!$G$15,$M153-$A$15,DH$13)="",10^12,OFFSET(PLE!$G$15,$M153-$A$15,DH$13)))</f>
        <v>1000000000000</v>
      </c>
      <c r="DI153" s="354" t="n">
        <f aca="true">IF(OR($D153&lt;&gt;"Serviço",AND(AUTOEVENTO="Manual",$M153=$A$15),$M153&gt;(ROW(PLE.lastrow)-ROW(PLE.firstrow))),0,
           IF(OFFSET(PLE!$G$15,$M153-$A$15,DI$13)="",10^12,OFFSET(PLE!$G$15,$M153-$A$15,DI$13)))</f>
        <v>1000000000000</v>
      </c>
      <c r="DJ153" s="354" t="n">
        <f aca="true">IF(OR($D153&lt;&gt;"Serviço",AND(AUTOEVENTO="Manual",$M153=$A$15),$M153&gt;(ROW(PLE.lastrow)-ROW(PLE.firstrow))),0,
           IF(OFFSET(PLE!$G$15,$M153-$A$15,DJ$13)="",10^12,OFFSET(PLE!$G$15,$M153-$A$15,DJ$13)))</f>
        <v>1000000000000</v>
      </c>
      <c r="DK153" s="354" t="n">
        <f aca="true">IF(OR($D153&lt;&gt;"Serviço",AND(AUTOEVENTO="Manual",$M153=$A$15),$M153&gt;(ROW(PLE.lastrow)-ROW(PLE.firstrow))),0,
           IF(OFFSET(PLE!$G$15,$M153-$A$15,DK$13)="",10^12,OFFSET(PLE!$G$15,$M153-$A$15,DK$13)))</f>
        <v>1000000000000</v>
      </c>
      <c r="DL153" s="354" t="n">
        <f aca="true">IF(OR($D153&lt;&gt;"Serviço",AND(AUTOEVENTO="Manual",$M153=$A$15),$M153&gt;(ROW(PLE.lastrow)-ROW(PLE.firstrow))),0,
           IF(OFFSET(PLE!$G$15,$M153-$A$15,DL$13)="",10^12,OFFSET(PLE!$G$15,$M153-$A$15,DL$13)))</f>
        <v>1000000000000</v>
      </c>
      <c r="DM153" s="354" t="n">
        <f aca="true">IF(OR($D153&lt;&gt;"Serviço",AND(AUTOEVENTO="Manual",$M153=$A$15),$M153&gt;(ROW(PLE.lastrow)-ROW(PLE.firstrow))),0,
           IF(OFFSET(PLE!$G$15,$M153-$A$15,DM$13)="",10^12,OFFSET(PLE!$G$15,$M153-$A$15,DM$13)))</f>
        <v>1000000000000</v>
      </c>
      <c r="DN153" s="354" t="n">
        <f aca="true">IF(OR($D153&lt;&gt;"Serviço",AND(AUTOEVENTO="Manual",$M153=$A$15),$M153&gt;(ROW(PLE.lastrow)-ROW(PLE.firstrow))),0,
           IF(OFFSET(PLE!$G$15,$M153-$A$15,DN$13)="",10^12,OFFSET(PLE!$G$15,$M153-$A$15,DN$13)))</f>
        <v>1000000000000</v>
      </c>
      <c r="DO153" s="354" t="n">
        <f aca="true">IF(OR($D153&lt;&gt;"Serviço",AND(AUTOEVENTO="Manual",$M153=$A$15),$M153&gt;(ROW(PLE.lastrow)-ROW(PLE.firstrow))),0,
           IF(OFFSET(PLE!$G$15,$M153-$A$15,DO$13)="",10^12,OFFSET(PLE!$G$15,$M153-$A$15,DO$13)))</f>
        <v>1000000000000</v>
      </c>
      <c r="DP153" s="354" t="n">
        <f aca="true">IF(OR($D153&lt;&gt;"Serviço",AND(AUTOEVENTO="Manual",$M153=$A$15),$M153&gt;(ROW(PLE.lastrow)-ROW(PLE.firstrow))),0,
           IF(OFFSET(PLE!$G$15,$M153-$A$15,DP$13)="",10^12,OFFSET(PLE!$G$15,$M153-$A$15,DP$13)))</f>
        <v>1000000000000</v>
      </c>
      <c r="DQ153" s="354" t="n">
        <f aca="true">IF(OR($D153&lt;&gt;"Serviço",AND(AUTOEVENTO="Manual",$M153=$A$15),$M153&gt;(ROW(PLE.lastrow)-ROW(PLE.firstrow))),0,
           IF(OFFSET(PLE!$G$15,$M153-$A$15,DQ$13)="",10^12,OFFSET(PLE!$G$15,$M153-$A$15,DQ$13)))</f>
        <v>1000000000000</v>
      </c>
      <c r="DR153" s="354" t="n">
        <f aca="true">IF(OR($D153&lt;&gt;"Serviço",AND(AUTOEVENTO="Manual",$M153=$A$15),$M153&gt;(ROW(PLE.lastrow)-ROW(PLE.firstrow))),0,
           IF(OFFSET(PLE!$G$15,$M153-$A$15,DR$13)="",10^12,OFFSET(PLE!$G$15,$M153-$A$15,DR$13)))</f>
        <v>1000000000000</v>
      </c>
      <c r="DS153" s="354" t="n">
        <f aca="true">IF(OR($D153&lt;&gt;"Serviço",AND(AUTOEVENTO="Manual",$M153=$A$15),$M153&gt;(ROW(PLE.lastrow)-ROW(PLE.firstrow))),0,
           IF(OFFSET(PLE!$G$15,$M153-$A$15,DS$13)="",10^12,OFFSET(PLE!$G$15,$M153-$A$15,DS$13)))</f>
        <v>1000000000000</v>
      </c>
    </row>
    <row r="154" customFormat="false" ht="35.05" hidden="false" customHeight="false" outlineLevel="0" collapsed="false">
      <c r="A154" s="50" t="str">
        <f aca="true">IFERROR(IF(AUTOEVENTO="Manual",IF(K154&lt;&gt;"",MIN(VALUE(LEFT(K154,FIND(".",K154)-1)),COUNTA(EVENTOS.Lista)),0),IF(OR($B154&gt;AUTOEVENTO,$B154="S",$B154=0),SUBSTITUTE(OFFSET($A154,-1,0),IF($D154="Serviço",".",""),""),ROW(A154)-ROW($A$15)&amp;".")),0)</f>
        <v>133</v>
      </c>
      <c r="B154" s="50" t="str">
        <f aca="true">OFFSET(ORÇAMENTO!C$15,ROW(B154)-ROW(B$15),0)</f>
        <v>S</v>
      </c>
      <c r="C154" s="50" t="str">
        <f aca="true">OFFSET(ORÇAMENTO!L$15,ROW(C154)-ROW(C$15),0)</f>
        <v>F</v>
      </c>
      <c r="D154" s="201" t="str">
        <f aca="true">OFFSET(ORÇAMENTO!N$15,ROW(D154)-ROW(D$15),0)</f>
        <v>Serviço</v>
      </c>
      <c r="E154" s="202" t="str">
        <f aca="true">OFFSET(ORÇAMENTO!O$15,ROW(E154)-ROW(E$15),0)</f>
        <v>1.42.6.</v>
      </c>
      <c r="F154" s="341" t="str">
        <f aca="true">OFFSET(ORÇAMENTO!R$15,ROW(F154)-ROW(F$15),0)</f>
        <v>JOELHO 90 GRAUS, PVC, SOLDÁVEL, DN 25MM, INSTALADO EM RAMAL DE DISTRIBUIÇÃO DE ÁGUA - FORNECIMENTO E INSTALAÇÃO. AF_06/2022</v>
      </c>
      <c r="G154" s="342" t="str">
        <f aca="true">IF($D154&lt;&gt;"Serviço","",OFFSET(ORÇAMENTO!S$15,ROW(G154)-ROW(G$15),0))</f>
        <v>UN</v>
      </c>
      <c r="H154" s="207" t="n">
        <f aca="true">IF($D154&lt;&gt;"Serviço",0,IF(ACOMPANHAMENTO="BM",ROUND(OFFSET(ORÇAMENTO!AJ$15,ROW(H154)-ROW(H$15),0),15-13*ORÇAMENTO!$AF$7),SUMPRODUCT(($Q$1:$AQ$1=1)*ROUND($Q154:$AQ154,15-13*ORÇAMENTO!$AF$7))))</f>
        <v>50</v>
      </c>
      <c r="I154" s="343" t="s">
        <v>972</v>
      </c>
      <c r="J154" s="344" t="e">
        <f aca="false">IF(OR(B154&lt;&gt;"S",CÁLCULO.FrentesPreenchidas=0),"",IF(AND(ACOMPANHAMENTO="PLE",AUTOEVENTO="Manual",OR(H154&gt;0,ORÇAMENTO!AC154="QUANT."),OR(K154="",M154=0,N154="")),"►",IF(AND(ACOMPANHAMENTO="PLE",ORÇAMENTO!AC154="QUANT."),"►►",IF(AND(COUNTIF($P$11:$AQ$11,"▼")=0,H154&gt;0,I154=""),"◄",""))))</f>
        <v>#NAME?</v>
      </c>
      <c r="K154" s="345"/>
      <c r="L154" s="346" t="s">
        <v>876</v>
      </c>
      <c r="M154" s="347" t="n">
        <f aca="true">IF($D154&lt;&gt;"Serviço","",
          IF(AUTOEVENTO="manual",$A154,
                IF(ISERROR(MATCH($A154,$A$15:OFFSET($A154,-1,0),0)),MAX($M$15:OFFSET(M154,-1,0))+1,
                      INDEX($M$15:OFFSET(M154,-1,0),MATCH($A154,$A$15:OFFSET($A154,-1,0),0)))))</f>
        <v>26</v>
      </c>
      <c r="N154" s="348" t="str">
        <f aca="true">IF($D154&lt;&gt;"Serviço","",
         IF(AUTOEVENTO="Manual",
                IF($A154=0,"&lt;-- defina o número do agrupador",
                       OFFSET(EVENTOS!$D$15,$A154-$A$15,0)),
                OFFSET($F$15,$A154,0)))</f>
        <v>ENTRADA / ALIMENTAÇÃO</v>
      </c>
      <c r="O154" s="349"/>
      <c r="Q154" s="349" t="n">
        <v>2</v>
      </c>
      <c r="R154" s="350" t="n">
        <f aca="false">Q154</f>
        <v>2</v>
      </c>
      <c r="S154" s="350" t="n">
        <f aca="false">R154</f>
        <v>2</v>
      </c>
      <c r="T154" s="350" t="n">
        <f aca="false">S154</f>
        <v>2</v>
      </c>
      <c r="U154" s="350" t="n">
        <f aca="false">T154</f>
        <v>2</v>
      </c>
      <c r="V154" s="350" t="n">
        <f aca="false">U154</f>
        <v>2</v>
      </c>
      <c r="W154" s="350" t="n">
        <f aca="false">V154</f>
        <v>2</v>
      </c>
      <c r="X154" s="350" t="n">
        <f aca="false">W154</f>
        <v>2</v>
      </c>
      <c r="Y154" s="350" t="n">
        <f aca="false">X154</f>
        <v>2</v>
      </c>
      <c r="Z154" s="351" t="n">
        <f aca="false">Y154</f>
        <v>2</v>
      </c>
      <c r="AA154" s="350" t="n">
        <f aca="false">Z154</f>
        <v>2</v>
      </c>
      <c r="AB154" s="350" t="n">
        <f aca="false">AA154</f>
        <v>2</v>
      </c>
      <c r="AC154" s="350" t="n">
        <f aca="false">AB154</f>
        <v>2</v>
      </c>
      <c r="AD154" s="350" t="n">
        <f aca="false">AC154</f>
        <v>2</v>
      </c>
      <c r="AE154" s="350" t="n">
        <f aca="false">AD154</f>
        <v>2</v>
      </c>
      <c r="AF154" s="350" t="n">
        <f aca="false">AE154</f>
        <v>2</v>
      </c>
      <c r="AG154" s="350" t="n">
        <f aca="false">AF154</f>
        <v>2</v>
      </c>
      <c r="AH154" s="351" t="n">
        <f aca="false">AG154</f>
        <v>2</v>
      </c>
      <c r="AI154" s="350" t="n">
        <f aca="false">AH154</f>
        <v>2</v>
      </c>
      <c r="AJ154" s="350" t="n">
        <f aca="false">AI154</f>
        <v>2</v>
      </c>
      <c r="AK154" s="350" t="n">
        <f aca="false">AJ154</f>
        <v>2</v>
      </c>
      <c r="AL154" s="350" t="n">
        <f aca="false">AK154</f>
        <v>2</v>
      </c>
      <c r="AM154" s="350" t="n">
        <f aca="false">AL154</f>
        <v>2</v>
      </c>
      <c r="AN154" s="350" t="n">
        <f aca="false">AM154</f>
        <v>2</v>
      </c>
      <c r="AO154" s="350" t="n">
        <f aca="false">AN154</f>
        <v>2</v>
      </c>
      <c r="AP154" s="351"/>
      <c r="AR154" s="352" t="n">
        <f aca="true">IF(AND($D154="Serviço",AR$12&lt;&gt;0,$H154&gt;0,OR(AUTOEVENTO&lt;&gt;"manual",$M154&lt;&gt;$A$15)),
        IF(Import.TipoArredondamento&lt;&gt;"TransfereGOV",
              ROUND(OFFSET($P154,0,AR$13),15-13*ORÇAMENTO!$AF$7)/$H154*OFFSET(ORÇAMENTO!$X$15,ROW(AR154)-ROW(AR$15),0),
              ROUND(ROUND(OFFSET($P154,0,AR$13),15-13*ORÇAMENTO!$AF$7)*OFFSET(ORÇAMENTO!$W$15,ROW(AR154)-ROW(AR$15),0),15-13*ORÇAMENTO!$AF$11)),
         0)</f>
        <v>22.3</v>
      </c>
      <c r="AS154" s="352" t="n">
        <f aca="true">IF(AND($D154="Serviço",AS$12&lt;&gt;0,$H154&gt;0,OR(AUTOEVENTO&lt;&gt;"manual",$M154&lt;&gt;$A$15)),
        IF(Import.TipoArredondamento&lt;&gt;"TransfereGOV",
              ROUND(OFFSET($P154,0,AS$13),15-13*ORÇAMENTO!$AF$7)/$H154*OFFSET(ORÇAMENTO!$X$15,ROW(AS154)-ROW(AS$15),0),
              ROUND(ROUND(OFFSET($P154,0,AS$13),15-13*ORÇAMENTO!$AF$7)*OFFSET(ORÇAMENTO!$W$15,ROW(AS154)-ROW(AS$15),0),15-13*ORÇAMENTO!$AF$11)),
         0)</f>
        <v>22.3</v>
      </c>
      <c r="AT154" s="352" t="n">
        <f aca="true">IF(AND($D154="Serviço",AT$12&lt;&gt;0,$H154&gt;0,OR(AUTOEVENTO&lt;&gt;"manual",$M154&lt;&gt;$A$15)),
        IF(Import.TipoArredondamento&lt;&gt;"TransfereGOV",
              ROUND(OFFSET($P154,0,AT$13),15-13*ORÇAMENTO!$AF$7)/$H154*OFFSET(ORÇAMENTO!$X$15,ROW(AT154)-ROW(AT$15),0),
              ROUND(ROUND(OFFSET($P154,0,AT$13),15-13*ORÇAMENTO!$AF$7)*OFFSET(ORÇAMENTO!$W$15,ROW(AT154)-ROW(AT$15),0),15-13*ORÇAMENTO!$AF$11)),
         0)</f>
        <v>22.3</v>
      </c>
      <c r="AU154" s="352" t="n">
        <f aca="true">IF(AND($D154="Serviço",AU$12&lt;&gt;0,$H154&gt;0,OR(AUTOEVENTO&lt;&gt;"manual",$M154&lt;&gt;$A$15)),
        IF(Import.TipoArredondamento&lt;&gt;"TransfereGOV",
              ROUND(OFFSET($P154,0,AU$13),15-13*ORÇAMENTO!$AF$7)/$H154*OFFSET(ORÇAMENTO!$X$15,ROW(AU154)-ROW(AU$15),0),
              ROUND(ROUND(OFFSET($P154,0,AU$13),15-13*ORÇAMENTO!$AF$7)*OFFSET(ORÇAMENTO!$W$15,ROW(AU154)-ROW(AU$15),0),15-13*ORÇAMENTO!$AF$11)),
         0)</f>
        <v>22.3</v>
      </c>
      <c r="AV154" s="352" t="n">
        <f aca="true">IF(AND($D154="Serviço",AV$12&lt;&gt;0,$H154&gt;0,OR(AUTOEVENTO&lt;&gt;"manual",$M154&lt;&gt;$A$15)),
        IF(Import.TipoArredondamento&lt;&gt;"TransfereGOV",
              ROUND(OFFSET($P154,0,AV$13),15-13*ORÇAMENTO!$AF$7)/$H154*OFFSET(ORÇAMENTO!$X$15,ROW(AV154)-ROW(AV$15),0),
              ROUND(ROUND(OFFSET($P154,0,AV$13),15-13*ORÇAMENTO!$AF$7)*OFFSET(ORÇAMENTO!$W$15,ROW(AV154)-ROW(AV$15),0),15-13*ORÇAMENTO!$AF$11)),
         0)</f>
        <v>22.3</v>
      </c>
      <c r="AW154" s="352" t="n">
        <f aca="true">IF(AND($D154="Serviço",AW$12&lt;&gt;0,$H154&gt;0,OR(AUTOEVENTO&lt;&gt;"manual",$M154&lt;&gt;$A$15)),
        IF(Import.TipoArredondamento&lt;&gt;"TransfereGOV",
              ROUND(OFFSET($P154,0,AW$13),15-13*ORÇAMENTO!$AF$7)/$H154*OFFSET(ORÇAMENTO!$X$15,ROW(AW154)-ROW(AW$15),0),
              ROUND(ROUND(OFFSET($P154,0,AW$13),15-13*ORÇAMENTO!$AF$7)*OFFSET(ORÇAMENTO!$W$15,ROW(AW154)-ROW(AW$15),0),15-13*ORÇAMENTO!$AF$11)),
         0)</f>
        <v>22.3</v>
      </c>
      <c r="AX154" s="352" t="n">
        <f aca="true">IF(AND($D154="Serviço",AX$12&lt;&gt;0,$H154&gt;0,OR(AUTOEVENTO&lt;&gt;"manual",$M154&lt;&gt;$A$15)),
        IF(Import.TipoArredondamento&lt;&gt;"TransfereGOV",
              ROUND(OFFSET($P154,0,AX$13),15-13*ORÇAMENTO!$AF$7)/$H154*OFFSET(ORÇAMENTO!$X$15,ROW(AX154)-ROW(AX$15),0),
              ROUND(ROUND(OFFSET($P154,0,AX$13),15-13*ORÇAMENTO!$AF$7)*OFFSET(ORÇAMENTO!$W$15,ROW(AX154)-ROW(AX$15),0),15-13*ORÇAMENTO!$AF$11)),
         0)</f>
        <v>22.3</v>
      </c>
      <c r="AY154" s="352" t="n">
        <f aca="true">IF(AND($D154="Serviço",AY$12&lt;&gt;0,$H154&gt;0,OR(AUTOEVENTO&lt;&gt;"manual",$M154&lt;&gt;$A$15)),
        IF(Import.TipoArredondamento&lt;&gt;"TransfereGOV",
              ROUND(OFFSET($P154,0,AY$13),15-13*ORÇAMENTO!$AF$7)/$H154*OFFSET(ORÇAMENTO!$X$15,ROW(AY154)-ROW(AY$15),0),
              ROUND(ROUND(OFFSET($P154,0,AY$13),15-13*ORÇAMENTO!$AF$7)*OFFSET(ORÇAMENTO!$W$15,ROW(AY154)-ROW(AY$15),0),15-13*ORÇAMENTO!$AF$11)),
         0)</f>
        <v>22.3</v>
      </c>
      <c r="AZ154" s="352" t="n">
        <f aca="true">IF(AND($D154="Serviço",AZ$12&lt;&gt;0,$H154&gt;0,OR(AUTOEVENTO&lt;&gt;"manual",$M154&lt;&gt;$A$15)),
        IF(Import.TipoArredondamento&lt;&gt;"TransfereGOV",
              ROUND(OFFSET($P154,0,AZ$13),15-13*ORÇAMENTO!$AF$7)/$H154*OFFSET(ORÇAMENTO!$X$15,ROW(AZ154)-ROW(AZ$15),0),
              ROUND(ROUND(OFFSET($P154,0,AZ$13),15-13*ORÇAMENTO!$AF$7)*OFFSET(ORÇAMENTO!$W$15,ROW(AZ154)-ROW(AZ$15),0),15-13*ORÇAMENTO!$AF$11)),
         0)</f>
        <v>22.3</v>
      </c>
      <c r="BA154" s="352" t="n">
        <f aca="true">IF(AND($D154="Serviço",BA$12&lt;&gt;0,$H154&gt;0,OR(AUTOEVENTO&lt;&gt;"manual",$M154&lt;&gt;$A$15)),
        IF(Import.TipoArredondamento&lt;&gt;"TransfereGOV",
              ROUND(OFFSET($P154,0,BA$13),15-13*ORÇAMENTO!$AF$7)/$H154*OFFSET(ORÇAMENTO!$X$15,ROW(BA154)-ROW(BA$15),0),
              ROUND(ROUND(OFFSET($P154,0,BA$13),15-13*ORÇAMENTO!$AF$7)*OFFSET(ORÇAMENTO!$W$15,ROW(BA154)-ROW(BA$15),0),15-13*ORÇAMENTO!$AF$11)),
         0)</f>
        <v>22.3</v>
      </c>
      <c r="BB154" s="352" t="n">
        <f aca="true">IF(AND($D154="Serviço",BB$12&lt;&gt;0,$H154&gt;0,OR(AUTOEVENTO&lt;&gt;"manual",$M154&lt;&gt;$A$15)),
        IF(Import.TipoArredondamento&lt;&gt;"TransfereGOV",
              ROUND(OFFSET($P154,0,BB$13),15-13*ORÇAMENTO!$AF$7)/$H154*OFFSET(ORÇAMENTO!$X$15,ROW(BB154)-ROW(BB$15),0),
              ROUND(ROUND(OFFSET($P154,0,BB$13),15-13*ORÇAMENTO!$AF$7)*OFFSET(ORÇAMENTO!$W$15,ROW(BB154)-ROW(BB$15),0),15-13*ORÇAMENTO!$AF$11)),
         0)</f>
        <v>22.3</v>
      </c>
      <c r="BC154" s="352" t="n">
        <f aca="true">IF(AND($D154="Serviço",BC$12&lt;&gt;0,$H154&gt;0,OR(AUTOEVENTO&lt;&gt;"manual",$M154&lt;&gt;$A$15)),
        IF(Import.TipoArredondamento&lt;&gt;"TransfereGOV",
              ROUND(OFFSET($P154,0,BC$13),15-13*ORÇAMENTO!$AF$7)/$H154*OFFSET(ORÇAMENTO!$X$15,ROW(BC154)-ROW(BC$15),0),
              ROUND(ROUND(OFFSET($P154,0,BC$13),15-13*ORÇAMENTO!$AF$7)*OFFSET(ORÇAMENTO!$W$15,ROW(BC154)-ROW(BC$15),0),15-13*ORÇAMENTO!$AF$11)),
         0)</f>
        <v>22.3</v>
      </c>
      <c r="BD154" s="352" t="n">
        <f aca="true">IF(AND($D154="Serviço",BD$12&lt;&gt;0,$H154&gt;0,OR(AUTOEVENTO&lt;&gt;"manual",$M154&lt;&gt;$A$15)),
        IF(Import.TipoArredondamento&lt;&gt;"TransfereGOV",
              ROUND(OFFSET($P154,0,BD$13),15-13*ORÇAMENTO!$AF$7)/$H154*OFFSET(ORÇAMENTO!$X$15,ROW(BD154)-ROW(BD$15),0),
              ROUND(ROUND(OFFSET($P154,0,BD$13),15-13*ORÇAMENTO!$AF$7)*OFFSET(ORÇAMENTO!$W$15,ROW(BD154)-ROW(BD$15),0),15-13*ORÇAMENTO!$AF$11)),
         0)</f>
        <v>22.3</v>
      </c>
      <c r="BE154" s="352" t="n">
        <f aca="true">IF(AND($D154="Serviço",BE$12&lt;&gt;0,$H154&gt;0,OR(AUTOEVENTO&lt;&gt;"manual",$M154&lt;&gt;$A$15)),
        IF(Import.TipoArredondamento&lt;&gt;"TransfereGOV",
              ROUND(OFFSET($P154,0,BE$13),15-13*ORÇAMENTO!$AF$7)/$H154*OFFSET(ORÇAMENTO!$X$15,ROW(BE154)-ROW(BE$15),0),
              ROUND(ROUND(OFFSET($P154,0,BE$13),15-13*ORÇAMENTO!$AF$7)*OFFSET(ORÇAMENTO!$W$15,ROW(BE154)-ROW(BE$15),0),15-13*ORÇAMENTO!$AF$11)),
         0)</f>
        <v>22.3</v>
      </c>
      <c r="BF154" s="352" t="n">
        <f aca="true">IF(AND($D154="Serviço",BF$12&lt;&gt;0,$H154&gt;0,OR(AUTOEVENTO&lt;&gt;"manual",$M154&lt;&gt;$A$15)),
        IF(Import.TipoArredondamento&lt;&gt;"TransfereGOV",
              ROUND(OFFSET($P154,0,BF$13),15-13*ORÇAMENTO!$AF$7)/$H154*OFFSET(ORÇAMENTO!$X$15,ROW(BF154)-ROW(BF$15),0),
              ROUND(ROUND(OFFSET($P154,0,BF$13),15-13*ORÇAMENTO!$AF$7)*OFFSET(ORÇAMENTO!$W$15,ROW(BF154)-ROW(BF$15),0),15-13*ORÇAMENTO!$AF$11)),
         0)</f>
        <v>22.3</v>
      </c>
      <c r="BG154" s="352" t="n">
        <f aca="true">IF(AND($D154="Serviço",BG$12&lt;&gt;0,$H154&gt;0,OR(AUTOEVENTO&lt;&gt;"manual",$M154&lt;&gt;$A$15)),
        IF(Import.TipoArredondamento&lt;&gt;"TransfereGOV",
              ROUND(OFFSET($P154,0,BG$13),15-13*ORÇAMENTO!$AF$7)/$H154*OFFSET(ORÇAMENTO!$X$15,ROW(BG154)-ROW(BG$15),0),
              ROUND(ROUND(OFFSET($P154,0,BG$13),15-13*ORÇAMENTO!$AF$7)*OFFSET(ORÇAMENTO!$W$15,ROW(BG154)-ROW(BG$15),0),15-13*ORÇAMENTO!$AF$11)),
         0)</f>
        <v>22.3</v>
      </c>
      <c r="BH154" s="352" t="n">
        <f aca="true">IF(AND($D154="Serviço",BH$12&lt;&gt;0,$H154&gt;0,OR(AUTOEVENTO&lt;&gt;"manual",$M154&lt;&gt;$A$15)),
        IF(Import.TipoArredondamento&lt;&gt;"TransfereGOV",
              ROUND(OFFSET($P154,0,BH$13),15-13*ORÇAMENTO!$AF$7)/$H154*OFFSET(ORÇAMENTO!$X$15,ROW(BH154)-ROW(BH$15),0),
              ROUND(ROUND(OFFSET($P154,0,BH$13),15-13*ORÇAMENTO!$AF$7)*OFFSET(ORÇAMENTO!$W$15,ROW(BH154)-ROW(BH$15),0),15-13*ORÇAMENTO!$AF$11)),
         0)</f>
        <v>22.3</v>
      </c>
      <c r="BI154" s="352" t="n">
        <f aca="true">IF(AND($D154="Serviço",BI$12&lt;&gt;0,$H154&gt;0,OR(AUTOEVENTO&lt;&gt;"manual",$M154&lt;&gt;$A$15)),
        IF(Import.TipoArredondamento&lt;&gt;"TransfereGOV",
              ROUND(OFFSET($P154,0,BI$13),15-13*ORÇAMENTO!$AF$7)/$H154*OFFSET(ORÇAMENTO!$X$15,ROW(BI154)-ROW(BI$15),0),
              ROUND(ROUND(OFFSET($P154,0,BI$13),15-13*ORÇAMENTO!$AF$7)*OFFSET(ORÇAMENTO!$W$15,ROW(BI154)-ROW(BI$15),0),15-13*ORÇAMENTO!$AF$11)),
         0)</f>
        <v>22.3</v>
      </c>
      <c r="BJ154" s="352" t="n">
        <f aca="true">IF(AND($D154="Serviço",BJ$12&lt;&gt;0,$H154&gt;0,OR(AUTOEVENTO&lt;&gt;"manual",$M154&lt;&gt;$A$15)),
        IF(Import.TipoArredondamento&lt;&gt;"TransfereGOV",
              ROUND(OFFSET($P154,0,BJ$13),15-13*ORÇAMENTO!$AF$7)/$H154*OFFSET(ORÇAMENTO!$X$15,ROW(BJ154)-ROW(BJ$15),0),
              ROUND(ROUND(OFFSET($P154,0,BJ$13),15-13*ORÇAMENTO!$AF$7)*OFFSET(ORÇAMENTO!$W$15,ROW(BJ154)-ROW(BJ$15),0),15-13*ORÇAMENTO!$AF$11)),
         0)</f>
        <v>22.3</v>
      </c>
      <c r="BK154" s="352" t="n">
        <f aca="true">IF(AND($D154="Serviço",BK$12&lt;&gt;0,$H154&gt;0,OR(AUTOEVENTO&lt;&gt;"manual",$M154&lt;&gt;$A$15)),
        IF(Import.TipoArredondamento&lt;&gt;"TransfereGOV",
              ROUND(OFFSET($P154,0,BK$13),15-13*ORÇAMENTO!$AF$7)/$H154*OFFSET(ORÇAMENTO!$X$15,ROW(BK154)-ROW(BK$15),0),
              ROUND(ROUND(OFFSET($P154,0,BK$13),15-13*ORÇAMENTO!$AF$7)*OFFSET(ORÇAMENTO!$W$15,ROW(BK154)-ROW(BK$15),0),15-13*ORÇAMENTO!$AF$11)),
         0)</f>
        <v>22.3</v>
      </c>
      <c r="BL154" s="352" t="n">
        <f aca="true">IF(AND($D154="Serviço",BL$12&lt;&gt;0,$H154&gt;0,OR(AUTOEVENTO&lt;&gt;"manual",$M154&lt;&gt;$A$15)),
        IF(Import.TipoArredondamento&lt;&gt;"TransfereGOV",
              ROUND(OFFSET($P154,0,BL$13),15-13*ORÇAMENTO!$AF$7)/$H154*OFFSET(ORÇAMENTO!$X$15,ROW(BL154)-ROW(BL$15),0),
              ROUND(ROUND(OFFSET($P154,0,BL$13),15-13*ORÇAMENTO!$AF$7)*OFFSET(ORÇAMENTO!$W$15,ROW(BL154)-ROW(BL$15),0),15-13*ORÇAMENTO!$AF$11)),
         0)</f>
        <v>22.3</v>
      </c>
      <c r="BM154" s="352" t="n">
        <f aca="true">IF(AND($D154="Serviço",BM$12&lt;&gt;0,$H154&gt;0,OR(AUTOEVENTO&lt;&gt;"manual",$M154&lt;&gt;$A$15)),
        IF(Import.TipoArredondamento&lt;&gt;"TransfereGOV",
              ROUND(OFFSET($P154,0,BM$13),15-13*ORÇAMENTO!$AF$7)/$H154*OFFSET(ORÇAMENTO!$X$15,ROW(BM154)-ROW(BM$15),0),
              ROUND(ROUND(OFFSET($P154,0,BM$13),15-13*ORÇAMENTO!$AF$7)*OFFSET(ORÇAMENTO!$W$15,ROW(BM154)-ROW(BM$15),0),15-13*ORÇAMENTO!$AF$11)),
         0)</f>
        <v>22.3</v>
      </c>
      <c r="BN154" s="352" t="n">
        <f aca="true">IF(AND($D154="Serviço",BN$12&lt;&gt;0,$H154&gt;0,OR(AUTOEVENTO&lt;&gt;"manual",$M154&lt;&gt;$A$15)),
        IF(Import.TipoArredondamento&lt;&gt;"TransfereGOV",
              ROUND(OFFSET($P154,0,BN$13),15-13*ORÇAMENTO!$AF$7)/$H154*OFFSET(ORÇAMENTO!$X$15,ROW(BN154)-ROW(BN$15),0),
              ROUND(ROUND(OFFSET($P154,0,BN$13),15-13*ORÇAMENTO!$AF$7)*OFFSET(ORÇAMENTO!$W$15,ROW(BN154)-ROW(BN$15),0),15-13*ORÇAMENTO!$AF$11)),
         0)</f>
        <v>22.3</v>
      </c>
      <c r="BO154" s="352" t="n">
        <f aca="true">IF(AND($D154="Serviço",BO$12&lt;&gt;0,$H154&gt;0,OR(AUTOEVENTO&lt;&gt;"manual",$M154&lt;&gt;$A$15)),
        IF(Import.TipoArredondamento&lt;&gt;"TransfereGOV",
              ROUND(OFFSET($P154,0,BO$13),15-13*ORÇAMENTO!$AF$7)/$H154*OFFSET(ORÇAMENTO!$X$15,ROW(BO154)-ROW(BO$15),0),
              ROUND(ROUND(OFFSET($P154,0,BO$13),15-13*ORÇAMENTO!$AF$7)*OFFSET(ORÇAMENTO!$W$15,ROW(BO154)-ROW(BO$15),0),15-13*ORÇAMENTO!$AF$11)),
         0)</f>
        <v>22.3</v>
      </c>
      <c r="BP154" s="352" t="n">
        <f aca="true">IF(AND($D154="Serviço",BP$12&lt;&gt;0,$H154&gt;0,OR(AUTOEVENTO&lt;&gt;"manual",$M154&lt;&gt;$A$15)),
        IF(Import.TipoArredondamento&lt;&gt;"TransfereGOV",
              ROUND(OFFSET($P154,0,BP$13),15-13*ORÇAMENTO!$AF$7)/$H154*OFFSET(ORÇAMENTO!$X$15,ROW(BP154)-ROW(BP$15),0),
              ROUND(ROUND(OFFSET($P154,0,BP$13),15-13*ORÇAMENTO!$AF$7)*OFFSET(ORÇAMENTO!$W$15,ROW(BP154)-ROW(BP$15),0),15-13*ORÇAMENTO!$AF$11)),
         0)</f>
        <v>22.3</v>
      </c>
      <c r="BQ154" s="352" t="n">
        <f aca="true">IF(AND($D154="Serviço",BQ$12&lt;&gt;0,$H154&gt;0,OR(AUTOEVENTO&lt;&gt;"manual",$M154&lt;&gt;$A$15)),
        IF(Import.TipoArredondamento&lt;&gt;"TransfereGOV",
              ROUND(OFFSET($P154,0,BQ$13),15-13*ORÇAMENTO!$AF$7)/$H154*OFFSET(ORÇAMENTO!$X$15,ROW(BQ154)-ROW(BQ$15),0),
              ROUND(ROUND(OFFSET($P154,0,BQ$13),15-13*ORÇAMENTO!$AF$7)*OFFSET(ORÇAMENTO!$W$15,ROW(BQ154)-ROW(BQ$15),0),15-13*ORÇAMENTO!$AF$11)),
         0)</f>
        <v>0</v>
      </c>
      <c r="BS154" s="353" t="n">
        <f aca="true">IF(OR($D154&lt;&gt;"Serviço",AND(AUTOEVENTO="Manual",$M154=$A$15)),0,
         IF(OFFSET(CRONOPLE!$F$15,$M154-$A$15,BS$13)=0,10^12,OFFSET(CRONOPLE!$F$15,$M154-$A$15,BS$13)))</f>
        <v>1</v>
      </c>
      <c r="BT154" s="353" t="n">
        <f aca="true">IF(OR($D154&lt;&gt;"Serviço",AND(AUTOEVENTO="Manual",$M154=$A$15)),0,
         IF(OFFSET(CRONOPLE!$F$15,$M154-$A$15,BT$13)=0,10^12,OFFSET(CRONOPLE!$F$15,$M154-$A$15,BT$13)))</f>
        <v>2</v>
      </c>
      <c r="BU154" s="353" t="n">
        <f aca="true">IF(OR($D154&lt;&gt;"Serviço",AND(AUTOEVENTO="Manual",$M154=$A$15)),0,
         IF(OFFSET(CRONOPLE!$F$15,$M154-$A$15,BU$13)=0,10^12,OFFSET(CRONOPLE!$F$15,$M154-$A$15,BU$13)))</f>
        <v>3</v>
      </c>
      <c r="BV154" s="353" t="n">
        <f aca="true">IF(OR($D154&lt;&gt;"Serviço",AND(AUTOEVENTO="Manual",$M154=$A$15)),0,
         IF(OFFSET(CRONOPLE!$F$15,$M154-$A$15,BV$13)=0,10^12,OFFSET(CRONOPLE!$F$15,$M154-$A$15,BV$13)))</f>
        <v>4</v>
      </c>
      <c r="BW154" s="353" t="n">
        <f aca="true">IF(OR($D154&lt;&gt;"Serviço",AND(AUTOEVENTO="Manual",$M154=$A$15)),0,
         IF(OFFSET(CRONOPLE!$F$15,$M154-$A$15,BW$13)=0,10^12,OFFSET(CRONOPLE!$F$15,$M154-$A$15,BW$13)))</f>
        <v>5</v>
      </c>
      <c r="BX154" s="353" t="n">
        <f aca="true">IF(OR($D154&lt;&gt;"Serviço",AND(AUTOEVENTO="Manual",$M154=$A$15)),0,
         IF(OFFSET(CRONOPLE!$F$15,$M154-$A$15,BX$13)=0,10^12,OFFSET(CRONOPLE!$F$15,$M154-$A$15,BX$13)))</f>
        <v>6</v>
      </c>
      <c r="BY154" s="353" t="n">
        <f aca="true">IF(OR($D154&lt;&gt;"Serviço",AND(AUTOEVENTO="Manual",$M154=$A$15)),0,
         IF(OFFSET(CRONOPLE!$F$15,$M154-$A$15,BY$13)=0,10^12,OFFSET(CRONOPLE!$F$15,$M154-$A$15,BY$13)))</f>
        <v>7</v>
      </c>
      <c r="BZ154" s="353" t="n">
        <f aca="true">IF(OR($D154&lt;&gt;"Serviço",AND(AUTOEVENTO="Manual",$M154=$A$15)),0,
         IF(OFFSET(CRONOPLE!$F$15,$M154-$A$15,BZ$13)=0,10^12,OFFSET(CRONOPLE!$F$15,$M154-$A$15,BZ$13)))</f>
        <v>8</v>
      </c>
      <c r="CA154" s="353" t="n">
        <f aca="true">IF(OR($D154&lt;&gt;"Serviço",AND(AUTOEVENTO="Manual",$M154=$A$15)),0,
         IF(OFFSET(CRONOPLE!$F$15,$M154-$A$15,CA$13)=0,10^12,OFFSET(CRONOPLE!$F$15,$M154-$A$15,CA$13)))</f>
        <v>9</v>
      </c>
      <c r="CB154" s="353" t="n">
        <f aca="true">IF(OR($D154&lt;&gt;"Serviço",AND(AUTOEVENTO="Manual",$M154=$A$15)),0,
         IF(OFFSET(CRONOPLE!$F$15,$M154-$A$15,CB$13)=0,10^12,OFFSET(CRONOPLE!$F$15,$M154-$A$15,CB$13)))</f>
        <v>10</v>
      </c>
      <c r="CC154" s="353" t="n">
        <f aca="true">IF(OR($D154&lt;&gt;"Serviço",AND(AUTOEVENTO="Manual",$M154=$A$15)),0,
         IF(OFFSET(CRONOPLE!$F$15,$M154-$A$15,CC$13)=0,10^12,OFFSET(CRONOPLE!$F$15,$M154-$A$15,CC$13)))</f>
        <v>11</v>
      </c>
      <c r="CD154" s="353" t="n">
        <f aca="true">IF(OR($D154&lt;&gt;"Serviço",AND(AUTOEVENTO="Manual",$M154=$A$15)),0,
         IF(OFFSET(CRONOPLE!$F$15,$M154-$A$15,CD$13)=0,10^12,OFFSET(CRONOPLE!$F$15,$M154-$A$15,CD$13)))</f>
        <v>12</v>
      </c>
      <c r="CE154" s="353" t="n">
        <f aca="true">IF(OR($D154&lt;&gt;"Serviço",AND(AUTOEVENTO="Manual",$M154=$A$15)),0,
         IF(OFFSET(CRONOPLE!$F$15,$M154-$A$15,CE$13)=0,10^12,OFFSET(CRONOPLE!$F$15,$M154-$A$15,CE$13)))</f>
        <v>13</v>
      </c>
      <c r="CF154" s="353" t="n">
        <f aca="true">IF(OR($D154&lt;&gt;"Serviço",AND(AUTOEVENTO="Manual",$M154=$A$15)),0,
         IF(OFFSET(CRONOPLE!$F$15,$M154-$A$15,CF$13)=0,10^12,OFFSET(CRONOPLE!$F$15,$M154-$A$15,CF$13)))</f>
        <v>14</v>
      </c>
      <c r="CG154" s="353" t="n">
        <f aca="true">IF(OR($D154&lt;&gt;"Serviço",AND(AUTOEVENTO="Manual",$M154=$A$15)),0,
         IF(OFFSET(CRONOPLE!$F$15,$M154-$A$15,CG$13)=0,10^12,OFFSET(CRONOPLE!$F$15,$M154-$A$15,CG$13)))</f>
        <v>15</v>
      </c>
      <c r="CH154" s="353" t="n">
        <f aca="true">IF(OR($D154&lt;&gt;"Serviço",AND(AUTOEVENTO="Manual",$M154=$A$15)),0,
         IF(OFFSET(CRONOPLE!$F$15,$M154-$A$15,CH$13)=0,10^12,OFFSET(CRONOPLE!$F$15,$M154-$A$15,CH$13)))</f>
        <v>16</v>
      </c>
      <c r="CI154" s="353" t="n">
        <f aca="true">IF(OR($D154&lt;&gt;"Serviço",AND(AUTOEVENTO="Manual",$M154=$A$15)),0,
         IF(OFFSET(CRONOPLE!$F$15,$M154-$A$15,CI$13)=0,10^12,OFFSET(CRONOPLE!$F$15,$M154-$A$15,CI$13)))</f>
        <v>17</v>
      </c>
      <c r="CJ154" s="353" t="n">
        <f aca="true">IF(OR($D154&lt;&gt;"Serviço",AND(AUTOEVENTO="Manual",$M154=$A$15)),0,
         IF(OFFSET(CRONOPLE!$F$15,$M154-$A$15,CJ$13)=0,10^12,OFFSET(CRONOPLE!$F$15,$M154-$A$15,CJ$13)))</f>
        <v>18</v>
      </c>
      <c r="CK154" s="353" t="n">
        <f aca="true">IF(OR($D154&lt;&gt;"Serviço",AND(AUTOEVENTO="Manual",$M154=$A$15)),0,
         IF(OFFSET(CRONOPLE!$F$15,$M154-$A$15,CK$13)=0,10^12,OFFSET(CRONOPLE!$F$15,$M154-$A$15,CK$13)))</f>
        <v>19</v>
      </c>
      <c r="CL154" s="353" t="n">
        <f aca="true">IF(OR($D154&lt;&gt;"Serviço",AND(AUTOEVENTO="Manual",$M154=$A$15)),0,
         IF(OFFSET(CRONOPLE!$F$15,$M154-$A$15,CL$13)=0,10^12,OFFSET(CRONOPLE!$F$15,$M154-$A$15,CL$13)))</f>
        <v>20</v>
      </c>
      <c r="CM154" s="353" t="n">
        <f aca="true">IF(OR($D154&lt;&gt;"Serviço",AND(AUTOEVENTO="Manual",$M154=$A$15)),0,
         IF(OFFSET(CRONOPLE!$F$15,$M154-$A$15,CM$13)=0,10^12,OFFSET(CRONOPLE!$F$15,$M154-$A$15,CM$13)))</f>
        <v>21</v>
      </c>
      <c r="CN154" s="353" t="n">
        <f aca="true">IF(OR($D154&lt;&gt;"Serviço",AND(AUTOEVENTO="Manual",$M154=$A$15)),0,
         IF(OFFSET(CRONOPLE!$F$15,$M154-$A$15,CN$13)=0,10^12,OFFSET(CRONOPLE!$F$15,$M154-$A$15,CN$13)))</f>
        <v>22</v>
      </c>
      <c r="CO154" s="353" t="n">
        <f aca="true">IF(OR($D154&lt;&gt;"Serviço",AND(AUTOEVENTO="Manual",$M154=$A$15)),0,
         IF(OFFSET(CRONOPLE!$F$15,$M154-$A$15,CO$13)=0,10^12,OFFSET(CRONOPLE!$F$15,$M154-$A$15,CO$13)))</f>
        <v>23</v>
      </c>
      <c r="CP154" s="353" t="n">
        <f aca="true">IF(OR($D154&lt;&gt;"Serviço",AND(AUTOEVENTO="Manual",$M154=$A$15)),0,
         IF(OFFSET(CRONOPLE!$F$15,$M154-$A$15,CP$13)=0,10^12,OFFSET(CRONOPLE!$F$15,$M154-$A$15,CP$13)))</f>
        <v>24</v>
      </c>
      <c r="CQ154" s="353" t="n">
        <f aca="true">IF(OR($D154&lt;&gt;"Serviço",AND(AUTOEVENTO="Manual",$M154=$A$15)),0,
         IF(OFFSET(CRONOPLE!$F$15,$M154-$A$15,CQ$13)=0,10^12,OFFSET(CRONOPLE!$F$15,$M154-$A$15,CQ$13)))</f>
        <v>25</v>
      </c>
      <c r="CR154" s="353" t="n">
        <f aca="true">IF(OR($D154&lt;&gt;"Serviço",AND(AUTOEVENTO="Manual",$M154=$A$15)),0,
         IF(OFFSET(CRONOPLE!$F$15,$M154-$A$15,CR$13)=0,10^12,OFFSET(CRONOPLE!$F$15,$M154-$A$15,CR$13)))</f>
        <v>1000000000000</v>
      </c>
      <c r="CT154" s="354" t="n">
        <f aca="true">IF(OR($D154&lt;&gt;"Serviço",AND(AUTOEVENTO="Manual",$M154=$A$15),$M154&gt;(ROW(PLE.lastrow)-ROW(PLE.firstrow))),0,
           IF(OFFSET(PLE!$G$15,$M154-$A$15,CT$13)="",10^12,OFFSET(PLE!$G$15,$M154-$A$15,CT$13)))</f>
        <v>1000000000000</v>
      </c>
      <c r="CU154" s="354" t="n">
        <f aca="true">IF(OR($D154&lt;&gt;"Serviço",AND(AUTOEVENTO="Manual",$M154=$A$15),$M154&gt;(ROW(PLE.lastrow)-ROW(PLE.firstrow))),0,
           IF(OFFSET(PLE!$G$15,$M154-$A$15,CU$13)="",10^12,OFFSET(PLE!$G$15,$M154-$A$15,CU$13)))</f>
        <v>1000000000000</v>
      </c>
      <c r="CV154" s="354" t="n">
        <f aca="true">IF(OR($D154&lt;&gt;"Serviço",AND(AUTOEVENTO="Manual",$M154=$A$15),$M154&gt;(ROW(PLE.lastrow)-ROW(PLE.firstrow))),0,
           IF(OFFSET(PLE!$G$15,$M154-$A$15,CV$13)="",10^12,OFFSET(PLE!$G$15,$M154-$A$15,CV$13)))</f>
        <v>1000000000000</v>
      </c>
      <c r="CW154" s="354" t="n">
        <f aca="true">IF(OR($D154&lt;&gt;"Serviço",AND(AUTOEVENTO="Manual",$M154=$A$15),$M154&gt;(ROW(PLE.lastrow)-ROW(PLE.firstrow))),0,
           IF(OFFSET(PLE!$G$15,$M154-$A$15,CW$13)="",10^12,OFFSET(PLE!$G$15,$M154-$A$15,CW$13)))</f>
        <v>1000000000000</v>
      </c>
      <c r="CX154" s="354" t="n">
        <f aca="true">IF(OR($D154&lt;&gt;"Serviço",AND(AUTOEVENTO="Manual",$M154=$A$15),$M154&gt;(ROW(PLE.lastrow)-ROW(PLE.firstrow))),0,
           IF(OFFSET(PLE!$G$15,$M154-$A$15,CX$13)="",10^12,OFFSET(PLE!$G$15,$M154-$A$15,CX$13)))</f>
        <v>1000000000000</v>
      </c>
      <c r="CY154" s="354" t="n">
        <f aca="true">IF(OR($D154&lt;&gt;"Serviço",AND(AUTOEVENTO="Manual",$M154=$A$15),$M154&gt;(ROW(PLE.lastrow)-ROW(PLE.firstrow))),0,
           IF(OFFSET(PLE!$G$15,$M154-$A$15,CY$13)="",10^12,OFFSET(PLE!$G$15,$M154-$A$15,CY$13)))</f>
        <v>1000000000000</v>
      </c>
      <c r="CZ154" s="354" t="n">
        <f aca="true">IF(OR($D154&lt;&gt;"Serviço",AND(AUTOEVENTO="Manual",$M154=$A$15),$M154&gt;(ROW(PLE.lastrow)-ROW(PLE.firstrow))),0,
           IF(OFFSET(PLE!$G$15,$M154-$A$15,CZ$13)="",10^12,OFFSET(PLE!$G$15,$M154-$A$15,CZ$13)))</f>
        <v>1000000000000</v>
      </c>
      <c r="DA154" s="354" t="n">
        <f aca="true">IF(OR($D154&lt;&gt;"Serviço",AND(AUTOEVENTO="Manual",$M154=$A$15),$M154&gt;(ROW(PLE.lastrow)-ROW(PLE.firstrow))),0,
           IF(OFFSET(PLE!$G$15,$M154-$A$15,DA$13)="",10^12,OFFSET(PLE!$G$15,$M154-$A$15,DA$13)))</f>
        <v>1000000000000</v>
      </c>
      <c r="DB154" s="354" t="n">
        <f aca="true">IF(OR($D154&lt;&gt;"Serviço",AND(AUTOEVENTO="Manual",$M154=$A$15),$M154&gt;(ROW(PLE.lastrow)-ROW(PLE.firstrow))),0,
           IF(OFFSET(PLE!$G$15,$M154-$A$15,DB$13)="",10^12,OFFSET(PLE!$G$15,$M154-$A$15,DB$13)))</f>
        <v>1000000000000</v>
      </c>
      <c r="DC154" s="354" t="n">
        <f aca="true">IF(OR($D154&lt;&gt;"Serviço",AND(AUTOEVENTO="Manual",$M154=$A$15),$M154&gt;(ROW(PLE.lastrow)-ROW(PLE.firstrow))),0,
           IF(OFFSET(PLE!$G$15,$M154-$A$15,DC$13)="",10^12,OFFSET(PLE!$G$15,$M154-$A$15,DC$13)))</f>
        <v>1000000000000</v>
      </c>
      <c r="DD154" s="354" t="n">
        <f aca="true">IF(OR($D154&lt;&gt;"Serviço",AND(AUTOEVENTO="Manual",$M154=$A$15),$M154&gt;(ROW(PLE.lastrow)-ROW(PLE.firstrow))),0,
           IF(OFFSET(PLE!$G$15,$M154-$A$15,DD$13)="",10^12,OFFSET(PLE!$G$15,$M154-$A$15,DD$13)))</f>
        <v>1000000000000</v>
      </c>
      <c r="DE154" s="354" t="n">
        <f aca="true">IF(OR($D154&lt;&gt;"Serviço",AND(AUTOEVENTO="Manual",$M154=$A$15),$M154&gt;(ROW(PLE.lastrow)-ROW(PLE.firstrow))),0,
           IF(OFFSET(PLE!$G$15,$M154-$A$15,DE$13)="",10^12,OFFSET(PLE!$G$15,$M154-$A$15,DE$13)))</f>
        <v>1000000000000</v>
      </c>
      <c r="DF154" s="354" t="n">
        <f aca="true">IF(OR($D154&lt;&gt;"Serviço",AND(AUTOEVENTO="Manual",$M154=$A$15),$M154&gt;(ROW(PLE.lastrow)-ROW(PLE.firstrow))),0,
           IF(OFFSET(PLE!$G$15,$M154-$A$15,DF$13)="",10^12,OFFSET(PLE!$G$15,$M154-$A$15,DF$13)))</f>
        <v>1000000000000</v>
      </c>
      <c r="DG154" s="354" t="n">
        <f aca="true">IF(OR($D154&lt;&gt;"Serviço",AND(AUTOEVENTO="Manual",$M154=$A$15),$M154&gt;(ROW(PLE.lastrow)-ROW(PLE.firstrow))),0,
           IF(OFFSET(PLE!$G$15,$M154-$A$15,DG$13)="",10^12,OFFSET(PLE!$G$15,$M154-$A$15,DG$13)))</f>
        <v>1000000000000</v>
      </c>
      <c r="DH154" s="354" t="n">
        <f aca="true">IF(OR($D154&lt;&gt;"Serviço",AND(AUTOEVENTO="Manual",$M154=$A$15),$M154&gt;(ROW(PLE.lastrow)-ROW(PLE.firstrow))),0,
           IF(OFFSET(PLE!$G$15,$M154-$A$15,DH$13)="",10^12,OFFSET(PLE!$G$15,$M154-$A$15,DH$13)))</f>
        <v>1000000000000</v>
      </c>
      <c r="DI154" s="354" t="n">
        <f aca="true">IF(OR($D154&lt;&gt;"Serviço",AND(AUTOEVENTO="Manual",$M154=$A$15),$M154&gt;(ROW(PLE.lastrow)-ROW(PLE.firstrow))),0,
           IF(OFFSET(PLE!$G$15,$M154-$A$15,DI$13)="",10^12,OFFSET(PLE!$G$15,$M154-$A$15,DI$13)))</f>
        <v>1000000000000</v>
      </c>
      <c r="DJ154" s="354" t="n">
        <f aca="true">IF(OR($D154&lt;&gt;"Serviço",AND(AUTOEVENTO="Manual",$M154=$A$15),$M154&gt;(ROW(PLE.lastrow)-ROW(PLE.firstrow))),0,
           IF(OFFSET(PLE!$G$15,$M154-$A$15,DJ$13)="",10^12,OFFSET(PLE!$G$15,$M154-$A$15,DJ$13)))</f>
        <v>1000000000000</v>
      </c>
      <c r="DK154" s="354" t="n">
        <f aca="true">IF(OR($D154&lt;&gt;"Serviço",AND(AUTOEVENTO="Manual",$M154=$A$15),$M154&gt;(ROW(PLE.lastrow)-ROW(PLE.firstrow))),0,
           IF(OFFSET(PLE!$G$15,$M154-$A$15,DK$13)="",10^12,OFFSET(PLE!$G$15,$M154-$A$15,DK$13)))</f>
        <v>1000000000000</v>
      </c>
      <c r="DL154" s="354" t="n">
        <f aca="true">IF(OR($D154&lt;&gt;"Serviço",AND(AUTOEVENTO="Manual",$M154=$A$15),$M154&gt;(ROW(PLE.lastrow)-ROW(PLE.firstrow))),0,
           IF(OFFSET(PLE!$G$15,$M154-$A$15,DL$13)="",10^12,OFFSET(PLE!$G$15,$M154-$A$15,DL$13)))</f>
        <v>1000000000000</v>
      </c>
      <c r="DM154" s="354" t="n">
        <f aca="true">IF(OR($D154&lt;&gt;"Serviço",AND(AUTOEVENTO="Manual",$M154=$A$15),$M154&gt;(ROW(PLE.lastrow)-ROW(PLE.firstrow))),0,
           IF(OFFSET(PLE!$G$15,$M154-$A$15,DM$13)="",10^12,OFFSET(PLE!$G$15,$M154-$A$15,DM$13)))</f>
        <v>1000000000000</v>
      </c>
      <c r="DN154" s="354" t="n">
        <f aca="true">IF(OR($D154&lt;&gt;"Serviço",AND(AUTOEVENTO="Manual",$M154=$A$15),$M154&gt;(ROW(PLE.lastrow)-ROW(PLE.firstrow))),0,
           IF(OFFSET(PLE!$G$15,$M154-$A$15,DN$13)="",10^12,OFFSET(PLE!$G$15,$M154-$A$15,DN$13)))</f>
        <v>1000000000000</v>
      </c>
      <c r="DO154" s="354" t="n">
        <f aca="true">IF(OR($D154&lt;&gt;"Serviço",AND(AUTOEVENTO="Manual",$M154=$A$15),$M154&gt;(ROW(PLE.lastrow)-ROW(PLE.firstrow))),0,
           IF(OFFSET(PLE!$G$15,$M154-$A$15,DO$13)="",10^12,OFFSET(PLE!$G$15,$M154-$A$15,DO$13)))</f>
        <v>1000000000000</v>
      </c>
      <c r="DP154" s="354" t="n">
        <f aca="true">IF(OR($D154&lt;&gt;"Serviço",AND(AUTOEVENTO="Manual",$M154=$A$15),$M154&gt;(ROW(PLE.lastrow)-ROW(PLE.firstrow))),0,
           IF(OFFSET(PLE!$G$15,$M154-$A$15,DP$13)="",10^12,OFFSET(PLE!$G$15,$M154-$A$15,DP$13)))</f>
        <v>1000000000000</v>
      </c>
      <c r="DQ154" s="354" t="n">
        <f aca="true">IF(OR($D154&lt;&gt;"Serviço",AND(AUTOEVENTO="Manual",$M154=$A$15),$M154&gt;(ROW(PLE.lastrow)-ROW(PLE.firstrow))),0,
           IF(OFFSET(PLE!$G$15,$M154-$A$15,DQ$13)="",10^12,OFFSET(PLE!$G$15,$M154-$A$15,DQ$13)))</f>
        <v>1000000000000</v>
      </c>
      <c r="DR154" s="354" t="n">
        <f aca="true">IF(OR($D154&lt;&gt;"Serviço",AND(AUTOEVENTO="Manual",$M154=$A$15),$M154&gt;(ROW(PLE.lastrow)-ROW(PLE.firstrow))),0,
           IF(OFFSET(PLE!$G$15,$M154-$A$15,DR$13)="",10^12,OFFSET(PLE!$G$15,$M154-$A$15,DR$13)))</f>
        <v>1000000000000</v>
      </c>
      <c r="DS154" s="354" t="n">
        <f aca="true">IF(OR($D154&lt;&gt;"Serviço",AND(AUTOEVENTO="Manual",$M154=$A$15),$M154&gt;(ROW(PLE.lastrow)-ROW(PLE.firstrow))),0,
           IF(OFFSET(PLE!$G$15,$M154-$A$15,DS$13)="",10^12,OFFSET(PLE!$G$15,$M154-$A$15,DS$13)))</f>
        <v>1000000000000</v>
      </c>
    </row>
    <row r="155" customFormat="false" ht="23.85" hidden="false" customHeight="false" outlineLevel="0" collapsed="false">
      <c r="A155" s="50" t="str">
        <f aca="true">IFERROR(IF(AUTOEVENTO="Manual",IF(K155&lt;&gt;"",MIN(VALUE(LEFT(K155,FIND(".",K155)-1)),COUNTA(EVENTOS.Lista)),0),IF(OR($B155&gt;AUTOEVENTO,$B155="S",$B155=0),SUBSTITUTE(OFFSET($A155,-1,0),IF($D155="Serviço",".",""),""),ROW(A155)-ROW($A$15)&amp;".")),0)</f>
        <v>133</v>
      </c>
      <c r="B155" s="50" t="str">
        <f aca="true">OFFSET(ORÇAMENTO!C$15,ROW(B155)-ROW(B$15),0)</f>
        <v>S</v>
      </c>
      <c r="C155" s="50" t="str">
        <f aca="true">OFFSET(ORÇAMENTO!L$15,ROW(C155)-ROW(C$15),0)</f>
        <v>F</v>
      </c>
      <c r="D155" s="201" t="str">
        <f aca="true">OFFSET(ORÇAMENTO!N$15,ROW(D155)-ROW(D$15),0)</f>
        <v>Serviço</v>
      </c>
      <c r="E155" s="202" t="str">
        <f aca="true">OFFSET(ORÇAMENTO!O$15,ROW(E155)-ROW(E$15),0)</f>
        <v>1.42.7.</v>
      </c>
      <c r="F155" s="341" t="str">
        <f aca="true">OFFSET(ORÇAMENTO!R$15,ROW(F155)-ROW(F$15),0)</f>
        <v>TE, PVC, SOLDÁVEL, DN 25MM, INSTALADO EM RAMAL DE DISTRIBUIÇÃO DE ÁGUA - FORNECIMENTO E INSTALAÇÃO. AF_06/2022</v>
      </c>
      <c r="G155" s="342" t="str">
        <f aca="true">IF($D155&lt;&gt;"Serviço","",OFFSET(ORÇAMENTO!S$15,ROW(G155)-ROW(G$15),0))</f>
        <v>UN</v>
      </c>
      <c r="H155" s="207" t="n">
        <f aca="true">IF($D155&lt;&gt;"Serviço",0,IF(ACOMPANHAMENTO="BM",ROUND(OFFSET(ORÇAMENTO!AJ$15,ROW(H155)-ROW(H$15),0),15-13*ORÇAMENTO!$AF$7),SUMPRODUCT(($Q$1:$AQ$1=1)*ROUND($Q155:$AQ155,15-13*ORÇAMENTO!$AF$7))))</f>
        <v>25</v>
      </c>
      <c r="I155" s="343" t="s">
        <v>969</v>
      </c>
      <c r="J155" s="344" t="e">
        <f aca="false">IF(OR(B155&lt;&gt;"S",CÁLCULO.FrentesPreenchidas=0),"",IF(AND(ACOMPANHAMENTO="PLE",AUTOEVENTO="Manual",OR(H155&gt;0,ORÇAMENTO!AC155="QUANT."),OR(K155="",M155=0,N155="")),"►",IF(AND(ACOMPANHAMENTO="PLE",ORÇAMENTO!AC155="QUANT."),"►►",IF(AND(COUNTIF($P$11:$AQ$11,"▼")=0,H155&gt;0,I155=""),"◄",""))))</f>
        <v>#NAME?</v>
      </c>
      <c r="K155" s="345"/>
      <c r="L155" s="346" t="s">
        <v>876</v>
      </c>
      <c r="M155" s="347" t="n">
        <f aca="true">IF($D155&lt;&gt;"Serviço","",
          IF(AUTOEVENTO="manual",$A155,
                IF(ISERROR(MATCH($A155,$A$15:OFFSET($A155,-1,0),0)),MAX($M$15:OFFSET(M155,-1,0))+1,
                      INDEX($M$15:OFFSET(M155,-1,0),MATCH($A155,$A$15:OFFSET($A155,-1,0),0)))))</f>
        <v>26</v>
      </c>
      <c r="N155" s="348" t="str">
        <f aca="true">IF($D155&lt;&gt;"Serviço","",
         IF(AUTOEVENTO="Manual",
                IF($A155=0,"&lt;-- defina o número do agrupador",
                       OFFSET(EVENTOS!$D$15,$A155-$A$15,0)),
                OFFSET($F$15,$A155,0)))</f>
        <v>ENTRADA / ALIMENTAÇÃO</v>
      </c>
      <c r="O155" s="349"/>
      <c r="Q155" s="349" t="n">
        <v>1</v>
      </c>
      <c r="R155" s="350" t="n">
        <f aca="false">Q155</f>
        <v>1</v>
      </c>
      <c r="S155" s="350" t="n">
        <f aca="false">R155</f>
        <v>1</v>
      </c>
      <c r="T155" s="350" t="n">
        <f aca="false">S155</f>
        <v>1</v>
      </c>
      <c r="U155" s="350" t="n">
        <f aca="false">T155</f>
        <v>1</v>
      </c>
      <c r="V155" s="350" t="n">
        <f aca="false">U155</f>
        <v>1</v>
      </c>
      <c r="W155" s="350" t="n">
        <f aca="false">V155</f>
        <v>1</v>
      </c>
      <c r="X155" s="350" t="n">
        <f aca="false">W155</f>
        <v>1</v>
      </c>
      <c r="Y155" s="350" t="n">
        <f aca="false">X155</f>
        <v>1</v>
      </c>
      <c r="Z155" s="351" t="n">
        <f aca="false">Y155</f>
        <v>1</v>
      </c>
      <c r="AA155" s="350" t="n">
        <f aca="false">Z155</f>
        <v>1</v>
      </c>
      <c r="AB155" s="350" t="n">
        <f aca="false">AA155</f>
        <v>1</v>
      </c>
      <c r="AC155" s="350" t="n">
        <f aca="false">AB155</f>
        <v>1</v>
      </c>
      <c r="AD155" s="350" t="n">
        <f aca="false">AC155</f>
        <v>1</v>
      </c>
      <c r="AE155" s="350" t="n">
        <f aca="false">AD155</f>
        <v>1</v>
      </c>
      <c r="AF155" s="350" t="n">
        <f aca="false">AE155</f>
        <v>1</v>
      </c>
      <c r="AG155" s="350" t="n">
        <f aca="false">AF155</f>
        <v>1</v>
      </c>
      <c r="AH155" s="351" t="n">
        <f aca="false">AG155</f>
        <v>1</v>
      </c>
      <c r="AI155" s="350" t="n">
        <f aca="false">AH155</f>
        <v>1</v>
      </c>
      <c r="AJ155" s="350" t="n">
        <f aca="false">AI155</f>
        <v>1</v>
      </c>
      <c r="AK155" s="350" t="n">
        <f aca="false">AJ155</f>
        <v>1</v>
      </c>
      <c r="AL155" s="350" t="n">
        <f aca="false">AK155</f>
        <v>1</v>
      </c>
      <c r="AM155" s="350" t="n">
        <f aca="false">AL155</f>
        <v>1</v>
      </c>
      <c r="AN155" s="350" t="n">
        <f aca="false">AM155</f>
        <v>1</v>
      </c>
      <c r="AO155" s="350" t="n">
        <f aca="false">AN155</f>
        <v>1</v>
      </c>
      <c r="AP155" s="351"/>
      <c r="AR155" s="352" t="n">
        <f aca="true">IF(AND($D155="Serviço",AR$12&lt;&gt;0,$H155&gt;0,OR(AUTOEVENTO&lt;&gt;"manual",$M155&lt;&gt;$A$15)),
        IF(Import.TipoArredondamento&lt;&gt;"TransfereGOV",
              ROUND(OFFSET($P155,0,AR$13),15-13*ORÇAMENTO!$AF$7)/$H155*OFFSET(ORÇAMENTO!$X$15,ROW(AR155)-ROW(AR$15),0),
              ROUND(ROUND(OFFSET($P155,0,AR$13),15-13*ORÇAMENTO!$AF$7)*OFFSET(ORÇAMENTO!$W$15,ROW(AR155)-ROW(AR$15),0),15-13*ORÇAMENTO!$AF$11)),
         0)</f>
        <v>15.42</v>
      </c>
      <c r="AS155" s="352" t="n">
        <f aca="true">IF(AND($D155="Serviço",AS$12&lt;&gt;0,$H155&gt;0,OR(AUTOEVENTO&lt;&gt;"manual",$M155&lt;&gt;$A$15)),
        IF(Import.TipoArredondamento&lt;&gt;"TransfereGOV",
              ROUND(OFFSET($P155,0,AS$13),15-13*ORÇAMENTO!$AF$7)/$H155*OFFSET(ORÇAMENTO!$X$15,ROW(AS155)-ROW(AS$15),0),
              ROUND(ROUND(OFFSET($P155,0,AS$13),15-13*ORÇAMENTO!$AF$7)*OFFSET(ORÇAMENTO!$W$15,ROW(AS155)-ROW(AS$15),0),15-13*ORÇAMENTO!$AF$11)),
         0)</f>
        <v>15.42</v>
      </c>
      <c r="AT155" s="352" t="n">
        <f aca="true">IF(AND($D155="Serviço",AT$12&lt;&gt;0,$H155&gt;0,OR(AUTOEVENTO&lt;&gt;"manual",$M155&lt;&gt;$A$15)),
        IF(Import.TipoArredondamento&lt;&gt;"TransfereGOV",
              ROUND(OFFSET($P155,0,AT$13),15-13*ORÇAMENTO!$AF$7)/$H155*OFFSET(ORÇAMENTO!$X$15,ROW(AT155)-ROW(AT$15),0),
              ROUND(ROUND(OFFSET($P155,0,AT$13),15-13*ORÇAMENTO!$AF$7)*OFFSET(ORÇAMENTO!$W$15,ROW(AT155)-ROW(AT$15),0),15-13*ORÇAMENTO!$AF$11)),
         0)</f>
        <v>15.42</v>
      </c>
      <c r="AU155" s="352" t="n">
        <f aca="true">IF(AND($D155="Serviço",AU$12&lt;&gt;0,$H155&gt;0,OR(AUTOEVENTO&lt;&gt;"manual",$M155&lt;&gt;$A$15)),
        IF(Import.TipoArredondamento&lt;&gt;"TransfereGOV",
              ROUND(OFFSET($P155,0,AU$13),15-13*ORÇAMENTO!$AF$7)/$H155*OFFSET(ORÇAMENTO!$X$15,ROW(AU155)-ROW(AU$15),0),
              ROUND(ROUND(OFFSET($P155,0,AU$13),15-13*ORÇAMENTO!$AF$7)*OFFSET(ORÇAMENTO!$W$15,ROW(AU155)-ROW(AU$15),0),15-13*ORÇAMENTO!$AF$11)),
         0)</f>
        <v>15.42</v>
      </c>
      <c r="AV155" s="352" t="n">
        <f aca="true">IF(AND($D155="Serviço",AV$12&lt;&gt;0,$H155&gt;0,OR(AUTOEVENTO&lt;&gt;"manual",$M155&lt;&gt;$A$15)),
        IF(Import.TipoArredondamento&lt;&gt;"TransfereGOV",
              ROUND(OFFSET($P155,0,AV$13),15-13*ORÇAMENTO!$AF$7)/$H155*OFFSET(ORÇAMENTO!$X$15,ROW(AV155)-ROW(AV$15),0),
              ROUND(ROUND(OFFSET($P155,0,AV$13),15-13*ORÇAMENTO!$AF$7)*OFFSET(ORÇAMENTO!$W$15,ROW(AV155)-ROW(AV$15),0),15-13*ORÇAMENTO!$AF$11)),
         0)</f>
        <v>15.42</v>
      </c>
      <c r="AW155" s="352" t="n">
        <f aca="true">IF(AND($D155="Serviço",AW$12&lt;&gt;0,$H155&gt;0,OR(AUTOEVENTO&lt;&gt;"manual",$M155&lt;&gt;$A$15)),
        IF(Import.TipoArredondamento&lt;&gt;"TransfereGOV",
              ROUND(OFFSET($P155,0,AW$13),15-13*ORÇAMENTO!$AF$7)/$H155*OFFSET(ORÇAMENTO!$X$15,ROW(AW155)-ROW(AW$15),0),
              ROUND(ROUND(OFFSET($P155,0,AW$13),15-13*ORÇAMENTO!$AF$7)*OFFSET(ORÇAMENTO!$W$15,ROW(AW155)-ROW(AW$15),0),15-13*ORÇAMENTO!$AF$11)),
         0)</f>
        <v>15.42</v>
      </c>
      <c r="AX155" s="352" t="n">
        <f aca="true">IF(AND($D155="Serviço",AX$12&lt;&gt;0,$H155&gt;0,OR(AUTOEVENTO&lt;&gt;"manual",$M155&lt;&gt;$A$15)),
        IF(Import.TipoArredondamento&lt;&gt;"TransfereGOV",
              ROUND(OFFSET($P155,0,AX$13),15-13*ORÇAMENTO!$AF$7)/$H155*OFFSET(ORÇAMENTO!$X$15,ROW(AX155)-ROW(AX$15),0),
              ROUND(ROUND(OFFSET($P155,0,AX$13),15-13*ORÇAMENTO!$AF$7)*OFFSET(ORÇAMENTO!$W$15,ROW(AX155)-ROW(AX$15),0),15-13*ORÇAMENTO!$AF$11)),
         0)</f>
        <v>15.42</v>
      </c>
      <c r="AY155" s="352" t="n">
        <f aca="true">IF(AND($D155="Serviço",AY$12&lt;&gt;0,$H155&gt;0,OR(AUTOEVENTO&lt;&gt;"manual",$M155&lt;&gt;$A$15)),
        IF(Import.TipoArredondamento&lt;&gt;"TransfereGOV",
              ROUND(OFFSET($P155,0,AY$13),15-13*ORÇAMENTO!$AF$7)/$H155*OFFSET(ORÇAMENTO!$X$15,ROW(AY155)-ROW(AY$15),0),
              ROUND(ROUND(OFFSET($P155,0,AY$13),15-13*ORÇAMENTO!$AF$7)*OFFSET(ORÇAMENTO!$W$15,ROW(AY155)-ROW(AY$15),0),15-13*ORÇAMENTO!$AF$11)),
         0)</f>
        <v>15.42</v>
      </c>
      <c r="AZ155" s="352" t="n">
        <f aca="true">IF(AND($D155="Serviço",AZ$12&lt;&gt;0,$H155&gt;0,OR(AUTOEVENTO&lt;&gt;"manual",$M155&lt;&gt;$A$15)),
        IF(Import.TipoArredondamento&lt;&gt;"TransfereGOV",
              ROUND(OFFSET($P155,0,AZ$13),15-13*ORÇAMENTO!$AF$7)/$H155*OFFSET(ORÇAMENTO!$X$15,ROW(AZ155)-ROW(AZ$15),0),
              ROUND(ROUND(OFFSET($P155,0,AZ$13),15-13*ORÇAMENTO!$AF$7)*OFFSET(ORÇAMENTO!$W$15,ROW(AZ155)-ROW(AZ$15),0),15-13*ORÇAMENTO!$AF$11)),
         0)</f>
        <v>15.42</v>
      </c>
      <c r="BA155" s="352" t="n">
        <f aca="true">IF(AND($D155="Serviço",BA$12&lt;&gt;0,$H155&gt;0,OR(AUTOEVENTO&lt;&gt;"manual",$M155&lt;&gt;$A$15)),
        IF(Import.TipoArredondamento&lt;&gt;"TransfereGOV",
              ROUND(OFFSET($P155,0,BA$13),15-13*ORÇAMENTO!$AF$7)/$H155*OFFSET(ORÇAMENTO!$X$15,ROW(BA155)-ROW(BA$15),0),
              ROUND(ROUND(OFFSET($P155,0,BA$13),15-13*ORÇAMENTO!$AF$7)*OFFSET(ORÇAMENTO!$W$15,ROW(BA155)-ROW(BA$15),0),15-13*ORÇAMENTO!$AF$11)),
         0)</f>
        <v>15.42</v>
      </c>
      <c r="BB155" s="352" t="n">
        <f aca="true">IF(AND($D155="Serviço",BB$12&lt;&gt;0,$H155&gt;0,OR(AUTOEVENTO&lt;&gt;"manual",$M155&lt;&gt;$A$15)),
        IF(Import.TipoArredondamento&lt;&gt;"TransfereGOV",
              ROUND(OFFSET($P155,0,BB$13),15-13*ORÇAMENTO!$AF$7)/$H155*OFFSET(ORÇAMENTO!$X$15,ROW(BB155)-ROW(BB$15),0),
              ROUND(ROUND(OFFSET($P155,0,BB$13),15-13*ORÇAMENTO!$AF$7)*OFFSET(ORÇAMENTO!$W$15,ROW(BB155)-ROW(BB$15),0),15-13*ORÇAMENTO!$AF$11)),
         0)</f>
        <v>15.42</v>
      </c>
      <c r="BC155" s="352" t="n">
        <f aca="true">IF(AND($D155="Serviço",BC$12&lt;&gt;0,$H155&gt;0,OR(AUTOEVENTO&lt;&gt;"manual",$M155&lt;&gt;$A$15)),
        IF(Import.TipoArredondamento&lt;&gt;"TransfereGOV",
              ROUND(OFFSET($P155,0,BC$13),15-13*ORÇAMENTO!$AF$7)/$H155*OFFSET(ORÇAMENTO!$X$15,ROW(BC155)-ROW(BC$15),0),
              ROUND(ROUND(OFFSET($P155,0,BC$13),15-13*ORÇAMENTO!$AF$7)*OFFSET(ORÇAMENTO!$W$15,ROW(BC155)-ROW(BC$15),0),15-13*ORÇAMENTO!$AF$11)),
         0)</f>
        <v>15.42</v>
      </c>
      <c r="BD155" s="352" t="n">
        <f aca="true">IF(AND($D155="Serviço",BD$12&lt;&gt;0,$H155&gt;0,OR(AUTOEVENTO&lt;&gt;"manual",$M155&lt;&gt;$A$15)),
        IF(Import.TipoArredondamento&lt;&gt;"TransfereGOV",
              ROUND(OFFSET($P155,0,BD$13),15-13*ORÇAMENTO!$AF$7)/$H155*OFFSET(ORÇAMENTO!$X$15,ROW(BD155)-ROW(BD$15),0),
              ROUND(ROUND(OFFSET($P155,0,BD$13),15-13*ORÇAMENTO!$AF$7)*OFFSET(ORÇAMENTO!$W$15,ROW(BD155)-ROW(BD$15),0),15-13*ORÇAMENTO!$AF$11)),
         0)</f>
        <v>15.42</v>
      </c>
      <c r="BE155" s="352" t="n">
        <f aca="true">IF(AND($D155="Serviço",BE$12&lt;&gt;0,$H155&gt;0,OR(AUTOEVENTO&lt;&gt;"manual",$M155&lt;&gt;$A$15)),
        IF(Import.TipoArredondamento&lt;&gt;"TransfereGOV",
              ROUND(OFFSET($P155,0,BE$13),15-13*ORÇAMENTO!$AF$7)/$H155*OFFSET(ORÇAMENTO!$X$15,ROW(BE155)-ROW(BE$15),0),
              ROUND(ROUND(OFFSET($P155,0,BE$13),15-13*ORÇAMENTO!$AF$7)*OFFSET(ORÇAMENTO!$W$15,ROW(BE155)-ROW(BE$15),0),15-13*ORÇAMENTO!$AF$11)),
         0)</f>
        <v>15.42</v>
      </c>
      <c r="BF155" s="352" t="n">
        <f aca="true">IF(AND($D155="Serviço",BF$12&lt;&gt;0,$H155&gt;0,OR(AUTOEVENTO&lt;&gt;"manual",$M155&lt;&gt;$A$15)),
        IF(Import.TipoArredondamento&lt;&gt;"TransfereGOV",
              ROUND(OFFSET($P155,0,BF$13),15-13*ORÇAMENTO!$AF$7)/$H155*OFFSET(ORÇAMENTO!$X$15,ROW(BF155)-ROW(BF$15),0),
              ROUND(ROUND(OFFSET($P155,0,BF$13),15-13*ORÇAMENTO!$AF$7)*OFFSET(ORÇAMENTO!$W$15,ROW(BF155)-ROW(BF$15),0),15-13*ORÇAMENTO!$AF$11)),
         0)</f>
        <v>15.42</v>
      </c>
      <c r="BG155" s="352" t="n">
        <f aca="true">IF(AND($D155="Serviço",BG$12&lt;&gt;0,$H155&gt;0,OR(AUTOEVENTO&lt;&gt;"manual",$M155&lt;&gt;$A$15)),
        IF(Import.TipoArredondamento&lt;&gt;"TransfereGOV",
              ROUND(OFFSET($P155,0,BG$13),15-13*ORÇAMENTO!$AF$7)/$H155*OFFSET(ORÇAMENTO!$X$15,ROW(BG155)-ROW(BG$15),0),
              ROUND(ROUND(OFFSET($P155,0,BG$13),15-13*ORÇAMENTO!$AF$7)*OFFSET(ORÇAMENTO!$W$15,ROW(BG155)-ROW(BG$15),0),15-13*ORÇAMENTO!$AF$11)),
         0)</f>
        <v>15.42</v>
      </c>
      <c r="BH155" s="352" t="n">
        <f aca="true">IF(AND($D155="Serviço",BH$12&lt;&gt;0,$H155&gt;0,OR(AUTOEVENTO&lt;&gt;"manual",$M155&lt;&gt;$A$15)),
        IF(Import.TipoArredondamento&lt;&gt;"TransfereGOV",
              ROUND(OFFSET($P155,0,BH$13),15-13*ORÇAMENTO!$AF$7)/$H155*OFFSET(ORÇAMENTO!$X$15,ROW(BH155)-ROW(BH$15),0),
              ROUND(ROUND(OFFSET($P155,0,BH$13),15-13*ORÇAMENTO!$AF$7)*OFFSET(ORÇAMENTO!$W$15,ROW(BH155)-ROW(BH$15),0),15-13*ORÇAMENTO!$AF$11)),
         0)</f>
        <v>15.42</v>
      </c>
      <c r="BI155" s="352" t="n">
        <f aca="true">IF(AND($D155="Serviço",BI$12&lt;&gt;0,$H155&gt;0,OR(AUTOEVENTO&lt;&gt;"manual",$M155&lt;&gt;$A$15)),
        IF(Import.TipoArredondamento&lt;&gt;"TransfereGOV",
              ROUND(OFFSET($P155,0,BI$13),15-13*ORÇAMENTO!$AF$7)/$H155*OFFSET(ORÇAMENTO!$X$15,ROW(BI155)-ROW(BI$15),0),
              ROUND(ROUND(OFFSET($P155,0,BI$13),15-13*ORÇAMENTO!$AF$7)*OFFSET(ORÇAMENTO!$W$15,ROW(BI155)-ROW(BI$15),0),15-13*ORÇAMENTO!$AF$11)),
         0)</f>
        <v>15.42</v>
      </c>
      <c r="BJ155" s="352" t="n">
        <f aca="true">IF(AND($D155="Serviço",BJ$12&lt;&gt;0,$H155&gt;0,OR(AUTOEVENTO&lt;&gt;"manual",$M155&lt;&gt;$A$15)),
        IF(Import.TipoArredondamento&lt;&gt;"TransfereGOV",
              ROUND(OFFSET($P155,0,BJ$13),15-13*ORÇAMENTO!$AF$7)/$H155*OFFSET(ORÇAMENTO!$X$15,ROW(BJ155)-ROW(BJ$15),0),
              ROUND(ROUND(OFFSET($P155,0,BJ$13),15-13*ORÇAMENTO!$AF$7)*OFFSET(ORÇAMENTO!$W$15,ROW(BJ155)-ROW(BJ$15),0),15-13*ORÇAMENTO!$AF$11)),
         0)</f>
        <v>15.42</v>
      </c>
      <c r="BK155" s="352" t="n">
        <f aca="true">IF(AND($D155="Serviço",BK$12&lt;&gt;0,$H155&gt;0,OR(AUTOEVENTO&lt;&gt;"manual",$M155&lt;&gt;$A$15)),
        IF(Import.TipoArredondamento&lt;&gt;"TransfereGOV",
              ROUND(OFFSET($P155,0,BK$13),15-13*ORÇAMENTO!$AF$7)/$H155*OFFSET(ORÇAMENTO!$X$15,ROW(BK155)-ROW(BK$15),0),
              ROUND(ROUND(OFFSET($P155,0,BK$13),15-13*ORÇAMENTO!$AF$7)*OFFSET(ORÇAMENTO!$W$15,ROW(BK155)-ROW(BK$15),0),15-13*ORÇAMENTO!$AF$11)),
         0)</f>
        <v>15.42</v>
      </c>
      <c r="BL155" s="352" t="n">
        <f aca="true">IF(AND($D155="Serviço",BL$12&lt;&gt;0,$H155&gt;0,OR(AUTOEVENTO&lt;&gt;"manual",$M155&lt;&gt;$A$15)),
        IF(Import.TipoArredondamento&lt;&gt;"TransfereGOV",
              ROUND(OFFSET($P155,0,BL$13),15-13*ORÇAMENTO!$AF$7)/$H155*OFFSET(ORÇAMENTO!$X$15,ROW(BL155)-ROW(BL$15),0),
              ROUND(ROUND(OFFSET($P155,0,BL$13),15-13*ORÇAMENTO!$AF$7)*OFFSET(ORÇAMENTO!$W$15,ROW(BL155)-ROW(BL$15),0),15-13*ORÇAMENTO!$AF$11)),
         0)</f>
        <v>15.42</v>
      </c>
      <c r="BM155" s="352" t="n">
        <f aca="true">IF(AND($D155="Serviço",BM$12&lt;&gt;0,$H155&gt;0,OR(AUTOEVENTO&lt;&gt;"manual",$M155&lt;&gt;$A$15)),
        IF(Import.TipoArredondamento&lt;&gt;"TransfereGOV",
              ROUND(OFFSET($P155,0,BM$13),15-13*ORÇAMENTO!$AF$7)/$H155*OFFSET(ORÇAMENTO!$X$15,ROW(BM155)-ROW(BM$15),0),
              ROUND(ROUND(OFFSET($P155,0,BM$13),15-13*ORÇAMENTO!$AF$7)*OFFSET(ORÇAMENTO!$W$15,ROW(BM155)-ROW(BM$15),0),15-13*ORÇAMENTO!$AF$11)),
         0)</f>
        <v>15.42</v>
      </c>
      <c r="BN155" s="352" t="n">
        <f aca="true">IF(AND($D155="Serviço",BN$12&lt;&gt;0,$H155&gt;0,OR(AUTOEVENTO&lt;&gt;"manual",$M155&lt;&gt;$A$15)),
        IF(Import.TipoArredondamento&lt;&gt;"TransfereGOV",
              ROUND(OFFSET($P155,0,BN$13),15-13*ORÇAMENTO!$AF$7)/$H155*OFFSET(ORÇAMENTO!$X$15,ROW(BN155)-ROW(BN$15),0),
              ROUND(ROUND(OFFSET($P155,0,BN$13),15-13*ORÇAMENTO!$AF$7)*OFFSET(ORÇAMENTO!$W$15,ROW(BN155)-ROW(BN$15),0),15-13*ORÇAMENTO!$AF$11)),
         0)</f>
        <v>15.42</v>
      </c>
      <c r="BO155" s="352" t="n">
        <f aca="true">IF(AND($D155="Serviço",BO$12&lt;&gt;0,$H155&gt;0,OR(AUTOEVENTO&lt;&gt;"manual",$M155&lt;&gt;$A$15)),
        IF(Import.TipoArredondamento&lt;&gt;"TransfereGOV",
              ROUND(OFFSET($P155,0,BO$13),15-13*ORÇAMENTO!$AF$7)/$H155*OFFSET(ORÇAMENTO!$X$15,ROW(BO155)-ROW(BO$15),0),
              ROUND(ROUND(OFFSET($P155,0,BO$13),15-13*ORÇAMENTO!$AF$7)*OFFSET(ORÇAMENTO!$W$15,ROW(BO155)-ROW(BO$15),0),15-13*ORÇAMENTO!$AF$11)),
         0)</f>
        <v>15.42</v>
      </c>
      <c r="BP155" s="352" t="n">
        <f aca="true">IF(AND($D155="Serviço",BP$12&lt;&gt;0,$H155&gt;0,OR(AUTOEVENTO&lt;&gt;"manual",$M155&lt;&gt;$A$15)),
        IF(Import.TipoArredondamento&lt;&gt;"TransfereGOV",
              ROUND(OFFSET($P155,0,BP$13),15-13*ORÇAMENTO!$AF$7)/$H155*OFFSET(ORÇAMENTO!$X$15,ROW(BP155)-ROW(BP$15),0),
              ROUND(ROUND(OFFSET($P155,0,BP$13),15-13*ORÇAMENTO!$AF$7)*OFFSET(ORÇAMENTO!$W$15,ROW(BP155)-ROW(BP$15),0),15-13*ORÇAMENTO!$AF$11)),
         0)</f>
        <v>15.42</v>
      </c>
      <c r="BQ155" s="352" t="n">
        <f aca="true">IF(AND($D155="Serviço",BQ$12&lt;&gt;0,$H155&gt;0,OR(AUTOEVENTO&lt;&gt;"manual",$M155&lt;&gt;$A$15)),
        IF(Import.TipoArredondamento&lt;&gt;"TransfereGOV",
              ROUND(OFFSET($P155,0,BQ$13),15-13*ORÇAMENTO!$AF$7)/$H155*OFFSET(ORÇAMENTO!$X$15,ROW(BQ155)-ROW(BQ$15),0),
              ROUND(ROUND(OFFSET($P155,0,BQ$13),15-13*ORÇAMENTO!$AF$7)*OFFSET(ORÇAMENTO!$W$15,ROW(BQ155)-ROW(BQ$15),0),15-13*ORÇAMENTO!$AF$11)),
         0)</f>
        <v>0</v>
      </c>
      <c r="BS155" s="353" t="n">
        <f aca="true">IF(OR($D155&lt;&gt;"Serviço",AND(AUTOEVENTO="Manual",$M155=$A$15)),0,
         IF(OFFSET(CRONOPLE!$F$15,$M155-$A$15,BS$13)=0,10^12,OFFSET(CRONOPLE!$F$15,$M155-$A$15,BS$13)))</f>
        <v>1</v>
      </c>
      <c r="BT155" s="353" t="n">
        <f aca="true">IF(OR($D155&lt;&gt;"Serviço",AND(AUTOEVENTO="Manual",$M155=$A$15)),0,
         IF(OFFSET(CRONOPLE!$F$15,$M155-$A$15,BT$13)=0,10^12,OFFSET(CRONOPLE!$F$15,$M155-$A$15,BT$13)))</f>
        <v>2</v>
      </c>
      <c r="BU155" s="353" t="n">
        <f aca="true">IF(OR($D155&lt;&gt;"Serviço",AND(AUTOEVENTO="Manual",$M155=$A$15)),0,
         IF(OFFSET(CRONOPLE!$F$15,$M155-$A$15,BU$13)=0,10^12,OFFSET(CRONOPLE!$F$15,$M155-$A$15,BU$13)))</f>
        <v>3</v>
      </c>
      <c r="BV155" s="353" t="n">
        <f aca="true">IF(OR($D155&lt;&gt;"Serviço",AND(AUTOEVENTO="Manual",$M155=$A$15)),0,
         IF(OFFSET(CRONOPLE!$F$15,$M155-$A$15,BV$13)=0,10^12,OFFSET(CRONOPLE!$F$15,$M155-$A$15,BV$13)))</f>
        <v>4</v>
      </c>
      <c r="BW155" s="353" t="n">
        <f aca="true">IF(OR($D155&lt;&gt;"Serviço",AND(AUTOEVENTO="Manual",$M155=$A$15)),0,
         IF(OFFSET(CRONOPLE!$F$15,$M155-$A$15,BW$13)=0,10^12,OFFSET(CRONOPLE!$F$15,$M155-$A$15,BW$13)))</f>
        <v>5</v>
      </c>
      <c r="BX155" s="353" t="n">
        <f aca="true">IF(OR($D155&lt;&gt;"Serviço",AND(AUTOEVENTO="Manual",$M155=$A$15)),0,
         IF(OFFSET(CRONOPLE!$F$15,$M155-$A$15,BX$13)=0,10^12,OFFSET(CRONOPLE!$F$15,$M155-$A$15,BX$13)))</f>
        <v>6</v>
      </c>
      <c r="BY155" s="353" t="n">
        <f aca="true">IF(OR($D155&lt;&gt;"Serviço",AND(AUTOEVENTO="Manual",$M155=$A$15)),0,
         IF(OFFSET(CRONOPLE!$F$15,$M155-$A$15,BY$13)=0,10^12,OFFSET(CRONOPLE!$F$15,$M155-$A$15,BY$13)))</f>
        <v>7</v>
      </c>
      <c r="BZ155" s="353" t="n">
        <f aca="true">IF(OR($D155&lt;&gt;"Serviço",AND(AUTOEVENTO="Manual",$M155=$A$15)),0,
         IF(OFFSET(CRONOPLE!$F$15,$M155-$A$15,BZ$13)=0,10^12,OFFSET(CRONOPLE!$F$15,$M155-$A$15,BZ$13)))</f>
        <v>8</v>
      </c>
      <c r="CA155" s="353" t="n">
        <f aca="true">IF(OR($D155&lt;&gt;"Serviço",AND(AUTOEVENTO="Manual",$M155=$A$15)),0,
         IF(OFFSET(CRONOPLE!$F$15,$M155-$A$15,CA$13)=0,10^12,OFFSET(CRONOPLE!$F$15,$M155-$A$15,CA$13)))</f>
        <v>9</v>
      </c>
      <c r="CB155" s="353" t="n">
        <f aca="true">IF(OR($D155&lt;&gt;"Serviço",AND(AUTOEVENTO="Manual",$M155=$A$15)),0,
         IF(OFFSET(CRONOPLE!$F$15,$M155-$A$15,CB$13)=0,10^12,OFFSET(CRONOPLE!$F$15,$M155-$A$15,CB$13)))</f>
        <v>10</v>
      </c>
      <c r="CC155" s="353" t="n">
        <f aca="true">IF(OR($D155&lt;&gt;"Serviço",AND(AUTOEVENTO="Manual",$M155=$A$15)),0,
         IF(OFFSET(CRONOPLE!$F$15,$M155-$A$15,CC$13)=0,10^12,OFFSET(CRONOPLE!$F$15,$M155-$A$15,CC$13)))</f>
        <v>11</v>
      </c>
      <c r="CD155" s="353" t="n">
        <f aca="true">IF(OR($D155&lt;&gt;"Serviço",AND(AUTOEVENTO="Manual",$M155=$A$15)),0,
         IF(OFFSET(CRONOPLE!$F$15,$M155-$A$15,CD$13)=0,10^12,OFFSET(CRONOPLE!$F$15,$M155-$A$15,CD$13)))</f>
        <v>12</v>
      </c>
      <c r="CE155" s="353" t="n">
        <f aca="true">IF(OR($D155&lt;&gt;"Serviço",AND(AUTOEVENTO="Manual",$M155=$A$15)),0,
         IF(OFFSET(CRONOPLE!$F$15,$M155-$A$15,CE$13)=0,10^12,OFFSET(CRONOPLE!$F$15,$M155-$A$15,CE$13)))</f>
        <v>13</v>
      </c>
      <c r="CF155" s="353" t="n">
        <f aca="true">IF(OR($D155&lt;&gt;"Serviço",AND(AUTOEVENTO="Manual",$M155=$A$15)),0,
         IF(OFFSET(CRONOPLE!$F$15,$M155-$A$15,CF$13)=0,10^12,OFFSET(CRONOPLE!$F$15,$M155-$A$15,CF$13)))</f>
        <v>14</v>
      </c>
      <c r="CG155" s="353" t="n">
        <f aca="true">IF(OR($D155&lt;&gt;"Serviço",AND(AUTOEVENTO="Manual",$M155=$A$15)),0,
         IF(OFFSET(CRONOPLE!$F$15,$M155-$A$15,CG$13)=0,10^12,OFFSET(CRONOPLE!$F$15,$M155-$A$15,CG$13)))</f>
        <v>15</v>
      </c>
      <c r="CH155" s="353" t="n">
        <f aca="true">IF(OR($D155&lt;&gt;"Serviço",AND(AUTOEVENTO="Manual",$M155=$A$15)),0,
         IF(OFFSET(CRONOPLE!$F$15,$M155-$A$15,CH$13)=0,10^12,OFFSET(CRONOPLE!$F$15,$M155-$A$15,CH$13)))</f>
        <v>16</v>
      </c>
      <c r="CI155" s="353" t="n">
        <f aca="true">IF(OR($D155&lt;&gt;"Serviço",AND(AUTOEVENTO="Manual",$M155=$A$15)),0,
         IF(OFFSET(CRONOPLE!$F$15,$M155-$A$15,CI$13)=0,10^12,OFFSET(CRONOPLE!$F$15,$M155-$A$15,CI$13)))</f>
        <v>17</v>
      </c>
      <c r="CJ155" s="353" t="n">
        <f aca="true">IF(OR($D155&lt;&gt;"Serviço",AND(AUTOEVENTO="Manual",$M155=$A$15)),0,
         IF(OFFSET(CRONOPLE!$F$15,$M155-$A$15,CJ$13)=0,10^12,OFFSET(CRONOPLE!$F$15,$M155-$A$15,CJ$13)))</f>
        <v>18</v>
      </c>
      <c r="CK155" s="353" t="n">
        <f aca="true">IF(OR($D155&lt;&gt;"Serviço",AND(AUTOEVENTO="Manual",$M155=$A$15)),0,
         IF(OFFSET(CRONOPLE!$F$15,$M155-$A$15,CK$13)=0,10^12,OFFSET(CRONOPLE!$F$15,$M155-$A$15,CK$13)))</f>
        <v>19</v>
      </c>
      <c r="CL155" s="353" t="n">
        <f aca="true">IF(OR($D155&lt;&gt;"Serviço",AND(AUTOEVENTO="Manual",$M155=$A$15)),0,
         IF(OFFSET(CRONOPLE!$F$15,$M155-$A$15,CL$13)=0,10^12,OFFSET(CRONOPLE!$F$15,$M155-$A$15,CL$13)))</f>
        <v>20</v>
      </c>
      <c r="CM155" s="353" t="n">
        <f aca="true">IF(OR($D155&lt;&gt;"Serviço",AND(AUTOEVENTO="Manual",$M155=$A$15)),0,
         IF(OFFSET(CRONOPLE!$F$15,$M155-$A$15,CM$13)=0,10^12,OFFSET(CRONOPLE!$F$15,$M155-$A$15,CM$13)))</f>
        <v>21</v>
      </c>
      <c r="CN155" s="353" t="n">
        <f aca="true">IF(OR($D155&lt;&gt;"Serviço",AND(AUTOEVENTO="Manual",$M155=$A$15)),0,
         IF(OFFSET(CRONOPLE!$F$15,$M155-$A$15,CN$13)=0,10^12,OFFSET(CRONOPLE!$F$15,$M155-$A$15,CN$13)))</f>
        <v>22</v>
      </c>
      <c r="CO155" s="353" t="n">
        <f aca="true">IF(OR($D155&lt;&gt;"Serviço",AND(AUTOEVENTO="Manual",$M155=$A$15)),0,
         IF(OFFSET(CRONOPLE!$F$15,$M155-$A$15,CO$13)=0,10^12,OFFSET(CRONOPLE!$F$15,$M155-$A$15,CO$13)))</f>
        <v>23</v>
      </c>
      <c r="CP155" s="353" t="n">
        <f aca="true">IF(OR($D155&lt;&gt;"Serviço",AND(AUTOEVENTO="Manual",$M155=$A$15)),0,
         IF(OFFSET(CRONOPLE!$F$15,$M155-$A$15,CP$13)=0,10^12,OFFSET(CRONOPLE!$F$15,$M155-$A$15,CP$13)))</f>
        <v>24</v>
      </c>
      <c r="CQ155" s="353" t="n">
        <f aca="true">IF(OR($D155&lt;&gt;"Serviço",AND(AUTOEVENTO="Manual",$M155=$A$15)),0,
         IF(OFFSET(CRONOPLE!$F$15,$M155-$A$15,CQ$13)=0,10^12,OFFSET(CRONOPLE!$F$15,$M155-$A$15,CQ$13)))</f>
        <v>25</v>
      </c>
      <c r="CR155" s="353" t="n">
        <f aca="true">IF(OR($D155&lt;&gt;"Serviço",AND(AUTOEVENTO="Manual",$M155=$A$15)),0,
         IF(OFFSET(CRONOPLE!$F$15,$M155-$A$15,CR$13)=0,10^12,OFFSET(CRONOPLE!$F$15,$M155-$A$15,CR$13)))</f>
        <v>1000000000000</v>
      </c>
      <c r="CT155" s="354" t="n">
        <f aca="true">IF(OR($D155&lt;&gt;"Serviço",AND(AUTOEVENTO="Manual",$M155=$A$15),$M155&gt;(ROW(PLE.lastrow)-ROW(PLE.firstrow))),0,
           IF(OFFSET(PLE!$G$15,$M155-$A$15,CT$13)="",10^12,OFFSET(PLE!$G$15,$M155-$A$15,CT$13)))</f>
        <v>1000000000000</v>
      </c>
      <c r="CU155" s="354" t="n">
        <f aca="true">IF(OR($D155&lt;&gt;"Serviço",AND(AUTOEVENTO="Manual",$M155=$A$15),$M155&gt;(ROW(PLE.lastrow)-ROW(PLE.firstrow))),0,
           IF(OFFSET(PLE!$G$15,$M155-$A$15,CU$13)="",10^12,OFFSET(PLE!$G$15,$M155-$A$15,CU$13)))</f>
        <v>1000000000000</v>
      </c>
      <c r="CV155" s="354" t="n">
        <f aca="true">IF(OR($D155&lt;&gt;"Serviço",AND(AUTOEVENTO="Manual",$M155=$A$15),$M155&gt;(ROW(PLE.lastrow)-ROW(PLE.firstrow))),0,
           IF(OFFSET(PLE!$G$15,$M155-$A$15,CV$13)="",10^12,OFFSET(PLE!$G$15,$M155-$A$15,CV$13)))</f>
        <v>1000000000000</v>
      </c>
      <c r="CW155" s="354" t="n">
        <f aca="true">IF(OR($D155&lt;&gt;"Serviço",AND(AUTOEVENTO="Manual",$M155=$A$15),$M155&gt;(ROW(PLE.lastrow)-ROW(PLE.firstrow))),0,
           IF(OFFSET(PLE!$G$15,$M155-$A$15,CW$13)="",10^12,OFFSET(PLE!$G$15,$M155-$A$15,CW$13)))</f>
        <v>1000000000000</v>
      </c>
      <c r="CX155" s="354" t="n">
        <f aca="true">IF(OR($D155&lt;&gt;"Serviço",AND(AUTOEVENTO="Manual",$M155=$A$15),$M155&gt;(ROW(PLE.lastrow)-ROW(PLE.firstrow))),0,
           IF(OFFSET(PLE!$G$15,$M155-$A$15,CX$13)="",10^12,OFFSET(PLE!$G$15,$M155-$A$15,CX$13)))</f>
        <v>1000000000000</v>
      </c>
      <c r="CY155" s="354" t="n">
        <f aca="true">IF(OR($D155&lt;&gt;"Serviço",AND(AUTOEVENTO="Manual",$M155=$A$15),$M155&gt;(ROW(PLE.lastrow)-ROW(PLE.firstrow))),0,
           IF(OFFSET(PLE!$G$15,$M155-$A$15,CY$13)="",10^12,OFFSET(PLE!$G$15,$M155-$A$15,CY$13)))</f>
        <v>1000000000000</v>
      </c>
      <c r="CZ155" s="354" t="n">
        <f aca="true">IF(OR($D155&lt;&gt;"Serviço",AND(AUTOEVENTO="Manual",$M155=$A$15),$M155&gt;(ROW(PLE.lastrow)-ROW(PLE.firstrow))),0,
           IF(OFFSET(PLE!$G$15,$M155-$A$15,CZ$13)="",10^12,OFFSET(PLE!$G$15,$M155-$A$15,CZ$13)))</f>
        <v>1000000000000</v>
      </c>
      <c r="DA155" s="354" t="n">
        <f aca="true">IF(OR($D155&lt;&gt;"Serviço",AND(AUTOEVENTO="Manual",$M155=$A$15),$M155&gt;(ROW(PLE.lastrow)-ROW(PLE.firstrow))),0,
           IF(OFFSET(PLE!$G$15,$M155-$A$15,DA$13)="",10^12,OFFSET(PLE!$G$15,$M155-$A$15,DA$13)))</f>
        <v>1000000000000</v>
      </c>
      <c r="DB155" s="354" t="n">
        <f aca="true">IF(OR($D155&lt;&gt;"Serviço",AND(AUTOEVENTO="Manual",$M155=$A$15),$M155&gt;(ROW(PLE.lastrow)-ROW(PLE.firstrow))),0,
           IF(OFFSET(PLE!$G$15,$M155-$A$15,DB$13)="",10^12,OFFSET(PLE!$G$15,$M155-$A$15,DB$13)))</f>
        <v>1000000000000</v>
      </c>
      <c r="DC155" s="354" t="n">
        <f aca="true">IF(OR($D155&lt;&gt;"Serviço",AND(AUTOEVENTO="Manual",$M155=$A$15),$M155&gt;(ROW(PLE.lastrow)-ROW(PLE.firstrow))),0,
           IF(OFFSET(PLE!$G$15,$M155-$A$15,DC$13)="",10^12,OFFSET(PLE!$G$15,$M155-$A$15,DC$13)))</f>
        <v>1000000000000</v>
      </c>
      <c r="DD155" s="354" t="n">
        <f aca="true">IF(OR($D155&lt;&gt;"Serviço",AND(AUTOEVENTO="Manual",$M155=$A$15),$M155&gt;(ROW(PLE.lastrow)-ROW(PLE.firstrow))),0,
           IF(OFFSET(PLE!$G$15,$M155-$A$15,DD$13)="",10^12,OFFSET(PLE!$G$15,$M155-$A$15,DD$13)))</f>
        <v>1000000000000</v>
      </c>
      <c r="DE155" s="354" t="n">
        <f aca="true">IF(OR($D155&lt;&gt;"Serviço",AND(AUTOEVENTO="Manual",$M155=$A$15),$M155&gt;(ROW(PLE.lastrow)-ROW(PLE.firstrow))),0,
           IF(OFFSET(PLE!$G$15,$M155-$A$15,DE$13)="",10^12,OFFSET(PLE!$G$15,$M155-$A$15,DE$13)))</f>
        <v>1000000000000</v>
      </c>
      <c r="DF155" s="354" t="n">
        <f aca="true">IF(OR($D155&lt;&gt;"Serviço",AND(AUTOEVENTO="Manual",$M155=$A$15),$M155&gt;(ROW(PLE.lastrow)-ROW(PLE.firstrow))),0,
           IF(OFFSET(PLE!$G$15,$M155-$A$15,DF$13)="",10^12,OFFSET(PLE!$G$15,$M155-$A$15,DF$13)))</f>
        <v>1000000000000</v>
      </c>
      <c r="DG155" s="354" t="n">
        <f aca="true">IF(OR($D155&lt;&gt;"Serviço",AND(AUTOEVENTO="Manual",$M155=$A$15),$M155&gt;(ROW(PLE.lastrow)-ROW(PLE.firstrow))),0,
           IF(OFFSET(PLE!$G$15,$M155-$A$15,DG$13)="",10^12,OFFSET(PLE!$G$15,$M155-$A$15,DG$13)))</f>
        <v>1000000000000</v>
      </c>
      <c r="DH155" s="354" t="n">
        <f aca="true">IF(OR($D155&lt;&gt;"Serviço",AND(AUTOEVENTO="Manual",$M155=$A$15),$M155&gt;(ROW(PLE.lastrow)-ROW(PLE.firstrow))),0,
           IF(OFFSET(PLE!$G$15,$M155-$A$15,DH$13)="",10^12,OFFSET(PLE!$G$15,$M155-$A$15,DH$13)))</f>
        <v>1000000000000</v>
      </c>
      <c r="DI155" s="354" t="n">
        <f aca="true">IF(OR($D155&lt;&gt;"Serviço",AND(AUTOEVENTO="Manual",$M155=$A$15),$M155&gt;(ROW(PLE.lastrow)-ROW(PLE.firstrow))),0,
           IF(OFFSET(PLE!$G$15,$M155-$A$15,DI$13)="",10^12,OFFSET(PLE!$G$15,$M155-$A$15,DI$13)))</f>
        <v>1000000000000</v>
      </c>
      <c r="DJ155" s="354" t="n">
        <f aca="true">IF(OR($D155&lt;&gt;"Serviço",AND(AUTOEVENTO="Manual",$M155=$A$15),$M155&gt;(ROW(PLE.lastrow)-ROW(PLE.firstrow))),0,
           IF(OFFSET(PLE!$G$15,$M155-$A$15,DJ$13)="",10^12,OFFSET(PLE!$G$15,$M155-$A$15,DJ$13)))</f>
        <v>1000000000000</v>
      </c>
      <c r="DK155" s="354" t="n">
        <f aca="true">IF(OR($D155&lt;&gt;"Serviço",AND(AUTOEVENTO="Manual",$M155=$A$15),$M155&gt;(ROW(PLE.lastrow)-ROW(PLE.firstrow))),0,
           IF(OFFSET(PLE!$G$15,$M155-$A$15,DK$13)="",10^12,OFFSET(PLE!$G$15,$M155-$A$15,DK$13)))</f>
        <v>1000000000000</v>
      </c>
      <c r="DL155" s="354" t="n">
        <f aca="true">IF(OR($D155&lt;&gt;"Serviço",AND(AUTOEVENTO="Manual",$M155=$A$15),$M155&gt;(ROW(PLE.lastrow)-ROW(PLE.firstrow))),0,
           IF(OFFSET(PLE!$G$15,$M155-$A$15,DL$13)="",10^12,OFFSET(PLE!$G$15,$M155-$A$15,DL$13)))</f>
        <v>1000000000000</v>
      </c>
      <c r="DM155" s="354" t="n">
        <f aca="true">IF(OR($D155&lt;&gt;"Serviço",AND(AUTOEVENTO="Manual",$M155=$A$15),$M155&gt;(ROW(PLE.lastrow)-ROW(PLE.firstrow))),0,
           IF(OFFSET(PLE!$G$15,$M155-$A$15,DM$13)="",10^12,OFFSET(PLE!$G$15,$M155-$A$15,DM$13)))</f>
        <v>1000000000000</v>
      </c>
      <c r="DN155" s="354" t="n">
        <f aca="true">IF(OR($D155&lt;&gt;"Serviço",AND(AUTOEVENTO="Manual",$M155=$A$15),$M155&gt;(ROW(PLE.lastrow)-ROW(PLE.firstrow))),0,
           IF(OFFSET(PLE!$G$15,$M155-$A$15,DN$13)="",10^12,OFFSET(PLE!$G$15,$M155-$A$15,DN$13)))</f>
        <v>1000000000000</v>
      </c>
      <c r="DO155" s="354" t="n">
        <f aca="true">IF(OR($D155&lt;&gt;"Serviço",AND(AUTOEVENTO="Manual",$M155=$A$15),$M155&gt;(ROW(PLE.lastrow)-ROW(PLE.firstrow))),0,
           IF(OFFSET(PLE!$G$15,$M155-$A$15,DO$13)="",10^12,OFFSET(PLE!$G$15,$M155-$A$15,DO$13)))</f>
        <v>1000000000000</v>
      </c>
      <c r="DP155" s="354" t="n">
        <f aca="true">IF(OR($D155&lt;&gt;"Serviço",AND(AUTOEVENTO="Manual",$M155=$A$15),$M155&gt;(ROW(PLE.lastrow)-ROW(PLE.firstrow))),0,
           IF(OFFSET(PLE!$G$15,$M155-$A$15,DP$13)="",10^12,OFFSET(PLE!$G$15,$M155-$A$15,DP$13)))</f>
        <v>1000000000000</v>
      </c>
      <c r="DQ155" s="354" t="n">
        <f aca="true">IF(OR($D155&lt;&gt;"Serviço",AND(AUTOEVENTO="Manual",$M155=$A$15),$M155&gt;(ROW(PLE.lastrow)-ROW(PLE.firstrow))),0,
           IF(OFFSET(PLE!$G$15,$M155-$A$15,DQ$13)="",10^12,OFFSET(PLE!$G$15,$M155-$A$15,DQ$13)))</f>
        <v>1000000000000</v>
      </c>
      <c r="DR155" s="354" t="n">
        <f aca="true">IF(OR($D155&lt;&gt;"Serviço",AND(AUTOEVENTO="Manual",$M155=$A$15),$M155&gt;(ROW(PLE.lastrow)-ROW(PLE.firstrow))),0,
           IF(OFFSET(PLE!$G$15,$M155-$A$15,DR$13)="",10^12,OFFSET(PLE!$G$15,$M155-$A$15,DR$13)))</f>
        <v>1000000000000</v>
      </c>
      <c r="DS155" s="354" t="n">
        <f aca="true">IF(OR($D155&lt;&gt;"Serviço",AND(AUTOEVENTO="Manual",$M155=$A$15),$M155&gt;(ROW(PLE.lastrow)-ROW(PLE.firstrow))),0,
           IF(OFFSET(PLE!$G$15,$M155-$A$15,DS$13)="",10^12,OFFSET(PLE!$G$15,$M155-$A$15,DS$13)))</f>
        <v>1000000000000</v>
      </c>
    </row>
    <row r="156" customFormat="false" ht="12.75" hidden="false" customHeight="false" outlineLevel="0" collapsed="false">
      <c r="A156" s="50" t="str">
        <f aca="true">IFERROR(IF(AUTOEVENTO="Manual",IF(K156&lt;&gt;"",MIN(VALUE(LEFT(K156,FIND(".",K156)-1)),COUNTA(EVENTOS.Lista)),0),IF(OR($B156&gt;AUTOEVENTO,$B156="S",$B156=0),SUBSTITUTE(OFFSET($A156,-1,0),IF($D156="Serviço",".",""),""),ROW(A156)-ROW($A$15)&amp;".")),0)</f>
        <v>141.</v>
      </c>
      <c r="B156" s="50" t="n">
        <f aca="true">OFFSET(ORÇAMENTO!C$15,ROW(B156)-ROW(B$15),0)</f>
        <v>2</v>
      </c>
      <c r="C156" s="50" t="str">
        <f aca="true">OFFSET(ORÇAMENTO!L$15,ROW(C156)-ROW(C$15),0)</f>
        <v>F</v>
      </c>
      <c r="D156" s="201" t="str">
        <f aca="true">OFFSET(ORÇAMENTO!N$15,ROW(D156)-ROW(D$15),0)</f>
        <v>Nível 2</v>
      </c>
      <c r="E156" s="202" t="str">
        <f aca="true">OFFSET(ORÇAMENTO!O$15,ROW(E156)-ROW(E$15),0)</f>
        <v>1.43.</v>
      </c>
      <c r="F156" s="341" t="str">
        <f aca="true">OFFSET(ORÇAMENTO!R$15,ROW(F156)-ROW(F$15),0)</f>
        <v>CAIXA D'ÁGUA E BARRILETE</v>
      </c>
      <c r="G156" s="342" t="str">
        <f aca="true">IF($D156&lt;&gt;"Serviço","",OFFSET(ORÇAMENTO!S$15,ROW(G156)-ROW(G$15),0))</f>
        <v/>
      </c>
      <c r="H156" s="207" t="n">
        <f aca="true">IF($D156&lt;&gt;"Serviço",0,IF(ACOMPANHAMENTO="BM",ROUND(OFFSET(ORÇAMENTO!AJ$15,ROW(H156)-ROW(H$15),0),15-13*ORÇAMENTO!$AF$7),SUMPRODUCT(($Q$1:$AQ$1=1)*ROUND($Q156:$AQ156,15-13*ORÇAMENTO!$AF$7))))</f>
        <v>0</v>
      </c>
      <c r="I156" s="343"/>
      <c r="J156" s="344" t="str">
        <f aca="false">IF(OR(B156&lt;&gt;"S",CÁLCULO.FrentesPreenchidas=0),"",IF(AND(ACOMPANHAMENTO="PLE",AUTOEVENTO="Manual",OR(H156&gt;0,ORÇAMENTO!AC156="QUANT."),OR(K156="",M156=0,N156="")),"►",IF(AND(ACOMPANHAMENTO="PLE",ORÇAMENTO!AC156="QUANT."),"►►",IF(AND(COUNTIF($P$11:$AQ$11,"▼")=0,H156&gt;0,I156=""),"◄",""))))</f>
        <v/>
      </c>
      <c r="K156" s="345"/>
      <c r="L156" s="346" t="s">
        <v>876</v>
      </c>
      <c r="M156" s="347" t="str">
        <f aca="true">IF($D156&lt;&gt;"Serviço","",
          IF(AUTOEVENTO="manual",$A156,
                IF(ISERROR(MATCH($A156,$A$15:OFFSET($A156,-1,0),0)),MAX($M$15:OFFSET(M156,-1,0))+1,
                      INDEX($M$15:OFFSET(M156,-1,0),MATCH($A156,$A$15:OFFSET($A156,-1,0),0)))))</f>
        <v/>
      </c>
      <c r="N156" s="348" t="str">
        <f aca="true">IF($D156&lt;&gt;"Serviço","",
         IF(AUTOEVENTO="Manual",
                IF($A156=0,"&lt;-- defina o número do agrupador",
                       OFFSET(EVENTOS!$D$15,$A156-$A$15,0)),
                OFFSET($F$15,$A156,0)))</f>
        <v/>
      </c>
      <c r="O156" s="349"/>
      <c r="Q156" s="349"/>
      <c r="R156" s="350"/>
      <c r="S156" s="350"/>
      <c r="T156" s="350"/>
      <c r="U156" s="350"/>
      <c r="V156" s="350"/>
      <c r="W156" s="350"/>
      <c r="X156" s="350"/>
      <c r="Y156" s="350"/>
      <c r="Z156" s="351"/>
      <c r="AA156" s="350"/>
      <c r="AB156" s="350"/>
      <c r="AC156" s="350"/>
      <c r="AD156" s="350"/>
      <c r="AE156" s="350"/>
      <c r="AF156" s="350"/>
      <c r="AG156" s="350"/>
      <c r="AH156" s="351"/>
      <c r="AI156" s="350"/>
      <c r="AJ156" s="350"/>
      <c r="AK156" s="350"/>
      <c r="AL156" s="350"/>
      <c r="AM156" s="350"/>
      <c r="AN156" s="350"/>
      <c r="AO156" s="350"/>
      <c r="AP156" s="351"/>
      <c r="AR156" s="352" t="n">
        <f aca="true">IF(AND($D156="Serviço",AR$12&lt;&gt;0,$H156&gt;0,OR(AUTOEVENTO&lt;&gt;"manual",$M156&lt;&gt;$A$15)),
        IF(Import.TipoArredondamento&lt;&gt;"TransfereGOV",
              ROUND(OFFSET($P156,0,AR$13),15-13*ORÇAMENTO!$AF$7)/$H156*OFFSET(ORÇAMENTO!$X$15,ROW(AR156)-ROW(AR$15),0),
              ROUND(ROUND(OFFSET($P156,0,AR$13),15-13*ORÇAMENTO!$AF$7)*OFFSET(ORÇAMENTO!$W$15,ROW(AR156)-ROW(AR$15),0),15-13*ORÇAMENTO!$AF$11)),
         0)</f>
        <v>0</v>
      </c>
      <c r="AS156" s="352" t="n">
        <f aca="true">IF(AND($D156="Serviço",AS$12&lt;&gt;0,$H156&gt;0,OR(AUTOEVENTO&lt;&gt;"manual",$M156&lt;&gt;$A$15)),
        IF(Import.TipoArredondamento&lt;&gt;"TransfereGOV",
              ROUND(OFFSET($P156,0,AS$13),15-13*ORÇAMENTO!$AF$7)/$H156*OFFSET(ORÇAMENTO!$X$15,ROW(AS156)-ROW(AS$15),0),
              ROUND(ROUND(OFFSET($P156,0,AS$13),15-13*ORÇAMENTO!$AF$7)*OFFSET(ORÇAMENTO!$W$15,ROW(AS156)-ROW(AS$15),0),15-13*ORÇAMENTO!$AF$11)),
         0)</f>
        <v>0</v>
      </c>
      <c r="AT156" s="352" t="n">
        <f aca="true">IF(AND($D156="Serviço",AT$12&lt;&gt;0,$H156&gt;0,OR(AUTOEVENTO&lt;&gt;"manual",$M156&lt;&gt;$A$15)),
        IF(Import.TipoArredondamento&lt;&gt;"TransfereGOV",
              ROUND(OFFSET($P156,0,AT$13),15-13*ORÇAMENTO!$AF$7)/$H156*OFFSET(ORÇAMENTO!$X$15,ROW(AT156)-ROW(AT$15),0),
              ROUND(ROUND(OFFSET($P156,0,AT$13),15-13*ORÇAMENTO!$AF$7)*OFFSET(ORÇAMENTO!$W$15,ROW(AT156)-ROW(AT$15),0),15-13*ORÇAMENTO!$AF$11)),
         0)</f>
        <v>0</v>
      </c>
      <c r="AU156" s="352" t="n">
        <f aca="true">IF(AND($D156="Serviço",AU$12&lt;&gt;0,$H156&gt;0,OR(AUTOEVENTO&lt;&gt;"manual",$M156&lt;&gt;$A$15)),
        IF(Import.TipoArredondamento&lt;&gt;"TransfereGOV",
              ROUND(OFFSET($P156,0,AU$13),15-13*ORÇAMENTO!$AF$7)/$H156*OFFSET(ORÇAMENTO!$X$15,ROW(AU156)-ROW(AU$15),0),
              ROUND(ROUND(OFFSET($P156,0,AU$13),15-13*ORÇAMENTO!$AF$7)*OFFSET(ORÇAMENTO!$W$15,ROW(AU156)-ROW(AU$15),0),15-13*ORÇAMENTO!$AF$11)),
         0)</f>
        <v>0</v>
      </c>
      <c r="AV156" s="352" t="n">
        <f aca="true">IF(AND($D156="Serviço",AV$12&lt;&gt;0,$H156&gt;0,OR(AUTOEVENTO&lt;&gt;"manual",$M156&lt;&gt;$A$15)),
        IF(Import.TipoArredondamento&lt;&gt;"TransfereGOV",
              ROUND(OFFSET($P156,0,AV$13),15-13*ORÇAMENTO!$AF$7)/$H156*OFFSET(ORÇAMENTO!$X$15,ROW(AV156)-ROW(AV$15),0),
              ROUND(ROUND(OFFSET($P156,0,AV$13),15-13*ORÇAMENTO!$AF$7)*OFFSET(ORÇAMENTO!$W$15,ROW(AV156)-ROW(AV$15),0),15-13*ORÇAMENTO!$AF$11)),
         0)</f>
        <v>0</v>
      </c>
      <c r="AW156" s="352" t="n">
        <f aca="true">IF(AND($D156="Serviço",AW$12&lt;&gt;0,$H156&gt;0,OR(AUTOEVENTO&lt;&gt;"manual",$M156&lt;&gt;$A$15)),
        IF(Import.TipoArredondamento&lt;&gt;"TransfereGOV",
              ROUND(OFFSET($P156,0,AW$13),15-13*ORÇAMENTO!$AF$7)/$H156*OFFSET(ORÇAMENTO!$X$15,ROW(AW156)-ROW(AW$15),0),
              ROUND(ROUND(OFFSET($P156,0,AW$13),15-13*ORÇAMENTO!$AF$7)*OFFSET(ORÇAMENTO!$W$15,ROW(AW156)-ROW(AW$15),0),15-13*ORÇAMENTO!$AF$11)),
         0)</f>
        <v>0</v>
      </c>
      <c r="AX156" s="352" t="n">
        <f aca="true">IF(AND($D156="Serviço",AX$12&lt;&gt;0,$H156&gt;0,OR(AUTOEVENTO&lt;&gt;"manual",$M156&lt;&gt;$A$15)),
        IF(Import.TipoArredondamento&lt;&gt;"TransfereGOV",
              ROUND(OFFSET($P156,0,AX$13),15-13*ORÇAMENTO!$AF$7)/$H156*OFFSET(ORÇAMENTO!$X$15,ROW(AX156)-ROW(AX$15),0),
              ROUND(ROUND(OFFSET($P156,0,AX$13),15-13*ORÇAMENTO!$AF$7)*OFFSET(ORÇAMENTO!$W$15,ROW(AX156)-ROW(AX$15),0),15-13*ORÇAMENTO!$AF$11)),
         0)</f>
        <v>0</v>
      </c>
      <c r="AY156" s="352" t="n">
        <f aca="true">IF(AND($D156="Serviço",AY$12&lt;&gt;0,$H156&gt;0,OR(AUTOEVENTO&lt;&gt;"manual",$M156&lt;&gt;$A$15)),
        IF(Import.TipoArredondamento&lt;&gt;"TransfereGOV",
              ROUND(OFFSET($P156,0,AY$13),15-13*ORÇAMENTO!$AF$7)/$H156*OFFSET(ORÇAMENTO!$X$15,ROW(AY156)-ROW(AY$15),0),
              ROUND(ROUND(OFFSET($P156,0,AY$13),15-13*ORÇAMENTO!$AF$7)*OFFSET(ORÇAMENTO!$W$15,ROW(AY156)-ROW(AY$15),0),15-13*ORÇAMENTO!$AF$11)),
         0)</f>
        <v>0</v>
      </c>
      <c r="AZ156" s="352" t="n">
        <f aca="true">IF(AND($D156="Serviço",AZ$12&lt;&gt;0,$H156&gt;0,OR(AUTOEVENTO&lt;&gt;"manual",$M156&lt;&gt;$A$15)),
        IF(Import.TipoArredondamento&lt;&gt;"TransfereGOV",
              ROUND(OFFSET($P156,0,AZ$13),15-13*ORÇAMENTO!$AF$7)/$H156*OFFSET(ORÇAMENTO!$X$15,ROW(AZ156)-ROW(AZ$15),0),
              ROUND(ROUND(OFFSET($P156,0,AZ$13),15-13*ORÇAMENTO!$AF$7)*OFFSET(ORÇAMENTO!$W$15,ROW(AZ156)-ROW(AZ$15),0),15-13*ORÇAMENTO!$AF$11)),
         0)</f>
        <v>0</v>
      </c>
      <c r="BA156" s="352" t="n">
        <f aca="true">IF(AND($D156="Serviço",BA$12&lt;&gt;0,$H156&gt;0,OR(AUTOEVENTO&lt;&gt;"manual",$M156&lt;&gt;$A$15)),
        IF(Import.TipoArredondamento&lt;&gt;"TransfereGOV",
              ROUND(OFFSET($P156,0,BA$13),15-13*ORÇAMENTO!$AF$7)/$H156*OFFSET(ORÇAMENTO!$X$15,ROW(BA156)-ROW(BA$15),0),
              ROUND(ROUND(OFFSET($P156,0,BA$13),15-13*ORÇAMENTO!$AF$7)*OFFSET(ORÇAMENTO!$W$15,ROW(BA156)-ROW(BA$15),0),15-13*ORÇAMENTO!$AF$11)),
         0)</f>
        <v>0</v>
      </c>
      <c r="BB156" s="352" t="n">
        <f aca="true">IF(AND($D156="Serviço",BB$12&lt;&gt;0,$H156&gt;0,OR(AUTOEVENTO&lt;&gt;"manual",$M156&lt;&gt;$A$15)),
        IF(Import.TipoArredondamento&lt;&gt;"TransfereGOV",
              ROUND(OFFSET($P156,0,BB$13),15-13*ORÇAMENTO!$AF$7)/$H156*OFFSET(ORÇAMENTO!$X$15,ROW(BB156)-ROW(BB$15),0),
              ROUND(ROUND(OFFSET($P156,0,BB$13),15-13*ORÇAMENTO!$AF$7)*OFFSET(ORÇAMENTO!$W$15,ROW(BB156)-ROW(BB$15),0),15-13*ORÇAMENTO!$AF$11)),
         0)</f>
        <v>0</v>
      </c>
      <c r="BC156" s="352" t="n">
        <f aca="true">IF(AND($D156="Serviço",BC$12&lt;&gt;0,$H156&gt;0,OR(AUTOEVENTO&lt;&gt;"manual",$M156&lt;&gt;$A$15)),
        IF(Import.TipoArredondamento&lt;&gt;"TransfereGOV",
              ROUND(OFFSET($P156,0,BC$13),15-13*ORÇAMENTO!$AF$7)/$H156*OFFSET(ORÇAMENTO!$X$15,ROW(BC156)-ROW(BC$15),0),
              ROUND(ROUND(OFFSET($P156,0,BC$13),15-13*ORÇAMENTO!$AF$7)*OFFSET(ORÇAMENTO!$W$15,ROW(BC156)-ROW(BC$15),0),15-13*ORÇAMENTO!$AF$11)),
         0)</f>
        <v>0</v>
      </c>
      <c r="BD156" s="352" t="n">
        <f aca="true">IF(AND($D156="Serviço",BD$12&lt;&gt;0,$H156&gt;0,OR(AUTOEVENTO&lt;&gt;"manual",$M156&lt;&gt;$A$15)),
        IF(Import.TipoArredondamento&lt;&gt;"TransfereGOV",
              ROUND(OFFSET($P156,0,BD$13),15-13*ORÇAMENTO!$AF$7)/$H156*OFFSET(ORÇAMENTO!$X$15,ROW(BD156)-ROW(BD$15),0),
              ROUND(ROUND(OFFSET($P156,0,BD$13),15-13*ORÇAMENTO!$AF$7)*OFFSET(ORÇAMENTO!$W$15,ROW(BD156)-ROW(BD$15),0),15-13*ORÇAMENTO!$AF$11)),
         0)</f>
        <v>0</v>
      </c>
      <c r="BE156" s="352" t="n">
        <f aca="true">IF(AND($D156="Serviço",BE$12&lt;&gt;0,$H156&gt;0,OR(AUTOEVENTO&lt;&gt;"manual",$M156&lt;&gt;$A$15)),
        IF(Import.TipoArredondamento&lt;&gt;"TransfereGOV",
              ROUND(OFFSET($P156,0,BE$13),15-13*ORÇAMENTO!$AF$7)/$H156*OFFSET(ORÇAMENTO!$X$15,ROW(BE156)-ROW(BE$15),0),
              ROUND(ROUND(OFFSET($P156,0,BE$13),15-13*ORÇAMENTO!$AF$7)*OFFSET(ORÇAMENTO!$W$15,ROW(BE156)-ROW(BE$15),0),15-13*ORÇAMENTO!$AF$11)),
         0)</f>
        <v>0</v>
      </c>
      <c r="BF156" s="352" t="n">
        <f aca="true">IF(AND($D156="Serviço",BF$12&lt;&gt;0,$H156&gt;0,OR(AUTOEVENTO&lt;&gt;"manual",$M156&lt;&gt;$A$15)),
        IF(Import.TipoArredondamento&lt;&gt;"TransfereGOV",
              ROUND(OFFSET($P156,0,BF$13),15-13*ORÇAMENTO!$AF$7)/$H156*OFFSET(ORÇAMENTO!$X$15,ROW(BF156)-ROW(BF$15),0),
              ROUND(ROUND(OFFSET($P156,0,BF$13),15-13*ORÇAMENTO!$AF$7)*OFFSET(ORÇAMENTO!$W$15,ROW(BF156)-ROW(BF$15),0),15-13*ORÇAMENTO!$AF$11)),
         0)</f>
        <v>0</v>
      </c>
      <c r="BG156" s="352" t="n">
        <f aca="true">IF(AND($D156="Serviço",BG$12&lt;&gt;0,$H156&gt;0,OR(AUTOEVENTO&lt;&gt;"manual",$M156&lt;&gt;$A$15)),
        IF(Import.TipoArredondamento&lt;&gt;"TransfereGOV",
              ROUND(OFFSET($P156,0,BG$13),15-13*ORÇAMENTO!$AF$7)/$H156*OFFSET(ORÇAMENTO!$X$15,ROW(BG156)-ROW(BG$15),0),
              ROUND(ROUND(OFFSET($P156,0,BG$13),15-13*ORÇAMENTO!$AF$7)*OFFSET(ORÇAMENTO!$W$15,ROW(BG156)-ROW(BG$15),0),15-13*ORÇAMENTO!$AF$11)),
         0)</f>
        <v>0</v>
      </c>
      <c r="BH156" s="352" t="n">
        <f aca="true">IF(AND($D156="Serviço",BH$12&lt;&gt;0,$H156&gt;0,OR(AUTOEVENTO&lt;&gt;"manual",$M156&lt;&gt;$A$15)),
        IF(Import.TipoArredondamento&lt;&gt;"TransfereGOV",
              ROUND(OFFSET($P156,0,BH$13),15-13*ORÇAMENTO!$AF$7)/$H156*OFFSET(ORÇAMENTO!$X$15,ROW(BH156)-ROW(BH$15),0),
              ROUND(ROUND(OFFSET($P156,0,BH$13),15-13*ORÇAMENTO!$AF$7)*OFFSET(ORÇAMENTO!$W$15,ROW(BH156)-ROW(BH$15),0),15-13*ORÇAMENTO!$AF$11)),
         0)</f>
        <v>0</v>
      </c>
      <c r="BI156" s="352" t="n">
        <f aca="true">IF(AND($D156="Serviço",BI$12&lt;&gt;0,$H156&gt;0,OR(AUTOEVENTO&lt;&gt;"manual",$M156&lt;&gt;$A$15)),
        IF(Import.TipoArredondamento&lt;&gt;"TransfereGOV",
              ROUND(OFFSET($P156,0,BI$13),15-13*ORÇAMENTO!$AF$7)/$H156*OFFSET(ORÇAMENTO!$X$15,ROW(BI156)-ROW(BI$15),0),
              ROUND(ROUND(OFFSET($P156,0,BI$13),15-13*ORÇAMENTO!$AF$7)*OFFSET(ORÇAMENTO!$W$15,ROW(BI156)-ROW(BI$15),0),15-13*ORÇAMENTO!$AF$11)),
         0)</f>
        <v>0</v>
      </c>
      <c r="BJ156" s="352" t="n">
        <f aca="true">IF(AND($D156="Serviço",BJ$12&lt;&gt;0,$H156&gt;0,OR(AUTOEVENTO&lt;&gt;"manual",$M156&lt;&gt;$A$15)),
        IF(Import.TipoArredondamento&lt;&gt;"TransfereGOV",
              ROUND(OFFSET($P156,0,BJ$13),15-13*ORÇAMENTO!$AF$7)/$H156*OFFSET(ORÇAMENTO!$X$15,ROW(BJ156)-ROW(BJ$15),0),
              ROUND(ROUND(OFFSET($P156,0,BJ$13),15-13*ORÇAMENTO!$AF$7)*OFFSET(ORÇAMENTO!$W$15,ROW(BJ156)-ROW(BJ$15),0),15-13*ORÇAMENTO!$AF$11)),
         0)</f>
        <v>0</v>
      </c>
      <c r="BK156" s="352" t="n">
        <f aca="true">IF(AND($D156="Serviço",BK$12&lt;&gt;0,$H156&gt;0,OR(AUTOEVENTO&lt;&gt;"manual",$M156&lt;&gt;$A$15)),
        IF(Import.TipoArredondamento&lt;&gt;"TransfereGOV",
              ROUND(OFFSET($P156,0,BK$13),15-13*ORÇAMENTO!$AF$7)/$H156*OFFSET(ORÇAMENTO!$X$15,ROW(BK156)-ROW(BK$15),0),
              ROUND(ROUND(OFFSET($P156,0,BK$13),15-13*ORÇAMENTO!$AF$7)*OFFSET(ORÇAMENTO!$W$15,ROW(BK156)-ROW(BK$15),0),15-13*ORÇAMENTO!$AF$11)),
         0)</f>
        <v>0</v>
      </c>
      <c r="BL156" s="352" t="n">
        <f aca="true">IF(AND($D156="Serviço",BL$12&lt;&gt;0,$H156&gt;0,OR(AUTOEVENTO&lt;&gt;"manual",$M156&lt;&gt;$A$15)),
        IF(Import.TipoArredondamento&lt;&gt;"TransfereGOV",
              ROUND(OFFSET($P156,0,BL$13),15-13*ORÇAMENTO!$AF$7)/$H156*OFFSET(ORÇAMENTO!$X$15,ROW(BL156)-ROW(BL$15),0),
              ROUND(ROUND(OFFSET($P156,0,BL$13),15-13*ORÇAMENTO!$AF$7)*OFFSET(ORÇAMENTO!$W$15,ROW(BL156)-ROW(BL$15),0),15-13*ORÇAMENTO!$AF$11)),
         0)</f>
        <v>0</v>
      </c>
      <c r="BM156" s="352" t="n">
        <f aca="true">IF(AND($D156="Serviço",BM$12&lt;&gt;0,$H156&gt;0,OR(AUTOEVENTO&lt;&gt;"manual",$M156&lt;&gt;$A$15)),
        IF(Import.TipoArredondamento&lt;&gt;"TransfereGOV",
              ROUND(OFFSET($P156,0,BM$13),15-13*ORÇAMENTO!$AF$7)/$H156*OFFSET(ORÇAMENTO!$X$15,ROW(BM156)-ROW(BM$15),0),
              ROUND(ROUND(OFFSET($P156,0,BM$13),15-13*ORÇAMENTO!$AF$7)*OFFSET(ORÇAMENTO!$W$15,ROW(BM156)-ROW(BM$15),0),15-13*ORÇAMENTO!$AF$11)),
         0)</f>
        <v>0</v>
      </c>
      <c r="BN156" s="352" t="n">
        <f aca="true">IF(AND($D156="Serviço",BN$12&lt;&gt;0,$H156&gt;0,OR(AUTOEVENTO&lt;&gt;"manual",$M156&lt;&gt;$A$15)),
        IF(Import.TipoArredondamento&lt;&gt;"TransfereGOV",
              ROUND(OFFSET($P156,0,BN$13),15-13*ORÇAMENTO!$AF$7)/$H156*OFFSET(ORÇAMENTO!$X$15,ROW(BN156)-ROW(BN$15),0),
              ROUND(ROUND(OFFSET($P156,0,BN$13),15-13*ORÇAMENTO!$AF$7)*OFFSET(ORÇAMENTO!$W$15,ROW(BN156)-ROW(BN$15),0),15-13*ORÇAMENTO!$AF$11)),
         0)</f>
        <v>0</v>
      </c>
      <c r="BO156" s="352" t="n">
        <f aca="true">IF(AND($D156="Serviço",BO$12&lt;&gt;0,$H156&gt;0,OR(AUTOEVENTO&lt;&gt;"manual",$M156&lt;&gt;$A$15)),
        IF(Import.TipoArredondamento&lt;&gt;"TransfereGOV",
              ROUND(OFFSET($P156,0,BO$13),15-13*ORÇAMENTO!$AF$7)/$H156*OFFSET(ORÇAMENTO!$X$15,ROW(BO156)-ROW(BO$15),0),
              ROUND(ROUND(OFFSET($P156,0,BO$13),15-13*ORÇAMENTO!$AF$7)*OFFSET(ORÇAMENTO!$W$15,ROW(BO156)-ROW(BO$15),0),15-13*ORÇAMENTO!$AF$11)),
         0)</f>
        <v>0</v>
      </c>
      <c r="BP156" s="352" t="n">
        <f aca="true">IF(AND($D156="Serviço",BP$12&lt;&gt;0,$H156&gt;0,OR(AUTOEVENTO&lt;&gt;"manual",$M156&lt;&gt;$A$15)),
        IF(Import.TipoArredondamento&lt;&gt;"TransfereGOV",
              ROUND(OFFSET($P156,0,BP$13),15-13*ORÇAMENTO!$AF$7)/$H156*OFFSET(ORÇAMENTO!$X$15,ROW(BP156)-ROW(BP$15),0),
              ROUND(ROUND(OFFSET($P156,0,BP$13),15-13*ORÇAMENTO!$AF$7)*OFFSET(ORÇAMENTO!$W$15,ROW(BP156)-ROW(BP$15),0),15-13*ORÇAMENTO!$AF$11)),
         0)</f>
        <v>0</v>
      </c>
      <c r="BQ156" s="352" t="n">
        <f aca="true">IF(AND($D156="Serviço",BQ$12&lt;&gt;0,$H156&gt;0,OR(AUTOEVENTO&lt;&gt;"manual",$M156&lt;&gt;$A$15)),
        IF(Import.TipoArredondamento&lt;&gt;"TransfereGOV",
              ROUND(OFFSET($P156,0,BQ$13),15-13*ORÇAMENTO!$AF$7)/$H156*OFFSET(ORÇAMENTO!$X$15,ROW(BQ156)-ROW(BQ$15),0),
              ROUND(ROUND(OFFSET($P156,0,BQ$13),15-13*ORÇAMENTO!$AF$7)*OFFSET(ORÇAMENTO!$W$15,ROW(BQ156)-ROW(BQ$15),0),15-13*ORÇAMENTO!$AF$11)),
         0)</f>
        <v>0</v>
      </c>
      <c r="BS156" s="353" t="n">
        <f aca="true">IF(OR($D156&lt;&gt;"Serviço",AND(AUTOEVENTO="Manual",$M156=$A$15)),0,
         IF(OFFSET(CRONOPLE!$F$15,$M156-$A$15,BS$13)=0,10^12,OFFSET(CRONOPLE!$F$15,$M156-$A$15,BS$13)))</f>
        <v>0</v>
      </c>
      <c r="BT156" s="353" t="n">
        <f aca="true">IF(OR($D156&lt;&gt;"Serviço",AND(AUTOEVENTO="Manual",$M156=$A$15)),0,
         IF(OFFSET(CRONOPLE!$F$15,$M156-$A$15,BT$13)=0,10^12,OFFSET(CRONOPLE!$F$15,$M156-$A$15,BT$13)))</f>
        <v>0</v>
      </c>
      <c r="BU156" s="353" t="n">
        <f aca="true">IF(OR($D156&lt;&gt;"Serviço",AND(AUTOEVENTO="Manual",$M156=$A$15)),0,
         IF(OFFSET(CRONOPLE!$F$15,$M156-$A$15,BU$13)=0,10^12,OFFSET(CRONOPLE!$F$15,$M156-$A$15,BU$13)))</f>
        <v>0</v>
      </c>
      <c r="BV156" s="353" t="n">
        <f aca="true">IF(OR($D156&lt;&gt;"Serviço",AND(AUTOEVENTO="Manual",$M156=$A$15)),0,
         IF(OFFSET(CRONOPLE!$F$15,$M156-$A$15,BV$13)=0,10^12,OFFSET(CRONOPLE!$F$15,$M156-$A$15,BV$13)))</f>
        <v>0</v>
      </c>
      <c r="BW156" s="353" t="n">
        <f aca="true">IF(OR($D156&lt;&gt;"Serviço",AND(AUTOEVENTO="Manual",$M156=$A$15)),0,
         IF(OFFSET(CRONOPLE!$F$15,$M156-$A$15,BW$13)=0,10^12,OFFSET(CRONOPLE!$F$15,$M156-$A$15,BW$13)))</f>
        <v>0</v>
      </c>
      <c r="BX156" s="353" t="n">
        <f aca="true">IF(OR($D156&lt;&gt;"Serviço",AND(AUTOEVENTO="Manual",$M156=$A$15)),0,
         IF(OFFSET(CRONOPLE!$F$15,$M156-$A$15,BX$13)=0,10^12,OFFSET(CRONOPLE!$F$15,$M156-$A$15,BX$13)))</f>
        <v>0</v>
      </c>
      <c r="BY156" s="353" t="n">
        <f aca="true">IF(OR($D156&lt;&gt;"Serviço",AND(AUTOEVENTO="Manual",$M156=$A$15)),0,
         IF(OFFSET(CRONOPLE!$F$15,$M156-$A$15,BY$13)=0,10^12,OFFSET(CRONOPLE!$F$15,$M156-$A$15,BY$13)))</f>
        <v>0</v>
      </c>
      <c r="BZ156" s="353" t="n">
        <f aca="true">IF(OR($D156&lt;&gt;"Serviço",AND(AUTOEVENTO="Manual",$M156=$A$15)),0,
         IF(OFFSET(CRONOPLE!$F$15,$M156-$A$15,BZ$13)=0,10^12,OFFSET(CRONOPLE!$F$15,$M156-$A$15,BZ$13)))</f>
        <v>0</v>
      </c>
      <c r="CA156" s="353" t="n">
        <f aca="true">IF(OR($D156&lt;&gt;"Serviço",AND(AUTOEVENTO="Manual",$M156=$A$15)),0,
         IF(OFFSET(CRONOPLE!$F$15,$M156-$A$15,CA$13)=0,10^12,OFFSET(CRONOPLE!$F$15,$M156-$A$15,CA$13)))</f>
        <v>0</v>
      </c>
      <c r="CB156" s="353" t="n">
        <f aca="true">IF(OR($D156&lt;&gt;"Serviço",AND(AUTOEVENTO="Manual",$M156=$A$15)),0,
         IF(OFFSET(CRONOPLE!$F$15,$M156-$A$15,CB$13)=0,10^12,OFFSET(CRONOPLE!$F$15,$M156-$A$15,CB$13)))</f>
        <v>0</v>
      </c>
      <c r="CC156" s="353" t="n">
        <f aca="true">IF(OR($D156&lt;&gt;"Serviço",AND(AUTOEVENTO="Manual",$M156=$A$15)),0,
         IF(OFFSET(CRONOPLE!$F$15,$M156-$A$15,CC$13)=0,10^12,OFFSET(CRONOPLE!$F$15,$M156-$A$15,CC$13)))</f>
        <v>0</v>
      </c>
      <c r="CD156" s="353" t="n">
        <f aca="true">IF(OR($D156&lt;&gt;"Serviço",AND(AUTOEVENTO="Manual",$M156=$A$15)),0,
         IF(OFFSET(CRONOPLE!$F$15,$M156-$A$15,CD$13)=0,10^12,OFFSET(CRONOPLE!$F$15,$M156-$A$15,CD$13)))</f>
        <v>0</v>
      </c>
      <c r="CE156" s="353" t="n">
        <f aca="true">IF(OR($D156&lt;&gt;"Serviço",AND(AUTOEVENTO="Manual",$M156=$A$15)),0,
         IF(OFFSET(CRONOPLE!$F$15,$M156-$A$15,CE$13)=0,10^12,OFFSET(CRONOPLE!$F$15,$M156-$A$15,CE$13)))</f>
        <v>0</v>
      </c>
      <c r="CF156" s="353" t="n">
        <f aca="true">IF(OR($D156&lt;&gt;"Serviço",AND(AUTOEVENTO="Manual",$M156=$A$15)),0,
         IF(OFFSET(CRONOPLE!$F$15,$M156-$A$15,CF$13)=0,10^12,OFFSET(CRONOPLE!$F$15,$M156-$A$15,CF$13)))</f>
        <v>0</v>
      </c>
      <c r="CG156" s="353" t="n">
        <f aca="true">IF(OR($D156&lt;&gt;"Serviço",AND(AUTOEVENTO="Manual",$M156=$A$15)),0,
         IF(OFFSET(CRONOPLE!$F$15,$M156-$A$15,CG$13)=0,10^12,OFFSET(CRONOPLE!$F$15,$M156-$A$15,CG$13)))</f>
        <v>0</v>
      </c>
      <c r="CH156" s="353" t="n">
        <f aca="true">IF(OR($D156&lt;&gt;"Serviço",AND(AUTOEVENTO="Manual",$M156=$A$15)),0,
         IF(OFFSET(CRONOPLE!$F$15,$M156-$A$15,CH$13)=0,10^12,OFFSET(CRONOPLE!$F$15,$M156-$A$15,CH$13)))</f>
        <v>0</v>
      </c>
      <c r="CI156" s="353" t="n">
        <f aca="true">IF(OR($D156&lt;&gt;"Serviço",AND(AUTOEVENTO="Manual",$M156=$A$15)),0,
         IF(OFFSET(CRONOPLE!$F$15,$M156-$A$15,CI$13)=0,10^12,OFFSET(CRONOPLE!$F$15,$M156-$A$15,CI$13)))</f>
        <v>0</v>
      </c>
      <c r="CJ156" s="353" t="n">
        <f aca="true">IF(OR($D156&lt;&gt;"Serviço",AND(AUTOEVENTO="Manual",$M156=$A$15)),0,
         IF(OFFSET(CRONOPLE!$F$15,$M156-$A$15,CJ$13)=0,10^12,OFFSET(CRONOPLE!$F$15,$M156-$A$15,CJ$13)))</f>
        <v>0</v>
      </c>
      <c r="CK156" s="353" t="n">
        <f aca="true">IF(OR($D156&lt;&gt;"Serviço",AND(AUTOEVENTO="Manual",$M156=$A$15)),0,
         IF(OFFSET(CRONOPLE!$F$15,$M156-$A$15,CK$13)=0,10^12,OFFSET(CRONOPLE!$F$15,$M156-$A$15,CK$13)))</f>
        <v>0</v>
      </c>
      <c r="CL156" s="353" t="n">
        <f aca="true">IF(OR($D156&lt;&gt;"Serviço",AND(AUTOEVENTO="Manual",$M156=$A$15)),0,
         IF(OFFSET(CRONOPLE!$F$15,$M156-$A$15,CL$13)=0,10^12,OFFSET(CRONOPLE!$F$15,$M156-$A$15,CL$13)))</f>
        <v>0</v>
      </c>
      <c r="CM156" s="353" t="n">
        <f aca="true">IF(OR($D156&lt;&gt;"Serviço",AND(AUTOEVENTO="Manual",$M156=$A$15)),0,
         IF(OFFSET(CRONOPLE!$F$15,$M156-$A$15,CM$13)=0,10^12,OFFSET(CRONOPLE!$F$15,$M156-$A$15,CM$13)))</f>
        <v>0</v>
      </c>
      <c r="CN156" s="353" t="n">
        <f aca="true">IF(OR($D156&lt;&gt;"Serviço",AND(AUTOEVENTO="Manual",$M156=$A$15)),0,
         IF(OFFSET(CRONOPLE!$F$15,$M156-$A$15,CN$13)=0,10^12,OFFSET(CRONOPLE!$F$15,$M156-$A$15,CN$13)))</f>
        <v>0</v>
      </c>
      <c r="CO156" s="353" t="n">
        <f aca="true">IF(OR($D156&lt;&gt;"Serviço",AND(AUTOEVENTO="Manual",$M156=$A$15)),0,
         IF(OFFSET(CRONOPLE!$F$15,$M156-$A$15,CO$13)=0,10^12,OFFSET(CRONOPLE!$F$15,$M156-$A$15,CO$13)))</f>
        <v>0</v>
      </c>
      <c r="CP156" s="353" t="n">
        <f aca="true">IF(OR($D156&lt;&gt;"Serviço",AND(AUTOEVENTO="Manual",$M156=$A$15)),0,
         IF(OFFSET(CRONOPLE!$F$15,$M156-$A$15,CP$13)=0,10^12,OFFSET(CRONOPLE!$F$15,$M156-$A$15,CP$13)))</f>
        <v>0</v>
      </c>
      <c r="CQ156" s="353" t="n">
        <f aca="true">IF(OR($D156&lt;&gt;"Serviço",AND(AUTOEVENTO="Manual",$M156=$A$15)),0,
         IF(OFFSET(CRONOPLE!$F$15,$M156-$A$15,CQ$13)=0,10^12,OFFSET(CRONOPLE!$F$15,$M156-$A$15,CQ$13)))</f>
        <v>0</v>
      </c>
      <c r="CR156" s="353" t="n">
        <f aca="true">IF(OR($D156&lt;&gt;"Serviço",AND(AUTOEVENTO="Manual",$M156=$A$15)),0,
         IF(OFFSET(CRONOPLE!$F$15,$M156-$A$15,CR$13)=0,10^12,OFFSET(CRONOPLE!$F$15,$M156-$A$15,CR$13)))</f>
        <v>0</v>
      </c>
      <c r="CT156" s="354" t="n">
        <f aca="true">IF(OR($D156&lt;&gt;"Serviço",AND(AUTOEVENTO="Manual",$M156=$A$15),$M156&gt;(ROW(PLE.lastrow)-ROW(PLE.firstrow))),0,
           IF(OFFSET(PLE!$G$15,$M156-$A$15,CT$13)="",10^12,OFFSET(PLE!$G$15,$M156-$A$15,CT$13)))</f>
        <v>0</v>
      </c>
      <c r="CU156" s="354" t="n">
        <f aca="true">IF(OR($D156&lt;&gt;"Serviço",AND(AUTOEVENTO="Manual",$M156=$A$15),$M156&gt;(ROW(PLE.lastrow)-ROW(PLE.firstrow))),0,
           IF(OFFSET(PLE!$G$15,$M156-$A$15,CU$13)="",10^12,OFFSET(PLE!$G$15,$M156-$A$15,CU$13)))</f>
        <v>0</v>
      </c>
      <c r="CV156" s="354" t="n">
        <f aca="true">IF(OR($D156&lt;&gt;"Serviço",AND(AUTOEVENTO="Manual",$M156=$A$15),$M156&gt;(ROW(PLE.lastrow)-ROW(PLE.firstrow))),0,
           IF(OFFSET(PLE!$G$15,$M156-$A$15,CV$13)="",10^12,OFFSET(PLE!$G$15,$M156-$A$15,CV$13)))</f>
        <v>0</v>
      </c>
      <c r="CW156" s="354" t="n">
        <f aca="true">IF(OR($D156&lt;&gt;"Serviço",AND(AUTOEVENTO="Manual",$M156=$A$15),$M156&gt;(ROW(PLE.lastrow)-ROW(PLE.firstrow))),0,
           IF(OFFSET(PLE!$G$15,$M156-$A$15,CW$13)="",10^12,OFFSET(PLE!$G$15,$M156-$A$15,CW$13)))</f>
        <v>0</v>
      </c>
      <c r="CX156" s="354" t="n">
        <f aca="true">IF(OR($D156&lt;&gt;"Serviço",AND(AUTOEVENTO="Manual",$M156=$A$15),$M156&gt;(ROW(PLE.lastrow)-ROW(PLE.firstrow))),0,
           IF(OFFSET(PLE!$G$15,$M156-$A$15,CX$13)="",10^12,OFFSET(PLE!$G$15,$M156-$A$15,CX$13)))</f>
        <v>0</v>
      </c>
      <c r="CY156" s="354" t="n">
        <f aca="true">IF(OR($D156&lt;&gt;"Serviço",AND(AUTOEVENTO="Manual",$M156=$A$15),$M156&gt;(ROW(PLE.lastrow)-ROW(PLE.firstrow))),0,
           IF(OFFSET(PLE!$G$15,$M156-$A$15,CY$13)="",10^12,OFFSET(PLE!$G$15,$M156-$A$15,CY$13)))</f>
        <v>0</v>
      </c>
      <c r="CZ156" s="354" t="n">
        <f aca="true">IF(OR($D156&lt;&gt;"Serviço",AND(AUTOEVENTO="Manual",$M156=$A$15),$M156&gt;(ROW(PLE.lastrow)-ROW(PLE.firstrow))),0,
           IF(OFFSET(PLE!$G$15,$M156-$A$15,CZ$13)="",10^12,OFFSET(PLE!$G$15,$M156-$A$15,CZ$13)))</f>
        <v>0</v>
      </c>
      <c r="DA156" s="354" t="n">
        <f aca="true">IF(OR($D156&lt;&gt;"Serviço",AND(AUTOEVENTO="Manual",$M156=$A$15),$M156&gt;(ROW(PLE.lastrow)-ROW(PLE.firstrow))),0,
           IF(OFFSET(PLE!$G$15,$M156-$A$15,DA$13)="",10^12,OFFSET(PLE!$G$15,$M156-$A$15,DA$13)))</f>
        <v>0</v>
      </c>
      <c r="DB156" s="354" t="n">
        <f aca="true">IF(OR($D156&lt;&gt;"Serviço",AND(AUTOEVENTO="Manual",$M156=$A$15),$M156&gt;(ROW(PLE.lastrow)-ROW(PLE.firstrow))),0,
           IF(OFFSET(PLE!$G$15,$M156-$A$15,DB$13)="",10^12,OFFSET(PLE!$G$15,$M156-$A$15,DB$13)))</f>
        <v>0</v>
      </c>
      <c r="DC156" s="354" t="n">
        <f aca="true">IF(OR($D156&lt;&gt;"Serviço",AND(AUTOEVENTO="Manual",$M156=$A$15),$M156&gt;(ROW(PLE.lastrow)-ROW(PLE.firstrow))),0,
           IF(OFFSET(PLE!$G$15,$M156-$A$15,DC$13)="",10^12,OFFSET(PLE!$G$15,$M156-$A$15,DC$13)))</f>
        <v>0</v>
      </c>
      <c r="DD156" s="354" t="n">
        <f aca="true">IF(OR($D156&lt;&gt;"Serviço",AND(AUTOEVENTO="Manual",$M156=$A$15),$M156&gt;(ROW(PLE.lastrow)-ROW(PLE.firstrow))),0,
           IF(OFFSET(PLE!$G$15,$M156-$A$15,DD$13)="",10^12,OFFSET(PLE!$G$15,$M156-$A$15,DD$13)))</f>
        <v>0</v>
      </c>
      <c r="DE156" s="354" t="n">
        <f aca="true">IF(OR($D156&lt;&gt;"Serviço",AND(AUTOEVENTO="Manual",$M156=$A$15),$M156&gt;(ROW(PLE.lastrow)-ROW(PLE.firstrow))),0,
           IF(OFFSET(PLE!$G$15,$M156-$A$15,DE$13)="",10^12,OFFSET(PLE!$G$15,$M156-$A$15,DE$13)))</f>
        <v>0</v>
      </c>
      <c r="DF156" s="354" t="n">
        <f aca="true">IF(OR($D156&lt;&gt;"Serviço",AND(AUTOEVENTO="Manual",$M156=$A$15),$M156&gt;(ROW(PLE.lastrow)-ROW(PLE.firstrow))),0,
           IF(OFFSET(PLE!$G$15,$M156-$A$15,DF$13)="",10^12,OFFSET(PLE!$G$15,$M156-$A$15,DF$13)))</f>
        <v>0</v>
      </c>
      <c r="DG156" s="354" t="n">
        <f aca="true">IF(OR($D156&lt;&gt;"Serviço",AND(AUTOEVENTO="Manual",$M156=$A$15),$M156&gt;(ROW(PLE.lastrow)-ROW(PLE.firstrow))),0,
           IF(OFFSET(PLE!$G$15,$M156-$A$15,DG$13)="",10^12,OFFSET(PLE!$G$15,$M156-$A$15,DG$13)))</f>
        <v>0</v>
      </c>
      <c r="DH156" s="354" t="n">
        <f aca="true">IF(OR($D156&lt;&gt;"Serviço",AND(AUTOEVENTO="Manual",$M156=$A$15),$M156&gt;(ROW(PLE.lastrow)-ROW(PLE.firstrow))),0,
           IF(OFFSET(PLE!$G$15,$M156-$A$15,DH$13)="",10^12,OFFSET(PLE!$G$15,$M156-$A$15,DH$13)))</f>
        <v>0</v>
      </c>
      <c r="DI156" s="354" t="n">
        <f aca="true">IF(OR($D156&lt;&gt;"Serviço",AND(AUTOEVENTO="Manual",$M156=$A$15),$M156&gt;(ROW(PLE.lastrow)-ROW(PLE.firstrow))),0,
           IF(OFFSET(PLE!$G$15,$M156-$A$15,DI$13)="",10^12,OFFSET(PLE!$G$15,$M156-$A$15,DI$13)))</f>
        <v>0</v>
      </c>
      <c r="DJ156" s="354" t="n">
        <f aca="true">IF(OR($D156&lt;&gt;"Serviço",AND(AUTOEVENTO="Manual",$M156=$A$15),$M156&gt;(ROW(PLE.lastrow)-ROW(PLE.firstrow))),0,
           IF(OFFSET(PLE!$G$15,$M156-$A$15,DJ$13)="",10^12,OFFSET(PLE!$G$15,$M156-$A$15,DJ$13)))</f>
        <v>0</v>
      </c>
      <c r="DK156" s="354" t="n">
        <f aca="true">IF(OR($D156&lt;&gt;"Serviço",AND(AUTOEVENTO="Manual",$M156=$A$15),$M156&gt;(ROW(PLE.lastrow)-ROW(PLE.firstrow))),0,
           IF(OFFSET(PLE!$G$15,$M156-$A$15,DK$13)="",10^12,OFFSET(PLE!$G$15,$M156-$A$15,DK$13)))</f>
        <v>0</v>
      </c>
      <c r="DL156" s="354" t="n">
        <f aca="true">IF(OR($D156&lt;&gt;"Serviço",AND(AUTOEVENTO="Manual",$M156=$A$15),$M156&gt;(ROW(PLE.lastrow)-ROW(PLE.firstrow))),0,
           IF(OFFSET(PLE!$G$15,$M156-$A$15,DL$13)="",10^12,OFFSET(PLE!$G$15,$M156-$A$15,DL$13)))</f>
        <v>0</v>
      </c>
      <c r="DM156" s="354" t="n">
        <f aca="true">IF(OR($D156&lt;&gt;"Serviço",AND(AUTOEVENTO="Manual",$M156=$A$15),$M156&gt;(ROW(PLE.lastrow)-ROW(PLE.firstrow))),0,
           IF(OFFSET(PLE!$G$15,$M156-$A$15,DM$13)="",10^12,OFFSET(PLE!$G$15,$M156-$A$15,DM$13)))</f>
        <v>0</v>
      </c>
      <c r="DN156" s="354" t="n">
        <f aca="true">IF(OR($D156&lt;&gt;"Serviço",AND(AUTOEVENTO="Manual",$M156=$A$15),$M156&gt;(ROW(PLE.lastrow)-ROW(PLE.firstrow))),0,
           IF(OFFSET(PLE!$G$15,$M156-$A$15,DN$13)="",10^12,OFFSET(PLE!$G$15,$M156-$A$15,DN$13)))</f>
        <v>0</v>
      </c>
      <c r="DO156" s="354" t="n">
        <f aca="true">IF(OR($D156&lt;&gt;"Serviço",AND(AUTOEVENTO="Manual",$M156=$A$15),$M156&gt;(ROW(PLE.lastrow)-ROW(PLE.firstrow))),0,
           IF(OFFSET(PLE!$G$15,$M156-$A$15,DO$13)="",10^12,OFFSET(PLE!$G$15,$M156-$A$15,DO$13)))</f>
        <v>0</v>
      </c>
      <c r="DP156" s="354" t="n">
        <f aca="true">IF(OR($D156&lt;&gt;"Serviço",AND(AUTOEVENTO="Manual",$M156=$A$15),$M156&gt;(ROW(PLE.lastrow)-ROW(PLE.firstrow))),0,
           IF(OFFSET(PLE!$G$15,$M156-$A$15,DP$13)="",10^12,OFFSET(PLE!$G$15,$M156-$A$15,DP$13)))</f>
        <v>0</v>
      </c>
      <c r="DQ156" s="354" t="n">
        <f aca="true">IF(OR($D156&lt;&gt;"Serviço",AND(AUTOEVENTO="Manual",$M156=$A$15),$M156&gt;(ROW(PLE.lastrow)-ROW(PLE.firstrow))),0,
           IF(OFFSET(PLE!$G$15,$M156-$A$15,DQ$13)="",10^12,OFFSET(PLE!$G$15,$M156-$A$15,DQ$13)))</f>
        <v>0</v>
      </c>
      <c r="DR156" s="354" t="n">
        <f aca="true">IF(OR($D156&lt;&gt;"Serviço",AND(AUTOEVENTO="Manual",$M156=$A$15),$M156&gt;(ROW(PLE.lastrow)-ROW(PLE.firstrow))),0,
           IF(OFFSET(PLE!$G$15,$M156-$A$15,DR$13)="",10^12,OFFSET(PLE!$G$15,$M156-$A$15,DR$13)))</f>
        <v>0</v>
      </c>
      <c r="DS156" s="354" t="n">
        <f aca="true">IF(OR($D156&lt;&gt;"Serviço",AND(AUTOEVENTO="Manual",$M156=$A$15),$M156&gt;(ROW(PLE.lastrow)-ROW(PLE.firstrow))),0,
           IF(OFFSET(PLE!$G$15,$M156-$A$15,DS$13)="",10^12,OFFSET(PLE!$G$15,$M156-$A$15,DS$13)))</f>
        <v>0</v>
      </c>
    </row>
    <row r="157" customFormat="false" ht="23.85" hidden="false" customHeight="false" outlineLevel="0" collapsed="false">
      <c r="A157" s="50" t="str">
        <f aca="true">IFERROR(IF(AUTOEVENTO="Manual",IF(K157&lt;&gt;"",MIN(VALUE(LEFT(K157,FIND(".",K157)-1)),COUNTA(EVENTOS.Lista)),0),IF(OR($B157&gt;AUTOEVENTO,$B157="S",$B157=0),SUBSTITUTE(OFFSET($A157,-1,0),IF($D157="Serviço",".",""),""),ROW(A157)-ROW($A$15)&amp;".")),0)</f>
        <v>141</v>
      </c>
      <c r="B157" s="50" t="str">
        <f aca="true">OFFSET(ORÇAMENTO!C$15,ROW(B157)-ROW(B$15),0)</f>
        <v>S</v>
      </c>
      <c r="C157" s="50" t="str">
        <f aca="true">OFFSET(ORÇAMENTO!L$15,ROW(C157)-ROW(C$15),0)</f>
        <v>F</v>
      </c>
      <c r="D157" s="201" t="str">
        <f aca="true">OFFSET(ORÇAMENTO!N$15,ROW(D157)-ROW(D$15),0)</f>
        <v>Serviço</v>
      </c>
      <c r="E157" s="202" t="str">
        <f aca="true">OFFSET(ORÇAMENTO!O$15,ROW(E157)-ROW(E$15),0)</f>
        <v>1.43.1.</v>
      </c>
      <c r="F157" s="341" t="str">
        <f aca="true">OFFSET(ORÇAMENTO!R$15,ROW(F157)-ROW(F$15),0)</f>
        <v>CAIXA D´ÁGUA EM POLIETILENO, 500 LITROS - FORNECIMENTO E INSTALAÇÃO. AF_06/2021</v>
      </c>
      <c r="G157" s="342" t="str">
        <f aca="true">IF($D157&lt;&gt;"Serviço","",OFFSET(ORÇAMENTO!S$15,ROW(G157)-ROW(G$15),0))</f>
        <v>UN</v>
      </c>
      <c r="H157" s="207" t="n">
        <f aca="true">IF($D157&lt;&gt;"Serviço",0,IF(ACOMPANHAMENTO="BM",ROUND(OFFSET(ORÇAMENTO!AJ$15,ROW(H157)-ROW(H$15),0),15-13*ORÇAMENTO!$AF$7),SUMPRODUCT(($Q$1:$AQ$1=1)*ROUND($Q157:$AQ157,15-13*ORÇAMENTO!$AF$7))))</f>
        <v>25</v>
      </c>
      <c r="I157" s="343" t="s">
        <v>969</v>
      </c>
      <c r="J157" s="344" t="e">
        <f aca="false">IF(OR(B157&lt;&gt;"S",CÁLCULO.FrentesPreenchidas=0),"",IF(AND(ACOMPANHAMENTO="PLE",AUTOEVENTO="Manual",OR(H157&gt;0,ORÇAMENTO!AC157="QUANT."),OR(K157="",M157=0,N157="")),"►",IF(AND(ACOMPANHAMENTO="PLE",ORÇAMENTO!AC157="QUANT."),"►►",IF(AND(COUNTIF($P$11:$AQ$11,"▼")=0,H157&gt;0,I157=""),"◄",""))))</f>
        <v>#NAME?</v>
      </c>
      <c r="K157" s="345"/>
      <c r="L157" s="346" t="s">
        <v>876</v>
      </c>
      <c r="M157" s="347" t="n">
        <f aca="true">IF($D157&lt;&gt;"Serviço","",
          IF(AUTOEVENTO="manual",$A157,
                IF(ISERROR(MATCH($A157,$A$15:OFFSET($A157,-1,0),0)),MAX($M$15:OFFSET(M157,-1,0))+1,
                      INDEX($M$15:OFFSET(M157,-1,0),MATCH($A157,$A$15:OFFSET($A157,-1,0),0)))))</f>
        <v>27</v>
      </c>
      <c r="N157" s="348" t="str">
        <f aca="true">IF($D157&lt;&gt;"Serviço","",
         IF(AUTOEVENTO="Manual",
                IF($A157=0,"&lt;-- defina o número do agrupador",
                       OFFSET(EVENTOS!$D$15,$A157-$A$15,0)),
                OFFSET($F$15,$A157,0)))</f>
        <v>CAIXA D'ÁGUA E BARRILETE</v>
      </c>
      <c r="O157" s="349"/>
      <c r="Q157" s="349" t="n">
        <v>1</v>
      </c>
      <c r="R157" s="350" t="n">
        <f aca="false">Q157</f>
        <v>1</v>
      </c>
      <c r="S157" s="350" t="n">
        <f aca="false">R157</f>
        <v>1</v>
      </c>
      <c r="T157" s="350" t="n">
        <f aca="false">S157</f>
        <v>1</v>
      </c>
      <c r="U157" s="350" t="n">
        <f aca="false">T157</f>
        <v>1</v>
      </c>
      <c r="V157" s="350" t="n">
        <f aca="false">U157</f>
        <v>1</v>
      </c>
      <c r="W157" s="350" t="n">
        <f aca="false">V157</f>
        <v>1</v>
      </c>
      <c r="X157" s="350" t="n">
        <f aca="false">W157</f>
        <v>1</v>
      </c>
      <c r="Y157" s="350" t="n">
        <f aca="false">X157</f>
        <v>1</v>
      </c>
      <c r="Z157" s="351" t="n">
        <f aca="false">Y157</f>
        <v>1</v>
      </c>
      <c r="AA157" s="350" t="n">
        <f aca="false">Z157</f>
        <v>1</v>
      </c>
      <c r="AB157" s="350" t="n">
        <f aca="false">AA157</f>
        <v>1</v>
      </c>
      <c r="AC157" s="350" t="n">
        <f aca="false">AB157</f>
        <v>1</v>
      </c>
      <c r="AD157" s="350" t="n">
        <f aca="false">AC157</f>
        <v>1</v>
      </c>
      <c r="AE157" s="350" t="n">
        <f aca="false">AD157</f>
        <v>1</v>
      </c>
      <c r="AF157" s="350" t="n">
        <f aca="false">AE157</f>
        <v>1</v>
      </c>
      <c r="AG157" s="350" t="n">
        <f aca="false">AF157</f>
        <v>1</v>
      </c>
      <c r="AH157" s="351" t="n">
        <f aca="false">AG157</f>
        <v>1</v>
      </c>
      <c r="AI157" s="350" t="n">
        <f aca="false">AH157</f>
        <v>1</v>
      </c>
      <c r="AJ157" s="350" t="n">
        <f aca="false">AI157</f>
        <v>1</v>
      </c>
      <c r="AK157" s="350" t="n">
        <f aca="false">AJ157</f>
        <v>1</v>
      </c>
      <c r="AL157" s="350" t="n">
        <f aca="false">AK157</f>
        <v>1</v>
      </c>
      <c r="AM157" s="350" t="n">
        <f aca="false">AL157</f>
        <v>1</v>
      </c>
      <c r="AN157" s="350" t="n">
        <f aca="false">AM157</f>
        <v>1</v>
      </c>
      <c r="AO157" s="350" t="n">
        <f aca="false">AN157</f>
        <v>1</v>
      </c>
      <c r="AP157" s="351"/>
      <c r="AR157" s="352" t="n">
        <f aca="true">IF(AND($D157="Serviço",AR$12&lt;&gt;0,$H157&gt;0,OR(AUTOEVENTO&lt;&gt;"manual",$M157&lt;&gt;$A$15)),
        IF(Import.TipoArredondamento&lt;&gt;"TransfereGOV",
              ROUND(OFFSET($P157,0,AR$13),15-13*ORÇAMENTO!$AF$7)/$H157*OFFSET(ORÇAMENTO!$X$15,ROW(AR157)-ROW(AR$15),0),
              ROUND(ROUND(OFFSET($P157,0,AR$13),15-13*ORÇAMENTO!$AF$7)*OFFSET(ORÇAMENTO!$W$15,ROW(AR157)-ROW(AR$15),0),15-13*ORÇAMENTO!$AF$11)),
         0)</f>
        <v>389.98</v>
      </c>
      <c r="AS157" s="352" t="n">
        <f aca="true">IF(AND($D157="Serviço",AS$12&lt;&gt;0,$H157&gt;0,OR(AUTOEVENTO&lt;&gt;"manual",$M157&lt;&gt;$A$15)),
        IF(Import.TipoArredondamento&lt;&gt;"TransfereGOV",
              ROUND(OFFSET($P157,0,AS$13),15-13*ORÇAMENTO!$AF$7)/$H157*OFFSET(ORÇAMENTO!$X$15,ROW(AS157)-ROW(AS$15),0),
              ROUND(ROUND(OFFSET($P157,0,AS$13),15-13*ORÇAMENTO!$AF$7)*OFFSET(ORÇAMENTO!$W$15,ROW(AS157)-ROW(AS$15),0),15-13*ORÇAMENTO!$AF$11)),
         0)</f>
        <v>389.98</v>
      </c>
      <c r="AT157" s="352" t="n">
        <f aca="true">IF(AND($D157="Serviço",AT$12&lt;&gt;0,$H157&gt;0,OR(AUTOEVENTO&lt;&gt;"manual",$M157&lt;&gt;$A$15)),
        IF(Import.TipoArredondamento&lt;&gt;"TransfereGOV",
              ROUND(OFFSET($P157,0,AT$13),15-13*ORÇAMENTO!$AF$7)/$H157*OFFSET(ORÇAMENTO!$X$15,ROW(AT157)-ROW(AT$15),0),
              ROUND(ROUND(OFFSET($P157,0,AT$13),15-13*ORÇAMENTO!$AF$7)*OFFSET(ORÇAMENTO!$W$15,ROW(AT157)-ROW(AT$15),0),15-13*ORÇAMENTO!$AF$11)),
         0)</f>
        <v>389.98</v>
      </c>
      <c r="AU157" s="352" t="n">
        <f aca="true">IF(AND($D157="Serviço",AU$12&lt;&gt;0,$H157&gt;0,OR(AUTOEVENTO&lt;&gt;"manual",$M157&lt;&gt;$A$15)),
        IF(Import.TipoArredondamento&lt;&gt;"TransfereGOV",
              ROUND(OFFSET($P157,0,AU$13),15-13*ORÇAMENTO!$AF$7)/$H157*OFFSET(ORÇAMENTO!$X$15,ROW(AU157)-ROW(AU$15),0),
              ROUND(ROUND(OFFSET($P157,0,AU$13),15-13*ORÇAMENTO!$AF$7)*OFFSET(ORÇAMENTO!$W$15,ROW(AU157)-ROW(AU$15),0),15-13*ORÇAMENTO!$AF$11)),
         0)</f>
        <v>389.98</v>
      </c>
      <c r="AV157" s="352" t="n">
        <f aca="true">IF(AND($D157="Serviço",AV$12&lt;&gt;0,$H157&gt;0,OR(AUTOEVENTO&lt;&gt;"manual",$M157&lt;&gt;$A$15)),
        IF(Import.TipoArredondamento&lt;&gt;"TransfereGOV",
              ROUND(OFFSET($P157,0,AV$13),15-13*ORÇAMENTO!$AF$7)/$H157*OFFSET(ORÇAMENTO!$X$15,ROW(AV157)-ROW(AV$15),0),
              ROUND(ROUND(OFFSET($P157,0,AV$13),15-13*ORÇAMENTO!$AF$7)*OFFSET(ORÇAMENTO!$W$15,ROW(AV157)-ROW(AV$15),0),15-13*ORÇAMENTO!$AF$11)),
         0)</f>
        <v>389.98</v>
      </c>
      <c r="AW157" s="352" t="n">
        <f aca="true">IF(AND($D157="Serviço",AW$12&lt;&gt;0,$H157&gt;0,OR(AUTOEVENTO&lt;&gt;"manual",$M157&lt;&gt;$A$15)),
        IF(Import.TipoArredondamento&lt;&gt;"TransfereGOV",
              ROUND(OFFSET($P157,0,AW$13),15-13*ORÇAMENTO!$AF$7)/$H157*OFFSET(ORÇAMENTO!$X$15,ROW(AW157)-ROW(AW$15),0),
              ROUND(ROUND(OFFSET($P157,0,AW$13),15-13*ORÇAMENTO!$AF$7)*OFFSET(ORÇAMENTO!$W$15,ROW(AW157)-ROW(AW$15),0),15-13*ORÇAMENTO!$AF$11)),
         0)</f>
        <v>389.98</v>
      </c>
      <c r="AX157" s="352" t="n">
        <f aca="true">IF(AND($D157="Serviço",AX$12&lt;&gt;0,$H157&gt;0,OR(AUTOEVENTO&lt;&gt;"manual",$M157&lt;&gt;$A$15)),
        IF(Import.TipoArredondamento&lt;&gt;"TransfereGOV",
              ROUND(OFFSET($P157,0,AX$13),15-13*ORÇAMENTO!$AF$7)/$H157*OFFSET(ORÇAMENTO!$X$15,ROW(AX157)-ROW(AX$15),0),
              ROUND(ROUND(OFFSET($P157,0,AX$13),15-13*ORÇAMENTO!$AF$7)*OFFSET(ORÇAMENTO!$W$15,ROW(AX157)-ROW(AX$15),0),15-13*ORÇAMENTO!$AF$11)),
         0)</f>
        <v>389.98</v>
      </c>
      <c r="AY157" s="352" t="n">
        <f aca="true">IF(AND($D157="Serviço",AY$12&lt;&gt;0,$H157&gt;0,OR(AUTOEVENTO&lt;&gt;"manual",$M157&lt;&gt;$A$15)),
        IF(Import.TipoArredondamento&lt;&gt;"TransfereGOV",
              ROUND(OFFSET($P157,0,AY$13),15-13*ORÇAMENTO!$AF$7)/$H157*OFFSET(ORÇAMENTO!$X$15,ROW(AY157)-ROW(AY$15),0),
              ROUND(ROUND(OFFSET($P157,0,AY$13),15-13*ORÇAMENTO!$AF$7)*OFFSET(ORÇAMENTO!$W$15,ROW(AY157)-ROW(AY$15),0),15-13*ORÇAMENTO!$AF$11)),
         0)</f>
        <v>389.98</v>
      </c>
      <c r="AZ157" s="352" t="n">
        <f aca="true">IF(AND($D157="Serviço",AZ$12&lt;&gt;0,$H157&gt;0,OR(AUTOEVENTO&lt;&gt;"manual",$M157&lt;&gt;$A$15)),
        IF(Import.TipoArredondamento&lt;&gt;"TransfereGOV",
              ROUND(OFFSET($P157,0,AZ$13),15-13*ORÇAMENTO!$AF$7)/$H157*OFFSET(ORÇAMENTO!$X$15,ROW(AZ157)-ROW(AZ$15),0),
              ROUND(ROUND(OFFSET($P157,0,AZ$13),15-13*ORÇAMENTO!$AF$7)*OFFSET(ORÇAMENTO!$W$15,ROW(AZ157)-ROW(AZ$15),0),15-13*ORÇAMENTO!$AF$11)),
         0)</f>
        <v>389.98</v>
      </c>
      <c r="BA157" s="352" t="n">
        <f aca="true">IF(AND($D157="Serviço",BA$12&lt;&gt;0,$H157&gt;0,OR(AUTOEVENTO&lt;&gt;"manual",$M157&lt;&gt;$A$15)),
        IF(Import.TipoArredondamento&lt;&gt;"TransfereGOV",
              ROUND(OFFSET($P157,0,BA$13),15-13*ORÇAMENTO!$AF$7)/$H157*OFFSET(ORÇAMENTO!$X$15,ROW(BA157)-ROW(BA$15),0),
              ROUND(ROUND(OFFSET($P157,0,BA$13),15-13*ORÇAMENTO!$AF$7)*OFFSET(ORÇAMENTO!$W$15,ROW(BA157)-ROW(BA$15),0),15-13*ORÇAMENTO!$AF$11)),
         0)</f>
        <v>389.98</v>
      </c>
      <c r="BB157" s="352" t="n">
        <f aca="true">IF(AND($D157="Serviço",BB$12&lt;&gt;0,$H157&gt;0,OR(AUTOEVENTO&lt;&gt;"manual",$M157&lt;&gt;$A$15)),
        IF(Import.TipoArredondamento&lt;&gt;"TransfereGOV",
              ROUND(OFFSET($P157,0,BB$13),15-13*ORÇAMENTO!$AF$7)/$H157*OFFSET(ORÇAMENTO!$X$15,ROW(BB157)-ROW(BB$15),0),
              ROUND(ROUND(OFFSET($P157,0,BB$13),15-13*ORÇAMENTO!$AF$7)*OFFSET(ORÇAMENTO!$W$15,ROW(BB157)-ROW(BB$15),0),15-13*ORÇAMENTO!$AF$11)),
         0)</f>
        <v>389.98</v>
      </c>
      <c r="BC157" s="352" t="n">
        <f aca="true">IF(AND($D157="Serviço",BC$12&lt;&gt;0,$H157&gt;0,OR(AUTOEVENTO&lt;&gt;"manual",$M157&lt;&gt;$A$15)),
        IF(Import.TipoArredondamento&lt;&gt;"TransfereGOV",
              ROUND(OFFSET($P157,0,BC$13),15-13*ORÇAMENTO!$AF$7)/$H157*OFFSET(ORÇAMENTO!$X$15,ROW(BC157)-ROW(BC$15),0),
              ROUND(ROUND(OFFSET($P157,0,BC$13),15-13*ORÇAMENTO!$AF$7)*OFFSET(ORÇAMENTO!$W$15,ROW(BC157)-ROW(BC$15),0),15-13*ORÇAMENTO!$AF$11)),
         0)</f>
        <v>389.98</v>
      </c>
      <c r="BD157" s="352" t="n">
        <f aca="true">IF(AND($D157="Serviço",BD$12&lt;&gt;0,$H157&gt;0,OR(AUTOEVENTO&lt;&gt;"manual",$M157&lt;&gt;$A$15)),
        IF(Import.TipoArredondamento&lt;&gt;"TransfereGOV",
              ROUND(OFFSET($P157,0,BD$13),15-13*ORÇAMENTO!$AF$7)/$H157*OFFSET(ORÇAMENTO!$X$15,ROW(BD157)-ROW(BD$15),0),
              ROUND(ROUND(OFFSET($P157,0,BD$13),15-13*ORÇAMENTO!$AF$7)*OFFSET(ORÇAMENTO!$W$15,ROW(BD157)-ROW(BD$15),0),15-13*ORÇAMENTO!$AF$11)),
         0)</f>
        <v>389.98</v>
      </c>
      <c r="BE157" s="352" t="n">
        <f aca="true">IF(AND($D157="Serviço",BE$12&lt;&gt;0,$H157&gt;0,OR(AUTOEVENTO&lt;&gt;"manual",$M157&lt;&gt;$A$15)),
        IF(Import.TipoArredondamento&lt;&gt;"TransfereGOV",
              ROUND(OFFSET($P157,0,BE$13),15-13*ORÇAMENTO!$AF$7)/$H157*OFFSET(ORÇAMENTO!$X$15,ROW(BE157)-ROW(BE$15),0),
              ROUND(ROUND(OFFSET($P157,0,BE$13),15-13*ORÇAMENTO!$AF$7)*OFFSET(ORÇAMENTO!$W$15,ROW(BE157)-ROW(BE$15),0),15-13*ORÇAMENTO!$AF$11)),
         0)</f>
        <v>389.98</v>
      </c>
      <c r="BF157" s="352" t="n">
        <f aca="true">IF(AND($D157="Serviço",BF$12&lt;&gt;0,$H157&gt;0,OR(AUTOEVENTO&lt;&gt;"manual",$M157&lt;&gt;$A$15)),
        IF(Import.TipoArredondamento&lt;&gt;"TransfereGOV",
              ROUND(OFFSET($P157,0,BF$13),15-13*ORÇAMENTO!$AF$7)/$H157*OFFSET(ORÇAMENTO!$X$15,ROW(BF157)-ROW(BF$15),0),
              ROUND(ROUND(OFFSET($P157,0,BF$13),15-13*ORÇAMENTO!$AF$7)*OFFSET(ORÇAMENTO!$W$15,ROW(BF157)-ROW(BF$15),0),15-13*ORÇAMENTO!$AF$11)),
         0)</f>
        <v>389.98</v>
      </c>
      <c r="BG157" s="352" t="n">
        <f aca="true">IF(AND($D157="Serviço",BG$12&lt;&gt;0,$H157&gt;0,OR(AUTOEVENTO&lt;&gt;"manual",$M157&lt;&gt;$A$15)),
        IF(Import.TipoArredondamento&lt;&gt;"TransfereGOV",
              ROUND(OFFSET($P157,0,BG$13),15-13*ORÇAMENTO!$AF$7)/$H157*OFFSET(ORÇAMENTO!$X$15,ROW(BG157)-ROW(BG$15),0),
              ROUND(ROUND(OFFSET($P157,0,BG$13),15-13*ORÇAMENTO!$AF$7)*OFFSET(ORÇAMENTO!$W$15,ROW(BG157)-ROW(BG$15),0),15-13*ORÇAMENTO!$AF$11)),
         0)</f>
        <v>389.98</v>
      </c>
      <c r="BH157" s="352" t="n">
        <f aca="true">IF(AND($D157="Serviço",BH$12&lt;&gt;0,$H157&gt;0,OR(AUTOEVENTO&lt;&gt;"manual",$M157&lt;&gt;$A$15)),
        IF(Import.TipoArredondamento&lt;&gt;"TransfereGOV",
              ROUND(OFFSET($P157,0,BH$13),15-13*ORÇAMENTO!$AF$7)/$H157*OFFSET(ORÇAMENTO!$X$15,ROW(BH157)-ROW(BH$15),0),
              ROUND(ROUND(OFFSET($P157,0,BH$13),15-13*ORÇAMENTO!$AF$7)*OFFSET(ORÇAMENTO!$W$15,ROW(BH157)-ROW(BH$15),0),15-13*ORÇAMENTO!$AF$11)),
         0)</f>
        <v>389.98</v>
      </c>
      <c r="BI157" s="352" t="n">
        <f aca="true">IF(AND($D157="Serviço",BI$12&lt;&gt;0,$H157&gt;0,OR(AUTOEVENTO&lt;&gt;"manual",$M157&lt;&gt;$A$15)),
        IF(Import.TipoArredondamento&lt;&gt;"TransfereGOV",
              ROUND(OFFSET($P157,0,BI$13),15-13*ORÇAMENTO!$AF$7)/$H157*OFFSET(ORÇAMENTO!$X$15,ROW(BI157)-ROW(BI$15),0),
              ROUND(ROUND(OFFSET($P157,0,BI$13),15-13*ORÇAMENTO!$AF$7)*OFFSET(ORÇAMENTO!$W$15,ROW(BI157)-ROW(BI$15),0),15-13*ORÇAMENTO!$AF$11)),
         0)</f>
        <v>389.98</v>
      </c>
      <c r="BJ157" s="352" t="n">
        <f aca="true">IF(AND($D157="Serviço",BJ$12&lt;&gt;0,$H157&gt;0,OR(AUTOEVENTO&lt;&gt;"manual",$M157&lt;&gt;$A$15)),
        IF(Import.TipoArredondamento&lt;&gt;"TransfereGOV",
              ROUND(OFFSET($P157,0,BJ$13),15-13*ORÇAMENTO!$AF$7)/$H157*OFFSET(ORÇAMENTO!$X$15,ROW(BJ157)-ROW(BJ$15),0),
              ROUND(ROUND(OFFSET($P157,0,BJ$13),15-13*ORÇAMENTO!$AF$7)*OFFSET(ORÇAMENTO!$W$15,ROW(BJ157)-ROW(BJ$15),0),15-13*ORÇAMENTO!$AF$11)),
         0)</f>
        <v>389.98</v>
      </c>
      <c r="BK157" s="352" t="n">
        <f aca="true">IF(AND($D157="Serviço",BK$12&lt;&gt;0,$H157&gt;0,OR(AUTOEVENTO&lt;&gt;"manual",$M157&lt;&gt;$A$15)),
        IF(Import.TipoArredondamento&lt;&gt;"TransfereGOV",
              ROUND(OFFSET($P157,0,BK$13),15-13*ORÇAMENTO!$AF$7)/$H157*OFFSET(ORÇAMENTO!$X$15,ROW(BK157)-ROW(BK$15),0),
              ROUND(ROUND(OFFSET($P157,0,BK$13),15-13*ORÇAMENTO!$AF$7)*OFFSET(ORÇAMENTO!$W$15,ROW(BK157)-ROW(BK$15),0),15-13*ORÇAMENTO!$AF$11)),
         0)</f>
        <v>389.98</v>
      </c>
      <c r="BL157" s="352" t="n">
        <f aca="true">IF(AND($D157="Serviço",BL$12&lt;&gt;0,$H157&gt;0,OR(AUTOEVENTO&lt;&gt;"manual",$M157&lt;&gt;$A$15)),
        IF(Import.TipoArredondamento&lt;&gt;"TransfereGOV",
              ROUND(OFFSET($P157,0,BL$13),15-13*ORÇAMENTO!$AF$7)/$H157*OFFSET(ORÇAMENTO!$X$15,ROW(BL157)-ROW(BL$15),0),
              ROUND(ROUND(OFFSET($P157,0,BL$13),15-13*ORÇAMENTO!$AF$7)*OFFSET(ORÇAMENTO!$W$15,ROW(BL157)-ROW(BL$15),0),15-13*ORÇAMENTO!$AF$11)),
         0)</f>
        <v>389.98</v>
      </c>
      <c r="BM157" s="352" t="n">
        <f aca="true">IF(AND($D157="Serviço",BM$12&lt;&gt;0,$H157&gt;0,OR(AUTOEVENTO&lt;&gt;"manual",$M157&lt;&gt;$A$15)),
        IF(Import.TipoArredondamento&lt;&gt;"TransfereGOV",
              ROUND(OFFSET($P157,0,BM$13),15-13*ORÇAMENTO!$AF$7)/$H157*OFFSET(ORÇAMENTO!$X$15,ROW(BM157)-ROW(BM$15),0),
              ROUND(ROUND(OFFSET($P157,0,BM$13),15-13*ORÇAMENTO!$AF$7)*OFFSET(ORÇAMENTO!$W$15,ROW(BM157)-ROW(BM$15),0),15-13*ORÇAMENTO!$AF$11)),
         0)</f>
        <v>389.98</v>
      </c>
      <c r="BN157" s="352" t="n">
        <f aca="true">IF(AND($D157="Serviço",BN$12&lt;&gt;0,$H157&gt;0,OR(AUTOEVENTO&lt;&gt;"manual",$M157&lt;&gt;$A$15)),
        IF(Import.TipoArredondamento&lt;&gt;"TransfereGOV",
              ROUND(OFFSET($P157,0,BN$13),15-13*ORÇAMENTO!$AF$7)/$H157*OFFSET(ORÇAMENTO!$X$15,ROW(BN157)-ROW(BN$15),0),
              ROUND(ROUND(OFFSET($P157,0,BN$13),15-13*ORÇAMENTO!$AF$7)*OFFSET(ORÇAMENTO!$W$15,ROW(BN157)-ROW(BN$15),0),15-13*ORÇAMENTO!$AF$11)),
         0)</f>
        <v>389.98</v>
      </c>
      <c r="BO157" s="352" t="n">
        <f aca="true">IF(AND($D157="Serviço",BO$12&lt;&gt;0,$H157&gt;0,OR(AUTOEVENTO&lt;&gt;"manual",$M157&lt;&gt;$A$15)),
        IF(Import.TipoArredondamento&lt;&gt;"TransfereGOV",
              ROUND(OFFSET($P157,0,BO$13),15-13*ORÇAMENTO!$AF$7)/$H157*OFFSET(ORÇAMENTO!$X$15,ROW(BO157)-ROW(BO$15),0),
              ROUND(ROUND(OFFSET($P157,0,BO$13),15-13*ORÇAMENTO!$AF$7)*OFFSET(ORÇAMENTO!$W$15,ROW(BO157)-ROW(BO$15),0),15-13*ORÇAMENTO!$AF$11)),
         0)</f>
        <v>389.98</v>
      </c>
      <c r="BP157" s="352" t="n">
        <f aca="true">IF(AND($D157="Serviço",BP$12&lt;&gt;0,$H157&gt;0,OR(AUTOEVENTO&lt;&gt;"manual",$M157&lt;&gt;$A$15)),
        IF(Import.TipoArredondamento&lt;&gt;"TransfereGOV",
              ROUND(OFFSET($P157,0,BP$13),15-13*ORÇAMENTO!$AF$7)/$H157*OFFSET(ORÇAMENTO!$X$15,ROW(BP157)-ROW(BP$15),0),
              ROUND(ROUND(OFFSET($P157,0,BP$13),15-13*ORÇAMENTO!$AF$7)*OFFSET(ORÇAMENTO!$W$15,ROW(BP157)-ROW(BP$15),0),15-13*ORÇAMENTO!$AF$11)),
         0)</f>
        <v>389.98</v>
      </c>
      <c r="BQ157" s="352" t="n">
        <f aca="true">IF(AND($D157="Serviço",BQ$12&lt;&gt;0,$H157&gt;0,OR(AUTOEVENTO&lt;&gt;"manual",$M157&lt;&gt;$A$15)),
        IF(Import.TipoArredondamento&lt;&gt;"TransfereGOV",
              ROUND(OFFSET($P157,0,BQ$13),15-13*ORÇAMENTO!$AF$7)/$H157*OFFSET(ORÇAMENTO!$X$15,ROW(BQ157)-ROW(BQ$15),0),
              ROUND(ROUND(OFFSET($P157,0,BQ$13),15-13*ORÇAMENTO!$AF$7)*OFFSET(ORÇAMENTO!$W$15,ROW(BQ157)-ROW(BQ$15),0),15-13*ORÇAMENTO!$AF$11)),
         0)</f>
        <v>0</v>
      </c>
      <c r="BS157" s="353" t="n">
        <f aca="true">IF(OR($D157&lt;&gt;"Serviço",AND(AUTOEVENTO="Manual",$M157=$A$15)),0,
         IF(OFFSET(CRONOPLE!$F$15,$M157-$A$15,BS$13)=0,10^12,OFFSET(CRONOPLE!$F$15,$M157-$A$15,BS$13)))</f>
        <v>1</v>
      </c>
      <c r="BT157" s="353" t="n">
        <f aca="true">IF(OR($D157&lt;&gt;"Serviço",AND(AUTOEVENTO="Manual",$M157=$A$15)),0,
         IF(OFFSET(CRONOPLE!$F$15,$M157-$A$15,BT$13)=0,10^12,OFFSET(CRONOPLE!$F$15,$M157-$A$15,BT$13)))</f>
        <v>2</v>
      </c>
      <c r="BU157" s="353" t="n">
        <f aca="true">IF(OR($D157&lt;&gt;"Serviço",AND(AUTOEVENTO="Manual",$M157=$A$15)),0,
         IF(OFFSET(CRONOPLE!$F$15,$M157-$A$15,BU$13)=0,10^12,OFFSET(CRONOPLE!$F$15,$M157-$A$15,BU$13)))</f>
        <v>3</v>
      </c>
      <c r="BV157" s="353" t="n">
        <f aca="true">IF(OR($D157&lt;&gt;"Serviço",AND(AUTOEVENTO="Manual",$M157=$A$15)),0,
         IF(OFFSET(CRONOPLE!$F$15,$M157-$A$15,BV$13)=0,10^12,OFFSET(CRONOPLE!$F$15,$M157-$A$15,BV$13)))</f>
        <v>4</v>
      </c>
      <c r="BW157" s="353" t="n">
        <f aca="true">IF(OR($D157&lt;&gt;"Serviço",AND(AUTOEVENTO="Manual",$M157=$A$15)),0,
         IF(OFFSET(CRONOPLE!$F$15,$M157-$A$15,BW$13)=0,10^12,OFFSET(CRONOPLE!$F$15,$M157-$A$15,BW$13)))</f>
        <v>5</v>
      </c>
      <c r="BX157" s="353" t="n">
        <f aca="true">IF(OR($D157&lt;&gt;"Serviço",AND(AUTOEVENTO="Manual",$M157=$A$15)),0,
         IF(OFFSET(CRONOPLE!$F$15,$M157-$A$15,BX$13)=0,10^12,OFFSET(CRONOPLE!$F$15,$M157-$A$15,BX$13)))</f>
        <v>6</v>
      </c>
      <c r="BY157" s="353" t="n">
        <f aca="true">IF(OR($D157&lt;&gt;"Serviço",AND(AUTOEVENTO="Manual",$M157=$A$15)),0,
         IF(OFFSET(CRONOPLE!$F$15,$M157-$A$15,BY$13)=0,10^12,OFFSET(CRONOPLE!$F$15,$M157-$A$15,BY$13)))</f>
        <v>7</v>
      </c>
      <c r="BZ157" s="353" t="n">
        <f aca="true">IF(OR($D157&lt;&gt;"Serviço",AND(AUTOEVENTO="Manual",$M157=$A$15)),0,
         IF(OFFSET(CRONOPLE!$F$15,$M157-$A$15,BZ$13)=0,10^12,OFFSET(CRONOPLE!$F$15,$M157-$A$15,BZ$13)))</f>
        <v>8</v>
      </c>
      <c r="CA157" s="353" t="n">
        <f aca="true">IF(OR($D157&lt;&gt;"Serviço",AND(AUTOEVENTO="Manual",$M157=$A$15)),0,
         IF(OFFSET(CRONOPLE!$F$15,$M157-$A$15,CA$13)=0,10^12,OFFSET(CRONOPLE!$F$15,$M157-$A$15,CA$13)))</f>
        <v>9</v>
      </c>
      <c r="CB157" s="353" t="n">
        <f aca="true">IF(OR($D157&lt;&gt;"Serviço",AND(AUTOEVENTO="Manual",$M157=$A$15)),0,
         IF(OFFSET(CRONOPLE!$F$15,$M157-$A$15,CB$13)=0,10^12,OFFSET(CRONOPLE!$F$15,$M157-$A$15,CB$13)))</f>
        <v>10</v>
      </c>
      <c r="CC157" s="353" t="n">
        <f aca="true">IF(OR($D157&lt;&gt;"Serviço",AND(AUTOEVENTO="Manual",$M157=$A$15)),0,
         IF(OFFSET(CRONOPLE!$F$15,$M157-$A$15,CC$13)=0,10^12,OFFSET(CRONOPLE!$F$15,$M157-$A$15,CC$13)))</f>
        <v>11</v>
      </c>
      <c r="CD157" s="353" t="n">
        <f aca="true">IF(OR($D157&lt;&gt;"Serviço",AND(AUTOEVENTO="Manual",$M157=$A$15)),0,
         IF(OFFSET(CRONOPLE!$F$15,$M157-$A$15,CD$13)=0,10^12,OFFSET(CRONOPLE!$F$15,$M157-$A$15,CD$13)))</f>
        <v>12</v>
      </c>
      <c r="CE157" s="353" t="n">
        <f aca="true">IF(OR($D157&lt;&gt;"Serviço",AND(AUTOEVENTO="Manual",$M157=$A$15)),0,
         IF(OFFSET(CRONOPLE!$F$15,$M157-$A$15,CE$13)=0,10^12,OFFSET(CRONOPLE!$F$15,$M157-$A$15,CE$13)))</f>
        <v>13</v>
      </c>
      <c r="CF157" s="353" t="n">
        <f aca="true">IF(OR($D157&lt;&gt;"Serviço",AND(AUTOEVENTO="Manual",$M157=$A$15)),0,
         IF(OFFSET(CRONOPLE!$F$15,$M157-$A$15,CF$13)=0,10^12,OFFSET(CRONOPLE!$F$15,$M157-$A$15,CF$13)))</f>
        <v>14</v>
      </c>
      <c r="CG157" s="353" t="n">
        <f aca="true">IF(OR($D157&lt;&gt;"Serviço",AND(AUTOEVENTO="Manual",$M157=$A$15)),0,
         IF(OFFSET(CRONOPLE!$F$15,$M157-$A$15,CG$13)=0,10^12,OFFSET(CRONOPLE!$F$15,$M157-$A$15,CG$13)))</f>
        <v>15</v>
      </c>
      <c r="CH157" s="353" t="n">
        <f aca="true">IF(OR($D157&lt;&gt;"Serviço",AND(AUTOEVENTO="Manual",$M157=$A$15)),0,
         IF(OFFSET(CRONOPLE!$F$15,$M157-$A$15,CH$13)=0,10^12,OFFSET(CRONOPLE!$F$15,$M157-$A$15,CH$13)))</f>
        <v>16</v>
      </c>
      <c r="CI157" s="353" t="n">
        <f aca="true">IF(OR($D157&lt;&gt;"Serviço",AND(AUTOEVENTO="Manual",$M157=$A$15)),0,
         IF(OFFSET(CRONOPLE!$F$15,$M157-$A$15,CI$13)=0,10^12,OFFSET(CRONOPLE!$F$15,$M157-$A$15,CI$13)))</f>
        <v>17</v>
      </c>
      <c r="CJ157" s="353" t="n">
        <f aca="true">IF(OR($D157&lt;&gt;"Serviço",AND(AUTOEVENTO="Manual",$M157=$A$15)),0,
         IF(OFFSET(CRONOPLE!$F$15,$M157-$A$15,CJ$13)=0,10^12,OFFSET(CRONOPLE!$F$15,$M157-$A$15,CJ$13)))</f>
        <v>18</v>
      </c>
      <c r="CK157" s="353" t="n">
        <f aca="true">IF(OR($D157&lt;&gt;"Serviço",AND(AUTOEVENTO="Manual",$M157=$A$15)),0,
         IF(OFFSET(CRONOPLE!$F$15,$M157-$A$15,CK$13)=0,10^12,OFFSET(CRONOPLE!$F$15,$M157-$A$15,CK$13)))</f>
        <v>19</v>
      </c>
      <c r="CL157" s="353" t="n">
        <f aca="true">IF(OR($D157&lt;&gt;"Serviço",AND(AUTOEVENTO="Manual",$M157=$A$15)),0,
         IF(OFFSET(CRONOPLE!$F$15,$M157-$A$15,CL$13)=0,10^12,OFFSET(CRONOPLE!$F$15,$M157-$A$15,CL$13)))</f>
        <v>20</v>
      </c>
      <c r="CM157" s="353" t="n">
        <f aca="true">IF(OR($D157&lt;&gt;"Serviço",AND(AUTOEVENTO="Manual",$M157=$A$15)),0,
         IF(OFFSET(CRONOPLE!$F$15,$M157-$A$15,CM$13)=0,10^12,OFFSET(CRONOPLE!$F$15,$M157-$A$15,CM$13)))</f>
        <v>21</v>
      </c>
      <c r="CN157" s="353" t="n">
        <f aca="true">IF(OR($D157&lt;&gt;"Serviço",AND(AUTOEVENTO="Manual",$M157=$A$15)),0,
         IF(OFFSET(CRONOPLE!$F$15,$M157-$A$15,CN$13)=0,10^12,OFFSET(CRONOPLE!$F$15,$M157-$A$15,CN$13)))</f>
        <v>22</v>
      </c>
      <c r="CO157" s="353" t="n">
        <f aca="true">IF(OR($D157&lt;&gt;"Serviço",AND(AUTOEVENTO="Manual",$M157=$A$15)),0,
         IF(OFFSET(CRONOPLE!$F$15,$M157-$A$15,CO$13)=0,10^12,OFFSET(CRONOPLE!$F$15,$M157-$A$15,CO$13)))</f>
        <v>23</v>
      </c>
      <c r="CP157" s="353" t="n">
        <f aca="true">IF(OR($D157&lt;&gt;"Serviço",AND(AUTOEVENTO="Manual",$M157=$A$15)),0,
         IF(OFFSET(CRONOPLE!$F$15,$M157-$A$15,CP$13)=0,10^12,OFFSET(CRONOPLE!$F$15,$M157-$A$15,CP$13)))</f>
        <v>24</v>
      </c>
      <c r="CQ157" s="353" t="n">
        <f aca="true">IF(OR($D157&lt;&gt;"Serviço",AND(AUTOEVENTO="Manual",$M157=$A$15)),0,
         IF(OFFSET(CRONOPLE!$F$15,$M157-$A$15,CQ$13)=0,10^12,OFFSET(CRONOPLE!$F$15,$M157-$A$15,CQ$13)))</f>
        <v>25</v>
      </c>
      <c r="CR157" s="353" t="n">
        <f aca="true">IF(OR($D157&lt;&gt;"Serviço",AND(AUTOEVENTO="Manual",$M157=$A$15)),0,
         IF(OFFSET(CRONOPLE!$F$15,$M157-$A$15,CR$13)=0,10^12,OFFSET(CRONOPLE!$F$15,$M157-$A$15,CR$13)))</f>
        <v>1000000000000</v>
      </c>
      <c r="CT157" s="354" t="n">
        <f aca="true">IF(OR($D157&lt;&gt;"Serviço",AND(AUTOEVENTO="Manual",$M157=$A$15),$M157&gt;(ROW(PLE.lastrow)-ROW(PLE.firstrow))),0,
           IF(OFFSET(PLE!$G$15,$M157-$A$15,CT$13)="",10^12,OFFSET(PLE!$G$15,$M157-$A$15,CT$13)))</f>
        <v>1000000000000</v>
      </c>
      <c r="CU157" s="354" t="n">
        <f aca="true">IF(OR($D157&lt;&gt;"Serviço",AND(AUTOEVENTO="Manual",$M157=$A$15),$M157&gt;(ROW(PLE.lastrow)-ROW(PLE.firstrow))),0,
           IF(OFFSET(PLE!$G$15,$M157-$A$15,CU$13)="",10^12,OFFSET(PLE!$G$15,$M157-$A$15,CU$13)))</f>
        <v>1000000000000</v>
      </c>
      <c r="CV157" s="354" t="n">
        <f aca="true">IF(OR($D157&lt;&gt;"Serviço",AND(AUTOEVENTO="Manual",$M157=$A$15),$M157&gt;(ROW(PLE.lastrow)-ROW(PLE.firstrow))),0,
           IF(OFFSET(PLE!$G$15,$M157-$A$15,CV$13)="",10^12,OFFSET(PLE!$G$15,$M157-$A$15,CV$13)))</f>
        <v>1000000000000</v>
      </c>
      <c r="CW157" s="354" t="n">
        <f aca="true">IF(OR($D157&lt;&gt;"Serviço",AND(AUTOEVENTO="Manual",$M157=$A$15),$M157&gt;(ROW(PLE.lastrow)-ROW(PLE.firstrow))),0,
           IF(OFFSET(PLE!$G$15,$M157-$A$15,CW$13)="",10^12,OFFSET(PLE!$G$15,$M157-$A$15,CW$13)))</f>
        <v>1000000000000</v>
      </c>
      <c r="CX157" s="354" t="n">
        <f aca="true">IF(OR($D157&lt;&gt;"Serviço",AND(AUTOEVENTO="Manual",$M157=$A$15),$M157&gt;(ROW(PLE.lastrow)-ROW(PLE.firstrow))),0,
           IF(OFFSET(PLE!$G$15,$M157-$A$15,CX$13)="",10^12,OFFSET(PLE!$G$15,$M157-$A$15,CX$13)))</f>
        <v>1000000000000</v>
      </c>
      <c r="CY157" s="354" t="n">
        <f aca="true">IF(OR($D157&lt;&gt;"Serviço",AND(AUTOEVENTO="Manual",$M157=$A$15),$M157&gt;(ROW(PLE.lastrow)-ROW(PLE.firstrow))),0,
           IF(OFFSET(PLE!$G$15,$M157-$A$15,CY$13)="",10^12,OFFSET(PLE!$G$15,$M157-$A$15,CY$13)))</f>
        <v>1000000000000</v>
      </c>
      <c r="CZ157" s="354" t="n">
        <f aca="true">IF(OR($D157&lt;&gt;"Serviço",AND(AUTOEVENTO="Manual",$M157=$A$15),$M157&gt;(ROW(PLE.lastrow)-ROW(PLE.firstrow))),0,
           IF(OFFSET(PLE!$G$15,$M157-$A$15,CZ$13)="",10^12,OFFSET(PLE!$G$15,$M157-$A$15,CZ$13)))</f>
        <v>1000000000000</v>
      </c>
      <c r="DA157" s="354" t="n">
        <f aca="true">IF(OR($D157&lt;&gt;"Serviço",AND(AUTOEVENTO="Manual",$M157=$A$15),$M157&gt;(ROW(PLE.lastrow)-ROW(PLE.firstrow))),0,
           IF(OFFSET(PLE!$G$15,$M157-$A$15,DA$13)="",10^12,OFFSET(PLE!$G$15,$M157-$A$15,DA$13)))</f>
        <v>1000000000000</v>
      </c>
      <c r="DB157" s="354" t="n">
        <f aca="true">IF(OR($D157&lt;&gt;"Serviço",AND(AUTOEVENTO="Manual",$M157=$A$15),$M157&gt;(ROW(PLE.lastrow)-ROW(PLE.firstrow))),0,
           IF(OFFSET(PLE!$G$15,$M157-$A$15,DB$13)="",10^12,OFFSET(PLE!$G$15,$M157-$A$15,DB$13)))</f>
        <v>1000000000000</v>
      </c>
      <c r="DC157" s="354" t="n">
        <f aca="true">IF(OR($D157&lt;&gt;"Serviço",AND(AUTOEVENTO="Manual",$M157=$A$15),$M157&gt;(ROW(PLE.lastrow)-ROW(PLE.firstrow))),0,
           IF(OFFSET(PLE!$G$15,$M157-$A$15,DC$13)="",10^12,OFFSET(PLE!$G$15,$M157-$A$15,DC$13)))</f>
        <v>1000000000000</v>
      </c>
      <c r="DD157" s="354" t="n">
        <f aca="true">IF(OR($D157&lt;&gt;"Serviço",AND(AUTOEVENTO="Manual",$M157=$A$15),$M157&gt;(ROW(PLE.lastrow)-ROW(PLE.firstrow))),0,
           IF(OFFSET(PLE!$G$15,$M157-$A$15,DD$13)="",10^12,OFFSET(PLE!$G$15,$M157-$A$15,DD$13)))</f>
        <v>1000000000000</v>
      </c>
      <c r="DE157" s="354" t="n">
        <f aca="true">IF(OR($D157&lt;&gt;"Serviço",AND(AUTOEVENTO="Manual",$M157=$A$15),$M157&gt;(ROW(PLE.lastrow)-ROW(PLE.firstrow))),0,
           IF(OFFSET(PLE!$G$15,$M157-$A$15,DE$13)="",10^12,OFFSET(PLE!$G$15,$M157-$A$15,DE$13)))</f>
        <v>1000000000000</v>
      </c>
      <c r="DF157" s="354" t="n">
        <f aca="true">IF(OR($D157&lt;&gt;"Serviço",AND(AUTOEVENTO="Manual",$M157=$A$15),$M157&gt;(ROW(PLE.lastrow)-ROW(PLE.firstrow))),0,
           IF(OFFSET(PLE!$G$15,$M157-$A$15,DF$13)="",10^12,OFFSET(PLE!$G$15,$M157-$A$15,DF$13)))</f>
        <v>1000000000000</v>
      </c>
      <c r="DG157" s="354" t="n">
        <f aca="true">IF(OR($D157&lt;&gt;"Serviço",AND(AUTOEVENTO="Manual",$M157=$A$15),$M157&gt;(ROW(PLE.lastrow)-ROW(PLE.firstrow))),0,
           IF(OFFSET(PLE!$G$15,$M157-$A$15,DG$13)="",10^12,OFFSET(PLE!$G$15,$M157-$A$15,DG$13)))</f>
        <v>1000000000000</v>
      </c>
      <c r="DH157" s="354" t="n">
        <f aca="true">IF(OR($D157&lt;&gt;"Serviço",AND(AUTOEVENTO="Manual",$M157=$A$15),$M157&gt;(ROW(PLE.lastrow)-ROW(PLE.firstrow))),0,
           IF(OFFSET(PLE!$G$15,$M157-$A$15,DH$13)="",10^12,OFFSET(PLE!$G$15,$M157-$A$15,DH$13)))</f>
        <v>1000000000000</v>
      </c>
      <c r="DI157" s="354" t="n">
        <f aca="true">IF(OR($D157&lt;&gt;"Serviço",AND(AUTOEVENTO="Manual",$M157=$A$15),$M157&gt;(ROW(PLE.lastrow)-ROW(PLE.firstrow))),0,
           IF(OFFSET(PLE!$G$15,$M157-$A$15,DI$13)="",10^12,OFFSET(PLE!$G$15,$M157-$A$15,DI$13)))</f>
        <v>1000000000000</v>
      </c>
      <c r="DJ157" s="354" t="n">
        <f aca="true">IF(OR($D157&lt;&gt;"Serviço",AND(AUTOEVENTO="Manual",$M157=$A$15),$M157&gt;(ROW(PLE.lastrow)-ROW(PLE.firstrow))),0,
           IF(OFFSET(PLE!$G$15,$M157-$A$15,DJ$13)="",10^12,OFFSET(PLE!$G$15,$M157-$A$15,DJ$13)))</f>
        <v>1000000000000</v>
      </c>
      <c r="DK157" s="354" t="n">
        <f aca="true">IF(OR($D157&lt;&gt;"Serviço",AND(AUTOEVENTO="Manual",$M157=$A$15),$M157&gt;(ROW(PLE.lastrow)-ROW(PLE.firstrow))),0,
           IF(OFFSET(PLE!$G$15,$M157-$A$15,DK$13)="",10^12,OFFSET(PLE!$G$15,$M157-$A$15,DK$13)))</f>
        <v>1000000000000</v>
      </c>
      <c r="DL157" s="354" t="n">
        <f aca="true">IF(OR($D157&lt;&gt;"Serviço",AND(AUTOEVENTO="Manual",$M157=$A$15),$M157&gt;(ROW(PLE.lastrow)-ROW(PLE.firstrow))),0,
           IF(OFFSET(PLE!$G$15,$M157-$A$15,DL$13)="",10^12,OFFSET(PLE!$G$15,$M157-$A$15,DL$13)))</f>
        <v>1000000000000</v>
      </c>
      <c r="DM157" s="354" t="n">
        <f aca="true">IF(OR($D157&lt;&gt;"Serviço",AND(AUTOEVENTO="Manual",$M157=$A$15),$M157&gt;(ROW(PLE.lastrow)-ROW(PLE.firstrow))),0,
           IF(OFFSET(PLE!$G$15,$M157-$A$15,DM$13)="",10^12,OFFSET(PLE!$G$15,$M157-$A$15,DM$13)))</f>
        <v>1000000000000</v>
      </c>
      <c r="DN157" s="354" t="n">
        <f aca="true">IF(OR($D157&lt;&gt;"Serviço",AND(AUTOEVENTO="Manual",$M157=$A$15),$M157&gt;(ROW(PLE.lastrow)-ROW(PLE.firstrow))),0,
           IF(OFFSET(PLE!$G$15,$M157-$A$15,DN$13)="",10^12,OFFSET(PLE!$G$15,$M157-$A$15,DN$13)))</f>
        <v>1000000000000</v>
      </c>
      <c r="DO157" s="354" t="n">
        <f aca="true">IF(OR($D157&lt;&gt;"Serviço",AND(AUTOEVENTO="Manual",$M157=$A$15),$M157&gt;(ROW(PLE.lastrow)-ROW(PLE.firstrow))),0,
           IF(OFFSET(PLE!$G$15,$M157-$A$15,DO$13)="",10^12,OFFSET(PLE!$G$15,$M157-$A$15,DO$13)))</f>
        <v>1000000000000</v>
      </c>
      <c r="DP157" s="354" t="n">
        <f aca="true">IF(OR($D157&lt;&gt;"Serviço",AND(AUTOEVENTO="Manual",$M157=$A$15),$M157&gt;(ROW(PLE.lastrow)-ROW(PLE.firstrow))),0,
           IF(OFFSET(PLE!$G$15,$M157-$A$15,DP$13)="",10^12,OFFSET(PLE!$G$15,$M157-$A$15,DP$13)))</f>
        <v>1000000000000</v>
      </c>
      <c r="DQ157" s="354" t="n">
        <f aca="true">IF(OR($D157&lt;&gt;"Serviço",AND(AUTOEVENTO="Manual",$M157=$A$15),$M157&gt;(ROW(PLE.lastrow)-ROW(PLE.firstrow))),0,
           IF(OFFSET(PLE!$G$15,$M157-$A$15,DQ$13)="",10^12,OFFSET(PLE!$G$15,$M157-$A$15,DQ$13)))</f>
        <v>1000000000000</v>
      </c>
      <c r="DR157" s="354" t="n">
        <f aca="true">IF(OR($D157&lt;&gt;"Serviço",AND(AUTOEVENTO="Manual",$M157=$A$15),$M157&gt;(ROW(PLE.lastrow)-ROW(PLE.firstrow))),0,
           IF(OFFSET(PLE!$G$15,$M157-$A$15,DR$13)="",10^12,OFFSET(PLE!$G$15,$M157-$A$15,DR$13)))</f>
        <v>1000000000000</v>
      </c>
      <c r="DS157" s="354" t="n">
        <f aca="true">IF(OR($D157&lt;&gt;"Serviço",AND(AUTOEVENTO="Manual",$M157=$A$15),$M157&gt;(ROW(PLE.lastrow)-ROW(PLE.firstrow))),0,
           IF(OFFSET(PLE!$G$15,$M157-$A$15,DS$13)="",10^12,OFFSET(PLE!$G$15,$M157-$A$15,DS$13)))</f>
        <v>1000000000000</v>
      </c>
    </row>
    <row r="158" customFormat="false" ht="23.85" hidden="false" customHeight="false" outlineLevel="0" collapsed="false">
      <c r="A158" s="50" t="str">
        <f aca="true">IFERROR(IF(AUTOEVENTO="Manual",IF(K158&lt;&gt;"",MIN(VALUE(LEFT(K158,FIND(".",K158)-1)),COUNTA(EVENTOS.Lista)),0),IF(OR($B158&gt;AUTOEVENTO,$B158="S",$B158=0),SUBSTITUTE(OFFSET($A158,-1,0),IF($D158="Serviço",".",""),""),ROW(A158)-ROW($A$15)&amp;".")),0)</f>
        <v>141</v>
      </c>
      <c r="B158" s="50" t="str">
        <f aca="true">OFFSET(ORÇAMENTO!C$15,ROW(B158)-ROW(B$15),0)</f>
        <v>S</v>
      </c>
      <c r="C158" s="50" t="str">
        <f aca="true">OFFSET(ORÇAMENTO!L$15,ROW(C158)-ROW(C$15),0)</f>
        <v>F</v>
      </c>
      <c r="D158" s="201" t="str">
        <f aca="true">OFFSET(ORÇAMENTO!N$15,ROW(D158)-ROW(D$15),0)</f>
        <v>Serviço</v>
      </c>
      <c r="E158" s="202" t="str">
        <f aca="true">OFFSET(ORÇAMENTO!O$15,ROW(E158)-ROW(E$15),0)</f>
        <v>1.43.2.</v>
      </c>
      <c r="F158" s="341" t="str">
        <f aca="true">OFFSET(ORÇAMENTO!R$15,ROW(F158)-ROW(F$15),0)</f>
        <v>FURO EM CAIXA D'ÁGUA COM ESPESSURA DE 2 ATÉ 5 MM E DIÂMETRO DE 25 MM. AF_06/2021</v>
      </c>
      <c r="G158" s="342" t="str">
        <f aca="true">IF($D158&lt;&gt;"Serviço","",OFFSET(ORÇAMENTO!S$15,ROW(G158)-ROW(G$15),0))</f>
        <v>UN</v>
      </c>
      <c r="H158" s="207" t="n">
        <f aca="true">IF($D158&lt;&gt;"Serviço",0,IF(ACOMPANHAMENTO="BM",ROUND(OFFSET(ORÇAMENTO!AJ$15,ROW(H158)-ROW(H$15),0),15-13*ORÇAMENTO!$AF$7),SUMPRODUCT(($Q$1:$AQ$1=1)*ROUND($Q158:$AQ158,15-13*ORÇAMENTO!$AF$7))))</f>
        <v>25</v>
      </c>
      <c r="I158" s="343" t="s">
        <v>969</v>
      </c>
      <c r="J158" s="344" t="e">
        <f aca="false">IF(OR(B158&lt;&gt;"S",CÁLCULO.FrentesPreenchidas=0),"",IF(AND(ACOMPANHAMENTO="PLE",AUTOEVENTO="Manual",OR(H158&gt;0,ORÇAMENTO!AC158="QUANT."),OR(K158="",M158=0,N158="")),"►",IF(AND(ACOMPANHAMENTO="PLE",ORÇAMENTO!AC158="QUANT."),"►►",IF(AND(COUNTIF($P$11:$AQ$11,"▼")=0,H158&gt;0,I158=""),"◄",""))))</f>
        <v>#NAME?</v>
      </c>
      <c r="K158" s="345"/>
      <c r="L158" s="346" t="s">
        <v>876</v>
      </c>
      <c r="M158" s="347" t="n">
        <f aca="true">IF($D158&lt;&gt;"Serviço","",
          IF(AUTOEVENTO="manual",$A158,
                IF(ISERROR(MATCH($A158,$A$15:OFFSET($A158,-1,0),0)),MAX($M$15:OFFSET(M158,-1,0))+1,
                      INDEX($M$15:OFFSET(M158,-1,0),MATCH($A158,$A$15:OFFSET($A158,-1,0),0)))))</f>
        <v>27</v>
      </c>
      <c r="N158" s="348" t="str">
        <f aca="true">IF($D158&lt;&gt;"Serviço","",
         IF(AUTOEVENTO="Manual",
                IF($A158=0,"&lt;-- defina o número do agrupador",
                       OFFSET(EVENTOS!$D$15,$A158-$A$15,0)),
                OFFSET($F$15,$A158,0)))</f>
        <v>CAIXA D'ÁGUA E BARRILETE</v>
      </c>
      <c r="O158" s="349"/>
      <c r="Q158" s="349" t="n">
        <v>1</v>
      </c>
      <c r="R158" s="350" t="n">
        <f aca="false">Q158</f>
        <v>1</v>
      </c>
      <c r="S158" s="350" t="n">
        <f aca="false">R158</f>
        <v>1</v>
      </c>
      <c r="T158" s="350" t="n">
        <f aca="false">S158</f>
        <v>1</v>
      </c>
      <c r="U158" s="350" t="n">
        <f aca="false">T158</f>
        <v>1</v>
      </c>
      <c r="V158" s="350" t="n">
        <f aca="false">U158</f>
        <v>1</v>
      </c>
      <c r="W158" s="350" t="n">
        <f aca="false">V158</f>
        <v>1</v>
      </c>
      <c r="X158" s="350" t="n">
        <f aca="false">W158</f>
        <v>1</v>
      </c>
      <c r="Y158" s="350" t="n">
        <f aca="false">X158</f>
        <v>1</v>
      </c>
      <c r="Z158" s="351" t="n">
        <f aca="false">Y158</f>
        <v>1</v>
      </c>
      <c r="AA158" s="350" t="n">
        <f aca="false">Z158</f>
        <v>1</v>
      </c>
      <c r="AB158" s="350" t="n">
        <f aca="false">AA158</f>
        <v>1</v>
      </c>
      <c r="AC158" s="350" t="n">
        <f aca="false">AB158</f>
        <v>1</v>
      </c>
      <c r="AD158" s="350" t="n">
        <f aca="false">AC158</f>
        <v>1</v>
      </c>
      <c r="AE158" s="350" t="n">
        <f aca="false">AD158</f>
        <v>1</v>
      </c>
      <c r="AF158" s="350" t="n">
        <f aca="false">AE158</f>
        <v>1</v>
      </c>
      <c r="AG158" s="350" t="n">
        <f aca="false">AF158</f>
        <v>1</v>
      </c>
      <c r="AH158" s="351" t="n">
        <f aca="false">AG158</f>
        <v>1</v>
      </c>
      <c r="AI158" s="350" t="n">
        <f aca="false">AH158</f>
        <v>1</v>
      </c>
      <c r="AJ158" s="350" t="n">
        <f aca="false">AI158</f>
        <v>1</v>
      </c>
      <c r="AK158" s="350" t="n">
        <f aca="false">AJ158</f>
        <v>1</v>
      </c>
      <c r="AL158" s="350" t="n">
        <f aca="false">AK158</f>
        <v>1</v>
      </c>
      <c r="AM158" s="350" t="n">
        <f aca="false">AL158</f>
        <v>1</v>
      </c>
      <c r="AN158" s="350" t="n">
        <f aca="false">AM158</f>
        <v>1</v>
      </c>
      <c r="AO158" s="350" t="n">
        <f aca="false">AN158</f>
        <v>1</v>
      </c>
      <c r="AP158" s="351"/>
      <c r="AR158" s="352" t="n">
        <f aca="true">IF(AND($D158="Serviço",AR$12&lt;&gt;0,$H158&gt;0,OR(AUTOEVENTO&lt;&gt;"manual",$M158&lt;&gt;$A$15)),
        IF(Import.TipoArredondamento&lt;&gt;"TransfereGOV",
              ROUND(OFFSET($P158,0,AR$13),15-13*ORÇAMENTO!$AF$7)/$H158*OFFSET(ORÇAMENTO!$X$15,ROW(AR158)-ROW(AR$15),0),
              ROUND(ROUND(OFFSET($P158,0,AR$13),15-13*ORÇAMENTO!$AF$7)*OFFSET(ORÇAMENTO!$W$15,ROW(AR158)-ROW(AR$15),0),15-13*ORÇAMENTO!$AF$11)),
         0)</f>
        <v>5.55</v>
      </c>
      <c r="AS158" s="352" t="n">
        <f aca="true">IF(AND($D158="Serviço",AS$12&lt;&gt;0,$H158&gt;0,OR(AUTOEVENTO&lt;&gt;"manual",$M158&lt;&gt;$A$15)),
        IF(Import.TipoArredondamento&lt;&gt;"TransfereGOV",
              ROUND(OFFSET($P158,0,AS$13),15-13*ORÇAMENTO!$AF$7)/$H158*OFFSET(ORÇAMENTO!$X$15,ROW(AS158)-ROW(AS$15),0),
              ROUND(ROUND(OFFSET($P158,0,AS$13),15-13*ORÇAMENTO!$AF$7)*OFFSET(ORÇAMENTO!$W$15,ROW(AS158)-ROW(AS$15),0),15-13*ORÇAMENTO!$AF$11)),
         0)</f>
        <v>5.55</v>
      </c>
      <c r="AT158" s="352" t="n">
        <f aca="true">IF(AND($D158="Serviço",AT$12&lt;&gt;0,$H158&gt;0,OR(AUTOEVENTO&lt;&gt;"manual",$M158&lt;&gt;$A$15)),
        IF(Import.TipoArredondamento&lt;&gt;"TransfereGOV",
              ROUND(OFFSET($P158,0,AT$13),15-13*ORÇAMENTO!$AF$7)/$H158*OFFSET(ORÇAMENTO!$X$15,ROW(AT158)-ROW(AT$15),0),
              ROUND(ROUND(OFFSET($P158,0,AT$13),15-13*ORÇAMENTO!$AF$7)*OFFSET(ORÇAMENTO!$W$15,ROW(AT158)-ROW(AT$15),0),15-13*ORÇAMENTO!$AF$11)),
         0)</f>
        <v>5.55</v>
      </c>
      <c r="AU158" s="352" t="n">
        <f aca="true">IF(AND($D158="Serviço",AU$12&lt;&gt;0,$H158&gt;0,OR(AUTOEVENTO&lt;&gt;"manual",$M158&lt;&gt;$A$15)),
        IF(Import.TipoArredondamento&lt;&gt;"TransfereGOV",
              ROUND(OFFSET($P158,0,AU$13),15-13*ORÇAMENTO!$AF$7)/$H158*OFFSET(ORÇAMENTO!$X$15,ROW(AU158)-ROW(AU$15),0),
              ROUND(ROUND(OFFSET($P158,0,AU$13),15-13*ORÇAMENTO!$AF$7)*OFFSET(ORÇAMENTO!$W$15,ROW(AU158)-ROW(AU$15),0),15-13*ORÇAMENTO!$AF$11)),
         0)</f>
        <v>5.55</v>
      </c>
      <c r="AV158" s="352" t="n">
        <f aca="true">IF(AND($D158="Serviço",AV$12&lt;&gt;0,$H158&gt;0,OR(AUTOEVENTO&lt;&gt;"manual",$M158&lt;&gt;$A$15)),
        IF(Import.TipoArredondamento&lt;&gt;"TransfereGOV",
              ROUND(OFFSET($P158,0,AV$13),15-13*ORÇAMENTO!$AF$7)/$H158*OFFSET(ORÇAMENTO!$X$15,ROW(AV158)-ROW(AV$15),0),
              ROUND(ROUND(OFFSET($P158,0,AV$13),15-13*ORÇAMENTO!$AF$7)*OFFSET(ORÇAMENTO!$W$15,ROW(AV158)-ROW(AV$15),0),15-13*ORÇAMENTO!$AF$11)),
         0)</f>
        <v>5.55</v>
      </c>
      <c r="AW158" s="352" t="n">
        <f aca="true">IF(AND($D158="Serviço",AW$12&lt;&gt;0,$H158&gt;0,OR(AUTOEVENTO&lt;&gt;"manual",$M158&lt;&gt;$A$15)),
        IF(Import.TipoArredondamento&lt;&gt;"TransfereGOV",
              ROUND(OFFSET($P158,0,AW$13),15-13*ORÇAMENTO!$AF$7)/$H158*OFFSET(ORÇAMENTO!$X$15,ROW(AW158)-ROW(AW$15),0),
              ROUND(ROUND(OFFSET($P158,0,AW$13),15-13*ORÇAMENTO!$AF$7)*OFFSET(ORÇAMENTO!$W$15,ROW(AW158)-ROW(AW$15),0),15-13*ORÇAMENTO!$AF$11)),
         0)</f>
        <v>5.55</v>
      </c>
      <c r="AX158" s="352" t="n">
        <f aca="true">IF(AND($D158="Serviço",AX$12&lt;&gt;0,$H158&gt;0,OR(AUTOEVENTO&lt;&gt;"manual",$M158&lt;&gt;$A$15)),
        IF(Import.TipoArredondamento&lt;&gt;"TransfereGOV",
              ROUND(OFFSET($P158,0,AX$13),15-13*ORÇAMENTO!$AF$7)/$H158*OFFSET(ORÇAMENTO!$X$15,ROW(AX158)-ROW(AX$15),0),
              ROUND(ROUND(OFFSET($P158,0,AX$13),15-13*ORÇAMENTO!$AF$7)*OFFSET(ORÇAMENTO!$W$15,ROW(AX158)-ROW(AX$15),0),15-13*ORÇAMENTO!$AF$11)),
         0)</f>
        <v>5.55</v>
      </c>
      <c r="AY158" s="352" t="n">
        <f aca="true">IF(AND($D158="Serviço",AY$12&lt;&gt;0,$H158&gt;0,OR(AUTOEVENTO&lt;&gt;"manual",$M158&lt;&gt;$A$15)),
        IF(Import.TipoArredondamento&lt;&gt;"TransfereGOV",
              ROUND(OFFSET($P158,0,AY$13),15-13*ORÇAMENTO!$AF$7)/$H158*OFFSET(ORÇAMENTO!$X$15,ROW(AY158)-ROW(AY$15),0),
              ROUND(ROUND(OFFSET($P158,0,AY$13),15-13*ORÇAMENTO!$AF$7)*OFFSET(ORÇAMENTO!$W$15,ROW(AY158)-ROW(AY$15),0),15-13*ORÇAMENTO!$AF$11)),
         0)</f>
        <v>5.55</v>
      </c>
      <c r="AZ158" s="352" t="n">
        <f aca="true">IF(AND($D158="Serviço",AZ$12&lt;&gt;0,$H158&gt;0,OR(AUTOEVENTO&lt;&gt;"manual",$M158&lt;&gt;$A$15)),
        IF(Import.TipoArredondamento&lt;&gt;"TransfereGOV",
              ROUND(OFFSET($P158,0,AZ$13),15-13*ORÇAMENTO!$AF$7)/$H158*OFFSET(ORÇAMENTO!$X$15,ROW(AZ158)-ROW(AZ$15),0),
              ROUND(ROUND(OFFSET($P158,0,AZ$13),15-13*ORÇAMENTO!$AF$7)*OFFSET(ORÇAMENTO!$W$15,ROW(AZ158)-ROW(AZ$15),0),15-13*ORÇAMENTO!$AF$11)),
         0)</f>
        <v>5.55</v>
      </c>
      <c r="BA158" s="352" t="n">
        <f aca="true">IF(AND($D158="Serviço",BA$12&lt;&gt;0,$H158&gt;0,OR(AUTOEVENTO&lt;&gt;"manual",$M158&lt;&gt;$A$15)),
        IF(Import.TipoArredondamento&lt;&gt;"TransfereGOV",
              ROUND(OFFSET($P158,0,BA$13),15-13*ORÇAMENTO!$AF$7)/$H158*OFFSET(ORÇAMENTO!$X$15,ROW(BA158)-ROW(BA$15),0),
              ROUND(ROUND(OFFSET($P158,0,BA$13),15-13*ORÇAMENTO!$AF$7)*OFFSET(ORÇAMENTO!$W$15,ROW(BA158)-ROW(BA$15),0),15-13*ORÇAMENTO!$AF$11)),
         0)</f>
        <v>5.55</v>
      </c>
      <c r="BB158" s="352" t="n">
        <f aca="true">IF(AND($D158="Serviço",BB$12&lt;&gt;0,$H158&gt;0,OR(AUTOEVENTO&lt;&gt;"manual",$M158&lt;&gt;$A$15)),
        IF(Import.TipoArredondamento&lt;&gt;"TransfereGOV",
              ROUND(OFFSET($P158,0,BB$13),15-13*ORÇAMENTO!$AF$7)/$H158*OFFSET(ORÇAMENTO!$X$15,ROW(BB158)-ROW(BB$15),0),
              ROUND(ROUND(OFFSET($P158,0,BB$13),15-13*ORÇAMENTO!$AF$7)*OFFSET(ORÇAMENTO!$W$15,ROW(BB158)-ROW(BB$15),0),15-13*ORÇAMENTO!$AF$11)),
         0)</f>
        <v>5.55</v>
      </c>
      <c r="BC158" s="352" t="n">
        <f aca="true">IF(AND($D158="Serviço",BC$12&lt;&gt;0,$H158&gt;0,OR(AUTOEVENTO&lt;&gt;"manual",$M158&lt;&gt;$A$15)),
        IF(Import.TipoArredondamento&lt;&gt;"TransfereGOV",
              ROUND(OFFSET($P158,0,BC$13),15-13*ORÇAMENTO!$AF$7)/$H158*OFFSET(ORÇAMENTO!$X$15,ROW(BC158)-ROW(BC$15),0),
              ROUND(ROUND(OFFSET($P158,0,BC$13),15-13*ORÇAMENTO!$AF$7)*OFFSET(ORÇAMENTO!$W$15,ROW(BC158)-ROW(BC$15),0),15-13*ORÇAMENTO!$AF$11)),
         0)</f>
        <v>5.55</v>
      </c>
      <c r="BD158" s="352" t="n">
        <f aca="true">IF(AND($D158="Serviço",BD$12&lt;&gt;0,$H158&gt;0,OR(AUTOEVENTO&lt;&gt;"manual",$M158&lt;&gt;$A$15)),
        IF(Import.TipoArredondamento&lt;&gt;"TransfereGOV",
              ROUND(OFFSET($P158,0,BD$13),15-13*ORÇAMENTO!$AF$7)/$H158*OFFSET(ORÇAMENTO!$X$15,ROW(BD158)-ROW(BD$15),0),
              ROUND(ROUND(OFFSET($P158,0,BD$13),15-13*ORÇAMENTO!$AF$7)*OFFSET(ORÇAMENTO!$W$15,ROW(BD158)-ROW(BD$15),0),15-13*ORÇAMENTO!$AF$11)),
         0)</f>
        <v>5.55</v>
      </c>
      <c r="BE158" s="352" t="n">
        <f aca="true">IF(AND($D158="Serviço",BE$12&lt;&gt;0,$H158&gt;0,OR(AUTOEVENTO&lt;&gt;"manual",$M158&lt;&gt;$A$15)),
        IF(Import.TipoArredondamento&lt;&gt;"TransfereGOV",
              ROUND(OFFSET($P158,0,BE$13),15-13*ORÇAMENTO!$AF$7)/$H158*OFFSET(ORÇAMENTO!$X$15,ROW(BE158)-ROW(BE$15),0),
              ROUND(ROUND(OFFSET($P158,0,BE$13),15-13*ORÇAMENTO!$AF$7)*OFFSET(ORÇAMENTO!$W$15,ROW(BE158)-ROW(BE$15),0),15-13*ORÇAMENTO!$AF$11)),
         0)</f>
        <v>5.55</v>
      </c>
      <c r="BF158" s="352" t="n">
        <f aca="true">IF(AND($D158="Serviço",BF$12&lt;&gt;0,$H158&gt;0,OR(AUTOEVENTO&lt;&gt;"manual",$M158&lt;&gt;$A$15)),
        IF(Import.TipoArredondamento&lt;&gt;"TransfereGOV",
              ROUND(OFFSET($P158,0,BF$13),15-13*ORÇAMENTO!$AF$7)/$H158*OFFSET(ORÇAMENTO!$X$15,ROW(BF158)-ROW(BF$15),0),
              ROUND(ROUND(OFFSET($P158,0,BF$13),15-13*ORÇAMENTO!$AF$7)*OFFSET(ORÇAMENTO!$W$15,ROW(BF158)-ROW(BF$15),0),15-13*ORÇAMENTO!$AF$11)),
         0)</f>
        <v>5.55</v>
      </c>
      <c r="BG158" s="352" t="n">
        <f aca="true">IF(AND($D158="Serviço",BG$12&lt;&gt;0,$H158&gt;0,OR(AUTOEVENTO&lt;&gt;"manual",$M158&lt;&gt;$A$15)),
        IF(Import.TipoArredondamento&lt;&gt;"TransfereGOV",
              ROUND(OFFSET($P158,0,BG$13),15-13*ORÇAMENTO!$AF$7)/$H158*OFFSET(ORÇAMENTO!$X$15,ROW(BG158)-ROW(BG$15),0),
              ROUND(ROUND(OFFSET($P158,0,BG$13),15-13*ORÇAMENTO!$AF$7)*OFFSET(ORÇAMENTO!$W$15,ROW(BG158)-ROW(BG$15),0),15-13*ORÇAMENTO!$AF$11)),
         0)</f>
        <v>5.55</v>
      </c>
      <c r="BH158" s="352" t="n">
        <f aca="true">IF(AND($D158="Serviço",BH$12&lt;&gt;0,$H158&gt;0,OR(AUTOEVENTO&lt;&gt;"manual",$M158&lt;&gt;$A$15)),
        IF(Import.TipoArredondamento&lt;&gt;"TransfereGOV",
              ROUND(OFFSET($P158,0,BH$13),15-13*ORÇAMENTO!$AF$7)/$H158*OFFSET(ORÇAMENTO!$X$15,ROW(BH158)-ROW(BH$15),0),
              ROUND(ROUND(OFFSET($P158,0,BH$13),15-13*ORÇAMENTO!$AF$7)*OFFSET(ORÇAMENTO!$W$15,ROW(BH158)-ROW(BH$15),0),15-13*ORÇAMENTO!$AF$11)),
         0)</f>
        <v>5.55</v>
      </c>
      <c r="BI158" s="352" t="n">
        <f aca="true">IF(AND($D158="Serviço",BI$12&lt;&gt;0,$H158&gt;0,OR(AUTOEVENTO&lt;&gt;"manual",$M158&lt;&gt;$A$15)),
        IF(Import.TipoArredondamento&lt;&gt;"TransfereGOV",
              ROUND(OFFSET($P158,0,BI$13),15-13*ORÇAMENTO!$AF$7)/$H158*OFFSET(ORÇAMENTO!$X$15,ROW(BI158)-ROW(BI$15),0),
              ROUND(ROUND(OFFSET($P158,0,BI$13),15-13*ORÇAMENTO!$AF$7)*OFFSET(ORÇAMENTO!$W$15,ROW(BI158)-ROW(BI$15),0),15-13*ORÇAMENTO!$AF$11)),
         0)</f>
        <v>5.55</v>
      </c>
      <c r="BJ158" s="352" t="n">
        <f aca="true">IF(AND($D158="Serviço",BJ$12&lt;&gt;0,$H158&gt;0,OR(AUTOEVENTO&lt;&gt;"manual",$M158&lt;&gt;$A$15)),
        IF(Import.TipoArredondamento&lt;&gt;"TransfereGOV",
              ROUND(OFFSET($P158,0,BJ$13),15-13*ORÇAMENTO!$AF$7)/$H158*OFFSET(ORÇAMENTO!$X$15,ROW(BJ158)-ROW(BJ$15),0),
              ROUND(ROUND(OFFSET($P158,0,BJ$13),15-13*ORÇAMENTO!$AF$7)*OFFSET(ORÇAMENTO!$W$15,ROW(BJ158)-ROW(BJ$15),0),15-13*ORÇAMENTO!$AF$11)),
         0)</f>
        <v>5.55</v>
      </c>
      <c r="BK158" s="352" t="n">
        <f aca="true">IF(AND($D158="Serviço",BK$12&lt;&gt;0,$H158&gt;0,OR(AUTOEVENTO&lt;&gt;"manual",$M158&lt;&gt;$A$15)),
        IF(Import.TipoArredondamento&lt;&gt;"TransfereGOV",
              ROUND(OFFSET($P158,0,BK$13),15-13*ORÇAMENTO!$AF$7)/$H158*OFFSET(ORÇAMENTO!$X$15,ROW(BK158)-ROW(BK$15),0),
              ROUND(ROUND(OFFSET($P158,0,BK$13),15-13*ORÇAMENTO!$AF$7)*OFFSET(ORÇAMENTO!$W$15,ROW(BK158)-ROW(BK$15),0),15-13*ORÇAMENTO!$AF$11)),
         0)</f>
        <v>5.55</v>
      </c>
      <c r="BL158" s="352" t="n">
        <f aca="true">IF(AND($D158="Serviço",BL$12&lt;&gt;0,$H158&gt;0,OR(AUTOEVENTO&lt;&gt;"manual",$M158&lt;&gt;$A$15)),
        IF(Import.TipoArredondamento&lt;&gt;"TransfereGOV",
              ROUND(OFFSET($P158,0,BL$13),15-13*ORÇAMENTO!$AF$7)/$H158*OFFSET(ORÇAMENTO!$X$15,ROW(BL158)-ROW(BL$15),0),
              ROUND(ROUND(OFFSET($P158,0,BL$13),15-13*ORÇAMENTO!$AF$7)*OFFSET(ORÇAMENTO!$W$15,ROW(BL158)-ROW(BL$15),0),15-13*ORÇAMENTO!$AF$11)),
         0)</f>
        <v>5.55</v>
      </c>
      <c r="BM158" s="352" t="n">
        <f aca="true">IF(AND($D158="Serviço",BM$12&lt;&gt;0,$H158&gt;0,OR(AUTOEVENTO&lt;&gt;"manual",$M158&lt;&gt;$A$15)),
        IF(Import.TipoArredondamento&lt;&gt;"TransfereGOV",
              ROUND(OFFSET($P158,0,BM$13),15-13*ORÇAMENTO!$AF$7)/$H158*OFFSET(ORÇAMENTO!$X$15,ROW(BM158)-ROW(BM$15),0),
              ROUND(ROUND(OFFSET($P158,0,BM$13),15-13*ORÇAMENTO!$AF$7)*OFFSET(ORÇAMENTO!$W$15,ROW(BM158)-ROW(BM$15),0),15-13*ORÇAMENTO!$AF$11)),
         0)</f>
        <v>5.55</v>
      </c>
      <c r="BN158" s="352" t="n">
        <f aca="true">IF(AND($D158="Serviço",BN$12&lt;&gt;0,$H158&gt;0,OR(AUTOEVENTO&lt;&gt;"manual",$M158&lt;&gt;$A$15)),
        IF(Import.TipoArredondamento&lt;&gt;"TransfereGOV",
              ROUND(OFFSET($P158,0,BN$13),15-13*ORÇAMENTO!$AF$7)/$H158*OFFSET(ORÇAMENTO!$X$15,ROW(BN158)-ROW(BN$15),0),
              ROUND(ROUND(OFFSET($P158,0,BN$13),15-13*ORÇAMENTO!$AF$7)*OFFSET(ORÇAMENTO!$W$15,ROW(BN158)-ROW(BN$15),0),15-13*ORÇAMENTO!$AF$11)),
         0)</f>
        <v>5.55</v>
      </c>
      <c r="BO158" s="352" t="n">
        <f aca="true">IF(AND($D158="Serviço",BO$12&lt;&gt;0,$H158&gt;0,OR(AUTOEVENTO&lt;&gt;"manual",$M158&lt;&gt;$A$15)),
        IF(Import.TipoArredondamento&lt;&gt;"TransfereGOV",
              ROUND(OFFSET($P158,0,BO$13),15-13*ORÇAMENTO!$AF$7)/$H158*OFFSET(ORÇAMENTO!$X$15,ROW(BO158)-ROW(BO$15),0),
              ROUND(ROUND(OFFSET($P158,0,BO$13),15-13*ORÇAMENTO!$AF$7)*OFFSET(ORÇAMENTO!$W$15,ROW(BO158)-ROW(BO$15),0),15-13*ORÇAMENTO!$AF$11)),
         0)</f>
        <v>5.55</v>
      </c>
      <c r="BP158" s="352" t="n">
        <f aca="true">IF(AND($D158="Serviço",BP$12&lt;&gt;0,$H158&gt;0,OR(AUTOEVENTO&lt;&gt;"manual",$M158&lt;&gt;$A$15)),
        IF(Import.TipoArredondamento&lt;&gt;"TransfereGOV",
              ROUND(OFFSET($P158,0,BP$13),15-13*ORÇAMENTO!$AF$7)/$H158*OFFSET(ORÇAMENTO!$X$15,ROW(BP158)-ROW(BP$15),0),
              ROUND(ROUND(OFFSET($P158,0,BP$13),15-13*ORÇAMENTO!$AF$7)*OFFSET(ORÇAMENTO!$W$15,ROW(BP158)-ROW(BP$15),0),15-13*ORÇAMENTO!$AF$11)),
         0)</f>
        <v>5.55</v>
      </c>
      <c r="BQ158" s="352" t="n">
        <f aca="true">IF(AND($D158="Serviço",BQ$12&lt;&gt;0,$H158&gt;0,OR(AUTOEVENTO&lt;&gt;"manual",$M158&lt;&gt;$A$15)),
        IF(Import.TipoArredondamento&lt;&gt;"TransfereGOV",
              ROUND(OFFSET($P158,0,BQ$13),15-13*ORÇAMENTO!$AF$7)/$H158*OFFSET(ORÇAMENTO!$X$15,ROW(BQ158)-ROW(BQ$15),0),
              ROUND(ROUND(OFFSET($P158,0,BQ$13),15-13*ORÇAMENTO!$AF$7)*OFFSET(ORÇAMENTO!$W$15,ROW(BQ158)-ROW(BQ$15),0),15-13*ORÇAMENTO!$AF$11)),
         0)</f>
        <v>0</v>
      </c>
      <c r="BS158" s="353" t="n">
        <f aca="true">IF(OR($D158&lt;&gt;"Serviço",AND(AUTOEVENTO="Manual",$M158=$A$15)),0,
         IF(OFFSET(CRONOPLE!$F$15,$M158-$A$15,BS$13)=0,10^12,OFFSET(CRONOPLE!$F$15,$M158-$A$15,BS$13)))</f>
        <v>1</v>
      </c>
      <c r="BT158" s="353" t="n">
        <f aca="true">IF(OR($D158&lt;&gt;"Serviço",AND(AUTOEVENTO="Manual",$M158=$A$15)),0,
         IF(OFFSET(CRONOPLE!$F$15,$M158-$A$15,BT$13)=0,10^12,OFFSET(CRONOPLE!$F$15,$M158-$A$15,BT$13)))</f>
        <v>2</v>
      </c>
      <c r="BU158" s="353" t="n">
        <f aca="true">IF(OR($D158&lt;&gt;"Serviço",AND(AUTOEVENTO="Manual",$M158=$A$15)),0,
         IF(OFFSET(CRONOPLE!$F$15,$M158-$A$15,BU$13)=0,10^12,OFFSET(CRONOPLE!$F$15,$M158-$A$15,BU$13)))</f>
        <v>3</v>
      </c>
      <c r="BV158" s="353" t="n">
        <f aca="true">IF(OR($D158&lt;&gt;"Serviço",AND(AUTOEVENTO="Manual",$M158=$A$15)),0,
         IF(OFFSET(CRONOPLE!$F$15,$M158-$A$15,BV$13)=0,10^12,OFFSET(CRONOPLE!$F$15,$M158-$A$15,BV$13)))</f>
        <v>4</v>
      </c>
      <c r="BW158" s="353" t="n">
        <f aca="true">IF(OR($D158&lt;&gt;"Serviço",AND(AUTOEVENTO="Manual",$M158=$A$15)),0,
         IF(OFFSET(CRONOPLE!$F$15,$M158-$A$15,BW$13)=0,10^12,OFFSET(CRONOPLE!$F$15,$M158-$A$15,BW$13)))</f>
        <v>5</v>
      </c>
      <c r="BX158" s="353" t="n">
        <f aca="true">IF(OR($D158&lt;&gt;"Serviço",AND(AUTOEVENTO="Manual",$M158=$A$15)),0,
         IF(OFFSET(CRONOPLE!$F$15,$M158-$A$15,BX$13)=0,10^12,OFFSET(CRONOPLE!$F$15,$M158-$A$15,BX$13)))</f>
        <v>6</v>
      </c>
      <c r="BY158" s="353" t="n">
        <f aca="true">IF(OR($D158&lt;&gt;"Serviço",AND(AUTOEVENTO="Manual",$M158=$A$15)),0,
         IF(OFFSET(CRONOPLE!$F$15,$M158-$A$15,BY$13)=0,10^12,OFFSET(CRONOPLE!$F$15,$M158-$A$15,BY$13)))</f>
        <v>7</v>
      </c>
      <c r="BZ158" s="353" t="n">
        <f aca="true">IF(OR($D158&lt;&gt;"Serviço",AND(AUTOEVENTO="Manual",$M158=$A$15)),0,
         IF(OFFSET(CRONOPLE!$F$15,$M158-$A$15,BZ$13)=0,10^12,OFFSET(CRONOPLE!$F$15,$M158-$A$15,BZ$13)))</f>
        <v>8</v>
      </c>
      <c r="CA158" s="353" t="n">
        <f aca="true">IF(OR($D158&lt;&gt;"Serviço",AND(AUTOEVENTO="Manual",$M158=$A$15)),0,
         IF(OFFSET(CRONOPLE!$F$15,$M158-$A$15,CA$13)=0,10^12,OFFSET(CRONOPLE!$F$15,$M158-$A$15,CA$13)))</f>
        <v>9</v>
      </c>
      <c r="CB158" s="353" t="n">
        <f aca="true">IF(OR($D158&lt;&gt;"Serviço",AND(AUTOEVENTO="Manual",$M158=$A$15)),0,
         IF(OFFSET(CRONOPLE!$F$15,$M158-$A$15,CB$13)=0,10^12,OFFSET(CRONOPLE!$F$15,$M158-$A$15,CB$13)))</f>
        <v>10</v>
      </c>
      <c r="CC158" s="353" t="n">
        <f aca="true">IF(OR($D158&lt;&gt;"Serviço",AND(AUTOEVENTO="Manual",$M158=$A$15)),0,
         IF(OFFSET(CRONOPLE!$F$15,$M158-$A$15,CC$13)=0,10^12,OFFSET(CRONOPLE!$F$15,$M158-$A$15,CC$13)))</f>
        <v>11</v>
      </c>
      <c r="CD158" s="353" t="n">
        <f aca="true">IF(OR($D158&lt;&gt;"Serviço",AND(AUTOEVENTO="Manual",$M158=$A$15)),0,
         IF(OFFSET(CRONOPLE!$F$15,$M158-$A$15,CD$13)=0,10^12,OFFSET(CRONOPLE!$F$15,$M158-$A$15,CD$13)))</f>
        <v>12</v>
      </c>
      <c r="CE158" s="353" t="n">
        <f aca="true">IF(OR($D158&lt;&gt;"Serviço",AND(AUTOEVENTO="Manual",$M158=$A$15)),0,
         IF(OFFSET(CRONOPLE!$F$15,$M158-$A$15,CE$13)=0,10^12,OFFSET(CRONOPLE!$F$15,$M158-$A$15,CE$13)))</f>
        <v>13</v>
      </c>
      <c r="CF158" s="353" t="n">
        <f aca="true">IF(OR($D158&lt;&gt;"Serviço",AND(AUTOEVENTO="Manual",$M158=$A$15)),0,
         IF(OFFSET(CRONOPLE!$F$15,$M158-$A$15,CF$13)=0,10^12,OFFSET(CRONOPLE!$F$15,$M158-$A$15,CF$13)))</f>
        <v>14</v>
      </c>
      <c r="CG158" s="353" t="n">
        <f aca="true">IF(OR($D158&lt;&gt;"Serviço",AND(AUTOEVENTO="Manual",$M158=$A$15)),0,
         IF(OFFSET(CRONOPLE!$F$15,$M158-$A$15,CG$13)=0,10^12,OFFSET(CRONOPLE!$F$15,$M158-$A$15,CG$13)))</f>
        <v>15</v>
      </c>
      <c r="CH158" s="353" t="n">
        <f aca="true">IF(OR($D158&lt;&gt;"Serviço",AND(AUTOEVENTO="Manual",$M158=$A$15)),0,
         IF(OFFSET(CRONOPLE!$F$15,$M158-$A$15,CH$13)=0,10^12,OFFSET(CRONOPLE!$F$15,$M158-$A$15,CH$13)))</f>
        <v>16</v>
      </c>
      <c r="CI158" s="353" t="n">
        <f aca="true">IF(OR($D158&lt;&gt;"Serviço",AND(AUTOEVENTO="Manual",$M158=$A$15)),0,
         IF(OFFSET(CRONOPLE!$F$15,$M158-$A$15,CI$13)=0,10^12,OFFSET(CRONOPLE!$F$15,$M158-$A$15,CI$13)))</f>
        <v>17</v>
      </c>
      <c r="CJ158" s="353" t="n">
        <f aca="true">IF(OR($D158&lt;&gt;"Serviço",AND(AUTOEVENTO="Manual",$M158=$A$15)),0,
         IF(OFFSET(CRONOPLE!$F$15,$M158-$A$15,CJ$13)=0,10^12,OFFSET(CRONOPLE!$F$15,$M158-$A$15,CJ$13)))</f>
        <v>18</v>
      </c>
      <c r="CK158" s="353" t="n">
        <f aca="true">IF(OR($D158&lt;&gt;"Serviço",AND(AUTOEVENTO="Manual",$M158=$A$15)),0,
         IF(OFFSET(CRONOPLE!$F$15,$M158-$A$15,CK$13)=0,10^12,OFFSET(CRONOPLE!$F$15,$M158-$A$15,CK$13)))</f>
        <v>19</v>
      </c>
      <c r="CL158" s="353" t="n">
        <f aca="true">IF(OR($D158&lt;&gt;"Serviço",AND(AUTOEVENTO="Manual",$M158=$A$15)),0,
         IF(OFFSET(CRONOPLE!$F$15,$M158-$A$15,CL$13)=0,10^12,OFFSET(CRONOPLE!$F$15,$M158-$A$15,CL$13)))</f>
        <v>20</v>
      </c>
      <c r="CM158" s="353" t="n">
        <f aca="true">IF(OR($D158&lt;&gt;"Serviço",AND(AUTOEVENTO="Manual",$M158=$A$15)),0,
         IF(OFFSET(CRONOPLE!$F$15,$M158-$A$15,CM$13)=0,10^12,OFFSET(CRONOPLE!$F$15,$M158-$A$15,CM$13)))</f>
        <v>21</v>
      </c>
      <c r="CN158" s="353" t="n">
        <f aca="true">IF(OR($D158&lt;&gt;"Serviço",AND(AUTOEVENTO="Manual",$M158=$A$15)),0,
         IF(OFFSET(CRONOPLE!$F$15,$M158-$A$15,CN$13)=0,10^12,OFFSET(CRONOPLE!$F$15,$M158-$A$15,CN$13)))</f>
        <v>22</v>
      </c>
      <c r="CO158" s="353" t="n">
        <f aca="true">IF(OR($D158&lt;&gt;"Serviço",AND(AUTOEVENTO="Manual",$M158=$A$15)),0,
         IF(OFFSET(CRONOPLE!$F$15,$M158-$A$15,CO$13)=0,10^12,OFFSET(CRONOPLE!$F$15,$M158-$A$15,CO$13)))</f>
        <v>23</v>
      </c>
      <c r="CP158" s="353" t="n">
        <f aca="true">IF(OR($D158&lt;&gt;"Serviço",AND(AUTOEVENTO="Manual",$M158=$A$15)),0,
         IF(OFFSET(CRONOPLE!$F$15,$M158-$A$15,CP$13)=0,10^12,OFFSET(CRONOPLE!$F$15,$M158-$A$15,CP$13)))</f>
        <v>24</v>
      </c>
      <c r="CQ158" s="353" t="n">
        <f aca="true">IF(OR($D158&lt;&gt;"Serviço",AND(AUTOEVENTO="Manual",$M158=$A$15)),0,
         IF(OFFSET(CRONOPLE!$F$15,$M158-$A$15,CQ$13)=0,10^12,OFFSET(CRONOPLE!$F$15,$M158-$A$15,CQ$13)))</f>
        <v>25</v>
      </c>
      <c r="CR158" s="353" t="n">
        <f aca="true">IF(OR($D158&lt;&gt;"Serviço",AND(AUTOEVENTO="Manual",$M158=$A$15)),0,
         IF(OFFSET(CRONOPLE!$F$15,$M158-$A$15,CR$13)=0,10^12,OFFSET(CRONOPLE!$F$15,$M158-$A$15,CR$13)))</f>
        <v>1000000000000</v>
      </c>
      <c r="CT158" s="354" t="n">
        <f aca="true">IF(OR($D158&lt;&gt;"Serviço",AND(AUTOEVENTO="Manual",$M158=$A$15),$M158&gt;(ROW(PLE.lastrow)-ROW(PLE.firstrow))),0,
           IF(OFFSET(PLE!$G$15,$M158-$A$15,CT$13)="",10^12,OFFSET(PLE!$G$15,$M158-$A$15,CT$13)))</f>
        <v>1000000000000</v>
      </c>
      <c r="CU158" s="354" t="n">
        <f aca="true">IF(OR($D158&lt;&gt;"Serviço",AND(AUTOEVENTO="Manual",$M158=$A$15),$M158&gt;(ROW(PLE.lastrow)-ROW(PLE.firstrow))),0,
           IF(OFFSET(PLE!$G$15,$M158-$A$15,CU$13)="",10^12,OFFSET(PLE!$G$15,$M158-$A$15,CU$13)))</f>
        <v>1000000000000</v>
      </c>
      <c r="CV158" s="354" t="n">
        <f aca="true">IF(OR($D158&lt;&gt;"Serviço",AND(AUTOEVENTO="Manual",$M158=$A$15),$M158&gt;(ROW(PLE.lastrow)-ROW(PLE.firstrow))),0,
           IF(OFFSET(PLE!$G$15,$M158-$A$15,CV$13)="",10^12,OFFSET(PLE!$G$15,$M158-$A$15,CV$13)))</f>
        <v>1000000000000</v>
      </c>
      <c r="CW158" s="354" t="n">
        <f aca="true">IF(OR($D158&lt;&gt;"Serviço",AND(AUTOEVENTO="Manual",$M158=$A$15),$M158&gt;(ROW(PLE.lastrow)-ROW(PLE.firstrow))),0,
           IF(OFFSET(PLE!$G$15,$M158-$A$15,CW$13)="",10^12,OFFSET(PLE!$G$15,$M158-$A$15,CW$13)))</f>
        <v>1000000000000</v>
      </c>
      <c r="CX158" s="354" t="n">
        <f aca="true">IF(OR($D158&lt;&gt;"Serviço",AND(AUTOEVENTO="Manual",$M158=$A$15),$M158&gt;(ROW(PLE.lastrow)-ROW(PLE.firstrow))),0,
           IF(OFFSET(PLE!$G$15,$M158-$A$15,CX$13)="",10^12,OFFSET(PLE!$G$15,$M158-$A$15,CX$13)))</f>
        <v>1000000000000</v>
      </c>
      <c r="CY158" s="354" t="n">
        <f aca="true">IF(OR($D158&lt;&gt;"Serviço",AND(AUTOEVENTO="Manual",$M158=$A$15),$M158&gt;(ROW(PLE.lastrow)-ROW(PLE.firstrow))),0,
           IF(OFFSET(PLE!$G$15,$M158-$A$15,CY$13)="",10^12,OFFSET(PLE!$G$15,$M158-$A$15,CY$13)))</f>
        <v>1000000000000</v>
      </c>
      <c r="CZ158" s="354" t="n">
        <f aca="true">IF(OR($D158&lt;&gt;"Serviço",AND(AUTOEVENTO="Manual",$M158=$A$15),$M158&gt;(ROW(PLE.lastrow)-ROW(PLE.firstrow))),0,
           IF(OFFSET(PLE!$G$15,$M158-$A$15,CZ$13)="",10^12,OFFSET(PLE!$G$15,$M158-$A$15,CZ$13)))</f>
        <v>1000000000000</v>
      </c>
      <c r="DA158" s="354" t="n">
        <f aca="true">IF(OR($D158&lt;&gt;"Serviço",AND(AUTOEVENTO="Manual",$M158=$A$15),$M158&gt;(ROW(PLE.lastrow)-ROW(PLE.firstrow))),0,
           IF(OFFSET(PLE!$G$15,$M158-$A$15,DA$13)="",10^12,OFFSET(PLE!$G$15,$M158-$A$15,DA$13)))</f>
        <v>1000000000000</v>
      </c>
      <c r="DB158" s="354" t="n">
        <f aca="true">IF(OR($D158&lt;&gt;"Serviço",AND(AUTOEVENTO="Manual",$M158=$A$15),$M158&gt;(ROW(PLE.lastrow)-ROW(PLE.firstrow))),0,
           IF(OFFSET(PLE!$G$15,$M158-$A$15,DB$13)="",10^12,OFFSET(PLE!$G$15,$M158-$A$15,DB$13)))</f>
        <v>1000000000000</v>
      </c>
      <c r="DC158" s="354" t="n">
        <f aca="true">IF(OR($D158&lt;&gt;"Serviço",AND(AUTOEVENTO="Manual",$M158=$A$15),$M158&gt;(ROW(PLE.lastrow)-ROW(PLE.firstrow))),0,
           IF(OFFSET(PLE!$G$15,$M158-$A$15,DC$13)="",10^12,OFFSET(PLE!$G$15,$M158-$A$15,DC$13)))</f>
        <v>1000000000000</v>
      </c>
      <c r="DD158" s="354" t="n">
        <f aca="true">IF(OR($D158&lt;&gt;"Serviço",AND(AUTOEVENTO="Manual",$M158=$A$15),$M158&gt;(ROW(PLE.lastrow)-ROW(PLE.firstrow))),0,
           IF(OFFSET(PLE!$G$15,$M158-$A$15,DD$13)="",10^12,OFFSET(PLE!$G$15,$M158-$A$15,DD$13)))</f>
        <v>1000000000000</v>
      </c>
      <c r="DE158" s="354" t="n">
        <f aca="true">IF(OR($D158&lt;&gt;"Serviço",AND(AUTOEVENTO="Manual",$M158=$A$15),$M158&gt;(ROW(PLE.lastrow)-ROW(PLE.firstrow))),0,
           IF(OFFSET(PLE!$G$15,$M158-$A$15,DE$13)="",10^12,OFFSET(PLE!$G$15,$M158-$A$15,DE$13)))</f>
        <v>1000000000000</v>
      </c>
      <c r="DF158" s="354" t="n">
        <f aca="true">IF(OR($D158&lt;&gt;"Serviço",AND(AUTOEVENTO="Manual",$M158=$A$15),$M158&gt;(ROW(PLE.lastrow)-ROW(PLE.firstrow))),0,
           IF(OFFSET(PLE!$G$15,$M158-$A$15,DF$13)="",10^12,OFFSET(PLE!$G$15,$M158-$A$15,DF$13)))</f>
        <v>1000000000000</v>
      </c>
      <c r="DG158" s="354" t="n">
        <f aca="true">IF(OR($D158&lt;&gt;"Serviço",AND(AUTOEVENTO="Manual",$M158=$A$15),$M158&gt;(ROW(PLE.lastrow)-ROW(PLE.firstrow))),0,
           IF(OFFSET(PLE!$G$15,$M158-$A$15,DG$13)="",10^12,OFFSET(PLE!$G$15,$M158-$A$15,DG$13)))</f>
        <v>1000000000000</v>
      </c>
      <c r="DH158" s="354" t="n">
        <f aca="true">IF(OR($D158&lt;&gt;"Serviço",AND(AUTOEVENTO="Manual",$M158=$A$15),$M158&gt;(ROW(PLE.lastrow)-ROW(PLE.firstrow))),0,
           IF(OFFSET(PLE!$G$15,$M158-$A$15,DH$13)="",10^12,OFFSET(PLE!$G$15,$M158-$A$15,DH$13)))</f>
        <v>1000000000000</v>
      </c>
      <c r="DI158" s="354" t="n">
        <f aca="true">IF(OR($D158&lt;&gt;"Serviço",AND(AUTOEVENTO="Manual",$M158=$A$15),$M158&gt;(ROW(PLE.lastrow)-ROW(PLE.firstrow))),0,
           IF(OFFSET(PLE!$G$15,$M158-$A$15,DI$13)="",10^12,OFFSET(PLE!$G$15,$M158-$A$15,DI$13)))</f>
        <v>1000000000000</v>
      </c>
      <c r="DJ158" s="354" t="n">
        <f aca="true">IF(OR($D158&lt;&gt;"Serviço",AND(AUTOEVENTO="Manual",$M158=$A$15),$M158&gt;(ROW(PLE.lastrow)-ROW(PLE.firstrow))),0,
           IF(OFFSET(PLE!$G$15,$M158-$A$15,DJ$13)="",10^12,OFFSET(PLE!$G$15,$M158-$A$15,DJ$13)))</f>
        <v>1000000000000</v>
      </c>
      <c r="DK158" s="354" t="n">
        <f aca="true">IF(OR($D158&lt;&gt;"Serviço",AND(AUTOEVENTO="Manual",$M158=$A$15),$M158&gt;(ROW(PLE.lastrow)-ROW(PLE.firstrow))),0,
           IF(OFFSET(PLE!$G$15,$M158-$A$15,DK$13)="",10^12,OFFSET(PLE!$G$15,$M158-$A$15,DK$13)))</f>
        <v>1000000000000</v>
      </c>
      <c r="DL158" s="354" t="n">
        <f aca="true">IF(OR($D158&lt;&gt;"Serviço",AND(AUTOEVENTO="Manual",$M158=$A$15),$M158&gt;(ROW(PLE.lastrow)-ROW(PLE.firstrow))),0,
           IF(OFFSET(PLE!$G$15,$M158-$A$15,DL$13)="",10^12,OFFSET(PLE!$G$15,$M158-$A$15,DL$13)))</f>
        <v>1000000000000</v>
      </c>
      <c r="DM158" s="354" t="n">
        <f aca="true">IF(OR($D158&lt;&gt;"Serviço",AND(AUTOEVENTO="Manual",$M158=$A$15),$M158&gt;(ROW(PLE.lastrow)-ROW(PLE.firstrow))),0,
           IF(OFFSET(PLE!$G$15,$M158-$A$15,DM$13)="",10^12,OFFSET(PLE!$G$15,$M158-$A$15,DM$13)))</f>
        <v>1000000000000</v>
      </c>
      <c r="DN158" s="354" t="n">
        <f aca="true">IF(OR($D158&lt;&gt;"Serviço",AND(AUTOEVENTO="Manual",$M158=$A$15),$M158&gt;(ROW(PLE.lastrow)-ROW(PLE.firstrow))),0,
           IF(OFFSET(PLE!$G$15,$M158-$A$15,DN$13)="",10^12,OFFSET(PLE!$G$15,$M158-$A$15,DN$13)))</f>
        <v>1000000000000</v>
      </c>
      <c r="DO158" s="354" t="n">
        <f aca="true">IF(OR($D158&lt;&gt;"Serviço",AND(AUTOEVENTO="Manual",$M158=$A$15),$M158&gt;(ROW(PLE.lastrow)-ROW(PLE.firstrow))),0,
           IF(OFFSET(PLE!$G$15,$M158-$A$15,DO$13)="",10^12,OFFSET(PLE!$G$15,$M158-$A$15,DO$13)))</f>
        <v>1000000000000</v>
      </c>
      <c r="DP158" s="354" t="n">
        <f aca="true">IF(OR($D158&lt;&gt;"Serviço",AND(AUTOEVENTO="Manual",$M158=$A$15),$M158&gt;(ROW(PLE.lastrow)-ROW(PLE.firstrow))),0,
           IF(OFFSET(PLE!$G$15,$M158-$A$15,DP$13)="",10^12,OFFSET(PLE!$G$15,$M158-$A$15,DP$13)))</f>
        <v>1000000000000</v>
      </c>
      <c r="DQ158" s="354" t="n">
        <f aca="true">IF(OR($D158&lt;&gt;"Serviço",AND(AUTOEVENTO="Manual",$M158=$A$15),$M158&gt;(ROW(PLE.lastrow)-ROW(PLE.firstrow))),0,
           IF(OFFSET(PLE!$G$15,$M158-$A$15,DQ$13)="",10^12,OFFSET(PLE!$G$15,$M158-$A$15,DQ$13)))</f>
        <v>1000000000000</v>
      </c>
      <c r="DR158" s="354" t="n">
        <f aca="true">IF(OR($D158&lt;&gt;"Serviço",AND(AUTOEVENTO="Manual",$M158=$A$15),$M158&gt;(ROW(PLE.lastrow)-ROW(PLE.firstrow))),0,
           IF(OFFSET(PLE!$G$15,$M158-$A$15,DR$13)="",10^12,OFFSET(PLE!$G$15,$M158-$A$15,DR$13)))</f>
        <v>1000000000000</v>
      </c>
      <c r="DS158" s="354" t="n">
        <f aca="true">IF(OR($D158&lt;&gt;"Serviço",AND(AUTOEVENTO="Manual",$M158=$A$15),$M158&gt;(ROW(PLE.lastrow)-ROW(PLE.firstrow))),0,
           IF(OFFSET(PLE!$G$15,$M158-$A$15,DS$13)="",10^12,OFFSET(PLE!$G$15,$M158-$A$15,DS$13)))</f>
        <v>1000000000000</v>
      </c>
    </row>
    <row r="159" customFormat="false" ht="23.85" hidden="false" customHeight="false" outlineLevel="0" collapsed="false">
      <c r="A159" s="50" t="str">
        <f aca="true">IFERROR(IF(AUTOEVENTO="Manual",IF(K159&lt;&gt;"",MIN(VALUE(LEFT(K159,FIND(".",K159)-1)),COUNTA(EVENTOS.Lista)),0),IF(OR($B159&gt;AUTOEVENTO,$B159="S",$B159=0),SUBSTITUTE(OFFSET($A159,-1,0),IF($D159="Serviço",".",""),""),ROW(A159)-ROW($A$15)&amp;".")),0)</f>
        <v>141</v>
      </c>
      <c r="B159" s="50" t="str">
        <f aca="true">OFFSET(ORÇAMENTO!C$15,ROW(B159)-ROW(B$15),0)</f>
        <v>S</v>
      </c>
      <c r="C159" s="50" t="str">
        <f aca="true">OFFSET(ORÇAMENTO!L$15,ROW(C159)-ROW(C$15),0)</f>
        <v>F</v>
      </c>
      <c r="D159" s="201" t="str">
        <f aca="true">OFFSET(ORÇAMENTO!N$15,ROW(D159)-ROW(D$15),0)</f>
        <v>Serviço</v>
      </c>
      <c r="E159" s="202" t="str">
        <f aca="true">OFFSET(ORÇAMENTO!O$15,ROW(E159)-ROW(E$15),0)</f>
        <v>1.43.3.</v>
      </c>
      <c r="F159" s="341" t="str">
        <f aca="true">OFFSET(ORÇAMENTO!R$15,ROW(F159)-ROW(F$15),0)</f>
        <v>FURO EM CAIXA D'ÁGUA COM ESPESSURA DE 2 ATÉ 5 MM E DIÂMETRO DE 32 MM. AF_06/2021</v>
      </c>
      <c r="G159" s="342" t="str">
        <f aca="true">IF($D159&lt;&gt;"Serviço","",OFFSET(ORÇAMENTO!S$15,ROW(G159)-ROW(G$15),0))</f>
        <v>UN</v>
      </c>
      <c r="H159" s="207" t="n">
        <f aca="true">IF($D159&lt;&gt;"Serviço",0,IF(ACOMPANHAMENTO="BM",ROUND(OFFSET(ORÇAMENTO!AJ$15,ROW(H159)-ROW(H$15),0),15-13*ORÇAMENTO!$AF$7),SUMPRODUCT(($Q$1:$AQ$1=1)*ROUND($Q159:$AQ159,15-13*ORÇAMENTO!$AF$7))))</f>
        <v>50</v>
      </c>
      <c r="I159" s="343" t="s">
        <v>972</v>
      </c>
      <c r="J159" s="344" t="e">
        <f aca="false">IF(OR(B159&lt;&gt;"S",CÁLCULO.FrentesPreenchidas=0),"",IF(AND(ACOMPANHAMENTO="PLE",AUTOEVENTO="Manual",OR(H159&gt;0,ORÇAMENTO!AC159="QUANT."),OR(K159="",M159=0,N159="")),"►",IF(AND(ACOMPANHAMENTO="PLE",ORÇAMENTO!AC159="QUANT."),"►►",IF(AND(COUNTIF($P$11:$AQ$11,"▼")=0,H159&gt;0,I159=""),"◄",""))))</f>
        <v>#NAME?</v>
      </c>
      <c r="K159" s="345"/>
      <c r="L159" s="346" t="s">
        <v>876</v>
      </c>
      <c r="M159" s="347" t="n">
        <f aca="true">IF($D159&lt;&gt;"Serviço","",
          IF(AUTOEVENTO="manual",$A159,
                IF(ISERROR(MATCH($A159,$A$15:OFFSET($A159,-1,0),0)),MAX($M$15:OFFSET(M159,-1,0))+1,
                      INDEX($M$15:OFFSET(M159,-1,0),MATCH($A159,$A$15:OFFSET($A159,-1,0),0)))))</f>
        <v>27</v>
      </c>
      <c r="N159" s="348" t="str">
        <f aca="true">IF($D159&lt;&gt;"Serviço","",
         IF(AUTOEVENTO="Manual",
                IF($A159=0,"&lt;-- defina o número do agrupador",
                       OFFSET(EVENTOS!$D$15,$A159-$A$15,0)),
                OFFSET($F$15,$A159,0)))</f>
        <v>CAIXA D'ÁGUA E BARRILETE</v>
      </c>
      <c r="O159" s="349"/>
      <c r="Q159" s="349" t="n">
        <v>2</v>
      </c>
      <c r="R159" s="350" t="n">
        <f aca="false">Q159</f>
        <v>2</v>
      </c>
      <c r="S159" s="350" t="n">
        <f aca="false">R159</f>
        <v>2</v>
      </c>
      <c r="T159" s="350" t="n">
        <f aca="false">S159</f>
        <v>2</v>
      </c>
      <c r="U159" s="350" t="n">
        <f aca="false">T159</f>
        <v>2</v>
      </c>
      <c r="V159" s="350" t="n">
        <f aca="false">U159</f>
        <v>2</v>
      </c>
      <c r="W159" s="350" t="n">
        <f aca="false">V159</f>
        <v>2</v>
      </c>
      <c r="X159" s="350" t="n">
        <f aca="false">W159</f>
        <v>2</v>
      </c>
      <c r="Y159" s="350" t="n">
        <f aca="false">X159</f>
        <v>2</v>
      </c>
      <c r="Z159" s="351" t="n">
        <f aca="false">Y159</f>
        <v>2</v>
      </c>
      <c r="AA159" s="350" t="n">
        <f aca="false">Z159</f>
        <v>2</v>
      </c>
      <c r="AB159" s="350" t="n">
        <f aca="false">AA159</f>
        <v>2</v>
      </c>
      <c r="AC159" s="350" t="n">
        <f aca="false">AB159</f>
        <v>2</v>
      </c>
      <c r="AD159" s="350" t="n">
        <f aca="false">AC159</f>
        <v>2</v>
      </c>
      <c r="AE159" s="350" t="n">
        <f aca="false">AD159</f>
        <v>2</v>
      </c>
      <c r="AF159" s="350" t="n">
        <f aca="false">AE159</f>
        <v>2</v>
      </c>
      <c r="AG159" s="350" t="n">
        <f aca="false">AF159</f>
        <v>2</v>
      </c>
      <c r="AH159" s="351" t="n">
        <f aca="false">AG159</f>
        <v>2</v>
      </c>
      <c r="AI159" s="350" t="n">
        <f aca="false">AH159</f>
        <v>2</v>
      </c>
      <c r="AJ159" s="350" t="n">
        <f aca="false">AI159</f>
        <v>2</v>
      </c>
      <c r="AK159" s="350" t="n">
        <f aca="false">AJ159</f>
        <v>2</v>
      </c>
      <c r="AL159" s="350" t="n">
        <f aca="false">AK159</f>
        <v>2</v>
      </c>
      <c r="AM159" s="350" t="n">
        <f aca="false">AL159</f>
        <v>2</v>
      </c>
      <c r="AN159" s="350" t="n">
        <f aca="false">AM159</f>
        <v>2</v>
      </c>
      <c r="AO159" s="350" t="n">
        <f aca="false">AN159</f>
        <v>2</v>
      </c>
      <c r="AP159" s="351"/>
      <c r="AR159" s="352" t="n">
        <f aca="true">IF(AND($D159="Serviço",AR$12&lt;&gt;0,$H159&gt;0,OR(AUTOEVENTO&lt;&gt;"manual",$M159&lt;&gt;$A$15)),
        IF(Import.TipoArredondamento&lt;&gt;"TransfereGOV",
              ROUND(OFFSET($P159,0,AR$13),15-13*ORÇAMENTO!$AF$7)/$H159*OFFSET(ORÇAMENTO!$X$15,ROW(AR159)-ROW(AR$15),0),
              ROUND(ROUND(OFFSET($P159,0,AR$13),15-13*ORÇAMENTO!$AF$7)*OFFSET(ORÇAMENTO!$W$15,ROW(AR159)-ROW(AR$15),0),15-13*ORÇAMENTO!$AF$11)),
         0)</f>
        <v>12.54</v>
      </c>
      <c r="AS159" s="352" t="n">
        <f aca="true">IF(AND($D159="Serviço",AS$12&lt;&gt;0,$H159&gt;0,OR(AUTOEVENTO&lt;&gt;"manual",$M159&lt;&gt;$A$15)),
        IF(Import.TipoArredondamento&lt;&gt;"TransfereGOV",
              ROUND(OFFSET($P159,0,AS$13),15-13*ORÇAMENTO!$AF$7)/$H159*OFFSET(ORÇAMENTO!$X$15,ROW(AS159)-ROW(AS$15),0),
              ROUND(ROUND(OFFSET($P159,0,AS$13),15-13*ORÇAMENTO!$AF$7)*OFFSET(ORÇAMENTO!$W$15,ROW(AS159)-ROW(AS$15),0),15-13*ORÇAMENTO!$AF$11)),
         0)</f>
        <v>12.54</v>
      </c>
      <c r="AT159" s="352" t="n">
        <f aca="true">IF(AND($D159="Serviço",AT$12&lt;&gt;0,$H159&gt;0,OR(AUTOEVENTO&lt;&gt;"manual",$M159&lt;&gt;$A$15)),
        IF(Import.TipoArredondamento&lt;&gt;"TransfereGOV",
              ROUND(OFFSET($P159,0,AT$13),15-13*ORÇAMENTO!$AF$7)/$H159*OFFSET(ORÇAMENTO!$X$15,ROW(AT159)-ROW(AT$15),0),
              ROUND(ROUND(OFFSET($P159,0,AT$13),15-13*ORÇAMENTO!$AF$7)*OFFSET(ORÇAMENTO!$W$15,ROW(AT159)-ROW(AT$15),0),15-13*ORÇAMENTO!$AF$11)),
         0)</f>
        <v>12.54</v>
      </c>
      <c r="AU159" s="352" t="n">
        <f aca="true">IF(AND($D159="Serviço",AU$12&lt;&gt;0,$H159&gt;0,OR(AUTOEVENTO&lt;&gt;"manual",$M159&lt;&gt;$A$15)),
        IF(Import.TipoArredondamento&lt;&gt;"TransfereGOV",
              ROUND(OFFSET($P159,0,AU$13),15-13*ORÇAMENTO!$AF$7)/$H159*OFFSET(ORÇAMENTO!$X$15,ROW(AU159)-ROW(AU$15),0),
              ROUND(ROUND(OFFSET($P159,0,AU$13),15-13*ORÇAMENTO!$AF$7)*OFFSET(ORÇAMENTO!$W$15,ROW(AU159)-ROW(AU$15),0),15-13*ORÇAMENTO!$AF$11)),
         0)</f>
        <v>12.54</v>
      </c>
      <c r="AV159" s="352" t="n">
        <f aca="true">IF(AND($D159="Serviço",AV$12&lt;&gt;0,$H159&gt;0,OR(AUTOEVENTO&lt;&gt;"manual",$M159&lt;&gt;$A$15)),
        IF(Import.TipoArredondamento&lt;&gt;"TransfereGOV",
              ROUND(OFFSET($P159,0,AV$13),15-13*ORÇAMENTO!$AF$7)/$H159*OFFSET(ORÇAMENTO!$X$15,ROW(AV159)-ROW(AV$15),0),
              ROUND(ROUND(OFFSET($P159,0,AV$13),15-13*ORÇAMENTO!$AF$7)*OFFSET(ORÇAMENTO!$W$15,ROW(AV159)-ROW(AV$15),0),15-13*ORÇAMENTO!$AF$11)),
         0)</f>
        <v>12.54</v>
      </c>
      <c r="AW159" s="352" t="n">
        <f aca="true">IF(AND($D159="Serviço",AW$12&lt;&gt;0,$H159&gt;0,OR(AUTOEVENTO&lt;&gt;"manual",$M159&lt;&gt;$A$15)),
        IF(Import.TipoArredondamento&lt;&gt;"TransfereGOV",
              ROUND(OFFSET($P159,0,AW$13),15-13*ORÇAMENTO!$AF$7)/$H159*OFFSET(ORÇAMENTO!$X$15,ROW(AW159)-ROW(AW$15),0),
              ROUND(ROUND(OFFSET($P159,0,AW$13),15-13*ORÇAMENTO!$AF$7)*OFFSET(ORÇAMENTO!$W$15,ROW(AW159)-ROW(AW$15),0),15-13*ORÇAMENTO!$AF$11)),
         0)</f>
        <v>12.54</v>
      </c>
      <c r="AX159" s="352" t="n">
        <f aca="true">IF(AND($D159="Serviço",AX$12&lt;&gt;0,$H159&gt;0,OR(AUTOEVENTO&lt;&gt;"manual",$M159&lt;&gt;$A$15)),
        IF(Import.TipoArredondamento&lt;&gt;"TransfereGOV",
              ROUND(OFFSET($P159,0,AX$13),15-13*ORÇAMENTO!$AF$7)/$H159*OFFSET(ORÇAMENTO!$X$15,ROW(AX159)-ROW(AX$15),0),
              ROUND(ROUND(OFFSET($P159,0,AX$13),15-13*ORÇAMENTO!$AF$7)*OFFSET(ORÇAMENTO!$W$15,ROW(AX159)-ROW(AX$15),0),15-13*ORÇAMENTO!$AF$11)),
         0)</f>
        <v>12.54</v>
      </c>
      <c r="AY159" s="352" t="n">
        <f aca="true">IF(AND($D159="Serviço",AY$12&lt;&gt;0,$H159&gt;0,OR(AUTOEVENTO&lt;&gt;"manual",$M159&lt;&gt;$A$15)),
        IF(Import.TipoArredondamento&lt;&gt;"TransfereGOV",
              ROUND(OFFSET($P159,0,AY$13),15-13*ORÇAMENTO!$AF$7)/$H159*OFFSET(ORÇAMENTO!$X$15,ROW(AY159)-ROW(AY$15),0),
              ROUND(ROUND(OFFSET($P159,0,AY$13),15-13*ORÇAMENTO!$AF$7)*OFFSET(ORÇAMENTO!$W$15,ROW(AY159)-ROW(AY$15),0),15-13*ORÇAMENTO!$AF$11)),
         0)</f>
        <v>12.54</v>
      </c>
      <c r="AZ159" s="352" t="n">
        <f aca="true">IF(AND($D159="Serviço",AZ$12&lt;&gt;0,$H159&gt;0,OR(AUTOEVENTO&lt;&gt;"manual",$M159&lt;&gt;$A$15)),
        IF(Import.TipoArredondamento&lt;&gt;"TransfereGOV",
              ROUND(OFFSET($P159,0,AZ$13),15-13*ORÇAMENTO!$AF$7)/$H159*OFFSET(ORÇAMENTO!$X$15,ROW(AZ159)-ROW(AZ$15),0),
              ROUND(ROUND(OFFSET($P159,0,AZ$13),15-13*ORÇAMENTO!$AF$7)*OFFSET(ORÇAMENTO!$W$15,ROW(AZ159)-ROW(AZ$15),0),15-13*ORÇAMENTO!$AF$11)),
         0)</f>
        <v>12.54</v>
      </c>
      <c r="BA159" s="352" t="n">
        <f aca="true">IF(AND($D159="Serviço",BA$12&lt;&gt;0,$H159&gt;0,OR(AUTOEVENTO&lt;&gt;"manual",$M159&lt;&gt;$A$15)),
        IF(Import.TipoArredondamento&lt;&gt;"TransfereGOV",
              ROUND(OFFSET($P159,0,BA$13),15-13*ORÇAMENTO!$AF$7)/$H159*OFFSET(ORÇAMENTO!$X$15,ROW(BA159)-ROW(BA$15),0),
              ROUND(ROUND(OFFSET($P159,0,BA$13),15-13*ORÇAMENTO!$AF$7)*OFFSET(ORÇAMENTO!$W$15,ROW(BA159)-ROW(BA$15),0),15-13*ORÇAMENTO!$AF$11)),
         0)</f>
        <v>12.54</v>
      </c>
      <c r="BB159" s="352" t="n">
        <f aca="true">IF(AND($D159="Serviço",BB$12&lt;&gt;0,$H159&gt;0,OR(AUTOEVENTO&lt;&gt;"manual",$M159&lt;&gt;$A$15)),
        IF(Import.TipoArredondamento&lt;&gt;"TransfereGOV",
              ROUND(OFFSET($P159,0,BB$13),15-13*ORÇAMENTO!$AF$7)/$H159*OFFSET(ORÇAMENTO!$X$15,ROW(BB159)-ROW(BB$15),0),
              ROUND(ROUND(OFFSET($P159,0,BB$13),15-13*ORÇAMENTO!$AF$7)*OFFSET(ORÇAMENTO!$W$15,ROW(BB159)-ROW(BB$15),0),15-13*ORÇAMENTO!$AF$11)),
         0)</f>
        <v>12.54</v>
      </c>
      <c r="BC159" s="352" t="n">
        <f aca="true">IF(AND($D159="Serviço",BC$12&lt;&gt;0,$H159&gt;0,OR(AUTOEVENTO&lt;&gt;"manual",$M159&lt;&gt;$A$15)),
        IF(Import.TipoArredondamento&lt;&gt;"TransfereGOV",
              ROUND(OFFSET($P159,0,BC$13),15-13*ORÇAMENTO!$AF$7)/$H159*OFFSET(ORÇAMENTO!$X$15,ROW(BC159)-ROW(BC$15),0),
              ROUND(ROUND(OFFSET($P159,0,BC$13),15-13*ORÇAMENTO!$AF$7)*OFFSET(ORÇAMENTO!$W$15,ROW(BC159)-ROW(BC$15),0),15-13*ORÇAMENTO!$AF$11)),
         0)</f>
        <v>12.54</v>
      </c>
      <c r="BD159" s="352" t="n">
        <f aca="true">IF(AND($D159="Serviço",BD$12&lt;&gt;0,$H159&gt;0,OR(AUTOEVENTO&lt;&gt;"manual",$M159&lt;&gt;$A$15)),
        IF(Import.TipoArredondamento&lt;&gt;"TransfereGOV",
              ROUND(OFFSET($P159,0,BD$13),15-13*ORÇAMENTO!$AF$7)/$H159*OFFSET(ORÇAMENTO!$X$15,ROW(BD159)-ROW(BD$15),0),
              ROUND(ROUND(OFFSET($P159,0,BD$13),15-13*ORÇAMENTO!$AF$7)*OFFSET(ORÇAMENTO!$W$15,ROW(BD159)-ROW(BD$15),0),15-13*ORÇAMENTO!$AF$11)),
         0)</f>
        <v>12.54</v>
      </c>
      <c r="BE159" s="352" t="n">
        <f aca="true">IF(AND($D159="Serviço",BE$12&lt;&gt;0,$H159&gt;0,OR(AUTOEVENTO&lt;&gt;"manual",$M159&lt;&gt;$A$15)),
        IF(Import.TipoArredondamento&lt;&gt;"TransfereGOV",
              ROUND(OFFSET($P159,0,BE$13),15-13*ORÇAMENTO!$AF$7)/$H159*OFFSET(ORÇAMENTO!$X$15,ROW(BE159)-ROW(BE$15),0),
              ROUND(ROUND(OFFSET($P159,0,BE$13),15-13*ORÇAMENTO!$AF$7)*OFFSET(ORÇAMENTO!$W$15,ROW(BE159)-ROW(BE$15),0),15-13*ORÇAMENTO!$AF$11)),
         0)</f>
        <v>12.54</v>
      </c>
      <c r="BF159" s="352" t="n">
        <f aca="true">IF(AND($D159="Serviço",BF$12&lt;&gt;0,$H159&gt;0,OR(AUTOEVENTO&lt;&gt;"manual",$M159&lt;&gt;$A$15)),
        IF(Import.TipoArredondamento&lt;&gt;"TransfereGOV",
              ROUND(OFFSET($P159,0,BF$13),15-13*ORÇAMENTO!$AF$7)/$H159*OFFSET(ORÇAMENTO!$X$15,ROW(BF159)-ROW(BF$15),0),
              ROUND(ROUND(OFFSET($P159,0,BF$13),15-13*ORÇAMENTO!$AF$7)*OFFSET(ORÇAMENTO!$W$15,ROW(BF159)-ROW(BF$15),0),15-13*ORÇAMENTO!$AF$11)),
         0)</f>
        <v>12.54</v>
      </c>
      <c r="BG159" s="352" t="n">
        <f aca="true">IF(AND($D159="Serviço",BG$12&lt;&gt;0,$H159&gt;0,OR(AUTOEVENTO&lt;&gt;"manual",$M159&lt;&gt;$A$15)),
        IF(Import.TipoArredondamento&lt;&gt;"TransfereGOV",
              ROUND(OFFSET($P159,0,BG$13),15-13*ORÇAMENTO!$AF$7)/$H159*OFFSET(ORÇAMENTO!$X$15,ROW(BG159)-ROW(BG$15),0),
              ROUND(ROUND(OFFSET($P159,0,BG$13),15-13*ORÇAMENTO!$AF$7)*OFFSET(ORÇAMENTO!$W$15,ROW(BG159)-ROW(BG$15),0),15-13*ORÇAMENTO!$AF$11)),
         0)</f>
        <v>12.54</v>
      </c>
      <c r="BH159" s="352" t="n">
        <f aca="true">IF(AND($D159="Serviço",BH$12&lt;&gt;0,$H159&gt;0,OR(AUTOEVENTO&lt;&gt;"manual",$M159&lt;&gt;$A$15)),
        IF(Import.TipoArredondamento&lt;&gt;"TransfereGOV",
              ROUND(OFFSET($P159,0,BH$13),15-13*ORÇAMENTO!$AF$7)/$H159*OFFSET(ORÇAMENTO!$X$15,ROW(BH159)-ROW(BH$15),0),
              ROUND(ROUND(OFFSET($P159,0,BH$13),15-13*ORÇAMENTO!$AF$7)*OFFSET(ORÇAMENTO!$W$15,ROW(BH159)-ROW(BH$15),0),15-13*ORÇAMENTO!$AF$11)),
         0)</f>
        <v>12.54</v>
      </c>
      <c r="BI159" s="352" t="n">
        <f aca="true">IF(AND($D159="Serviço",BI$12&lt;&gt;0,$H159&gt;0,OR(AUTOEVENTO&lt;&gt;"manual",$M159&lt;&gt;$A$15)),
        IF(Import.TipoArredondamento&lt;&gt;"TransfereGOV",
              ROUND(OFFSET($P159,0,BI$13),15-13*ORÇAMENTO!$AF$7)/$H159*OFFSET(ORÇAMENTO!$X$15,ROW(BI159)-ROW(BI$15),0),
              ROUND(ROUND(OFFSET($P159,0,BI$13),15-13*ORÇAMENTO!$AF$7)*OFFSET(ORÇAMENTO!$W$15,ROW(BI159)-ROW(BI$15),0),15-13*ORÇAMENTO!$AF$11)),
         0)</f>
        <v>12.54</v>
      </c>
      <c r="BJ159" s="352" t="n">
        <f aca="true">IF(AND($D159="Serviço",BJ$12&lt;&gt;0,$H159&gt;0,OR(AUTOEVENTO&lt;&gt;"manual",$M159&lt;&gt;$A$15)),
        IF(Import.TipoArredondamento&lt;&gt;"TransfereGOV",
              ROUND(OFFSET($P159,0,BJ$13),15-13*ORÇAMENTO!$AF$7)/$H159*OFFSET(ORÇAMENTO!$X$15,ROW(BJ159)-ROW(BJ$15),0),
              ROUND(ROUND(OFFSET($P159,0,BJ$13),15-13*ORÇAMENTO!$AF$7)*OFFSET(ORÇAMENTO!$W$15,ROW(BJ159)-ROW(BJ$15),0),15-13*ORÇAMENTO!$AF$11)),
         0)</f>
        <v>12.54</v>
      </c>
      <c r="BK159" s="352" t="n">
        <f aca="true">IF(AND($D159="Serviço",BK$12&lt;&gt;0,$H159&gt;0,OR(AUTOEVENTO&lt;&gt;"manual",$M159&lt;&gt;$A$15)),
        IF(Import.TipoArredondamento&lt;&gt;"TransfereGOV",
              ROUND(OFFSET($P159,0,BK$13),15-13*ORÇAMENTO!$AF$7)/$H159*OFFSET(ORÇAMENTO!$X$15,ROW(BK159)-ROW(BK$15),0),
              ROUND(ROUND(OFFSET($P159,0,BK$13),15-13*ORÇAMENTO!$AF$7)*OFFSET(ORÇAMENTO!$W$15,ROW(BK159)-ROW(BK$15),0),15-13*ORÇAMENTO!$AF$11)),
         0)</f>
        <v>12.54</v>
      </c>
      <c r="BL159" s="352" t="n">
        <f aca="true">IF(AND($D159="Serviço",BL$12&lt;&gt;0,$H159&gt;0,OR(AUTOEVENTO&lt;&gt;"manual",$M159&lt;&gt;$A$15)),
        IF(Import.TipoArredondamento&lt;&gt;"TransfereGOV",
              ROUND(OFFSET($P159,0,BL$13),15-13*ORÇAMENTO!$AF$7)/$H159*OFFSET(ORÇAMENTO!$X$15,ROW(BL159)-ROW(BL$15),0),
              ROUND(ROUND(OFFSET($P159,0,BL$13),15-13*ORÇAMENTO!$AF$7)*OFFSET(ORÇAMENTO!$W$15,ROW(BL159)-ROW(BL$15),0),15-13*ORÇAMENTO!$AF$11)),
         0)</f>
        <v>12.54</v>
      </c>
      <c r="BM159" s="352" t="n">
        <f aca="true">IF(AND($D159="Serviço",BM$12&lt;&gt;0,$H159&gt;0,OR(AUTOEVENTO&lt;&gt;"manual",$M159&lt;&gt;$A$15)),
        IF(Import.TipoArredondamento&lt;&gt;"TransfereGOV",
              ROUND(OFFSET($P159,0,BM$13),15-13*ORÇAMENTO!$AF$7)/$H159*OFFSET(ORÇAMENTO!$X$15,ROW(BM159)-ROW(BM$15),0),
              ROUND(ROUND(OFFSET($P159,0,BM$13),15-13*ORÇAMENTO!$AF$7)*OFFSET(ORÇAMENTO!$W$15,ROW(BM159)-ROW(BM$15),0),15-13*ORÇAMENTO!$AF$11)),
         0)</f>
        <v>12.54</v>
      </c>
      <c r="BN159" s="352" t="n">
        <f aca="true">IF(AND($D159="Serviço",BN$12&lt;&gt;0,$H159&gt;0,OR(AUTOEVENTO&lt;&gt;"manual",$M159&lt;&gt;$A$15)),
        IF(Import.TipoArredondamento&lt;&gt;"TransfereGOV",
              ROUND(OFFSET($P159,0,BN$13),15-13*ORÇAMENTO!$AF$7)/$H159*OFFSET(ORÇAMENTO!$X$15,ROW(BN159)-ROW(BN$15),0),
              ROUND(ROUND(OFFSET($P159,0,BN$13),15-13*ORÇAMENTO!$AF$7)*OFFSET(ORÇAMENTO!$W$15,ROW(BN159)-ROW(BN$15),0),15-13*ORÇAMENTO!$AF$11)),
         0)</f>
        <v>12.54</v>
      </c>
      <c r="BO159" s="352" t="n">
        <f aca="true">IF(AND($D159="Serviço",BO$12&lt;&gt;0,$H159&gt;0,OR(AUTOEVENTO&lt;&gt;"manual",$M159&lt;&gt;$A$15)),
        IF(Import.TipoArredondamento&lt;&gt;"TransfereGOV",
              ROUND(OFFSET($P159,0,BO$13),15-13*ORÇAMENTO!$AF$7)/$H159*OFFSET(ORÇAMENTO!$X$15,ROW(BO159)-ROW(BO$15),0),
              ROUND(ROUND(OFFSET($P159,0,BO$13),15-13*ORÇAMENTO!$AF$7)*OFFSET(ORÇAMENTO!$W$15,ROW(BO159)-ROW(BO$15),0),15-13*ORÇAMENTO!$AF$11)),
         0)</f>
        <v>12.54</v>
      </c>
      <c r="BP159" s="352" t="n">
        <f aca="true">IF(AND($D159="Serviço",BP$12&lt;&gt;0,$H159&gt;0,OR(AUTOEVENTO&lt;&gt;"manual",$M159&lt;&gt;$A$15)),
        IF(Import.TipoArredondamento&lt;&gt;"TransfereGOV",
              ROUND(OFFSET($P159,0,BP$13),15-13*ORÇAMENTO!$AF$7)/$H159*OFFSET(ORÇAMENTO!$X$15,ROW(BP159)-ROW(BP$15),0),
              ROUND(ROUND(OFFSET($P159,0,BP$13),15-13*ORÇAMENTO!$AF$7)*OFFSET(ORÇAMENTO!$W$15,ROW(BP159)-ROW(BP$15),0),15-13*ORÇAMENTO!$AF$11)),
         0)</f>
        <v>12.54</v>
      </c>
      <c r="BQ159" s="352" t="n">
        <f aca="true">IF(AND($D159="Serviço",BQ$12&lt;&gt;0,$H159&gt;0,OR(AUTOEVENTO&lt;&gt;"manual",$M159&lt;&gt;$A$15)),
        IF(Import.TipoArredondamento&lt;&gt;"TransfereGOV",
              ROUND(OFFSET($P159,0,BQ$13),15-13*ORÇAMENTO!$AF$7)/$H159*OFFSET(ORÇAMENTO!$X$15,ROW(BQ159)-ROW(BQ$15),0),
              ROUND(ROUND(OFFSET($P159,0,BQ$13),15-13*ORÇAMENTO!$AF$7)*OFFSET(ORÇAMENTO!$W$15,ROW(BQ159)-ROW(BQ$15),0),15-13*ORÇAMENTO!$AF$11)),
         0)</f>
        <v>0</v>
      </c>
      <c r="BS159" s="353" t="n">
        <f aca="true">IF(OR($D159&lt;&gt;"Serviço",AND(AUTOEVENTO="Manual",$M159=$A$15)),0,
         IF(OFFSET(CRONOPLE!$F$15,$M159-$A$15,BS$13)=0,10^12,OFFSET(CRONOPLE!$F$15,$M159-$A$15,BS$13)))</f>
        <v>1</v>
      </c>
      <c r="BT159" s="353" t="n">
        <f aca="true">IF(OR($D159&lt;&gt;"Serviço",AND(AUTOEVENTO="Manual",$M159=$A$15)),0,
         IF(OFFSET(CRONOPLE!$F$15,$M159-$A$15,BT$13)=0,10^12,OFFSET(CRONOPLE!$F$15,$M159-$A$15,BT$13)))</f>
        <v>2</v>
      </c>
      <c r="BU159" s="353" t="n">
        <f aca="true">IF(OR($D159&lt;&gt;"Serviço",AND(AUTOEVENTO="Manual",$M159=$A$15)),0,
         IF(OFFSET(CRONOPLE!$F$15,$M159-$A$15,BU$13)=0,10^12,OFFSET(CRONOPLE!$F$15,$M159-$A$15,BU$13)))</f>
        <v>3</v>
      </c>
      <c r="BV159" s="353" t="n">
        <f aca="true">IF(OR($D159&lt;&gt;"Serviço",AND(AUTOEVENTO="Manual",$M159=$A$15)),0,
         IF(OFFSET(CRONOPLE!$F$15,$M159-$A$15,BV$13)=0,10^12,OFFSET(CRONOPLE!$F$15,$M159-$A$15,BV$13)))</f>
        <v>4</v>
      </c>
      <c r="BW159" s="353" t="n">
        <f aca="true">IF(OR($D159&lt;&gt;"Serviço",AND(AUTOEVENTO="Manual",$M159=$A$15)),0,
         IF(OFFSET(CRONOPLE!$F$15,$M159-$A$15,BW$13)=0,10^12,OFFSET(CRONOPLE!$F$15,$M159-$A$15,BW$13)))</f>
        <v>5</v>
      </c>
      <c r="BX159" s="353" t="n">
        <f aca="true">IF(OR($D159&lt;&gt;"Serviço",AND(AUTOEVENTO="Manual",$M159=$A$15)),0,
         IF(OFFSET(CRONOPLE!$F$15,$M159-$A$15,BX$13)=0,10^12,OFFSET(CRONOPLE!$F$15,$M159-$A$15,BX$13)))</f>
        <v>6</v>
      </c>
      <c r="BY159" s="353" t="n">
        <f aca="true">IF(OR($D159&lt;&gt;"Serviço",AND(AUTOEVENTO="Manual",$M159=$A$15)),0,
         IF(OFFSET(CRONOPLE!$F$15,$M159-$A$15,BY$13)=0,10^12,OFFSET(CRONOPLE!$F$15,$M159-$A$15,BY$13)))</f>
        <v>7</v>
      </c>
      <c r="BZ159" s="353" t="n">
        <f aca="true">IF(OR($D159&lt;&gt;"Serviço",AND(AUTOEVENTO="Manual",$M159=$A$15)),0,
         IF(OFFSET(CRONOPLE!$F$15,$M159-$A$15,BZ$13)=0,10^12,OFFSET(CRONOPLE!$F$15,$M159-$A$15,BZ$13)))</f>
        <v>8</v>
      </c>
      <c r="CA159" s="353" t="n">
        <f aca="true">IF(OR($D159&lt;&gt;"Serviço",AND(AUTOEVENTO="Manual",$M159=$A$15)),0,
         IF(OFFSET(CRONOPLE!$F$15,$M159-$A$15,CA$13)=0,10^12,OFFSET(CRONOPLE!$F$15,$M159-$A$15,CA$13)))</f>
        <v>9</v>
      </c>
      <c r="CB159" s="353" t="n">
        <f aca="true">IF(OR($D159&lt;&gt;"Serviço",AND(AUTOEVENTO="Manual",$M159=$A$15)),0,
         IF(OFFSET(CRONOPLE!$F$15,$M159-$A$15,CB$13)=0,10^12,OFFSET(CRONOPLE!$F$15,$M159-$A$15,CB$13)))</f>
        <v>10</v>
      </c>
      <c r="CC159" s="353" t="n">
        <f aca="true">IF(OR($D159&lt;&gt;"Serviço",AND(AUTOEVENTO="Manual",$M159=$A$15)),0,
         IF(OFFSET(CRONOPLE!$F$15,$M159-$A$15,CC$13)=0,10^12,OFFSET(CRONOPLE!$F$15,$M159-$A$15,CC$13)))</f>
        <v>11</v>
      </c>
      <c r="CD159" s="353" t="n">
        <f aca="true">IF(OR($D159&lt;&gt;"Serviço",AND(AUTOEVENTO="Manual",$M159=$A$15)),0,
         IF(OFFSET(CRONOPLE!$F$15,$M159-$A$15,CD$13)=0,10^12,OFFSET(CRONOPLE!$F$15,$M159-$A$15,CD$13)))</f>
        <v>12</v>
      </c>
      <c r="CE159" s="353" t="n">
        <f aca="true">IF(OR($D159&lt;&gt;"Serviço",AND(AUTOEVENTO="Manual",$M159=$A$15)),0,
         IF(OFFSET(CRONOPLE!$F$15,$M159-$A$15,CE$13)=0,10^12,OFFSET(CRONOPLE!$F$15,$M159-$A$15,CE$13)))</f>
        <v>13</v>
      </c>
      <c r="CF159" s="353" t="n">
        <f aca="true">IF(OR($D159&lt;&gt;"Serviço",AND(AUTOEVENTO="Manual",$M159=$A$15)),0,
         IF(OFFSET(CRONOPLE!$F$15,$M159-$A$15,CF$13)=0,10^12,OFFSET(CRONOPLE!$F$15,$M159-$A$15,CF$13)))</f>
        <v>14</v>
      </c>
      <c r="CG159" s="353" t="n">
        <f aca="true">IF(OR($D159&lt;&gt;"Serviço",AND(AUTOEVENTO="Manual",$M159=$A$15)),0,
         IF(OFFSET(CRONOPLE!$F$15,$M159-$A$15,CG$13)=0,10^12,OFFSET(CRONOPLE!$F$15,$M159-$A$15,CG$13)))</f>
        <v>15</v>
      </c>
      <c r="CH159" s="353" t="n">
        <f aca="true">IF(OR($D159&lt;&gt;"Serviço",AND(AUTOEVENTO="Manual",$M159=$A$15)),0,
         IF(OFFSET(CRONOPLE!$F$15,$M159-$A$15,CH$13)=0,10^12,OFFSET(CRONOPLE!$F$15,$M159-$A$15,CH$13)))</f>
        <v>16</v>
      </c>
      <c r="CI159" s="353" t="n">
        <f aca="true">IF(OR($D159&lt;&gt;"Serviço",AND(AUTOEVENTO="Manual",$M159=$A$15)),0,
         IF(OFFSET(CRONOPLE!$F$15,$M159-$A$15,CI$13)=0,10^12,OFFSET(CRONOPLE!$F$15,$M159-$A$15,CI$13)))</f>
        <v>17</v>
      </c>
      <c r="CJ159" s="353" t="n">
        <f aca="true">IF(OR($D159&lt;&gt;"Serviço",AND(AUTOEVENTO="Manual",$M159=$A$15)),0,
         IF(OFFSET(CRONOPLE!$F$15,$M159-$A$15,CJ$13)=0,10^12,OFFSET(CRONOPLE!$F$15,$M159-$A$15,CJ$13)))</f>
        <v>18</v>
      </c>
      <c r="CK159" s="353" t="n">
        <f aca="true">IF(OR($D159&lt;&gt;"Serviço",AND(AUTOEVENTO="Manual",$M159=$A$15)),0,
         IF(OFFSET(CRONOPLE!$F$15,$M159-$A$15,CK$13)=0,10^12,OFFSET(CRONOPLE!$F$15,$M159-$A$15,CK$13)))</f>
        <v>19</v>
      </c>
      <c r="CL159" s="353" t="n">
        <f aca="true">IF(OR($D159&lt;&gt;"Serviço",AND(AUTOEVENTO="Manual",$M159=$A$15)),0,
         IF(OFFSET(CRONOPLE!$F$15,$M159-$A$15,CL$13)=0,10^12,OFFSET(CRONOPLE!$F$15,$M159-$A$15,CL$13)))</f>
        <v>20</v>
      </c>
      <c r="CM159" s="353" t="n">
        <f aca="true">IF(OR($D159&lt;&gt;"Serviço",AND(AUTOEVENTO="Manual",$M159=$A$15)),0,
         IF(OFFSET(CRONOPLE!$F$15,$M159-$A$15,CM$13)=0,10^12,OFFSET(CRONOPLE!$F$15,$M159-$A$15,CM$13)))</f>
        <v>21</v>
      </c>
      <c r="CN159" s="353" t="n">
        <f aca="true">IF(OR($D159&lt;&gt;"Serviço",AND(AUTOEVENTO="Manual",$M159=$A$15)),0,
         IF(OFFSET(CRONOPLE!$F$15,$M159-$A$15,CN$13)=0,10^12,OFFSET(CRONOPLE!$F$15,$M159-$A$15,CN$13)))</f>
        <v>22</v>
      </c>
      <c r="CO159" s="353" t="n">
        <f aca="true">IF(OR($D159&lt;&gt;"Serviço",AND(AUTOEVENTO="Manual",$M159=$A$15)),0,
         IF(OFFSET(CRONOPLE!$F$15,$M159-$A$15,CO$13)=0,10^12,OFFSET(CRONOPLE!$F$15,$M159-$A$15,CO$13)))</f>
        <v>23</v>
      </c>
      <c r="CP159" s="353" t="n">
        <f aca="true">IF(OR($D159&lt;&gt;"Serviço",AND(AUTOEVENTO="Manual",$M159=$A$15)),0,
         IF(OFFSET(CRONOPLE!$F$15,$M159-$A$15,CP$13)=0,10^12,OFFSET(CRONOPLE!$F$15,$M159-$A$15,CP$13)))</f>
        <v>24</v>
      </c>
      <c r="CQ159" s="353" t="n">
        <f aca="true">IF(OR($D159&lt;&gt;"Serviço",AND(AUTOEVENTO="Manual",$M159=$A$15)),0,
         IF(OFFSET(CRONOPLE!$F$15,$M159-$A$15,CQ$13)=0,10^12,OFFSET(CRONOPLE!$F$15,$M159-$A$15,CQ$13)))</f>
        <v>25</v>
      </c>
      <c r="CR159" s="353" t="n">
        <f aca="true">IF(OR($D159&lt;&gt;"Serviço",AND(AUTOEVENTO="Manual",$M159=$A$15)),0,
         IF(OFFSET(CRONOPLE!$F$15,$M159-$A$15,CR$13)=0,10^12,OFFSET(CRONOPLE!$F$15,$M159-$A$15,CR$13)))</f>
        <v>1000000000000</v>
      </c>
      <c r="CT159" s="354" t="n">
        <f aca="true">IF(OR($D159&lt;&gt;"Serviço",AND(AUTOEVENTO="Manual",$M159=$A$15),$M159&gt;(ROW(PLE.lastrow)-ROW(PLE.firstrow))),0,
           IF(OFFSET(PLE!$G$15,$M159-$A$15,CT$13)="",10^12,OFFSET(PLE!$G$15,$M159-$A$15,CT$13)))</f>
        <v>1000000000000</v>
      </c>
      <c r="CU159" s="354" t="n">
        <f aca="true">IF(OR($D159&lt;&gt;"Serviço",AND(AUTOEVENTO="Manual",$M159=$A$15),$M159&gt;(ROW(PLE.lastrow)-ROW(PLE.firstrow))),0,
           IF(OFFSET(PLE!$G$15,$M159-$A$15,CU$13)="",10^12,OFFSET(PLE!$G$15,$M159-$A$15,CU$13)))</f>
        <v>1000000000000</v>
      </c>
      <c r="CV159" s="354" t="n">
        <f aca="true">IF(OR($D159&lt;&gt;"Serviço",AND(AUTOEVENTO="Manual",$M159=$A$15),$M159&gt;(ROW(PLE.lastrow)-ROW(PLE.firstrow))),0,
           IF(OFFSET(PLE!$G$15,$M159-$A$15,CV$13)="",10^12,OFFSET(PLE!$G$15,$M159-$A$15,CV$13)))</f>
        <v>1000000000000</v>
      </c>
      <c r="CW159" s="354" t="n">
        <f aca="true">IF(OR($D159&lt;&gt;"Serviço",AND(AUTOEVENTO="Manual",$M159=$A$15),$M159&gt;(ROW(PLE.lastrow)-ROW(PLE.firstrow))),0,
           IF(OFFSET(PLE!$G$15,$M159-$A$15,CW$13)="",10^12,OFFSET(PLE!$G$15,$M159-$A$15,CW$13)))</f>
        <v>1000000000000</v>
      </c>
      <c r="CX159" s="354" t="n">
        <f aca="true">IF(OR($D159&lt;&gt;"Serviço",AND(AUTOEVENTO="Manual",$M159=$A$15),$M159&gt;(ROW(PLE.lastrow)-ROW(PLE.firstrow))),0,
           IF(OFFSET(PLE!$G$15,$M159-$A$15,CX$13)="",10^12,OFFSET(PLE!$G$15,$M159-$A$15,CX$13)))</f>
        <v>1000000000000</v>
      </c>
      <c r="CY159" s="354" t="n">
        <f aca="true">IF(OR($D159&lt;&gt;"Serviço",AND(AUTOEVENTO="Manual",$M159=$A$15),$M159&gt;(ROW(PLE.lastrow)-ROW(PLE.firstrow))),0,
           IF(OFFSET(PLE!$G$15,$M159-$A$15,CY$13)="",10^12,OFFSET(PLE!$G$15,$M159-$A$15,CY$13)))</f>
        <v>1000000000000</v>
      </c>
      <c r="CZ159" s="354" t="n">
        <f aca="true">IF(OR($D159&lt;&gt;"Serviço",AND(AUTOEVENTO="Manual",$M159=$A$15),$M159&gt;(ROW(PLE.lastrow)-ROW(PLE.firstrow))),0,
           IF(OFFSET(PLE!$G$15,$M159-$A$15,CZ$13)="",10^12,OFFSET(PLE!$G$15,$M159-$A$15,CZ$13)))</f>
        <v>1000000000000</v>
      </c>
      <c r="DA159" s="354" t="n">
        <f aca="true">IF(OR($D159&lt;&gt;"Serviço",AND(AUTOEVENTO="Manual",$M159=$A$15),$M159&gt;(ROW(PLE.lastrow)-ROW(PLE.firstrow))),0,
           IF(OFFSET(PLE!$G$15,$M159-$A$15,DA$13)="",10^12,OFFSET(PLE!$G$15,$M159-$A$15,DA$13)))</f>
        <v>1000000000000</v>
      </c>
      <c r="DB159" s="354" t="n">
        <f aca="true">IF(OR($D159&lt;&gt;"Serviço",AND(AUTOEVENTO="Manual",$M159=$A$15),$M159&gt;(ROW(PLE.lastrow)-ROW(PLE.firstrow))),0,
           IF(OFFSET(PLE!$G$15,$M159-$A$15,DB$13)="",10^12,OFFSET(PLE!$G$15,$M159-$A$15,DB$13)))</f>
        <v>1000000000000</v>
      </c>
      <c r="DC159" s="354" t="n">
        <f aca="true">IF(OR($D159&lt;&gt;"Serviço",AND(AUTOEVENTO="Manual",$M159=$A$15),$M159&gt;(ROW(PLE.lastrow)-ROW(PLE.firstrow))),0,
           IF(OFFSET(PLE!$G$15,$M159-$A$15,DC$13)="",10^12,OFFSET(PLE!$G$15,$M159-$A$15,DC$13)))</f>
        <v>1000000000000</v>
      </c>
      <c r="DD159" s="354" t="n">
        <f aca="true">IF(OR($D159&lt;&gt;"Serviço",AND(AUTOEVENTO="Manual",$M159=$A$15),$M159&gt;(ROW(PLE.lastrow)-ROW(PLE.firstrow))),0,
           IF(OFFSET(PLE!$G$15,$M159-$A$15,DD$13)="",10^12,OFFSET(PLE!$G$15,$M159-$A$15,DD$13)))</f>
        <v>1000000000000</v>
      </c>
      <c r="DE159" s="354" t="n">
        <f aca="true">IF(OR($D159&lt;&gt;"Serviço",AND(AUTOEVENTO="Manual",$M159=$A$15),$M159&gt;(ROW(PLE.lastrow)-ROW(PLE.firstrow))),0,
           IF(OFFSET(PLE!$G$15,$M159-$A$15,DE$13)="",10^12,OFFSET(PLE!$G$15,$M159-$A$15,DE$13)))</f>
        <v>1000000000000</v>
      </c>
      <c r="DF159" s="354" t="n">
        <f aca="true">IF(OR($D159&lt;&gt;"Serviço",AND(AUTOEVENTO="Manual",$M159=$A$15),$M159&gt;(ROW(PLE.lastrow)-ROW(PLE.firstrow))),0,
           IF(OFFSET(PLE!$G$15,$M159-$A$15,DF$13)="",10^12,OFFSET(PLE!$G$15,$M159-$A$15,DF$13)))</f>
        <v>1000000000000</v>
      </c>
      <c r="DG159" s="354" t="n">
        <f aca="true">IF(OR($D159&lt;&gt;"Serviço",AND(AUTOEVENTO="Manual",$M159=$A$15),$M159&gt;(ROW(PLE.lastrow)-ROW(PLE.firstrow))),0,
           IF(OFFSET(PLE!$G$15,$M159-$A$15,DG$13)="",10^12,OFFSET(PLE!$G$15,$M159-$A$15,DG$13)))</f>
        <v>1000000000000</v>
      </c>
      <c r="DH159" s="354" t="n">
        <f aca="true">IF(OR($D159&lt;&gt;"Serviço",AND(AUTOEVENTO="Manual",$M159=$A$15),$M159&gt;(ROW(PLE.lastrow)-ROW(PLE.firstrow))),0,
           IF(OFFSET(PLE!$G$15,$M159-$A$15,DH$13)="",10^12,OFFSET(PLE!$G$15,$M159-$A$15,DH$13)))</f>
        <v>1000000000000</v>
      </c>
      <c r="DI159" s="354" t="n">
        <f aca="true">IF(OR($D159&lt;&gt;"Serviço",AND(AUTOEVENTO="Manual",$M159=$A$15),$M159&gt;(ROW(PLE.lastrow)-ROW(PLE.firstrow))),0,
           IF(OFFSET(PLE!$G$15,$M159-$A$15,DI$13)="",10^12,OFFSET(PLE!$G$15,$M159-$A$15,DI$13)))</f>
        <v>1000000000000</v>
      </c>
      <c r="DJ159" s="354" t="n">
        <f aca="true">IF(OR($D159&lt;&gt;"Serviço",AND(AUTOEVENTO="Manual",$M159=$A$15),$M159&gt;(ROW(PLE.lastrow)-ROW(PLE.firstrow))),0,
           IF(OFFSET(PLE!$G$15,$M159-$A$15,DJ$13)="",10^12,OFFSET(PLE!$G$15,$M159-$A$15,DJ$13)))</f>
        <v>1000000000000</v>
      </c>
      <c r="DK159" s="354" t="n">
        <f aca="true">IF(OR($D159&lt;&gt;"Serviço",AND(AUTOEVENTO="Manual",$M159=$A$15),$M159&gt;(ROW(PLE.lastrow)-ROW(PLE.firstrow))),0,
           IF(OFFSET(PLE!$G$15,$M159-$A$15,DK$13)="",10^12,OFFSET(PLE!$G$15,$M159-$A$15,DK$13)))</f>
        <v>1000000000000</v>
      </c>
      <c r="DL159" s="354" t="n">
        <f aca="true">IF(OR($D159&lt;&gt;"Serviço",AND(AUTOEVENTO="Manual",$M159=$A$15),$M159&gt;(ROW(PLE.lastrow)-ROW(PLE.firstrow))),0,
           IF(OFFSET(PLE!$G$15,$M159-$A$15,DL$13)="",10^12,OFFSET(PLE!$G$15,$M159-$A$15,DL$13)))</f>
        <v>1000000000000</v>
      </c>
      <c r="DM159" s="354" t="n">
        <f aca="true">IF(OR($D159&lt;&gt;"Serviço",AND(AUTOEVENTO="Manual",$M159=$A$15),$M159&gt;(ROW(PLE.lastrow)-ROW(PLE.firstrow))),0,
           IF(OFFSET(PLE!$G$15,$M159-$A$15,DM$13)="",10^12,OFFSET(PLE!$G$15,$M159-$A$15,DM$13)))</f>
        <v>1000000000000</v>
      </c>
      <c r="DN159" s="354" t="n">
        <f aca="true">IF(OR($D159&lt;&gt;"Serviço",AND(AUTOEVENTO="Manual",$M159=$A$15),$M159&gt;(ROW(PLE.lastrow)-ROW(PLE.firstrow))),0,
           IF(OFFSET(PLE!$G$15,$M159-$A$15,DN$13)="",10^12,OFFSET(PLE!$G$15,$M159-$A$15,DN$13)))</f>
        <v>1000000000000</v>
      </c>
      <c r="DO159" s="354" t="n">
        <f aca="true">IF(OR($D159&lt;&gt;"Serviço",AND(AUTOEVENTO="Manual",$M159=$A$15),$M159&gt;(ROW(PLE.lastrow)-ROW(PLE.firstrow))),0,
           IF(OFFSET(PLE!$G$15,$M159-$A$15,DO$13)="",10^12,OFFSET(PLE!$G$15,$M159-$A$15,DO$13)))</f>
        <v>1000000000000</v>
      </c>
      <c r="DP159" s="354" t="n">
        <f aca="true">IF(OR($D159&lt;&gt;"Serviço",AND(AUTOEVENTO="Manual",$M159=$A$15),$M159&gt;(ROW(PLE.lastrow)-ROW(PLE.firstrow))),0,
           IF(OFFSET(PLE!$G$15,$M159-$A$15,DP$13)="",10^12,OFFSET(PLE!$G$15,$M159-$A$15,DP$13)))</f>
        <v>1000000000000</v>
      </c>
      <c r="DQ159" s="354" t="n">
        <f aca="true">IF(OR($D159&lt;&gt;"Serviço",AND(AUTOEVENTO="Manual",$M159=$A$15),$M159&gt;(ROW(PLE.lastrow)-ROW(PLE.firstrow))),0,
           IF(OFFSET(PLE!$G$15,$M159-$A$15,DQ$13)="",10^12,OFFSET(PLE!$G$15,$M159-$A$15,DQ$13)))</f>
        <v>1000000000000</v>
      </c>
      <c r="DR159" s="354" t="n">
        <f aca="true">IF(OR($D159&lt;&gt;"Serviço",AND(AUTOEVENTO="Manual",$M159=$A$15),$M159&gt;(ROW(PLE.lastrow)-ROW(PLE.firstrow))),0,
           IF(OFFSET(PLE!$G$15,$M159-$A$15,DR$13)="",10^12,OFFSET(PLE!$G$15,$M159-$A$15,DR$13)))</f>
        <v>1000000000000</v>
      </c>
      <c r="DS159" s="354" t="n">
        <f aca="true">IF(OR($D159&lt;&gt;"Serviço",AND(AUTOEVENTO="Manual",$M159=$A$15),$M159&gt;(ROW(PLE.lastrow)-ROW(PLE.firstrow))),0,
           IF(OFFSET(PLE!$G$15,$M159-$A$15,DS$13)="",10^12,OFFSET(PLE!$G$15,$M159-$A$15,DS$13)))</f>
        <v>1000000000000</v>
      </c>
    </row>
    <row r="160" customFormat="false" ht="35.05" hidden="false" customHeight="false" outlineLevel="0" collapsed="false">
      <c r="A160" s="50" t="str">
        <f aca="true">IFERROR(IF(AUTOEVENTO="Manual",IF(K160&lt;&gt;"",MIN(VALUE(LEFT(K160,FIND(".",K160)-1)),COUNTA(EVENTOS.Lista)),0),IF(OR($B160&gt;AUTOEVENTO,$B160="S",$B160=0),SUBSTITUTE(OFFSET($A160,-1,0),IF($D160="Serviço",".",""),""),ROW(A160)-ROW($A$15)&amp;".")),0)</f>
        <v>141</v>
      </c>
      <c r="B160" s="50" t="str">
        <f aca="true">OFFSET(ORÇAMENTO!C$15,ROW(B160)-ROW(B$15),0)</f>
        <v>S</v>
      </c>
      <c r="C160" s="50" t="str">
        <f aca="true">OFFSET(ORÇAMENTO!L$15,ROW(C160)-ROW(C$15),0)</f>
        <v>F</v>
      </c>
      <c r="D160" s="201" t="str">
        <f aca="true">OFFSET(ORÇAMENTO!N$15,ROW(D160)-ROW(D$15),0)</f>
        <v>Serviço</v>
      </c>
      <c r="E160" s="202" t="str">
        <f aca="true">OFFSET(ORÇAMENTO!O$15,ROW(E160)-ROW(E$15),0)</f>
        <v>1.43.4.</v>
      </c>
      <c r="F160" s="341" t="str">
        <f aca="true">OFFSET(ORÇAMENTO!R$15,ROW(F160)-ROW(F$15),0)</f>
        <v>ADAPTADOR COM FLANGE E ANEL DE VEDAÇÃO, PVC, SOLDÁVEL, DN 25 MM X 3/4", INSTALADO EM RESERVAÇÃO PREDIAL DE ÁGUA - FORNECIMENTO E INSTALAÇÃO. AF_04/2024</v>
      </c>
      <c r="G160" s="342" t="str">
        <f aca="true">IF($D160&lt;&gt;"Serviço","",OFFSET(ORÇAMENTO!S$15,ROW(G160)-ROW(G$15),0))</f>
        <v>UN</v>
      </c>
      <c r="H160" s="207" t="n">
        <f aca="true">IF($D160&lt;&gt;"Serviço",0,IF(ACOMPANHAMENTO="BM",ROUND(OFFSET(ORÇAMENTO!AJ$15,ROW(H160)-ROW(H$15),0),15-13*ORÇAMENTO!$AF$7),SUMPRODUCT(($Q$1:$AQ$1=1)*ROUND($Q160:$AQ160,15-13*ORÇAMENTO!$AF$7))))</f>
        <v>25</v>
      </c>
      <c r="I160" s="343" t="s">
        <v>969</v>
      </c>
      <c r="J160" s="344" t="e">
        <f aca="false">IF(OR(B160&lt;&gt;"S",CÁLCULO.FrentesPreenchidas=0),"",IF(AND(ACOMPANHAMENTO="PLE",AUTOEVENTO="Manual",OR(H160&gt;0,ORÇAMENTO!AC160="QUANT."),OR(K160="",M160=0,N160="")),"►",IF(AND(ACOMPANHAMENTO="PLE",ORÇAMENTO!AC160="QUANT."),"►►",IF(AND(COUNTIF($P$11:$AQ$11,"▼")=0,H160&gt;0,I160=""),"◄",""))))</f>
        <v>#NAME?</v>
      </c>
      <c r="K160" s="345"/>
      <c r="L160" s="346" t="s">
        <v>876</v>
      </c>
      <c r="M160" s="347" t="n">
        <f aca="true">IF($D160&lt;&gt;"Serviço","",
          IF(AUTOEVENTO="manual",$A160,
                IF(ISERROR(MATCH($A160,$A$15:OFFSET($A160,-1,0),0)),MAX($M$15:OFFSET(M160,-1,0))+1,
                      INDEX($M$15:OFFSET(M160,-1,0),MATCH($A160,$A$15:OFFSET($A160,-1,0),0)))))</f>
        <v>27</v>
      </c>
      <c r="N160" s="348" t="str">
        <f aca="true">IF($D160&lt;&gt;"Serviço","",
         IF(AUTOEVENTO="Manual",
                IF($A160=0,"&lt;-- defina o número do agrupador",
                       OFFSET(EVENTOS!$D$15,$A160-$A$15,0)),
                OFFSET($F$15,$A160,0)))</f>
        <v>CAIXA D'ÁGUA E BARRILETE</v>
      </c>
      <c r="O160" s="349"/>
      <c r="Q160" s="349" t="n">
        <v>1</v>
      </c>
      <c r="R160" s="350" t="n">
        <f aca="false">Q160</f>
        <v>1</v>
      </c>
      <c r="S160" s="350" t="n">
        <f aca="false">R160</f>
        <v>1</v>
      </c>
      <c r="T160" s="350" t="n">
        <f aca="false">S160</f>
        <v>1</v>
      </c>
      <c r="U160" s="350" t="n">
        <f aca="false">T160</f>
        <v>1</v>
      </c>
      <c r="V160" s="350" t="n">
        <f aca="false">U160</f>
        <v>1</v>
      </c>
      <c r="W160" s="350" t="n">
        <f aca="false">V160</f>
        <v>1</v>
      </c>
      <c r="X160" s="350" t="n">
        <f aca="false">W160</f>
        <v>1</v>
      </c>
      <c r="Y160" s="350" t="n">
        <f aca="false">X160</f>
        <v>1</v>
      </c>
      <c r="Z160" s="351" t="n">
        <f aca="false">Y160</f>
        <v>1</v>
      </c>
      <c r="AA160" s="350" t="n">
        <f aca="false">Z160</f>
        <v>1</v>
      </c>
      <c r="AB160" s="350" t="n">
        <f aca="false">AA160</f>
        <v>1</v>
      </c>
      <c r="AC160" s="350" t="n">
        <f aca="false">AB160</f>
        <v>1</v>
      </c>
      <c r="AD160" s="350" t="n">
        <f aca="false">AC160</f>
        <v>1</v>
      </c>
      <c r="AE160" s="350" t="n">
        <f aca="false">AD160</f>
        <v>1</v>
      </c>
      <c r="AF160" s="350" t="n">
        <f aca="false">AE160</f>
        <v>1</v>
      </c>
      <c r="AG160" s="350" t="n">
        <f aca="false">AF160</f>
        <v>1</v>
      </c>
      <c r="AH160" s="351" t="n">
        <f aca="false">AG160</f>
        <v>1</v>
      </c>
      <c r="AI160" s="350" t="n">
        <f aca="false">AH160</f>
        <v>1</v>
      </c>
      <c r="AJ160" s="350" t="n">
        <f aca="false">AI160</f>
        <v>1</v>
      </c>
      <c r="AK160" s="350" t="n">
        <f aca="false">AJ160</f>
        <v>1</v>
      </c>
      <c r="AL160" s="350" t="n">
        <f aca="false">AK160</f>
        <v>1</v>
      </c>
      <c r="AM160" s="350" t="n">
        <f aca="false">AL160</f>
        <v>1</v>
      </c>
      <c r="AN160" s="350" t="n">
        <f aca="false">AM160</f>
        <v>1</v>
      </c>
      <c r="AO160" s="350" t="n">
        <f aca="false">AN160</f>
        <v>1</v>
      </c>
      <c r="AP160" s="351"/>
      <c r="AR160" s="352" t="n">
        <f aca="true">IF(AND($D160="Serviço",AR$12&lt;&gt;0,$H160&gt;0,OR(AUTOEVENTO&lt;&gt;"manual",$M160&lt;&gt;$A$15)),
        IF(Import.TipoArredondamento&lt;&gt;"TransfereGOV",
              ROUND(OFFSET($P160,0,AR$13),15-13*ORÇAMENTO!$AF$7)/$H160*OFFSET(ORÇAMENTO!$X$15,ROW(AR160)-ROW(AR$15),0),
              ROUND(ROUND(OFFSET($P160,0,AR$13),15-13*ORÇAMENTO!$AF$7)*OFFSET(ORÇAMENTO!$W$15,ROW(AR160)-ROW(AR$15),0),15-13*ORÇAMENTO!$AF$11)),
         0)</f>
        <v>24.67</v>
      </c>
      <c r="AS160" s="352" t="n">
        <f aca="true">IF(AND($D160="Serviço",AS$12&lt;&gt;0,$H160&gt;0,OR(AUTOEVENTO&lt;&gt;"manual",$M160&lt;&gt;$A$15)),
        IF(Import.TipoArredondamento&lt;&gt;"TransfereGOV",
              ROUND(OFFSET($P160,0,AS$13),15-13*ORÇAMENTO!$AF$7)/$H160*OFFSET(ORÇAMENTO!$X$15,ROW(AS160)-ROW(AS$15),0),
              ROUND(ROUND(OFFSET($P160,0,AS$13),15-13*ORÇAMENTO!$AF$7)*OFFSET(ORÇAMENTO!$W$15,ROW(AS160)-ROW(AS$15),0),15-13*ORÇAMENTO!$AF$11)),
         0)</f>
        <v>24.67</v>
      </c>
      <c r="AT160" s="352" t="n">
        <f aca="true">IF(AND($D160="Serviço",AT$12&lt;&gt;0,$H160&gt;0,OR(AUTOEVENTO&lt;&gt;"manual",$M160&lt;&gt;$A$15)),
        IF(Import.TipoArredondamento&lt;&gt;"TransfereGOV",
              ROUND(OFFSET($P160,0,AT$13),15-13*ORÇAMENTO!$AF$7)/$H160*OFFSET(ORÇAMENTO!$X$15,ROW(AT160)-ROW(AT$15),0),
              ROUND(ROUND(OFFSET($P160,0,AT$13),15-13*ORÇAMENTO!$AF$7)*OFFSET(ORÇAMENTO!$W$15,ROW(AT160)-ROW(AT$15),0),15-13*ORÇAMENTO!$AF$11)),
         0)</f>
        <v>24.67</v>
      </c>
      <c r="AU160" s="352" t="n">
        <f aca="true">IF(AND($D160="Serviço",AU$12&lt;&gt;0,$H160&gt;0,OR(AUTOEVENTO&lt;&gt;"manual",$M160&lt;&gt;$A$15)),
        IF(Import.TipoArredondamento&lt;&gt;"TransfereGOV",
              ROUND(OFFSET($P160,0,AU$13),15-13*ORÇAMENTO!$AF$7)/$H160*OFFSET(ORÇAMENTO!$X$15,ROW(AU160)-ROW(AU$15),0),
              ROUND(ROUND(OFFSET($P160,0,AU$13),15-13*ORÇAMENTO!$AF$7)*OFFSET(ORÇAMENTO!$W$15,ROW(AU160)-ROW(AU$15),0),15-13*ORÇAMENTO!$AF$11)),
         0)</f>
        <v>24.67</v>
      </c>
      <c r="AV160" s="352" t="n">
        <f aca="true">IF(AND($D160="Serviço",AV$12&lt;&gt;0,$H160&gt;0,OR(AUTOEVENTO&lt;&gt;"manual",$M160&lt;&gt;$A$15)),
        IF(Import.TipoArredondamento&lt;&gt;"TransfereGOV",
              ROUND(OFFSET($P160,0,AV$13),15-13*ORÇAMENTO!$AF$7)/$H160*OFFSET(ORÇAMENTO!$X$15,ROW(AV160)-ROW(AV$15),0),
              ROUND(ROUND(OFFSET($P160,0,AV$13),15-13*ORÇAMENTO!$AF$7)*OFFSET(ORÇAMENTO!$W$15,ROW(AV160)-ROW(AV$15),0),15-13*ORÇAMENTO!$AF$11)),
         0)</f>
        <v>24.67</v>
      </c>
      <c r="AW160" s="352" t="n">
        <f aca="true">IF(AND($D160="Serviço",AW$12&lt;&gt;0,$H160&gt;0,OR(AUTOEVENTO&lt;&gt;"manual",$M160&lt;&gt;$A$15)),
        IF(Import.TipoArredondamento&lt;&gt;"TransfereGOV",
              ROUND(OFFSET($P160,0,AW$13),15-13*ORÇAMENTO!$AF$7)/$H160*OFFSET(ORÇAMENTO!$X$15,ROW(AW160)-ROW(AW$15),0),
              ROUND(ROUND(OFFSET($P160,0,AW$13),15-13*ORÇAMENTO!$AF$7)*OFFSET(ORÇAMENTO!$W$15,ROW(AW160)-ROW(AW$15),0),15-13*ORÇAMENTO!$AF$11)),
         0)</f>
        <v>24.67</v>
      </c>
      <c r="AX160" s="352" t="n">
        <f aca="true">IF(AND($D160="Serviço",AX$12&lt;&gt;0,$H160&gt;0,OR(AUTOEVENTO&lt;&gt;"manual",$M160&lt;&gt;$A$15)),
        IF(Import.TipoArredondamento&lt;&gt;"TransfereGOV",
              ROUND(OFFSET($P160,0,AX$13),15-13*ORÇAMENTO!$AF$7)/$H160*OFFSET(ORÇAMENTO!$X$15,ROW(AX160)-ROW(AX$15),0),
              ROUND(ROUND(OFFSET($P160,0,AX$13),15-13*ORÇAMENTO!$AF$7)*OFFSET(ORÇAMENTO!$W$15,ROW(AX160)-ROW(AX$15),0),15-13*ORÇAMENTO!$AF$11)),
         0)</f>
        <v>24.67</v>
      </c>
      <c r="AY160" s="352" t="n">
        <f aca="true">IF(AND($D160="Serviço",AY$12&lt;&gt;0,$H160&gt;0,OR(AUTOEVENTO&lt;&gt;"manual",$M160&lt;&gt;$A$15)),
        IF(Import.TipoArredondamento&lt;&gt;"TransfereGOV",
              ROUND(OFFSET($P160,0,AY$13),15-13*ORÇAMENTO!$AF$7)/$H160*OFFSET(ORÇAMENTO!$X$15,ROW(AY160)-ROW(AY$15),0),
              ROUND(ROUND(OFFSET($P160,0,AY$13),15-13*ORÇAMENTO!$AF$7)*OFFSET(ORÇAMENTO!$W$15,ROW(AY160)-ROW(AY$15),0),15-13*ORÇAMENTO!$AF$11)),
         0)</f>
        <v>24.67</v>
      </c>
      <c r="AZ160" s="352" t="n">
        <f aca="true">IF(AND($D160="Serviço",AZ$12&lt;&gt;0,$H160&gt;0,OR(AUTOEVENTO&lt;&gt;"manual",$M160&lt;&gt;$A$15)),
        IF(Import.TipoArredondamento&lt;&gt;"TransfereGOV",
              ROUND(OFFSET($P160,0,AZ$13),15-13*ORÇAMENTO!$AF$7)/$H160*OFFSET(ORÇAMENTO!$X$15,ROW(AZ160)-ROW(AZ$15),0),
              ROUND(ROUND(OFFSET($P160,0,AZ$13),15-13*ORÇAMENTO!$AF$7)*OFFSET(ORÇAMENTO!$W$15,ROW(AZ160)-ROW(AZ$15),0),15-13*ORÇAMENTO!$AF$11)),
         0)</f>
        <v>24.67</v>
      </c>
      <c r="BA160" s="352" t="n">
        <f aca="true">IF(AND($D160="Serviço",BA$12&lt;&gt;0,$H160&gt;0,OR(AUTOEVENTO&lt;&gt;"manual",$M160&lt;&gt;$A$15)),
        IF(Import.TipoArredondamento&lt;&gt;"TransfereGOV",
              ROUND(OFFSET($P160,0,BA$13),15-13*ORÇAMENTO!$AF$7)/$H160*OFFSET(ORÇAMENTO!$X$15,ROW(BA160)-ROW(BA$15),0),
              ROUND(ROUND(OFFSET($P160,0,BA$13),15-13*ORÇAMENTO!$AF$7)*OFFSET(ORÇAMENTO!$W$15,ROW(BA160)-ROW(BA$15),0),15-13*ORÇAMENTO!$AF$11)),
         0)</f>
        <v>24.67</v>
      </c>
      <c r="BB160" s="352" t="n">
        <f aca="true">IF(AND($D160="Serviço",BB$12&lt;&gt;0,$H160&gt;0,OR(AUTOEVENTO&lt;&gt;"manual",$M160&lt;&gt;$A$15)),
        IF(Import.TipoArredondamento&lt;&gt;"TransfereGOV",
              ROUND(OFFSET($P160,0,BB$13),15-13*ORÇAMENTO!$AF$7)/$H160*OFFSET(ORÇAMENTO!$X$15,ROW(BB160)-ROW(BB$15),0),
              ROUND(ROUND(OFFSET($P160,0,BB$13),15-13*ORÇAMENTO!$AF$7)*OFFSET(ORÇAMENTO!$W$15,ROW(BB160)-ROW(BB$15),0),15-13*ORÇAMENTO!$AF$11)),
         0)</f>
        <v>24.67</v>
      </c>
      <c r="BC160" s="352" t="n">
        <f aca="true">IF(AND($D160="Serviço",BC$12&lt;&gt;0,$H160&gt;0,OR(AUTOEVENTO&lt;&gt;"manual",$M160&lt;&gt;$A$15)),
        IF(Import.TipoArredondamento&lt;&gt;"TransfereGOV",
              ROUND(OFFSET($P160,0,BC$13),15-13*ORÇAMENTO!$AF$7)/$H160*OFFSET(ORÇAMENTO!$X$15,ROW(BC160)-ROW(BC$15),0),
              ROUND(ROUND(OFFSET($P160,0,BC$13),15-13*ORÇAMENTO!$AF$7)*OFFSET(ORÇAMENTO!$W$15,ROW(BC160)-ROW(BC$15),0),15-13*ORÇAMENTO!$AF$11)),
         0)</f>
        <v>24.67</v>
      </c>
      <c r="BD160" s="352" t="n">
        <f aca="true">IF(AND($D160="Serviço",BD$12&lt;&gt;0,$H160&gt;0,OR(AUTOEVENTO&lt;&gt;"manual",$M160&lt;&gt;$A$15)),
        IF(Import.TipoArredondamento&lt;&gt;"TransfereGOV",
              ROUND(OFFSET($P160,0,BD$13),15-13*ORÇAMENTO!$AF$7)/$H160*OFFSET(ORÇAMENTO!$X$15,ROW(BD160)-ROW(BD$15),0),
              ROUND(ROUND(OFFSET($P160,0,BD$13),15-13*ORÇAMENTO!$AF$7)*OFFSET(ORÇAMENTO!$W$15,ROW(BD160)-ROW(BD$15),0),15-13*ORÇAMENTO!$AF$11)),
         0)</f>
        <v>24.67</v>
      </c>
      <c r="BE160" s="352" t="n">
        <f aca="true">IF(AND($D160="Serviço",BE$12&lt;&gt;0,$H160&gt;0,OR(AUTOEVENTO&lt;&gt;"manual",$M160&lt;&gt;$A$15)),
        IF(Import.TipoArredondamento&lt;&gt;"TransfereGOV",
              ROUND(OFFSET($P160,0,BE$13),15-13*ORÇAMENTO!$AF$7)/$H160*OFFSET(ORÇAMENTO!$X$15,ROW(BE160)-ROW(BE$15),0),
              ROUND(ROUND(OFFSET($P160,0,BE$13),15-13*ORÇAMENTO!$AF$7)*OFFSET(ORÇAMENTO!$W$15,ROW(BE160)-ROW(BE$15),0),15-13*ORÇAMENTO!$AF$11)),
         0)</f>
        <v>24.67</v>
      </c>
      <c r="BF160" s="352" t="n">
        <f aca="true">IF(AND($D160="Serviço",BF$12&lt;&gt;0,$H160&gt;0,OR(AUTOEVENTO&lt;&gt;"manual",$M160&lt;&gt;$A$15)),
        IF(Import.TipoArredondamento&lt;&gt;"TransfereGOV",
              ROUND(OFFSET($P160,0,BF$13),15-13*ORÇAMENTO!$AF$7)/$H160*OFFSET(ORÇAMENTO!$X$15,ROW(BF160)-ROW(BF$15),0),
              ROUND(ROUND(OFFSET($P160,0,BF$13),15-13*ORÇAMENTO!$AF$7)*OFFSET(ORÇAMENTO!$W$15,ROW(BF160)-ROW(BF$15),0),15-13*ORÇAMENTO!$AF$11)),
         0)</f>
        <v>24.67</v>
      </c>
      <c r="BG160" s="352" t="n">
        <f aca="true">IF(AND($D160="Serviço",BG$12&lt;&gt;0,$H160&gt;0,OR(AUTOEVENTO&lt;&gt;"manual",$M160&lt;&gt;$A$15)),
        IF(Import.TipoArredondamento&lt;&gt;"TransfereGOV",
              ROUND(OFFSET($P160,0,BG$13),15-13*ORÇAMENTO!$AF$7)/$H160*OFFSET(ORÇAMENTO!$X$15,ROW(BG160)-ROW(BG$15),0),
              ROUND(ROUND(OFFSET($P160,0,BG$13),15-13*ORÇAMENTO!$AF$7)*OFFSET(ORÇAMENTO!$W$15,ROW(BG160)-ROW(BG$15),0),15-13*ORÇAMENTO!$AF$11)),
         0)</f>
        <v>24.67</v>
      </c>
      <c r="BH160" s="352" t="n">
        <f aca="true">IF(AND($D160="Serviço",BH$12&lt;&gt;0,$H160&gt;0,OR(AUTOEVENTO&lt;&gt;"manual",$M160&lt;&gt;$A$15)),
        IF(Import.TipoArredondamento&lt;&gt;"TransfereGOV",
              ROUND(OFFSET($P160,0,BH$13),15-13*ORÇAMENTO!$AF$7)/$H160*OFFSET(ORÇAMENTO!$X$15,ROW(BH160)-ROW(BH$15),0),
              ROUND(ROUND(OFFSET($P160,0,BH$13),15-13*ORÇAMENTO!$AF$7)*OFFSET(ORÇAMENTO!$W$15,ROW(BH160)-ROW(BH$15),0),15-13*ORÇAMENTO!$AF$11)),
         0)</f>
        <v>24.67</v>
      </c>
      <c r="BI160" s="352" t="n">
        <f aca="true">IF(AND($D160="Serviço",BI$12&lt;&gt;0,$H160&gt;0,OR(AUTOEVENTO&lt;&gt;"manual",$M160&lt;&gt;$A$15)),
        IF(Import.TipoArredondamento&lt;&gt;"TransfereGOV",
              ROUND(OFFSET($P160,0,BI$13),15-13*ORÇAMENTO!$AF$7)/$H160*OFFSET(ORÇAMENTO!$X$15,ROW(BI160)-ROW(BI$15),0),
              ROUND(ROUND(OFFSET($P160,0,BI$13),15-13*ORÇAMENTO!$AF$7)*OFFSET(ORÇAMENTO!$W$15,ROW(BI160)-ROW(BI$15),0),15-13*ORÇAMENTO!$AF$11)),
         0)</f>
        <v>24.67</v>
      </c>
      <c r="BJ160" s="352" t="n">
        <f aca="true">IF(AND($D160="Serviço",BJ$12&lt;&gt;0,$H160&gt;0,OR(AUTOEVENTO&lt;&gt;"manual",$M160&lt;&gt;$A$15)),
        IF(Import.TipoArredondamento&lt;&gt;"TransfereGOV",
              ROUND(OFFSET($P160,0,BJ$13),15-13*ORÇAMENTO!$AF$7)/$H160*OFFSET(ORÇAMENTO!$X$15,ROW(BJ160)-ROW(BJ$15),0),
              ROUND(ROUND(OFFSET($P160,0,BJ$13),15-13*ORÇAMENTO!$AF$7)*OFFSET(ORÇAMENTO!$W$15,ROW(BJ160)-ROW(BJ$15),0),15-13*ORÇAMENTO!$AF$11)),
         0)</f>
        <v>24.67</v>
      </c>
      <c r="BK160" s="352" t="n">
        <f aca="true">IF(AND($D160="Serviço",BK$12&lt;&gt;0,$H160&gt;0,OR(AUTOEVENTO&lt;&gt;"manual",$M160&lt;&gt;$A$15)),
        IF(Import.TipoArredondamento&lt;&gt;"TransfereGOV",
              ROUND(OFFSET($P160,0,BK$13),15-13*ORÇAMENTO!$AF$7)/$H160*OFFSET(ORÇAMENTO!$X$15,ROW(BK160)-ROW(BK$15),0),
              ROUND(ROUND(OFFSET($P160,0,BK$13),15-13*ORÇAMENTO!$AF$7)*OFFSET(ORÇAMENTO!$W$15,ROW(BK160)-ROW(BK$15),0),15-13*ORÇAMENTO!$AF$11)),
         0)</f>
        <v>24.67</v>
      </c>
      <c r="BL160" s="352" t="n">
        <f aca="true">IF(AND($D160="Serviço",BL$12&lt;&gt;0,$H160&gt;0,OR(AUTOEVENTO&lt;&gt;"manual",$M160&lt;&gt;$A$15)),
        IF(Import.TipoArredondamento&lt;&gt;"TransfereGOV",
              ROUND(OFFSET($P160,0,BL$13),15-13*ORÇAMENTO!$AF$7)/$H160*OFFSET(ORÇAMENTO!$X$15,ROW(BL160)-ROW(BL$15),0),
              ROUND(ROUND(OFFSET($P160,0,BL$13),15-13*ORÇAMENTO!$AF$7)*OFFSET(ORÇAMENTO!$W$15,ROW(BL160)-ROW(BL$15),0),15-13*ORÇAMENTO!$AF$11)),
         0)</f>
        <v>24.67</v>
      </c>
      <c r="BM160" s="352" t="n">
        <f aca="true">IF(AND($D160="Serviço",BM$12&lt;&gt;0,$H160&gt;0,OR(AUTOEVENTO&lt;&gt;"manual",$M160&lt;&gt;$A$15)),
        IF(Import.TipoArredondamento&lt;&gt;"TransfereGOV",
              ROUND(OFFSET($P160,0,BM$13),15-13*ORÇAMENTO!$AF$7)/$H160*OFFSET(ORÇAMENTO!$X$15,ROW(BM160)-ROW(BM$15),0),
              ROUND(ROUND(OFFSET($P160,0,BM$13),15-13*ORÇAMENTO!$AF$7)*OFFSET(ORÇAMENTO!$W$15,ROW(BM160)-ROW(BM$15),0),15-13*ORÇAMENTO!$AF$11)),
         0)</f>
        <v>24.67</v>
      </c>
      <c r="BN160" s="352" t="n">
        <f aca="true">IF(AND($D160="Serviço",BN$12&lt;&gt;0,$H160&gt;0,OR(AUTOEVENTO&lt;&gt;"manual",$M160&lt;&gt;$A$15)),
        IF(Import.TipoArredondamento&lt;&gt;"TransfereGOV",
              ROUND(OFFSET($P160,0,BN$13),15-13*ORÇAMENTO!$AF$7)/$H160*OFFSET(ORÇAMENTO!$X$15,ROW(BN160)-ROW(BN$15),0),
              ROUND(ROUND(OFFSET($P160,0,BN$13),15-13*ORÇAMENTO!$AF$7)*OFFSET(ORÇAMENTO!$W$15,ROW(BN160)-ROW(BN$15),0),15-13*ORÇAMENTO!$AF$11)),
         0)</f>
        <v>24.67</v>
      </c>
      <c r="BO160" s="352" t="n">
        <f aca="true">IF(AND($D160="Serviço",BO$12&lt;&gt;0,$H160&gt;0,OR(AUTOEVENTO&lt;&gt;"manual",$M160&lt;&gt;$A$15)),
        IF(Import.TipoArredondamento&lt;&gt;"TransfereGOV",
              ROUND(OFFSET($P160,0,BO$13),15-13*ORÇAMENTO!$AF$7)/$H160*OFFSET(ORÇAMENTO!$X$15,ROW(BO160)-ROW(BO$15),0),
              ROUND(ROUND(OFFSET($P160,0,BO$13),15-13*ORÇAMENTO!$AF$7)*OFFSET(ORÇAMENTO!$W$15,ROW(BO160)-ROW(BO$15),0),15-13*ORÇAMENTO!$AF$11)),
         0)</f>
        <v>24.67</v>
      </c>
      <c r="BP160" s="352" t="n">
        <f aca="true">IF(AND($D160="Serviço",BP$12&lt;&gt;0,$H160&gt;0,OR(AUTOEVENTO&lt;&gt;"manual",$M160&lt;&gt;$A$15)),
        IF(Import.TipoArredondamento&lt;&gt;"TransfereGOV",
              ROUND(OFFSET($P160,0,BP$13),15-13*ORÇAMENTO!$AF$7)/$H160*OFFSET(ORÇAMENTO!$X$15,ROW(BP160)-ROW(BP$15),0),
              ROUND(ROUND(OFFSET($P160,0,BP$13),15-13*ORÇAMENTO!$AF$7)*OFFSET(ORÇAMENTO!$W$15,ROW(BP160)-ROW(BP$15),0),15-13*ORÇAMENTO!$AF$11)),
         0)</f>
        <v>24.67</v>
      </c>
      <c r="BQ160" s="352" t="n">
        <f aca="true">IF(AND($D160="Serviço",BQ$12&lt;&gt;0,$H160&gt;0,OR(AUTOEVENTO&lt;&gt;"manual",$M160&lt;&gt;$A$15)),
        IF(Import.TipoArredondamento&lt;&gt;"TransfereGOV",
              ROUND(OFFSET($P160,0,BQ$13),15-13*ORÇAMENTO!$AF$7)/$H160*OFFSET(ORÇAMENTO!$X$15,ROW(BQ160)-ROW(BQ$15),0),
              ROUND(ROUND(OFFSET($P160,0,BQ$13),15-13*ORÇAMENTO!$AF$7)*OFFSET(ORÇAMENTO!$W$15,ROW(BQ160)-ROW(BQ$15),0),15-13*ORÇAMENTO!$AF$11)),
         0)</f>
        <v>0</v>
      </c>
      <c r="BS160" s="353" t="n">
        <f aca="true">IF(OR($D160&lt;&gt;"Serviço",AND(AUTOEVENTO="Manual",$M160=$A$15)),0,
         IF(OFFSET(CRONOPLE!$F$15,$M160-$A$15,BS$13)=0,10^12,OFFSET(CRONOPLE!$F$15,$M160-$A$15,BS$13)))</f>
        <v>1</v>
      </c>
      <c r="BT160" s="353" t="n">
        <f aca="true">IF(OR($D160&lt;&gt;"Serviço",AND(AUTOEVENTO="Manual",$M160=$A$15)),0,
         IF(OFFSET(CRONOPLE!$F$15,$M160-$A$15,BT$13)=0,10^12,OFFSET(CRONOPLE!$F$15,$M160-$A$15,BT$13)))</f>
        <v>2</v>
      </c>
      <c r="BU160" s="353" t="n">
        <f aca="true">IF(OR($D160&lt;&gt;"Serviço",AND(AUTOEVENTO="Manual",$M160=$A$15)),0,
         IF(OFFSET(CRONOPLE!$F$15,$M160-$A$15,BU$13)=0,10^12,OFFSET(CRONOPLE!$F$15,$M160-$A$15,BU$13)))</f>
        <v>3</v>
      </c>
      <c r="BV160" s="353" t="n">
        <f aca="true">IF(OR($D160&lt;&gt;"Serviço",AND(AUTOEVENTO="Manual",$M160=$A$15)),0,
         IF(OFFSET(CRONOPLE!$F$15,$M160-$A$15,BV$13)=0,10^12,OFFSET(CRONOPLE!$F$15,$M160-$A$15,BV$13)))</f>
        <v>4</v>
      </c>
      <c r="BW160" s="353" t="n">
        <f aca="true">IF(OR($D160&lt;&gt;"Serviço",AND(AUTOEVENTO="Manual",$M160=$A$15)),0,
         IF(OFFSET(CRONOPLE!$F$15,$M160-$A$15,BW$13)=0,10^12,OFFSET(CRONOPLE!$F$15,$M160-$A$15,BW$13)))</f>
        <v>5</v>
      </c>
      <c r="BX160" s="353" t="n">
        <f aca="true">IF(OR($D160&lt;&gt;"Serviço",AND(AUTOEVENTO="Manual",$M160=$A$15)),0,
         IF(OFFSET(CRONOPLE!$F$15,$M160-$A$15,BX$13)=0,10^12,OFFSET(CRONOPLE!$F$15,$M160-$A$15,BX$13)))</f>
        <v>6</v>
      </c>
      <c r="BY160" s="353" t="n">
        <f aca="true">IF(OR($D160&lt;&gt;"Serviço",AND(AUTOEVENTO="Manual",$M160=$A$15)),0,
         IF(OFFSET(CRONOPLE!$F$15,$M160-$A$15,BY$13)=0,10^12,OFFSET(CRONOPLE!$F$15,$M160-$A$15,BY$13)))</f>
        <v>7</v>
      </c>
      <c r="BZ160" s="353" t="n">
        <f aca="true">IF(OR($D160&lt;&gt;"Serviço",AND(AUTOEVENTO="Manual",$M160=$A$15)),0,
         IF(OFFSET(CRONOPLE!$F$15,$M160-$A$15,BZ$13)=0,10^12,OFFSET(CRONOPLE!$F$15,$M160-$A$15,BZ$13)))</f>
        <v>8</v>
      </c>
      <c r="CA160" s="353" t="n">
        <f aca="true">IF(OR($D160&lt;&gt;"Serviço",AND(AUTOEVENTO="Manual",$M160=$A$15)),0,
         IF(OFFSET(CRONOPLE!$F$15,$M160-$A$15,CA$13)=0,10^12,OFFSET(CRONOPLE!$F$15,$M160-$A$15,CA$13)))</f>
        <v>9</v>
      </c>
      <c r="CB160" s="353" t="n">
        <f aca="true">IF(OR($D160&lt;&gt;"Serviço",AND(AUTOEVENTO="Manual",$M160=$A$15)),0,
         IF(OFFSET(CRONOPLE!$F$15,$M160-$A$15,CB$13)=0,10^12,OFFSET(CRONOPLE!$F$15,$M160-$A$15,CB$13)))</f>
        <v>10</v>
      </c>
      <c r="CC160" s="353" t="n">
        <f aca="true">IF(OR($D160&lt;&gt;"Serviço",AND(AUTOEVENTO="Manual",$M160=$A$15)),0,
         IF(OFFSET(CRONOPLE!$F$15,$M160-$A$15,CC$13)=0,10^12,OFFSET(CRONOPLE!$F$15,$M160-$A$15,CC$13)))</f>
        <v>11</v>
      </c>
      <c r="CD160" s="353" t="n">
        <f aca="true">IF(OR($D160&lt;&gt;"Serviço",AND(AUTOEVENTO="Manual",$M160=$A$15)),0,
         IF(OFFSET(CRONOPLE!$F$15,$M160-$A$15,CD$13)=0,10^12,OFFSET(CRONOPLE!$F$15,$M160-$A$15,CD$13)))</f>
        <v>12</v>
      </c>
      <c r="CE160" s="353" t="n">
        <f aca="true">IF(OR($D160&lt;&gt;"Serviço",AND(AUTOEVENTO="Manual",$M160=$A$15)),0,
         IF(OFFSET(CRONOPLE!$F$15,$M160-$A$15,CE$13)=0,10^12,OFFSET(CRONOPLE!$F$15,$M160-$A$15,CE$13)))</f>
        <v>13</v>
      </c>
      <c r="CF160" s="353" t="n">
        <f aca="true">IF(OR($D160&lt;&gt;"Serviço",AND(AUTOEVENTO="Manual",$M160=$A$15)),0,
         IF(OFFSET(CRONOPLE!$F$15,$M160-$A$15,CF$13)=0,10^12,OFFSET(CRONOPLE!$F$15,$M160-$A$15,CF$13)))</f>
        <v>14</v>
      </c>
      <c r="CG160" s="353" t="n">
        <f aca="true">IF(OR($D160&lt;&gt;"Serviço",AND(AUTOEVENTO="Manual",$M160=$A$15)),0,
         IF(OFFSET(CRONOPLE!$F$15,$M160-$A$15,CG$13)=0,10^12,OFFSET(CRONOPLE!$F$15,$M160-$A$15,CG$13)))</f>
        <v>15</v>
      </c>
      <c r="CH160" s="353" t="n">
        <f aca="true">IF(OR($D160&lt;&gt;"Serviço",AND(AUTOEVENTO="Manual",$M160=$A$15)),0,
         IF(OFFSET(CRONOPLE!$F$15,$M160-$A$15,CH$13)=0,10^12,OFFSET(CRONOPLE!$F$15,$M160-$A$15,CH$13)))</f>
        <v>16</v>
      </c>
      <c r="CI160" s="353" t="n">
        <f aca="true">IF(OR($D160&lt;&gt;"Serviço",AND(AUTOEVENTO="Manual",$M160=$A$15)),0,
         IF(OFFSET(CRONOPLE!$F$15,$M160-$A$15,CI$13)=0,10^12,OFFSET(CRONOPLE!$F$15,$M160-$A$15,CI$13)))</f>
        <v>17</v>
      </c>
      <c r="CJ160" s="353" t="n">
        <f aca="true">IF(OR($D160&lt;&gt;"Serviço",AND(AUTOEVENTO="Manual",$M160=$A$15)),0,
         IF(OFFSET(CRONOPLE!$F$15,$M160-$A$15,CJ$13)=0,10^12,OFFSET(CRONOPLE!$F$15,$M160-$A$15,CJ$13)))</f>
        <v>18</v>
      </c>
      <c r="CK160" s="353" t="n">
        <f aca="true">IF(OR($D160&lt;&gt;"Serviço",AND(AUTOEVENTO="Manual",$M160=$A$15)),0,
         IF(OFFSET(CRONOPLE!$F$15,$M160-$A$15,CK$13)=0,10^12,OFFSET(CRONOPLE!$F$15,$M160-$A$15,CK$13)))</f>
        <v>19</v>
      </c>
      <c r="CL160" s="353" t="n">
        <f aca="true">IF(OR($D160&lt;&gt;"Serviço",AND(AUTOEVENTO="Manual",$M160=$A$15)),0,
         IF(OFFSET(CRONOPLE!$F$15,$M160-$A$15,CL$13)=0,10^12,OFFSET(CRONOPLE!$F$15,$M160-$A$15,CL$13)))</f>
        <v>20</v>
      </c>
      <c r="CM160" s="353" t="n">
        <f aca="true">IF(OR($D160&lt;&gt;"Serviço",AND(AUTOEVENTO="Manual",$M160=$A$15)),0,
         IF(OFFSET(CRONOPLE!$F$15,$M160-$A$15,CM$13)=0,10^12,OFFSET(CRONOPLE!$F$15,$M160-$A$15,CM$13)))</f>
        <v>21</v>
      </c>
      <c r="CN160" s="353" t="n">
        <f aca="true">IF(OR($D160&lt;&gt;"Serviço",AND(AUTOEVENTO="Manual",$M160=$A$15)),0,
         IF(OFFSET(CRONOPLE!$F$15,$M160-$A$15,CN$13)=0,10^12,OFFSET(CRONOPLE!$F$15,$M160-$A$15,CN$13)))</f>
        <v>22</v>
      </c>
      <c r="CO160" s="353" t="n">
        <f aca="true">IF(OR($D160&lt;&gt;"Serviço",AND(AUTOEVENTO="Manual",$M160=$A$15)),0,
         IF(OFFSET(CRONOPLE!$F$15,$M160-$A$15,CO$13)=0,10^12,OFFSET(CRONOPLE!$F$15,$M160-$A$15,CO$13)))</f>
        <v>23</v>
      </c>
      <c r="CP160" s="353" t="n">
        <f aca="true">IF(OR($D160&lt;&gt;"Serviço",AND(AUTOEVENTO="Manual",$M160=$A$15)),0,
         IF(OFFSET(CRONOPLE!$F$15,$M160-$A$15,CP$13)=0,10^12,OFFSET(CRONOPLE!$F$15,$M160-$A$15,CP$13)))</f>
        <v>24</v>
      </c>
      <c r="CQ160" s="353" t="n">
        <f aca="true">IF(OR($D160&lt;&gt;"Serviço",AND(AUTOEVENTO="Manual",$M160=$A$15)),0,
         IF(OFFSET(CRONOPLE!$F$15,$M160-$A$15,CQ$13)=0,10^12,OFFSET(CRONOPLE!$F$15,$M160-$A$15,CQ$13)))</f>
        <v>25</v>
      </c>
      <c r="CR160" s="353" t="n">
        <f aca="true">IF(OR($D160&lt;&gt;"Serviço",AND(AUTOEVENTO="Manual",$M160=$A$15)),0,
         IF(OFFSET(CRONOPLE!$F$15,$M160-$A$15,CR$13)=0,10^12,OFFSET(CRONOPLE!$F$15,$M160-$A$15,CR$13)))</f>
        <v>1000000000000</v>
      </c>
      <c r="CT160" s="354" t="n">
        <f aca="true">IF(OR($D160&lt;&gt;"Serviço",AND(AUTOEVENTO="Manual",$M160=$A$15),$M160&gt;(ROW(PLE.lastrow)-ROW(PLE.firstrow))),0,
           IF(OFFSET(PLE!$G$15,$M160-$A$15,CT$13)="",10^12,OFFSET(PLE!$G$15,$M160-$A$15,CT$13)))</f>
        <v>1000000000000</v>
      </c>
      <c r="CU160" s="354" t="n">
        <f aca="true">IF(OR($D160&lt;&gt;"Serviço",AND(AUTOEVENTO="Manual",$M160=$A$15),$M160&gt;(ROW(PLE.lastrow)-ROW(PLE.firstrow))),0,
           IF(OFFSET(PLE!$G$15,$M160-$A$15,CU$13)="",10^12,OFFSET(PLE!$G$15,$M160-$A$15,CU$13)))</f>
        <v>1000000000000</v>
      </c>
      <c r="CV160" s="354" t="n">
        <f aca="true">IF(OR($D160&lt;&gt;"Serviço",AND(AUTOEVENTO="Manual",$M160=$A$15),$M160&gt;(ROW(PLE.lastrow)-ROW(PLE.firstrow))),0,
           IF(OFFSET(PLE!$G$15,$M160-$A$15,CV$13)="",10^12,OFFSET(PLE!$G$15,$M160-$A$15,CV$13)))</f>
        <v>1000000000000</v>
      </c>
      <c r="CW160" s="354" t="n">
        <f aca="true">IF(OR($D160&lt;&gt;"Serviço",AND(AUTOEVENTO="Manual",$M160=$A$15),$M160&gt;(ROW(PLE.lastrow)-ROW(PLE.firstrow))),0,
           IF(OFFSET(PLE!$G$15,$M160-$A$15,CW$13)="",10^12,OFFSET(PLE!$G$15,$M160-$A$15,CW$13)))</f>
        <v>1000000000000</v>
      </c>
      <c r="CX160" s="354" t="n">
        <f aca="true">IF(OR($D160&lt;&gt;"Serviço",AND(AUTOEVENTO="Manual",$M160=$A$15),$M160&gt;(ROW(PLE.lastrow)-ROW(PLE.firstrow))),0,
           IF(OFFSET(PLE!$G$15,$M160-$A$15,CX$13)="",10^12,OFFSET(PLE!$G$15,$M160-$A$15,CX$13)))</f>
        <v>1000000000000</v>
      </c>
      <c r="CY160" s="354" t="n">
        <f aca="true">IF(OR($D160&lt;&gt;"Serviço",AND(AUTOEVENTO="Manual",$M160=$A$15),$M160&gt;(ROW(PLE.lastrow)-ROW(PLE.firstrow))),0,
           IF(OFFSET(PLE!$G$15,$M160-$A$15,CY$13)="",10^12,OFFSET(PLE!$G$15,$M160-$A$15,CY$13)))</f>
        <v>1000000000000</v>
      </c>
      <c r="CZ160" s="354" t="n">
        <f aca="true">IF(OR($D160&lt;&gt;"Serviço",AND(AUTOEVENTO="Manual",$M160=$A$15),$M160&gt;(ROW(PLE.lastrow)-ROW(PLE.firstrow))),0,
           IF(OFFSET(PLE!$G$15,$M160-$A$15,CZ$13)="",10^12,OFFSET(PLE!$G$15,$M160-$A$15,CZ$13)))</f>
        <v>1000000000000</v>
      </c>
      <c r="DA160" s="354" t="n">
        <f aca="true">IF(OR($D160&lt;&gt;"Serviço",AND(AUTOEVENTO="Manual",$M160=$A$15),$M160&gt;(ROW(PLE.lastrow)-ROW(PLE.firstrow))),0,
           IF(OFFSET(PLE!$G$15,$M160-$A$15,DA$13)="",10^12,OFFSET(PLE!$G$15,$M160-$A$15,DA$13)))</f>
        <v>1000000000000</v>
      </c>
      <c r="DB160" s="354" t="n">
        <f aca="true">IF(OR($D160&lt;&gt;"Serviço",AND(AUTOEVENTO="Manual",$M160=$A$15),$M160&gt;(ROW(PLE.lastrow)-ROW(PLE.firstrow))),0,
           IF(OFFSET(PLE!$G$15,$M160-$A$15,DB$13)="",10^12,OFFSET(PLE!$G$15,$M160-$A$15,DB$13)))</f>
        <v>1000000000000</v>
      </c>
      <c r="DC160" s="354" t="n">
        <f aca="true">IF(OR($D160&lt;&gt;"Serviço",AND(AUTOEVENTO="Manual",$M160=$A$15),$M160&gt;(ROW(PLE.lastrow)-ROW(PLE.firstrow))),0,
           IF(OFFSET(PLE!$G$15,$M160-$A$15,DC$13)="",10^12,OFFSET(PLE!$G$15,$M160-$A$15,DC$13)))</f>
        <v>1000000000000</v>
      </c>
      <c r="DD160" s="354" t="n">
        <f aca="true">IF(OR($D160&lt;&gt;"Serviço",AND(AUTOEVENTO="Manual",$M160=$A$15),$M160&gt;(ROW(PLE.lastrow)-ROW(PLE.firstrow))),0,
           IF(OFFSET(PLE!$G$15,$M160-$A$15,DD$13)="",10^12,OFFSET(PLE!$G$15,$M160-$A$15,DD$13)))</f>
        <v>1000000000000</v>
      </c>
      <c r="DE160" s="354" t="n">
        <f aca="true">IF(OR($D160&lt;&gt;"Serviço",AND(AUTOEVENTO="Manual",$M160=$A$15),$M160&gt;(ROW(PLE.lastrow)-ROW(PLE.firstrow))),0,
           IF(OFFSET(PLE!$G$15,$M160-$A$15,DE$13)="",10^12,OFFSET(PLE!$G$15,$M160-$A$15,DE$13)))</f>
        <v>1000000000000</v>
      </c>
      <c r="DF160" s="354" t="n">
        <f aca="true">IF(OR($D160&lt;&gt;"Serviço",AND(AUTOEVENTO="Manual",$M160=$A$15),$M160&gt;(ROW(PLE.lastrow)-ROW(PLE.firstrow))),0,
           IF(OFFSET(PLE!$G$15,$M160-$A$15,DF$13)="",10^12,OFFSET(PLE!$G$15,$M160-$A$15,DF$13)))</f>
        <v>1000000000000</v>
      </c>
      <c r="DG160" s="354" t="n">
        <f aca="true">IF(OR($D160&lt;&gt;"Serviço",AND(AUTOEVENTO="Manual",$M160=$A$15),$M160&gt;(ROW(PLE.lastrow)-ROW(PLE.firstrow))),0,
           IF(OFFSET(PLE!$G$15,$M160-$A$15,DG$13)="",10^12,OFFSET(PLE!$G$15,$M160-$A$15,DG$13)))</f>
        <v>1000000000000</v>
      </c>
      <c r="DH160" s="354" t="n">
        <f aca="true">IF(OR($D160&lt;&gt;"Serviço",AND(AUTOEVENTO="Manual",$M160=$A$15),$M160&gt;(ROW(PLE.lastrow)-ROW(PLE.firstrow))),0,
           IF(OFFSET(PLE!$G$15,$M160-$A$15,DH$13)="",10^12,OFFSET(PLE!$G$15,$M160-$A$15,DH$13)))</f>
        <v>1000000000000</v>
      </c>
      <c r="DI160" s="354" t="n">
        <f aca="true">IF(OR($D160&lt;&gt;"Serviço",AND(AUTOEVENTO="Manual",$M160=$A$15),$M160&gt;(ROW(PLE.lastrow)-ROW(PLE.firstrow))),0,
           IF(OFFSET(PLE!$G$15,$M160-$A$15,DI$13)="",10^12,OFFSET(PLE!$G$15,$M160-$A$15,DI$13)))</f>
        <v>1000000000000</v>
      </c>
      <c r="DJ160" s="354" t="n">
        <f aca="true">IF(OR($D160&lt;&gt;"Serviço",AND(AUTOEVENTO="Manual",$M160=$A$15),$M160&gt;(ROW(PLE.lastrow)-ROW(PLE.firstrow))),0,
           IF(OFFSET(PLE!$G$15,$M160-$A$15,DJ$13)="",10^12,OFFSET(PLE!$G$15,$M160-$A$15,DJ$13)))</f>
        <v>1000000000000</v>
      </c>
      <c r="DK160" s="354" t="n">
        <f aca="true">IF(OR($D160&lt;&gt;"Serviço",AND(AUTOEVENTO="Manual",$M160=$A$15),$M160&gt;(ROW(PLE.lastrow)-ROW(PLE.firstrow))),0,
           IF(OFFSET(PLE!$G$15,$M160-$A$15,DK$13)="",10^12,OFFSET(PLE!$G$15,$M160-$A$15,DK$13)))</f>
        <v>1000000000000</v>
      </c>
      <c r="DL160" s="354" t="n">
        <f aca="true">IF(OR($D160&lt;&gt;"Serviço",AND(AUTOEVENTO="Manual",$M160=$A$15),$M160&gt;(ROW(PLE.lastrow)-ROW(PLE.firstrow))),0,
           IF(OFFSET(PLE!$G$15,$M160-$A$15,DL$13)="",10^12,OFFSET(PLE!$G$15,$M160-$A$15,DL$13)))</f>
        <v>1000000000000</v>
      </c>
      <c r="DM160" s="354" t="n">
        <f aca="true">IF(OR($D160&lt;&gt;"Serviço",AND(AUTOEVENTO="Manual",$M160=$A$15),$M160&gt;(ROW(PLE.lastrow)-ROW(PLE.firstrow))),0,
           IF(OFFSET(PLE!$G$15,$M160-$A$15,DM$13)="",10^12,OFFSET(PLE!$G$15,$M160-$A$15,DM$13)))</f>
        <v>1000000000000</v>
      </c>
      <c r="DN160" s="354" t="n">
        <f aca="true">IF(OR($D160&lt;&gt;"Serviço",AND(AUTOEVENTO="Manual",$M160=$A$15),$M160&gt;(ROW(PLE.lastrow)-ROW(PLE.firstrow))),0,
           IF(OFFSET(PLE!$G$15,$M160-$A$15,DN$13)="",10^12,OFFSET(PLE!$G$15,$M160-$A$15,DN$13)))</f>
        <v>1000000000000</v>
      </c>
      <c r="DO160" s="354" t="n">
        <f aca="true">IF(OR($D160&lt;&gt;"Serviço",AND(AUTOEVENTO="Manual",$M160=$A$15),$M160&gt;(ROW(PLE.lastrow)-ROW(PLE.firstrow))),0,
           IF(OFFSET(PLE!$G$15,$M160-$A$15,DO$13)="",10^12,OFFSET(PLE!$G$15,$M160-$A$15,DO$13)))</f>
        <v>1000000000000</v>
      </c>
      <c r="DP160" s="354" t="n">
        <f aca="true">IF(OR($D160&lt;&gt;"Serviço",AND(AUTOEVENTO="Manual",$M160=$A$15),$M160&gt;(ROW(PLE.lastrow)-ROW(PLE.firstrow))),0,
           IF(OFFSET(PLE!$G$15,$M160-$A$15,DP$13)="",10^12,OFFSET(PLE!$G$15,$M160-$A$15,DP$13)))</f>
        <v>1000000000000</v>
      </c>
      <c r="DQ160" s="354" t="n">
        <f aca="true">IF(OR($D160&lt;&gt;"Serviço",AND(AUTOEVENTO="Manual",$M160=$A$15),$M160&gt;(ROW(PLE.lastrow)-ROW(PLE.firstrow))),0,
           IF(OFFSET(PLE!$G$15,$M160-$A$15,DQ$13)="",10^12,OFFSET(PLE!$G$15,$M160-$A$15,DQ$13)))</f>
        <v>1000000000000</v>
      </c>
      <c r="DR160" s="354" t="n">
        <f aca="true">IF(OR($D160&lt;&gt;"Serviço",AND(AUTOEVENTO="Manual",$M160=$A$15),$M160&gt;(ROW(PLE.lastrow)-ROW(PLE.firstrow))),0,
           IF(OFFSET(PLE!$G$15,$M160-$A$15,DR$13)="",10^12,OFFSET(PLE!$G$15,$M160-$A$15,DR$13)))</f>
        <v>1000000000000</v>
      </c>
      <c r="DS160" s="354" t="n">
        <f aca="true">IF(OR($D160&lt;&gt;"Serviço",AND(AUTOEVENTO="Manual",$M160=$A$15),$M160&gt;(ROW(PLE.lastrow)-ROW(PLE.firstrow))),0,
           IF(OFFSET(PLE!$G$15,$M160-$A$15,DS$13)="",10^12,OFFSET(PLE!$G$15,$M160-$A$15,DS$13)))</f>
        <v>1000000000000</v>
      </c>
    </row>
    <row r="161" customFormat="false" ht="35.05" hidden="false" customHeight="false" outlineLevel="0" collapsed="false">
      <c r="A161" s="50" t="str">
        <f aca="true">IFERROR(IF(AUTOEVENTO="Manual",IF(K161&lt;&gt;"",MIN(VALUE(LEFT(K161,FIND(".",K161)-1)),COUNTA(EVENTOS.Lista)),0),IF(OR($B161&gt;AUTOEVENTO,$B161="S",$B161=0),SUBSTITUTE(OFFSET($A161,-1,0),IF($D161="Serviço",".",""),""),ROW(A161)-ROW($A$15)&amp;".")),0)</f>
        <v>141</v>
      </c>
      <c r="B161" s="50" t="str">
        <f aca="true">OFFSET(ORÇAMENTO!C$15,ROW(B161)-ROW(B$15),0)</f>
        <v>S</v>
      </c>
      <c r="C161" s="50" t="str">
        <f aca="true">OFFSET(ORÇAMENTO!L$15,ROW(C161)-ROW(C$15),0)</f>
        <v>F</v>
      </c>
      <c r="D161" s="201" t="str">
        <f aca="true">OFFSET(ORÇAMENTO!N$15,ROW(D161)-ROW(D$15),0)</f>
        <v>Serviço</v>
      </c>
      <c r="E161" s="202" t="str">
        <f aca="true">OFFSET(ORÇAMENTO!O$15,ROW(E161)-ROW(E$15),0)</f>
        <v>1.43.5.</v>
      </c>
      <c r="F161" s="341" t="str">
        <f aca="true">OFFSET(ORÇAMENTO!R$15,ROW(F161)-ROW(F$15),0)</f>
        <v>ADAPTADOR COM FLANGE E ANEL DE VEDAÇÃO, PVC, SOLDÁVEL, DN 32 MM X 1", INSTALADO EM RESERVAÇÃO PREDIAL DE ÁGUA - FORNECIMENTO E INSTALAÇÃO. AF_04/2024</v>
      </c>
      <c r="G161" s="342" t="str">
        <f aca="true">IF($D161&lt;&gt;"Serviço","",OFFSET(ORÇAMENTO!S$15,ROW(G161)-ROW(G$15),0))</f>
        <v>UN</v>
      </c>
      <c r="H161" s="207" t="n">
        <f aca="true">IF($D161&lt;&gt;"Serviço",0,IF(ACOMPANHAMENTO="BM",ROUND(OFFSET(ORÇAMENTO!AJ$15,ROW(H161)-ROW(H$15),0),15-13*ORÇAMENTO!$AF$7),SUMPRODUCT(($Q$1:$AQ$1=1)*ROUND($Q161:$AQ161,15-13*ORÇAMENTO!$AF$7))))</f>
        <v>50</v>
      </c>
      <c r="I161" s="343" t="s">
        <v>972</v>
      </c>
      <c r="J161" s="344" t="e">
        <f aca="false">IF(OR(B161&lt;&gt;"S",CÁLCULO.FrentesPreenchidas=0),"",IF(AND(ACOMPANHAMENTO="PLE",AUTOEVENTO="Manual",OR(H161&gt;0,ORÇAMENTO!AC161="QUANT."),OR(K161="",M161=0,N161="")),"►",IF(AND(ACOMPANHAMENTO="PLE",ORÇAMENTO!AC161="QUANT."),"►►",IF(AND(COUNTIF($P$11:$AQ$11,"▼")=0,H161&gt;0,I161=""),"◄",""))))</f>
        <v>#NAME?</v>
      </c>
      <c r="K161" s="345"/>
      <c r="L161" s="346" t="s">
        <v>876</v>
      </c>
      <c r="M161" s="347" t="n">
        <f aca="true">IF($D161&lt;&gt;"Serviço","",
          IF(AUTOEVENTO="manual",$A161,
                IF(ISERROR(MATCH($A161,$A$15:OFFSET($A161,-1,0),0)),MAX($M$15:OFFSET(M161,-1,0))+1,
                      INDEX($M$15:OFFSET(M161,-1,0),MATCH($A161,$A$15:OFFSET($A161,-1,0),0)))))</f>
        <v>27</v>
      </c>
      <c r="N161" s="348" t="str">
        <f aca="true">IF($D161&lt;&gt;"Serviço","",
         IF(AUTOEVENTO="Manual",
                IF($A161=0,"&lt;-- defina o número do agrupador",
                       OFFSET(EVENTOS!$D$15,$A161-$A$15,0)),
                OFFSET($F$15,$A161,0)))</f>
        <v>CAIXA D'ÁGUA E BARRILETE</v>
      </c>
      <c r="O161" s="349"/>
      <c r="Q161" s="349" t="n">
        <v>2</v>
      </c>
      <c r="R161" s="350" t="n">
        <f aca="false">Q161</f>
        <v>2</v>
      </c>
      <c r="S161" s="350" t="n">
        <f aca="false">R161</f>
        <v>2</v>
      </c>
      <c r="T161" s="350" t="n">
        <f aca="false">S161</f>
        <v>2</v>
      </c>
      <c r="U161" s="350" t="n">
        <f aca="false">T161</f>
        <v>2</v>
      </c>
      <c r="V161" s="350" t="n">
        <f aca="false">U161</f>
        <v>2</v>
      </c>
      <c r="W161" s="350" t="n">
        <f aca="false">V161</f>
        <v>2</v>
      </c>
      <c r="X161" s="350" t="n">
        <f aca="false">W161</f>
        <v>2</v>
      </c>
      <c r="Y161" s="350" t="n">
        <f aca="false">X161</f>
        <v>2</v>
      </c>
      <c r="Z161" s="351" t="n">
        <f aca="false">Y161</f>
        <v>2</v>
      </c>
      <c r="AA161" s="350" t="n">
        <f aca="false">Z161</f>
        <v>2</v>
      </c>
      <c r="AB161" s="350" t="n">
        <f aca="false">AA161</f>
        <v>2</v>
      </c>
      <c r="AC161" s="350" t="n">
        <f aca="false">AB161</f>
        <v>2</v>
      </c>
      <c r="AD161" s="350" t="n">
        <f aca="false">AC161</f>
        <v>2</v>
      </c>
      <c r="AE161" s="350" t="n">
        <f aca="false">AD161</f>
        <v>2</v>
      </c>
      <c r="AF161" s="350" t="n">
        <f aca="false">AE161</f>
        <v>2</v>
      </c>
      <c r="AG161" s="350" t="n">
        <f aca="false">AF161</f>
        <v>2</v>
      </c>
      <c r="AH161" s="351" t="n">
        <f aca="false">AG161</f>
        <v>2</v>
      </c>
      <c r="AI161" s="350" t="n">
        <f aca="false">AH161</f>
        <v>2</v>
      </c>
      <c r="AJ161" s="350" t="n">
        <f aca="false">AI161</f>
        <v>2</v>
      </c>
      <c r="AK161" s="350" t="n">
        <f aca="false">AJ161</f>
        <v>2</v>
      </c>
      <c r="AL161" s="350" t="n">
        <f aca="false">AK161</f>
        <v>2</v>
      </c>
      <c r="AM161" s="350" t="n">
        <f aca="false">AL161</f>
        <v>2</v>
      </c>
      <c r="AN161" s="350" t="n">
        <f aca="false">AM161</f>
        <v>2</v>
      </c>
      <c r="AO161" s="350" t="n">
        <f aca="false">AN161</f>
        <v>2</v>
      </c>
      <c r="AP161" s="351"/>
      <c r="AR161" s="352" t="n">
        <f aca="true">IF(AND($D161="Serviço",AR$12&lt;&gt;0,$H161&gt;0,OR(AUTOEVENTO&lt;&gt;"manual",$M161&lt;&gt;$A$15)),
        IF(Import.TipoArredondamento&lt;&gt;"TransfereGOV",
              ROUND(OFFSET($P161,0,AR$13),15-13*ORÇAMENTO!$AF$7)/$H161*OFFSET(ORÇAMENTO!$X$15,ROW(AR161)-ROW(AR$15),0),
              ROUND(ROUND(OFFSET($P161,0,AR$13),15-13*ORÇAMENTO!$AF$7)*OFFSET(ORÇAMENTO!$W$15,ROW(AR161)-ROW(AR$15),0),15-13*ORÇAMENTO!$AF$11)),
         0)</f>
        <v>65.74</v>
      </c>
      <c r="AS161" s="352" t="n">
        <f aca="true">IF(AND($D161="Serviço",AS$12&lt;&gt;0,$H161&gt;0,OR(AUTOEVENTO&lt;&gt;"manual",$M161&lt;&gt;$A$15)),
        IF(Import.TipoArredondamento&lt;&gt;"TransfereGOV",
              ROUND(OFFSET($P161,0,AS$13),15-13*ORÇAMENTO!$AF$7)/$H161*OFFSET(ORÇAMENTO!$X$15,ROW(AS161)-ROW(AS$15),0),
              ROUND(ROUND(OFFSET($P161,0,AS$13),15-13*ORÇAMENTO!$AF$7)*OFFSET(ORÇAMENTO!$W$15,ROW(AS161)-ROW(AS$15),0),15-13*ORÇAMENTO!$AF$11)),
         0)</f>
        <v>65.74</v>
      </c>
      <c r="AT161" s="352" t="n">
        <f aca="true">IF(AND($D161="Serviço",AT$12&lt;&gt;0,$H161&gt;0,OR(AUTOEVENTO&lt;&gt;"manual",$M161&lt;&gt;$A$15)),
        IF(Import.TipoArredondamento&lt;&gt;"TransfereGOV",
              ROUND(OFFSET($P161,0,AT$13),15-13*ORÇAMENTO!$AF$7)/$H161*OFFSET(ORÇAMENTO!$X$15,ROW(AT161)-ROW(AT$15),0),
              ROUND(ROUND(OFFSET($P161,0,AT$13),15-13*ORÇAMENTO!$AF$7)*OFFSET(ORÇAMENTO!$W$15,ROW(AT161)-ROW(AT$15),0),15-13*ORÇAMENTO!$AF$11)),
         0)</f>
        <v>65.74</v>
      </c>
      <c r="AU161" s="352" t="n">
        <f aca="true">IF(AND($D161="Serviço",AU$12&lt;&gt;0,$H161&gt;0,OR(AUTOEVENTO&lt;&gt;"manual",$M161&lt;&gt;$A$15)),
        IF(Import.TipoArredondamento&lt;&gt;"TransfereGOV",
              ROUND(OFFSET($P161,0,AU$13),15-13*ORÇAMENTO!$AF$7)/$H161*OFFSET(ORÇAMENTO!$X$15,ROW(AU161)-ROW(AU$15),0),
              ROUND(ROUND(OFFSET($P161,0,AU$13),15-13*ORÇAMENTO!$AF$7)*OFFSET(ORÇAMENTO!$W$15,ROW(AU161)-ROW(AU$15),0),15-13*ORÇAMENTO!$AF$11)),
         0)</f>
        <v>65.74</v>
      </c>
      <c r="AV161" s="352" t="n">
        <f aca="true">IF(AND($D161="Serviço",AV$12&lt;&gt;0,$H161&gt;0,OR(AUTOEVENTO&lt;&gt;"manual",$M161&lt;&gt;$A$15)),
        IF(Import.TipoArredondamento&lt;&gt;"TransfereGOV",
              ROUND(OFFSET($P161,0,AV$13),15-13*ORÇAMENTO!$AF$7)/$H161*OFFSET(ORÇAMENTO!$X$15,ROW(AV161)-ROW(AV$15),0),
              ROUND(ROUND(OFFSET($P161,0,AV$13),15-13*ORÇAMENTO!$AF$7)*OFFSET(ORÇAMENTO!$W$15,ROW(AV161)-ROW(AV$15),0),15-13*ORÇAMENTO!$AF$11)),
         0)</f>
        <v>65.74</v>
      </c>
      <c r="AW161" s="352" t="n">
        <f aca="true">IF(AND($D161="Serviço",AW$12&lt;&gt;0,$H161&gt;0,OR(AUTOEVENTO&lt;&gt;"manual",$M161&lt;&gt;$A$15)),
        IF(Import.TipoArredondamento&lt;&gt;"TransfereGOV",
              ROUND(OFFSET($P161,0,AW$13),15-13*ORÇAMENTO!$AF$7)/$H161*OFFSET(ORÇAMENTO!$X$15,ROW(AW161)-ROW(AW$15),0),
              ROUND(ROUND(OFFSET($P161,0,AW$13),15-13*ORÇAMENTO!$AF$7)*OFFSET(ORÇAMENTO!$W$15,ROW(AW161)-ROW(AW$15),0),15-13*ORÇAMENTO!$AF$11)),
         0)</f>
        <v>65.74</v>
      </c>
      <c r="AX161" s="352" t="n">
        <f aca="true">IF(AND($D161="Serviço",AX$12&lt;&gt;0,$H161&gt;0,OR(AUTOEVENTO&lt;&gt;"manual",$M161&lt;&gt;$A$15)),
        IF(Import.TipoArredondamento&lt;&gt;"TransfereGOV",
              ROUND(OFFSET($P161,0,AX$13),15-13*ORÇAMENTO!$AF$7)/$H161*OFFSET(ORÇAMENTO!$X$15,ROW(AX161)-ROW(AX$15),0),
              ROUND(ROUND(OFFSET($P161,0,AX$13),15-13*ORÇAMENTO!$AF$7)*OFFSET(ORÇAMENTO!$W$15,ROW(AX161)-ROW(AX$15),0),15-13*ORÇAMENTO!$AF$11)),
         0)</f>
        <v>65.74</v>
      </c>
      <c r="AY161" s="352" t="n">
        <f aca="true">IF(AND($D161="Serviço",AY$12&lt;&gt;0,$H161&gt;0,OR(AUTOEVENTO&lt;&gt;"manual",$M161&lt;&gt;$A$15)),
        IF(Import.TipoArredondamento&lt;&gt;"TransfereGOV",
              ROUND(OFFSET($P161,0,AY$13),15-13*ORÇAMENTO!$AF$7)/$H161*OFFSET(ORÇAMENTO!$X$15,ROW(AY161)-ROW(AY$15),0),
              ROUND(ROUND(OFFSET($P161,0,AY$13),15-13*ORÇAMENTO!$AF$7)*OFFSET(ORÇAMENTO!$W$15,ROW(AY161)-ROW(AY$15),0),15-13*ORÇAMENTO!$AF$11)),
         0)</f>
        <v>65.74</v>
      </c>
      <c r="AZ161" s="352" t="n">
        <f aca="true">IF(AND($D161="Serviço",AZ$12&lt;&gt;0,$H161&gt;0,OR(AUTOEVENTO&lt;&gt;"manual",$M161&lt;&gt;$A$15)),
        IF(Import.TipoArredondamento&lt;&gt;"TransfereGOV",
              ROUND(OFFSET($P161,0,AZ$13),15-13*ORÇAMENTO!$AF$7)/$H161*OFFSET(ORÇAMENTO!$X$15,ROW(AZ161)-ROW(AZ$15),0),
              ROUND(ROUND(OFFSET($P161,0,AZ$13),15-13*ORÇAMENTO!$AF$7)*OFFSET(ORÇAMENTO!$W$15,ROW(AZ161)-ROW(AZ$15),0),15-13*ORÇAMENTO!$AF$11)),
         0)</f>
        <v>65.74</v>
      </c>
      <c r="BA161" s="352" t="n">
        <f aca="true">IF(AND($D161="Serviço",BA$12&lt;&gt;0,$H161&gt;0,OR(AUTOEVENTO&lt;&gt;"manual",$M161&lt;&gt;$A$15)),
        IF(Import.TipoArredondamento&lt;&gt;"TransfereGOV",
              ROUND(OFFSET($P161,0,BA$13),15-13*ORÇAMENTO!$AF$7)/$H161*OFFSET(ORÇAMENTO!$X$15,ROW(BA161)-ROW(BA$15),0),
              ROUND(ROUND(OFFSET($P161,0,BA$13),15-13*ORÇAMENTO!$AF$7)*OFFSET(ORÇAMENTO!$W$15,ROW(BA161)-ROW(BA$15),0),15-13*ORÇAMENTO!$AF$11)),
         0)</f>
        <v>65.74</v>
      </c>
      <c r="BB161" s="352" t="n">
        <f aca="true">IF(AND($D161="Serviço",BB$12&lt;&gt;0,$H161&gt;0,OR(AUTOEVENTO&lt;&gt;"manual",$M161&lt;&gt;$A$15)),
        IF(Import.TipoArredondamento&lt;&gt;"TransfereGOV",
              ROUND(OFFSET($P161,0,BB$13),15-13*ORÇAMENTO!$AF$7)/$H161*OFFSET(ORÇAMENTO!$X$15,ROW(BB161)-ROW(BB$15),0),
              ROUND(ROUND(OFFSET($P161,0,BB$13),15-13*ORÇAMENTO!$AF$7)*OFFSET(ORÇAMENTO!$W$15,ROW(BB161)-ROW(BB$15),0),15-13*ORÇAMENTO!$AF$11)),
         0)</f>
        <v>65.74</v>
      </c>
      <c r="BC161" s="352" t="n">
        <f aca="true">IF(AND($D161="Serviço",BC$12&lt;&gt;0,$H161&gt;0,OR(AUTOEVENTO&lt;&gt;"manual",$M161&lt;&gt;$A$15)),
        IF(Import.TipoArredondamento&lt;&gt;"TransfereGOV",
              ROUND(OFFSET($P161,0,BC$13),15-13*ORÇAMENTO!$AF$7)/$H161*OFFSET(ORÇAMENTO!$X$15,ROW(BC161)-ROW(BC$15),0),
              ROUND(ROUND(OFFSET($P161,0,BC$13),15-13*ORÇAMENTO!$AF$7)*OFFSET(ORÇAMENTO!$W$15,ROW(BC161)-ROW(BC$15),0),15-13*ORÇAMENTO!$AF$11)),
         0)</f>
        <v>65.74</v>
      </c>
      <c r="BD161" s="352" t="n">
        <f aca="true">IF(AND($D161="Serviço",BD$12&lt;&gt;0,$H161&gt;0,OR(AUTOEVENTO&lt;&gt;"manual",$M161&lt;&gt;$A$15)),
        IF(Import.TipoArredondamento&lt;&gt;"TransfereGOV",
              ROUND(OFFSET($P161,0,BD$13),15-13*ORÇAMENTO!$AF$7)/$H161*OFFSET(ORÇAMENTO!$X$15,ROW(BD161)-ROW(BD$15),0),
              ROUND(ROUND(OFFSET($P161,0,BD$13),15-13*ORÇAMENTO!$AF$7)*OFFSET(ORÇAMENTO!$W$15,ROW(BD161)-ROW(BD$15),0),15-13*ORÇAMENTO!$AF$11)),
         0)</f>
        <v>65.74</v>
      </c>
      <c r="BE161" s="352" t="n">
        <f aca="true">IF(AND($D161="Serviço",BE$12&lt;&gt;0,$H161&gt;0,OR(AUTOEVENTO&lt;&gt;"manual",$M161&lt;&gt;$A$15)),
        IF(Import.TipoArredondamento&lt;&gt;"TransfereGOV",
              ROUND(OFFSET($P161,0,BE$13),15-13*ORÇAMENTO!$AF$7)/$H161*OFFSET(ORÇAMENTO!$X$15,ROW(BE161)-ROW(BE$15),0),
              ROUND(ROUND(OFFSET($P161,0,BE$13),15-13*ORÇAMENTO!$AF$7)*OFFSET(ORÇAMENTO!$W$15,ROW(BE161)-ROW(BE$15),0),15-13*ORÇAMENTO!$AF$11)),
         0)</f>
        <v>65.74</v>
      </c>
      <c r="BF161" s="352" t="n">
        <f aca="true">IF(AND($D161="Serviço",BF$12&lt;&gt;0,$H161&gt;0,OR(AUTOEVENTO&lt;&gt;"manual",$M161&lt;&gt;$A$15)),
        IF(Import.TipoArredondamento&lt;&gt;"TransfereGOV",
              ROUND(OFFSET($P161,0,BF$13),15-13*ORÇAMENTO!$AF$7)/$H161*OFFSET(ORÇAMENTO!$X$15,ROW(BF161)-ROW(BF$15),0),
              ROUND(ROUND(OFFSET($P161,0,BF$13),15-13*ORÇAMENTO!$AF$7)*OFFSET(ORÇAMENTO!$W$15,ROW(BF161)-ROW(BF$15),0),15-13*ORÇAMENTO!$AF$11)),
         0)</f>
        <v>65.74</v>
      </c>
      <c r="BG161" s="352" t="n">
        <f aca="true">IF(AND($D161="Serviço",BG$12&lt;&gt;0,$H161&gt;0,OR(AUTOEVENTO&lt;&gt;"manual",$M161&lt;&gt;$A$15)),
        IF(Import.TipoArredondamento&lt;&gt;"TransfereGOV",
              ROUND(OFFSET($P161,0,BG$13),15-13*ORÇAMENTO!$AF$7)/$H161*OFFSET(ORÇAMENTO!$X$15,ROW(BG161)-ROW(BG$15),0),
              ROUND(ROUND(OFFSET($P161,0,BG$13),15-13*ORÇAMENTO!$AF$7)*OFFSET(ORÇAMENTO!$W$15,ROW(BG161)-ROW(BG$15),0),15-13*ORÇAMENTO!$AF$11)),
         0)</f>
        <v>65.74</v>
      </c>
      <c r="BH161" s="352" t="n">
        <f aca="true">IF(AND($D161="Serviço",BH$12&lt;&gt;0,$H161&gt;0,OR(AUTOEVENTO&lt;&gt;"manual",$M161&lt;&gt;$A$15)),
        IF(Import.TipoArredondamento&lt;&gt;"TransfereGOV",
              ROUND(OFFSET($P161,0,BH$13),15-13*ORÇAMENTO!$AF$7)/$H161*OFFSET(ORÇAMENTO!$X$15,ROW(BH161)-ROW(BH$15),0),
              ROUND(ROUND(OFFSET($P161,0,BH$13),15-13*ORÇAMENTO!$AF$7)*OFFSET(ORÇAMENTO!$W$15,ROW(BH161)-ROW(BH$15),0),15-13*ORÇAMENTO!$AF$11)),
         0)</f>
        <v>65.74</v>
      </c>
      <c r="BI161" s="352" t="n">
        <f aca="true">IF(AND($D161="Serviço",BI$12&lt;&gt;0,$H161&gt;0,OR(AUTOEVENTO&lt;&gt;"manual",$M161&lt;&gt;$A$15)),
        IF(Import.TipoArredondamento&lt;&gt;"TransfereGOV",
              ROUND(OFFSET($P161,0,BI$13),15-13*ORÇAMENTO!$AF$7)/$H161*OFFSET(ORÇAMENTO!$X$15,ROW(BI161)-ROW(BI$15),0),
              ROUND(ROUND(OFFSET($P161,0,BI$13),15-13*ORÇAMENTO!$AF$7)*OFFSET(ORÇAMENTO!$W$15,ROW(BI161)-ROW(BI$15),0),15-13*ORÇAMENTO!$AF$11)),
         0)</f>
        <v>65.74</v>
      </c>
      <c r="BJ161" s="352" t="n">
        <f aca="true">IF(AND($D161="Serviço",BJ$12&lt;&gt;0,$H161&gt;0,OR(AUTOEVENTO&lt;&gt;"manual",$M161&lt;&gt;$A$15)),
        IF(Import.TipoArredondamento&lt;&gt;"TransfereGOV",
              ROUND(OFFSET($P161,0,BJ$13),15-13*ORÇAMENTO!$AF$7)/$H161*OFFSET(ORÇAMENTO!$X$15,ROW(BJ161)-ROW(BJ$15),0),
              ROUND(ROUND(OFFSET($P161,0,BJ$13),15-13*ORÇAMENTO!$AF$7)*OFFSET(ORÇAMENTO!$W$15,ROW(BJ161)-ROW(BJ$15),0),15-13*ORÇAMENTO!$AF$11)),
         0)</f>
        <v>65.74</v>
      </c>
      <c r="BK161" s="352" t="n">
        <f aca="true">IF(AND($D161="Serviço",BK$12&lt;&gt;0,$H161&gt;0,OR(AUTOEVENTO&lt;&gt;"manual",$M161&lt;&gt;$A$15)),
        IF(Import.TipoArredondamento&lt;&gt;"TransfereGOV",
              ROUND(OFFSET($P161,0,BK$13),15-13*ORÇAMENTO!$AF$7)/$H161*OFFSET(ORÇAMENTO!$X$15,ROW(BK161)-ROW(BK$15),0),
              ROUND(ROUND(OFFSET($P161,0,BK$13),15-13*ORÇAMENTO!$AF$7)*OFFSET(ORÇAMENTO!$W$15,ROW(BK161)-ROW(BK$15),0),15-13*ORÇAMENTO!$AF$11)),
         0)</f>
        <v>65.74</v>
      </c>
      <c r="BL161" s="352" t="n">
        <f aca="true">IF(AND($D161="Serviço",BL$12&lt;&gt;0,$H161&gt;0,OR(AUTOEVENTO&lt;&gt;"manual",$M161&lt;&gt;$A$15)),
        IF(Import.TipoArredondamento&lt;&gt;"TransfereGOV",
              ROUND(OFFSET($P161,0,BL$13),15-13*ORÇAMENTO!$AF$7)/$H161*OFFSET(ORÇAMENTO!$X$15,ROW(BL161)-ROW(BL$15),0),
              ROUND(ROUND(OFFSET($P161,0,BL$13),15-13*ORÇAMENTO!$AF$7)*OFFSET(ORÇAMENTO!$W$15,ROW(BL161)-ROW(BL$15),0),15-13*ORÇAMENTO!$AF$11)),
         0)</f>
        <v>65.74</v>
      </c>
      <c r="BM161" s="352" t="n">
        <f aca="true">IF(AND($D161="Serviço",BM$12&lt;&gt;0,$H161&gt;0,OR(AUTOEVENTO&lt;&gt;"manual",$M161&lt;&gt;$A$15)),
        IF(Import.TipoArredondamento&lt;&gt;"TransfereGOV",
              ROUND(OFFSET($P161,0,BM$13),15-13*ORÇAMENTO!$AF$7)/$H161*OFFSET(ORÇAMENTO!$X$15,ROW(BM161)-ROW(BM$15),0),
              ROUND(ROUND(OFFSET($P161,0,BM$13),15-13*ORÇAMENTO!$AF$7)*OFFSET(ORÇAMENTO!$W$15,ROW(BM161)-ROW(BM$15),0),15-13*ORÇAMENTO!$AF$11)),
         0)</f>
        <v>65.74</v>
      </c>
      <c r="BN161" s="352" t="n">
        <f aca="true">IF(AND($D161="Serviço",BN$12&lt;&gt;0,$H161&gt;0,OR(AUTOEVENTO&lt;&gt;"manual",$M161&lt;&gt;$A$15)),
        IF(Import.TipoArredondamento&lt;&gt;"TransfereGOV",
              ROUND(OFFSET($P161,0,BN$13),15-13*ORÇAMENTO!$AF$7)/$H161*OFFSET(ORÇAMENTO!$X$15,ROW(BN161)-ROW(BN$15),0),
              ROUND(ROUND(OFFSET($P161,0,BN$13),15-13*ORÇAMENTO!$AF$7)*OFFSET(ORÇAMENTO!$W$15,ROW(BN161)-ROW(BN$15),0),15-13*ORÇAMENTO!$AF$11)),
         0)</f>
        <v>65.74</v>
      </c>
      <c r="BO161" s="352" t="n">
        <f aca="true">IF(AND($D161="Serviço",BO$12&lt;&gt;0,$H161&gt;0,OR(AUTOEVENTO&lt;&gt;"manual",$M161&lt;&gt;$A$15)),
        IF(Import.TipoArredondamento&lt;&gt;"TransfereGOV",
              ROUND(OFFSET($P161,0,BO$13),15-13*ORÇAMENTO!$AF$7)/$H161*OFFSET(ORÇAMENTO!$X$15,ROW(BO161)-ROW(BO$15),0),
              ROUND(ROUND(OFFSET($P161,0,BO$13),15-13*ORÇAMENTO!$AF$7)*OFFSET(ORÇAMENTO!$W$15,ROW(BO161)-ROW(BO$15),0),15-13*ORÇAMENTO!$AF$11)),
         0)</f>
        <v>65.74</v>
      </c>
      <c r="BP161" s="352" t="n">
        <f aca="true">IF(AND($D161="Serviço",BP$12&lt;&gt;0,$H161&gt;0,OR(AUTOEVENTO&lt;&gt;"manual",$M161&lt;&gt;$A$15)),
        IF(Import.TipoArredondamento&lt;&gt;"TransfereGOV",
              ROUND(OFFSET($P161,0,BP$13),15-13*ORÇAMENTO!$AF$7)/$H161*OFFSET(ORÇAMENTO!$X$15,ROW(BP161)-ROW(BP$15),0),
              ROUND(ROUND(OFFSET($P161,0,BP$13),15-13*ORÇAMENTO!$AF$7)*OFFSET(ORÇAMENTO!$W$15,ROW(BP161)-ROW(BP$15),0),15-13*ORÇAMENTO!$AF$11)),
         0)</f>
        <v>65.74</v>
      </c>
      <c r="BQ161" s="352" t="n">
        <f aca="true">IF(AND($D161="Serviço",BQ$12&lt;&gt;0,$H161&gt;0,OR(AUTOEVENTO&lt;&gt;"manual",$M161&lt;&gt;$A$15)),
        IF(Import.TipoArredondamento&lt;&gt;"TransfereGOV",
              ROUND(OFFSET($P161,0,BQ$13),15-13*ORÇAMENTO!$AF$7)/$H161*OFFSET(ORÇAMENTO!$X$15,ROW(BQ161)-ROW(BQ$15),0),
              ROUND(ROUND(OFFSET($P161,0,BQ$13),15-13*ORÇAMENTO!$AF$7)*OFFSET(ORÇAMENTO!$W$15,ROW(BQ161)-ROW(BQ$15),0),15-13*ORÇAMENTO!$AF$11)),
         0)</f>
        <v>0</v>
      </c>
      <c r="BS161" s="353" t="n">
        <f aca="true">IF(OR($D161&lt;&gt;"Serviço",AND(AUTOEVENTO="Manual",$M161=$A$15)),0,
         IF(OFFSET(CRONOPLE!$F$15,$M161-$A$15,BS$13)=0,10^12,OFFSET(CRONOPLE!$F$15,$M161-$A$15,BS$13)))</f>
        <v>1</v>
      </c>
      <c r="BT161" s="353" t="n">
        <f aca="true">IF(OR($D161&lt;&gt;"Serviço",AND(AUTOEVENTO="Manual",$M161=$A$15)),0,
         IF(OFFSET(CRONOPLE!$F$15,$M161-$A$15,BT$13)=0,10^12,OFFSET(CRONOPLE!$F$15,$M161-$A$15,BT$13)))</f>
        <v>2</v>
      </c>
      <c r="BU161" s="353" t="n">
        <f aca="true">IF(OR($D161&lt;&gt;"Serviço",AND(AUTOEVENTO="Manual",$M161=$A$15)),0,
         IF(OFFSET(CRONOPLE!$F$15,$M161-$A$15,BU$13)=0,10^12,OFFSET(CRONOPLE!$F$15,$M161-$A$15,BU$13)))</f>
        <v>3</v>
      </c>
      <c r="BV161" s="353" t="n">
        <f aca="true">IF(OR($D161&lt;&gt;"Serviço",AND(AUTOEVENTO="Manual",$M161=$A$15)),0,
         IF(OFFSET(CRONOPLE!$F$15,$M161-$A$15,BV$13)=0,10^12,OFFSET(CRONOPLE!$F$15,$M161-$A$15,BV$13)))</f>
        <v>4</v>
      </c>
      <c r="BW161" s="353" t="n">
        <f aca="true">IF(OR($D161&lt;&gt;"Serviço",AND(AUTOEVENTO="Manual",$M161=$A$15)),0,
         IF(OFFSET(CRONOPLE!$F$15,$M161-$A$15,BW$13)=0,10^12,OFFSET(CRONOPLE!$F$15,$M161-$A$15,BW$13)))</f>
        <v>5</v>
      </c>
      <c r="BX161" s="353" t="n">
        <f aca="true">IF(OR($D161&lt;&gt;"Serviço",AND(AUTOEVENTO="Manual",$M161=$A$15)),0,
         IF(OFFSET(CRONOPLE!$F$15,$M161-$A$15,BX$13)=0,10^12,OFFSET(CRONOPLE!$F$15,$M161-$A$15,BX$13)))</f>
        <v>6</v>
      </c>
      <c r="BY161" s="353" t="n">
        <f aca="true">IF(OR($D161&lt;&gt;"Serviço",AND(AUTOEVENTO="Manual",$M161=$A$15)),0,
         IF(OFFSET(CRONOPLE!$F$15,$M161-$A$15,BY$13)=0,10^12,OFFSET(CRONOPLE!$F$15,$M161-$A$15,BY$13)))</f>
        <v>7</v>
      </c>
      <c r="BZ161" s="353" t="n">
        <f aca="true">IF(OR($D161&lt;&gt;"Serviço",AND(AUTOEVENTO="Manual",$M161=$A$15)),0,
         IF(OFFSET(CRONOPLE!$F$15,$M161-$A$15,BZ$13)=0,10^12,OFFSET(CRONOPLE!$F$15,$M161-$A$15,BZ$13)))</f>
        <v>8</v>
      </c>
      <c r="CA161" s="353" t="n">
        <f aca="true">IF(OR($D161&lt;&gt;"Serviço",AND(AUTOEVENTO="Manual",$M161=$A$15)),0,
         IF(OFFSET(CRONOPLE!$F$15,$M161-$A$15,CA$13)=0,10^12,OFFSET(CRONOPLE!$F$15,$M161-$A$15,CA$13)))</f>
        <v>9</v>
      </c>
      <c r="CB161" s="353" t="n">
        <f aca="true">IF(OR($D161&lt;&gt;"Serviço",AND(AUTOEVENTO="Manual",$M161=$A$15)),0,
         IF(OFFSET(CRONOPLE!$F$15,$M161-$A$15,CB$13)=0,10^12,OFFSET(CRONOPLE!$F$15,$M161-$A$15,CB$13)))</f>
        <v>10</v>
      </c>
      <c r="CC161" s="353" t="n">
        <f aca="true">IF(OR($D161&lt;&gt;"Serviço",AND(AUTOEVENTO="Manual",$M161=$A$15)),0,
         IF(OFFSET(CRONOPLE!$F$15,$M161-$A$15,CC$13)=0,10^12,OFFSET(CRONOPLE!$F$15,$M161-$A$15,CC$13)))</f>
        <v>11</v>
      </c>
      <c r="CD161" s="353" t="n">
        <f aca="true">IF(OR($D161&lt;&gt;"Serviço",AND(AUTOEVENTO="Manual",$M161=$A$15)),0,
         IF(OFFSET(CRONOPLE!$F$15,$M161-$A$15,CD$13)=0,10^12,OFFSET(CRONOPLE!$F$15,$M161-$A$15,CD$13)))</f>
        <v>12</v>
      </c>
      <c r="CE161" s="353" t="n">
        <f aca="true">IF(OR($D161&lt;&gt;"Serviço",AND(AUTOEVENTO="Manual",$M161=$A$15)),0,
         IF(OFFSET(CRONOPLE!$F$15,$M161-$A$15,CE$13)=0,10^12,OFFSET(CRONOPLE!$F$15,$M161-$A$15,CE$13)))</f>
        <v>13</v>
      </c>
      <c r="CF161" s="353" t="n">
        <f aca="true">IF(OR($D161&lt;&gt;"Serviço",AND(AUTOEVENTO="Manual",$M161=$A$15)),0,
         IF(OFFSET(CRONOPLE!$F$15,$M161-$A$15,CF$13)=0,10^12,OFFSET(CRONOPLE!$F$15,$M161-$A$15,CF$13)))</f>
        <v>14</v>
      </c>
      <c r="CG161" s="353" t="n">
        <f aca="true">IF(OR($D161&lt;&gt;"Serviço",AND(AUTOEVENTO="Manual",$M161=$A$15)),0,
         IF(OFFSET(CRONOPLE!$F$15,$M161-$A$15,CG$13)=0,10^12,OFFSET(CRONOPLE!$F$15,$M161-$A$15,CG$13)))</f>
        <v>15</v>
      </c>
      <c r="CH161" s="353" t="n">
        <f aca="true">IF(OR($D161&lt;&gt;"Serviço",AND(AUTOEVENTO="Manual",$M161=$A$15)),0,
         IF(OFFSET(CRONOPLE!$F$15,$M161-$A$15,CH$13)=0,10^12,OFFSET(CRONOPLE!$F$15,$M161-$A$15,CH$13)))</f>
        <v>16</v>
      </c>
      <c r="CI161" s="353" t="n">
        <f aca="true">IF(OR($D161&lt;&gt;"Serviço",AND(AUTOEVENTO="Manual",$M161=$A$15)),0,
         IF(OFFSET(CRONOPLE!$F$15,$M161-$A$15,CI$13)=0,10^12,OFFSET(CRONOPLE!$F$15,$M161-$A$15,CI$13)))</f>
        <v>17</v>
      </c>
      <c r="CJ161" s="353" t="n">
        <f aca="true">IF(OR($D161&lt;&gt;"Serviço",AND(AUTOEVENTO="Manual",$M161=$A$15)),0,
         IF(OFFSET(CRONOPLE!$F$15,$M161-$A$15,CJ$13)=0,10^12,OFFSET(CRONOPLE!$F$15,$M161-$A$15,CJ$13)))</f>
        <v>18</v>
      </c>
      <c r="CK161" s="353" t="n">
        <f aca="true">IF(OR($D161&lt;&gt;"Serviço",AND(AUTOEVENTO="Manual",$M161=$A$15)),0,
         IF(OFFSET(CRONOPLE!$F$15,$M161-$A$15,CK$13)=0,10^12,OFFSET(CRONOPLE!$F$15,$M161-$A$15,CK$13)))</f>
        <v>19</v>
      </c>
      <c r="CL161" s="353" t="n">
        <f aca="true">IF(OR($D161&lt;&gt;"Serviço",AND(AUTOEVENTO="Manual",$M161=$A$15)),0,
         IF(OFFSET(CRONOPLE!$F$15,$M161-$A$15,CL$13)=0,10^12,OFFSET(CRONOPLE!$F$15,$M161-$A$15,CL$13)))</f>
        <v>20</v>
      </c>
      <c r="CM161" s="353" t="n">
        <f aca="true">IF(OR($D161&lt;&gt;"Serviço",AND(AUTOEVENTO="Manual",$M161=$A$15)),0,
         IF(OFFSET(CRONOPLE!$F$15,$M161-$A$15,CM$13)=0,10^12,OFFSET(CRONOPLE!$F$15,$M161-$A$15,CM$13)))</f>
        <v>21</v>
      </c>
      <c r="CN161" s="353" t="n">
        <f aca="true">IF(OR($D161&lt;&gt;"Serviço",AND(AUTOEVENTO="Manual",$M161=$A$15)),0,
         IF(OFFSET(CRONOPLE!$F$15,$M161-$A$15,CN$13)=0,10^12,OFFSET(CRONOPLE!$F$15,$M161-$A$15,CN$13)))</f>
        <v>22</v>
      </c>
      <c r="CO161" s="353" t="n">
        <f aca="true">IF(OR($D161&lt;&gt;"Serviço",AND(AUTOEVENTO="Manual",$M161=$A$15)),0,
         IF(OFFSET(CRONOPLE!$F$15,$M161-$A$15,CO$13)=0,10^12,OFFSET(CRONOPLE!$F$15,$M161-$A$15,CO$13)))</f>
        <v>23</v>
      </c>
      <c r="CP161" s="353" t="n">
        <f aca="true">IF(OR($D161&lt;&gt;"Serviço",AND(AUTOEVENTO="Manual",$M161=$A$15)),0,
         IF(OFFSET(CRONOPLE!$F$15,$M161-$A$15,CP$13)=0,10^12,OFFSET(CRONOPLE!$F$15,$M161-$A$15,CP$13)))</f>
        <v>24</v>
      </c>
      <c r="CQ161" s="353" t="n">
        <f aca="true">IF(OR($D161&lt;&gt;"Serviço",AND(AUTOEVENTO="Manual",$M161=$A$15)),0,
         IF(OFFSET(CRONOPLE!$F$15,$M161-$A$15,CQ$13)=0,10^12,OFFSET(CRONOPLE!$F$15,$M161-$A$15,CQ$13)))</f>
        <v>25</v>
      </c>
      <c r="CR161" s="353" t="n">
        <f aca="true">IF(OR($D161&lt;&gt;"Serviço",AND(AUTOEVENTO="Manual",$M161=$A$15)),0,
         IF(OFFSET(CRONOPLE!$F$15,$M161-$A$15,CR$13)=0,10^12,OFFSET(CRONOPLE!$F$15,$M161-$A$15,CR$13)))</f>
        <v>1000000000000</v>
      </c>
      <c r="CT161" s="354" t="n">
        <f aca="true">IF(OR($D161&lt;&gt;"Serviço",AND(AUTOEVENTO="Manual",$M161=$A$15),$M161&gt;(ROW(PLE.lastrow)-ROW(PLE.firstrow))),0,
           IF(OFFSET(PLE!$G$15,$M161-$A$15,CT$13)="",10^12,OFFSET(PLE!$G$15,$M161-$A$15,CT$13)))</f>
        <v>1000000000000</v>
      </c>
      <c r="CU161" s="354" t="n">
        <f aca="true">IF(OR($D161&lt;&gt;"Serviço",AND(AUTOEVENTO="Manual",$M161=$A$15),$M161&gt;(ROW(PLE.lastrow)-ROW(PLE.firstrow))),0,
           IF(OFFSET(PLE!$G$15,$M161-$A$15,CU$13)="",10^12,OFFSET(PLE!$G$15,$M161-$A$15,CU$13)))</f>
        <v>1000000000000</v>
      </c>
      <c r="CV161" s="354" t="n">
        <f aca="true">IF(OR($D161&lt;&gt;"Serviço",AND(AUTOEVENTO="Manual",$M161=$A$15),$M161&gt;(ROW(PLE.lastrow)-ROW(PLE.firstrow))),0,
           IF(OFFSET(PLE!$G$15,$M161-$A$15,CV$13)="",10^12,OFFSET(PLE!$G$15,$M161-$A$15,CV$13)))</f>
        <v>1000000000000</v>
      </c>
      <c r="CW161" s="354" t="n">
        <f aca="true">IF(OR($D161&lt;&gt;"Serviço",AND(AUTOEVENTO="Manual",$M161=$A$15),$M161&gt;(ROW(PLE.lastrow)-ROW(PLE.firstrow))),0,
           IF(OFFSET(PLE!$G$15,$M161-$A$15,CW$13)="",10^12,OFFSET(PLE!$G$15,$M161-$A$15,CW$13)))</f>
        <v>1000000000000</v>
      </c>
      <c r="CX161" s="354" t="n">
        <f aca="true">IF(OR($D161&lt;&gt;"Serviço",AND(AUTOEVENTO="Manual",$M161=$A$15),$M161&gt;(ROW(PLE.lastrow)-ROW(PLE.firstrow))),0,
           IF(OFFSET(PLE!$G$15,$M161-$A$15,CX$13)="",10^12,OFFSET(PLE!$G$15,$M161-$A$15,CX$13)))</f>
        <v>1000000000000</v>
      </c>
      <c r="CY161" s="354" t="n">
        <f aca="true">IF(OR($D161&lt;&gt;"Serviço",AND(AUTOEVENTO="Manual",$M161=$A$15),$M161&gt;(ROW(PLE.lastrow)-ROW(PLE.firstrow))),0,
           IF(OFFSET(PLE!$G$15,$M161-$A$15,CY$13)="",10^12,OFFSET(PLE!$G$15,$M161-$A$15,CY$13)))</f>
        <v>1000000000000</v>
      </c>
      <c r="CZ161" s="354" t="n">
        <f aca="true">IF(OR($D161&lt;&gt;"Serviço",AND(AUTOEVENTO="Manual",$M161=$A$15),$M161&gt;(ROW(PLE.lastrow)-ROW(PLE.firstrow))),0,
           IF(OFFSET(PLE!$G$15,$M161-$A$15,CZ$13)="",10^12,OFFSET(PLE!$G$15,$M161-$A$15,CZ$13)))</f>
        <v>1000000000000</v>
      </c>
      <c r="DA161" s="354" t="n">
        <f aca="true">IF(OR($D161&lt;&gt;"Serviço",AND(AUTOEVENTO="Manual",$M161=$A$15),$M161&gt;(ROW(PLE.lastrow)-ROW(PLE.firstrow))),0,
           IF(OFFSET(PLE!$G$15,$M161-$A$15,DA$13)="",10^12,OFFSET(PLE!$G$15,$M161-$A$15,DA$13)))</f>
        <v>1000000000000</v>
      </c>
      <c r="DB161" s="354" t="n">
        <f aca="true">IF(OR($D161&lt;&gt;"Serviço",AND(AUTOEVENTO="Manual",$M161=$A$15),$M161&gt;(ROW(PLE.lastrow)-ROW(PLE.firstrow))),0,
           IF(OFFSET(PLE!$G$15,$M161-$A$15,DB$13)="",10^12,OFFSET(PLE!$G$15,$M161-$A$15,DB$13)))</f>
        <v>1000000000000</v>
      </c>
      <c r="DC161" s="354" t="n">
        <f aca="true">IF(OR($D161&lt;&gt;"Serviço",AND(AUTOEVENTO="Manual",$M161=$A$15),$M161&gt;(ROW(PLE.lastrow)-ROW(PLE.firstrow))),0,
           IF(OFFSET(PLE!$G$15,$M161-$A$15,DC$13)="",10^12,OFFSET(PLE!$G$15,$M161-$A$15,DC$13)))</f>
        <v>1000000000000</v>
      </c>
      <c r="DD161" s="354" t="n">
        <f aca="true">IF(OR($D161&lt;&gt;"Serviço",AND(AUTOEVENTO="Manual",$M161=$A$15),$M161&gt;(ROW(PLE.lastrow)-ROW(PLE.firstrow))),0,
           IF(OFFSET(PLE!$G$15,$M161-$A$15,DD$13)="",10^12,OFFSET(PLE!$G$15,$M161-$A$15,DD$13)))</f>
        <v>1000000000000</v>
      </c>
      <c r="DE161" s="354" t="n">
        <f aca="true">IF(OR($D161&lt;&gt;"Serviço",AND(AUTOEVENTO="Manual",$M161=$A$15),$M161&gt;(ROW(PLE.lastrow)-ROW(PLE.firstrow))),0,
           IF(OFFSET(PLE!$G$15,$M161-$A$15,DE$13)="",10^12,OFFSET(PLE!$G$15,$M161-$A$15,DE$13)))</f>
        <v>1000000000000</v>
      </c>
      <c r="DF161" s="354" t="n">
        <f aca="true">IF(OR($D161&lt;&gt;"Serviço",AND(AUTOEVENTO="Manual",$M161=$A$15),$M161&gt;(ROW(PLE.lastrow)-ROW(PLE.firstrow))),0,
           IF(OFFSET(PLE!$G$15,$M161-$A$15,DF$13)="",10^12,OFFSET(PLE!$G$15,$M161-$A$15,DF$13)))</f>
        <v>1000000000000</v>
      </c>
      <c r="DG161" s="354" t="n">
        <f aca="true">IF(OR($D161&lt;&gt;"Serviço",AND(AUTOEVENTO="Manual",$M161=$A$15),$M161&gt;(ROW(PLE.lastrow)-ROW(PLE.firstrow))),0,
           IF(OFFSET(PLE!$G$15,$M161-$A$15,DG$13)="",10^12,OFFSET(PLE!$G$15,$M161-$A$15,DG$13)))</f>
        <v>1000000000000</v>
      </c>
      <c r="DH161" s="354" t="n">
        <f aca="true">IF(OR($D161&lt;&gt;"Serviço",AND(AUTOEVENTO="Manual",$M161=$A$15),$M161&gt;(ROW(PLE.lastrow)-ROW(PLE.firstrow))),0,
           IF(OFFSET(PLE!$G$15,$M161-$A$15,DH$13)="",10^12,OFFSET(PLE!$G$15,$M161-$A$15,DH$13)))</f>
        <v>1000000000000</v>
      </c>
      <c r="DI161" s="354" t="n">
        <f aca="true">IF(OR($D161&lt;&gt;"Serviço",AND(AUTOEVENTO="Manual",$M161=$A$15),$M161&gt;(ROW(PLE.lastrow)-ROW(PLE.firstrow))),0,
           IF(OFFSET(PLE!$G$15,$M161-$A$15,DI$13)="",10^12,OFFSET(PLE!$G$15,$M161-$A$15,DI$13)))</f>
        <v>1000000000000</v>
      </c>
      <c r="DJ161" s="354" t="n">
        <f aca="true">IF(OR($D161&lt;&gt;"Serviço",AND(AUTOEVENTO="Manual",$M161=$A$15),$M161&gt;(ROW(PLE.lastrow)-ROW(PLE.firstrow))),0,
           IF(OFFSET(PLE!$G$15,$M161-$A$15,DJ$13)="",10^12,OFFSET(PLE!$G$15,$M161-$A$15,DJ$13)))</f>
        <v>1000000000000</v>
      </c>
      <c r="DK161" s="354" t="n">
        <f aca="true">IF(OR($D161&lt;&gt;"Serviço",AND(AUTOEVENTO="Manual",$M161=$A$15),$M161&gt;(ROW(PLE.lastrow)-ROW(PLE.firstrow))),0,
           IF(OFFSET(PLE!$G$15,$M161-$A$15,DK$13)="",10^12,OFFSET(PLE!$G$15,$M161-$A$15,DK$13)))</f>
        <v>1000000000000</v>
      </c>
      <c r="DL161" s="354" t="n">
        <f aca="true">IF(OR($D161&lt;&gt;"Serviço",AND(AUTOEVENTO="Manual",$M161=$A$15),$M161&gt;(ROW(PLE.lastrow)-ROW(PLE.firstrow))),0,
           IF(OFFSET(PLE!$G$15,$M161-$A$15,DL$13)="",10^12,OFFSET(PLE!$G$15,$M161-$A$15,DL$13)))</f>
        <v>1000000000000</v>
      </c>
      <c r="DM161" s="354" t="n">
        <f aca="true">IF(OR($D161&lt;&gt;"Serviço",AND(AUTOEVENTO="Manual",$M161=$A$15),$M161&gt;(ROW(PLE.lastrow)-ROW(PLE.firstrow))),0,
           IF(OFFSET(PLE!$G$15,$M161-$A$15,DM$13)="",10^12,OFFSET(PLE!$G$15,$M161-$A$15,DM$13)))</f>
        <v>1000000000000</v>
      </c>
      <c r="DN161" s="354" t="n">
        <f aca="true">IF(OR($D161&lt;&gt;"Serviço",AND(AUTOEVENTO="Manual",$M161=$A$15),$M161&gt;(ROW(PLE.lastrow)-ROW(PLE.firstrow))),0,
           IF(OFFSET(PLE!$G$15,$M161-$A$15,DN$13)="",10^12,OFFSET(PLE!$G$15,$M161-$A$15,DN$13)))</f>
        <v>1000000000000</v>
      </c>
      <c r="DO161" s="354" t="n">
        <f aca="true">IF(OR($D161&lt;&gt;"Serviço",AND(AUTOEVENTO="Manual",$M161=$A$15),$M161&gt;(ROW(PLE.lastrow)-ROW(PLE.firstrow))),0,
           IF(OFFSET(PLE!$G$15,$M161-$A$15,DO$13)="",10^12,OFFSET(PLE!$G$15,$M161-$A$15,DO$13)))</f>
        <v>1000000000000</v>
      </c>
      <c r="DP161" s="354" t="n">
        <f aca="true">IF(OR($D161&lt;&gt;"Serviço",AND(AUTOEVENTO="Manual",$M161=$A$15),$M161&gt;(ROW(PLE.lastrow)-ROW(PLE.firstrow))),0,
           IF(OFFSET(PLE!$G$15,$M161-$A$15,DP$13)="",10^12,OFFSET(PLE!$G$15,$M161-$A$15,DP$13)))</f>
        <v>1000000000000</v>
      </c>
      <c r="DQ161" s="354" t="n">
        <f aca="true">IF(OR($D161&lt;&gt;"Serviço",AND(AUTOEVENTO="Manual",$M161=$A$15),$M161&gt;(ROW(PLE.lastrow)-ROW(PLE.firstrow))),0,
           IF(OFFSET(PLE!$G$15,$M161-$A$15,DQ$13)="",10^12,OFFSET(PLE!$G$15,$M161-$A$15,DQ$13)))</f>
        <v>1000000000000</v>
      </c>
      <c r="DR161" s="354" t="n">
        <f aca="true">IF(OR($D161&lt;&gt;"Serviço",AND(AUTOEVENTO="Manual",$M161=$A$15),$M161&gt;(ROW(PLE.lastrow)-ROW(PLE.firstrow))),0,
           IF(OFFSET(PLE!$G$15,$M161-$A$15,DR$13)="",10^12,OFFSET(PLE!$G$15,$M161-$A$15,DR$13)))</f>
        <v>1000000000000</v>
      </c>
      <c r="DS161" s="354" t="n">
        <f aca="true">IF(OR($D161&lt;&gt;"Serviço",AND(AUTOEVENTO="Manual",$M161=$A$15),$M161&gt;(ROW(PLE.lastrow)-ROW(PLE.firstrow))),0,
           IF(OFFSET(PLE!$G$15,$M161-$A$15,DS$13)="",10^12,OFFSET(PLE!$G$15,$M161-$A$15,DS$13)))</f>
        <v>1000000000000</v>
      </c>
    </row>
    <row r="162" customFormat="false" ht="23.85" hidden="false" customHeight="false" outlineLevel="0" collapsed="false">
      <c r="A162" s="50" t="str">
        <f aca="true">IFERROR(IF(AUTOEVENTO="Manual",IF(K162&lt;&gt;"",MIN(VALUE(LEFT(K162,FIND(".",K162)-1)),COUNTA(EVENTOS.Lista)),0),IF(OR($B162&gt;AUTOEVENTO,$B162="S",$B162=0),SUBSTITUTE(OFFSET($A162,-1,0),IF($D162="Serviço",".",""),""),ROW(A162)-ROW($A$15)&amp;".")),0)</f>
        <v>141</v>
      </c>
      <c r="B162" s="50" t="str">
        <f aca="true">OFFSET(ORÇAMENTO!C$15,ROW(B162)-ROW(B$15),0)</f>
        <v>S</v>
      </c>
      <c r="C162" s="50" t="str">
        <f aca="true">OFFSET(ORÇAMENTO!L$15,ROW(C162)-ROW(C$15),0)</f>
        <v>F</v>
      </c>
      <c r="D162" s="201" t="str">
        <f aca="true">OFFSET(ORÇAMENTO!N$15,ROW(D162)-ROW(D$15),0)</f>
        <v>Serviço</v>
      </c>
      <c r="E162" s="202" t="str">
        <f aca="true">OFFSET(ORÇAMENTO!O$15,ROW(E162)-ROW(E$15),0)</f>
        <v>1.43.6.</v>
      </c>
      <c r="F162" s="341" t="str">
        <f aca="true">OFFSET(ORÇAMENTO!R$15,ROW(F162)-ROW(F$15),0)</f>
        <v>TORNEIRA DE BOIA PARA CAIXA D'ÁGUA, ROSCÁVEL, 3/4" - FORNECIMENTO E INSTALAÇÃO. AF_08/2021</v>
      </c>
      <c r="G162" s="342" t="str">
        <f aca="true">IF($D162&lt;&gt;"Serviço","",OFFSET(ORÇAMENTO!S$15,ROW(G162)-ROW(G$15),0))</f>
        <v>UN</v>
      </c>
      <c r="H162" s="207" t="n">
        <f aca="true">IF($D162&lt;&gt;"Serviço",0,IF(ACOMPANHAMENTO="BM",ROUND(OFFSET(ORÇAMENTO!AJ$15,ROW(H162)-ROW(H$15),0),15-13*ORÇAMENTO!$AF$7),SUMPRODUCT(($Q$1:$AQ$1=1)*ROUND($Q162:$AQ162,15-13*ORÇAMENTO!$AF$7))))</f>
        <v>25</v>
      </c>
      <c r="I162" s="343" t="s">
        <v>969</v>
      </c>
      <c r="J162" s="344" t="e">
        <f aca="false">IF(OR(B162&lt;&gt;"S",CÁLCULO.FrentesPreenchidas=0),"",IF(AND(ACOMPANHAMENTO="PLE",AUTOEVENTO="Manual",OR(H162&gt;0,ORÇAMENTO!AC162="QUANT."),OR(K162="",M162=0,N162="")),"►",IF(AND(ACOMPANHAMENTO="PLE",ORÇAMENTO!AC162="QUANT."),"►►",IF(AND(COUNTIF($P$11:$AQ$11,"▼")=0,H162&gt;0,I162=""),"◄",""))))</f>
        <v>#NAME?</v>
      </c>
      <c r="K162" s="345"/>
      <c r="L162" s="346" t="s">
        <v>876</v>
      </c>
      <c r="M162" s="347" t="n">
        <f aca="true">IF($D162&lt;&gt;"Serviço","",
          IF(AUTOEVENTO="manual",$A162,
                IF(ISERROR(MATCH($A162,$A$15:OFFSET($A162,-1,0),0)),MAX($M$15:OFFSET(M162,-1,0))+1,
                      INDEX($M$15:OFFSET(M162,-1,0),MATCH($A162,$A$15:OFFSET($A162,-1,0),0)))))</f>
        <v>27</v>
      </c>
      <c r="N162" s="348" t="str">
        <f aca="true">IF($D162&lt;&gt;"Serviço","",
         IF(AUTOEVENTO="Manual",
                IF($A162=0,"&lt;-- defina o número do agrupador",
                       OFFSET(EVENTOS!$D$15,$A162-$A$15,0)),
                OFFSET($F$15,$A162,0)))</f>
        <v>CAIXA D'ÁGUA E BARRILETE</v>
      </c>
      <c r="O162" s="349"/>
      <c r="Q162" s="349" t="n">
        <v>1</v>
      </c>
      <c r="R162" s="350" t="n">
        <v>1</v>
      </c>
      <c r="S162" s="350" t="n">
        <v>1</v>
      </c>
      <c r="T162" s="350" t="n">
        <v>1</v>
      </c>
      <c r="U162" s="350" t="n">
        <v>1</v>
      </c>
      <c r="V162" s="350" t="n">
        <v>1</v>
      </c>
      <c r="W162" s="350" t="n">
        <v>1</v>
      </c>
      <c r="X162" s="350" t="n">
        <v>1</v>
      </c>
      <c r="Y162" s="350" t="n">
        <v>1</v>
      </c>
      <c r="Z162" s="351" t="n">
        <v>1</v>
      </c>
      <c r="AA162" s="350" t="n">
        <v>1</v>
      </c>
      <c r="AB162" s="350" t="n">
        <v>1</v>
      </c>
      <c r="AC162" s="350" t="n">
        <v>1</v>
      </c>
      <c r="AD162" s="350" t="n">
        <v>1</v>
      </c>
      <c r="AE162" s="350" t="n">
        <v>1</v>
      </c>
      <c r="AF162" s="350" t="n">
        <v>1</v>
      </c>
      <c r="AG162" s="350" t="n">
        <v>1</v>
      </c>
      <c r="AH162" s="351" t="n">
        <v>1</v>
      </c>
      <c r="AI162" s="350" t="n">
        <v>1</v>
      </c>
      <c r="AJ162" s="350" t="n">
        <v>1</v>
      </c>
      <c r="AK162" s="350" t="n">
        <v>1</v>
      </c>
      <c r="AL162" s="350" t="n">
        <v>1</v>
      </c>
      <c r="AM162" s="350" t="n">
        <v>1</v>
      </c>
      <c r="AN162" s="350" t="n">
        <v>1</v>
      </c>
      <c r="AO162" s="350" t="n">
        <v>1</v>
      </c>
      <c r="AP162" s="351"/>
      <c r="AR162" s="352" t="n">
        <f aca="true">IF(AND($D162="Serviço",AR$12&lt;&gt;0,$H162&gt;0,OR(AUTOEVENTO&lt;&gt;"manual",$M162&lt;&gt;$A$15)),
        IF(Import.TipoArredondamento&lt;&gt;"TransfereGOV",
              ROUND(OFFSET($P162,0,AR$13),15-13*ORÇAMENTO!$AF$7)/$H162*OFFSET(ORÇAMENTO!$X$15,ROW(AR162)-ROW(AR$15),0),
              ROUND(ROUND(OFFSET($P162,0,AR$13),15-13*ORÇAMENTO!$AF$7)*OFFSET(ORÇAMENTO!$W$15,ROW(AR162)-ROW(AR$15),0),15-13*ORÇAMENTO!$AF$11)),
         0)</f>
        <v>46.92</v>
      </c>
      <c r="AS162" s="352" t="n">
        <f aca="true">IF(AND($D162="Serviço",AS$12&lt;&gt;0,$H162&gt;0,OR(AUTOEVENTO&lt;&gt;"manual",$M162&lt;&gt;$A$15)),
        IF(Import.TipoArredondamento&lt;&gt;"TransfereGOV",
              ROUND(OFFSET($P162,0,AS$13),15-13*ORÇAMENTO!$AF$7)/$H162*OFFSET(ORÇAMENTO!$X$15,ROW(AS162)-ROW(AS$15),0),
              ROUND(ROUND(OFFSET($P162,0,AS$13),15-13*ORÇAMENTO!$AF$7)*OFFSET(ORÇAMENTO!$W$15,ROW(AS162)-ROW(AS$15),0),15-13*ORÇAMENTO!$AF$11)),
         0)</f>
        <v>46.92</v>
      </c>
      <c r="AT162" s="352" t="n">
        <f aca="true">IF(AND($D162="Serviço",AT$12&lt;&gt;0,$H162&gt;0,OR(AUTOEVENTO&lt;&gt;"manual",$M162&lt;&gt;$A$15)),
        IF(Import.TipoArredondamento&lt;&gt;"TransfereGOV",
              ROUND(OFFSET($P162,0,AT$13),15-13*ORÇAMENTO!$AF$7)/$H162*OFFSET(ORÇAMENTO!$X$15,ROW(AT162)-ROW(AT$15),0),
              ROUND(ROUND(OFFSET($P162,0,AT$13),15-13*ORÇAMENTO!$AF$7)*OFFSET(ORÇAMENTO!$W$15,ROW(AT162)-ROW(AT$15),0),15-13*ORÇAMENTO!$AF$11)),
         0)</f>
        <v>46.92</v>
      </c>
      <c r="AU162" s="352" t="n">
        <f aca="true">IF(AND($D162="Serviço",AU$12&lt;&gt;0,$H162&gt;0,OR(AUTOEVENTO&lt;&gt;"manual",$M162&lt;&gt;$A$15)),
        IF(Import.TipoArredondamento&lt;&gt;"TransfereGOV",
              ROUND(OFFSET($P162,0,AU$13),15-13*ORÇAMENTO!$AF$7)/$H162*OFFSET(ORÇAMENTO!$X$15,ROW(AU162)-ROW(AU$15),0),
              ROUND(ROUND(OFFSET($P162,0,AU$13),15-13*ORÇAMENTO!$AF$7)*OFFSET(ORÇAMENTO!$W$15,ROW(AU162)-ROW(AU$15),0),15-13*ORÇAMENTO!$AF$11)),
         0)</f>
        <v>46.92</v>
      </c>
      <c r="AV162" s="352" t="n">
        <f aca="true">IF(AND($D162="Serviço",AV$12&lt;&gt;0,$H162&gt;0,OR(AUTOEVENTO&lt;&gt;"manual",$M162&lt;&gt;$A$15)),
        IF(Import.TipoArredondamento&lt;&gt;"TransfereGOV",
              ROUND(OFFSET($P162,0,AV$13),15-13*ORÇAMENTO!$AF$7)/$H162*OFFSET(ORÇAMENTO!$X$15,ROW(AV162)-ROW(AV$15),0),
              ROUND(ROUND(OFFSET($P162,0,AV$13),15-13*ORÇAMENTO!$AF$7)*OFFSET(ORÇAMENTO!$W$15,ROW(AV162)-ROW(AV$15),0),15-13*ORÇAMENTO!$AF$11)),
         0)</f>
        <v>46.92</v>
      </c>
      <c r="AW162" s="352" t="n">
        <f aca="true">IF(AND($D162="Serviço",AW$12&lt;&gt;0,$H162&gt;0,OR(AUTOEVENTO&lt;&gt;"manual",$M162&lt;&gt;$A$15)),
        IF(Import.TipoArredondamento&lt;&gt;"TransfereGOV",
              ROUND(OFFSET($P162,0,AW$13),15-13*ORÇAMENTO!$AF$7)/$H162*OFFSET(ORÇAMENTO!$X$15,ROW(AW162)-ROW(AW$15),0),
              ROUND(ROUND(OFFSET($P162,0,AW$13),15-13*ORÇAMENTO!$AF$7)*OFFSET(ORÇAMENTO!$W$15,ROW(AW162)-ROW(AW$15),0),15-13*ORÇAMENTO!$AF$11)),
         0)</f>
        <v>46.92</v>
      </c>
      <c r="AX162" s="352" t="n">
        <f aca="true">IF(AND($D162="Serviço",AX$12&lt;&gt;0,$H162&gt;0,OR(AUTOEVENTO&lt;&gt;"manual",$M162&lt;&gt;$A$15)),
        IF(Import.TipoArredondamento&lt;&gt;"TransfereGOV",
              ROUND(OFFSET($P162,0,AX$13),15-13*ORÇAMENTO!$AF$7)/$H162*OFFSET(ORÇAMENTO!$X$15,ROW(AX162)-ROW(AX$15),0),
              ROUND(ROUND(OFFSET($P162,0,AX$13),15-13*ORÇAMENTO!$AF$7)*OFFSET(ORÇAMENTO!$W$15,ROW(AX162)-ROW(AX$15),0),15-13*ORÇAMENTO!$AF$11)),
         0)</f>
        <v>46.92</v>
      </c>
      <c r="AY162" s="352" t="n">
        <f aca="true">IF(AND($D162="Serviço",AY$12&lt;&gt;0,$H162&gt;0,OR(AUTOEVENTO&lt;&gt;"manual",$M162&lt;&gt;$A$15)),
        IF(Import.TipoArredondamento&lt;&gt;"TransfereGOV",
              ROUND(OFFSET($P162,0,AY$13),15-13*ORÇAMENTO!$AF$7)/$H162*OFFSET(ORÇAMENTO!$X$15,ROW(AY162)-ROW(AY$15),0),
              ROUND(ROUND(OFFSET($P162,0,AY$13),15-13*ORÇAMENTO!$AF$7)*OFFSET(ORÇAMENTO!$W$15,ROW(AY162)-ROW(AY$15),0),15-13*ORÇAMENTO!$AF$11)),
         0)</f>
        <v>46.92</v>
      </c>
      <c r="AZ162" s="352" t="n">
        <f aca="true">IF(AND($D162="Serviço",AZ$12&lt;&gt;0,$H162&gt;0,OR(AUTOEVENTO&lt;&gt;"manual",$M162&lt;&gt;$A$15)),
        IF(Import.TipoArredondamento&lt;&gt;"TransfereGOV",
              ROUND(OFFSET($P162,0,AZ$13),15-13*ORÇAMENTO!$AF$7)/$H162*OFFSET(ORÇAMENTO!$X$15,ROW(AZ162)-ROW(AZ$15),0),
              ROUND(ROUND(OFFSET($P162,0,AZ$13),15-13*ORÇAMENTO!$AF$7)*OFFSET(ORÇAMENTO!$W$15,ROW(AZ162)-ROW(AZ$15),0),15-13*ORÇAMENTO!$AF$11)),
         0)</f>
        <v>46.92</v>
      </c>
      <c r="BA162" s="352" t="n">
        <f aca="true">IF(AND($D162="Serviço",BA$12&lt;&gt;0,$H162&gt;0,OR(AUTOEVENTO&lt;&gt;"manual",$M162&lt;&gt;$A$15)),
        IF(Import.TipoArredondamento&lt;&gt;"TransfereGOV",
              ROUND(OFFSET($P162,0,BA$13),15-13*ORÇAMENTO!$AF$7)/$H162*OFFSET(ORÇAMENTO!$X$15,ROW(BA162)-ROW(BA$15),0),
              ROUND(ROUND(OFFSET($P162,0,BA$13),15-13*ORÇAMENTO!$AF$7)*OFFSET(ORÇAMENTO!$W$15,ROW(BA162)-ROW(BA$15),0),15-13*ORÇAMENTO!$AF$11)),
         0)</f>
        <v>46.92</v>
      </c>
      <c r="BB162" s="352" t="n">
        <f aca="true">IF(AND($D162="Serviço",BB$12&lt;&gt;0,$H162&gt;0,OR(AUTOEVENTO&lt;&gt;"manual",$M162&lt;&gt;$A$15)),
        IF(Import.TipoArredondamento&lt;&gt;"TransfereGOV",
              ROUND(OFFSET($P162,0,BB$13),15-13*ORÇAMENTO!$AF$7)/$H162*OFFSET(ORÇAMENTO!$X$15,ROW(BB162)-ROW(BB$15),0),
              ROUND(ROUND(OFFSET($P162,0,BB$13),15-13*ORÇAMENTO!$AF$7)*OFFSET(ORÇAMENTO!$W$15,ROW(BB162)-ROW(BB$15),0),15-13*ORÇAMENTO!$AF$11)),
         0)</f>
        <v>46.92</v>
      </c>
      <c r="BC162" s="352" t="n">
        <f aca="true">IF(AND($D162="Serviço",BC$12&lt;&gt;0,$H162&gt;0,OR(AUTOEVENTO&lt;&gt;"manual",$M162&lt;&gt;$A$15)),
        IF(Import.TipoArredondamento&lt;&gt;"TransfereGOV",
              ROUND(OFFSET($P162,0,BC$13),15-13*ORÇAMENTO!$AF$7)/$H162*OFFSET(ORÇAMENTO!$X$15,ROW(BC162)-ROW(BC$15),0),
              ROUND(ROUND(OFFSET($P162,0,BC$13),15-13*ORÇAMENTO!$AF$7)*OFFSET(ORÇAMENTO!$W$15,ROW(BC162)-ROW(BC$15),0),15-13*ORÇAMENTO!$AF$11)),
         0)</f>
        <v>46.92</v>
      </c>
      <c r="BD162" s="352" t="n">
        <f aca="true">IF(AND($D162="Serviço",BD$12&lt;&gt;0,$H162&gt;0,OR(AUTOEVENTO&lt;&gt;"manual",$M162&lt;&gt;$A$15)),
        IF(Import.TipoArredondamento&lt;&gt;"TransfereGOV",
              ROUND(OFFSET($P162,0,BD$13),15-13*ORÇAMENTO!$AF$7)/$H162*OFFSET(ORÇAMENTO!$X$15,ROW(BD162)-ROW(BD$15),0),
              ROUND(ROUND(OFFSET($P162,0,BD$13),15-13*ORÇAMENTO!$AF$7)*OFFSET(ORÇAMENTO!$W$15,ROW(BD162)-ROW(BD$15),0),15-13*ORÇAMENTO!$AF$11)),
         0)</f>
        <v>46.92</v>
      </c>
      <c r="BE162" s="352" t="n">
        <f aca="true">IF(AND($D162="Serviço",BE$12&lt;&gt;0,$H162&gt;0,OR(AUTOEVENTO&lt;&gt;"manual",$M162&lt;&gt;$A$15)),
        IF(Import.TipoArredondamento&lt;&gt;"TransfereGOV",
              ROUND(OFFSET($P162,0,BE$13),15-13*ORÇAMENTO!$AF$7)/$H162*OFFSET(ORÇAMENTO!$X$15,ROW(BE162)-ROW(BE$15),0),
              ROUND(ROUND(OFFSET($P162,0,BE$13),15-13*ORÇAMENTO!$AF$7)*OFFSET(ORÇAMENTO!$W$15,ROW(BE162)-ROW(BE$15),0),15-13*ORÇAMENTO!$AF$11)),
         0)</f>
        <v>46.92</v>
      </c>
      <c r="BF162" s="352" t="n">
        <f aca="true">IF(AND($D162="Serviço",BF$12&lt;&gt;0,$H162&gt;0,OR(AUTOEVENTO&lt;&gt;"manual",$M162&lt;&gt;$A$15)),
        IF(Import.TipoArredondamento&lt;&gt;"TransfereGOV",
              ROUND(OFFSET($P162,0,BF$13),15-13*ORÇAMENTO!$AF$7)/$H162*OFFSET(ORÇAMENTO!$X$15,ROW(BF162)-ROW(BF$15),0),
              ROUND(ROUND(OFFSET($P162,0,BF$13),15-13*ORÇAMENTO!$AF$7)*OFFSET(ORÇAMENTO!$W$15,ROW(BF162)-ROW(BF$15),0),15-13*ORÇAMENTO!$AF$11)),
         0)</f>
        <v>46.92</v>
      </c>
      <c r="BG162" s="352" t="n">
        <f aca="true">IF(AND($D162="Serviço",BG$12&lt;&gt;0,$H162&gt;0,OR(AUTOEVENTO&lt;&gt;"manual",$M162&lt;&gt;$A$15)),
        IF(Import.TipoArredondamento&lt;&gt;"TransfereGOV",
              ROUND(OFFSET($P162,0,BG$13),15-13*ORÇAMENTO!$AF$7)/$H162*OFFSET(ORÇAMENTO!$X$15,ROW(BG162)-ROW(BG$15),0),
              ROUND(ROUND(OFFSET($P162,0,BG$13),15-13*ORÇAMENTO!$AF$7)*OFFSET(ORÇAMENTO!$W$15,ROW(BG162)-ROW(BG$15),0),15-13*ORÇAMENTO!$AF$11)),
         0)</f>
        <v>46.92</v>
      </c>
      <c r="BH162" s="352" t="n">
        <f aca="true">IF(AND($D162="Serviço",BH$12&lt;&gt;0,$H162&gt;0,OR(AUTOEVENTO&lt;&gt;"manual",$M162&lt;&gt;$A$15)),
        IF(Import.TipoArredondamento&lt;&gt;"TransfereGOV",
              ROUND(OFFSET($P162,0,BH$13),15-13*ORÇAMENTO!$AF$7)/$H162*OFFSET(ORÇAMENTO!$X$15,ROW(BH162)-ROW(BH$15),0),
              ROUND(ROUND(OFFSET($P162,0,BH$13),15-13*ORÇAMENTO!$AF$7)*OFFSET(ORÇAMENTO!$W$15,ROW(BH162)-ROW(BH$15),0),15-13*ORÇAMENTO!$AF$11)),
         0)</f>
        <v>46.92</v>
      </c>
      <c r="BI162" s="352" t="n">
        <f aca="true">IF(AND($D162="Serviço",BI$12&lt;&gt;0,$H162&gt;0,OR(AUTOEVENTO&lt;&gt;"manual",$M162&lt;&gt;$A$15)),
        IF(Import.TipoArredondamento&lt;&gt;"TransfereGOV",
              ROUND(OFFSET($P162,0,BI$13),15-13*ORÇAMENTO!$AF$7)/$H162*OFFSET(ORÇAMENTO!$X$15,ROW(BI162)-ROW(BI$15),0),
              ROUND(ROUND(OFFSET($P162,0,BI$13),15-13*ORÇAMENTO!$AF$7)*OFFSET(ORÇAMENTO!$W$15,ROW(BI162)-ROW(BI$15),0),15-13*ORÇAMENTO!$AF$11)),
         0)</f>
        <v>46.92</v>
      </c>
      <c r="BJ162" s="352" t="n">
        <f aca="true">IF(AND($D162="Serviço",BJ$12&lt;&gt;0,$H162&gt;0,OR(AUTOEVENTO&lt;&gt;"manual",$M162&lt;&gt;$A$15)),
        IF(Import.TipoArredondamento&lt;&gt;"TransfereGOV",
              ROUND(OFFSET($P162,0,BJ$13),15-13*ORÇAMENTO!$AF$7)/$H162*OFFSET(ORÇAMENTO!$X$15,ROW(BJ162)-ROW(BJ$15),0),
              ROUND(ROUND(OFFSET($P162,0,BJ$13),15-13*ORÇAMENTO!$AF$7)*OFFSET(ORÇAMENTO!$W$15,ROW(BJ162)-ROW(BJ$15),0),15-13*ORÇAMENTO!$AF$11)),
         0)</f>
        <v>46.92</v>
      </c>
      <c r="BK162" s="352" t="n">
        <f aca="true">IF(AND($D162="Serviço",BK$12&lt;&gt;0,$H162&gt;0,OR(AUTOEVENTO&lt;&gt;"manual",$M162&lt;&gt;$A$15)),
        IF(Import.TipoArredondamento&lt;&gt;"TransfereGOV",
              ROUND(OFFSET($P162,0,BK$13),15-13*ORÇAMENTO!$AF$7)/$H162*OFFSET(ORÇAMENTO!$X$15,ROW(BK162)-ROW(BK$15),0),
              ROUND(ROUND(OFFSET($P162,0,BK$13),15-13*ORÇAMENTO!$AF$7)*OFFSET(ORÇAMENTO!$W$15,ROW(BK162)-ROW(BK$15),0),15-13*ORÇAMENTO!$AF$11)),
         0)</f>
        <v>46.92</v>
      </c>
      <c r="BL162" s="352" t="n">
        <f aca="true">IF(AND($D162="Serviço",BL$12&lt;&gt;0,$H162&gt;0,OR(AUTOEVENTO&lt;&gt;"manual",$M162&lt;&gt;$A$15)),
        IF(Import.TipoArredondamento&lt;&gt;"TransfereGOV",
              ROUND(OFFSET($P162,0,BL$13),15-13*ORÇAMENTO!$AF$7)/$H162*OFFSET(ORÇAMENTO!$X$15,ROW(BL162)-ROW(BL$15),0),
              ROUND(ROUND(OFFSET($P162,0,BL$13),15-13*ORÇAMENTO!$AF$7)*OFFSET(ORÇAMENTO!$W$15,ROW(BL162)-ROW(BL$15),0),15-13*ORÇAMENTO!$AF$11)),
         0)</f>
        <v>46.92</v>
      </c>
      <c r="BM162" s="352" t="n">
        <f aca="true">IF(AND($D162="Serviço",BM$12&lt;&gt;0,$H162&gt;0,OR(AUTOEVENTO&lt;&gt;"manual",$M162&lt;&gt;$A$15)),
        IF(Import.TipoArredondamento&lt;&gt;"TransfereGOV",
              ROUND(OFFSET($P162,0,BM$13),15-13*ORÇAMENTO!$AF$7)/$H162*OFFSET(ORÇAMENTO!$X$15,ROW(BM162)-ROW(BM$15),0),
              ROUND(ROUND(OFFSET($P162,0,BM$13),15-13*ORÇAMENTO!$AF$7)*OFFSET(ORÇAMENTO!$W$15,ROW(BM162)-ROW(BM$15),0),15-13*ORÇAMENTO!$AF$11)),
         0)</f>
        <v>46.92</v>
      </c>
      <c r="BN162" s="352" t="n">
        <f aca="true">IF(AND($D162="Serviço",BN$12&lt;&gt;0,$H162&gt;0,OR(AUTOEVENTO&lt;&gt;"manual",$M162&lt;&gt;$A$15)),
        IF(Import.TipoArredondamento&lt;&gt;"TransfereGOV",
              ROUND(OFFSET($P162,0,BN$13),15-13*ORÇAMENTO!$AF$7)/$H162*OFFSET(ORÇAMENTO!$X$15,ROW(BN162)-ROW(BN$15),0),
              ROUND(ROUND(OFFSET($P162,0,BN$13),15-13*ORÇAMENTO!$AF$7)*OFFSET(ORÇAMENTO!$W$15,ROW(BN162)-ROW(BN$15),0),15-13*ORÇAMENTO!$AF$11)),
         0)</f>
        <v>46.92</v>
      </c>
      <c r="BO162" s="352" t="n">
        <f aca="true">IF(AND($D162="Serviço",BO$12&lt;&gt;0,$H162&gt;0,OR(AUTOEVENTO&lt;&gt;"manual",$M162&lt;&gt;$A$15)),
        IF(Import.TipoArredondamento&lt;&gt;"TransfereGOV",
              ROUND(OFFSET($P162,0,BO$13),15-13*ORÇAMENTO!$AF$7)/$H162*OFFSET(ORÇAMENTO!$X$15,ROW(BO162)-ROW(BO$15),0),
              ROUND(ROUND(OFFSET($P162,0,BO$13),15-13*ORÇAMENTO!$AF$7)*OFFSET(ORÇAMENTO!$W$15,ROW(BO162)-ROW(BO$15),0),15-13*ORÇAMENTO!$AF$11)),
         0)</f>
        <v>46.92</v>
      </c>
      <c r="BP162" s="352" t="n">
        <f aca="true">IF(AND($D162="Serviço",BP$12&lt;&gt;0,$H162&gt;0,OR(AUTOEVENTO&lt;&gt;"manual",$M162&lt;&gt;$A$15)),
        IF(Import.TipoArredondamento&lt;&gt;"TransfereGOV",
              ROUND(OFFSET($P162,0,BP$13),15-13*ORÇAMENTO!$AF$7)/$H162*OFFSET(ORÇAMENTO!$X$15,ROW(BP162)-ROW(BP$15),0),
              ROUND(ROUND(OFFSET($P162,0,BP$13),15-13*ORÇAMENTO!$AF$7)*OFFSET(ORÇAMENTO!$W$15,ROW(BP162)-ROW(BP$15),0),15-13*ORÇAMENTO!$AF$11)),
         0)</f>
        <v>46.92</v>
      </c>
      <c r="BQ162" s="352" t="n">
        <f aca="true">IF(AND($D162="Serviço",BQ$12&lt;&gt;0,$H162&gt;0,OR(AUTOEVENTO&lt;&gt;"manual",$M162&lt;&gt;$A$15)),
        IF(Import.TipoArredondamento&lt;&gt;"TransfereGOV",
              ROUND(OFFSET($P162,0,BQ$13),15-13*ORÇAMENTO!$AF$7)/$H162*OFFSET(ORÇAMENTO!$X$15,ROW(BQ162)-ROW(BQ$15),0),
              ROUND(ROUND(OFFSET($P162,0,BQ$13),15-13*ORÇAMENTO!$AF$7)*OFFSET(ORÇAMENTO!$W$15,ROW(BQ162)-ROW(BQ$15),0),15-13*ORÇAMENTO!$AF$11)),
         0)</f>
        <v>0</v>
      </c>
      <c r="BS162" s="353" t="n">
        <f aca="true">IF(OR($D162&lt;&gt;"Serviço",AND(AUTOEVENTO="Manual",$M162=$A$15)),0,
         IF(OFFSET(CRONOPLE!$F$15,$M162-$A$15,BS$13)=0,10^12,OFFSET(CRONOPLE!$F$15,$M162-$A$15,BS$13)))</f>
        <v>1</v>
      </c>
      <c r="BT162" s="353" t="n">
        <f aca="true">IF(OR($D162&lt;&gt;"Serviço",AND(AUTOEVENTO="Manual",$M162=$A$15)),0,
         IF(OFFSET(CRONOPLE!$F$15,$M162-$A$15,BT$13)=0,10^12,OFFSET(CRONOPLE!$F$15,$M162-$A$15,BT$13)))</f>
        <v>2</v>
      </c>
      <c r="BU162" s="353" t="n">
        <f aca="true">IF(OR($D162&lt;&gt;"Serviço",AND(AUTOEVENTO="Manual",$M162=$A$15)),0,
         IF(OFFSET(CRONOPLE!$F$15,$M162-$A$15,BU$13)=0,10^12,OFFSET(CRONOPLE!$F$15,$M162-$A$15,BU$13)))</f>
        <v>3</v>
      </c>
      <c r="BV162" s="353" t="n">
        <f aca="true">IF(OR($D162&lt;&gt;"Serviço",AND(AUTOEVENTO="Manual",$M162=$A$15)),0,
         IF(OFFSET(CRONOPLE!$F$15,$M162-$A$15,BV$13)=0,10^12,OFFSET(CRONOPLE!$F$15,$M162-$A$15,BV$13)))</f>
        <v>4</v>
      </c>
      <c r="BW162" s="353" t="n">
        <f aca="true">IF(OR($D162&lt;&gt;"Serviço",AND(AUTOEVENTO="Manual",$M162=$A$15)),0,
         IF(OFFSET(CRONOPLE!$F$15,$M162-$A$15,BW$13)=0,10^12,OFFSET(CRONOPLE!$F$15,$M162-$A$15,BW$13)))</f>
        <v>5</v>
      </c>
      <c r="BX162" s="353" t="n">
        <f aca="true">IF(OR($D162&lt;&gt;"Serviço",AND(AUTOEVENTO="Manual",$M162=$A$15)),0,
         IF(OFFSET(CRONOPLE!$F$15,$M162-$A$15,BX$13)=0,10^12,OFFSET(CRONOPLE!$F$15,$M162-$A$15,BX$13)))</f>
        <v>6</v>
      </c>
      <c r="BY162" s="353" t="n">
        <f aca="true">IF(OR($D162&lt;&gt;"Serviço",AND(AUTOEVENTO="Manual",$M162=$A$15)),0,
         IF(OFFSET(CRONOPLE!$F$15,$M162-$A$15,BY$13)=0,10^12,OFFSET(CRONOPLE!$F$15,$M162-$A$15,BY$13)))</f>
        <v>7</v>
      </c>
      <c r="BZ162" s="353" t="n">
        <f aca="true">IF(OR($D162&lt;&gt;"Serviço",AND(AUTOEVENTO="Manual",$M162=$A$15)),0,
         IF(OFFSET(CRONOPLE!$F$15,$M162-$A$15,BZ$13)=0,10^12,OFFSET(CRONOPLE!$F$15,$M162-$A$15,BZ$13)))</f>
        <v>8</v>
      </c>
      <c r="CA162" s="353" t="n">
        <f aca="true">IF(OR($D162&lt;&gt;"Serviço",AND(AUTOEVENTO="Manual",$M162=$A$15)),0,
         IF(OFFSET(CRONOPLE!$F$15,$M162-$A$15,CA$13)=0,10^12,OFFSET(CRONOPLE!$F$15,$M162-$A$15,CA$13)))</f>
        <v>9</v>
      </c>
      <c r="CB162" s="353" t="n">
        <f aca="true">IF(OR($D162&lt;&gt;"Serviço",AND(AUTOEVENTO="Manual",$M162=$A$15)),0,
         IF(OFFSET(CRONOPLE!$F$15,$M162-$A$15,CB$13)=0,10^12,OFFSET(CRONOPLE!$F$15,$M162-$A$15,CB$13)))</f>
        <v>10</v>
      </c>
      <c r="CC162" s="353" t="n">
        <f aca="true">IF(OR($D162&lt;&gt;"Serviço",AND(AUTOEVENTO="Manual",$M162=$A$15)),0,
         IF(OFFSET(CRONOPLE!$F$15,$M162-$A$15,CC$13)=0,10^12,OFFSET(CRONOPLE!$F$15,$M162-$A$15,CC$13)))</f>
        <v>11</v>
      </c>
      <c r="CD162" s="353" t="n">
        <f aca="true">IF(OR($D162&lt;&gt;"Serviço",AND(AUTOEVENTO="Manual",$M162=$A$15)),0,
         IF(OFFSET(CRONOPLE!$F$15,$M162-$A$15,CD$13)=0,10^12,OFFSET(CRONOPLE!$F$15,$M162-$A$15,CD$13)))</f>
        <v>12</v>
      </c>
      <c r="CE162" s="353" t="n">
        <f aca="true">IF(OR($D162&lt;&gt;"Serviço",AND(AUTOEVENTO="Manual",$M162=$A$15)),0,
         IF(OFFSET(CRONOPLE!$F$15,$M162-$A$15,CE$13)=0,10^12,OFFSET(CRONOPLE!$F$15,$M162-$A$15,CE$13)))</f>
        <v>13</v>
      </c>
      <c r="CF162" s="353" t="n">
        <f aca="true">IF(OR($D162&lt;&gt;"Serviço",AND(AUTOEVENTO="Manual",$M162=$A$15)),0,
         IF(OFFSET(CRONOPLE!$F$15,$M162-$A$15,CF$13)=0,10^12,OFFSET(CRONOPLE!$F$15,$M162-$A$15,CF$13)))</f>
        <v>14</v>
      </c>
      <c r="CG162" s="353" t="n">
        <f aca="true">IF(OR($D162&lt;&gt;"Serviço",AND(AUTOEVENTO="Manual",$M162=$A$15)),0,
         IF(OFFSET(CRONOPLE!$F$15,$M162-$A$15,CG$13)=0,10^12,OFFSET(CRONOPLE!$F$15,$M162-$A$15,CG$13)))</f>
        <v>15</v>
      </c>
      <c r="CH162" s="353" t="n">
        <f aca="true">IF(OR($D162&lt;&gt;"Serviço",AND(AUTOEVENTO="Manual",$M162=$A$15)),0,
         IF(OFFSET(CRONOPLE!$F$15,$M162-$A$15,CH$13)=0,10^12,OFFSET(CRONOPLE!$F$15,$M162-$A$15,CH$13)))</f>
        <v>16</v>
      </c>
      <c r="CI162" s="353" t="n">
        <f aca="true">IF(OR($D162&lt;&gt;"Serviço",AND(AUTOEVENTO="Manual",$M162=$A$15)),0,
         IF(OFFSET(CRONOPLE!$F$15,$M162-$A$15,CI$13)=0,10^12,OFFSET(CRONOPLE!$F$15,$M162-$A$15,CI$13)))</f>
        <v>17</v>
      </c>
      <c r="CJ162" s="353" t="n">
        <f aca="true">IF(OR($D162&lt;&gt;"Serviço",AND(AUTOEVENTO="Manual",$M162=$A$15)),0,
         IF(OFFSET(CRONOPLE!$F$15,$M162-$A$15,CJ$13)=0,10^12,OFFSET(CRONOPLE!$F$15,$M162-$A$15,CJ$13)))</f>
        <v>18</v>
      </c>
      <c r="CK162" s="353" t="n">
        <f aca="true">IF(OR($D162&lt;&gt;"Serviço",AND(AUTOEVENTO="Manual",$M162=$A$15)),0,
         IF(OFFSET(CRONOPLE!$F$15,$M162-$A$15,CK$13)=0,10^12,OFFSET(CRONOPLE!$F$15,$M162-$A$15,CK$13)))</f>
        <v>19</v>
      </c>
      <c r="CL162" s="353" t="n">
        <f aca="true">IF(OR($D162&lt;&gt;"Serviço",AND(AUTOEVENTO="Manual",$M162=$A$15)),0,
         IF(OFFSET(CRONOPLE!$F$15,$M162-$A$15,CL$13)=0,10^12,OFFSET(CRONOPLE!$F$15,$M162-$A$15,CL$13)))</f>
        <v>20</v>
      </c>
      <c r="CM162" s="353" t="n">
        <f aca="true">IF(OR($D162&lt;&gt;"Serviço",AND(AUTOEVENTO="Manual",$M162=$A$15)),0,
         IF(OFFSET(CRONOPLE!$F$15,$M162-$A$15,CM$13)=0,10^12,OFFSET(CRONOPLE!$F$15,$M162-$A$15,CM$13)))</f>
        <v>21</v>
      </c>
      <c r="CN162" s="353" t="n">
        <f aca="true">IF(OR($D162&lt;&gt;"Serviço",AND(AUTOEVENTO="Manual",$M162=$A$15)),0,
         IF(OFFSET(CRONOPLE!$F$15,$M162-$A$15,CN$13)=0,10^12,OFFSET(CRONOPLE!$F$15,$M162-$A$15,CN$13)))</f>
        <v>22</v>
      </c>
      <c r="CO162" s="353" t="n">
        <f aca="true">IF(OR($D162&lt;&gt;"Serviço",AND(AUTOEVENTO="Manual",$M162=$A$15)),0,
         IF(OFFSET(CRONOPLE!$F$15,$M162-$A$15,CO$13)=0,10^12,OFFSET(CRONOPLE!$F$15,$M162-$A$15,CO$13)))</f>
        <v>23</v>
      </c>
      <c r="CP162" s="353" t="n">
        <f aca="true">IF(OR($D162&lt;&gt;"Serviço",AND(AUTOEVENTO="Manual",$M162=$A$15)),0,
         IF(OFFSET(CRONOPLE!$F$15,$M162-$A$15,CP$13)=0,10^12,OFFSET(CRONOPLE!$F$15,$M162-$A$15,CP$13)))</f>
        <v>24</v>
      </c>
      <c r="CQ162" s="353" t="n">
        <f aca="true">IF(OR($D162&lt;&gt;"Serviço",AND(AUTOEVENTO="Manual",$M162=$A$15)),0,
         IF(OFFSET(CRONOPLE!$F$15,$M162-$A$15,CQ$13)=0,10^12,OFFSET(CRONOPLE!$F$15,$M162-$A$15,CQ$13)))</f>
        <v>25</v>
      </c>
      <c r="CR162" s="353" t="n">
        <f aca="true">IF(OR($D162&lt;&gt;"Serviço",AND(AUTOEVENTO="Manual",$M162=$A$15)),0,
         IF(OFFSET(CRONOPLE!$F$15,$M162-$A$15,CR$13)=0,10^12,OFFSET(CRONOPLE!$F$15,$M162-$A$15,CR$13)))</f>
        <v>1000000000000</v>
      </c>
      <c r="CT162" s="354" t="n">
        <f aca="true">IF(OR($D162&lt;&gt;"Serviço",AND(AUTOEVENTO="Manual",$M162=$A$15),$M162&gt;(ROW(PLE.lastrow)-ROW(PLE.firstrow))),0,
           IF(OFFSET(PLE!$G$15,$M162-$A$15,CT$13)="",10^12,OFFSET(PLE!$G$15,$M162-$A$15,CT$13)))</f>
        <v>1000000000000</v>
      </c>
      <c r="CU162" s="354" t="n">
        <f aca="true">IF(OR($D162&lt;&gt;"Serviço",AND(AUTOEVENTO="Manual",$M162=$A$15),$M162&gt;(ROW(PLE.lastrow)-ROW(PLE.firstrow))),0,
           IF(OFFSET(PLE!$G$15,$M162-$A$15,CU$13)="",10^12,OFFSET(PLE!$G$15,$M162-$A$15,CU$13)))</f>
        <v>1000000000000</v>
      </c>
      <c r="CV162" s="354" t="n">
        <f aca="true">IF(OR($D162&lt;&gt;"Serviço",AND(AUTOEVENTO="Manual",$M162=$A$15),$M162&gt;(ROW(PLE.lastrow)-ROW(PLE.firstrow))),0,
           IF(OFFSET(PLE!$G$15,$M162-$A$15,CV$13)="",10^12,OFFSET(PLE!$G$15,$M162-$A$15,CV$13)))</f>
        <v>1000000000000</v>
      </c>
      <c r="CW162" s="354" t="n">
        <f aca="true">IF(OR($D162&lt;&gt;"Serviço",AND(AUTOEVENTO="Manual",$M162=$A$15),$M162&gt;(ROW(PLE.lastrow)-ROW(PLE.firstrow))),0,
           IF(OFFSET(PLE!$G$15,$M162-$A$15,CW$13)="",10^12,OFFSET(PLE!$G$15,$M162-$A$15,CW$13)))</f>
        <v>1000000000000</v>
      </c>
      <c r="CX162" s="354" t="n">
        <f aca="true">IF(OR($D162&lt;&gt;"Serviço",AND(AUTOEVENTO="Manual",$M162=$A$15),$M162&gt;(ROW(PLE.lastrow)-ROW(PLE.firstrow))),0,
           IF(OFFSET(PLE!$G$15,$M162-$A$15,CX$13)="",10^12,OFFSET(PLE!$G$15,$M162-$A$15,CX$13)))</f>
        <v>1000000000000</v>
      </c>
      <c r="CY162" s="354" t="n">
        <f aca="true">IF(OR($D162&lt;&gt;"Serviço",AND(AUTOEVENTO="Manual",$M162=$A$15),$M162&gt;(ROW(PLE.lastrow)-ROW(PLE.firstrow))),0,
           IF(OFFSET(PLE!$G$15,$M162-$A$15,CY$13)="",10^12,OFFSET(PLE!$G$15,$M162-$A$15,CY$13)))</f>
        <v>1000000000000</v>
      </c>
      <c r="CZ162" s="354" t="n">
        <f aca="true">IF(OR($D162&lt;&gt;"Serviço",AND(AUTOEVENTO="Manual",$M162=$A$15),$M162&gt;(ROW(PLE.lastrow)-ROW(PLE.firstrow))),0,
           IF(OFFSET(PLE!$G$15,$M162-$A$15,CZ$13)="",10^12,OFFSET(PLE!$G$15,$M162-$A$15,CZ$13)))</f>
        <v>1000000000000</v>
      </c>
      <c r="DA162" s="354" t="n">
        <f aca="true">IF(OR($D162&lt;&gt;"Serviço",AND(AUTOEVENTO="Manual",$M162=$A$15),$M162&gt;(ROW(PLE.lastrow)-ROW(PLE.firstrow))),0,
           IF(OFFSET(PLE!$G$15,$M162-$A$15,DA$13)="",10^12,OFFSET(PLE!$G$15,$M162-$A$15,DA$13)))</f>
        <v>1000000000000</v>
      </c>
      <c r="DB162" s="354" t="n">
        <f aca="true">IF(OR($D162&lt;&gt;"Serviço",AND(AUTOEVENTO="Manual",$M162=$A$15),$M162&gt;(ROW(PLE.lastrow)-ROW(PLE.firstrow))),0,
           IF(OFFSET(PLE!$G$15,$M162-$A$15,DB$13)="",10^12,OFFSET(PLE!$G$15,$M162-$A$15,DB$13)))</f>
        <v>1000000000000</v>
      </c>
      <c r="DC162" s="354" t="n">
        <f aca="true">IF(OR($D162&lt;&gt;"Serviço",AND(AUTOEVENTO="Manual",$M162=$A$15),$M162&gt;(ROW(PLE.lastrow)-ROW(PLE.firstrow))),0,
           IF(OFFSET(PLE!$G$15,$M162-$A$15,DC$13)="",10^12,OFFSET(PLE!$G$15,$M162-$A$15,DC$13)))</f>
        <v>1000000000000</v>
      </c>
      <c r="DD162" s="354" t="n">
        <f aca="true">IF(OR($D162&lt;&gt;"Serviço",AND(AUTOEVENTO="Manual",$M162=$A$15),$M162&gt;(ROW(PLE.lastrow)-ROW(PLE.firstrow))),0,
           IF(OFFSET(PLE!$G$15,$M162-$A$15,DD$13)="",10^12,OFFSET(PLE!$G$15,$M162-$A$15,DD$13)))</f>
        <v>1000000000000</v>
      </c>
      <c r="DE162" s="354" t="n">
        <f aca="true">IF(OR($D162&lt;&gt;"Serviço",AND(AUTOEVENTO="Manual",$M162=$A$15),$M162&gt;(ROW(PLE.lastrow)-ROW(PLE.firstrow))),0,
           IF(OFFSET(PLE!$G$15,$M162-$A$15,DE$13)="",10^12,OFFSET(PLE!$G$15,$M162-$A$15,DE$13)))</f>
        <v>1000000000000</v>
      </c>
      <c r="DF162" s="354" t="n">
        <f aca="true">IF(OR($D162&lt;&gt;"Serviço",AND(AUTOEVENTO="Manual",$M162=$A$15),$M162&gt;(ROW(PLE.lastrow)-ROW(PLE.firstrow))),0,
           IF(OFFSET(PLE!$G$15,$M162-$A$15,DF$13)="",10^12,OFFSET(PLE!$G$15,$M162-$A$15,DF$13)))</f>
        <v>1000000000000</v>
      </c>
      <c r="DG162" s="354" t="n">
        <f aca="true">IF(OR($D162&lt;&gt;"Serviço",AND(AUTOEVENTO="Manual",$M162=$A$15),$M162&gt;(ROW(PLE.lastrow)-ROW(PLE.firstrow))),0,
           IF(OFFSET(PLE!$G$15,$M162-$A$15,DG$13)="",10^12,OFFSET(PLE!$G$15,$M162-$A$15,DG$13)))</f>
        <v>1000000000000</v>
      </c>
      <c r="DH162" s="354" t="n">
        <f aca="true">IF(OR($D162&lt;&gt;"Serviço",AND(AUTOEVENTO="Manual",$M162=$A$15),$M162&gt;(ROW(PLE.lastrow)-ROW(PLE.firstrow))),0,
           IF(OFFSET(PLE!$G$15,$M162-$A$15,DH$13)="",10^12,OFFSET(PLE!$G$15,$M162-$A$15,DH$13)))</f>
        <v>1000000000000</v>
      </c>
      <c r="DI162" s="354" t="n">
        <f aca="true">IF(OR($D162&lt;&gt;"Serviço",AND(AUTOEVENTO="Manual",$M162=$A$15),$M162&gt;(ROW(PLE.lastrow)-ROW(PLE.firstrow))),0,
           IF(OFFSET(PLE!$G$15,$M162-$A$15,DI$13)="",10^12,OFFSET(PLE!$G$15,$M162-$A$15,DI$13)))</f>
        <v>1000000000000</v>
      </c>
      <c r="DJ162" s="354" t="n">
        <f aca="true">IF(OR($D162&lt;&gt;"Serviço",AND(AUTOEVENTO="Manual",$M162=$A$15),$M162&gt;(ROW(PLE.lastrow)-ROW(PLE.firstrow))),0,
           IF(OFFSET(PLE!$G$15,$M162-$A$15,DJ$13)="",10^12,OFFSET(PLE!$G$15,$M162-$A$15,DJ$13)))</f>
        <v>1000000000000</v>
      </c>
      <c r="DK162" s="354" t="n">
        <f aca="true">IF(OR($D162&lt;&gt;"Serviço",AND(AUTOEVENTO="Manual",$M162=$A$15),$M162&gt;(ROW(PLE.lastrow)-ROW(PLE.firstrow))),0,
           IF(OFFSET(PLE!$G$15,$M162-$A$15,DK$13)="",10^12,OFFSET(PLE!$G$15,$M162-$A$15,DK$13)))</f>
        <v>1000000000000</v>
      </c>
      <c r="DL162" s="354" t="n">
        <f aca="true">IF(OR($D162&lt;&gt;"Serviço",AND(AUTOEVENTO="Manual",$M162=$A$15),$M162&gt;(ROW(PLE.lastrow)-ROW(PLE.firstrow))),0,
           IF(OFFSET(PLE!$G$15,$M162-$A$15,DL$13)="",10^12,OFFSET(PLE!$G$15,$M162-$A$15,DL$13)))</f>
        <v>1000000000000</v>
      </c>
      <c r="DM162" s="354" t="n">
        <f aca="true">IF(OR($D162&lt;&gt;"Serviço",AND(AUTOEVENTO="Manual",$M162=$A$15),$M162&gt;(ROW(PLE.lastrow)-ROW(PLE.firstrow))),0,
           IF(OFFSET(PLE!$G$15,$M162-$A$15,DM$13)="",10^12,OFFSET(PLE!$G$15,$M162-$A$15,DM$13)))</f>
        <v>1000000000000</v>
      </c>
      <c r="DN162" s="354" t="n">
        <f aca="true">IF(OR($D162&lt;&gt;"Serviço",AND(AUTOEVENTO="Manual",$M162=$A$15),$M162&gt;(ROW(PLE.lastrow)-ROW(PLE.firstrow))),0,
           IF(OFFSET(PLE!$G$15,$M162-$A$15,DN$13)="",10^12,OFFSET(PLE!$G$15,$M162-$A$15,DN$13)))</f>
        <v>1000000000000</v>
      </c>
      <c r="DO162" s="354" t="n">
        <f aca="true">IF(OR($D162&lt;&gt;"Serviço",AND(AUTOEVENTO="Manual",$M162=$A$15),$M162&gt;(ROW(PLE.lastrow)-ROW(PLE.firstrow))),0,
           IF(OFFSET(PLE!$G$15,$M162-$A$15,DO$13)="",10^12,OFFSET(PLE!$G$15,$M162-$A$15,DO$13)))</f>
        <v>1000000000000</v>
      </c>
      <c r="DP162" s="354" t="n">
        <f aca="true">IF(OR($D162&lt;&gt;"Serviço",AND(AUTOEVENTO="Manual",$M162=$A$15),$M162&gt;(ROW(PLE.lastrow)-ROW(PLE.firstrow))),0,
           IF(OFFSET(PLE!$G$15,$M162-$A$15,DP$13)="",10^12,OFFSET(PLE!$G$15,$M162-$A$15,DP$13)))</f>
        <v>1000000000000</v>
      </c>
      <c r="DQ162" s="354" t="n">
        <f aca="true">IF(OR($D162&lt;&gt;"Serviço",AND(AUTOEVENTO="Manual",$M162=$A$15),$M162&gt;(ROW(PLE.lastrow)-ROW(PLE.firstrow))),0,
           IF(OFFSET(PLE!$G$15,$M162-$A$15,DQ$13)="",10^12,OFFSET(PLE!$G$15,$M162-$A$15,DQ$13)))</f>
        <v>1000000000000</v>
      </c>
      <c r="DR162" s="354" t="n">
        <f aca="true">IF(OR($D162&lt;&gt;"Serviço",AND(AUTOEVENTO="Manual",$M162=$A$15),$M162&gt;(ROW(PLE.lastrow)-ROW(PLE.firstrow))),0,
           IF(OFFSET(PLE!$G$15,$M162-$A$15,DR$13)="",10^12,OFFSET(PLE!$G$15,$M162-$A$15,DR$13)))</f>
        <v>1000000000000</v>
      </c>
      <c r="DS162" s="354" t="n">
        <f aca="true">IF(OR($D162&lt;&gt;"Serviço",AND(AUTOEVENTO="Manual",$M162=$A$15),$M162&gt;(ROW(PLE.lastrow)-ROW(PLE.firstrow))),0,
           IF(OFFSET(PLE!$G$15,$M162-$A$15,DS$13)="",10^12,OFFSET(PLE!$G$15,$M162-$A$15,DS$13)))</f>
        <v>1000000000000</v>
      </c>
    </row>
    <row r="163" customFormat="false" ht="35.05" hidden="false" customHeight="false" outlineLevel="0" collapsed="false">
      <c r="A163" s="50" t="str">
        <f aca="true">IFERROR(IF(AUTOEVENTO="Manual",IF(K163&lt;&gt;"",MIN(VALUE(LEFT(K163,FIND(".",K163)-1)),COUNTA(EVENTOS.Lista)),0),IF(OR($B163&gt;AUTOEVENTO,$B163="S",$B163=0),SUBSTITUTE(OFFSET($A163,-1,0),IF($D163="Serviço",".",""),""),ROW(A163)-ROW($A$15)&amp;".")),0)</f>
        <v>141</v>
      </c>
      <c r="B163" s="50" t="str">
        <f aca="true">OFFSET(ORÇAMENTO!C$15,ROW(B163)-ROW(B$15),0)</f>
        <v>S</v>
      </c>
      <c r="C163" s="50" t="str">
        <f aca="true">OFFSET(ORÇAMENTO!L$15,ROW(C163)-ROW(C$15),0)</f>
        <v>F</v>
      </c>
      <c r="D163" s="201" t="str">
        <f aca="true">OFFSET(ORÇAMENTO!N$15,ROW(D163)-ROW(D$15),0)</f>
        <v>Serviço</v>
      </c>
      <c r="E163" s="202" t="str">
        <f aca="true">OFFSET(ORÇAMENTO!O$15,ROW(E163)-ROW(E$15),0)</f>
        <v>1.43.7.</v>
      </c>
      <c r="F163" s="341" t="str">
        <f aca="true">OFFSET(ORÇAMENTO!R$15,ROW(F163)-ROW(F$15),0)</f>
        <v>JOELHO 90 GRAUS, PVC, SOLDÁVEL, DN 25MM, INSTALADO EM RAMAL DE DISTRIBUIÇÃO DE ÁGUA - FORNECIMENTO E INSTALAÇÃO. AF_06/2022</v>
      </c>
      <c r="G163" s="342" t="str">
        <f aca="true">IF($D163&lt;&gt;"Serviço","",OFFSET(ORÇAMENTO!S$15,ROW(G163)-ROW(G$15),0))</f>
        <v>UN</v>
      </c>
      <c r="H163" s="207" t="n">
        <f aca="true">IF($D163&lt;&gt;"Serviço",0,IF(ACOMPANHAMENTO="BM",ROUND(OFFSET(ORÇAMENTO!AJ$15,ROW(H163)-ROW(H$15),0),15-13*ORÇAMENTO!$AF$7),SUMPRODUCT(($Q$1:$AQ$1=1)*ROUND($Q163:$AQ163,15-13*ORÇAMENTO!$AF$7))))</f>
        <v>200</v>
      </c>
      <c r="I163" s="343" t="s">
        <v>971</v>
      </c>
      <c r="J163" s="344" t="e">
        <f aca="false">IF(OR(B163&lt;&gt;"S",CÁLCULO.FrentesPreenchidas=0),"",IF(AND(ACOMPANHAMENTO="PLE",AUTOEVENTO="Manual",OR(H163&gt;0,ORÇAMENTO!AC163="QUANT."),OR(K163="",M163=0,N163="")),"►",IF(AND(ACOMPANHAMENTO="PLE",ORÇAMENTO!AC163="QUANT."),"►►",IF(AND(COUNTIF($P$11:$AQ$11,"▼")=0,H163&gt;0,I163=""),"◄",""))))</f>
        <v>#NAME?</v>
      </c>
      <c r="K163" s="345"/>
      <c r="L163" s="346" t="s">
        <v>876</v>
      </c>
      <c r="M163" s="347" t="n">
        <f aca="true">IF($D163&lt;&gt;"Serviço","",
          IF(AUTOEVENTO="manual",$A163,
                IF(ISERROR(MATCH($A163,$A$15:OFFSET($A163,-1,0),0)),MAX($M$15:OFFSET(M163,-1,0))+1,
                      INDEX($M$15:OFFSET(M163,-1,0),MATCH($A163,$A$15:OFFSET($A163,-1,0),0)))))</f>
        <v>27</v>
      </c>
      <c r="N163" s="348" t="str">
        <f aca="true">IF($D163&lt;&gt;"Serviço","",
         IF(AUTOEVENTO="Manual",
                IF($A163=0,"&lt;-- defina o número do agrupador",
                       OFFSET(EVENTOS!$D$15,$A163-$A$15,0)),
                OFFSET($F$15,$A163,0)))</f>
        <v>CAIXA D'ÁGUA E BARRILETE</v>
      </c>
      <c r="O163" s="349"/>
      <c r="Q163" s="349" t="n">
        <v>8</v>
      </c>
      <c r="R163" s="350" t="n">
        <v>8</v>
      </c>
      <c r="S163" s="350" t="n">
        <v>8</v>
      </c>
      <c r="T163" s="350" t="n">
        <v>8</v>
      </c>
      <c r="U163" s="350" t="n">
        <v>8</v>
      </c>
      <c r="V163" s="350" t="n">
        <v>8</v>
      </c>
      <c r="W163" s="350" t="n">
        <v>8</v>
      </c>
      <c r="X163" s="350" t="n">
        <v>8</v>
      </c>
      <c r="Y163" s="350" t="n">
        <v>8</v>
      </c>
      <c r="Z163" s="351" t="n">
        <v>8</v>
      </c>
      <c r="AA163" s="350" t="n">
        <v>8</v>
      </c>
      <c r="AB163" s="350" t="n">
        <v>8</v>
      </c>
      <c r="AC163" s="350" t="n">
        <v>8</v>
      </c>
      <c r="AD163" s="350" t="n">
        <v>8</v>
      </c>
      <c r="AE163" s="350" t="n">
        <v>8</v>
      </c>
      <c r="AF163" s="350" t="n">
        <v>8</v>
      </c>
      <c r="AG163" s="350" t="n">
        <v>8</v>
      </c>
      <c r="AH163" s="351" t="n">
        <v>8</v>
      </c>
      <c r="AI163" s="350" t="n">
        <v>8</v>
      </c>
      <c r="AJ163" s="350" t="n">
        <v>8</v>
      </c>
      <c r="AK163" s="350" t="n">
        <v>8</v>
      </c>
      <c r="AL163" s="350" t="n">
        <v>8</v>
      </c>
      <c r="AM163" s="350" t="n">
        <v>8</v>
      </c>
      <c r="AN163" s="350" t="n">
        <v>8</v>
      </c>
      <c r="AO163" s="350" t="n">
        <v>8</v>
      </c>
      <c r="AP163" s="351"/>
      <c r="AR163" s="352" t="n">
        <f aca="true">IF(AND($D163="Serviço",AR$12&lt;&gt;0,$H163&gt;0,OR(AUTOEVENTO&lt;&gt;"manual",$M163&lt;&gt;$A$15)),
        IF(Import.TipoArredondamento&lt;&gt;"TransfereGOV",
              ROUND(OFFSET($P163,0,AR$13),15-13*ORÇAMENTO!$AF$7)/$H163*OFFSET(ORÇAMENTO!$X$15,ROW(AR163)-ROW(AR$15),0),
              ROUND(ROUND(OFFSET($P163,0,AR$13),15-13*ORÇAMENTO!$AF$7)*OFFSET(ORÇAMENTO!$W$15,ROW(AR163)-ROW(AR$15),0),15-13*ORÇAMENTO!$AF$11)),
         0)</f>
        <v>89.2</v>
      </c>
      <c r="AS163" s="352" t="n">
        <f aca="true">IF(AND($D163="Serviço",AS$12&lt;&gt;0,$H163&gt;0,OR(AUTOEVENTO&lt;&gt;"manual",$M163&lt;&gt;$A$15)),
        IF(Import.TipoArredondamento&lt;&gt;"TransfereGOV",
              ROUND(OFFSET($P163,0,AS$13),15-13*ORÇAMENTO!$AF$7)/$H163*OFFSET(ORÇAMENTO!$X$15,ROW(AS163)-ROW(AS$15),0),
              ROUND(ROUND(OFFSET($P163,0,AS$13),15-13*ORÇAMENTO!$AF$7)*OFFSET(ORÇAMENTO!$W$15,ROW(AS163)-ROW(AS$15),0),15-13*ORÇAMENTO!$AF$11)),
         0)</f>
        <v>89.2</v>
      </c>
      <c r="AT163" s="352" t="n">
        <f aca="true">IF(AND($D163="Serviço",AT$12&lt;&gt;0,$H163&gt;0,OR(AUTOEVENTO&lt;&gt;"manual",$M163&lt;&gt;$A$15)),
        IF(Import.TipoArredondamento&lt;&gt;"TransfereGOV",
              ROUND(OFFSET($P163,0,AT$13),15-13*ORÇAMENTO!$AF$7)/$H163*OFFSET(ORÇAMENTO!$X$15,ROW(AT163)-ROW(AT$15),0),
              ROUND(ROUND(OFFSET($P163,0,AT$13),15-13*ORÇAMENTO!$AF$7)*OFFSET(ORÇAMENTO!$W$15,ROW(AT163)-ROW(AT$15),0),15-13*ORÇAMENTO!$AF$11)),
         0)</f>
        <v>89.2</v>
      </c>
      <c r="AU163" s="352" t="n">
        <f aca="true">IF(AND($D163="Serviço",AU$12&lt;&gt;0,$H163&gt;0,OR(AUTOEVENTO&lt;&gt;"manual",$M163&lt;&gt;$A$15)),
        IF(Import.TipoArredondamento&lt;&gt;"TransfereGOV",
              ROUND(OFFSET($P163,0,AU$13),15-13*ORÇAMENTO!$AF$7)/$H163*OFFSET(ORÇAMENTO!$X$15,ROW(AU163)-ROW(AU$15),0),
              ROUND(ROUND(OFFSET($P163,0,AU$13),15-13*ORÇAMENTO!$AF$7)*OFFSET(ORÇAMENTO!$W$15,ROW(AU163)-ROW(AU$15),0),15-13*ORÇAMENTO!$AF$11)),
         0)</f>
        <v>89.2</v>
      </c>
      <c r="AV163" s="352" t="n">
        <f aca="true">IF(AND($D163="Serviço",AV$12&lt;&gt;0,$H163&gt;0,OR(AUTOEVENTO&lt;&gt;"manual",$M163&lt;&gt;$A$15)),
        IF(Import.TipoArredondamento&lt;&gt;"TransfereGOV",
              ROUND(OFFSET($P163,0,AV$13),15-13*ORÇAMENTO!$AF$7)/$H163*OFFSET(ORÇAMENTO!$X$15,ROW(AV163)-ROW(AV$15),0),
              ROUND(ROUND(OFFSET($P163,0,AV$13),15-13*ORÇAMENTO!$AF$7)*OFFSET(ORÇAMENTO!$W$15,ROW(AV163)-ROW(AV$15),0),15-13*ORÇAMENTO!$AF$11)),
         0)</f>
        <v>89.2</v>
      </c>
      <c r="AW163" s="352" t="n">
        <f aca="true">IF(AND($D163="Serviço",AW$12&lt;&gt;0,$H163&gt;0,OR(AUTOEVENTO&lt;&gt;"manual",$M163&lt;&gt;$A$15)),
        IF(Import.TipoArredondamento&lt;&gt;"TransfereGOV",
              ROUND(OFFSET($P163,0,AW$13),15-13*ORÇAMENTO!$AF$7)/$H163*OFFSET(ORÇAMENTO!$X$15,ROW(AW163)-ROW(AW$15),0),
              ROUND(ROUND(OFFSET($P163,0,AW$13),15-13*ORÇAMENTO!$AF$7)*OFFSET(ORÇAMENTO!$W$15,ROW(AW163)-ROW(AW$15),0),15-13*ORÇAMENTO!$AF$11)),
         0)</f>
        <v>89.2</v>
      </c>
      <c r="AX163" s="352" t="n">
        <f aca="true">IF(AND($D163="Serviço",AX$12&lt;&gt;0,$H163&gt;0,OR(AUTOEVENTO&lt;&gt;"manual",$M163&lt;&gt;$A$15)),
        IF(Import.TipoArredondamento&lt;&gt;"TransfereGOV",
              ROUND(OFFSET($P163,0,AX$13),15-13*ORÇAMENTO!$AF$7)/$H163*OFFSET(ORÇAMENTO!$X$15,ROW(AX163)-ROW(AX$15),0),
              ROUND(ROUND(OFFSET($P163,0,AX$13),15-13*ORÇAMENTO!$AF$7)*OFFSET(ORÇAMENTO!$W$15,ROW(AX163)-ROW(AX$15),0),15-13*ORÇAMENTO!$AF$11)),
         0)</f>
        <v>89.2</v>
      </c>
      <c r="AY163" s="352" t="n">
        <f aca="true">IF(AND($D163="Serviço",AY$12&lt;&gt;0,$H163&gt;0,OR(AUTOEVENTO&lt;&gt;"manual",$M163&lt;&gt;$A$15)),
        IF(Import.TipoArredondamento&lt;&gt;"TransfereGOV",
              ROUND(OFFSET($P163,0,AY$13),15-13*ORÇAMENTO!$AF$7)/$H163*OFFSET(ORÇAMENTO!$X$15,ROW(AY163)-ROW(AY$15),0),
              ROUND(ROUND(OFFSET($P163,0,AY$13),15-13*ORÇAMENTO!$AF$7)*OFFSET(ORÇAMENTO!$W$15,ROW(AY163)-ROW(AY$15),0),15-13*ORÇAMENTO!$AF$11)),
         0)</f>
        <v>89.2</v>
      </c>
      <c r="AZ163" s="352" t="n">
        <f aca="true">IF(AND($D163="Serviço",AZ$12&lt;&gt;0,$H163&gt;0,OR(AUTOEVENTO&lt;&gt;"manual",$M163&lt;&gt;$A$15)),
        IF(Import.TipoArredondamento&lt;&gt;"TransfereGOV",
              ROUND(OFFSET($P163,0,AZ$13),15-13*ORÇAMENTO!$AF$7)/$H163*OFFSET(ORÇAMENTO!$X$15,ROW(AZ163)-ROW(AZ$15),0),
              ROUND(ROUND(OFFSET($P163,0,AZ$13),15-13*ORÇAMENTO!$AF$7)*OFFSET(ORÇAMENTO!$W$15,ROW(AZ163)-ROW(AZ$15),0),15-13*ORÇAMENTO!$AF$11)),
         0)</f>
        <v>89.2</v>
      </c>
      <c r="BA163" s="352" t="n">
        <f aca="true">IF(AND($D163="Serviço",BA$12&lt;&gt;0,$H163&gt;0,OR(AUTOEVENTO&lt;&gt;"manual",$M163&lt;&gt;$A$15)),
        IF(Import.TipoArredondamento&lt;&gt;"TransfereGOV",
              ROUND(OFFSET($P163,0,BA$13),15-13*ORÇAMENTO!$AF$7)/$H163*OFFSET(ORÇAMENTO!$X$15,ROW(BA163)-ROW(BA$15),0),
              ROUND(ROUND(OFFSET($P163,0,BA$13),15-13*ORÇAMENTO!$AF$7)*OFFSET(ORÇAMENTO!$W$15,ROW(BA163)-ROW(BA$15),0),15-13*ORÇAMENTO!$AF$11)),
         0)</f>
        <v>89.2</v>
      </c>
      <c r="BB163" s="352" t="n">
        <f aca="true">IF(AND($D163="Serviço",BB$12&lt;&gt;0,$H163&gt;0,OR(AUTOEVENTO&lt;&gt;"manual",$M163&lt;&gt;$A$15)),
        IF(Import.TipoArredondamento&lt;&gt;"TransfereGOV",
              ROUND(OFFSET($P163,0,BB$13),15-13*ORÇAMENTO!$AF$7)/$H163*OFFSET(ORÇAMENTO!$X$15,ROW(BB163)-ROW(BB$15),0),
              ROUND(ROUND(OFFSET($P163,0,BB$13),15-13*ORÇAMENTO!$AF$7)*OFFSET(ORÇAMENTO!$W$15,ROW(BB163)-ROW(BB$15),0),15-13*ORÇAMENTO!$AF$11)),
         0)</f>
        <v>89.2</v>
      </c>
      <c r="BC163" s="352" t="n">
        <f aca="true">IF(AND($D163="Serviço",BC$12&lt;&gt;0,$H163&gt;0,OR(AUTOEVENTO&lt;&gt;"manual",$M163&lt;&gt;$A$15)),
        IF(Import.TipoArredondamento&lt;&gt;"TransfereGOV",
              ROUND(OFFSET($P163,0,BC$13),15-13*ORÇAMENTO!$AF$7)/$H163*OFFSET(ORÇAMENTO!$X$15,ROW(BC163)-ROW(BC$15),0),
              ROUND(ROUND(OFFSET($P163,0,BC$13),15-13*ORÇAMENTO!$AF$7)*OFFSET(ORÇAMENTO!$W$15,ROW(BC163)-ROW(BC$15),0),15-13*ORÇAMENTO!$AF$11)),
         0)</f>
        <v>89.2</v>
      </c>
      <c r="BD163" s="352" t="n">
        <f aca="true">IF(AND($D163="Serviço",BD$12&lt;&gt;0,$H163&gt;0,OR(AUTOEVENTO&lt;&gt;"manual",$M163&lt;&gt;$A$15)),
        IF(Import.TipoArredondamento&lt;&gt;"TransfereGOV",
              ROUND(OFFSET($P163,0,BD$13),15-13*ORÇAMENTO!$AF$7)/$H163*OFFSET(ORÇAMENTO!$X$15,ROW(BD163)-ROW(BD$15),0),
              ROUND(ROUND(OFFSET($P163,0,BD$13),15-13*ORÇAMENTO!$AF$7)*OFFSET(ORÇAMENTO!$W$15,ROW(BD163)-ROW(BD$15),0),15-13*ORÇAMENTO!$AF$11)),
         0)</f>
        <v>89.2</v>
      </c>
      <c r="BE163" s="352" t="n">
        <f aca="true">IF(AND($D163="Serviço",BE$12&lt;&gt;0,$H163&gt;0,OR(AUTOEVENTO&lt;&gt;"manual",$M163&lt;&gt;$A$15)),
        IF(Import.TipoArredondamento&lt;&gt;"TransfereGOV",
              ROUND(OFFSET($P163,0,BE$13),15-13*ORÇAMENTO!$AF$7)/$H163*OFFSET(ORÇAMENTO!$X$15,ROW(BE163)-ROW(BE$15),0),
              ROUND(ROUND(OFFSET($P163,0,BE$13),15-13*ORÇAMENTO!$AF$7)*OFFSET(ORÇAMENTO!$W$15,ROW(BE163)-ROW(BE$15),0),15-13*ORÇAMENTO!$AF$11)),
         0)</f>
        <v>89.2</v>
      </c>
      <c r="BF163" s="352" t="n">
        <f aca="true">IF(AND($D163="Serviço",BF$12&lt;&gt;0,$H163&gt;0,OR(AUTOEVENTO&lt;&gt;"manual",$M163&lt;&gt;$A$15)),
        IF(Import.TipoArredondamento&lt;&gt;"TransfereGOV",
              ROUND(OFFSET($P163,0,BF$13),15-13*ORÇAMENTO!$AF$7)/$H163*OFFSET(ORÇAMENTO!$X$15,ROW(BF163)-ROW(BF$15),0),
              ROUND(ROUND(OFFSET($P163,0,BF$13),15-13*ORÇAMENTO!$AF$7)*OFFSET(ORÇAMENTO!$W$15,ROW(BF163)-ROW(BF$15),0),15-13*ORÇAMENTO!$AF$11)),
         0)</f>
        <v>89.2</v>
      </c>
      <c r="BG163" s="352" t="n">
        <f aca="true">IF(AND($D163="Serviço",BG$12&lt;&gt;0,$H163&gt;0,OR(AUTOEVENTO&lt;&gt;"manual",$M163&lt;&gt;$A$15)),
        IF(Import.TipoArredondamento&lt;&gt;"TransfereGOV",
              ROUND(OFFSET($P163,0,BG$13),15-13*ORÇAMENTO!$AF$7)/$H163*OFFSET(ORÇAMENTO!$X$15,ROW(BG163)-ROW(BG$15),0),
              ROUND(ROUND(OFFSET($P163,0,BG$13),15-13*ORÇAMENTO!$AF$7)*OFFSET(ORÇAMENTO!$W$15,ROW(BG163)-ROW(BG$15),0),15-13*ORÇAMENTO!$AF$11)),
         0)</f>
        <v>89.2</v>
      </c>
      <c r="BH163" s="352" t="n">
        <f aca="true">IF(AND($D163="Serviço",BH$12&lt;&gt;0,$H163&gt;0,OR(AUTOEVENTO&lt;&gt;"manual",$M163&lt;&gt;$A$15)),
        IF(Import.TipoArredondamento&lt;&gt;"TransfereGOV",
              ROUND(OFFSET($P163,0,BH$13),15-13*ORÇAMENTO!$AF$7)/$H163*OFFSET(ORÇAMENTO!$X$15,ROW(BH163)-ROW(BH$15),0),
              ROUND(ROUND(OFFSET($P163,0,BH$13),15-13*ORÇAMENTO!$AF$7)*OFFSET(ORÇAMENTO!$W$15,ROW(BH163)-ROW(BH$15),0),15-13*ORÇAMENTO!$AF$11)),
         0)</f>
        <v>89.2</v>
      </c>
      <c r="BI163" s="352" t="n">
        <f aca="true">IF(AND($D163="Serviço",BI$12&lt;&gt;0,$H163&gt;0,OR(AUTOEVENTO&lt;&gt;"manual",$M163&lt;&gt;$A$15)),
        IF(Import.TipoArredondamento&lt;&gt;"TransfereGOV",
              ROUND(OFFSET($P163,0,BI$13),15-13*ORÇAMENTO!$AF$7)/$H163*OFFSET(ORÇAMENTO!$X$15,ROW(BI163)-ROW(BI$15),0),
              ROUND(ROUND(OFFSET($P163,0,BI$13),15-13*ORÇAMENTO!$AF$7)*OFFSET(ORÇAMENTO!$W$15,ROW(BI163)-ROW(BI$15),0),15-13*ORÇAMENTO!$AF$11)),
         0)</f>
        <v>89.2</v>
      </c>
      <c r="BJ163" s="352" t="n">
        <f aca="true">IF(AND($D163="Serviço",BJ$12&lt;&gt;0,$H163&gt;0,OR(AUTOEVENTO&lt;&gt;"manual",$M163&lt;&gt;$A$15)),
        IF(Import.TipoArredondamento&lt;&gt;"TransfereGOV",
              ROUND(OFFSET($P163,0,BJ$13),15-13*ORÇAMENTO!$AF$7)/$H163*OFFSET(ORÇAMENTO!$X$15,ROW(BJ163)-ROW(BJ$15),0),
              ROUND(ROUND(OFFSET($P163,0,BJ$13),15-13*ORÇAMENTO!$AF$7)*OFFSET(ORÇAMENTO!$W$15,ROW(BJ163)-ROW(BJ$15),0),15-13*ORÇAMENTO!$AF$11)),
         0)</f>
        <v>89.2</v>
      </c>
      <c r="BK163" s="352" t="n">
        <f aca="true">IF(AND($D163="Serviço",BK$12&lt;&gt;0,$H163&gt;0,OR(AUTOEVENTO&lt;&gt;"manual",$M163&lt;&gt;$A$15)),
        IF(Import.TipoArredondamento&lt;&gt;"TransfereGOV",
              ROUND(OFFSET($P163,0,BK$13),15-13*ORÇAMENTO!$AF$7)/$H163*OFFSET(ORÇAMENTO!$X$15,ROW(BK163)-ROW(BK$15),0),
              ROUND(ROUND(OFFSET($P163,0,BK$13),15-13*ORÇAMENTO!$AF$7)*OFFSET(ORÇAMENTO!$W$15,ROW(BK163)-ROW(BK$15),0),15-13*ORÇAMENTO!$AF$11)),
         0)</f>
        <v>89.2</v>
      </c>
      <c r="BL163" s="352" t="n">
        <f aca="true">IF(AND($D163="Serviço",BL$12&lt;&gt;0,$H163&gt;0,OR(AUTOEVENTO&lt;&gt;"manual",$M163&lt;&gt;$A$15)),
        IF(Import.TipoArredondamento&lt;&gt;"TransfereGOV",
              ROUND(OFFSET($P163,0,BL$13),15-13*ORÇAMENTO!$AF$7)/$H163*OFFSET(ORÇAMENTO!$X$15,ROW(BL163)-ROW(BL$15),0),
              ROUND(ROUND(OFFSET($P163,0,BL$13),15-13*ORÇAMENTO!$AF$7)*OFFSET(ORÇAMENTO!$W$15,ROW(BL163)-ROW(BL$15),0),15-13*ORÇAMENTO!$AF$11)),
         0)</f>
        <v>89.2</v>
      </c>
      <c r="BM163" s="352" t="n">
        <f aca="true">IF(AND($D163="Serviço",BM$12&lt;&gt;0,$H163&gt;0,OR(AUTOEVENTO&lt;&gt;"manual",$M163&lt;&gt;$A$15)),
        IF(Import.TipoArredondamento&lt;&gt;"TransfereGOV",
              ROUND(OFFSET($P163,0,BM$13),15-13*ORÇAMENTO!$AF$7)/$H163*OFFSET(ORÇAMENTO!$X$15,ROW(BM163)-ROW(BM$15),0),
              ROUND(ROUND(OFFSET($P163,0,BM$13),15-13*ORÇAMENTO!$AF$7)*OFFSET(ORÇAMENTO!$W$15,ROW(BM163)-ROW(BM$15),0),15-13*ORÇAMENTO!$AF$11)),
         0)</f>
        <v>89.2</v>
      </c>
      <c r="BN163" s="352" t="n">
        <f aca="true">IF(AND($D163="Serviço",BN$12&lt;&gt;0,$H163&gt;0,OR(AUTOEVENTO&lt;&gt;"manual",$M163&lt;&gt;$A$15)),
        IF(Import.TipoArredondamento&lt;&gt;"TransfereGOV",
              ROUND(OFFSET($P163,0,BN$13),15-13*ORÇAMENTO!$AF$7)/$H163*OFFSET(ORÇAMENTO!$X$15,ROW(BN163)-ROW(BN$15),0),
              ROUND(ROUND(OFFSET($P163,0,BN$13),15-13*ORÇAMENTO!$AF$7)*OFFSET(ORÇAMENTO!$W$15,ROW(BN163)-ROW(BN$15),0),15-13*ORÇAMENTO!$AF$11)),
         0)</f>
        <v>89.2</v>
      </c>
      <c r="BO163" s="352" t="n">
        <f aca="true">IF(AND($D163="Serviço",BO$12&lt;&gt;0,$H163&gt;0,OR(AUTOEVENTO&lt;&gt;"manual",$M163&lt;&gt;$A$15)),
        IF(Import.TipoArredondamento&lt;&gt;"TransfereGOV",
              ROUND(OFFSET($P163,0,BO$13),15-13*ORÇAMENTO!$AF$7)/$H163*OFFSET(ORÇAMENTO!$X$15,ROW(BO163)-ROW(BO$15),0),
              ROUND(ROUND(OFFSET($P163,0,BO$13),15-13*ORÇAMENTO!$AF$7)*OFFSET(ORÇAMENTO!$W$15,ROW(BO163)-ROW(BO$15),0),15-13*ORÇAMENTO!$AF$11)),
         0)</f>
        <v>89.2</v>
      </c>
      <c r="BP163" s="352" t="n">
        <f aca="true">IF(AND($D163="Serviço",BP$12&lt;&gt;0,$H163&gt;0,OR(AUTOEVENTO&lt;&gt;"manual",$M163&lt;&gt;$A$15)),
        IF(Import.TipoArredondamento&lt;&gt;"TransfereGOV",
              ROUND(OFFSET($P163,0,BP$13),15-13*ORÇAMENTO!$AF$7)/$H163*OFFSET(ORÇAMENTO!$X$15,ROW(BP163)-ROW(BP$15),0),
              ROUND(ROUND(OFFSET($P163,0,BP$13),15-13*ORÇAMENTO!$AF$7)*OFFSET(ORÇAMENTO!$W$15,ROW(BP163)-ROW(BP$15),0),15-13*ORÇAMENTO!$AF$11)),
         0)</f>
        <v>89.2</v>
      </c>
      <c r="BQ163" s="352" t="n">
        <f aca="true">IF(AND($D163="Serviço",BQ$12&lt;&gt;0,$H163&gt;0,OR(AUTOEVENTO&lt;&gt;"manual",$M163&lt;&gt;$A$15)),
        IF(Import.TipoArredondamento&lt;&gt;"TransfereGOV",
              ROUND(OFFSET($P163,0,BQ$13),15-13*ORÇAMENTO!$AF$7)/$H163*OFFSET(ORÇAMENTO!$X$15,ROW(BQ163)-ROW(BQ$15),0),
              ROUND(ROUND(OFFSET($P163,0,BQ$13),15-13*ORÇAMENTO!$AF$7)*OFFSET(ORÇAMENTO!$W$15,ROW(BQ163)-ROW(BQ$15),0),15-13*ORÇAMENTO!$AF$11)),
         0)</f>
        <v>0</v>
      </c>
      <c r="BS163" s="353" t="n">
        <f aca="true">IF(OR($D163&lt;&gt;"Serviço",AND(AUTOEVENTO="Manual",$M163=$A$15)),0,
         IF(OFFSET(CRONOPLE!$F$15,$M163-$A$15,BS$13)=0,10^12,OFFSET(CRONOPLE!$F$15,$M163-$A$15,BS$13)))</f>
        <v>1</v>
      </c>
      <c r="BT163" s="353" t="n">
        <f aca="true">IF(OR($D163&lt;&gt;"Serviço",AND(AUTOEVENTO="Manual",$M163=$A$15)),0,
         IF(OFFSET(CRONOPLE!$F$15,$M163-$A$15,BT$13)=0,10^12,OFFSET(CRONOPLE!$F$15,$M163-$A$15,BT$13)))</f>
        <v>2</v>
      </c>
      <c r="BU163" s="353" t="n">
        <f aca="true">IF(OR($D163&lt;&gt;"Serviço",AND(AUTOEVENTO="Manual",$M163=$A$15)),0,
         IF(OFFSET(CRONOPLE!$F$15,$M163-$A$15,BU$13)=0,10^12,OFFSET(CRONOPLE!$F$15,$M163-$A$15,BU$13)))</f>
        <v>3</v>
      </c>
      <c r="BV163" s="353" t="n">
        <f aca="true">IF(OR($D163&lt;&gt;"Serviço",AND(AUTOEVENTO="Manual",$M163=$A$15)),0,
         IF(OFFSET(CRONOPLE!$F$15,$M163-$A$15,BV$13)=0,10^12,OFFSET(CRONOPLE!$F$15,$M163-$A$15,BV$13)))</f>
        <v>4</v>
      </c>
      <c r="BW163" s="353" t="n">
        <f aca="true">IF(OR($D163&lt;&gt;"Serviço",AND(AUTOEVENTO="Manual",$M163=$A$15)),0,
         IF(OFFSET(CRONOPLE!$F$15,$M163-$A$15,BW$13)=0,10^12,OFFSET(CRONOPLE!$F$15,$M163-$A$15,BW$13)))</f>
        <v>5</v>
      </c>
      <c r="BX163" s="353" t="n">
        <f aca="true">IF(OR($D163&lt;&gt;"Serviço",AND(AUTOEVENTO="Manual",$M163=$A$15)),0,
         IF(OFFSET(CRONOPLE!$F$15,$M163-$A$15,BX$13)=0,10^12,OFFSET(CRONOPLE!$F$15,$M163-$A$15,BX$13)))</f>
        <v>6</v>
      </c>
      <c r="BY163" s="353" t="n">
        <f aca="true">IF(OR($D163&lt;&gt;"Serviço",AND(AUTOEVENTO="Manual",$M163=$A$15)),0,
         IF(OFFSET(CRONOPLE!$F$15,$M163-$A$15,BY$13)=0,10^12,OFFSET(CRONOPLE!$F$15,$M163-$A$15,BY$13)))</f>
        <v>7</v>
      </c>
      <c r="BZ163" s="353" t="n">
        <f aca="true">IF(OR($D163&lt;&gt;"Serviço",AND(AUTOEVENTO="Manual",$M163=$A$15)),0,
         IF(OFFSET(CRONOPLE!$F$15,$M163-$A$15,BZ$13)=0,10^12,OFFSET(CRONOPLE!$F$15,$M163-$A$15,BZ$13)))</f>
        <v>8</v>
      </c>
      <c r="CA163" s="353" t="n">
        <f aca="true">IF(OR($D163&lt;&gt;"Serviço",AND(AUTOEVENTO="Manual",$M163=$A$15)),0,
         IF(OFFSET(CRONOPLE!$F$15,$M163-$A$15,CA$13)=0,10^12,OFFSET(CRONOPLE!$F$15,$M163-$A$15,CA$13)))</f>
        <v>9</v>
      </c>
      <c r="CB163" s="353" t="n">
        <f aca="true">IF(OR($D163&lt;&gt;"Serviço",AND(AUTOEVENTO="Manual",$M163=$A$15)),0,
         IF(OFFSET(CRONOPLE!$F$15,$M163-$A$15,CB$13)=0,10^12,OFFSET(CRONOPLE!$F$15,$M163-$A$15,CB$13)))</f>
        <v>10</v>
      </c>
      <c r="CC163" s="353" t="n">
        <f aca="true">IF(OR($D163&lt;&gt;"Serviço",AND(AUTOEVENTO="Manual",$M163=$A$15)),0,
         IF(OFFSET(CRONOPLE!$F$15,$M163-$A$15,CC$13)=0,10^12,OFFSET(CRONOPLE!$F$15,$M163-$A$15,CC$13)))</f>
        <v>11</v>
      </c>
      <c r="CD163" s="353" t="n">
        <f aca="true">IF(OR($D163&lt;&gt;"Serviço",AND(AUTOEVENTO="Manual",$M163=$A$15)),0,
         IF(OFFSET(CRONOPLE!$F$15,$M163-$A$15,CD$13)=0,10^12,OFFSET(CRONOPLE!$F$15,$M163-$A$15,CD$13)))</f>
        <v>12</v>
      </c>
      <c r="CE163" s="353" t="n">
        <f aca="true">IF(OR($D163&lt;&gt;"Serviço",AND(AUTOEVENTO="Manual",$M163=$A$15)),0,
         IF(OFFSET(CRONOPLE!$F$15,$M163-$A$15,CE$13)=0,10^12,OFFSET(CRONOPLE!$F$15,$M163-$A$15,CE$13)))</f>
        <v>13</v>
      </c>
      <c r="CF163" s="353" t="n">
        <f aca="true">IF(OR($D163&lt;&gt;"Serviço",AND(AUTOEVENTO="Manual",$M163=$A$15)),0,
         IF(OFFSET(CRONOPLE!$F$15,$M163-$A$15,CF$13)=0,10^12,OFFSET(CRONOPLE!$F$15,$M163-$A$15,CF$13)))</f>
        <v>14</v>
      </c>
      <c r="CG163" s="353" t="n">
        <f aca="true">IF(OR($D163&lt;&gt;"Serviço",AND(AUTOEVENTO="Manual",$M163=$A$15)),0,
         IF(OFFSET(CRONOPLE!$F$15,$M163-$A$15,CG$13)=0,10^12,OFFSET(CRONOPLE!$F$15,$M163-$A$15,CG$13)))</f>
        <v>15</v>
      </c>
      <c r="CH163" s="353" t="n">
        <f aca="true">IF(OR($D163&lt;&gt;"Serviço",AND(AUTOEVENTO="Manual",$M163=$A$15)),0,
         IF(OFFSET(CRONOPLE!$F$15,$M163-$A$15,CH$13)=0,10^12,OFFSET(CRONOPLE!$F$15,$M163-$A$15,CH$13)))</f>
        <v>16</v>
      </c>
      <c r="CI163" s="353" t="n">
        <f aca="true">IF(OR($D163&lt;&gt;"Serviço",AND(AUTOEVENTO="Manual",$M163=$A$15)),0,
         IF(OFFSET(CRONOPLE!$F$15,$M163-$A$15,CI$13)=0,10^12,OFFSET(CRONOPLE!$F$15,$M163-$A$15,CI$13)))</f>
        <v>17</v>
      </c>
      <c r="CJ163" s="353" t="n">
        <f aca="true">IF(OR($D163&lt;&gt;"Serviço",AND(AUTOEVENTO="Manual",$M163=$A$15)),0,
         IF(OFFSET(CRONOPLE!$F$15,$M163-$A$15,CJ$13)=0,10^12,OFFSET(CRONOPLE!$F$15,$M163-$A$15,CJ$13)))</f>
        <v>18</v>
      </c>
      <c r="CK163" s="353" t="n">
        <f aca="true">IF(OR($D163&lt;&gt;"Serviço",AND(AUTOEVENTO="Manual",$M163=$A$15)),0,
         IF(OFFSET(CRONOPLE!$F$15,$M163-$A$15,CK$13)=0,10^12,OFFSET(CRONOPLE!$F$15,$M163-$A$15,CK$13)))</f>
        <v>19</v>
      </c>
      <c r="CL163" s="353" t="n">
        <f aca="true">IF(OR($D163&lt;&gt;"Serviço",AND(AUTOEVENTO="Manual",$M163=$A$15)),0,
         IF(OFFSET(CRONOPLE!$F$15,$M163-$A$15,CL$13)=0,10^12,OFFSET(CRONOPLE!$F$15,$M163-$A$15,CL$13)))</f>
        <v>20</v>
      </c>
      <c r="CM163" s="353" t="n">
        <f aca="true">IF(OR($D163&lt;&gt;"Serviço",AND(AUTOEVENTO="Manual",$M163=$A$15)),0,
         IF(OFFSET(CRONOPLE!$F$15,$M163-$A$15,CM$13)=0,10^12,OFFSET(CRONOPLE!$F$15,$M163-$A$15,CM$13)))</f>
        <v>21</v>
      </c>
      <c r="CN163" s="353" t="n">
        <f aca="true">IF(OR($D163&lt;&gt;"Serviço",AND(AUTOEVENTO="Manual",$M163=$A$15)),0,
         IF(OFFSET(CRONOPLE!$F$15,$M163-$A$15,CN$13)=0,10^12,OFFSET(CRONOPLE!$F$15,$M163-$A$15,CN$13)))</f>
        <v>22</v>
      </c>
      <c r="CO163" s="353" t="n">
        <f aca="true">IF(OR($D163&lt;&gt;"Serviço",AND(AUTOEVENTO="Manual",$M163=$A$15)),0,
         IF(OFFSET(CRONOPLE!$F$15,$M163-$A$15,CO$13)=0,10^12,OFFSET(CRONOPLE!$F$15,$M163-$A$15,CO$13)))</f>
        <v>23</v>
      </c>
      <c r="CP163" s="353" t="n">
        <f aca="true">IF(OR($D163&lt;&gt;"Serviço",AND(AUTOEVENTO="Manual",$M163=$A$15)),0,
         IF(OFFSET(CRONOPLE!$F$15,$M163-$A$15,CP$13)=0,10^12,OFFSET(CRONOPLE!$F$15,$M163-$A$15,CP$13)))</f>
        <v>24</v>
      </c>
      <c r="CQ163" s="353" t="n">
        <f aca="true">IF(OR($D163&lt;&gt;"Serviço",AND(AUTOEVENTO="Manual",$M163=$A$15)),0,
         IF(OFFSET(CRONOPLE!$F$15,$M163-$A$15,CQ$13)=0,10^12,OFFSET(CRONOPLE!$F$15,$M163-$A$15,CQ$13)))</f>
        <v>25</v>
      </c>
      <c r="CR163" s="353" t="n">
        <f aca="true">IF(OR($D163&lt;&gt;"Serviço",AND(AUTOEVENTO="Manual",$M163=$A$15)),0,
         IF(OFFSET(CRONOPLE!$F$15,$M163-$A$15,CR$13)=0,10^12,OFFSET(CRONOPLE!$F$15,$M163-$A$15,CR$13)))</f>
        <v>1000000000000</v>
      </c>
      <c r="CT163" s="354" t="n">
        <f aca="true">IF(OR($D163&lt;&gt;"Serviço",AND(AUTOEVENTO="Manual",$M163=$A$15),$M163&gt;(ROW(PLE.lastrow)-ROW(PLE.firstrow))),0,
           IF(OFFSET(PLE!$G$15,$M163-$A$15,CT$13)="",10^12,OFFSET(PLE!$G$15,$M163-$A$15,CT$13)))</f>
        <v>1000000000000</v>
      </c>
      <c r="CU163" s="354" t="n">
        <f aca="true">IF(OR($D163&lt;&gt;"Serviço",AND(AUTOEVENTO="Manual",$M163=$A$15),$M163&gt;(ROW(PLE.lastrow)-ROW(PLE.firstrow))),0,
           IF(OFFSET(PLE!$G$15,$M163-$A$15,CU$13)="",10^12,OFFSET(PLE!$G$15,$M163-$A$15,CU$13)))</f>
        <v>1000000000000</v>
      </c>
      <c r="CV163" s="354" t="n">
        <f aca="true">IF(OR($D163&lt;&gt;"Serviço",AND(AUTOEVENTO="Manual",$M163=$A$15),$M163&gt;(ROW(PLE.lastrow)-ROW(PLE.firstrow))),0,
           IF(OFFSET(PLE!$G$15,$M163-$A$15,CV$13)="",10^12,OFFSET(PLE!$G$15,$M163-$A$15,CV$13)))</f>
        <v>1000000000000</v>
      </c>
      <c r="CW163" s="354" t="n">
        <f aca="true">IF(OR($D163&lt;&gt;"Serviço",AND(AUTOEVENTO="Manual",$M163=$A$15),$M163&gt;(ROW(PLE.lastrow)-ROW(PLE.firstrow))),0,
           IF(OFFSET(PLE!$G$15,$M163-$A$15,CW$13)="",10^12,OFFSET(PLE!$G$15,$M163-$A$15,CW$13)))</f>
        <v>1000000000000</v>
      </c>
      <c r="CX163" s="354" t="n">
        <f aca="true">IF(OR($D163&lt;&gt;"Serviço",AND(AUTOEVENTO="Manual",$M163=$A$15),$M163&gt;(ROW(PLE.lastrow)-ROW(PLE.firstrow))),0,
           IF(OFFSET(PLE!$G$15,$M163-$A$15,CX$13)="",10^12,OFFSET(PLE!$G$15,$M163-$A$15,CX$13)))</f>
        <v>1000000000000</v>
      </c>
      <c r="CY163" s="354" t="n">
        <f aca="true">IF(OR($D163&lt;&gt;"Serviço",AND(AUTOEVENTO="Manual",$M163=$A$15),$M163&gt;(ROW(PLE.lastrow)-ROW(PLE.firstrow))),0,
           IF(OFFSET(PLE!$G$15,$M163-$A$15,CY$13)="",10^12,OFFSET(PLE!$G$15,$M163-$A$15,CY$13)))</f>
        <v>1000000000000</v>
      </c>
      <c r="CZ163" s="354" t="n">
        <f aca="true">IF(OR($D163&lt;&gt;"Serviço",AND(AUTOEVENTO="Manual",$M163=$A$15),$M163&gt;(ROW(PLE.lastrow)-ROW(PLE.firstrow))),0,
           IF(OFFSET(PLE!$G$15,$M163-$A$15,CZ$13)="",10^12,OFFSET(PLE!$G$15,$M163-$A$15,CZ$13)))</f>
        <v>1000000000000</v>
      </c>
      <c r="DA163" s="354" t="n">
        <f aca="true">IF(OR($D163&lt;&gt;"Serviço",AND(AUTOEVENTO="Manual",$M163=$A$15),$M163&gt;(ROW(PLE.lastrow)-ROW(PLE.firstrow))),0,
           IF(OFFSET(PLE!$G$15,$M163-$A$15,DA$13)="",10^12,OFFSET(PLE!$G$15,$M163-$A$15,DA$13)))</f>
        <v>1000000000000</v>
      </c>
      <c r="DB163" s="354" t="n">
        <f aca="true">IF(OR($D163&lt;&gt;"Serviço",AND(AUTOEVENTO="Manual",$M163=$A$15),$M163&gt;(ROW(PLE.lastrow)-ROW(PLE.firstrow))),0,
           IF(OFFSET(PLE!$G$15,$M163-$A$15,DB$13)="",10^12,OFFSET(PLE!$G$15,$M163-$A$15,DB$13)))</f>
        <v>1000000000000</v>
      </c>
      <c r="DC163" s="354" t="n">
        <f aca="true">IF(OR($D163&lt;&gt;"Serviço",AND(AUTOEVENTO="Manual",$M163=$A$15),$M163&gt;(ROW(PLE.lastrow)-ROW(PLE.firstrow))),0,
           IF(OFFSET(PLE!$G$15,$M163-$A$15,DC$13)="",10^12,OFFSET(PLE!$G$15,$M163-$A$15,DC$13)))</f>
        <v>1000000000000</v>
      </c>
      <c r="DD163" s="354" t="n">
        <f aca="true">IF(OR($D163&lt;&gt;"Serviço",AND(AUTOEVENTO="Manual",$M163=$A$15),$M163&gt;(ROW(PLE.lastrow)-ROW(PLE.firstrow))),0,
           IF(OFFSET(PLE!$G$15,$M163-$A$15,DD$13)="",10^12,OFFSET(PLE!$G$15,$M163-$A$15,DD$13)))</f>
        <v>1000000000000</v>
      </c>
      <c r="DE163" s="354" t="n">
        <f aca="true">IF(OR($D163&lt;&gt;"Serviço",AND(AUTOEVENTO="Manual",$M163=$A$15),$M163&gt;(ROW(PLE.lastrow)-ROW(PLE.firstrow))),0,
           IF(OFFSET(PLE!$G$15,$M163-$A$15,DE$13)="",10^12,OFFSET(PLE!$G$15,$M163-$A$15,DE$13)))</f>
        <v>1000000000000</v>
      </c>
      <c r="DF163" s="354" t="n">
        <f aca="true">IF(OR($D163&lt;&gt;"Serviço",AND(AUTOEVENTO="Manual",$M163=$A$15),$M163&gt;(ROW(PLE.lastrow)-ROW(PLE.firstrow))),0,
           IF(OFFSET(PLE!$G$15,$M163-$A$15,DF$13)="",10^12,OFFSET(PLE!$G$15,$M163-$A$15,DF$13)))</f>
        <v>1000000000000</v>
      </c>
      <c r="DG163" s="354" t="n">
        <f aca="true">IF(OR($D163&lt;&gt;"Serviço",AND(AUTOEVENTO="Manual",$M163=$A$15),$M163&gt;(ROW(PLE.lastrow)-ROW(PLE.firstrow))),0,
           IF(OFFSET(PLE!$G$15,$M163-$A$15,DG$13)="",10^12,OFFSET(PLE!$G$15,$M163-$A$15,DG$13)))</f>
        <v>1000000000000</v>
      </c>
      <c r="DH163" s="354" t="n">
        <f aca="true">IF(OR($D163&lt;&gt;"Serviço",AND(AUTOEVENTO="Manual",$M163=$A$15),$M163&gt;(ROW(PLE.lastrow)-ROW(PLE.firstrow))),0,
           IF(OFFSET(PLE!$G$15,$M163-$A$15,DH$13)="",10^12,OFFSET(PLE!$G$15,$M163-$A$15,DH$13)))</f>
        <v>1000000000000</v>
      </c>
      <c r="DI163" s="354" t="n">
        <f aca="true">IF(OR($D163&lt;&gt;"Serviço",AND(AUTOEVENTO="Manual",$M163=$A$15),$M163&gt;(ROW(PLE.lastrow)-ROW(PLE.firstrow))),0,
           IF(OFFSET(PLE!$G$15,$M163-$A$15,DI$13)="",10^12,OFFSET(PLE!$G$15,$M163-$A$15,DI$13)))</f>
        <v>1000000000000</v>
      </c>
      <c r="DJ163" s="354" t="n">
        <f aca="true">IF(OR($D163&lt;&gt;"Serviço",AND(AUTOEVENTO="Manual",$M163=$A$15),$M163&gt;(ROW(PLE.lastrow)-ROW(PLE.firstrow))),0,
           IF(OFFSET(PLE!$G$15,$M163-$A$15,DJ$13)="",10^12,OFFSET(PLE!$G$15,$M163-$A$15,DJ$13)))</f>
        <v>1000000000000</v>
      </c>
      <c r="DK163" s="354" t="n">
        <f aca="true">IF(OR($D163&lt;&gt;"Serviço",AND(AUTOEVENTO="Manual",$M163=$A$15),$M163&gt;(ROW(PLE.lastrow)-ROW(PLE.firstrow))),0,
           IF(OFFSET(PLE!$G$15,$M163-$A$15,DK$13)="",10^12,OFFSET(PLE!$G$15,$M163-$A$15,DK$13)))</f>
        <v>1000000000000</v>
      </c>
      <c r="DL163" s="354" t="n">
        <f aca="true">IF(OR($D163&lt;&gt;"Serviço",AND(AUTOEVENTO="Manual",$M163=$A$15),$M163&gt;(ROW(PLE.lastrow)-ROW(PLE.firstrow))),0,
           IF(OFFSET(PLE!$G$15,$M163-$A$15,DL$13)="",10^12,OFFSET(PLE!$G$15,$M163-$A$15,DL$13)))</f>
        <v>1000000000000</v>
      </c>
      <c r="DM163" s="354" t="n">
        <f aca="true">IF(OR($D163&lt;&gt;"Serviço",AND(AUTOEVENTO="Manual",$M163=$A$15),$M163&gt;(ROW(PLE.lastrow)-ROW(PLE.firstrow))),0,
           IF(OFFSET(PLE!$G$15,$M163-$A$15,DM$13)="",10^12,OFFSET(PLE!$G$15,$M163-$A$15,DM$13)))</f>
        <v>1000000000000</v>
      </c>
      <c r="DN163" s="354" t="n">
        <f aca="true">IF(OR($D163&lt;&gt;"Serviço",AND(AUTOEVENTO="Manual",$M163=$A$15),$M163&gt;(ROW(PLE.lastrow)-ROW(PLE.firstrow))),0,
           IF(OFFSET(PLE!$G$15,$M163-$A$15,DN$13)="",10^12,OFFSET(PLE!$G$15,$M163-$A$15,DN$13)))</f>
        <v>1000000000000</v>
      </c>
      <c r="DO163" s="354" t="n">
        <f aca="true">IF(OR($D163&lt;&gt;"Serviço",AND(AUTOEVENTO="Manual",$M163=$A$15),$M163&gt;(ROW(PLE.lastrow)-ROW(PLE.firstrow))),0,
           IF(OFFSET(PLE!$G$15,$M163-$A$15,DO$13)="",10^12,OFFSET(PLE!$G$15,$M163-$A$15,DO$13)))</f>
        <v>1000000000000</v>
      </c>
      <c r="DP163" s="354" t="n">
        <f aca="true">IF(OR($D163&lt;&gt;"Serviço",AND(AUTOEVENTO="Manual",$M163=$A$15),$M163&gt;(ROW(PLE.lastrow)-ROW(PLE.firstrow))),0,
           IF(OFFSET(PLE!$G$15,$M163-$A$15,DP$13)="",10^12,OFFSET(PLE!$G$15,$M163-$A$15,DP$13)))</f>
        <v>1000000000000</v>
      </c>
      <c r="DQ163" s="354" t="n">
        <f aca="true">IF(OR($D163&lt;&gt;"Serviço",AND(AUTOEVENTO="Manual",$M163=$A$15),$M163&gt;(ROW(PLE.lastrow)-ROW(PLE.firstrow))),0,
           IF(OFFSET(PLE!$G$15,$M163-$A$15,DQ$13)="",10^12,OFFSET(PLE!$G$15,$M163-$A$15,DQ$13)))</f>
        <v>1000000000000</v>
      </c>
      <c r="DR163" s="354" t="n">
        <f aca="true">IF(OR($D163&lt;&gt;"Serviço",AND(AUTOEVENTO="Manual",$M163=$A$15),$M163&gt;(ROW(PLE.lastrow)-ROW(PLE.firstrow))),0,
           IF(OFFSET(PLE!$G$15,$M163-$A$15,DR$13)="",10^12,OFFSET(PLE!$G$15,$M163-$A$15,DR$13)))</f>
        <v>1000000000000</v>
      </c>
      <c r="DS163" s="354" t="n">
        <f aca="true">IF(OR($D163&lt;&gt;"Serviço",AND(AUTOEVENTO="Manual",$M163=$A$15),$M163&gt;(ROW(PLE.lastrow)-ROW(PLE.firstrow))),0,
           IF(OFFSET(PLE!$G$15,$M163-$A$15,DS$13)="",10^12,OFFSET(PLE!$G$15,$M163-$A$15,DS$13)))</f>
        <v>1000000000000</v>
      </c>
    </row>
    <row r="164" customFormat="false" ht="35.05" hidden="false" customHeight="false" outlineLevel="0" collapsed="false">
      <c r="A164" s="50" t="str">
        <f aca="true">IFERROR(IF(AUTOEVENTO="Manual",IF(K164&lt;&gt;"",MIN(VALUE(LEFT(K164,FIND(".",K164)-1)),COUNTA(EVENTOS.Lista)),0),IF(OR($B164&gt;AUTOEVENTO,$B164="S",$B164=0),SUBSTITUTE(OFFSET($A164,-1,0),IF($D164="Serviço",".",""),""),ROW(A164)-ROW($A$15)&amp;".")),0)</f>
        <v>141</v>
      </c>
      <c r="B164" s="50" t="str">
        <f aca="true">OFFSET(ORÇAMENTO!C$15,ROW(B164)-ROW(B$15),0)</f>
        <v>S</v>
      </c>
      <c r="C164" s="50" t="str">
        <f aca="true">OFFSET(ORÇAMENTO!L$15,ROW(C164)-ROW(C$15),0)</f>
        <v>F</v>
      </c>
      <c r="D164" s="201" t="str">
        <f aca="true">OFFSET(ORÇAMENTO!N$15,ROW(D164)-ROW(D$15),0)</f>
        <v>Serviço</v>
      </c>
      <c r="E164" s="202" t="str">
        <f aca="true">OFFSET(ORÇAMENTO!O$15,ROW(E164)-ROW(E$15),0)</f>
        <v>1.43.8.</v>
      </c>
      <c r="F164" s="341" t="str">
        <f aca="true">OFFSET(ORÇAMENTO!R$15,ROW(F164)-ROW(F$15),0)</f>
        <v>JOELHO 90 GRAUS, PVC, SOLDÁVEL, DN 32MM, INSTALADO EM RAMAL DE DISTRIBUIÇÃO DE ÁGUA - FORNECIMENTO E INSTALAÇÃO. AF_06/2022</v>
      </c>
      <c r="G164" s="342" t="str">
        <f aca="true">IF($D164&lt;&gt;"Serviço","",OFFSET(ORÇAMENTO!S$15,ROW(G164)-ROW(G$15),0))</f>
        <v>UN</v>
      </c>
      <c r="H164" s="207" t="n">
        <f aca="true">IF($D164&lt;&gt;"Serviço",0,IF(ACOMPANHAMENTO="BM",ROUND(OFFSET(ORÇAMENTO!AJ$15,ROW(H164)-ROW(H$15),0),15-13*ORÇAMENTO!$AF$7),SUMPRODUCT(($Q$1:$AQ$1=1)*ROUND($Q164:$AQ164,15-13*ORÇAMENTO!$AF$7))))</f>
        <v>100</v>
      </c>
      <c r="I164" s="343" t="s">
        <v>977</v>
      </c>
      <c r="J164" s="344" t="e">
        <f aca="false">IF(OR(B164&lt;&gt;"S",CÁLCULO.FrentesPreenchidas=0),"",IF(AND(ACOMPANHAMENTO="PLE",AUTOEVENTO="Manual",OR(H164&gt;0,ORÇAMENTO!AC164="QUANT."),OR(K164="",M164=0,N164="")),"►",IF(AND(ACOMPANHAMENTO="PLE",ORÇAMENTO!AC164="QUANT."),"►►",IF(AND(COUNTIF($P$11:$AQ$11,"▼")=0,H164&gt;0,I164=""),"◄",""))))</f>
        <v>#NAME?</v>
      </c>
      <c r="K164" s="345"/>
      <c r="L164" s="346" t="s">
        <v>876</v>
      </c>
      <c r="M164" s="347" t="n">
        <f aca="true">IF($D164&lt;&gt;"Serviço","",
          IF(AUTOEVENTO="manual",$A164,
                IF(ISERROR(MATCH($A164,$A$15:OFFSET($A164,-1,0),0)),MAX($M$15:OFFSET(M164,-1,0))+1,
                      INDEX($M$15:OFFSET(M164,-1,0),MATCH($A164,$A$15:OFFSET($A164,-1,0),0)))))</f>
        <v>27</v>
      </c>
      <c r="N164" s="348" t="str">
        <f aca="true">IF($D164&lt;&gt;"Serviço","",
         IF(AUTOEVENTO="Manual",
                IF($A164=0,"&lt;-- defina o número do agrupador",
                       OFFSET(EVENTOS!$D$15,$A164-$A$15,0)),
                OFFSET($F$15,$A164,0)))</f>
        <v>CAIXA D'ÁGUA E BARRILETE</v>
      </c>
      <c r="O164" s="349"/>
      <c r="Q164" s="349" t="n">
        <v>4</v>
      </c>
      <c r="R164" s="350" t="n">
        <v>4</v>
      </c>
      <c r="S164" s="350" t="n">
        <v>4</v>
      </c>
      <c r="T164" s="350" t="n">
        <v>4</v>
      </c>
      <c r="U164" s="350" t="n">
        <v>4</v>
      </c>
      <c r="V164" s="350" t="n">
        <v>4</v>
      </c>
      <c r="W164" s="350" t="n">
        <v>4</v>
      </c>
      <c r="X164" s="350" t="n">
        <v>4</v>
      </c>
      <c r="Y164" s="350" t="n">
        <v>4</v>
      </c>
      <c r="Z164" s="351" t="n">
        <v>4</v>
      </c>
      <c r="AA164" s="350" t="n">
        <v>4</v>
      </c>
      <c r="AB164" s="350" t="n">
        <v>4</v>
      </c>
      <c r="AC164" s="350" t="n">
        <v>4</v>
      </c>
      <c r="AD164" s="350" t="n">
        <v>4</v>
      </c>
      <c r="AE164" s="350" t="n">
        <v>4</v>
      </c>
      <c r="AF164" s="350" t="n">
        <v>4</v>
      </c>
      <c r="AG164" s="350" t="n">
        <v>4</v>
      </c>
      <c r="AH164" s="351" t="n">
        <v>4</v>
      </c>
      <c r="AI164" s="350" t="n">
        <v>4</v>
      </c>
      <c r="AJ164" s="350" t="n">
        <v>4</v>
      </c>
      <c r="AK164" s="350" t="n">
        <v>4</v>
      </c>
      <c r="AL164" s="350" t="n">
        <v>4</v>
      </c>
      <c r="AM164" s="350" t="n">
        <v>4</v>
      </c>
      <c r="AN164" s="350" t="n">
        <v>4</v>
      </c>
      <c r="AO164" s="350" t="n">
        <v>4</v>
      </c>
      <c r="AP164" s="351"/>
      <c r="AR164" s="352" t="n">
        <f aca="true">IF(AND($D164="Serviço",AR$12&lt;&gt;0,$H164&gt;0,OR(AUTOEVENTO&lt;&gt;"manual",$M164&lt;&gt;$A$15)),
        IF(Import.TipoArredondamento&lt;&gt;"TransfereGOV",
              ROUND(OFFSET($P164,0,AR$13),15-13*ORÇAMENTO!$AF$7)/$H164*OFFSET(ORÇAMENTO!$X$15,ROW(AR164)-ROW(AR$15),0),
              ROUND(ROUND(OFFSET($P164,0,AR$13),15-13*ORÇAMENTO!$AF$7)*OFFSET(ORÇAMENTO!$W$15,ROW(AR164)-ROW(AR$15),0),15-13*ORÇAMENTO!$AF$11)),
         0)</f>
        <v>61.84</v>
      </c>
      <c r="AS164" s="352" t="n">
        <f aca="true">IF(AND($D164="Serviço",AS$12&lt;&gt;0,$H164&gt;0,OR(AUTOEVENTO&lt;&gt;"manual",$M164&lt;&gt;$A$15)),
        IF(Import.TipoArredondamento&lt;&gt;"TransfereGOV",
              ROUND(OFFSET($P164,0,AS$13),15-13*ORÇAMENTO!$AF$7)/$H164*OFFSET(ORÇAMENTO!$X$15,ROW(AS164)-ROW(AS$15),0),
              ROUND(ROUND(OFFSET($P164,0,AS$13),15-13*ORÇAMENTO!$AF$7)*OFFSET(ORÇAMENTO!$W$15,ROW(AS164)-ROW(AS$15),0),15-13*ORÇAMENTO!$AF$11)),
         0)</f>
        <v>61.84</v>
      </c>
      <c r="AT164" s="352" t="n">
        <f aca="true">IF(AND($D164="Serviço",AT$12&lt;&gt;0,$H164&gt;0,OR(AUTOEVENTO&lt;&gt;"manual",$M164&lt;&gt;$A$15)),
        IF(Import.TipoArredondamento&lt;&gt;"TransfereGOV",
              ROUND(OFFSET($P164,0,AT$13),15-13*ORÇAMENTO!$AF$7)/$H164*OFFSET(ORÇAMENTO!$X$15,ROW(AT164)-ROW(AT$15),0),
              ROUND(ROUND(OFFSET($P164,0,AT$13),15-13*ORÇAMENTO!$AF$7)*OFFSET(ORÇAMENTO!$W$15,ROW(AT164)-ROW(AT$15),0),15-13*ORÇAMENTO!$AF$11)),
         0)</f>
        <v>61.84</v>
      </c>
      <c r="AU164" s="352" t="n">
        <f aca="true">IF(AND($D164="Serviço",AU$12&lt;&gt;0,$H164&gt;0,OR(AUTOEVENTO&lt;&gt;"manual",$M164&lt;&gt;$A$15)),
        IF(Import.TipoArredondamento&lt;&gt;"TransfereGOV",
              ROUND(OFFSET($P164,0,AU$13),15-13*ORÇAMENTO!$AF$7)/$H164*OFFSET(ORÇAMENTO!$X$15,ROW(AU164)-ROW(AU$15),0),
              ROUND(ROUND(OFFSET($P164,0,AU$13),15-13*ORÇAMENTO!$AF$7)*OFFSET(ORÇAMENTO!$W$15,ROW(AU164)-ROW(AU$15),0),15-13*ORÇAMENTO!$AF$11)),
         0)</f>
        <v>61.84</v>
      </c>
      <c r="AV164" s="352" t="n">
        <f aca="true">IF(AND($D164="Serviço",AV$12&lt;&gt;0,$H164&gt;0,OR(AUTOEVENTO&lt;&gt;"manual",$M164&lt;&gt;$A$15)),
        IF(Import.TipoArredondamento&lt;&gt;"TransfereGOV",
              ROUND(OFFSET($P164,0,AV$13),15-13*ORÇAMENTO!$AF$7)/$H164*OFFSET(ORÇAMENTO!$X$15,ROW(AV164)-ROW(AV$15),0),
              ROUND(ROUND(OFFSET($P164,0,AV$13),15-13*ORÇAMENTO!$AF$7)*OFFSET(ORÇAMENTO!$W$15,ROW(AV164)-ROW(AV$15),0),15-13*ORÇAMENTO!$AF$11)),
         0)</f>
        <v>61.84</v>
      </c>
      <c r="AW164" s="352" t="n">
        <f aca="true">IF(AND($D164="Serviço",AW$12&lt;&gt;0,$H164&gt;0,OR(AUTOEVENTO&lt;&gt;"manual",$M164&lt;&gt;$A$15)),
        IF(Import.TipoArredondamento&lt;&gt;"TransfereGOV",
              ROUND(OFFSET($P164,0,AW$13),15-13*ORÇAMENTO!$AF$7)/$H164*OFFSET(ORÇAMENTO!$X$15,ROW(AW164)-ROW(AW$15),0),
              ROUND(ROUND(OFFSET($P164,0,AW$13),15-13*ORÇAMENTO!$AF$7)*OFFSET(ORÇAMENTO!$W$15,ROW(AW164)-ROW(AW$15),0),15-13*ORÇAMENTO!$AF$11)),
         0)</f>
        <v>61.84</v>
      </c>
      <c r="AX164" s="352" t="n">
        <f aca="true">IF(AND($D164="Serviço",AX$12&lt;&gt;0,$H164&gt;0,OR(AUTOEVENTO&lt;&gt;"manual",$M164&lt;&gt;$A$15)),
        IF(Import.TipoArredondamento&lt;&gt;"TransfereGOV",
              ROUND(OFFSET($P164,0,AX$13),15-13*ORÇAMENTO!$AF$7)/$H164*OFFSET(ORÇAMENTO!$X$15,ROW(AX164)-ROW(AX$15),0),
              ROUND(ROUND(OFFSET($P164,0,AX$13),15-13*ORÇAMENTO!$AF$7)*OFFSET(ORÇAMENTO!$W$15,ROW(AX164)-ROW(AX$15),0),15-13*ORÇAMENTO!$AF$11)),
         0)</f>
        <v>61.84</v>
      </c>
      <c r="AY164" s="352" t="n">
        <f aca="true">IF(AND($D164="Serviço",AY$12&lt;&gt;0,$H164&gt;0,OR(AUTOEVENTO&lt;&gt;"manual",$M164&lt;&gt;$A$15)),
        IF(Import.TipoArredondamento&lt;&gt;"TransfereGOV",
              ROUND(OFFSET($P164,0,AY$13),15-13*ORÇAMENTO!$AF$7)/$H164*OFFSET(ORÇAMENTO!$X$15,ROW(AY164)-ROW(AY$15),0),
              ROUND(ROUND(OFFSET($P164,0,AY$13),15-13*ORÇAMENTO!$AF$7)*OFFSET(ORÇAMENTO!$W$15,ROW(AY164)-ROW(AY$15),0),15-13*ORÇAMENTO!$AF$11)),
         0)</f>
        <v>61.84</v>
      </c>
      <c r="AZ164" s="352" t="n">
        <f aca="true">IF(AND($D164="Serviço",AZ$12&lt;&gt;0,$H164&gt;0,OR(AUTOEVENTO&lt;&gt;"manual",$M164&lt;&gt;$A$15)),
        IF(Import.TipoArredondamento&lt;&gt;"TransfereGOV",
              ROUND(OFFSET($P164,0,AZ$13),15-13*ORÇAMENTO!$AF$7)/$H164*OFFSET(ORÇAMENTO!$X$15,ROW(AZ164)-ROW(AZ$15),0),
              ROUND(ROUND(OFFSET($P164,0,AZ$13),15-13*ORÇAMENTO!$AF$7)*OFFSET(ORÇAMENTO!$W$15,ROW(AZ164)-ROW(AZ$15),0),15-13*ORÇAMENTO!$AF$11)),
         0)</f>
        <v>61.84</v>
      </c>
      <c r="BA164" s="352" t="n">
        <f aca="true">IF(AND($D164="Serviço",BA$12&lt;&gt;0,$H164&gt;0,OR(AUTOEVENTO&lt;&gt;"manual",$M164&lt;&gt;$A$15)),
        IF(Import.TipoArredondamento&lt;&gt;"TransfereGOV",
              ROUND(OFFSET($P164,0,BA$13),15-13*ORÇAMENTO!$AF$7)/$H164*OFFSET(ORÇAMENTO!$X$15,ROW(BA164)-ROW(BA$15),0),
              ROUND(ROUND(OFFSET($P164,0,BA$13),15-13*ORÇAMENTO!$AF$7)*OFFSET(ORÇAMENTO!$W$15,ROW(BA164)-ROW(BA$15),0),15-13*ORÇAMENTO!$AF$11)),
         0)</f>
        <v>61.84</v>
      </c>
      <c r="BB164" s="352" t="n">
        <f aca="true">IF(AND($D164="Serviço",BB$12&lt;&gt;0,$H164&gt;0,OR(AUTOEVENTO&lt;&gt;"manual",$M164&lt;&gt;$A$15)),
        IF(Import.TipoArredondamento&lt;&gt;"TransfereGOV",
              ROUND(OFFSET($P164,0,BB$13),15-13*ORÇAMENTO!$AF$7)/$H164*OFFSET(ORÇAMENTO!$X$15,ROW(BB164)-ROW(BB$15),0),
              ROUND(ROUND(OFFSET($P164,0,BB$13),15-13*ORÇAMENTO!$AF$7)*OFFSET(ORÇAMENTO!$W$15,ROW(BB164)-ROW(BB$15),0),15-13*ORÇAMENTO!$AF$11)),
         0)</f>
        <v>61.84</v>
      </c>
      <c r="BC164" s="352" t="n">
        <f aca="true">IF(AND($D164="Serviço",BC$12&lt;&gt;0,$H164&gt;0,OR(AUTOEVENTO&lt;&gt;"manual",$M164&lt;&gt;$A$15)),
        IF(Import.TipoArredondamento&lt;&gt;"TransfereGOV",
              ROUND(OFFSET($P164,0,BC$13),15-13*ORÇAMENTO!$AF$7)/$H164*OFFSET(ORÇAMENTO!$X$15,ROW(BC164)-ROW(BC$15),0),
              ROUND(ROUND(OFFSET($P164,0,BC$13),15-13*ORÇAMENTO!$AF$7)*OFFSET(ORÇAMENTO!$W$15,ROW(BC164)-ROW(BC$15),0),15-13*ORÇAMENTO!$AF$11)),
         0)</f>
        <v>61.84</v>
      </c>
      <c r="BD164" s="352" t="n">
        <f aca="true">IF(AND($D164="Serviço",BD$12&lt;&gt;0,$H164&gt;0,OR(AUTOEVENTO&lt;&gt;"manual",$M164&lt;&gt;$A$15)),
        IF(Import.TipoArredondamento&lt;&gt;"TransfereGOV",
              ROUND(OFFSET($P164,0,BD$13),15-13*ORÇAMENTO!$AF$7)/$H164*OFFSET(ORÇAMENTO!$X$15,ROW(BD164)-ROW(BD$15),0),
              ROUND(ROUND(OFFSET($P164,0,BD$13),15-13*ORÇAMENTO!$AF$7)*OFFSET(ORÇAMENTO!$W$15,ROW(BD164)-ROW(BD$15),0),15-13*ORÇAMENTO!$AF$11)),
         0)</f>
        <v>61.84</v>
      </c>
      <c r="BE164" s="352" t="n">
        <f aca="true">IF(AND($D164="Serviço",BE$12&lt;&gt;0,$H164&gt;0,OR(AUTOEVENTO&lt;&gt;"manual",$M164&lt;&gt;$A$15)),
        IF(Import.TipoArredondamento&lt;&gt;"TransfereGOV",
              ROUND(OFFSET($P164,0,BE$13),15-13*ORÇAMENTO!$AF$7)/$H164*OFFSET(ORÇAMENTO!$X$15,ROW(BE164)-ROW(BE$15),0),
              ROUND(ROUND(OFFSET($P164,0,BE$13),15-13*ORÇAMENTO!$AF$7)*OFFSET(ORÇAMENTO!$W$15,ROW(BE164)-ROW(BE$15),0),15-13*ORÇAMENTO!$AF$11)),
         0)</f>
        <v>61.84</v>
      </c>
      <c r="BF164" s="352" t="n">
        <f aca="true">IF(AND($D164="Serviço",BF$12&lt;&gt;0,$H164&gt;0,OR(AUTOEVENTO&lt;&gt;"manual",$M164&lt;&gt;$A$15)),
        IF(Import.TipoArredondamento&lt;&gt;"TransfereGOV",
              ROUND(OFFSET($P164,0,BF$13),15-13*ORÇAMENTO!$AF$7)/$H164*OFFSET(ORÇAMENTO!$X$15,ROW(BF164)-ROW(BF$15),0),
              ROUND(ROUND(OFFSET($P164,0,BF$13),15-13*ORÇAMENTO!$AF$7)*OFFSET(ORÇAMENTO!$W$15,ROW(BF164)-ROW(BF$15),0),15-13*ORÇAMENTO!$AF$11)),
         0)</f>
        <v>61.84</v>
      </c>
      <c r="BG164" s="352" t="n">
        <f aca="true">IF(AND($D164="Serviço",BG$12&lt;&gt;0,$H164&gt;0,OR(AUTOEVENTO&lt;&gt;"manual",$M164&lt;&gt;$A$15)),
        IF(Import.TipoArredondamento&lt;&gt;"TransfereGOV",
              ROUND(OFFSET($P164,0,BG$13),15-13*ORÇAMENTO!$AF$7)/$H164*OFFSET(ORÇAMENTO!$X$15,ROW(BG164)-ROW(BG$15),0),
              ROUND(ROUND(OFFSET($P164,0,BG$13),15-13*ORÇAMENTO!$AF$7)*OFFSET(ORÇAMENTO!$W$15,ROW(BG164)-ROW(BG$15),0),15-13*ORÇAMENTO!$AF$11)),
         0)</f>
        <v>61.84</v>
      </c>
      <c r="BH164" s="352" t="n">
        <f aca="true">IF(AND($D164="Serviço",BH$12&lt;&gt;0,$H164&gt;0,OR(AUTOEVENTO&lt;&gt;"manual",$M164&lt;&gt;$A$15)),
        IF(Import.TipoArredondamento&lt;&gt;"TransfereGOV",
              ROUND(OFFSET($P164,0,BH$13),15-13*ORÇAMENTO!$AF$7)/$H164*OFFSET(ORÇAMENTO!$X$15,ROW(BH164)-ROW(BH$15),0),
              ROUND(ROUND(OFFSET($P164,0,BH$13),15-13*ORÇAMENTO!$AF$7)*OFFSET(ORÇAMENTO!$W$15,ROW(BH164)-ROW(BH$15),0),15-13*ORÇAMENTO!$AF$11)),
         0)</f>
        <v>61.84</v>
      </c>
      <c r="BI164" s="352" t="n">
        <f aca="true">IF(AND($D164="Serviço",BI$12&lt;&gt;0,$H164&gt;0,OR(AUTOEVENTO&lt;&gt;"manual",$M164&lt;&gt;$A$15)),
        IF(Import.TipoArredondamento&lt;&gt;"TransfereGOV",
              ROUND(OFFSET($P164,0,BI$13),15-13*ORÇAMENTO!$AF$7)/$H164*OFFSET(ORÇAMENTO!$X$15,ROW(BI164)-ROW(BI$15),0),
              ROUND(ROUND(OFFSET($P164,0,BI$13),15-13*ORÇAMENTO!$AF$7)*OFFSET(ORÇAMENTO!$W$15,ROW(BI164)-ROW(BI$15),0),15-13*ORÇAMENTO!$AF$11)),
         0)</f>
        <v>61.84</v>
      </c>
      <c r="BJ164" s="352" t="n">
        <f aca="true">IF(AND($D164="Serviço",BJ$12&lt;&gt;0,$H164&gt;0,OR(AUTOEVENTO&lt;&gt;"manual",$M164&lt;&gt;$A$15)),
        IF(Import.TipoArredondamento&lt;&gt;"TransfereGOV",
              ROUND(OFFSET($P164,0,BJ$13),15-13*ORÇAMENTO!$AF$7)/$H164*OFFSET(ORÇAMENTO!$X$15,ROW(BJ164)-ROW(BJ$15),0),
              ROUND(ROUND(OFFSET($P164,0,BJ$13),15-13*ORÇAMENTO!$AF$7)*OFFSET(ORÇAMENTO!$W$15,ROW(BJ164)-ROW(BJ$15),0),15-13*ORÇAMENTO!$AF$11)),
         0)</f>
        <v>61.84</v>
      </c>
      <c r="BK164" s="352" t="n">
        <f aca="true">IF(AND($D164="Serviço",BK$12&lt;&gt;0,$H164&gt;0,OR(AUTOEVENTO&lt;&gt;"manual",$M164&lt;&gt;$A$15)),
        IF(Import.TipoArredondamento&lt;&gt;"TransfereGOV",
              ROUND(OFFSET($P164,0,BK$13),15-13*ORÇAMENTO!$AF$7)/$H164*OFFSET(ORÇAMENTO!$X$15,ROW(BK164)-ROW(BK$15),0),
              ROUND(ROUND(OFFSET($P164,0,BK$13),15-13*ORÇAMENTO!$AF$7)*OFFSET(ORÇAMENTO!$W$15,ROW(BK164)-ROW(BK$15),0),15-13*ORÇAMENTO!$AF$11)),
         0)</f>
        <v>61.84</v>
      </c>
      <c r="BL164" s="352" t="n">
        <f aca="true">IF(AND($D164="Serviço",BL$12&lt;&gt;0,$H164&gt;0,OR(AUTOEVENTO&lt;&gt;"manual",$M164&lt;&gt;$A$15)),
        IF(Import.TipoArredondamento&lt;&gt;"TransfereGOV",
              ROUND(OFFSET($P164,0,BL$13),15-13*ORÇAMENTO!$AF$7)/$H164*OFFSET(ORÇAMENTO!$X$15,ROW(BL164)-ROW(BL$15),0),
              ROUND(ROUND(OFFSET($P164,0,BL$13),15-13*ORÇAMENTO!$AF$7)*OFFSET(ORÇAMENTO!$W$15,ROW(BL164)-ROW(BL$15),0),15-13*ORÇAMENTO!$AF$11)),
         0)</f>
        <v>61.84</v>
      </c>
      <c r="BM164" s="352" t="n">
        <f aca="true">IF(AND($D164="Serviço",BM$12&lt;&gt;0,$H164&gt;0,OR(AUTOEVENTO&lt;&gt;"manual",$M164&lt;&gt;$A$15)),
        IF(Import.TipoArredondamento&lt;&gt;"TransfereGOV",
              ROUND(OFFSET($P164,0,BM$13),15-13*ORÇAMENTO!$AF$7)/$H164*OFFSET(ORÇAMENTO!$X$15,ROW(BM164)-ROW(BM$15),0),
              ROUND(ROUND(OFFSET($P164,0,BM$13),15-13*ORÇAMENTO!$AF$7)*OFFSET(ORÇAMENTO!$W$15,ROW(BM164)-ROW(BM$15),0),15-13*ORÇAMENTO!$AF$11)),
         0)</f>
        <v>61.84</v>
      </c>
      <c r="BN164" s="352" t="n">
        <f aca="true">IF(AND($D164="Serviço",BN$12&lt;&gt;0,$H164&gt;0,OR(AUTOEVENTO&lt;&gt;"manual",$M164&lt;&gt;$A$15)),
        IF(Import.TipoArredondamento&lt;&gt;"TransfereGOV",
              ROUND(OFFSET($P164,0,BN$13),15-13*ORÇAMENTO!$AF$7)/$H164*OFFSET(ORÇAMENTO!$X$15,ROW(BN164)-ROW(BN$15),0),
              ROUND(ROUND(OFFSET($P164,0,BN$13),15-13*ORÇAMENTO!$AF$7)*OFFSET(ORÇAMENTO!$W$15,ROW(BN164)-ROW(BN$15),0),15-13*ORÇAMENTO!$AF$11)),
         0)</f>
        <v>61.84</v>
      </c>
      <c r="BO164" s="352" t="n">
        <f aca="true">IF(AND($D164="Serviço",BO$12&lt;&gt;0,$H164&gt;0,OR(AUTOEVENTO&lt;&gt;"manual",$M164&lt;&gt;$A$15)),
        IF(Import.TipoArredondamento&lt;&gt;"TransfereGOV",
              ROUND(OFFSET($P164,0,BO$13),15-13*ORÇAMENTO!$AF$7)/$H164*OFFSET(ORÇAMENTO!$X$15,ROW(BO164)-ROW(BO$15),0),
              ROUND(ROUND(OFFSET($P164,0,BO$13),15-13*ORÇAMENTO!$AF$7)*OFFSET(ORÇAMENTO!$W$15,ROW(BO164)-ROW(BO$15),0),15-13*ORÇAMENTO!$AF$11)),
         0)</f>
        <v>61.84</v>
      </c>
      <c r="BP164" s="352" t="n">
        <f aca="true">IF(AND($D164="Serviço",BP$12&lt;&gt;0,$H164&gt;0,OR(AUTOEVENTO&lt;&gt;"manual",$M164&lt;&gt;$A$15)),
        IF(Import.TipoArredondamento&lt;&gt;"TransfereGOV",
              ROUND(OFFSET($P164,0,BP$13),15-13*ORÇAMENTO!$AF$7)/$H164*OFFSET(ORÇAMENTO!$X$15,ROW(BP164)-ROW(BP$15),0),
              ROUND(ROUND(OFFSET($P164,0,BP$13),15-13*ORÇAMENTO!$AF$7)*OFFSET(ORÇAMENTO!$W$15,ROW(BP164)-ROW(BP$15),0),15-13*ORÇAMENTO!$AF$11)),
         0)</f>
        <v>61.84</v>
      </c>
      <c r="BQ164" s="352" t="n">
        <f aca="true">IF(AND($D164="Serviço",BQ$12&lt;&gt;0,$H164&gt;0,OR(AUTOEVENTO&lt;&gt;"manual",$M164&lt;&gt;$A$15)),
        IF(Import.TipoArredondamento&lt;&gt;"TransfereGOV",
              ROUND(OFFSET($P164,0,BQ$13),15-13*ORÇAMENTO!$AF$7)/$H164*OFFSET(ORÇAMENTO!$X$15,ROW(BQ164)-ROW(BQ$15),0),
              ROUND(ROUND(OFFSET($P164,0,BQ$13),15-13*ORÇAMENTO!$AF$7)*OFFSET(ORÇAMENTO!$W$15,ROW(BQ164)-ROW(BQ$15),0),15-13*ORÇAMENTO!$AF$11)),
         0)</f>
        <v>0</v>
      </c>
      <c r="BS164" s="353" t="n">
        <f aca="true">IF(OR($D164&lt;&gt;"Serviço",AND(AUTOEVENTO="Manual",$M164=$A$15)),0,
         IF(OFFSET(CRONOPLE!$F$15,$M164-$A$15,BS$13)=0,10^12,OFFSET(CRONOPLE!$F$15,$M164-$A$15,BS$13)))</f>
        <v>1</v>
      </c>
      <c r="BT164" s="353" t="n">
        <f aca="true">IF(OR($D164&lt;&gt;"Serviço",AND(AUTOEVENTO="Manual",$M164=$A$15)),0,
         IF(OFFSET(CRONOPLE!$F$15,$M164-$A$15,BT$13)=0,10^12,OFFSET(CRONOPLE!$F$15,$M164-$A$15,BT$13)))</f>
        <v>2</v>
      </c>
      <c r="BU164" s="353" t="n">
        <f aca="true">IF(OR($D164&lt;&gt;"Serviço",AND(AUTOEVENTO="Manual",$M164=$A$15)),0,
         IF(OFFSET(CRONOPLE!$F$15,$M164-$A$15,BU$13)=0,10^12,OFFSET(CRONOPLE!$F$15,$M164-$A$15,BU$13)))</f>
        <v>3</v>
      </c>
      <c r="BV164" s="353" t="n">
        <f aca="true">IF(OR($D164&lt;&gt;"Serviço",AND(AUTOEVENTO="Manual",$M164=$A$15)),0,
         IF(OFFSET(CRONOPLE!$F$15,$M164-$A$15,BV$13)=0,10^12,OFFSET(CRONOPLE!$F$15,$M164-$A$15,BV$13)))</f>
        <v>4</v>
      </c>
      <c r="BW164" s="353" t="n">
        <f aca="true">IF(OR($D164&lt;&gt;"Serviço",AND(AUTOEVENTO="Manual",$M164=$A$15)),0,
         IF(OFFSET(CRONOPLE!$F$15,$M164-$A$15,BW$13)=0,10^12,OFFSET(CRONOPLE!$F$15,$M164-$A$15,BW$13)))</f>
        <v>5</v>
      </c>
      <c r="BX164" s="353" t="n">
        <f aca="true">IF(OR($D164&lt;&gt;"Serviço",AND(AUTOEVENTO="Manual",$M164=$A$15)),0,
         IF(OFFSET(CRONOPLE!$F$15,$M164-$A$15,BX$13)=0,10^12,OFFSET(CRONOPLE!$F$15,$M164-$A$15,BX$13)))</f>
        <v>6</v>
      </c>
      <c r="BY164" s="353" t="n">
        <f aca="true">IF(OR($D164&lt;&gt;"Serviço",AND(AUTOEVENTO="Manual",$M164=$A$15)),0,
         IF(OFFSET(CRONOPLE!$F$15,$M164-$A$15,BY$13)=0,10^12,OFFSET(CRONOPLE!$F$15,$M164-$A$15,BY$13)))</f>
        <v>7</v>
      </c>
      <c r="BZ164" s="353" t="n">
        <f aca="true">IF(OR($D164&lt;&gt;"Serviço",AND(AUTOEVENTO="Manual",$M164=$A$15)),0,
         IF(OFFSET(CRONOPLE!$F$15,$M164-$A$15,BZ$13)=0,10^12,OFFSET(CRONOPLE!$F$15,$M164-$A$15,BZ$13)))</f>
        <v>8</v>
      </c>
      <c r="CA164" s="353" t="n">
        <f aca="true">IF(OR($D164&lt;&gt;"Serviço",AND(AUTOEVENTO="Manual",$M164=$A$15)),0,
         IF(OFFSET(CRONOPLE!$F$15,$M164-$A$15,CA$13)=0,10^12,OFFSET(CRONOPLE!$F$15,$M164-$A$15,CA$13)))</f>
        <v>9</v>
      </c>
      <c r="CB164" s="353" t="n">
        <f aca="true">IF(OR($D164&lt;&gt;"Serviço",AND(AUTOEVENTO="Manual",$M164=$A$15)),0,
         IF(OFFSET(CRONOPLE!$F$15,$M164-$A$15,CB$13)=0,10^12,OFFSET(CRONOPLE!$F$15,$M164-$A$15,CB$13)))</f>
        <v>10</v>
      </c>
      <c r="CC164" s="353" t="n">
        <f aca="true">IF(OR($D164&lt;&gt;"Serviço",AND(AUTOEVENTO="Manual",$M164=$A$15)),0,
         IF(OFFSET(CRONOPLE!$F$15,$M164-$A$15,CC$13)=0,10^12,OFFSET(CRONOPLE!$F$15,$M164-$A$15,CC$13)))</f>
        <v>11</v>
      </c>
      <c r="CD164" s="353" t="n">
        <f aca="true">IF(OR($D164&lt;&gt;"Serviço",AND(AUTOEVENTO="Manual",$M164=$A$15)),0,
         IF(OFFSET(CRONOPLE!$F$15,$M164-$A$15,CD$13)=0,10^12,OFFSET(CRONOPLE!$F$15,$M164-$A$15,CD$13)))</f>
        <v>12</v>
      </c>
      <c r="CE164" s="353" t="n">
        <f aca="true">IF(OR($D164&lt;&gt;"Serviço",AND(AUTOEVENTO="Manual",$M164=$A$15)),0,
         IF(OFFSET(CRONOPLE!$F$15,$M164-$A$15,CE$13)=0,10^12,OFFSET(CRONOPLE!$F$15,$M164-$A$15,CE$13)))</f>
        <v>13</v>
      </c>
      <c r="CF164" s="353" t="n">
        <f aca="true">IF(OR($D164&lt;&gt;"Serviço",AND(AUTOEVENTO="Manual",$M164=$A$15)),0,
         IF(OFFSET(CRONOPLE!$F$15,$M164-$A$15,CF$13)=0,10^12,OFFSET(CRONOPLE!$F$15,$M164-$A$15,CF$13)))</f>
        <v>14</v>
      </c>
      <c r="CG164" s="353" t="n">
        <f aca="true">IF(OR($D164&lt;&gt;"Serviço",AND(AUTOEVENTO="Manual",$M164=$A$15)),0,
         IF(OFFSET(CRONOPLE!$F$15,$M164-$A$15,CG$13)=0,10^12,OFFSET(CRONOPLE!$F$15,$M164-$A$15,CG$13)))</f>
        <v>15</v>
      </c>
      <c r="CH164" s="353" t="n">
        <f aca="true">IF(OR($D164&lt;&gt;"Serviço",AND(AUTOEVENTO="Manual",$M164=$A$15)),0,
         IF(OFFSET(CRONOPLE!$F$15,$M164-$A$15,CH$13)=0,10^12,OFFSET(CRONOPLE!$F$15,$M164-$A$15,CH$13)))</f>
        <v>16</v>
      </c>
      <c r="CI164" s="353" t="n">
        <f aca="true">IF(OR($D164&lt;&gt;"Serviço",AND(AUTOEVENTO="Manual",$M164=$A$15)),0,
         IF(OFFSET(CRONOPLE!$F$15,$M164-$A$15,CI$13)=0,10^12,OFFSET(CRONOPLE!$F$15,$M164-$A$15,CI$13)))</f>
        <v>17</v>
      </c>
      <c r="CJ164" s="353" t="n">
        <f aca="true">IF(OR($D164&lt;&gt;"Serviço",AND(AUTOEVENTO="Manual",$M164=$A$15)),0,
         IF(OFFSET(CRONOPLE!$F$15,$M164-$A$15,CJ$13)=0,10^12,OFFSET(CRONOPLE!$F$15,$M164-$A$15,CJ$13)))</f>
        <v>18</v>
      </c>
      <c r="CK164" s="353" t="n">
        <f aca="true">IF(OR($D164&lt;&gt;"Serviço",AND(AUTOEVENTO="Manual",$M164=$A$15)),0,
         IF(OFFSET(CRONOPLE!$F$15,$M164-$A$15,CK$13)=0,10^12,OFFSET(CRONOPLE!$F$15,$M164-$A$15,CK$13)))</f>
        <v>19</v>
      </c>
      <c r="CL164" s="353" t="n">
        <f aca="true">IF(OR($D164&lt;&gt;"Serviço",AND(AUTOEVENTO="Manual",$M164=$A$15)),0,
         IF(OFFSET(CRONOPLE!$F$15,$M164-$A$15,CL$13)=0,10^12,OFFSET(CRONOPLE!$F$15,$M164-$A$15,CL$13)))</f>
        <v>20</v>
      </c>
      <c r="CM164" s="353" t="n">
        <f aca="true">IF(OR($D164&lt;&gt;"Serviço",AND(AUTOEVENTO="Manual",$M164=$A$15)),0,
         IF(OFFSET(CRONOPLE!$F$15,$M164-$A$15,CM$13)=0,10^12,OFFSET(CRONOPLE!$F$15,$M164-$A$15,CM$13)))</f>
        <v>21</v>
      </c>
      <c r="CN164" s="353" t="n">
        <f aca="true">IF(OR($D164&lt;&gt;"Serviço",AND(AUTOEVENTO="Manual",$M164=$A$15)),0,
         IF(OFFSET(CRONOPLE!$F$15,$M164-$A$15,CN$13)=0,10^12,OFFSET(CRONOPLE!$F$15,$M164-$A$15,CN$13)))</f>
        <v>22</v>
      </c>
      <c r="CO164" s="353" t="n">
        <f aca="true">IF(OR($D164&lt;&gt;"Serviço",AND(AUTOEVENTO="Manual",$M164=$A$15)),0,
         IF(OFFSET(CRONOPLE!$F$15,$M164-$A$15,CO$13)=0,10^12,OFFSET(CRONOPLE!$F$15,$M164-$A$15,CO$13)))</f>
        <v>23</v>
      </c>
      <c r="CP164" s="353" t="n">
        <f aca="true">IF(OR($D164&lt;&gt;"Serviço",AND(AUTOEVENTO="Manual",$M164=$A$15)),0,
         IF(OFFSET(CRONOPLE!$F$15,$M164-$A$15,CP$13)=0,10^12,OFFSET(CRONOPLE!$F$15,$M164-$A$15,CP$13)))</f>
        <v>24</v>
      </c>
      <c r="CQ164" s="353" t="n">
        <f aca="true">IF(OR($D164&lt;&gt;"Serviço",AND(AUTOEVENTO="Manual",$M164=$A$15)),0,
         IF(OFFSET(CRONOPLE!$F$15,$M164-$A$15,CQ$13)=0,10^12,OFFSET(CRONOPLE!$F$15,$M164-$A$15,CQ$13)))</f>
        <v>25</v>
      </c>
      <c r="CR164" s="353" t="n">
        <f aca="true">IF(OR($D164&lt;&gt;"Serviço",AND(AUTOEVENTO="Manual",$M164=$A$15)),0,
         IF(OFFSET(CRONOPLE!$F$15,$M164-$A$15,CR$13)=0,10^12,OFFSET(CRONOPLE!$F$15,$M164-$A$15,CR$13)))</f>
        <v>1000000000000</v>
      </c>
      <c r="CT164" s="354" t="n">
        <f aca="true">IF(OR($D164&lt;&gt;"Serviço",AND(AUTOEVENTO="Manual",$M164=$A$15),$M164&gt;(ROW(PLE.lastrow)-ROW(PLE.firstrow))),0,
           IF(OFFSET(PLE!$G$15,$M164-$A$15,CT$13)="",10^12,OFFSET(PLE!$G$15,$M164-$A$15,CT$13)))</f>
        <v>1000000000000</v>
      </c>
      <c r="CU164" s="354" t="n">
        <f aca="true">IF(OR($D164&lt;&gt;"Serviço",AND(AUTOEVENTO="Manual",$M164=$A$15),$M164&gt;(ROW(PLE.lastrow)-ROW(PLE.firstrow))),0,
           IF(OFFSET(PLE!$G$15,$M164-$A$15,CU$13)="",10^12,OFFSET(PLE!$G$15,$M164-$A$15,CU$13)))</f>
        <v>1000000000000</v>
      </c>
      <c r="CV164" s="354" t="n">
        <f aca="true">IF(OR($D164&lt;&gt;"Serviço",AND(AUTOEVENTO="Manual",$M164=$A$15),$M164&gt;(ROW(PLE.lastrow)-ROW(PLE.firstrow))),0,
           IF(OFFSET(PLE!$G$15,$M164-$A$15,CV$13)="",10^12,OFFSET(PLE!$G$15,$M164-$A$15,CV$13)))</f>
        <v>1000000000000</v>
      </c>
      <c r="CW164" s="354" t="n">
        <f aca="true">IF(OR($D164&lt;&gt;"Serviço",AND(AUTOEVENTO="Manual",$M164=$A$15),$M164&gt;(ROW(PLE.lastrow)-ROW(PLE.firstrow))),0,
           IF(OFFSET(PLE!$G$15,$M164-$A$15,CW$13)="",10^12,OFFSET(PLE!$G$15,$M164-$A$15,CW$13)))</f>
        <v>1000000000000</v>
      </c>
      <c r="CX164" s="354" t="n">
        <f aca="true">IF(OR($D164&lt;&gt;"Serviço",AND(AUTOEVENTO="Manual",$M164=$A$15),$M164&gt;(ROW(PLE.lastrow)-ROW(PLE.firstrow))),0,
           IF(OFFSET(PLE!$G$15,$M164-$A$15,CX$13)="",10^12,OFFSET(PLE!$G$15,$M164-$A$15,CX$13)))</f>
        <v>1000000000000</v>
      </c>
      <c r="CY164" s="354" t="n">
        <f aca="true">IF(OR($D164&lt;&gt;"Serviço",AND(AUTOEVENTO="Manual",$M164=$A$15),$M164&gt;(ROW(PLE.lastrow)-ROW(PLE.firstrow))),0,
           IF(OFFSET(PLE!$G$15,$M164-$A$15,CY$13)="",10^12,OFFSET(PLE!$G$15,$M164-$A$15,CY$13)))</f>
        <v>1000000000000</v>
      </c>
      <c r="CZ164" s="354" t="n">
        <f aca="true">IF(OR($D164&lt;&gt;"Serviço",AND(AUTOEVENTO="Manual",$M164=$A$15),$M164&gt;(ROW(PLE.lastrow)-ROW(PLE.firstrow))),0,
           IF(OFFSET(PLE!$G$15,$M164-$A$15,CZ$13)="",10^12,OFFSET(PLE!$G$15,$M164-$A$15,CZ$13)))</f>
        <v>1000000000000</v>
      </c>
      <c r="DA164" s="354" t="n">
        <f aca="true">IF(OR($D164&lt;&gt;"Serviço",AND(AUTOEVENTO="Manual",$M164=$A$15),$M164&gt;(ROW(PLE.lastrow)-ROW(PLE.firstrow))),0,
           IF(OFFSET(PLE!$G$15,$M164-$A$15,DA$13)="",10^12,OFFSET(PLE!$G$15,$M164-$A$15,DA$13)))</f>
        <v>1000000000000</v>
      </c>
      <c r="DB164" s="354" t="n">
        <f aca="true">IF(OR($D164&lt;&gt;"Serviço",AND(AUTOEVENTO="Manual",$M164=$A$15),$M164&gt;(ROW(PLE.lastrow)-ROW(PLE.firstrow))),0,
           IF(OFFSET(PLE!$G$15,$M164-$A$15,DB$13)="",10^12,OFFSET(PLE!$G$15,$M164-$A$15,DB$13)))</f>
        <v>1000000000000</v>
      </c>
      <c r="DC164" s="354" t="n">
        <f aca="true">IF(OR($D164&lt;&gt;"Serviço",AND(AUTOEVENTO="Manual",$M164=$A$15),$M164&gt;(ROW(PLE.lastrow)-ROW(PLE.firstrow))),0,
           IF(OFFSET(PLE!$G$15,$M164-$A$15,DC$13)="",10^12,OFFSET(PLE!$G$15,$M164-$A$15,DC$13)))</f>
        <v>1000000000000</v>
      </c>
      <c r="DD164" s="354" t="n">
        <f aca="true">IF(OR($D164&lt;&gt;"Serviço",AND(AUTOEVENTO="Manual",$M164=$A$15),$M164&gt;(ROW(PLE.lastrow)-ROW(PLE.firstrow))),0,
           IF(OFFSET(PLE!$G$15,$M164-$A$15,DD$13)="",10^12,OFFSET(PLE!$G$15,$M164-$A$15,DD$13)))</f>
        <v>1000000000000</v>
      </c>
      <c r="DE164" s="354" t="n">
        <f aca="true">IF(OR($D164&lt;&gt;"Serviço",AND(AUTOEVENTO="Manual",$M164=$A$15),$M164&gt;(ROW(PLE.lastrow)-ROW(PLE.firstrow))),0,
           IF(OFFSET(PLE!$G$15,$M164-$A$15,DE$13)="",10^12,OFFSET(PLE!$G$15,$M164-$A$15,DE$13)))</f>
        <v>1000000000000</v>
      </c>
      <c r="DF164" s="354" t="n">
        <f aca="true">IF(OR($D164&lt;&gt;"Serviço",AND(AUTOEVENTO="Manual",$M164=$A$15),$M164&gt;(ROW(PLE.lastrow)-ROW(PLE.firstrow))),0,
           IF(OFFSET(PLE!$G$15,$M164-$A$15,DF$13)="",10^12,OFFSET(PLE!$G$15,$M164-$A$15,DF$13)))</f>
        <v>1000000000000</v>
      </c>
      <c r="DG164" s="354" t="n">
        <f aca="true">IF(OR($D164&lt;&gt;"Serviço",AND(AUTOEVENTO="Manual",$M164=$A$15),$M164&gt;(ROW(PLE.lastrow)-ROW(PLE.firstrow))),0,
           IF(OFFSET(PLE!$G$15,$M164-$A$15,DG$13)="",10^12,OFFSET(PLE!$G$15,$M164-$A$15,DG$13)))</f>
        <v>1000000000000</v>
      </c>
      <c r="DH164" s="354" t="n">
        <f aca="true">IF(OR($D164&lt;&gt;"Serviço",AND(AUTOEVENTO="Manual",$M164=$A$15),$M164&gt;(ROW(PLE.lastrow)-ROW(PLE.firstrow))),0,
           IF(OFFSET(PLE!$G$15,$M164-$A$15,DH$13)="",10^12,OFFSET(PLE!$G$15,$M164-$A$15,DH$13)))</f>
        <v>1000000000000</v>
      </c>
      <c r="DI164" s="354" t="n">
        <f aca="true">IF(OR($D164&lt;&gt;"Serviço",AND(AUTOEVENTO="Manual",$M164=$A$15),$M164&gt;(ROW(PLE.lastrow)-ROW(PLE.firstrow))),0,
           IF(OFFSET(PLE!$G$15,$M164-$A$15,DI$13)="",10^12,OFFSET(PLE!$G$15,$M164-$A$15,DI$13)))</f>
        <v>1000000000000</v>
      </c>
      <c r="DJ164" s="354" t="n">
        <f aca="true">IF(OR($D164&lt;&gt;"Serviço",AND(AUTOEVENTO="Manual",$M164=$A$15),$M164&gt;(ROW(PLE.lastrow)-ROW(PLE.firstrow))),0,
           IF(OFFSET(PLE!$G$15,$M164-$A$15,DJ$13)="",10^12,OFFSET(PLE!$G$15,$M164-$A$15,DJ$13)))</f>
        <v>1000000000000</v>
      </c>
      <c r="DK164" s="354" t="n">
        <f aca="true">IF(OR($D164&lt;&gt;"Serviço",AND(AUTOEVENTO="Manual",$M164=$A$15),$M164&gt;(ROW(PLE.lastrow)-ROW(PLE.firstrow))),0,
           IF(OFFSET(PLE!$G$15,$M164-$A$15,DK$13)="",10^12,OFFSET(PLE!$G$15,$M164-$A$15,DK$13)))</f>
        <v>1000000000000</v>
      </c>
      <c r="DL164" s="354" t="n">
        <f aca="true">IF(OR($D164&lt;&gt;"Serviço",AND(AUTOEVENTO="Manual",$M164=$A$15),$M164&gt;(ROW(PLE.lastrow)-ROW(PLE.firstrow))),0,
           IF(OFFSET(PLE!$G$15,$M164-$A$15,DL$13)="",10^12,OFFSET(PLE!$G$15,$M164-$A$15,DL$13)))</f>
        <v>1000000000000</v>
      </c>
      <c r="DM164" s="354" t="n">
        <f aca="true">IF(OR($D164&lt;&gt;"Serviço",AND(AUTOEVENTO="Manual",$M164=$A$15),$M164&gt;(ROW(PLE.lastrow)-ROW(PLE.firstrow))),0,
           IF(OFFSET(PLE!$G$15,$M164-$A$15,DM$13)="",10^12,OFFSET(PLE!$G$15,$M164-$A$15,DM$13)))</f>
        <v>1000000000000</v>
      </c>
      <c r="DN164" s="354" t="n">
        <f aca="true">IF(OR($D164&lt;&gt;"Serviço",AND(AUTOEVENTO="Manual",$M164=$A$15),$M164&gt;(ROW(PLE.lastrow)-ROW(PLE.firstrow))),0,
           IF(OFFSET(PLE!$G$15,$M164-$A$15,DN$13)="",10^12,OFFSET(PLE!$G$15,$M164-$A$15,DN$13)))</f>
        <v>1000000000000</v>
      </c>
      <c r="DO164" s="354" t="n">
        <f aca="true">IF(OR($D164&lt;&gt;"Serviço",AND(AUTOEVENTO="Manual",$M164=$A$15),$M164&gt;(ROW(PLE.lastrow)-ROW(PLE.firstrow))),0,
           IF(OFFSET(PLE!$G$15,$M164-$A$15,DO$13)="",10^12,OFFSET(PLE!$G$15,$M164-$A$15,DO$13)))</f>
        <v>1000000000000</v>
      </c>
      <c r="DP164" s="354" t="n">
        <f aca="true">IF(OR($D164&lt;&gt;"Serviço",AND(AUTOEVENTO="Manual",$M164=$A$15),$M164&gt;(ROW(PLE.lastrow)-ROW(PLE.firstrow))),0,
           IF(OFFSET(PLE!$G$15,$M164-$A$15,DP$13)="",10^12,OFFSET(PLE!$G$15,$M164-$A$15,DP$13)))</f>
        <v>1000000000000</v>
      </c>
      <c r="DQ164" s="354" t="n">
        <f aca="true">IF(OR($D164&lt;&gt;"Serviço",AND(AUTOEVENTO="Manual",$M164=$A$15),$M164&gt;(ROW(PLE.lastrow)-ROW(PLE.firstrow))),0,
           IF(OFFSET(PLE!$G$15,$M164-$A$15,DQ$13)="",10^12,OFFSET(PLE!$G$15,$M164-$A$15,DQ$13)))</f>
        <v>1000000000000</v>
      </c>
      <c r="DR164" s="354" t="n">
        <f aca="true">IF(OR($D164&lt;&gt;"Serviço",AND(AUTOEVENTO="Manual",$M164=$A$15),$M164&gt;(ROW(PLE.lastrow)-ROW(PLE.firstrow))),0,
           IF(OFFSET(PLE!$G$15,$M164-$A$15,DR$13)="",10^12,OFFSET(PLE!$G$15,$M164-$A$15,DR$13)))</f>
        <v>1000000000000</v>
      </c>
      <c r="DS164" s="354" t="n">
        <f aca="true">IF(OR($D164&lt;&gt;"Serviço",AND(AUTOEVENTO="Manual",$M164=$A$15),$M164&gt;(ROW(PLE.lastrow)-ROW(PLE.firstrow))),0,
           IF(OFFSET(PLE!$G$15,$M164-$A$15,DS$13)="",10^12,OFFSET(PLE!$G$15,$M164-$A$15,DS$13)))</f>
        <v>1000000000000</v>
      </c>
    </row>
    <row r="165" customFormat="false" ht="35.05" hidden="false" customHeight="false" outlineLevel="0" collapsed="false">
      <c r="A165" s="50" t="str">
        <f aca="true">IFERROR(IF(AUTOEVENTO="Manual",IF(K165&lt;&gt;"",MIN(VALUE(LEFT(K165,FIND(".",K165)-1)),COUNTA(EVENTOS.Lista)),0),IF(OR($B165&gt;AUTOEVENTO,$B165="S",$B165=0),SUBSTITUTE(OFFSET($A165,-1,0),IF($D165="Serviço",".",""),""),ROW(A165)-ROW($A$15)&amp;".")),0)</f>
        <v>141</v>
      </c>
      <c r="B165" s="50" t="str">
        <f aca="true">OFFSET(ORÇAMENTO!C$15,ROW(B165)-ROW(B$15),0)</f>
        <v>S</v>
      </c>
      <c r="C165" s="50" t="str">
        <f aca="true">OFFSET(ORÇAMENTO!L$15,ROW(C165)-ROW(C$15),0)</f>
        <v>F</v>
      </c>
      <c r="D165" s="201" t="str">
        <f aca="true">OFFSET(ORÇAMENTO!N$15,ROW(D165)-ROW(D$15),0)</f>
        <v>Serviço</v>
      </c>
      <c r="E165" s="202" t="str">
        <f aca="true">OFFSET(ORÇAMENTO!O$15,ROW(E165)-ROW(E$15),0)</f>
        <v>1.43.9.</v>
      </c>
      <c r="F165" s="341" t="str">
        <f aca="true">OFFSET(ORÇAMENTO!R$15,ROW(F165)-ROW(F$15),0)</f>
        <v>JOELHO 45 GRAUS, PVC, SOLDÁVEL, DN 32MM, INSTALADO EM RAMAL DE DISTRIBUIÇÃO DE ÁGUA - FORNECIMENTO E INSTALAÇÃO. AF_06/2022</v>
      </c>
      <c r="G165" s="342" t="str">
        <f aca="true">IF($D165&lt;&gt;"Serviço","",OFFSET(ORÇAMENTO!S$15,ROW(G165)-ROW(G$15),0))</f>
        <v>UN</v>
      </c>
      <c r="H165" s="207" t="n">
        <f aca="true">IF($D165&lt;&gt;"Serviço",0,IF(ACOMPANHAMENTO="BM",ROUND(OFFSET(ORÇAMENTO!AJ$15,ROW(H165)-ROW(H$15),0),15-13*ORÇAMENTO!$AF$7),SUMPRODUCT(($Q$1:$AQ$1=1)*ROUND($Q165:$AQ165,15-13*ORÇAMENTO!$AF$7))))</f>
        <v>25</v>
      </c>
      <c r="I165" s="343" t="s">
        <v>969</v>
      </c>
      <c r="J165" s="344" t="e">
        <f aca="false">IF(OR(B165&lt;&gt;"S",CÁLCULO.FrentesPreenchidas=0),"",IF(AND(ACOMPANHAMENTO="PLE",AUTOEVENTO="Manual",OR(H165&gt;0,ORÇAMENTO!AC165="QUANT."),OR(K165="",M165=0,N165="")),"►",IF(AND(ACOMPANHAMENTO="PLE",ORÇAMENTO!AC165="QUANT."),"►►",IF(AND(COUNTIF($P$11:$AQ$11,"▼")=0,H165&gt;0,I165=""),"◄",""))))</f>
        <v>#NAME?</v>
      </c>
      <c r="K165" s="345"/>
      <c r="L165" s="346" t="s">
        <v>876</v>
      </c>
      <c r="M165" s="347" t="n">
        <f aca="true">IF($D165&lt;&gt;"Serviço","",
          IF(AUTOEVENTO="manual",$A165,
                IF(ISERROR(MATCH($A165,$A$15:OFFSET($A165,-1,0),0)),MAX($M$15:OFFSET(M165,-1,0))+1,
                      INDEX($M$15:OFFSET(M165,-1,0),MATCH($A165,$A$15:OFFSET($A165,-1,0),0)))))</f>
        <v>27</v>
      </c>
      <c r="N165" s="348" t="str">
        <f aca="true">IF($D165&lt;&gt;"Serviço","",
         IF(AUTOEVENTO="Manual",
                IF($A165=0,"&lt;-- defina o número do agrupador",
                       OFFSET(EVENTOS!$D$15,$A165-$A$15,0)),
                OFFSET($F$15,$A165,0)))</f>
        <v>CAIXA D'ÁGUA E BARRILETE</v>
      </c>
      <c r="O165" s="349"/>
      <c r="Q165" s="349" t="n">
        <v>1</v>
      </c>
      <c r="R165" s="350" t="n">
        <v>1</v>
      </c>
      <c r="S165" s="350" t="n">
        <v>1</v>
      </c>
      <c r="T165" s="350" t="n">
        <v>1</v>
      </c>
      <c r="U165" s="350" t="n">
        <v>1</v>
      </c>
      <c r="V165" s="350" t="n">
        <v>1</v>
      </c>
      <c r="W165" s="350" t="n">
        <v>1</v>
      </c>
      <c r="X165" s="350" t="n">
        <v>1</v>
      </c>
      <c r="Y165" s="350" t="n">
        <v>1</v>
      </c>
      <c r="Z165" s="351" t="n">
        <v>1</v>
      </c>
      <c r="AA165" s="350" t="n">
        <v>1</v>
      </c>
      <c r="AB165" s="350" t="n">
        <v>1</v>
      </c>
      <c r="AC165" s="350" t="n">
        <v>1</v>
      </c>
      <c r="AD165" s="350" t="n">
        <v>1</v>
      </c>
      <c r="AE165" s="350" t="n">
        <v>1</v>
      </c>
      <c r="AF165" s="350" t="n">
        <v>1</v>
      </c>
      <c r="AG165" s="350" t="n">
        <v>1</v>
      </c>
      <c r="AH165" s="351" t="n">
        <v>1</v>
      </c>
      <c r="AI165" s="350" t="n">
        <v>1</v>
      </c>
      <c r="AJ165" s="350" t="n">
        <v>1</v>
      </c>
      <c r="AK165" s="350" t="n">
        <v>1</v>
      </c>
      <c r="AL165" s="350" t="n">
        <v>1</v>
      </c>
      <c r="AM165" s="350" t="n">
        <v>1</v>
      </c>
      <c r="AN165" s="350" t="n">
        <v>1</v>
      </c>
      <c r="AO165" s="350" t="n">
        <v>1</v>
      </c>
      <c r="AP165" s="351" t="n">
        <v>1</v>
      </c>
      <c r="AR165" s="352" t="n">
        <f aca="true">IF(AND($D165="Serviço",AR$12&lt;&gt;0,$H165&gt;0,OR(AUTOEVENTO&lt;&gt;"manual",$M165&lt;&gt;$A$15)),
        IF(Import.TipoArredondamento&lt;&gt;"TransfereGOV",
              ROUND(OFFSET($P165,0,AR$13),15-13*ORÇAMENTO!$AF$7)/$H165*OFFSET(ORÇAMENTO!$X$15,ROW(AR165)-ROW(AR$15),0),
              ROUND(ROUND(OFFSET($P165,0,AR$13),15-13*ORÇAMENTO!$AF$7)*OFFSET(ORÇAMENTO!$W$15,ROW(AR165)-ROW(AR$15),0),15-13*ORÇAMENTO!$AF$11)),
         0)</f>
        <v>17.6</v>
      </c>
      <c r="AS165" s="352" t="n">
        <f aca="true">IF(AND($D165="Serviço",AS$12&lt;&gt;0,$H165&gt;0,OR(AUTOEVENTO&lt;&gt;"manual",$M165&lt;&gt;$A$15)),
        IF(Import.TipoArredondamento&lt;&gt;"TransfereGOV",
              ROUND(OFFSET($P165,0,AS$13),15-13*ORÇAMENTO!$AF$7)/$H165*OFFSET(ORÇAMENTO!$X$15,ROW(AS165)-ROW(AS$15),0),
              ROUND(ROUND(OFFSET($P165,0,AS$13),15-13*ORÇAMENTO!$AF$7)*OFFSET(ORÇAMENTO!$W$15,ROW(AS165)-ROW(AS$15),0),15-13*ORÇAMENTO!$AF$11)),
         0)</f>
        <v>17.6</v>
      </c>
      <c r="AT165" s="352" t="n">
        <f aca="true">IF(AND($D165="Serviço",AT$12&lt;&gt;0,$H165&gt;0,OR(AUTOEVENTO&lt;&gt;"manual",$M165&lt;&gt;$A$15)),
        IF(Import.TipoArredondamento&lt;&gt;"TransfereGOV",
              ROUND(OFFSET($P165,0,AT$13),15-13*ORÇAMENTO!$AF$7)/$H165*OFFSET(ORÇAMENTO!$X$15,ROW(AT165)-ROW(AT$15),0),
              ROUND(ROUND(OFFSET($P165,0,AT$13),15-13*ORÇAMENTO!$AF$7)*OFFSET(ORÇAMENTO!$W$15,ROW(AT165)-ROW(AT$15),0),15-13*ORÇAMENTO!$AF$11)),
         0)</f>
        <v>17.6</v>
      </c>
      <c r="AU165" s="352" t="n">
        <f aca="true">IF(AND($D165="Serviço",AU$12&lt;&gt;0,$H165&gt;0,OR(AUTOEVENTO&lt;&gt;"manual",$M165&lt;&gt;$A$15)),
        IF(Import.TipoArredondamento&lt;&gt;"TransfereGOV",
              ROUND(OFFSET($P165,0,AU$13),15-13*ORÇAMENTO!$AF$7)/$H165*OFFSET(ORÇAMENTO!$X$15,ROW(AU165)-ROW(AU$15),0),
              ROUND(ROUND(OFFSET($P165,0,AU$13),15-13*ORÇAMENTO!$AF$7)*OFFSET(ORÇAMENTO!$W$15,ROW(AU165)-ROW(AU$15),0),15-13*ORÇAMENTO!$AF$11)),
         0)</f>
        <v>17.6</v>
      </c>
      <c r="AV165" s="352" t="n">
        <f aca="true">IF(AND($D165="Serviço",AV$12&lt;&gt;0,$H165&gt;0,OR(AUTOEVENTO&lt;&gt;"manual",$M165&lt;&gt;$A$15)),
        IF(Import.TipoArredondamento&lt;&gt;"TransfereGOV",
              ROUND(OFFSET($P165,0,AV$13),15-13*ORÇAMENTO!$AF$7)/$H165*OFFSET(ORÇAMENTO!$X$15,ROW(AV165)-ROW(AV$15),0),
              ROUND(ROUND(OFFSET($P165,0,AV$13),15-13*ORÇAMENTO!$AF$7)*OFFSET(ORÇAMENTO!$W$15,ROW(AV165)-ROW(AV$15),0),15-13*ORÇAMENTO!$AF$11)),
         0)</f>
        <v>17.6</v>
      </c>
      <c r="AW165" s="352" t="n">
        <f aca="true">IF(AND($D165="Serviço",AW$12&lt;&gt;0,$H165&gt;0,OR(AUTOEVENTO&lt;&gt;"manual",$M165&lt;&gt;$A$15)),
        IF(Import.TipoArredondamento&lt;&gt;"TransfereGOV",
              ROUND(OFFSET($P165,0,AW$13),15-13*ORÇAMENTO!$AF$7)/$H165*OFFSET(ORÇAMENTO!$X$15,ROW(AW165)-ROW(AW$15),0),
              ROUND(ROUND(OFFSET($P165,0,AW$13),15-13*ORÇAMENTO!$AF$7)*OFFSET(ORÇAMENTO!$W$15,ROW(AW165)-ROW(AW$15),0),15-13*ORÇAMENTO!$AF$11)),
         0)</f>
        <v>17.6</v>
      </c>
      <c r="AX165" s="352" t="n">
        <f aca="true">IF(AND($D165="Serviço",AX$12&lt;&gt;0,$H165&gt;0,OR(AUTOEVENTO&lt;&gt;"manual",$M165&lt;&gt;$A$15)),
        IF(Import.TipoArredondamento&lt;&gt;"TransfereGOV",
              ROUND(OFFSET($P165,0,AX$13),15-13*ORÇAMENTO!$AF$7)/$H165*OFFSET(ORÇAMENTO!$X$15,ROW(AX165)-ROW(AX$15),0),
              ROUND(ROUND(OFFSET($P165,0,AX$13),15-13*ORÇAMENTO!$AF$7)*OFFSET(ORÇAMENTO!$W$15,ROW(AX165)-ROW(AX$15),0),15-13*ORÇAMENTO!$AF$11)),
         0)</f>
        <v>17.6</v>
      </c>
      <c r="AY165" s="352" t="n">
        <f aca="true">IF(AND($D165="Serviço",AY$12&lt;&gt;0,$H165&gt;0,OR(AUTOEVENTO&lt;&gt;"manual",$M165&lt;&gt;$A$15)),
        IF(Import.TipoArredondamento&lt;&gt;"TransfereGOV",
              ROUND(OFFSET($P165,0,AY$13),15-13*ORÇAMENTO!$AF$7)/$H165*OFFSET(ORÇAMENTO!$X$15,ROW(AY165)-ROW(AY$15),0),
              ROUND(ROUND(OFFSET($P165,0,AY$13),15-13*ORÇAMENTO!$AF$7)*OFFSET(ORÇAMENTO!$W$15,ROW(AY165)-ROW(AY$15),0),15-13*ORÇAMENTO!$AF$11)),
         0)</f>
        <v>17.6</v>
      </c>
      <c r="AZ165" s="352" t="n">
        <f aca="true">IF(AND($D165="Serviço",AZ$12&lt;&gt;0,$H165&gt;0,OR(AUTOEVENTO&lt;&gt;"manual",$M165&lt;&gt;$A$15)),
        IF(Import.TipoArredondamento&lt;&gt;"TransfereGOV",
              ROUND(OFFSET($P165,0,AZ$13),15-13*ORÇAMENTO!$AF$7)/$H165*OFFSET(ORÇAMENTO!$X$15,ROW(AZ165)-ROW(AZ$15),0),
              ROUND(ROUND(OFFSET($P165,0,AZ$13),15-13*ORÇAMENTO!$AF$7)*OFFSET(ORÇAMENTO!$W$15,ROW(AZ165)-ROW(AZ$15),0),15-13*ORÇAMENTO!$AF$11)),
         0)</f>
        <v>17.6</v>
      </c>
      <c r="BA165" s="352" t="n">
        <f aca="true">IF(AND($D165="Serviço",BA$12&lt;&gt;0,$H165&gt;0,OR(AUTOEVENTO&lt;&gt;"manual",$M165&lt;&gt;$A$15)),
        IF(Import.TipoArredondamento&lt;&gt;"TransfereGOV",
              ROUND(OFFSET($P165,0,BA$13),15-13*ORÇAMENTO!$AF$7)/$H165*OFFSET(ORÇAMENTO!$X$15,ROW(BA165)-ROW(BA$15),0),
              ROUND(ROUND(OFFSET($P165,0,BA$13),15-13*ORÇAMENTO!$AF$7)*OFFSET(ORÇAMENTO!$W$15,ROW(BA165)-ROW(BA$15),0),15-13*ORÇAMENTO!$AF$11)),
         0)</f>
        <v>17.6</v>
      </c>
      <c r="BB165" s="352" t="n">
        <f aca="true">IF(AND($D165="Serviço",BB$12&lt;&gt;0,$H165&gt;0,OR(AUTOEVENTO&lt;&gt;"manual",$M165&lt;&gt;$A$15)),
        IF(Import.TipoArredondamento&lt;&gt;"TransfereGOV",
              ROUND(OFFSET($P165,0,BB$13),15-13*ORÇAMENTO!$AF$7)/$H165*OFFSET(ORÇAMENTO!$X$15,ROW(BB165)-ROW(BB$15),0),
              ROUND(ROUND(OFFSET($P165,0,BB$13),15-13*ORÇAMENTO!$AF$7)*OFFSET(ORÇAMENTO!$W$15,ROW(BB165)-ROW(BB$15),0),15-13*ORÇAMENTO!$AF$11)),
         0)</f>
        <v>17.6</v>
      </c>
      <c r="BC165" s="352" t="n">
        <f aca="true">IF(AND($D165="Serviço",BC$12&lt;&gt;0,$H165&gt;0,OR(AUTOEVENTO&lt;&gt;"manual",$M165&lt;&gt;$A$15)),
        IF(Import.TipoArredondamento&lt;&gt;"TransfereGOV",
              ROUND(OFFSET($P165,0,BC$13),15-13*ORÇAMENTO!$AF$7)/$H165*OFFSET(ORÇAMENTO!$X$15,ROW(BC165)-ROW(BC$15),0),
              ROUND(ROUND(OFFSET($P165,0,BC$13),15-13*ORÇAMENTO!$AF$7)*OFFSET(ORÇAMENTO!$W$15,ROW(BC165)-ROW(BC$15),0),15-13*ORÇAMENTO!$AF$11)),
         0)</f>
        <v>17.6</v>
      </c>
      <c r="BD165" s="352" t="n">
        <f aca="true">IF(AND($D165="Serviço",BD$12&lt;&gt;0,$H165&gt;0,OR(AUTOEVENTO&lt;&gt;"manual",$M165&lt;&gt;$A$15)),
        IF(Import.TipoArredondamento&lt;&gt;"TransfereGOV",
              ROUND(OFFSET($P165,0,BD$13),15-13*ORÇAMENTO!$AF$7)/$H165*OFFSET(ORÇAMENTO!$X$15,ROW(BD165)-ROW(BD$15),0),
              ROUND(ROUND(OFFSET($P165,0,BD$13),15-13*ORÇAMENTO!$AF$7)*OFFSET(ORÇAMENTO!$W$15,ROW(BD165)-ROW(BD$15),0),15-13*ORÇAMENTO!$AF$11)),
         0)</f>
        <v>17.6</v>
      </c>
      <c r="BE165" s="352" t="n">
        <f aca="true">IF(AND($D165="Serviço",BE$12&lt;&gt;0,$H165&gt;0,OR(AUTOEVENTO&lt;&gt;"manual",$M165&lt;&gt;$A$15)),
        IF(Import.TipoArredondamento&lt;&gt;"TransfereGOV",
              ROUND(OFFSET($P165,0,BE$13),15-13*ORÇAMENTO!$AF$7)/$H165*OFFSET(ORÇAMENTO!$X$15,ROW(BE165)-ROW(BE$15),0),
              ROUND(ROUND(OFFSET($P165,0,BE$13),15-13*ORÇAMENTO!$AF$7)*OFFSET(ORÇAMENTO!$W$15,ROW(BE165)-ROW(BE$15),0),15-13*ORÇAMENTO!$AF$11)),
         0)</f>
        <v>17.6</v>
      </c>
      <c r="BF165" s="352" t="n">
        <f aca="true">IF(AND($D165="Serviço",BF$12&lt;&gt;0,$H165&gt;0,OR(AUTOEVENTO&lt;&gt;"manual",$M165&lt;&gt;$A$15)),
        IF(Import.TipoArredondamento&lt;&gt;"TransfereGOV",
              ROUND(OFFSET($P165,0,BF$13),15-13*ORÇAMENTO!$AF$7)/$H165*OFFSET(ORÇAMENTO!$X$15,ROW(BF165)-ROW(BF$15),0),
              ROUND(ROUND(OFFSET($P165,0,BF$13),15-13*ORÇAMENTO!$AF$7)*OFFSET(ORÇAMENTO!$W$15,ROW(BF165)-ROW(BF$15),0),15-13*ORÇAMENTO!$AF$11)),
         0)</f>
        <v>17.6</v>
      </c>
      <c r="BG165" s="352" t="n">
        <f aca="true">IF(AND($D165="Serviço",BG$12&lt;&gt;0,$H165&gt;0,OR(AUTOEVENTO&lt;&gt;"manual",$M165&lt;&gt;$A$15)),
        IF(Import.TipoArredondamento&lt;&gt;"TransfereGOV",
              ROUND(OFFSET($P165,0,BG$13),15-13*ORÇAMENTO!$AF$7)/$H165*OFFSET(ORÇAMENTO!$X$15,ROW(BG165)-ROW(BG$15),0),
              ROUND(ROUND(OFFSET($P165,0,BG$13),15-13*ORÇAMENTO!$AF$7)*OFFSET(ORÇAMENTO!$W$15,ROW(BG165)-ROW(BG$15),0),15-13*ORÇAMENTO!$AF$11)),
         0)</f>
        <v>17.6</v>
      </c>
      <c r="BH165" s="352" t="n">
        <f aca="true">IF(AND($D165="Serviço",BH$12&lt;&gt;0,$H165&gt;0,OR(AUTOEVENTO&lt;&gt;"manual",$M165&lt;&gt;$A$15)),
        IF(Import.TipoArredondamento&lt;&gt;"TransfereGOV",
              ROUND(OFFSET($P165,0,BH$13),15-13*ORÇAMENTO!$AF$7)/$H165*OFFSET(ORÇAMENTO!$X$15,ROW(BH165)-ROW(BH$15),0),
              ROUND(ROUND(OFFSET($P165,0,BH$13),15-13*ORÇAMENTO!$AF$7)*OFFSET(ORÇAMENTO!$W$15,ROW(BH165)-ROW(BH$15),0),15-13*ORÇAMENTO!$AF$11)),
         0)</f>
        <v>17.6</v>
      </c>
      <c r="BI165" s="352" t="n">
        <f aca="true">IF(AND($D165="Serviço",BI$12&lt;&gt;0,$H165&gt;0,OR(AUTOEVENTO&lt;&gt;"manual",$M165&lt;&gt;$A$15)),
        IF(Import.TipoArredondamento&lt;&gt;"TransfereGOV",
              ROUND(OFFSET($P165,0,BI$13),15-13*ORÇAMENTO!$AF$7)/$H165*OFFSET(ORÇAMENTO!$X$15,ROW(BI165)-ROW(BI$15),0),
              ROUND(ROUND(OFFSET($P165,0,BI$13),15-13*ORÇAMENTO!$AF$7)*OFFSET(ORÇAMENTO!$W$15,ROW(BI165)-ROW(BI$15),0),15-13*ORÇAMENTO!$AF$11)),
         0)</f>
        <v>17.6</v>
      </c>
      <c r="BJ165" s="352" t="n">
        <f aca="true">IF(AND($D165="Serviço",BJ$12&lt;&gt;0,$H165&gt;0,OR(AUTOEVENTO&lt;&gt;"manual",$M165&lt;&gt;$A$15)),
        IF(Import.TipoArredondamento&lt;&gt;"TransfereGOV",
              ROUND(OFFSET($P165,0,BJ$13),15-13*ORÇAMENTO!$AF$7)/$H165*OFFSET(ORÇAMENTO!$X$15,ROW(BJ165)-ROW(BJ$15),0),
              ROUND(ROUND(OFFSET($P165,0,BJ$13),15-13*ORÇAMENTO!$AF$7)*OFFSET(ORÇAMENTO!$W$15,ROW(BJ165)-ROW(BJ$15),0),15-13*ORÇAMENTO!$AF$11)),
         0)</f>
        <v>17.6</v>
      </c>
      <c r="BK165" s="352" t="n">
        <f aca="true">IF(AND($D165="Serviço",BK$12&lt;&gt;0,$H165&gt;0,OR(AUTOEVENTO&lt;&gt;"manual",$M165&lt;&gt;$A$15)),
        IF(Import.TipoArredondamento&lt;&gt;"TransfereGOV",
              ROUND(OFFSET($P165,0,BK$13),15-13*ORÇAMENTO!$AF$7)/$H165*OFFSET(ORÇAMENTO!$X$15,ROW(BK165)-ROW(BK$15),0),
              ROUND(ROUND(OFFSET($P165,0,BK$13),15-13*ORÇAMENTO!$AF$7)*OFFSET(ORÇAMENTO!$W$15,ROW(BK165)-ROW(BK$15),0),15-13*ORÇAMENTO!$AF$11)),
         0)</f>
        <v>17.6</v>
      </c>
      <c r="BL165" s="352" t="n">
        <f aca="true">IF(AND($D165="Serviço",BL$12&lt;&gt;0,$H165&gt;0,OR(AUTOEVENTO&lt;&gt;"manual",$M165&lt;&gt;$A$15)),
        IF(Import.TipoArredondamento&lt;&gt;"TransfereGOV",
              ROUND(OFFSET($P165,0,BL$13),15-13*ORÇAMENTO!$AF$7)/$H165*OFFSET(ORÇAMENTO!$X$15,ROW(BL165)-ROW(BL$15),0),
              ROUND(ROUND(OFFSET($P165,0,BL$13),15-13*ORÇAMENTO!$AF$7)*OFFSET(ORÇAMENTO!$W$15,ROW(BL165)-ROW(BL$15),0),15-13*ORÇAMENTO!$AF$11)),
         0)</f>
        <v>17.6</v>
      </c>
      <c r="BM165" s="352" t="n">
        <f aca="true">IF(AND($D165="Serviço",BM$12&lt;&gt;0,$H165&gt;0,OR(AUTOEVENTO&lt;&gt;"manual",$M165&lt;&gt;$A$15)),
        IF(Import.TipoArredondamento&lt;&gt;"TransfereGOV",
              ROUND(OFFSET($P165,0,BM$13),15-13*ORÇAMENTO!$AF$7)/$H165*OFFSET(ORÇAMENTO!$X$15,ROW(BM165)-ROW(BM$15),0),
              ROUND(ROUND(OFFSET($P165,0,BM$13),15-13*ORÇAMENTO!$AF$7)*OFFSET(ORÇAMENTO!$W$15,ROW(BM165)-ROW(BM$15),0),15-13*ORÇAMENTO!$AF$11)),
         0)</f>
        <v>17.6</v>
      </c>
      <c r="BN165" s="352" t="n">
        <f aca="true">IF(AND($D165="Serviço",BN$12&lt;&gt;0,$H165&gt;0,OR(AUTOEVENTO&lt;&gt;"manual",$M165&lt;&gt;$A$15)),
        IF(Import.TipoArredondamento&lt;&gt;"TransfereGOV",
              ROUND(OFFSET($P165,0,BN$13),15-13*ORÇAMENTO!$AF$7)/$H165*OFFSET(ORÇAMENTO!$X$15,ROW(BN165)-ROW(BN$15),0),
              ROUND(ROUND(OFFSET($P165,0,BN$13),15-13*ORÇAMENTO!$AF$7)*OFFSET(ORÇAMENTO!$W$15,ROW(BN165)-ROW(BN$15),0),15-13*ORÇAMENTO!$AF$11)),
         0)</f>
        <v>17.6</v>
      </c>
      <c r="BO165" s="352" t="n">
        <f aca="true">IF(AND($D165="Serviço",BO$12&lt;&gt;0,$H165&gt;0,OR(AUTOEVENTO&lt;&gt;"manual",$M165&lt;&gt;$A$15)),
        IF(Import.TipoArredondamento&lt;&gt;"TransfereGOV",
              ROUND(OFFSET($P165,0,BO$13),15-13*ORÇAMENTO!$AF$7)/$H165*OFFSET(ORÇAMENTO!$X$15,ROW(BO165)-ROW(BO$15),0),
              ROUND(ROUND(OFFSET($P165,0,BO$13),15-13*ORÇAMENTO!$AF$7)*OFFSET(ORÇAMENTO!$W$15,ROW(BO165)-ROW(BO$15),0),15-13*ORÇAMENTO!$AF$11)),
         0)</f>
        <v>17.6</v>
      </c>
      <c r="BP165" s="352" t="n">
        <f aca="true">IF(AND($D165="Serviço",BP$12&lt;&gt;0,$H165&gt;0,OR(AUTOEVENTO&lt;&gt;"manual",$M165&lt;&gt;$A$15)),
        IF(Import.TipoArredondamento&lt;&gt;"TransfereGOV",
              ROUND(OFFSET($P165,0,BP$13),15-13*ORÇAMENTO!$AF$7)/$H165*OFFSET(ORÇAMENTO!$X$15,ROW(BP165)-ROW(BP$15),0),
              ROUND(ROUND(OFFSET($P165,0,BP$13),15-13*ORÇAMENTO!$AF$7)*OFFSET(ORÇAMENTO!$W$15,ROW(BP165)-ROW(BP$15),0),15-13*ORÇAMENTO!$AF$11)),
         0)</f>
        <v>17.6</v>
      </c>
      <c r="BQ165" s="352" t="n">
        <f aca="true">IF(AND($D165="Serviço",BQ$12&lt;&gt;0,$H165&gt;0,OR(AUTOEVENTO&lt;&gt;"manual",$M165&lt;&gt;$A$15)),
        IF(Import.TipoArredondamento&lt;&gt;"TransfereGOV",
              ROUND(OFFSET($P165,0,BQ$13),15-13*ORÇAMENTO!$AF$7)/$H165*OFFSET(ORÇAMENTO!$X$15,ROW(BQ165)-ROW(BQ$15),0),
              ROUND(ROUND(OFFSET($P165,0,BQ$13),15-13*ORÇAMENTO!$AF$7)*OFFSET(ORÇAMENTO!$W$15,ROW(BQ165)-ROW(BQ$15),0),15-13*ORÇAMENTO!$AF$11)),
         0)</f>
        <v>0</v>
      </c>
      <c r="BS165" s="353" t="n">
        <f aca="true">IF(OR($D165&lt;&gt;"Serviço",AND(AUTOEVENTO="Manual",$M165=$A$15)),0,
         IF(OFFSET(CRONOPLE!$F$15,$M165-$A$15,BS$13)=0,10^12,OFFSET(CRONOPLE!$F$15,$M165-$A$15,BS$13)))</f>
        <v>1</v>
      </c>
      <c r="BT165" s="353" t="n">
        <f aca="true">IF(OR($D165&lt;&gt;"Serviço",AND(AUTOEVENTO="Manual",$M165=$A$15)),0,
         IF(OFFSET(CRONOPLE!$F$15,$M165-$A$15,BT$13)=0,10^12,OFFSET(CRONOPLE!$F$15,$M165-$A$15,BT$13)))</f>
        <v>2</v>
      </c>
      <c r="BU165" s="353" t="n">
        <f aca="true">IF(OR($D165&lt;&gt;"Serviço",AND(AUTOEVENTO="Manual",$M165=$A$15)),0,
         IF(OFFSET(CRONOPLE!$F$15,$M165-$A$15,BU$13)=0,10^12,OFFSET(CRONOPLE!$F$15,$M165-$A$15,BU$13)))</f>
        <v>3</v>
      </c>
      <c r="BV165" s="353" t="n">
        <f aca="true">IF(OR($D165&lt;&gt;"Serviço",AND(AUTOEVENTO="Manual",$M165=$A$15)),0,
         IF(OFFSET(CRONOPLE!$F$15,$M165-$A$15,BV$13)=0,10^12,OFFSET(CRONOPLE!$F$15,$M165-$A$15,BV$13)))</f>
        <v>4</v>
      </c>
      <c r="BW165" s="353" t="n">
        <f aca="true">IF(OR($D165&lt;&gt;"Serviço",AND(AUTOEVENTO="Manual",$M165=$A$15)),0,
         IF(OFFSET(CRONOPLE!$F$15,$M165-$A$15,BW$13)=0,10^12,OFFSET(CRONOPLE!$F$15,$M165-$A$15,BW$13)))</f>
        <v>5</v>
      </c>
      <c r="BX165" s="353" t="n">
        <f aca="true">IF(OR($D165&lt;&gt;"Serviço",AND(AUTOEVENTO="Manual",$M165=$A$15)),0,
         IF(OFFSET(CRONOPLE!$F$15,$M165-$A$15,BX$13)=0,10^12,OFFSET(CRONOPLE!$F$15,$M165-$A$15,BX$13)))</f>
        <v>6</v>
      </c>
      <c r="BY165" s="353" t="n">
        <f aca="true">IF(OR($D165&lt;&gt;"Serviço",AND(AUTOEVENTO="Manual",$M165=$A$15)),0,
         IF(OFFSET(CRONOPLE!$F$15,$M165-$A$15,BY$13)=0,10^12,OFFSET(CRONOPLE!$F$15,$M165-$A$15,BY$13)))</f>
        <v>7</v>
      </c>
      <c r="BZ165" s="353" t="n">
        <f aca="true">IF(OR($D165&lt;&gt;"Serviço",AND(AUTOEVENTO="Manual",$M165=$A$15)),0,
         IF(OFFSET(CRONOPLE!$F$15,$M165-$A$15,BZ$13)=0,10^12,OFFSET(CRONOPLE!$F$15,$M165-$A$15,BZ$13)))</f>
        <v>8</v>
      </c>
      <c r="CA165" s="353" t="n">
        <f aca="true">IF(OR($D165&lt;&gt;"Serviço",AND(AUTOEVENTO="Manual",$M165=$A$15)),0,
         IF(OFFSET(CRONOPLE!$F$15,$M165-$A$15,CA$13)=0,10^12,OFFSET(CRONOPLE!$F$15,$M165-$A$15,CA$13)))</f>
        <v>9</v>
      </c>
      <c r="CB165" s="353" t="n">
        <f aca="true">IF(OR($D165&lt;&gt;"Serviço",AND(AUTOEVENTO="Manual",$M165=$A$15)),0,
         IF(OFFSET(CRONOPLE!$F$15,$M165-$A$15,CB$13)=0,10^12,OFFSET(CRONOPLE!$F$15,$M165-$A$15,CB$13)))</f>
        <v>10</v>
      </c>
      <c r="CC165" s="353" t="n">
        <f aca="true">IF(OR($D165&lt;&gt;"Serviço",AND(AUTOEVENTO="Manual",$M165=$A$15)),0,
         IF(OFFSET(CRONOPLE!$F$15,$M165-$A$15,CC$13)=0,10^12,OFFSET(CRONOPLE!$F$15,$M165-$A$15,CC$13)))</f>
        <v>11</v>
      </c>
      <c r="CD165" s="353" t="n">
        <f aca="true">IF(OR($D165&lt;&gt;"Serviço",AND(AUTOEVENTO="Manual",$M165=$A$15)),0,
         IF(OFFSET(CRONOPLE!$F$15,$M165-$A$15,CD$13)=0,10^12,OFFSET(CRONOPLE!$F$15,$M165-$A$15,CD$13)))</f>
        <v>12</v>
      </c>
      <c r="CE165" s="353" t="n">
        <f aca="true">IF(OR($D165&lt;&gt;"Serviço",AND(AUTOEVENTO="Manual",$M165=$A$15)),0,
         IF(OFFSET(CRONOPLE!$F$15,$M165-$A$15,CE$13)=0,10^12,OFFSET(CRONOPLE!$F$15,$M165-$A$15,CE$13)))</f>
        <v>13</v>
      </c>
      <c r="CF165" s="353" t="n">
        <f aca="true">IF(OR($D165&lt;&gt;"Serviço",AND(AUTOEVENTO="Manual",$M165=$A$15)),0,
         IF(OFFSET(CRONOPLE!$F$15,$M165-$A$15,CF$13)=0,10^12,OFFSET(CRONOPLE!$F$15,$M165-$A$15,CF$13)))</f>
        <v>14</v>
      </c>
      <c r="CG165" s="353" t="n">
        <f aca="true">IF(OR($D165&lt;&gt;"Serviço",AND(AUTOEVENTO="Manual",$M165=$A$15)),0,
         IF(OFFSET(CRONOPLE!$F$15,$M165-$A$15,CG$13)=0,10^12,OFFSET(CRONOPLE!$F$15,$M165-$A$15,CG$13)))</f>
        <v>15</v>
      </c>
      <c r="CH165" s="353" t="n">
        <f aca="true">IF(OR($D165&lt;&gt;"Serviço",AND(AUTOEVENTO="Manual",$M165=$A$15)),0,
         IF(OFFSET(CRONOPLE!$F$15,$M165-$A$15,CH$13)=0,10^12,OFFSET(CRONOPLE!$F$15,$M165-$A$15,CH$13)))</f>
        <v>16</v>
      </c>
      <c r="CI165" s="353" t="n">
        <f aca="true">IF(OR($D165&lt;&gt;"Serviço",AND(AUTOEVENTO="Manual",$M165=$A$15)),0,
         IF(OFFSET(CRONOPLE!$F$15,$M165-$A$15,CI$13)=0,10^12,OFFSET(CRONOPLE!$F$15,$M165-$A$15,CI$13)))</f>
        <v>17</v>
      </c>
      <c r="CJ165" s="353" t="n">
        <f aca="true">IF(OR($D165&lt;&gt;"Serviço",AND(AUTOEVENTO="Manual",$M165=$A$15)),0,
         IF(OFFSET(CRONOPLE!$F$15,$M165-$A$15,CJ$13)=0,10^12,OFFSET(CRONOPLE!$F$15,$M165-$A$15,CJ$13)))</f>
        <v>18</v>
      </c>
      <c r="CK165" s="353" t="n">
        <f aca="true">IF(OR($D165&lt;&gt;"Serviço",AND(AUTOEVENTO="Manual",$M165=$A$15)),0,
         IF(OFFSET(CRONOPLE!$F$15,$M165-$A$15,CK$13)=0,10^12,OFFSET(CRONOPLE!$F$15,$M165-$A$15,CK$13)))</f>
        <v>19</v>
      </c>
      <c r="CL165" s="353" t="n">
        <f aca="true">IF(OR($D165&lt;&gt;"Serviço",AND(AUTOEVENTO="Manual",$M165=$A$15)),0,
         IF(OFFSET(CRONOPLE!$F$15,$M165-$A$15,CL$13)=0,10^12,OFFSET(CRONOPLE!$F$15,$M165-$A$15,CL$13)))</f>
        <v>20</v>
      </c>
      <c r="CM165" s="353" t="n">
        <f aca="true">IF(OR($D165&lt;&gt;"Serviço",AND(AUTOEVENTO="Manual",$M165=$A$15)),0,
         IF(OFFSET(CRONOPLE!$F$15,$M165-$A$15,CM$13)=0,10^12,OFFSET(CRONOPLE!$F$15,$M165-$A$15,CM$13)))</f>
        <v>21</v>
      </c>
      <c r="CN165" s="353" t="n">
        <f aca="true">IF(OR($D165&lt;&gt;"Serviço",AND(AUTOEVENTO="Manual",$M165=$A$15)),0,
         IF(OFFSET(CRONOPLE!$F$15,$M165-$A$15,CN$13)=0,10^12,OFFSET(CRONOPLE!$F$15,$M165-$A$15,CN$13)))</f>
        <v>22</v>
      </c>
      <c r="CO165" s="353" t="n">
        <f aca="true">IF(OR($D165&lt;&gt;"Serviço",AND(AUTOEVENTO="Manual",$M165=$A$15)),0,
         IF(OFFSET(CRONOPLE!$F$15,$M165-$A$15,CO$13)=0,10^12,OFFSET(CRONOPLE!$F$15,$M165-$A$15,CO$13)))</f>
        <v>23</v>
      </c>
      <c r="CP165" s="353" t="n">
        <f aca="true">IF(OR($D165&lt;&gt;"Serviço",AND(AUTOEVENTO="Manual",$M165=$A$15)),0,
         IF(OFFSET(CRONOPLE!$F$15,$M165-$A$15,CP$13)=0,10^12,OFFSET(CRONOPLE!$F$15,$M165-$A$15,CP$13)))</f>
        <v>24</v>
      </c>
      <c r="CQ165" s="353" t="n">
        <f aca="true">IF(OR($D165&lt;&gt;"Serviço",AND(AUTOEVENTO="Manual",$M165=$A$15)),0,
         IF(OFFSET(CRONOPLE!$F$15,$M165-$A$15,CQ$13)=0,10^12,OFFSET(CRONOPLE!$F$15,$M165-$A$15,CQ$13)))</f>
        <v>25</v>
      </c>
      <c r="CR165" s="353" t="n">
        <f aca="true">IF(OR($D165&lt;&gt;"Serviço",AND(AUTOEVENTO="Manual",$M165=$A$15)),0,
         IF(OFFSET(CRONOPLE!$F$15,$M165-$A$15,CR$13)=0,10^12,OFFSET(CRONOPLE!$F$15,$M165-$A$15,CR$13)))</f>
        <v>1000000000000</v>
      </c>
      <c r="CT165" s="354" t="n">
        <f aca="true">IF(OR($D165&lt;&gt;"Serviço",AND(AUTOEVENTO="Manual",$M165=$A$15),$M165&gt;(ROW(PLE.lastrow)-ROW(PLE.firstrow))),0,
           IF(OFFSET(PLE!$G$15,$M165-$A$15,CT$13)="",10^12,OFFSET(PLE!$G$15,$M165-$A$15,CT$13)))</f>
        <v>1000000000000</v>
      </c>
      <c r="CU165" s="354" t="n">
        <f aca="true">IF(OR($D165&lt;&gt;"Serviço",AND(AUTOEVENTO="Manual",$M165=$A$15),$M165&gt;(ROW(PLE.lastrow)-ROW(PLE.firstrow))),0,
           IF(OFFSET(PLE!$G$15,$M165-$A$15,CU$13)="",10^12,OFFSET(PLE!$G$15,$M165-$A$15,CU$13)))</f>
        <v>1000000000000</v>
      </c>
      <c r="CV165" s="354" t="n">
        <f aca="true">IF(OR($D165&lt;&gt;"Serviço",AND(AUTOEVENTO="Manual",$M165=$A$15),$M165&gt;(ROW(PLE.lastrow)-ROW(PLE.firstrow))),0,
           IF(OFFSET(PLE!$G$15,$M165-$A$15,CV$13)="",10^12,OFFSET(PLE!$G$15,$M165-$A$15,CV$13)))</f>
        <v>1000000000000</v>
      </c>
      <c r="CW165" s="354" t="n">
        <f aca="true">IF(OR($D165&lt;&gt;"Serviço",AND(AUTOEVENTO="Manual",$M165=$A$15),$M165&gt;(ROW(PLE.lastrow)-ROW(PLE.firstrow))),0,
           IF(OFFSET(PLE!$G$15,$M165-$A$15,CW$13)="",10^12,OFFSET(PLE!$G$15,$M165-$A$15,CW$13)))</f>
        <v>1000000000000</v>
      </c>
      <c r="CX165" s="354" t="n">
        <f aca="true">IF(OR($D165&lt;&gt;"Serviço",AND(AUTOEVENTO="Manual",$M165=$A$15),$M165&gt;(ROW(PLE.lastrow)-ROW(PLE.firstrow))),0,
           IF(OFFSET(PLE!$G$15,$M165-$A$15,CX$13)="",10^12,OFFSET(PLE!$G$15,$M165-$A$15,CX$13)))</f>
        <v>1000000000000</v>
      </c>
      <c r="CY165" s="354" t="n">
        <f aca="true">IF(OR($D165&lt;&gt;"Serviço",AND(AUTOEVENTO="Manual",$M165=$A$15),$M165&gt;(ROW(PLE.lastrow)-ROW(PLE.firstrow))),0,
           IF(OFFSET(PLE!$G$15,$M165-$A$15,CY$13)="",10^12,OFFSET(PLE!$G$15,$M165-$A$15,CY$13)))</f>
        <v>1000000000000</v>
      </c>
      <c r="CZ165" s="354" t="n">
        <f aca="true">IF(OR($D165&lt;&gt;"Serviço",AND(AUTOEVENTO="Manual",$M165=$A$15),$M165&gt;(ROW(PLE.lastrow)-ROW(PLE.firstrow))),0,
           IF(OFFSET(PLE!$G$15,$M165-$A$15,CZ$13)="",10^12,OFFSET(PLE!$G$15,$M165-$A$15,CZ$13)))</f>
        <v>1000000000000</v>
      </c>
      <c r="DA165" s="354" t="n">
        <f aca="true">IF(OR($D165&lt;&gt;"Serviço",AND(AUTOEVENTO="Manual",$M165=$A$15),$M165&gt;(ROW(PLE.lastrow)-ROW(PLE.firstrow))),0,
           IF(OFFSET(PLE!$G$15,$M165-$A$15,DA$13)="",10^12,OFFSET(PLE!$G$15,$M165-$A$15,DA$13)))</f>
        <v>1000000000000</v>
      </c>
      <c r="DB165" s="354" t="n">
        <f aca="true">IF(OR($D165&lt;&gt;"Serviço",AND(AUTOEVENTO="Manual",$M165=$A$15),$M165&gt;(ROW(PLE.lastrow)-ROW(PLE.firstrow))),0,
           IF(OFFSET(PLE!$G$15,$M165-$A$15,DB$13)="",10^12,OFFSET(PLE!$G$15,$M165-$A$15,DB$13)))</f>
        <v>1000000000000</v>
      </c>
      <c r="DC165" s="354" t="n">
        <f aca="true">IF(OR($D165&lt;&gt;"Serviço",AND(AUTOEVENTO="Manual",$M165=$A$15),$M165&gt;(ROW(PLE.lastrow)-ROW(PLE.firstrow))),0,
           IF(OFFSET(PLE!$G$15,$M165-$A$15,DC$13)="",10^12,OFFSET(PLE!$G$15,$M165-$A$15,DC$13)))</f>
        <v>1000000000000</v>
      </c>
      <c r="DD165" s="354" t="n">
        <f aca="true">IF(OR($D165&lt;&gt;"Serviço",AND(AUTOEVENTO="Manual",$M165=$A$15),$M165&gt;(ROW(PLE.lastrow)-ROW(PLE.firstrow))),0,
           IF(OFFSET(PLE!$G$15,$M165-$A$15,DD$13)="",10^12,OFFSET(PLE!$G$15,$M165-$A$15,DD$13)))</f>
        <v>1000000000000</v>
      </c>
      <c r="DE165" s="354" t="n">
        <f aca="true">IF(OR($D165&lt;&gt;"Serviço",AND(AUTOEVENTO="Manual",$M165=$A$15),$M165&gt;(ROW(PLE.lastrow)-ROW(PLE.firstrow))),0,
           IF(OFFSET(PLE!$G$15,$M165-$A$15,DE$13)="",10^12,OFFSET(PLE!$G$15,$M165-$A$15,DE$13)))</f>
        <v>1000000000000</v>
      </c>
      <c r="DF165" s="354" t="n">
        <f aca="true">IF(OR($D165&lt;&gt;"Serviço",AND(AUTOEVENTO="Manual",$M165=$A$15),$M165&gt;(ROW(PLE.lastrow)-ROW(PLE.firstrow))),0,
           IF(OFFSET(PLE!$G$15,$M165-$A$15,DF$13)="",10^12,OFFSET(PLE!$G$15,$M165-$A$15,DF$13)))</f>
        <v>1000000000000</v>
      </c>
      <c r="DG165" s="354" t="n">
        <f aca="true">IF(OR($D165&lt;&gt;"Serviço",AND(AUTOEVENTO="Manual",$M165=$A$15),$M165&gt;(ROW(PLE.lastrow)-ROW(PLE.firstrow))),0,
           IF(OFFSET(PLE!$G$15,$M165-$A$15,DG$13)="",10^12,OFFSET(PLE!$G$15,$M165-$A$15,DG$13)))</f>
        <v>1000000000000</v>
      </c>
      <c r="DH165" s="354" t="n">
        <f aca="true">IF(OR($D165&lt;&gt;"Serviço",AND(AUTOEVENTO="Manual",$M165=$A$15),$M165&gt;(ROW(PLE.lastrow)-ROW(PLE.firstrow))),0,
           IF(OFFSET(PLE!$G$15,$M165-$A$15,DH$13)="",10^12,OFFSET(PLE!$G$15,$M165-$A$15,DH$13)))</f>
        <v>1000000000000</v>
      </c>
      <c r="DI165" s="354" t="n">
        <f aca="true">IF(OR($D165&lt;&gt;"Serviço",AND(AUTOEVENTO="Manual",$M165=$A$15),$M165&gt;(ROW(PLE.lastrow)-ROW(PLE.firstrow))),0,
           IF(OFFSET(PLE!$G$15,$M165-$A$15,DI$13)="",10^12,OFFSET(PLE!$G$15,$M165-$A$15,DI$13)))</f>
        <v>1000000000000</v>
      </c>
      <c r="DJ165" s="354" t="n">
        <f aca="true">IF(OR($D165&lt;&gt;"Serviço",AND(AUTOEVENTO="Manual",$M165=$A$15),$M165&gt;(ROW(PLE.lastrow)-ROW(PLE.firstrow))),0,
           IF(OFFSET(PLE!$G$15,$M165-$A$15,DJ$13)="",10^12,OFFSET(PLE!$G$15,$M165-$A$15,DJ$13)))</f>
        <v>1000000000000</v>
      </c>
      <c r="DK165" s="354" t="n">
        <f aca="true">IF(OR($D165&lt;&gt;"Serviço",AND(AUTOEVENTO="Manual",$M165=$A$15),$M165&gt;(ROW(PLE.lastrow)-ROW(PLE.firstrow))),0,
           IF(OFFSET(PLE!$G$15,$M165-$A$15,DK$13)="",10^12,OFFSET(PLE!$G$15,$M165-$A$15,DK$13)))</f>
        <v>1000000000000</v>
      </c>
      <c r="DL165" s="354" t="n">
        <f aca="true">IF(OR($D165&lt;&gt;"Serviço",AND(AUTOEVENTO="Manual",$M165=$A$15),$M165&gt;(ROW(PLE.lastrow)-ROW(PLE.firstrow))),0,
           IF(OFFSET(PLE!$G$15,$M165-$A$15,DL$13)="",10^12,OFFSET(PLE!$G$15,$M165-$A$15,DL$13)))</f>
        <v>1000000000000</v>
      </c>
      <c r="DM165" s="354" t="n">
        <f aca="true">IF(OR($D165&lt;&gt;"Serviço",AND(AUTOEVENTO="Manual",$M165=$A$15),$M165&gt;(ROW(PLE.lastrow)-ROW(PLE.firstrow))),0,
           IF(OFFSET(PLE!$G$15,$M165-$A$15,DM$13)="",10^12,OFFSET(PLE!$G$15,$M165-$A$15,DM$13)))</f>
        <v>1000000000000</v>
      </c>
      <c r="DN165" s="354" t="n">
        <f aca="true">IF(OR($D165&lt;&gt;"Serviço",AND(AUTOEVENTO="Manual",$M165=$A$15),$M165&gt;(ROW(PLE.lastrow)-ROW(PLE.firstrow))),0,
           IF(OFFSET(PLE!$G$15,$M165-$A$15,DN$13)="",10^12,OFFSET(PLE!$G$15,$M165-$A$15,DN$13)))</f>
        <v>1000000000000</v>
      </c>
      <c r="DO165" s="354" t="n">
        <f aca="true">IF(OR($D165&lt;&gt;"Serviço",AND(AUTOEVENTO="Manual",$M165=$A$15),$M165&gt;(ROW(PLE.lastrow)-ROW(PLE.firstrow))),0,
           IF(OFFSET(PLE!$G$15,$M165-$A$15,DO$13)="",10^12,OFFSET(PLE!$G$15,$M165-$A$15,DO$13)))</f>
        <v>1000000000000</v>
      </c>
      <c r="DP165" s="354" t="n">
        <f aca="true">IF(OR($D165&lt;&gt;"Serviço",AND(AUTOEVENTO="Manual",$M165=$A$15),$M165&gt;(ROW(PLE.lastrow)-ROW(PLE.firstrow))),0,
           IF(OFFSET(PLE!$G$15,$M165-$A$15,DP$13)="",10^12,OFFSET(PLE!$G$15,$M165-$A$15,DP$13)))</f>
        <v>1000000000000</v>
      </c>
      <c r="DQ165" s="354" t="n">
        <f aca="true">IF(OR($D165&lt;&gt;"Serviço",AND(AUTOEVENTO="Manual",$M165=$A$15),$M165&gt;(ROW(PLE.lastrow)-ROW(PLE.firstrow))),0,
           IF(OFFSET(PLE!$G$15,$M165-$A$15,DQ$13)="",10^12,OFFSET(PLE!$G$15,$M165-$A$15,DQ$13)))</f>
        <v>1000000000000</v>
      </c>
      <c r="DR165" s="354" t="n">
        <f aca="true">IF(OR($D165&lt;&gt;"Serviço",AND(AUTOEVENTO="Manual",$M165=$A$15),$M165&gt;(ROW(PLE.lastrow)-ROW(PLE.firstrow))),0,
           IF(OFFSET(PLE!$G$15,$M165-$A$15,DR$13)="",10^12,OFFSET(PLE!$G$15,$M165-$A$15,DR$13)))</f>
        <v>1000000000000</v>
      </c>
      <c r="DS165" s="354" t="n">
        <f aca="true">IF(OR($D165&lt;&gt;"Serviço",AND(AUTOEVENTO="Manual",$M165=$A$15),$M165&gt;(ROW(PLE.lastrow)-ROW(PLE.firstrow))),0,
           IF(OFFSET(PLE!$G$15,$M165-$A$15,DS$13)="",10^12,OFFSET(PLE!$G$15,$M165-$A$15,DS$13)))</f>
        <v>1000000000000</v>
      </c>
    </row>
    <row r="166" customFormat="false" ht="35.05" hidden="false" customHeight="false" outlineLevel="0" collapsed="false">
      <c r="A166" s="50" t="str">
        <f aca="true">IFERROR(IF(AUTOEVENTO="Manual",IF(K166&lt;&gt;"",MIN(VALUE(LEFT(K166,FIND(".",K166)-1)),COUNTA(EVENTOS.Lista)),0),IF(OR($B166&gt;AUTOEVENTO,$B166="S",$B166=0),SUBSTITUTE(OFFSET($A166,-1,0),IF($D166="Serviço",".",""),""),ROW(A166)-ROW($A$15)&amp;".")),0)</f>
        <v>141</v>
      </c>
      <c r="B166" s="50" t="str">
        <f aca="true">OFFSET(ORÇAMENTO!C$15,ROW(B166)-ROW(B$15),0)</f>
        <v>S</v>
      </c>
      <c r="C166" s="50" t="str">
        <f aca="true">OFFSET(ORÇAMENTO!L$15,ROW(C166)-ROW(C$15),0)</f>
        <v>F</v>
      </c>
      <c r="D166" s="201" t="str">
        <f aca="true">OFFSET(ORÇAMENTO!N$15,ROW(D166)-ROW(D$15),0)</f>
        <v>Serviço</v>
      </c>
      <c r="E166" s="202" t="str">
        <f aca="true">OFFSET(ORÇAMENTO!O$15,ROW(E166)-ROW(E$15),0)</f>
        <v>1.43.10.</v>
      </c>
      <c r="F166" s="341" t="str">
        <f aca="true">OFFSET(ORÇAMENTO!R$15,ROW(F166)-ROW(F$15),0)</f>
        <v>BUCHA DE REDUÇÃO, CURTA, PVC, SOLDÁVEL, DN 32 X 25 MM, INSTALADO EM RAMAL DE DISTRIBUIÇÃO DE ÁGUA - FORNECIMENTO E INSTALAÇÃO. AF_06/2022</v>
      </c>
      <c r="G166" s="342" t="str">
        <f aca="true">IF($D166&lt;&gt;"Serviço","",OFFSET(ORÇAMENTO!S$15,ROW(G166)-ROW(G$15),0))</f>
        <v>UM</v>
      </c>
      <c r="H166" s="207" t="n">
        <f aca="true">IF($D166&lt;&gt;"Serviço",0,IF(ACOMPANHAMENTO="BM",ROUND(OFFSET(ORÇAMENTO!AJ$15,ROW(H166)-ROW(H$15),0),15-13*ORÇAMENTO!$AF$7),SUMPRODUCT(($Q$1:$AQ$1=1)*ROUND($Q166:$AQ166,15-13*ORÇAMENTO!$AF$7))))</f>
        <v>50</v>
      </c>
      <c r="I166" s="343" t="s">
        <v>972</v>
      </c>
      <c r="J166" s="344" t="e">
        <f aca="false">IF(OR(B166&lt;&gt;"S",CÁLCULO.FrentesPreenchidas=0),"",IF(AND(ACOMPANHAMENTO="PLE",AUTOEVENTO="Manual",OR(H166&gt;0,ORÇAMENTO!AC166="QUANT."),OR(K166="",M166=0,N166="")),"►",IF(AND(ACOMPANHAMENTO="PLE",ORÇAMENTO!AC166="QUANT."),"►►",IF(AND(COUNTIF($P$11:$AQ$11,"▼")=0,H166&gt;0,I166=""),"◄",""))))</f>
        <v>#NAME?</v>
      </c>
      <c r="K166" s="345"/>
      <c r="L166" s="346" t="s">
        <v>876</v>
      </c>
      <c r="M166" s="347" t="n">
        <f aca="true">IF($D166&lt;&gt;"Serviço","",
          IF(AUTOEVENTO="manual",$A166,
                IF(ISERROR(MATCH($A166,$A$15:OFFSET($A166,-1,0),0)),MAX($M$15:OFFSET(M166,-1,0))+1,
                      INDEX($M$15:OFFSET(M166,-1,0),MATCH($A166,$A$15:OFFSET($A166,-1,0),0)))))</f>
        <v>27</v>
      </c>
      <c r="N166" s="348" t="str">
        <f aca="true">IF($D166&lt;&gt;"Serviço","",
         IF(AUTOEVENTO="Manual",
                IF($A166=0,"&lt;-- defina o número do agrupador",
                       OFFSET(EVENTOS!$D$15,$A166-$A$15,0)),
                OFFSET($F$15,$A166,0)))</f>
        <v>CAIXA D'ÁGUA E BARRILETE</v>
      </c>
      <c r="O166" s="349"/>
      <c r="Q166" s="349" t="n">
        <v>2</v>
      </c>
      <c r="R166" s="350" t="n">
        <v>2</v>
      </c>
      <c r="S166" s="350" t="n">
        <v>2</v>
      </c>
      <c r="T166" s="350" t="n">
        <v>2</v>
      </c>
      <c r="U166" s="350" t="n">
        <v>2</v>
      </c>
      <c r="V166" s="350" t="n">
        <v>2</v>
      </c>
      <c r="W166" s="350" t="n">
        <v>2</v>
      </c>
      <c r="X166" s="350" t="n">
        <v>2</v>
      </c>
      <c r="Y166" s="350" t="n">
        <v>2</v>
      </c>
      <c r="Z166" s="351" t="n">
        <v>2</v>
      </c>
      <c r="AA166" s="350" t="n">
        <v>2</v>
      </c>
      <c r="AB166" s="350" t="n">
        <v>2</v>
      </c>
      <c r="AC166" s="350" t="n">
        <v>2</v>
      </c>
      <c r="AD166" s="350" t="n">
        <v>2</v>
      </c>
      <c r="AE166" s="350" t="n">
        <v>2</v>
      </c>
      <c r="AF166" s="350" t="n">
        <v>2</v>
      </c>
      <c r="AG166" s="350" t="n">
        <v>2</v>
      </c>
      <c r="AH166" s="351" t="n">
        <v>2</v>
      </c>
      <c r="AI166" s="350" t="n">
        <v>2</v>
      </c>
      <c r="AJ166" s="350" t="n">
        <v>2</v>
      </c>
      <c r="AK166" s="350" t="n">
        <v>2</v>
      </c>
      <c r="AL166" s="350" t="n">
        <v>2</v>
      </c>
      <c r="AM166" s="350" t="n">
        <v>2</v>
      </c>
      <c r="AN166" s="350" t="n">
        <v>2</v>
      </c>
      <c r="AO166" s="350" t="n">
        <v>2</v>
      </c>
      <c r="AP166" s="351"/>
      <c r="AR166" s="352" t="n">
        <f aca="true">IF(AND($D166="Serviço",AR$12&lt;&gt;0,$H166&gt;0,OR(AUTOEVENTO&lt;&gt;"manual",$M166&lt;&gt;$A$15)),
        IF(Import.TipoArredondamento&lt;&gt;"TransfereGOV",
              ROUND(OFFSET($P166,0,AR$13),15-13*ORÇAMENTO!$AF$7)/$H166*OFFSET(ORÇAMENTO!$X$15,ROW(AR166)-ROW(AR$15),0),
              ROUND(ROUND(OFFSET($P166,0,AR$13),15-13*ORÇAMENTO!$AF$7)*OFFSET(ORÇAMENTO!$W$15,ROW(AR166)-ROW(AR$15),0),15-13*ORÇAMENTO!$AF$11)),
         0)</f>
        <v>18.6</v>
      </c>
      <c r="AS166" s="352" t="n">
        <f aca="true">IF(AND($D166="Serviço",AS$12&lt;&gt;0,$H166&gt;0,OR(AUTOEVENTO&lt;&gt;"manual",$M166&lt;&gt;$A$15)),
        IF(Import.TipoArredondamento&lt;&gt;"TransfereGOV",
              ROUND(OFFSET($P166,0,AS$13),15-13*ORÇAMENTO!$AF$7)/$H166*OFFSET(ORÇAMENTO!$X$15,ROW(AS166)-ROW(AS$15),0),
              ROUND(ROUND(OFFSET($P166,0,AS$13),15-13*ORÇAMENTO!$AF$7)*OFFSET(ORÇAMENTO!$W$15,ROW(AS166)-ROW(AS$15),0),15-13*ORÇAMENTO!$AF$11)),
         0)</f>
        <v>18.6</v>
      </c>
      <c r="AT166" s="352" t="n">
        <f aca="true">IF(AND($D166="Serviço",AT$12&lt;&gt;0,$H166&gt;0,OR(AUTOEVENTO&lt;&gt;"manual",$M166&lt;&gt;$A$15)),
        IF(Import.TipoArredondamento&lt;&gt;"TransfereGOV",
              ROUND(OFFSET($P166,0,AT$13),15-13*ORÇAMENTO!$AF$7)/$H166*OFFSET(ORÇAMENTO!$X$15,ROW(AT166)-ROW(AT$15),0),
              ROUND(ROUND(OFFSET($P166,0,AT$13),15-13*ORÇAMENTO!$AF$7)*OFFSET(ORÇAMENTO!$W$15,ROW(AT166)-ROW(AT$15),0),15-13*ORÇAMENTO!$AF$11)),
         0)</f>
        <v>18.6</v>
      </c>
      <c r="AU166" s="352" t="n">
        <f aca="true">IF(AND($D166="Serviço",AU$12&lt;&gt;0,$H166&gt;0,OR(AUTOEVENTO&lt;&gt;"manual",$M166&lt;&gt;$A$15)),
        IF(Import.TipoArredondamento&lt;&gt;"TransfereGOV",
              ROUND(OFFSET($P166,0,AU$13),15-13*ORÇAMENTO!$AF$7)/$H166*OFFSET(ORÇAMENTO!$X$15,ROW(AU166)-ROW(AU$15),0),
              ROUND(ROUND(OFFSET($P166,0,AU$13),15-13*ORÇAMENTO!$AF$7)*OFFSET(ORÇAMENTO!$W$15,ROW(AU166)-ROW(AU$15),0),15-13*ORÇAMENTO!$AF$11)),
         0)</f>
        <v>18.6</v>
      </c>
      <c r="AV166" s="352" t="n">
        <f aca="true">IF(AND($D166="Serviço",AV$12&lt;&gt;0,$H166&gt;0,OR(AUTOEVENTO&lt;&gt;"manual",$M166&lt;&gt;$A$15)),
        IF(Import.TipoArredondamento&lt;&gt;"TransfereGOV",
              ROUND(OFFSET($P166,0,AV$13),15-13*ORÇAMENTO!$AF$7)/$H166*OFFSET(ORÇAMENTO!$X$15,ROW(AV166)-ROW(AV$15),0),
              ROUND(ROUND(OFFSET($P166,0,AV$13),15-13*ORÇAMENTO!$AF$7)*OFFSET(ORÇAMENTO!$W$15,ROW(AV166)-ROW(AV$15),0),15-13*ORÇAMENTO!$AF$11)),
         0)</f>
        <v>18.6</v>
      </c>
      <c r="AW166" s="352" t="n">
        <f aca="true">IF(AND($D166="Serviço",AW$12&lt;&gt;0,$H166&gt;0,OR(AUTOEVENTO&lt;&gt;"manual",$M166&lt;&gt;$A$15)),
        IF(Import.TipoArredondamento&lt;&gt;"TransfereGOV",
              ROUND(OFFSET($P166,0,AW$13),15-13*ORÇAMENTO!$AF$7)/$H166*OFFSET(ORÇAMENTO!$X$15,ROW(AW166)-ROW(AW$15),0),
              ROUND(ROUND(OFFSET($P166,0,AW$13),15-13*ORÇAMENTO!$AF$7)*OFFSET(ORÇAMENTO!$W$15,ROW(AW166)-ROW(AW$15),0),15-13*ORÇAMENTO!$AF$11)),
         0)</f>
        <v>18.6</v>
      </c>
      <c r="AX166" s="352" t="n">
        <f aca="true">IF(AND($D166="Serviço",AX$12&lt;&gt;0,$H166&gt;0,OR(AUTOEVENTO&lt;&gt;"manual",$M166&lt;&gt;$A$15)),
        IF(Import.TipoArredondamento&lt;&gt;"TransfereGOV",
              ROUND(OFFSET($P166,0,AX$13),15-13*ORÇAMENTO!$AF$7)/$H166*OFFSET(ORÇAMENTO!$X$15,ROW(AX166)-ROW(AX$15),0),
              ROUND(ROUND(OFFSET($P166,0,AX$13),15-13*ORÇAMENTO!$AF$7)*OFFSET(ORÇAMENTO!$W$15,ROW(AX166)-ROW(AX$15),0),15-13*ORÇAMENTO!$AF$11)),
         0)</f>
        <v>18.6</v>
      </c>
      <c r="AY166" s="352" t="n">
        <f aca="true">IF(AND($D166="Serviço",AY$12&lt;&gt;0,$H166&gt;0,OR(AUTOEVENTO&lt;&gt;"manual",$M166&lt;&gt;$A$15)),
        IF(Import.TipoArredondamento&lt;&gt;"TransfereGOV",
              ROUND(OFFSET($P166,0,AY$13),15-13*ORÇAMENTO!$AF$7)/$H166*OFFSET(ORÇAMENTO!$X$15,ROW(AY166)-ROW(AY$15),0),
              ROUND(ROUND(OFFSET($P166,0,AY$13),15-13*ORÇAMENTO!$AF$7)*OFFSET(ORÇAMENTO!$W$15,ROW(AY166)-ROW(AY$15),0),15-13*ORÇAMENTO!$AF$11)),
         0)</f>
        <v>18.6</v>
      </c>
      <c r="AZ166" s="352" t="n">
        <f aca="true">IF(AND($D166="Serviço",AZ$12&lt;&gt;0,$H166&gt;0,OR(AUTOEVENTO&lt;&gt;"manual",$M166&lt;&gt;$A$15)),
        IF(Import.TipoArredondamento&lt;&gt;"TransfereGOV",
              ROUND(OFFSET($P166,0,AZ$13),15-13*ORÇAMENTO!$AF$7)/$H166*OFFSET(ORÇAMENTO!$X$15,ROW(AZ166)-ROW(AZ$15),0),
              ROUND(ROUND(OFFSET($P166,0,AZ$13),15-13*ORÇAMENTO!$AF$7)*OFFSET(ORÇAMENTO!$W$15,ROW(AZ166)-ROW(AZ$15),0),15-13*ORÇAMENTO!$AF$11)),
         0)</f>
        <v>18.6</v>
      </c>
      <c r="BA166" s="352" t="n">
        <f aca="true">IF(AND($D166="Serviço",BA$12&lt;&gt;0,$H166&gt;0,OR(AUTOEVENTO&lt;&gt;"manual",$M166&lt;&gt;$A$15)),
        IF(Import.TipoArredondamento&lt;&gt;"TransfereGOV",
              ROUND(OFFSET($P166,0,BA$13),15-13*ORÇAMENTO!$AF$7)/$H166*OFFSET(ORÇAMENTO!$X$15,ROW(BA166)-ROW(BA$15),0),
              ROUND(ROUND(OFFSET($P166,0,BA$13),15-13*ORÇAMENTO!$AF$7)*OFFSET(ORÇAMENTO!$W$15,ROW(BA166)-ROW(BA$15),0),15-13*ORÇAMENTO!$AF$11)),
         0)</f>
        <v>18.6</v>
      </c>
      <c r="BB166" s="352" t="n">
        <f aca="true">IF(AND($D166="Serviço",BB$12&lt;&gt;0,$H166&gt;0,OR(AUTOEVENTO&lt;&gt;"manual",$M166&lt;&gt;$A$15)),
        IF(Import.TipoArredondamento&lt;&gt;"TransfereGOV",
              ROUND(OFFSET($P166,0,BB$13),15-13*ORÇAMENTO!$AF$7)/$H166*OFFSET(ORÇAMENTO!$X$15,ROW(BB166)-ROW(BB$15),0),
              ROUND(ROUND(OFFSET($P166,0,BB$13),15-13*ORÇAMENTO!$AF$7)*OFFSET(ORÇAMENTO!$W$15,ROW(BB166)-ROW(BB$15),0),15-13*ORÇAMENTO!$AF$11)),
         0)</f>
        <v>18.6</v>
      </c>
      <c r="BC166" s="352" t="n">
        <f aca="true">IF(AND($D166="Serviço",BC$12&lt;&gt;0,$H166&gt;0,OR(AUTOEVENTO&lt;&gt;"manual",$M166&lt;&gt;$A$15)),
        IF(Import.TipoArredondamento&lt;&gt;"TransfereGOV",
              ROUND(OFFSET($P166,0,BC$13),15-13*ORÇAMENTO!$AF$7)/$H166*OFFSET(ORÇAMENTO!$X$15,ROW(BC166)-ROW(BC$15),0),
              ROUND(ROUND(OFFSET($P166,0,BC$13),15-13*ORÇAMENTO!$AF$7)*OFFSET(ORÇAMENTO!$W$15,ROW(BC166)-ROW(BC$15),0),15-13*ORÇAMENTO!$AF$11)),
         0)</f>
        <v>18.6</v>
      </c>
      <c r="BD166" s="352" t="n">
        <f aca="true">IF(AND($D166="Serviço",BD$12&lt;&gt;0,$H166&gt;0,OR(AUTOEVENTO&lt;&gt;"manual",$M166&lt;&gt;$A$15)),
        IF(Import.TipoArredondamento&lt;&gt;"TransfereGOV",
              ROUND(OFFSET($P166,0,BD$13),15-13*ORÇAMENTO!$AF$7)/$H166*OFFSET(ORÇAMENTO!$X$15,ROW(BD166)-ROW(BD$15),0),
              ROUND(ROUND(OFFSET($P166,0,BD$13),15-13*ORÇAMENTO!$AF$7)*OFFSET(ORÇAMENTO!$W$15,ROW(BD166)-ROW(BD$15),0),15-13*ORÇAMENTO!$AF$11)),
         0)</f>
        <v>18.6</v>
      </c>
      <c r="BE166" s="352" t="n">
        <f aca="true">IF(AND($D166="Serviço",BE$12&lt;&gt;0,$H166&gt;0,OR(AUTOEVENTO&lt;&gt;"manual",$M166&lt;&gt;$A$15)),
        IF(Import.TipoArredondamento&lt;&gt;"TransfereGOV",
              ROUND(OFFSET($P166,0,BE$13),15-13*ORÇAMENTO!$AF$7)/$H166*OFFSET(ORÇAMENTO!$X$15,ROW(BE166)-ROW(BE$15),0),
              ROUND(ROUND(OFFSET($P166,0,BE$13),15-13*ORÇAMENTO!$AF$7)*OFFSET(ORÇAMENTO!$W$15,ROW(BE166)-ROW(BE$15),0),15-13*ORÇAMENTO!$AF$11)),
         0)</f>
        <v>18.6</v>
      </c>
      <c r="BF166" s="352" t="n">
        <f aca="true">IF(AND($D166="Serviço",BF$12&lt;&gt;0,$H166&gt;0,OR(AUTOEVENTO&lt;&gt;"manual",$M166&lt;&gt;$A$15)),
        IF(Import.TipoArredondamento&lt;&gt;"TransfereGOV",
              ROUND(OFFSET($P166,0,BF$13),15-13*ORÇAMENTO!$AF$7)/$H166*OFFSET(ORÇAMENTO!$X$15,ROW(BF166)-ROW(BF$15),0),
              ROUND(ROUND(OFFSET($P166,0,BF$13),15-13*ORÇAMENTO!$AF$7)*OFFSET(ORÇAMENTO!$W$15,ROW(BF166)-ROW(BF$15),0),15-13*ORÇAMENTO!$AF$11)),
         0)</f>
        <v>18.6</v>
      </c>
      <c r="BG166" s="352" t="n">
        <f aca="true">IF(AND($D166="Serviço",BG$12&lt;&gt;0,$H166&gt;0,OR(AUTOEVENTO&lt;&gt;"manual",$M166&lt;&gt;$A$15)),
        IF(Import.TipoArredondamento&lt;&gt;"TransfereGOV",
              ROUND(OFFSET($P166,0,BG$13),15-13*ORÇAMENTO!$AF$7)/$H166*OFFSET(ORÇAMENTO!$X$15,ROW(BG166)-ROW(BG$15),0),
              ROUND(ROUND(OFFSET($P166,0,BG$13),15-13*ORÇAMENTO!$AF$7)*OFFSET(ORÇAMENTO!$W$15,ROW(BG166)-ROW(BG$15),0),15-13*ORÇAMENTO!$AF$11)),
         0)</f>
        <v>18.6</v>
      </c>
      <c r="BH166" s="352" t="n">
        <f aca="true">IF(AND($D166="Serviço",BH$12&lt;&gt;0,$H166&gt;0,OR(AUTOEVENTO&lt;&gt;"manual",$M166&lt;&gt;$A$15)),
        IF(Import.TipoArredondamento&lt;&gt;"TransfereGOV",
              ROUND(OFFSET($P166,0,BH$13),15-13*ORÇAMENTO!$AF$7)/$H166*OFFSET(ORÇAMENTO!$X$15,ROW(BH166)-ROW(BH$15),0),
              ROUND(ROUND(OFFSET($P166,0,BH$13),15-13*ORÇAMENTO!$AF$7)*OFFSET(ORÇAMENTO!$W$15,ROW(BH166)-ROW(BH$15),0),15-13*ORÇAMENTO!$AF$11)),
         0)</f>
        <v>18.6</v>
      </c>
      <c r="BI166" s="352" t="n">
        <f aca="true">IF(AND($D166="Serviço",BI$12&lt;&gt;0,$H166&gt;0,OR(AUTOEVENTO&lt;&gt;"manual",$M166&lt;&gt;$A$15)),
        IF(Import.TipoArredondamento&lt;&gt;"TransfereGOV",
              ROUND(OFFSET($P166,0,BI$13),15-13*ORÇAMENTO!$AF$7)/$H166*OFFSET(ORÇAMENTO!$X$15,ROW(BI166)-ROW(BI$15),0),
              ROUND(ROUND(OFFSET($P166,0,BI$13),15-13*ORÇAMENTO!$AF$7)*OFFSET(ORÇAMENTO!$W$15,ROW(BI166)-ROW(BI$15),0),15-13*ORÇAMENTO!$AF$11)),
         0)</f>
        <v>18.6</v>
      </c>
      <c r="BJ166" s="352" t="n">
        <f aca="true">IF(AND($D166="Serviço",BJ$12&lt;&gt;0,$H166&gt;0,OR(AUTOEVENTO&lt;&gt;"manual",$M166&lt;&gt;$A$15)),
        IF(Import.TipoArredondamento&lt;&gt;"TransfereGOV",
              ROUND(OFFSET($P166,0,BJ$13),15-13*ORÇAMENTO!$AF$7)/$H166*OFFSET(ORÇAMENTO!$X$15,ROW(BJ166)-ROW(BJ$15),0),
              ROUND(ROUND(OFFSET($P166,0,BJ$13),15-13*ORÇAMENTO!$AF$7)*OFFSET(ORÇAMENTO!$W$15,ROW(BJ166)-ROW(BJ$15),0),15-13*ORÇAMENTO!$AF$11)),
         0)</f>
        <v>18.6</v>
      </c>
      <c r="BK166" s="352" t="n">
        <f aca="true">IF(AND($D166="Serviço",BK$12&lt;&gt;0,$H166&gt;0,OR(AUTOEVENTO&lt;&gt;"manual",$M166&lt;&gt;$A$15)),
        IF(Import.TipoArredondamento&lt;&gt;"TransfereGOV",
              ROUND(OFFSET($P166,0,BK$13),15-13*ORÇAMENTO!$AF$7)/$H166*OFFSET(ORÇAMENTO!$X$15,ROW(BK166)-ROW(BK$15),0),
              ROUND(ROUND(OFFSET($P166,0,BK$13),15-13*ORÇAMENTO!$AF$7)*OFFSET(ORÇAMENTO!$W$15,ROW(BK166)-ROW(BK$15),0),15-13*ORÇAMENTO!$AF$11)),
         0)</f>
        <v>18.6</v>
      </c>
      <c r="BL166" s="352" t="n">
        <f aca="true">IF(AND($D166="Serviço",BL$12&lt;&gt;0,$H166&gt;0,OR(AUTOEVENTO&lt;&gt;"manual",$M166&lt;&gt;$A$15)),
        IF(Import.TipoArredondamento&lt;&gt;"TransfereGOV",
              ROUND(OFFSET($P166,0,BL$13),15-13*ORÇAMENTO!$AF$7)/$H166*OFFSET(ORÇAMENTO!$X$15,ROW(BL166)-ROW(BL$15),0),
              ROUND(ROUND(OFFSET($P166,0,BL$13),15-13*ORÇAMENTO!$AF$7)*OFFSET(ORÇAMENTO!$W$15,ROW(BL166)-ROW(BL$15),0),15-13*ORÇAMENTO!$AF$11)),
         0)</f>
        <v>18.6</v>
      </c>
      <c r="BM166" s="352" t="n">
        <f aca="true">IF(AND($D166="Serviço",BM$12&lt;&gt;0,$H166&gt;0,OR(AUTOEVENTO&lt;&gt;"manual",$M166&lt;&gt;$A$15)),
        IF(Import.TipoArredondamento&lt;&gt;"TransfereGOV",
              ROUND(OFFSET($P166,0,BM$13),15-13*ORÇAMENTO!$AF$7)/$H166*OFFSET(ORÇAMENTO!$X$15,ROW(BM166)-ROW(BM$15),0),
              ROUND(ROUND(OFFSET($P166,0,BM$13),15-13*ORÇAMENTO!$AF$7)*OFFSET(ORÇAMENTO!$W$15,ROW(BM166)-ROW(BM$15),0),15-13*ORÇAMENTO!$AF$11)),
         0)</f>
        <v>18.6</v>
      </c>
      <c r="BN166" s="352" t="n">
        <f aca="true">IF(AND($D166="Serviço",BN$12&lt;&gt;0,$H166&gt;0,OR(AUTOEVENTO&lt;&gt;"manual",$M166&lt;&gt;$A$15)),
        IF(Import.TipoArredondamento&lt;&gt;"TransfereGOV",
              ROUND(OFFSET($P166,0,BN$13),15-13*ORÇAMENTO!$AF$7)/$H166*OFFSET(ORÇAMENTO!$X$15,ROW(BN166)-ROW(BN$15),0),
              ROUND(ROUND(OFFSET($P166,0,BN$13),15-13*ORÇAMENTO!$AF$7)*OFFSET(ORÇAMENTO!$W$15,ROW(BN166)-ROW(BN$15),0),15-13*ORÇAMENTO!$AF$11)),
         0)</f>
        <v>18.6</v>
      </c>
      <c r="BO166" s="352" t="n">
        <f aca="true">IF(AND($D166="Serviço",BO$12&lt;&gt;0,$H166&gt;0,OR(AUTOEVENTO&lt;&gt;"manual",$M166&lt;&gt;$A$15)),
        IF(Import.TipoArredondamento&lt;&gt;"TransfereGOV",
              ROUND(OFFSET($P166,0,BO$13),15-13*ORÇAMENTO!$AF$7)/$H166*OFFSET(ORÇAMENTO!$X$15,ROW(BO166)-ROW(BO$15),0),
              ROUND(ROUND(OFFSET($P166,0,BO$13),15-13*ORÇAMENTO!$AF$7)*OFFSET(ORÇAMENTO!$W$15,ROW(BO166)-ROW(BO$15),0),15-13*ORÇAMENTO!$AF$11)),
         0)</f>
        <v>18.6</v>
      </c>
      <c r="BP166" s="352" t="n">
        <f aca="true">IF(AND($D166="Serviço",BP$12&lt;&gt;0,$H166&gt;0,OR(AUTOEVENTO&lt;&gt;"manual",$M166&lt;&gt;$A$15)),
        IF(Import.TipoArredondamento&lt;&gt;"TransfereGOV",
              ROUND(OFFSET($P166,0,BP$13),15-13*ORÇAMENTO!$AF$7)/$H166*OFFSET(ORÇAMENTO!$X$15,ROW(BP166)-ROW(BP$15),0),
              ROUND(ROUND(OFFSET($P166,0,BP$13),15-13*ORÇAMENTO!$AF$7)*OFFSET(ORÇAMENTO!$W$15,ROW(BP166)-ROW(BP$15),0),15-13*ORÇAMENTO!$AF$11)),
         0)</f>
        <v>18.6</v>
      </c>
      <c r="BQ166" s="352" t="n">
        <f aca="true">IF(AND($D166="Serviço",BQ$12&lt;&gt;0,$H166&gt;0,OR(AUTOEVENTO&lt;&gt;"manual",$M166&lt;&gt;$A$15)),
        IF(Import.TipoArredondamento&lt;&gt;"TransfereGOV",
              ROUND(OFFSET($P166,0,BQ$13),15-13*ORÇAMENTO!$AF$7)/$H166*OFFSET(ORÇAMENTO!$X$15,ROW(BQ166)-ROW(BQ$15),0),
              ROUND(ROUND(OFFSET($P166,0,BQ$13),15-13*ORÇAMENTO!$AF$7)*OFFSET(ORÇAMENTO!$W$15,ROW(BQ166)-ROW(BQ$15),0),15-13*ORÇAMENTO!$AF$11)),
         0)</f>
        <v>0</v>
      </c>
      <c r="BS166" s="353" t="n">
        <f aca="true">IF(OR($D166&lt;&gt;"Serviço",AND(AUTOEVENTO="Manual",$M166=$A$15)),0,
         IF(OFFSET(CRONOPLE!$F$15,$M166-$A$15,BS$13)=0,10^12,OFFSET(CRONOPLE!$F$15,$M166-$A$15,BS$13)))</f>
        <v>1</v>
      </c>
      <c r="BT166" s="353" t="n">
        <f aca="true">IF(OR($D166&lt;&gt;"Serviço",AND(AUTOEVENTO="Manual",$M166=$A$15)),0,
         IF(OFFSET(CRONOPLE!$F$15,$M166-$A$15,BT$13)=0,10^12,OFFSET(CRONOPLE!$F$15,$M166-$A$15,BT$13)))</f>
        <v>2</v>
      </c>
      <c r="BU166" s="353" t="n">
        <f aca="true">IF(OR($D166&lt;&gt;"Serviço",AND(AUTOEVENTO="Manual",$M166=$A$15)),0,
         IF(OFFSET(CRONOPLE!$F$15,$M166-$A$15,BU$13)=0,10^12,OFFSET(CRONOPLE!$F$15,$M166-$A$15,BU$13)))</f>
        <v>3</v>
      </c>
      <c r="BV166" s="353" t="n">
        <f aca="true">IF(OR($D166&lt;&gt;"Serviço",AND(AUTOEVENTO="Manual",$M166=$A$15)),0,
         IF(OFFSET(CRONOPLE!$F$15,$M166-$A$15,BV$13)=0,10^12,OFFSET(CRONOPLE!$F$15,$M166-$A$15,BV$13)))</f>
        <v>4</v>
      </c>
      <c r="BW166" s="353" t="n">
        <f aca="true">IF(OR($D166&lt;&gt;"Serviço",AND(AUTOEVENTO="Manual",$M166=$A$15)),0,
         IF(OFFSET(CRONOPLE!$F$15,$M166-$A$15,BW$13)=0,10^12,OFFSET(CRONOPLE!$F$15,$M166-$A$15,BW$13)))</f>
        <v>5</v>
      </c>
      <c r="BX166" s="353" t="n">
        <f aca="true">IF(OR($D166&lt;&gt;"Serviço",AND(AUTOEVENTO="Manual",$M166=$A$15)),0,
         IF(OFFSET(CRONOPLE!$F$15,$M166-$A$15,BX$13)=0,10^12,OFFSET(CRONOPLE!$F$15,$M166-$A$15,BX$13)))</f>
        <v>6</v>
      </c>
      <c r="BY166" s="353" t="n">
        <f aca="true">IF(OR($D166&lt;&gt;"Serviço",AND(AUTOEVENTO="Manual",$M166=$A$15)),0,
         IF(OFFSET(CRONOPLE!$F$15,$M166-$A$15,BY$13)=0,10^12,OFFSET(CRONOPLE!$F$15,$M166-$A$15,BY$13)))</f>
        <v>7</v>
      </c>
      <c r="BZ166" s="353" t="n">
        <f aca="true">IF(OR($D166&lt;&gt;"Serviço",AND(AUTOEVENTO="Manual",$M166=$A$15)),0,
         IF(OFFSET(CRONOPLE!$F$15,$M166-$A$15,BZ$13)=0,10^12,OFFSET(CRONOPLE!$F$15,$M166-$A$15,BZ$13)))</f>
        <v>8</v>
      </c>
      <c r="CA166" s="353" t="n">
        <f aca="true">IF(OR($D166&lt;&gt;"Serviço",AND(AUTOEVENTO="Manual",$M166=$A$15)),0,
         IF(OFFSET(CRONOPLE!$F$15,$M166-$A$15,CA$13)=0,10^12,OFFSET(CRONOPLE!$F$15,$M166-$A$15,CA$13)))</f>
        <v>9</v>
      </c>
      <c r="CB166" s="353" t="n">
        <f aca="true">IF(OR($D166&lt;&gt;"Serviço",AND(AUTOEVENTO="Manual",$M166=$A$15)),0,
         IF(OFFSET(CRONOPLE!$F$15,$M166-$A$15,CB$13)=0,10^12,OFFSET(CRONOPLE!$F$15,$M166-$A$15,CB$13)))</f>
        <v>10</v>
      </c>
      <c r="CC166" s="353" t="n">
        <f aca="true">IF(OR($D166&lt;&gt;"Serviço",AND(AUTOEVENTO="Manual",$M166=$A$15)),0,
         IF(OFFSET(CRONOPLE!$F$15,$M166-$A$15,CC$13)=0,10^12,OFFSET(CRONOPLE!$F$15,$M166-$A$15,CC$13)))</f>
        <v>11</v>
      </c>
      <c r="CD166" s="353" t="n">
        <f aca="true">IF(OR($D166&lt;&gt;"Serviço",AND(AUTOEVENTO="Manual",$M166=$A$15)),0,
         IF(OFFSET(CRONOPLE!$F$15,$M166-$A$15,CD$13)=0,10^12,OFFSET(CRONOPLE!$F$15,$M166-$A$15,CD$13)))</f>
        <v>12</v>
      </c>
      <c r="CE166" s="353" t="n">
        <f aca="true">IF(OR($D166&lt;&gt;"Serviço",AND(AUTOEVENTO="Manual",$M166=$A$15)),0,
         IF(OFFSET(CRONOPLE!$F$15,$M166-$A$15,CE$13)=0,10^12,OFFSET(CRONOPLE!$F$15,$M166-$A$15,CE$13)))</f>
        <v>13</v>
      </c>
      <c r="CF166" s="353" t="n">
        <f aca="true">IF(OR($D166&lt;&gt;"Serviço",AND(AUTOEVENTO="Manual",$M166=$A$15)),0,
         IF(OFFSET(CRONOPLE!$F$15,$M166-$A$15,CF$13)=0,10^12,OFFSET(CRONOPLE!$F$15,$M166-$A$15,CF$13)))</f>
        <v>14</v>
      </c>
      <c r="CG166" s="353" t="n">
        <f aca="true">IF(OR($D166&lt;&gt;"Serviço",AND(AUTOEVENTO="Manual",$M166=$A$15)),0,
         IF(OFFSET(CRONOPLE!$F$15,$M166-$A$15,CG$13)=0,10^12,OFFSET(CRONOPLE!$F$15,$M166-$A$15,CG$13)))</f>
        <v>15</v>
      </c>
      <c r="CH166" s="353" t="n">
        <f aca="true">IF(OR($D166&lt;&gt;"Serviço",AND(AUTOEVENTO="Manual",$M166=$A$15)),0,
         IF(OFFSET(CRONOPLE!$F$15,$M166-$A$15,CH$13)=0,10^12,OFFSET(CRONOPLE!$F$15,$M166-$A$15,CH$13)))</f>
        <v>16</v>
      </c>
      <c r="CI166" s="353" t="n">
        <f aca="true">IF(OR($D166&lt;&gt;"Serviço",AND(AUTOEVENTO="Manual",$M166=$A$15)),0,
         IF(OFFSET(CRONOPLE!$F$15,$M166-$A$15,CI$13)=0,10^12,OFFSET(CRONOPLE!$F$15,$M166-$A$15,CI$13)))</f>
        <v>17</v>
      </c>
      <c r="CJ166" s="353" t="n">
        <f aca="true">IF(OR($D166&lt;&gt;"Serviço",AND(AUTOEVENTO="Manual",$M166=$A$15)),0,
         IF(OFFSET(CRONOPLE!$F$15,$M166-$A$15,CJ$13)=0,10^12,OFFSET(CRONOPLE!$F$15,$M166-$A$15,CJ$13)))</f>
        <v>18</v>
      </c>
      <c r="CK166" s="353" t="n">
        <f aca="true">IF(OR($D166&lt;&gt;"Serviço",AND(AUTOEVENTO="Manual",$M166=$A$15)),0,
         IF(OFFSET(CRONOPLE!$F$15,$M166-$A$15,CK$13)=0,10^12,OFFSET(CRONOPLE!$F$15,$M166-$A$15,CK$13)))</f>
        <v>19</v>
      </c>
      <c r="CL166" s="353" t="n">
        <f aca="true">IF(OR($D166&lt;&gt;"Serviço",AND(AUTOEVENTO="Manual",$M166=$A$15)),0,
         IF(OFFSET(CRONOPLE!$F$15,$M166-$A$15,CL$13)=0,10^12,OFFSET(CRONOPLE!$F$15,$M166-$A$15,CL$13)))</f>
        <v>20</v>
      </c>
      <c r="CM166" s="353" t="n">
        <f aca="true">IF(OR($D166&lt;&gt;"Serviço",AND(AUTOEVENTO="Manual",$M166=$A$15)),0,
         IF(OFFSET(CRONOPLE!$F$15,$M166-$A$15,CM$13)=0,10^12,OFFSET(CRONOPLE!$F$15,$M166-$A$15,CM$13)))</f>
        <v>21</v>
      </c>
      <c r="CN166" s="353" t="n">
        <f aca="true">IF(OR($D166&lt;&gt;"Serviço",AND(AUTOEVENTO="Manual",$M166=$A$15)),0,
         IF(OFFSET(CRONOPLE!$F$15,$M166-$A$15,CN$13)=0,10^12,OFFSET(CRONOPLE!$F$15,$M166-$A$15,CN$13)))</f>
        <v>22</v>
      </c>
      <c r="CO166" s="353" t="n">
        <f aca="true">IF(OR($D166&lt;&gt;"Serviço",AND(AUTOEVENTO="Manual",$M166=$A$15)),0,
         IF(OFFSET(CRONOPLE!$F$15,$M166-$A$15,CO$13)=0,10^12,OFFSET(CRONOPLE!$F$15,$M166-$A$15,CO$13)))</f>
        <v>23</v>
      </c>
      <c r="CP166" s="353" t="n">
        <f aca="true">IF(OR($D166&lt;&gt;"Serviço",AND(AUTOEVENTO="Manual",$M166=$A$15)),0,
         IF(OFFSET(CRONOPLE!$F$15,$M166-$A$15,CP$13)=0,10^12,OFFSET(CRONOPLE!$F$15,$M166-$A$15,CP$13)))</f>
        <v>24</v>
      </c>
      <c r="CQ166" s="353" t="n">
        <f aca="true">IF(OR($D166&lt;&gt;"Serviço",AND(AUTOEVENTO="Manual",$M166=$A$15)),0,
         IF(OFFSET(CRONOPLE!$F$15,$M166-$A$15,CQ$13)=0,10^12,OFFSET(CRONOPLE!$F$15,$M166-$A$15,CQ$13)))</f>
        <v>25</v>
      </c>
      <c r="CR166" s="353" t="n">
        <f aca="true">IF(OR($D166&lt;&gt;"Serviço",AND(AUTOEVENTO="Manual",$M166=$A$15)),0,
         IF(OFFSET(CRONOPLE!$F$15,$M166-$A$15,CR$13)=0,10^12,OFFSET(CRONOPLE!$F$15,$M166-$A$15,CR$13)))</f>
        <v>1000000000000</v>
      </c>
      <c r="CT166" s="354" t="n">
        <f aca="true">IF(OR($D166&lt;&gt;"Serviço",AND(AUTOEVENTO="Manual",$M166=$A$15),$M166&gt;(ROW(PLE.lastrow)-ROW(PLE.firstrow))),0,
           IF(OFFSET(PLE!$G$15,$M166-$A$15,CT$13)="",10^12,OFFSET(PLE!$G$15,$M166-$A$15,CT$13)))</f>
        <v>1000000000000</v>
      </c>
      <c r="CU166" s="354" t="n">
        <f aca="true">IF(OR($D166&lt;&gt;"Serviço",AND(AUTOEVENTO="Manual",$M166=$A$15),$M166&gt;(ROW(PLE.lastrow)-ROW(PLE.firstrow))),0,
           IF(OFFSET(PLE!$G$15,$M166-$A$15,CU$13)="",10^12,OFFSET(PLE!$G$15,$M166-$A$15,CU$13)))</f>
        <v>1000000000000</v>
      </c>
      <c r="CV166" s="354" t="n">
        <f aca="true">IF(OR($D166&lt;&gt;"Serviço",AND(AUTOEVENTO="Manual",$M166=$A$15),$M166&gt;(ROW(PLE.lastrow)-ROW(PLE.firstrow))),0,
           IF(OFFSET(PLE!$G$15,$M166-$A$15,CV$13)="",10^12,OFFSET(PLE!$G$15,$M166-$A$15,CV$13)))</f>
        <v>1000000000000</v>
      </c>
      <c r="CW166" s="354" t="n">
        <f aca="true">IF(OR($D166&lt;&gt;"Serviço",AND(AUTOEVENTO="Manual",$M166=$A$15),$M166&gt;(ROW(PLE.lastrow)-ROW(PLE.firstrow))),0,
           IF(OFFSET(PLE!$G$15,$M166-$A$15,CW$13)="",10^12,OFFSET(PLE!$G$15,$M166-$A$15,CW$13)))</f>
        <v>1000000000000</v>
      </c>
      <c r="CX166" s="354" t="n">
        <f aca="true">IF(OR($D166&lt;&gt;"Serviço",AND(AUTOEVENTO="Manual",$M166=$A$15),$M166&gt;(ROW(PLE.lastrow)-ROW(PLE.firstrow))),0,
           IF(OFFSET(PLE!$G$15,$M166-$A$15,CX$13)="",10^12,OFFSET(PLE!$G$15,$M166-$A$15,CX$13)))</f>
        <v>1000000000000</v>
      </c>
      <c r="CY166" s="354" t="n">
        <f aca="true">IF(OR($D166&lt;&gt;"Serviço",AND(AUTOEVENTO="Manual",$M166=$A$15),$M166&gt;(ROW(PLE.lastrow)-ROW(PLE.firstrow))),0,
           IF(OFFSET(PLE!$G$15,$M166-$A$15,CY$13)="",10^12,OFFSET(PLE!$G$15,$M166-$A$15,CY$13)))</f>
        <v>1000000000000</v>
      </c>
      <c r="CZ166" s="354" t="n">
        <f aca="true">IF(OR($D166&lt;&gt;"Serviço",AND(AUTOEVENTO="Manual",$M166=$A$15),$M166&gt;(ROW(PLE.lastrow)-ROW(PLE.firstrow))),0,
           IF(OFFSET(PLE!$G$15,$M166-$A$15,CZ$13)="",10^12,OFFSET(PLE!$G$15,$M166-$A$15,CZ$13)))</f>
        <v>1000000000000</v>
      </c>
      <c r="DA166" s="354" t="n">
        <f aca="true">IF(OR($D166&lt;&gt;"Serviço",AND(AUTOEVENTO="Manual",$M166=$A$15),$M166&gt;(ROW(PLE.lastrow)-ROW(PLE.firstrow))),0,
           IF(OFFSET(PLE!$G$15,$M166-$A$15,DA$13)="",10^12,OFFSET(PLE!$G$15,$M166-$A$15,DA$13)))</f>
        <v>1000000000000</v>
      </c>
      <c r="DB166" s="354" t="n">
        <f aca="true">IF(OR($D166&lt;&gt;"Serviço",AND(AUTOEVENTO="Manual",$M166=$A$15),$M166&gt;(ROW(PLE.lastrow)-ROW(PLE.firstrow))),0,
           IF(OFFSET(PLE!$G$15,$M166-$A$15,DB$13)="",10^12,OFFSET(PLE!$G$15,$M166-$A$15,DB$13)))</f>
        <v>1000000000000</v>
      </c>
      <c r="DC166" s="354" t="n">
        <f aca="true">IF(OR($D166&lt;&gt;"Serviço",AND(AUTOEVENTO="Manual",$M166=$A$15),$M166&gt;(ROW(PLE.lastrow)-ROW(PLE.firstrow))),0,
           IF(OFFSET(PLE!$G$15,$M166-$A$15,DC$13)="",10^12,OFFSET(PLE!$G$15,$M166-$A$15,DC$13)))</f>
        <v>1000000000000</v>
      </c>
      <c r="DD166" s="354" t="n">
        <f aca="true">IF(OR($D166&lt;&gt;"Serviço",AND(AUTOEVENTO="Manual",$M166=$A$15),$M166&gt;(ROW(PLE.lastrow)-ROW(PLE.firstrow))),0,
           IF(OFFSET(PLE!$G$15,$M166-$A$15,DD$13)="",10^12,OFFSET(PLE!$G$15,$M166-$A$15,DD$13)))</f>
        <v>1000000000000</v>
      </c>
      <c r="DE166" s="354" t="n">
        <f aca="true">IF(OR($D166&lt;&gt;"Serviço",AND(AUTOEVENTO="Manual",$M166=$A$15),$M166&gt;(ROW(PLE.lastrow)-ROW(PLE.firstrow))),0,
           IF(OFFSET(PLE!$G$15,$M166-$A$15,DE$13)="",10^12,OFFSET(PLE!$G$15,$M166-$A$15,DE$13)))</f>
        <v>1000000000000</v>
      </c>
      <c r="DF166" s="354" t="n">
        <f aca="true">IF(OR($D166&lt;&gt;"Serviço",AND(AUTOEVENTO="Manual",$M166=$A$15),$M166&gt;(ROW(PLE.lastrow)-ROW(PLE.firstrow))),0,
           IF(OFFSET(PLE!$G$15,$M166-$A$15,DF$13)="",10^12,OFFSET(PLE!$G$15,$M166-$A$15,DF$13)))</f>
        <v>1000000000000</v>
      </c>
      <c r="DG166" s="354" t="n">
        <f aca="true">IF(OR($D166&lt;&gt;"Serviço",AND(AUTOEVENTO="Manual",$M166=$A$15),$M166&gt;(ROW(PLE.lastrow)-ROW(PLE.firstrow))),0,
           IF(OFFSET(PLE!$G$15,$M166-$A$15,DG$13)="",10^12,OFFSET(PLE!$G$15,$M166-$A$15,DG$13)))</f>
        <v>1000000000000</v>
      </c>
      <c r="DH166" s="354" t="n">
        <f aca="true">IF(OR($D166&lt;&gt;"Serviço",AND(AUTOEVENTO="Manual",$M166=$A$15),$M166&gt;(ROW(PLE.lastrow)-ROW(PLE.firstrow))),0,
           IF(OFFSET(PLE!$G$15,$M166-$A$15,DH$13)="",10^12,OFFSET(PLE!$G$15,$M166-$A$15,DH$13)))</f>
        <v>1000000000000</v>
      </c>
      <c r="DI166" s="354" t="n">
        <f aca="true">IF(OR($D166&lt;&gt;"Serviço",AND(AUTOEVENTO="Manual",$M166=$A$15),$M166&gt;(ROW(PLE.lastrow)-ROW(PLE.firstrow))),0,
           IF(OFFSET(PLE!$G$15,$M166-$A$15,DI$13)="",10^12,OFFSET(PLE!$G$15,$M166-$A$15,DI$13)))</f>
        <v>1000000000000</v>
      </c>
      <c r="DJ166" s="354" t="n">
        <f aca="true">IF(OR($D166&lt;&gt;"Serviço",AND(AUTOEVENTO="Manual",$M166=$A$15),$M166&gt;(ROW(PLE.lastrow)-ROW(PLE.firstrow))),0,
           IF(OFFSET(PLE!$G$15,$M166-$A$15,DJ$13)="",10^12,OFFSET(PLE!$G$15,$M166-$A$15,DJ$13)))</f>
        <v>1000000000000</v>
      </c>
      <c r="DK166" s="354" t="n">
        <f aca="true">IF(OR($D166&lt;&gt;"Serviço",AND(AUTOEVENTO="Manual",$M166=$A$15),$M166&gt;(ROW(PLE.lastrow)-ROW(PLE.firstrow))),0,
           IF(OFFSET(PLE!$G$15,$M166-$A$15,DK$13)="",10^12,OFFSET(PLE!$G$15,$M166-$A$15,DK$13)))</f>
        <v>1000000000000</v>
      </c>
      <c r="DL166" s="354" t="n">
        <f aca="true">IF(OR($D166&lt;&gt;"Serviço",AND(AUTOEVENTO="Manual",$M166=$A$15),$M166&gt;(ROW(PLE.lastrow)-ROW(PLE.firstrow))),0,
           IF(OFFSET(PLE!$G$15,$M166-$A$15,DL$13)="",10^12,OFFSET(PLE!$G$15,$M166-$A$15,DL$13)))</f>
        <v>1000000000000</v>
      </c>
      <c r="DM166" s="354" t="n">
        <f aca="true">IF(OR($D166&lt;&gt;"Serviço",AND(AUTOEVENTO="Manual",$M166=$A$15),$M166&gt;(ROW(PLE.lastrow)-ROW(PLE.firstrow))),0,
           IF(OFFSET(PLE!$G$15,$M166-$A$15,DM$13)="",10^12,OFFSET(PLE!$G$15,$M166-$A$15,DM$13)))</f>
        <v>1000000000000</v>
      </c>
      <c r="DN166" s="354" t="n">
        <f aca="true">IF(OR($D166&lt;&gt;"Serviço",AND(AUTOEVENTO="Manual",$M166=$A$15),$M166&gt;(ROW(PLE.lastrow)-ROW(PLE.firstrow))),0,
           IF(OFFSET(PLE!$G$15,$M166-$A$15,DN$13)="",10^12,OFFSET(PLE!$G$15,$M166-$A$15,DN$13)))</f>
        <v>1000000000000</v>
      </c>
      <c r="DO166" s="354" t="n">
        <f aca="true">IF(OR($D166&lt;&gt;"Serviço",AND(AUTOEVENTO="Manual",$M166=$A$15),$M166&gt;(ROW(PLE.lastrow)-ROW(PLE.firstrow))),0,
           IF(OFFSET(PLE!$G$15,$M166-$A$15,DO$13)="",10^12,OFFSET(PLE!$G$15,$M166-$A$15,DO$13)))</f>
        <v>1000000000000</v>
      </c>
      <c r="DP166" s="354" t="n">
        <f aca="true">IF(OR($D166&lt;&gt;"Serviço",AND(AUTOEVENTO="Manual",$M166=$A$15),$M166&gt;(ROW(PLE.lastrow)-ROW(PLE.firstrow))),0,
           IF(OFFSET(PLE!$G$15,$M166-$A$15,DP$13)="",10^12,OFFSET(PLE!$G$15,$M166-$A$15,DP$13)))</f>
        <v>1000000000000</v>
      </c>
      <c r="DQ166" s="354" t="n">
        <f aca="true">IF(OR($D166&lt;&gt;"Serviço",AND(AUTOEVENTO="Manual",$M166=$A$15),$M166&gt;(ROW(PLE.lastrow)-ROW(PLE.firstrow))),0,
           IF(OFFSET(PLE!$G$15,$M166-$A$15,DQ$13)="",10^12,OFFSET(PLE!$G$15,$M166-$A$15,DQ$13)))</f>
        <v>1000000000000</v>
      </c>
      <c r="DR166" s="354" t="n">
        <f aca="true">IF(OR($D166&lt;&gt;"Serviço",AND(AUTOEVENTO="Manual",$M166=$A$15),$M166&gt;(ROW(PLE.lastrow)-ROW(PLE.firstrow))),0,
           IF(OFFSET(PLE!$G$15,$M166-$A$15,DR$13)="",10^12,OFFSET(PLE!$G$15,$M166-$A$15,DR$13)))</f>
        <v>1000000000000</v>
      </c>
      <c r="DS166" s="354" t="n">
        <f aca="true">IF(OR($D166&lt;&gt;"Serviço",AND(AUTOEVENTO="Manual",$M166=$A$15),$M166&gt;(ROW(PLE.lastrow)-ROW(PLE.firstrow))),0,
           IF(OFFSET(PLE!$G$15,$M166-$A$15,DS$13)="",10^12,OFFSET(PLE!$G$15,$M166-$A$15,DS$13)))</f>
        <v>1000000000000</v>
      </c>
    </row>
    <row r="167" customFormat="false" ht="23.85" hidden="false" customHeight="false" outlineLevel="0" collapsed="false">
      <c r="A167" s="50" t="str">
        <f aca="true">IFERROR(IF(AUTOEVENTO="Manual",IF(K167&lt;&gt;"",MIN(VALUE(LEFT(K167,FIND(".",K167)-1)),COUNTA(EVENTOS.Lista)),0),IF(OR($B167&gt;AUTOEVENTO,$B167="S",$B167=0),SUBSTITUTE(OFFSET($A167,-1,0),IF($D167="Serviço",".",""),""),ROW(A167)-ROW($A$15)&amp;".")),0)</f>
        <v>141</v>
      </c>
      <c r="B167" s="50" t="str">
        <f aca="true">OFFSET(ORÇAMENTO!C$15,ROW(B167)-ROW(B$15),0)</f>
        <v>S</v>
      </c>
      <c r="C167" s="50" t="str">
        <f aca="true">OFFSET(ORÇAMENTO!L$15,ROW(C167)-ROW(C$15),0)</f>
        <v>F</v>
      </c>
      <c r="D167" s="201" t="str">
        <f aca="true">OFFSET(ORÇAMENTO!N$15,ROW(D167)-ROW(D$15),0)</f>
        <v>Serviço</v>
      </c>
      <c r="E167" s="202" t="str">
        <f aca="true">OFFSET(ORÇAMENTO!O$15,ROW(E167)-ROW(E$15),0)</f>
        <v>1.43.11.</v>
      </c>
      <c r="F167" s="341" t="str">
        <f aca="true">OFFSET(ORÇAMENTO!R$15,ROW(F167)-ROW(F$15),0)</f>
        <v>TE, PVC, SOLDÁVEL, DN 32MM, INSTALADO EM RAMAL DE DISTRIBUIÇÃO DE ÁGUA - FORNECIMENTO E INSTALAÇÃO. AF_06/2022</v>
      </c>
      <c r="G167" s="342" t="str">
        <f aca="true">IF($D167&lt;&gt;"Serviço","",OFFSET(ORÇAMENTO!S$15,ROW(G167)-ROW(G$15),0))</f>
        <v>UN</v>
      </c>
      <c r="H167" s="207" t="n">
        <f aca="true">IF($D167&lt;&gt;"Serviço",0,IF(ACOMPANHAMENTO="BM",ROUND(OFFSET(ORÇAMENTO!AJ$15,ROW(H167)-ROW(H$15),0),15-13*ORÇAMENTO!$AF$7),SUMPRODUCT(($Q$1:$AQ$1=1)*ROUND($Q167:$AQ167,15-13*ORÇAMENTO!$AF$7))))</f>
        <v>75</v>
      </c>
      <c r="I167" s="343" t="s">
        <v>970</v>
      </c>
      <c r="J167" s="344" t="e">
        <f aca="false">IF(OR(B167&lt;&gt;"S",CÁLCULO.FrentesPreenchidas=0),"",IF(AND(ACOMPANHAMENTO="PLE",AUTOEVENTO="Manual",OR(H167&gt;0,ORÇAMENTO!AC167="QUANT."),OR(K167="",M167=0,N167="")),"►",IF(AND(ACOMPANHAMENTO="PLE",ORÇAMENTO!AC167="QUANT."),"►►",IF(AND(COUNTIF($P$11:$AQ$11,"▼")=0,H167&gt;0,I167=""),"◄",""))))</f>
        <v>#NAME?</v>
      </c>
      <c r="K167" s="345"/>
      <c r="L167" s="346" t="s">
        <v>876</v>
      </c>
      <c r="M167" s="347" t="n">
        <f aca="true">IF($D167&lt;&gt;"Serviço","",
          IF(AUTOEVENTO="manual",$A167,
                IF(ISERROR(MATCH($A167,$A$15:OFFSET($A167,-1,0),0)),MAX($M$15:OFFSET(M167,-1,0))+1,
                      INDEX($M$15:OFFSET(M167,-1,0),MATCH($A167,$A$15:OFFSET($A167,-1,0),0)))))</f>
        <v>27</v>
      </c>
      <c r="N167" s="348" t="str">
        <f aca="true">IF($D167&lt;&gt;"Serviço","",
         IF(AUTOEVENTO="Manual",
                IF($A167=0,"&lt;-- defina o número do agrupador",
                       OFFSET(EVENTOS!$D$15,$A167-$A$15,0)),
                OFFSET($F$15,$A167,0)))</f>
        <v>CAIXA D'ÁGUA E BARRILETE</v>
      </c>
      <c r="O167" s="349"/>
      <c r="Q167" s="349" t="n">
        <v>3</v>
      </c>
      <c r="R167" s="350" t="n">
        <v>3</v>
      </c>
      <c r="S167" s="350" t="n">
        <v>3</v>
      </c>
      <c r="T167" s="350" t="n">
        <v>3</v>
      </c>
      <c r="U167" s="350" t="n">
        <v>3</v>
      </c>
      <c r="V167" s="350" t="n">
        <v>3</v>
      </c>
      <c r="W167" s="350" t="n">
        <v>3</v>
      </c>
      <c r="X167" s="350" t="n">
        <v>3</v>
      </c>
      <c r="Y167" s="350" t="n">
        <v>3</v>
      </c>
      <c r="Z167" s="351" t="n">
        <v>3</v>
      </c>
      <c r="AA167" s="350" t="n">
        <v>3</v>
      </c>
      <c r="AB167" s="350" t="n">
        <v>3</v>
      </c>
      <c r="AC167" s="350" t="n">
        <v>3</v>
      </c>
      <c r="AD167" s="350" t="n">
        <v>3</v>
      </c>
      <c r="AE167" s="350" t="n">
        <v>3</v>
      </c>
      <c r="AF167" s="350" t="n">
        <v>3</v>
      </c>
      <c r="AG167" s="350" t="n">
        <v>3</v>
      </c>
      <c r="AH167" s="351" t="n">
        <v>3</v>
      </c>
      <c r="AI167" s="350" t="n">
        <v>3</v>
      </c>
      <c r="AJ167" s="350" t="n">
        <v>3</v>
      </c>
      <c r="AK167" s="350" t="n">
        <v>3</v>
      </c>
      <c r="AL167" s="350" t="n">
        <v>3</v>
      </c>
      <c r="AM167" s="350" t="n">
        <v>3</v>
      </c>
      <c r="AN167" s="350" t="n">
        <v>3</v>
      </c>
      <c r="AO167" s="350" t="n">
        <v>3</v>
      </c>
      <c r="AP167" s="351"/>
      <c r="AR167" s="352" t="n">
        <f aca="true">IF(AND($D167="Serviço",AR$12&lt;&gt;0,$H167&gt;0,OR(AUTOEVENTO&lt;&gt;"manual",$M167&lt;&gt;$A$15)),
        IF(Import.TipoArredondamento&lt;&gt;"TransfereGOV",
              ROUND(OFFSET($P167,0,AR$13),15-13*ORÇAMENTO!$AF$7)/$H167*OFFSET(ORÇAMENTO!$X$15,ROW(AR167)-ROW(AR$15),0),
              ROUND(ROUND(OFFSET($P167,0,AR$13),15-13*ORÇAMENTO!$AF$7)*OFFSET(ORÇAMENTO!$W$15,ROW(AR167)-ROW(AR$15),0),15-13*ORÇAMENTO!$AF$11)),
         0)</f>
        <v>64.83</v>
      </c>
      <c r="AS167" s="352" t="n">
        <f aca="true">IF(AND($D167="Serviço",AS$12&lt;&gt;0,$H167&gt;0,OR(AUTOEVENTO&lt;&gt;"manual",$M167&lt;&gt;$A$15)),
        IF(Import.TipoArredondamento&lt;&gt;"TransfereGOV",
              ROUND(OFFSET($P167,0,AS$13),15-13*ORÇAMENTO!$AF$7)/$H167*OFFSET(ORÇAMENTO!$X$15,ROW(AS167)-ROW(AS$15),0),
              ROUND(ROUND(OFFSET($P167,0,AS$13),15-13*ORÇAMENTO!$AF$7)*OFFSET(ORÇAMENTO!$W$15,ROW(AS167)-ROW(AS$15),0),15-13*ORÇAMENTO!$AF$11)),
         0)</f>
        <v>64.83</v>
      </c>
      <c r="AT167" s="352" t="n">
        <f aca="true">IF(AND($D167="Serviço",AT$12&lt;&gt;0,$H167&gt;0,OR(AUTOEVENTO&lt;&gt;"manual",$M167&lt;&gt;$A$15)),
        IF(Import.TipoArredondamento&lt;&gt;"TransfereGOV",
              ROUND(OFFSET($P167,0,AT$13),15-13*ORÇAMENTO!$AF$7)/$H167*OFFSET(ORÇAMENTO!$X$15,ROW(AT167)-ROW(AT$15),0),
              ROUND(ROUND(OFFSET($P167,0,AT$13),15-13*ORÇAMENTO!$AF$7)*OFFSET(ORÇAMENTO!$W$15,ROW(AT167)-ROW(AT$15),0),15-13*ORÇAMENTO!$AF$11)),
         0)</f>
        <v>64.83</v>
      </c>
      <c r="AU167" s="352" t="n">
        <f aca="true">IF(AND($D167="Serviço",AU$12&lt;&gt;0,$H167&gt;0,OR(AUTOEVENTO&lt;&gt;"manual",$M167&lt;&gt;$A$15)),
        IF(Import.TipoArredondamento&lt;&gt;"TransfereGOV",
              ROUND(OFFSET($P167,0,AU$13),15-13*ORÇAMENTO!$AF$7)/$H167*OFFSET(ORÇAMENTO!$X$15,ROW(AU167)-ROW(AU$15),0),
              ROUND(ROUND(OFFSET($P167,0,AU$13),15-13*ORÇAMENTO!$AF$7)*OFFSET(ORÇAMENTO!$W$15,ROW(AU167)-ROW(AU$15),0),15-13*ORÇAMENTO!$AF$11)),
         0)</f>
        <v>64.83</v>
      </c>
      <c r="AV167" s="352" t="n">
        <f aca="true">IF(AND($D167="Serviço",AV$12&lt;&gt;0,$H167&gt;0,OR(AUTOEVENTO&lt;&gt;"manual",$M167&lt;&gt;$A$15)),
        IF(Import.TipoArredondamento&lt;&gt;"TransfereGOV",
              ROUND(OFFSET($P167,0,AV$13),15-13*ORÇAMENTO!$AF$7)/$H167*OFFSET(ORÇAMENTO!$X$15,ROW(AV167)-ROW(AV$15),0),
              ROUND(ROUND(OFFSET($P167,0,AV$13),15-13*ORÇAMENTO!$AF$7)*OFFSET(ORÇAMENTO!$W$15,ROW(AV167)-ROW(AV$15),0),15-13*ORÇAMENTO!$AF$11)),
         0)</f>
        <v>64.83</v>
      </c>
      <c r="AW167" s="352" t="n">
        <f aca="true">IF(AND($D167="Serviço",AW$12&lt;&gt;0,$H167&gt;0,OR(AUTOEVENTO&lt;&gt;"manual",$M167&lt;&gt;$A$15)),
        IF(Import.TipoArredondamento&lt;&gt;"TransfereGOV",
              ROUND(OFFSET($P167,0,AW$13),15-13*ORÇAMENTO!$AF$7)/$H167*OFFSET(ORÇAMENTO!$X$15,ROW(AW167)-ROW(AW$15),0),
              ROUND(ROUND(OFFSET($P167,0,AW$13),15-13*ORÇAMENTO!$AF$7)*OFFSET(ORÇAMENTO!$W$15,ROW(AW167)-ROW(AW$15),0),15-13*ORÇAMENTO!$AF$11)),
         0)</f>
        <v>64.83</v>
      </c>
      <c r="AX167" s="352" t="n">
        <f aca="true">IF(AND($D167="Serviço",AX$12&lt;&gt;0,$H167&gt;0,OR(AUTOEVENTO&lt;&gt;"manual",$M167&lt;&gt;$A$15)),
        IF(Import.TipoArredondamento&lt;&gt;"TransfereGOV",
              ROUND(OFFSET($P167,0,AX$13),15-13*ORÇAMENTO!$AF$7)/$H167*OFFSET(ORÇAMENTO!$X$15,ROW(AX167)-ROW(AX$15),0),
              ROUND(ROUND(OFFSET($P167,0,AX$13),15-13*ORÇAMENTO!$AF$7)*OFFSET(ORÇAMENTO!$W$15,ROW(AX167)-ROW(AX$15),0),15-13*ORÇAMENTO!$AF$11)),
         0)</f>
        <v>64.83</v>
      </c>
      <c r="AY167" s="352" t="n">
        <f aca="true">IF(AND($D167="Serviço",AY$12&lt;&gt;0,$H167&gt;0,OR(AUTOEVENTO&lt;&gt;"manual",$M167&lt;&gt;$A$15)),
        IF(Import.TipoArredondamento&lt;&gt;"TransfereGOV",
              ROUND(OFFSET($P167,0,AY$13),15-13*ORÇAMENTO!$AF$7)/$H167*OFFSET(ORÇAMENTO!$X$15,ROW(AY167)-ROW(AY$15),0),
              ROUND(ROUND(OFFSET($P167,0,AY$13),15-13*ORÇAMENTO!$AF$7)*OFFSET(ORÇAMENTO!$W$15,ROW(AY167)-ROW(AY$15),0),15-13*ORÇAMENTO!$AF$11)),
         0)</f>
        <v>64.83</v>
      </c>
      <c r="AZ167" s="352" t="n">
        <f aca="true">IF(AND($D167="Serviço",AZ$12&lt;&gt;0,$H167&gt;0,OR(AUTOEVENTO&lt;&gt;"manual",$M167&lt;&gt;$A$15)),
        IF(Import.TipoArredondamento&lt;&gt;"TransfereGOV",
              ROUND(OFFSET($P167,0,AZ$13),15-13*ORÇAMENTO!$AF$7)/$H167*OFFSET(ORÇAMENTO!$X$15,ROW(AZ167)-ROW(AZ$15),0),
              ROUND(ROUND(OFFSET($P167,0,AZ$13),15-13*ORÇAMENTO!$AF$7)*OFFSET(ORÇAMENTO!$W$15,ROW(AZ167)-ROW(AZ$15),0),15-13*ORÇAMENTO!$AF$11)),
         0)</f>
        <v>64.83</v>
      </c>
      <c r="BA167" s="352" t="n">
        <f aca="true">IF(AND($D167="Serviço",BA$12&lt;&gt;0,$H167&gt;0,OR(AUTOEVENTO&lt;&gt;"manual",$M167&lt;&gt;$A$15)),
        IF(Import.TipoArredondamento&lt;&gt;"TransfereGOV",
              ROUND(OFFSET($P167,0,BA$13),15-13*ORÇAMENTO!$AF$7)/$H167*OFFSET(ORÇAMENTO!$X$15,ROW(BA167)-ROW(BA$15),0),
              ROUND(ROUND(OFFSET($P167,0,BA$13),15-13*ORÇAMENTO!$AF$7)*OFFSET(ORÇAMENTO!$W$15,ROW(BA167)-ROW(BA$15),0),15-13*ORÇAMENTO!$AF$11)),
         0)</f>
        <v>64.83</v>
      </c>
      <c r="BB167" s="352" t="n">
        <f aca="true">IF(AND($D167="Serviço",BB$12&lt;&gt;0,$H167&gt;0,OR(AUTOEVENTO&lt;&gt;"manual",$M167&lt;&gt;$A$15)),
        IF(Import.TipoArredondamento&lt;&gt;"TransfereGOV",
              ROUND(OFFSET($P167,0,BB$13),15-13*ORÇAMENTO!$AF$7)/$H167*OFFSET(ORÇAMENTO!$X$15,ROW(BB167)-ROW(BB$15),0),
              ROUND(ROUND(OFFSET($P167,0,BB$13),15-13*ORÇAMENTO!$AF$7)*OFFSET(ORÇAMENTO!$W$15,ROW(BB167)-ROW(BB$15),0),15-13*ORÇAMENTO!$AF$11)),
         0)</f>
        <v>64.83</v>
      </c>
      <c r="BC167" s="352" t="n">
        <f aca="true">IF(AND($D167="Serviço",BC$12&lt;&gt;0,$H167&gt;0,OR(AUTOEVENTO&lt;&gt;"manual",$M167&lt;&gt;$A$15)),
        IF(Import.TipoArredondamento&lt;&gt;"TransfereGOV",
              ROUND(OFFSET($P167,0,BC$13),15-13*ORÇAMENTO!$AF$7)/$H167*OFFSET(ORÇAMENTO!$X$15,ROW(BC167)-ROW(BC$15),0),
              ROUND(ROUND(OFFSET($P167,0,BC$13),15-13*ORÇAMENTO!$AF$7)*OFFSET(ORÇAMENTO!$W$15,ROW(BC167)-ROW(BC$15),0),15-13*ORÇAMENTO!$AF$11)),
         0)</f>
        <v>64.83</v>
      </c>
      <c r="BD167" s="352" t="n">
        <f aca="true">IF(AND($D167="Serviço",BD$12&lt;&gt;0,$H167&gt;0,OR(AUTOEVENTO&lt;&gt;"manual",$M167&lt;&gt;$A$15)),
        IF(Import.TipoArredondamento&lt;&gt;"TransfereGOV",
              ROUND(OFFSET($P167,0,BD$13),15-13*ORÇAMENTO!$AF$7)/$H167*OFFSET(ORÇAMENTO!$X$15,ROW(BD167)-ROW(BD$15),0),
              ROUND(ROUND(OFFSET($P167,0,BD$13),15-13*ORÇAMENTO!$AF$7)*OFFSET(ORÇAMENTO!$W$15,ROW(BD167)-ROW(BD$15),0),15-13*ORÇAMENTO!$AF$11)),
         0)</f>
        <v>64.83</v>
      </c>
      <c r="BE167" s="352" t="n">
        <f aca="true">IF(AND($D167="Serviço",BE$12&lt;&gt;0,$H167&gt;0,OR(AUTOEVENTO&lt;&gt;"manual",$M167&lt;&gt;$A$15)),
        IF(Import.TipoArredondamento&lt;&gt;"TransfereGOV",
              ROUND(OFFSET($P167,0,BE$13),15-13*ORÇAMENTO!$AF$7)/$H167*OFFSET(ORÇAMENTO!$X$15,ROW(BE167)-ROW(BE$15),0),
              ROUND(ROUND(OFFSET($P167,0,BE$13),15-13*ORÇAMENTO!$AF$7)*OFFSET(ORÇAMENTO!$W$15,ROW(BE167)-ROW(BE$15),0),15-13*ORÇAMENTO!$AF$11)),
         0)</f>
        <v>64.83</v>
      </c>
      <c r="BF167" s="352" t="n">
        <f aca="true">IF(AND($D167="Serviço",BF$12&lt;&gt;0,$H167&gt;0,OR(AUTOEVENTO&lt;&gt;"manual",$M167&lt;&gt;$A$15)),
        IF(Import.TipoArredondamento&lt;&gt;"TransfereGOV",
              ROUND(OFFSET($P167,0,BF$13),15-13*ORÇAMENTO!$AF$7)/$H167*OFFSET(ORÇAMENTO!$X$15,ROW(BF167)-ROW(BF$15),0),
              ROUND(ROUND(OFFSET($P167,0,BF$13),15-13*ORÇAMENTO!$AF$7)*OFFSET(ORÇAMENTO!$W$15,ROW(BF167)-ROW(BF$15),0),15-13*ORÇAMENTO!$AF$11)),
         0)</f>
        <v>64.83</v>
      </c>
      <c r="BG167" s="352" t="n">
        <f aca="true">IF(AND($D167="Serviço",BG$12&lt;&gt;0,$H167&gt;0,OR(AUTOEVENTO&lt;&gt;"manual",$M167&lt;&gt;$A$15)),
        IF(Import.TipoArredondamento&lt;&gt;"TransfereGOV",
              ROUND(OFFSET($P167,0,BG$13),15-13*ORÇAMENTO!$AF$7)/$H167*OFFSET(ORÇAMENTO!$X$15,ROW(BG167)-ROW(BG$15),0),
              ROUND(ROUND(OFFSET($P167,0,BG$13),15-13*ORÇAMENTO!$AF$7)*OFFSET(ORÇAMENTO!$W$15,ROW(BG167)-ROW(BG$15),0),15-13*ORÇAMENTO!$AF$11)),
         0)</f>
        <v>64.83</v>
      </c>
      <c r="BH167" s="352" t="n">
        <f aca="true">IF(AND($D167="Serviço",BH$12&lt;&gt;0,$H167&gt;0,OR(AUTOEVENTO&lt;&gt;"manual",$M167&lt;&gt;$A$15)),
        IF(Import.TipoArredondamento&lt;&gt;"TransfereGOV",
              ROUND(OFFSET($P167,0,BH$13),15-13*ORÇAMENTO!$AF$7)/$H167*OFFSET(ORÇAMENTO!$X$15,ROW(BH167)-ROW(BH$15),0),
              ROUND(ROUND(OFFSET($P167,0,BH$13),15-13*ORÇAMENTO!$AF$7)*OFFSET(ORÇAMENTO!$W$15,ROW(BH167)-ROW(BH$15),0),15-13*ORÇAMENTO!$AF$11)),
         0)</f>
        <v>64.83</v>
      </c>
      <c r="BI167" s="352" t="n">
        <f aca="true">IF(AND($D167="Serviço",BI$12&lt;&gt;0,$H167&gt;0,OR(AUTOEVENTO&lt;&gt;"manual",$M167&lt;&gt;$A$15)),
        IF(Import.TipoArredondamento&lt;&gt;"TransfereGOV",
              ROUND(OFFSET($P167,0,BI$13),15-13*ORÇAMENTO!$AF$7)/$H167*OFFSET(ORÇAMENTO!$X$15,ROW(BI167)-ROW(BI$15),0),
              ROUND(ROUND(OFFSET($P167,0,BI$13),15-13*ORÇAMENTO!$AF$7)*OFFSET(ORÇAMENTO!$W$15,ROW(BI167)-ROW(BI$15),0),15-13*ORÇAMENTO!$AF$11)),
         0)</f>
        <v>64.83</v>
      </c>
      <c r="BJ167" s="352" t="n">
        <f aca="true">IF(AND($D167="Serviço",BJ$12&lt;&gt;0,$H167&gt;0,OR(AUTOEVENTO&lt;&gt;"manual",$M167&lt;&gt;$A$15)),
        IF(Import.TipoArredondamento&lt;&gt;"TransfereGOV",
              ROUND(OFFSET($P167,0,BJ$13),15-13*ORÇAMENTO!$AF$7)/$H167*OFFSET(ORÇAMENTO!$X$15,ROW(BJ167)-ROW(BJ$15),0),
              ROUND(ROUND(OFFSET($P167,0,BJ$13),15-13*ORÇAMENTO!$AF$7)*OFFSET(ORÇAMENTO!$W$15,ROW(BJ167)-ROW(BJ$15),0),15-13*ORÇAMENTO!$AF$11)),
         0)</f>
        <v>64.83</v>
      </c>
      <c r="BK167" s="352" t="n">
        <f aca="true">IF(AND($D167="Serviço",BK$12&lt;&gt;0,$H167&gt;0,OR(AUTOEVENTO&lt;&gt;"manual",$M167&lt;&gt;$A$15)),
        IF(Import.TipoArredondamento&lt;&gt;"TransfereGOV",
              ROUND(OFFSET($P167,0,BK$13),15-13*ORÇAMENTO!$AF$7)/$H167*OFFSET(ORÇAMENTO!$X$15,ROW(BK167)-ROW(BK$15),0),
              ROUND(ROUND(OFFSET($P167,0,BK$13),15-13*ORÇAMENTO!$AF$7)*OFFSET(ORÇAMENTO!$W$15,ROW(BK167)-ROW(BK$15),0),15-13*ORÇAMENTO!$AF$11)),
         0)</f>
        <v>64.83</v>
      </c>
      <c r="BL167" s="352" t="n">
        <f aca="true">IF(AND($D167="Serviço",BL$12&lt;&gt;0,$H167&gt;0,OR(AUTOEVENTO&lt;&gt;"manual",$M167&lt;&gt;$A$15)),
        IF(Import.TipoArredondamento&lt;&gt;"TransfereGOV",
              ROUND(OFFSET($P167,0,BL$13),15-13*ORÇAMENTO!$AF$7)/$H167*OFFSET(ORÇAMENTO!$X$15,ROW(BL167)-ROW(BL$15),0),
              ROUND(ROUND(OFFSET($P167,0,BL$13),15-13*ORÇAMENTO!$AF$7)*OFFSET(ORÇAMENTO!$W$15,ROW(BL167)-ROW(BL$15),0),15-13*ORÇAMENTO!$AF$11)),
         0)</f>
        <v>64.83</v>
      </c>
      <c r="BM167" s="352" t="n">
        <f aca="true">IF(AND($D167="Serviço",BM$12&lt;&gt;0,$H167&gt;0,OR(AUTOEVENTO&lt;&gt;"manual",$M167&lt;&gt;$A$15)),
        IF(Import.TipoArredondamento&lt;&gt;"TransfereGOV",
              ROUND(OFFSET($P167,0,BM$13),15-13*ORÇAMENTO!$AF$7)/$H167*OFFSET(ORÇAMENTO!$X$15,ROW(BM167)-ROW(BM$15),0),
              ROUND(ROUND(OFFSET($P167,0,BM$13),15-13*ORÇAMENTO!$AF$7)*OFFSET(ORÇAMENTO!$W$15,ROW(BM167)-ROW(BM$15),0),15-13*ORÇAMENTO!$AF$11)),
         0)</f>
        <v>64.83</v>
      </c>
      <c r="BN167" s="352" t="n">
        <f aca="true">IF(AND($D167="Serviço",BN$12&lt;&gt;0,$H167&gt;0,OR(AUTOEVENTO&lt;&gt;"manual",$M167&lt;&gt;$A$15)),
        IF(Import.TipoArredondamento&lt;&gt;"TransfereGOV",
              ROUND(OFFSET($P167,0,BN$13),15-13*ORÇAMENTO!$AF$7)/$H167*OFFSET(ORÇAMENTO!$X$15,ROW(BN167)-ROW(BN$15),0),
              ROUND(ROUND(OFFSET($P167,0,BN$13),15-13*ORÇAMENTO!$AF$7)*OFFSET(ORÇAMENTO!$W$15,ROW(BN167)-ROW(BN$15),0),15-13*ORÇAMENTO!$AF$11)),
         0)</f>
        <v>64.83</v>
      </c>
      <c r="BO167" s="352" t="n">
        <f aca="true">IF(AND($D167="Serviço",BO$12&lt;&gt;0,$H167&gt;0,OR(AUTOEVENTO&lt;&gt;"manual",$M167&lt;&gt;$A$15)),
        IF(Import.TipoArredondamento&lt;&gt;"TransfereGOV",
              ROUND(OFFSET($P167,0,BO$13),15-13*ORÇAMENTO!$AF$7)/$H167*OFFSET(ORÇAMENTO!$X$15,ROW(BO167)-ROW(BO$15),0),
              ROUND(ROUND(OFFSET($P167,0,BO$13),15-13*ORÇAMENTO!$AF$7)*OFFSET(ORÇAMENTO!$W$15,ROW(BO167)-ROW(BO$15),0),15-13*ORÇAMENTO!$AF$11)),
         0)</f>
        <v>64.83</v>
      </c>
      <c r="BP167" s="352" t="n">
        <f aca="true">IF(AND($D167="Serviço",BP$12&lt;&gt;0,$H167&gt;0,OR(AUTOEVENTO&lt;&gt;"manual",$M167&lt;&gt;$A$15)),
        IF(Import.TipoArredondamento&lt;&gt;"TransfereGOV",
              ROUND(OFFSET($P167,0,BP$13),15-13*ORÇAMENTO!$AF$7)/$H167*OFFSET(ORÇAMENTO!$X$15,ROW(BP167)-ROW(BP$15),0),
              ROUND(ROUND(OFFSET($P167,0,BP$13),15-13*ORÇAMENTO!$AF$7)*OFFSET(ORÇAMENTO!$W$15,ROW(BP167)-ROW(BP$15),0),15-13*ORÇAMENTO!$AF$11)),
         0)</f>
        <v>64.83</v>
      </c>
      <c r="BQ167" s="352" t="n">
        <f aca="true">IF(AND($D167="Serviço",BQ$12&lt;&gt;0,$H167&gt;0,OR(AUTOEVENTO&lt;&gt;"manual",$M167&lt;&gt;$A$15)),
        IF(Import.TipoArredondamento&lt;&gt;"TransfereGOV",
              ROUND(OFFSET($P167,0,BQ$13),15-13*ORÇAMENTO!$AF$7)/$H167*OFFSET(ORÇAMENTO!$X$15,ROW(BQ167)-ROW(BQ$15),0),
              ROUND(ROUND(OFFSET($P167,0,BQ$13),15-13*ORÇAMENTO!$AF$7)*OFFSET(ORÇAMENTO!$W$15,ROW(BQ167)-ROW(BQ$15),0),15-13*ORÇAMENTO!$AF$11)),
         0)</f>
        <v>0</v>
      </c>
      <c r="BS167" s="353" t="n">
        <f aca="true">IF(OR($D167&lt;&gt;"Serviço",AND(AUTOEVENTO="Manual",$M167=$A$15)),0,
         IF(OFFSET(CRONOPLE!$F$15,$M167-$A$15,BS$13)=0,10^12,OFFSET(CRONOPLE!$F$15,$M167-$A$15,BS$13)))</f>
        <v>1</v>
      </c>
      <c r="BT167" s="353" t="n">
        <f aca="true">IF(OR($D167&lt;&gt;"Serviço",AND(AUTOEVENTO="Manual",$M167=$A$15)),0,
         IF(OFFSET(CRONOPLE!$F$15,$M167-$A$15,BT$13)=0,10^12,OFFSET(CRONOPLE!$F$15,$M167-$A$15,BT$13)))</f>
        <v>2</v>
      </c>
      <c r="BU167" s="353" t="n">
        <f aca="true">IF(OR($D167&lt;&gt;"Serviço",AND(AUTOEVENTO="Manual",$M167=$A$15)),0,
         IF(OFFSET(CRONOPLE!$F$15,$M167-$A$15,BU$13)=0,10^12,OFFSET(CRONOPLE!$F$15,$M167-$A$15,BU$13)))</f>
        <v>3</v>
      </c>
      <c r="BV167" s="353" t="n">
        <f aca="true">IF(OR($D167&lt;&gt;"Serviço",AND(AUTOEVENTO="Manual",$M167=$A$15)),0,
         IF(OFFSET(CRONOPLE!$F$15,$M167-$A$15,BV$13)=0,10^12,OFFSET(CRONOPLE!$F$15,$M167-$A$15,BV$13)))</f>
        <v>4</v>
      </c>
      <c r="BW167" s="353" t="n">
        <f aca="true">IF(OR($D167&lt;&gt;"Serviço",AND(AUTOEVENTO="Manual",$M167=$A$15)),0,
         IF(OFFSET(CRONOPLE!$F$15,$M167-$A$15,BW$13)=0,10^12,OFFSET(CRONOPLE!$F$15,$M167-$A$15,BW$13)))</f>
        <v>5</v>
      </c>
      <c r="BX167" s="353" t="n">
        <f aca="true">IF(OR($D167&lt;&gt;"Serviço",AND(AUTOEVENTO="Manual",$M167=$A$15)),0,
         IF(OFFSET(CRONOPLE!$F$15,$M167-$A$15,BX$13)=0,10^12,OFFSET(CRONOPLE!$F$15,$M167-$A$15,BX$13)))</f>
        <v>6</v>
      </c>
      <c r="BY167" s="353" t="n">
        <f aca="true">IF(OR($D167&lt;&gt;"Serviço",AND(AUTOEVENTO="Manual",$M167=$A$15)),0,
         IF(OFFSET(CRONOPLE!$F$15,$M167-$A$15,BY$13)=0,10^12,OFFSET(CRONOPLE!$F$15,$M167-$A$15,BY$13)))</f>
        <v>7</v>
      </c>
      <c r="BZ167" s="353" t="n">
        <f aca="true">IF(OR($D167&lt;&gt;"Serviço",AND(AUTOEVENTO="Manual",$M167=$A$15)),0,
         IF(OFFSET(CRONOPLE!$F$15,$M167-$A$15,BZ$13)=0,10^12,OFFSET(CRONOPLE!$F$15,$M167-$A$15,BZ$13)))</f>
        <v>8</v>
      </c>
      <c r="CA167" s="353" t="n">
        <f aca="true">IF(OR($D167&lt;&gt;"Serviço",AND(AUTOEVENTO="Manual",$M167=$A$15)),0,
         IF(OFFSET(CRONOPLE!$F$15,$M167-$A$15,CA$13)=0,10^12,OFFSET(CRONOPLE!$F$15,$M167-$A$15,CA$13)))</f>
        <v>9</v>
      </c>
      <c r="CB167" s="353" t="n">
        <f aca="true">IF(OR($D167&lt;&gt;"Serviço",AND(AUTOEVENTO="Manual",$M167=$A$15)),0,
         IF(OFFSET(CRONOPLE!$F$15,$M167-$A$15,CB$13)=0,10^12,OFFSET(CRONOPLE!$F$15,$M167-$A$15,CB$13)))</f>
        <v>10</v>
      </c>
      <c r="CC167" s="353" t="n">
        <f aca="true">IF(OR($D167&lt;&gt;"Serviço",AND(AUTOEVENTO="Manual",$M167=$A$15)),0,
         IF(OFFSET(CRONOPLE!$F$15,$M167-$A$15,CC$13)=0,10^12,OFFSET(CRONOPLE!$F$15,$M167-$A$15,CC$13)))</f>
        <v>11</v>
      </c>
      <c r="CD167" s="353" t="n">
        <f aca="true">IF(OR($D167&lt;&gt;"Serviço",AND(AUTOEVENTO="Manual",$M167=$A$15)),0,
         IF(OFFSET(CRONOPLE!$F$15,$M167-$A$15,CD$13)=0,10^12,OFFSET(CRONOPLE!$F$15,$M167-$A$15,CD$13)))</f>
        <v>12</v>
      </c>
      <c r="CE167" s="353" t="n">
        <f aca="true">IF(OR($D167&lt;&gt;"Serviço",AND(AUTOEVENTO="Manual",$M167=$A$15)),0,
         IF(OFFSET(CRONOPLE!$F$15,$M167-$A$15,CE$13)=0,10^12,OFFSET(CRONOPLE!$F$15,$M167-$A$15,CE$13)))</f>
        <v>13</v>
      </c>
      <c r="CF167" s="353" t="n">
        <f aca="true">IF(OR($D167&lt;&gt;"Serviço",AND(AUTOEVENTO="Manual",$M167=$A$15)),0,
         IF(OFFSET(CRONOPLE!$F$15,$M167-$A$15,CF$13)=0,10^12,OFFSET(CRONOPLE!$F$15,$M167-$A$15,CF$13)))</f>
        <v>14</v>
      </c>
      <c r="CG167" s="353" t="n">
        <f aca="true">IF(OR($D167&lt;&gt;"Serviço",AND(AUTOEVENTO="Manual",$M167=$A$15)),0,
         IF(OFFSET(CRONOPLE!$F$15,$M167-$A$15,CG$13)=0,10^12,OFFSET(CRONOPLE!$F$15,$M167-$A$15,CG$13)))</f>
        <v>15</v>
      </c>
      <c r="CH167" s="353" t="n">
        <f aca="true">IF(OR($D167&lt;&gt;"Serviço",AND(AUTOEVENTO="Manual",$M167=$A$15)),0,
         IF(OFFSET(CRONOPLE!$F$15,$M167-$A$15,CH$13)=0,10^12,OFFSET(CRONOPLE!$F$15,$M167-$A$15,CH$13)))</f>
        <v>16</v>
      </c>
      <c r="CI167" s="353" t="n">
        <f aca="true">IF(OR($D167&lt;&gt;"Serviço",AND(AUTOEVENTO="Manual",$M167=$A$15)),0,
         IF(OFFSET(CRONOPLE!$F$15,$M167-$A$15,CI$13)=0,10^12,OFFSET(CRONOPLE!$F$15,$M167-$A$15,CI$13)))</f>
        <v>17</v>
      </c>
      <c r="CJ167" s="353" t="n">
        <f aca="true">IF(OR($D167&lt;&gt;"Serviço",AND(AUTOEVENTO="Manual",$M167=$A$15)),0,
         IF(OFFSET(CRONOPLE!$F$15,$M167-$A$15,CJ$13)=0,10^12,OFFSET(CRONOPLE!$F$15,$M167-$A$15,CJ$13)))</f>
        <v>18</v>
      </c>
      <c r="CK167" s="353" t="n">
        <f aca="true">IF(OR($D167&lt;&gt;"Serviço",AND(AUTOEVENTO="Manual",$M167=$A$15)),0,
         IF(OFFSET(CRONOPLE!$F$15,$M167-$A$15,CK$13)=0,10^12,OFFSET(CRONOPLE!$F$15,$M167-$A$15,CK$13)))</f>
        <v>19</v>
      </c>
      <c r="CL167" s="353" t="n">
        <f aca="true">IF(OR($D167&lt;&gt;"Serviço",AND(AUTOEVENTO="Manual",$M167=$A$15)),0,
         IF(OFFSET(CRONOPLE!$F$15,$M167-$A$15,CL$13)=0,10^12,OFFSET(CRONOPLE!$F$15,$M167-$A$15,CL$13)))</f>
        <v>20</v>
      </c>
      <c r="CM167" s="353" t="n">
        <f aca="true">IF(OR($D167&lt;&gt;"Serviço",AND(AUTOEVENTO="Manual",$M167=$A$15)),0,
         IF(OFFSET(CRONOPLE!$F$15,$M167-$A$15,CM$13)=0,10^12,OFFSET(CRONOPLE!$F$15,$M167-$A$15,CM$13)))</f>
        <v>21</v>
      </c>
      <c r="CN167" s="353" t="n">
        <f aca="true">IF(OR($D167&lt;&gt;"Serviço",AND(AUTOEVENTO="Manual",$M167=$A$15)),0,
         IF(OFFSET(CRONOPLE!$F$15,$M167-$A$15,CN$13)=0,10^12,OFFSET(CRONOPLE!$F$15,$M167-$A$15,CN$13)))</f>
        <v>22</v>
      </c>
      <c r="CO167" s="353" t="n">
        <f aca="true">IF(OR($D167&lt;&gt;"Serviço",AND(AUTOEVENTO="Manual",$M167=$A$15)),0,
         IF(OFFSET(CRONOPLE!$F$15,$M167-$A$15,CO$13)=0,10^12,OFFSET(CRONOPLE!$F$15,$M167-$A$15,CO$13)))</f>
        <v>23</v>
      </c>
      <c r="CP167" s="353" t="n">
        <f aca="true">IF(OR($D167&lt;&gt;"Serviço",AND(AUTOEVENTO="Manual",$M167=$A$15)),0,
         IF(OFFSET(CRONOPLE!$F$15,$M167-$A$15,CP$13)=0,10^12,OFFSET(CRONOPLE!$F$15,$M167-$A$15,CP$13)))</f>
        <v>24</v>
      </c>
      <c r="CQ167" s="353" t="n">
        <f aca="true">IF(OR($D167&lt;&gt;"Serviço",AND(AUTOEVENTO="Manual",$M167=$A$15)),0,
         IF(OFFSET(CRONOPLE!$F$15,$M167-$A$15,CQ$13)=0,10^12,OFFSET(CRONOPLE!$F$15,$M167-$A$15,CQ$13)))</f>
        <v>25</v>
      </c>
      <c r="CR167" s="353" t="n">
        <f aca="true">IF(OR($D167&lt;&gt;"Serviço",AND(AUTOEVENTO="Manual",$M167=$A$15)),0,
         IF(OFFSET(CRONOPLE!$F$15,$M167-$A$15,CR$13)=0,10^12,OFFSET(CRONOPLE!$F$15,$M167-$A$15,CR$13)))</f>
        <v>1000000000000</v>
      </c>
      <c r="CT167" s="354" t="n">
        <f aca="true">IF(OR($D167&lt;&gt;"Serviço",AND(AUTOEVENTO="Manual",$M167=$A$15),$M167&gt;(ROW(PLE.lastrow)-ROW(PLE.firstrow))),0,
           IF(OFFSET(PLE!$G$15,$M167-$A$15,CT$13)="",10^12,OFFSET(PLE!$G$15,$M167-$A$15,CT$13)))</f>
        <v>1000000000000</v>
      </c>
      <c r="CU167" s="354" t="n">
        <f aca="true">IF(OR($D167&lt;&gt;"Serviço",AND(AUTOEVENTO="Manual",$M167=$A$15),$M167&gt;(ROW(PLE.lastrow)-ROW(PLE.firstrow))),0,
           IF(OFFSET(PLE!$G$15,$M167-$A$15,CU$13)="",10^12,OFFSET(PLE!$G$15,$M167-$A$15,CU$13)))</f>
        <v>1000000000000</v>
      </c>
      <c r="CV167" s="354" t="n">
        <f aca="true">IF(OR($D167&lt;&gt;"Serviço",AND(AUTOEVENTO="Manual",$M167=$A$15),$M167&gt;(ROW(PLE.lastrow)-ROW(PLE.firstrow))),0,
           IF(OFFSET(PLE!$G$15,$M167-$A$15,CV$13)="",10^12,OFFSET(PLE!$G$15,$M167-$A$15,CV$13)))</f>
        <v>1000000000000</v>
      </c>
      <c r="CW167" s="354" t="n">
        <f aca="true">IF(OR($D167&lt;&gt;"Serviço",AND(AUTOEVENTO="Manual",$M167=$A$15),$M167&gt;(ROW(PLE.lastrow)-ROW(PLE.firstrow))),0,
           IF(OFFSET(PLE!$G$15,$M167-$A$15,CW$13)="",10^12,OFFSET(PLE!$G$15,$M167-$A$15,CW$13)))</f>
        <v>1000000000000</v>
      </c>
      <c r="CX167" s="354" t="n">
        <f aca="true">IF(OR($D167&lt;&gt;"Serviço",AND(AUTOEVENTO="Manual",$M167=$A$15),$M167&gt;(ROW(PLE.lastrow)-ROW(PLE.firstrow))),0,
           IF(OFFSET(PLE!$G$15,$M167-$A$15,CX$13)="",10^12,OFFSET(PLE!$G$15,$M167-$A$15,CX$13)))</f>
        <v>1000000000000</v>
      </c>
      <c r="CY167" s="354" t="n">
        <f aca="true">IF(OR($D167&lt;&gt;"Serviço",AND(AUTOEVENTO="Manual",$M167=$A$15),$M167&gt;(ROW(PLE.lastrow)-ROW(PLE.firstrow))),0,
           IF(OFFSET(PLE!$G$15,$M167-$A$15,CY$13)="",10^12,OFFSET(PLE!$G$15,$M167-$A$15,CY$13)))</f>
        <v>1000000000000</v>
      </c>
      <c r="CZ167" s="354" t="n">
        <f aca="true">IF(OR($D167&lt;&gt;"Serviço",AND(AUTOEVENTO="Manual",$M167=$A$15),$M167&gt;(ROW(PLE.lastrow)-ROW(PLE.firstrow))),0,
           IF(OFFSET(PLE!$G$15,$M167-$A$15,CZ$13)="",10^12,OFFSET(PLE!$G$15,$M167-$A$15,CZ$13)))</f>
        <v>1000000000000</v>
      </c>
      <c r="DA167" s="354" t="n">
        <f aca="true">IF(OR($D167&lt;&gt;"Serviço",AND(AUTOEVENTO="Manual",$M167=$A$15),$M167&gt;(ROW(PLE.lastrow)-ROW(PLE.firstrow))),0,
           IF(OFFSET(PLE!$G$15,$M167-$A$15,DA$13)="",10^12,OFFSET(PLE!$G$15,$M167-$A$15,DA$13)))</f>
        <v>1000000000000</v>
      </c>
      <c r="DB167" s="354" t="n">
        <f aca="true">IF(OR($D167&lt;&gt;"Serviço",AND(AUTOEVENTO="Manual",$M167=$A$15),$M167&gt;(ROW(PLE.lastrow)-ROW(PLE.firstrow))),0,
           IF(OFFSET(PLE!$G$15,$M167-$A$15,DB$13)="",10^12,OFFSET(PLE!$G$15,$M167-$A$15,DB$13)))</f>
        <v>1000000000000</v>
      </c>
      <c r="DC167" s="354" t="n">
        <f aca="true">IF(OR($D167&lt;&gt;"Serviço",AND(AUTOEVENTO="Manual",$M167=$A$15),$M167&gt;(ROW(PLE.lastrow)-ROW(PLE.firstrow))),0,
           IF(OFFSET(PLE!$G$15,$M167-$A$15,DC$13)="",10^12,OFFSET(PLE!$G$15,$M167-$A$15,DC$13)))</f>
        <v>1000000000000</v>
      </c>
      <c r="DD167" s="354" t="n">
        <f aca="true">IF(OR($D167&lt;&gt;"Serviço",AND(AUTOEVENTO="Manual",$M167=$A$15),$M167&gt;(ROW(PLE.lastrow)-ROW(PLE.firstrow))),0,
           IF(OFFSET(PLE!$G$15,$M167-$A$15,DD$13)="",10^12,OFFSET(PLE!$G$15,$M167-$A$15,DD$13)))</f>
        <v>1000000000000</v>
      </c>
      <c r="DE167" s="354" t="n">
        <f aca="true">IF(OR($D167&lt;&gt;"Serviço",AND(AUTOEVENTO="Manual",$M167=$A$15),$M167&gt;(ROW(PLE.lastrow)-ROW(PLE.firstrow))),0,
           IF(OFFSET(PLE!$G$15,$M167-$A$15,DE$13)="",10^12,OFFSET(PLE!$G$15,$M167-$A$15,DE$13)))</f>
        <v>1000000000000</v>
      </c>
      <c r="DF167" s="354" t="n">
        <f aca="true">IF(OR($D167&lt;&gt;"Serviço",AND(AUTOEVENTO="Manual",$M167=$A$15),$M167&gt;(ROW(PLE.lastrow)-ROW(PLE.firstrow))),0,
           IF(OFFSET(PLE!$G$15,$M167-$A$15,DF$13)="",10^12,OFFSET(PLE!$G$15,$M167-$A$15,DF$13)))</f>
        <v>1000000000000</v>
      </c>
      <c r="DG167" s="354" t="n">
        <f aca="true">IF(OR($D167&lt;&gt;"Serviço",AND(AUTOEVENTO="Manual",$M167=$A$15),$M167&gt;(ROW(PLE.lastrow)-ROW(PLE.firstrow))),0,
           IF(OFFSET(PLE!$G$15,$M167-$A$15,DG$13)="",10^12,OFFSET(PLE!$G$15,$M167-$A$15,DG$13)))</f>
        <v>1000000000000</v>
      </c>
      <c r="DH167" s="354" t="n">
        <f aca="true">IF(OR($D167&lt;&gt;"Serviço",AND(AUTOEVENTO="Manual",$M167=$A$15),$M167&gt;(ROW(PLE.lastrow)-ROW(PLE.firstrow))),0,
           IF(OFFSET(PLE!$G$15,$M167-$A$15,DH$13)="",10^12,OFFSET(PLE!$G$15,$M167-$A$15,DH$13)))</f>
        <v>1000000000000</v>
      </c>
      <c r="DI167" s="354" t="n">
        <f aca="true">IF(OR($D167&lt;&gt;"Serviço",AND(AUTOEVENTO="Manual",$M167=$A$15),$M167&gt;(ROW(PLE.lastrow)-ROW(PLE.firstrow))),0,
           IF(OFFSET(PLE!$G$15,$M167-$A$15,DI$13)="",10^12,OFFSET(PLE!$G$15,$M167-$A$15,DI$13)))</f>
        <v>1000000000000</v>
      </c>
      <c r="DJ167" s="354" t="n">
        <f aca="true">IF(OR($D167&lt;&gt;"Serviço",AND(AUTOEVENTO="Manual",$M167=$A$15),$M167&gt;(ROW(PLE.lastrow)-ROW(PLE.firstrow))),0,
           IF(OFFSET(PLE!$G$15,$M167-$A$15,DJ$13)="",10^12,OFFSET(PLE!$G$15,$M167-$A$15,DJ$13)))</f>
        <v>1000000000000</v>
      </c>
      <c r="DK167" s="354" t="n">
        <f aca="true">IF(OR($D167&lt;&gt;"Serviço",AND(AUTOEVENTO="Manual",$M167=$A$15),$M167&gt;(ROW(PLE.lastrow)-ROW(PLE.firstrow))),0,
           IF(OFFSET(PLE!$G$15,$M167-$A$15,DK$13)="",10^12,OFFSET(PLE!$G$15,$M167-$A$15,DK$13)))</f>
        <v>1000000000000</v>
      </c>
      <c r="DL167" s="354" t="n">
        <f aca="true">IF(OR($D167&lt;&gt;"Serviço",AND(AUTOEVENTO="Manual",$M167=$A$15),$M167&gt;(ROW(PLE.lastrow)-ROW(PLE.firstrow))),0,
           IF(OFFSET(PLE!$G$15,$M167-$A$15,DL$13)="",10^12,OFFSET(PLE!$G$15,$M167-$A$15,DL$13)))</f>
        <v>1000000000000</v>
      </c>
      <c r="DM167" s="354" t="n">
        <f aca="true">IF(OR($D167&lt;&gt;"Serviço",AND(AUTOEVENTO="Manual",$M167=$A$15),$M167&gt;(ROW(PLE.lastrow)-ROW(PLE.firstrow))),0,
           IF(OFFSET(PLE!$G$15,$M167-$A$15,DM$13)="",10^12,OFFSET(PLE!$G$15,$M167-$A$15,DM$13)))</f>
        <v>1000000000000</v>
      </c>
      <c r="DN167" s="354" t="n">
        <f aca="true">IF(OR($D167&lt;&gt;"Serviço",AND(AUTOEVENTO="Manual",$M167=$A$15),$M167&gt;(ROW(PLE.lastrow)-ROW(PLE.firstrow))),0,
           IF(OFFSET(PLE!$G$15,$M167-$A$15,DN$13)="",10^12,OFFSET(PLE!$G$15,$M167-$A$15,DN$13)))</f>
        <v>1000000000000</v>
      </c>
      <c r="DO167" s="354" t="n">
        <f aca="true">IF(OR($D167&lt;&gt;"Serviço",AND(AUTOEVENTO="Manual",$M167=$A$15),$M167&gt;(ROW(PLE.lastrow)-ROW(PLE.firstrow))),0,
           IF(OFFSET(PLE!$G$15,$M167-$A$15,DO$13)="",10^12,OFFSET(PLE!$G$15,$M167-$A$15,DO$13)))</f>
        <v>1000000000000</v>
      </c>
      <c r="DP167" s="354" t="n">
        <f aca="true">IF(OR($D167&lt;&gt;"Serviço",AND(AUTOEVENTO="Manual",$M167=$A$15),$M167&gt;(ROW(PLE.lastrow)-ROW(PLE.firstrow))),0,
           IF(OFFSET(PLE!$G$15,$M167-$A$15,DP$13)="",10^12,OFFSET(PLE!$G$15,$M167-$A$15,DP$13)))</f>
        <v>1000000000000</v>
      </c>
      <c r="DQ167" s="354" t="n">
        <f aca="true">IF(OR($D167&lt;&gt;"Serviço",AND(AUTOEVENTO="Manual",$M167=$A$15),$M167&gt;(ROW(PLE.lastrow)-ROW(PLE.firstrow))),0,
           IF(OFFSET(PLE!$G$15,$M167-$A$15,DQ$13)="",10^12,OFFSET(PLE!$G$15,$M167-$A$15,DQ$13)))</f>
        <v>1000000000000</v>
      </c>
      <c r="DR167" s="354" t="n">
        <f aca="true">IF(OR($D167&lt;&gt;"Serviço",AND(AUTOEVENTO="Manual",$M167=$A$15),$M167&gt;(ROW(PLE.lastrow)-ROW(PLE.firstrow))),0,
           IF(OFFSET(PLE!$G$15,$M167-$A$15,DR$13)="",10^12,OFFSET(PLE!$G$15,$M167-$A$15,DR$13)))</f>
        <v>1000000000000</v>
      </c>
      <c r="DS167" s="354" t="n">
        <f aca="true">IF(OR($D167&lt;&gt;"Serviço",AND(AUTOEVENTO="Manual",$M167=$A$15),$M167&gt;(ROW(PLE.lastrow)-ROW(PLE.firstrow))),0,
           IF(OFFSET(PLE!$G$15,$M167-$A$15,DS$13)="",10^12,OFFSET(PLE!$G$15,$M167-$A$15,DS$13)))</f>
        <v>1000000000000</v>
      </c>
    </row>
    <row r="168" customFormat="false" ht="35.05" hidden="false" customHeight="false" outlineLevel="0" collapsed="false">
      <c r="A168" s="50" t="str">
        <f aca="true">IFERROR(IF(AUTOEVENTO="Manual",IF(K168&lt;&gt;"",MIN(VALUE(LEFT(K168,FIND(".",K168)-1)),COUNTA(EVENTOS.Lista)),0),IF(OR($B168&gt;AUTOEVENTO,$B168="S",$B168=0),SUBSTITUTE(OFFSET($A168,-1,0),IF($D168="Serviço",".",""),""),ROW(A168)-ROW($A$15)&amp;".")),0)</f>
        <v>141</v>
      </c>
      <c r="B168" s="50" t="str">
        <f aca="true">OFFSET(ORÇAMENTO!C$15,ROW(B168)-ROW(B$15),0)</f>
        <v>S</v>
      </c>
      <c r="C168" s="50" t="str">
        <f aca="true">OFFSET(ORÇAMENTO!L$15,ROW(C168)-ROW(C$15),0)</f>
        <v>F</v>
      </c>
      <c r="D168" s="201" t="str">
        <f aca="true">OFFSET(ORÇAMENTO!N$15,ROW(D168)-ROW(D$15),0)</f>
        <v>Serviço</v>
      </c>
      <c r="E168" s="202" t="str">
        <f aca="true">OFFSET(ORÇAMENTO!O$15,ROW(E168)-ROW(E$15),0)</f>
        <v>1.43.12.</v>
      </c>
      <c r="F168" s="341" t="str">
        <f aca="true">OFFSET(ORÇAMENTO!R$15,ROW(F168)-ROW(F$15),0)</f>
        <v>TÊ DE REDUÇÃO, PVC, SOLDÁVEL, DN 32MM X 25MM, INSTALADO EM RAMAL DE DISTRIBUIÇÃO DE ÁGUA - FORNECIMENTO E INSTALAÇÃO. AF_06/2022</v>
      </c>
      <c r="G168" s="342" t="str">
        <f aca="true">IF($D168&lt;&gt;"Serviço","",OFFSET(ORÇAMENTO!S$15,ROW(G168)-ROW(G$15),0))</f>
        <v>UN</v>
      </c>
      <c r="H168" s="207" t="n">
        <f aca="true">IF($D168&lt;&gt;"Serviço",0,IF(ACOMPANHAMENTO="BM",ROUND(OFFSET(ORÇAMENTO!AJ$15,ROW(H168)-ROW(H$15),0),15-13*ORÇAMENTO!$AF$7),SUMPRODUCT(($Q$1:$AQ$1=1)*ROUND($Q168:$AQ168,15-13*ORÇAMENTO!$AF$7))))</f>
        <v>25</v>
      </c>
      <c r="I168" s="343" t="s">
        <v>969</v>
      </c>
      <c r="J168" s="344" t="e">
        <f aca="false">IF(OR(B168&lt;&gt;"S",CÁLCULO.FrentesPreenchidas=0),"",IF(AND(ACOMPANHAMENTO="PLE",AUTOEVENTO="Manual",OR(H168&gt;0,ORÇAMENTO!AC168="QUANT."),OR(K168="",M168=0,N168="")),"►",IF(AND(ACOMPANHAMENTO="PLE",ORÇAMENTO!AC168="QUANT."),"►►",IF(AND(COUNTIF($P$11:$AQ$11,"▼")=0,H168&gt;0,I168=""),"◄",""))))</f>
        <v>#NAME?</v>
      </c>
      <c r="K168" s="345"/>
      <c r="L168" s="346" t="s">
        <v>876</v>
      </c>
      <c r="M168" s="347" t="n">
        <f aca="true">IF($D168&lt;&gt;"Serviço","",
          IF(AUTOEVENTO="manual",$A168,
                IF(ISERROR(MATCH($A168,$A$15:OFFSET($A168,-1,0),0)),MAX($M$15:OFFSET(M168,-1,0))+1,
                      INDEX($M$15:OFFSET(M168,-1,0),MATCH($A168,$A$15:OFFSET($A168,-1,0),0)))))</f>
        <v>27</v>
      </c>
      <c r="N168" s="348" t="str">
        <f aca="true">IF($D168&lt;&gt;"Serviço","",
         IF(AUTOEVENTO="Manual",
                IF($A168=0,"&lt;-- defina o número do agrupador",
                       OFFSET(EVENTOS!$D$15,$A168-$A$15,0)),
                OFFSET($F$15,$A168,0)))</f>
        <v>CAIXA D'ÁGUA E BARRILETE</v>
      </c>
      <c r="O168" s="349"/>
      <c r="Q168" s="349" t="n">
        <v>1</v>
      </c>
      <c r="R168" s="350" t="n">
        <v>1</v>
      </c>
      <c r="S168" s="350" t="n">
        <v>1</v>
      </c>
      <c r="T168" s="350" t="n">
        <v>1</v>
      </c>
      <c r="U168" s="350" t="n">
        <v>1</v>
      </c>
      <c r="V168" s="350" t="n">
        <v>1</v>
      </c>
      <c r="W168" s="350" t="n">
        <v>1</v>
      </c>
      <c r="X168" s="350" t="n">
        <v>1</v>
      </c>
      <c r="Y168" s="350" t="n">
        <v>1</v>
      </c>
      <c r="Z168" s="351" t="n">
        <v>1</v>
      </c>
      <c r="AA168" s="350" t="n">
        <v>1</v>
      </c>
      <c r="AB168" s="350" t="n">
        <v>1</v>
      </c>
      <c r="AC168" s="350" t="n">
        <v>1</v>
      </c>
      <c r="AD168" s="350" t="n">
        <v>1</v>
      </c>
      <c r="AE168" s="350" t="n">
        <v>1</v>
      </c>
      <c r="AF168" s="350" t="n">
        <v>1</v>
      </c>
      <c r="AG168" s="350" t="n">
        <v>1</v>
      </c>
      <c r="AH168" s="351" t="n">
        <v>1</v>
      </c>
      <c r="AI168" s="350" t="n">
        <v>1</v>
      </c>
      <c r="AJ168" s="350" t="n">
        <v>1</v>
      </c>
      <c r="AK168" s="350" t="n">
        <v>1</v>
      </c>
      <c r="AL168" s="350" t="n">
        <v>1</v>
      </c>
      <c r="AM168" s="350" t="n">
        <v>1</v>
      </c>
      <c r="AN168" s="350" t="n">
        <v>1</v>
      </c>
      <c r="AO168" s="350" t="n">
        <v>1</v>
      </c>
      <c r="AP168" s="351"/>
      <c r="AR168" s="352" t="n">
        <f aca="true">IF(AND($D168="Serviço",AR$12&lt;&gt;0,$H168&gt;0,OR(AUTOEVENTO&lt;&gt;"manual",$M168&lt;&gt;$A$15)),
        IF(Import.TipoArredondamento&lt;&gt;"TransfereGOV",
              ROUND(OFFSET($P168,0,AR$13),15-13*ORÇAMENTO!$AF$7)/$H168*OFFSET(ORÇAMENTO!$X$15,ROW(AR168)-ROW(AR$15),0),
              ROUND(ROUND(OFFSET($P168,0,AR$13),15-13*ORÇAMENTO!$AF$7)*OFFSET(ORÇAMENTO!$W$15,ROW(AR168)-ROW(AR$15),0),15-13*ORÇAMENTO!$AF$11)),
         0)</f>
        <v>23.74</v>
      </c>
      <c r="AS168" s="352" t="n">
        <f aca="true">IF(AND($D168="Serviço",AS$12&lt;&gt;0,$H168&gt;0,OR(AUTOEVENTO&lt;&gt;"manual",$M168&lt;&gt;$A$15)),
        IF(Import.TipoArredondamento&lt;&gt;"TransfereGOV",
              ROUND(OFFSET($P168,0,AS$13),15-13*ORÇAMENTO!$AF$7)/$H168*OFFSET(ORÇAMENTO!$X$15,ROW(AS168)-ROW(AS$15),0),
              ROUND(ROUND(OFFSET($P168,0,AS$13),15-13*ORÇAMENTO!$AF$7)*OFFSET(ORÇAMENTO!$W$15,ROW(AS168)-ROW(AS$15),0),15-13*ORÇAMENTO!$AF$11)),
         0)</f>
        <v>23.74</v>
      </c>
      <c r="AT168" s="352" t="n">
        <f aca="true">IF(AND($D168="Serviço",AT$12&lt;&gt;0,$H168&gt;0,OR(AUTOEVENTO&lt;&gt;"manual",$M168&lt;&gt;$A$15)),
        IF(Import.TipoArredondamento&lt;&gt;"TransfereGOV",
              ROUND(OFFSET($P168,0,AT$13),15-13*ORÇAMENTO!$AF$7)/$H168*OFFSET(ORÇAMENTO!$X$15,ROW(AT168)-ROW(AT$15),0),
              ROUND(ROUND(OFFSET($P168,0,AT$13),15-13*ORÇAMENTO!$AF$7)*OFFSET(ORÇAMENTO!$W$15,ROW(AT168)-ROW(AT$15),0),15-13*ORÇAMENTO!$AF$11)),
         0)</f>
        <v>23.74</v>
      </c>
      <c r="AU168" s="352" t="n">
        <f aca="true">IF(AND($D168="Serviço",AU$12&lt;&gt;0,$H168&gt;0,OR(AUTOEVENTO&lt;&gt;"manual",$M168&lt;&gt;$A$15)),
        IF(Import.TipoArredondamento&lt;&gt;"TransfereGOV",
              ROUND(OFFSET($P168,0,AU$13),15-13*ORÇAMENTO!$AF$7)/$H168*OFFSET(ORÇAMENTO!$X$15,ROW(AU168)-ROW(AU$15),0),
              ROUND(ROUND(OFFSET($P168,0,AU$13),15-13*ORÇAMENTO!$AF$7)*OFFSET(ORÇAMENTO!$W$15,ROW(AU168)-ROW(AU$15),0),15-13*ORÇAMENTO!$AF$11)),
         0)</f>
        <v>23.74</v>
      </c>
      <c r="AV168" s="352" t="n">
        <f aca="true">IF(AND($D168="Serviço",AV$12&lt;&gt;0,$H168&gt;0,OR(AUTOEVENTO&lt;&gt;"manual",$M168&lt;&gt;$A$15)),
        IF(Import.TipoArredondamento&lt;&gt;"TransfereGOV",
              ROUND(OFFSET($P168,0,AV$13),15-13*ORÇAMENTO!$AF$7)/$H168*OFFSET(ORÇAMENTO!$X$15,ROW(AV168)-ROW(AV$15),0),
              ROUND(ROUND(OFFSET($P168,0,AV$13),15-13*ORÇAMENTO!$AF$7)*OFFSET(ORÇAMENTO!$W$15,ROW(AV168)-ROW(AV$15),0),15-13*ORÇAMENTO!$AF$11)),
         0)</f>
        <v>23.74</v>
      </c>
      <c r="AW168" s="352" t="n">
        <f aca="true">IF(AND($D168="Serviço",AW$12&lt;&gt;0,$H168&gt;0,OR(AUTOEVENTO&lt;&gt;"manual",$M168&lt;&gt;$A$15)),
        IF(Import.TipoArredondamento&lt;&gt;"TransfereGOV",
              ROUND(OFFSET($P168,0,AW$13),15-13*ORÇAMENTO!$AF$7)/$H168*OFFSET(ORÇAMENTO!$X$15,ROW(AW168)-ROW(AW$15),0),
              ROUND(ROUND(OFFSET($P168,0,AW$13),15-13*ORÇAMENTO!$AF$7)*OFFSET(ORÇAMENTO!$W$15,ROW(AW168)-ROW(AW$15),0),15-13*ORÇAMENTO!$AF$11)),
         0)</f>
        <v>23.74</v>
      </c>
      <c r="AX168" s="352" t="n">
        <f aca="true">IF(AND($D168="Serviço",AX$12&lt;&gt;0,$H168&gt;0,OR(AUTOEVENTO&lt;&gt;"manual",$M168&lt;&gt;$A$15)),
        IF(Import.TipoArredondamento&lt;&gt;"TransfereGOV",
              ROUND(OFFSET($P168,0,AX$13),15-13*ORÇAMENTO!$AF$7)/$H168*OFFSET(ORÇAMENTO!$X$15,ROW(AX168)-ROW(AX$15),0),
              ROUND(ROUND(OFFSET($P168,0,AX$13),15-13*ORÇAMENTO!$AF$7)*OFFSET(ORÇAMENTO!$W$15,ROW(AX168)-ROW(AX$15),0),15-13*ORÇAMENTO!$AF$11)),
         0)</f>
        <v>23.74</v>
      </c>
      <c r="AY168" s="352" t="n">
        <f aca="true">IF(AND($D168="Serviço",AY$12&lt;&gt;0,$H168&gt;0,OR(AUTOEVENTO&lt;&gt;"manual",$M168&lt;&gt;$A$15)),
        IF(Import.TipoArredondamento&lt;&gt;"TransfereGOV",
              ROUND(OFFSET($P168,0,AY$13),15-13*ORÇAMENTO!$AF$7)/$H168*OFFSET(ORÇAMENTO!$X$15,ROW(AY168)-ROW(AY$15),0),
              ROUND(ROUND(OFFSET($P168,0,AY$13),15-13*ORÇAMENTO!$AF$7)*OFFSET(ORÇAMENTO!$W$15,ROW(AY168)-ROW(AY$15),0),15-13*ORÇAMENTO!$AF$11)),
         0)</f>
        <v>23.74</v>
      </c>
      <c r="AZ168" s="352" t="n">
        <f aca="true">IF(AND($D168="Serviço",AZ$12&lt;&gt;0,$H168&gt;0,OR(AUTOEVENTO&lt;&gt;"manual",$M168&lt;&gt;$A$15)),
        IF(Import.TipoArredondamento&lt;&gt;"TransfereGOV",
              ROUND(OFFSET($P168,0,AZ$13),15-13*ORÇAMENTO!$AF$7)/$H168*OFFSET(ORÇAMENTO!$X$15,ROW(AZ168)-ROW(AZ$15),0),
              ROUND(ROUND(OFFSET($P168,0,AZ$13),15-13*ORÇAMENTO!$AF$7)*OFFSET(ORÇAMENTO!$W$15,ROW(AZ168)-ROW(AZ$15),0),15-13*ORÇAMENTO!$AF$11)),
         0)</f>
        <v>23.74</v>
      </c>
      <c r="BA168" s="352" t="n">
        <f aca="true">IF(AND($D168="Serviço",BA$12&lt;&gt;0,$H168&gt;0,OR(AUTOEVENTO&lt;&gt;"manual",$M168&lt;&gt;$A$15)),
        IF(Import.TipoArredondamento&lt;&gt;"TransfereGOV",
              ROUND(OFFSET($P168,0,BA$13),15-13*ORÇAMENTO!$AF$7)/$H168*OFFSET(ORÇAMENTO!$X$15,ROW(BA168)-ROW(BA$15),0),
              ROUND(ROUND(OFFSET($P168,0,BA$13),15-13*ORÇAMENTO!$AF$7)*OFFSET(ORÇAMENTO!$W$15,ROW(BA168)-ROW(BA$15),0),15-13*ORÇAMENTO!$AF$11)),
         0)</f>
        <v>23.74</v>
      </c>
      <c r="BB168" s="352" t="n">
        <f aca="true">IF(AND($D168="Serviço",BB$12&lt;&gt;0,$H168&gt;0,OR(AUTOEVENTO&lt;&gt;"manual",$M168&lt;&gt;$A$15)),
        IF(Import.TipoArredondamento&lt;&gt;"TransfereGOV",
              ROUND(OFFSET($P168,0,BB$13),15-13*ORÇAMENTO!$AF$7)/$H168*OFFSET(ORÇAMENTO!$X$15,ROW(BB168)-ROW(BB$15),0),
              ROUND(ROUND(OFFSET($P168,0,BB$13),15-13*ORÇAMENTO!$AF$7)*OFFSET(ORÇAMENTO!$W$15,ROW(BB168)-ROW(BB$15),0),15-13*ORÇAMENTO!$AF$11)),
         0)</f>
        <v>23.74</v>
      </c>
      <c r="BC168" s="352" t="n">
        <f aca="true">IF(AND($D168="Serviço",BC$12&lt;&gt;0,$H168&gt;0,OR(AUTOEVENTO&lt;&gt;"manual",$M168&lt;&gt;$A$15)),
        IF(Import.TipoArredondamento&lt;&gt;"TransfereGOV",
              ROUND(OFFSET($P168,0,BC$13),15-13*ORÇAMENTO!$AF$7)/$H168*OFFSET(ORÇAMENTO!$X$15,ROW(BC168)-ROW(BC$15),0),
              ROUND(ROUND(OFFSET($P168,0,BC$13),15-13*ORÇAMENTO!$AF$7)*OFFSET(ORÇAMENTO!$W$15,ROW(BC168)-ROW(BC$15),0),15-13*ORÇAMENTO!$AF$11)),
         0)</f>
        <v>23.74</v>
      </c>
      <c r="BD168" s="352" t="n">
        <f aca="true">IF(AND($D168="Serviço",BD$12&lt;&gt;0,$H168&gt;0,OR(AUTOEVENTO&lt;&gt;"manual",$M168&lt;&gt;$A$15)),
        IF(Import.TipoArredondamento&lt;&gt;"TransfereGOV",
              ROUND(OFFSET($P168,0,BD$13),15-13*ORÇAMENTO!$AF$7)/$H168*OFFSET(ORÇAMENTO!$X$15,ROW(BD168)-ROW(BD$15),0),
              ROUND(ROUND(OFFSET($P168,0,BD$13),15-13*ORÇAMENTO!$AF$7)*OFFSET(ORÇAMENTO!$W$15,ROW(BD168)-ROW(BD$15),0),15-13*ORÇAMENTO!$AF$11)),
         0)</f>
        <v>23.74</v>
      </c>
      <c r="BE168" s="352" t="n">
        <f aca="true">IF(AND($D168="Serviço",BE$12&lt;&gt;0,$H168&gt;0,OR(AUTOEVENTO&lt;&gt;"manual",$M168&lt;&gt;$A$15)),
        IF(Import.TipoArredondamento&lt;&gt;"TransfereGOV",
              ROUND(OFFSET($P168,0,BE$13),15-13*ORÇAMENTO!$AF$7)/$H168*OFFSET(ORÇAMENTO!$X$15,ROW(BE168)-ROW(BE$15),0),
              ROUND(ROUND(OFFSET($P168,0,BE$13),15-13*ORÇAMENTO!$AF$7)*OFFSET(ORÇAMENTO!$W$15,ROW(BE168)-ROW(BE$15),0),15-13*ORÇAMENTO!$AF$11)),
         0)</f>
        <v>23.74</v>
      </c>
      <c r="BF168" s="352" t="n">
        <f aca="true">IF(AND($D168="Serviço",BF$12&lt;&gt;0,$H168&gt;0,OR(AUTOEVENTO&lt;&gt;"manual",$M168&lt;&gt;$A$15)),
        IF(Import.TipoArredondamento&lt;&gt;"TransfereGOV",
              ROUND(OFFSET($P168,0,BF$13),15-13*ORÇAMENTO!$AF$7)/$H168*OFFSET(ORÇAMENTO!$X$15,ROW(BF168)-ROW(BF$15),0),
              ROUND(ROUND(OFFSET($P168,0,BF$13),15-13*ORÇAMENTO!$AF$7)*OFFSET(ORÇAMENTO!$W$15,ROW(BF168)-ROW(BF$15),0),15-13*ORÇAMENTO!$AF$11)),
         0)</f>
        <v>23.74</v>
      </c>
      <c r="BG168" s="352" t="n">
        <f aca="true">IF(AND($D168="Serviço",BG$12&lt;&gt;0,$H168&gt;0,OR(AUTOEVENTO&lt;&gt;"manual",$M168&lt;&gt;$A$15)),
        IF(Import.TipoArredondamento&lt;&gt;"TransfereGOV",
              ROUND(OFFSET($P168,0,BG$13),15-13*ORÇAMENTO!$AF$7)/$H168*OFFSET(ORÇAMENTO!$X$15,ROW(BG168)-ROW(BG$15),0),
              ROUND(ROUND(OFFSET($P168,0,BG$13),15-13*ORÇAMENTO!$AF$7)*OFFSET(ORÇAMENTO!$W$15,ROW(BG168)-ROW(BG$15),0),15-13*ORÇAMENTO!$AF$11)),
         0)</f>
        <v>23.74</v>
      </c>
      <c r="BH168" s="352" t="n">
        <f aca="true">IF(AND($D168="Serviço",BH$12&lt;&gt;0,$H168&gt;0,OR(AUTOEVENTO&lt;&gt;"manual",$M168&lt;&gt;$A$15)),
        IF(Import.TipoArredondamento&lt;&gt;"TransfereGOV",
              ROUND(OFFSET($P168,0,BH$13),15-13*ORÇAMENTO!$AF$7)/$H168*OFFSET(ORÇAMENTO!$X$15,ROW(BH168)-ROW(BH$15),0),
              ROUND(ROUND(OFFSET($P168,0,BH$13),15-13*ORÇAMENTO!$AF$7)*OFFSET(ORÇAMENTO!$W$15,ROW(BH168)-ROW(BH$15),0),15-13*ORÇAMENTO!$AF$11)),
         0)</f>
        <v>23.74</v>
      </c>
      <c r="BI168" s="352" t="n">
        <f aca="true">IF(AND($D168="Serviço",BI$12&lt;&gt;0,$H168&gt;0,OR(AUTOEVENTO&lt;&gt;"manual",$M168&lt;&gt;$A$15)),
        IF(Import.TipoArredondamento&lt;&gt;"TransfereGOV",
              ROUND(OFFSET($P168,0,BI$13),15-13*ORÇAMENTO!$AF$7)/$H168*OFFSET(ORÇAMENTO!$X$15,ROW(BI168)-ROW(BI$15),0),
              ROUND(ROUND(OFFSET($P168,0,BI$13),15-13*ORÇAMENTO!$AF$7)*OFFSET(ORÇAMENTO!$W$15,ROW(BI168)-ROW(BI$15),0),15-13*ORÇAMENTO!$AF$11)),
         0)</f>
        <v>23.74</v>
      </c>
      <c r="BJ168" s="352" t="n">
        <f aca="true">IF(AND($D168="Serviço",BJ$12&lt;&gt;0,$H168&gt;0,OR(AUTOEVENTO&lt;&gt;"manual",$M168&lt;&gt;$A$15)),
        IF(Import.TipoArredondamento&lt;&gt;"TransfereGOV",
              ROUND(OFFSET($P168,0,BJ$13),15-13*ORÇAMENTO!$AF$7)/$H168*OFFSET(ORÇAMENTO!$X$15,ROW(BJ168)-ROW(BJ$15),0),
              ROUND(ROUND(OFFSET($P168,0,BJ$13),15-13*ORÇAMENTO!$AF$7)*OFFSET(ORÇAMENTO!$W$15,ROW(BJ168)-ROW(BJ$15),0),15-13*ORÇAMENTO!$AF$11)),
         0)</f>
        <v>23.74</v>
      </c>
      <c r="BK168" s="352" t="n">
        <f aca="true">IF(AND($D168="Serviço",BK$12&lt;&gt;0,$H168&gt;0,OR(AUTOEVENTO&lt;&gt;"manual",$M168&lt;&gt;$A$15)),
        IF(Import.TipoArredondamento&lt;&gt;"TransfereGOV",
              ROUND(OFFSET($P168,0,BK$13),15-13*ORÇAMENTO!$AF$7)/$H168*OFFSET(ORÇAMENTO!$X$15,ROW(BK168)-ROW(BK$15),0),
              ROUND(ROUND(OFFSET($P168,0,BK$13),15-13*ORÇAMENTO!$AF$7)*OFFSET(ORÇAMENTO!$W$15,ROW(BK168)-ROW(BK$15),0),15-13*ORÇAMENTO!$AF$11)),
         0)</f>
        <v>23.74</v>
      </c>
      <c r="BL168" s="352" t="n">
        <f aca="true">IF(AND($D168="Serviço",BL$12&lt;&gt;0,$H168&gt;0,OR(AUTOEVENTO&lt;&gt;"manual",$M168&lt;&gt;$A$15)),
        IF(Import.TipoArredondamento&lt;&gt;"TransfereGOV",
              ROUND(OFFSET($P168,0,BL$13),15-13*ORÇAMENTO!$AF$7)/$H168*OFFSET(ORÇAMENTO!$X$15,ROW(BL168)-ROW(BL$15),0),
              ROUND(ROUND(OFFSET($P168,0,BL$13),15-13*ORÇAMENTO!$AF$7)*OFFSET(ORÇAMENTO!$W$15,ROW(BL168)-ROW(BL$15),0),15-13*ORÇAMENTO!$AF$11)),
         0)</f>
        <v>23.74</v>
      </c>
      <c r="BM168" s="352" t="n">
        <f aca="true">IF(AND($D168="Serviço",BM$12&lt;&gt;0,$H168&gt;0,OR(AUTOEVENTO&lt;&gt;"manual",$M168&lt;&gt;$A$15)),
        IF(Import.TipoArredondamento&lt;&gt;"TransfereGOV",
              ROUND(OFFSET($P168,0,BM$13),15-13*ORÇAMENTO!$AF$7)/$H168*OFFSET(ORÇAMENTO!$X$15,ROW(BM168)-ROW(BM$15),0),
              ROUND(ROUND(OFFSET($P168,0,BM$13),15-13*ORÇAMENTO!$AF$7)*OFFSET(ORÇAMENTO!$W$15,ROW(BM168)-ROW(BM$15),0),15-13*ORÇAMENTO!$AF$11)),
         0)</f>
        <v>23.74</v>
      </c>
      <c r="BN168" s="352" t="n">
        <f aca="true">IF(AND($D168="Serviço",BN$12&lt;&gt;0,$H168&gt;0,OR(AUTOEVENTO&lt;&gt;"manual",$M168&lt;&gt;$A$15)),
        IF(Import.TipoArredondamento&lt;&gt;"TransfereGOV",
              ROUND(OFFSET($P168,0,BN$13),15-13*ORÇAMENTO!$AF$7)/$H168*OFFSET(ORÇAMENTO!$X$15,ROW(BN168)-ROW(BN$15),0),
              ROUND(ROUND(OFFSET($P168,0,BN$13),15-13*ORÇAMENTO!$AF$7)*OFFSET(ORÇAMENTO!$W$15,ROW(BN168)-ROW(BN$15),0),15-13*ORÇAMENTO!$AF$11)),
         0)</f>
        <v>23.74</v>
      </c>
      <c r="BO168" s="352" t="n">
        <f aca="true">IF(AND($D168="Serviço",BO$12&lt;&gt;0,$H168&gt;0,OR(AUTOEVENTO&lt;&gt;"manual",$M168&lt;&gt;$A$15)),
        IF(Import.TipoArredondamento&lt;&gt;"TransfereGOV",
              ROUND(OFFSET($P168,0,BO$13),15-13*ORÇAMENTO!$AF$7)/$H168*OFFSET(ORÇAMENTO!$X$15,ROW(BO168)-ROW(BO$15),0),
              ROUND(ROUND(OFFSET($P168,0,BO$13),15-13*ORÇAMENTO!$AF$7)*OFFSET(ORÇAMENTO!$W$15,ROW(BO168)-ROW(BO$15),0),15-13*ORÇAMENTO!$AF$11)),
         0)</f>
        <v>23.74</v>
      </c>
      <c r="BP168" s="352" t="n">
        <f aca="true">IF(AND($D168="Serviço",BP$12&lt;&gt;0,$H168&gt;0,OR(AUTOEVENTO&lt;&gt;"manual",$M168&lt;&gt;$A$15)),
        IF(Import.TipoArredondamento&lt;&gt;"TransfereGOV",
              ROUND(OFFSET($P168,0,BP$13),15-13*ORÇAMENTO!$AF$7)/$H168*OFFSET(ORÇAMENTO!$X$15,ROW(BP168)-ROW(BP$15),0),
              ROUND(ROUND(OFFSET($P168,0,BP$13),15-13*ORÇAMENTO!$AF$7)*OFFSET(ORÇAMENTO!$W$15,ROW(BP168)-ROW(BP$15),0),15-13*ORÇAMENTO!$AF$11)),
         0)</f>
        <v>23.74</v>
      </c>
      <c r="BQ168" s="352" t="n">
        <f aca="true">IF(AND($D168="Serviço",BQ$12&lt;&gt;0,$H168&gt;0,OR(AUTOEVENTO&lt;&gt;"manual",$M168&lt;&gt;$A$15)),
        IF(Import.TipoArredondamento&lt;&gt;"TransfereGOV",
              ROUND(OFFSET($P168,0,BQ$13),15-13*ORÇAMENTO!$AF$7)/$H168*OFFSET(ORÇAMENTO!$X$15,ROW(BQ168)-ROW(BQ$15),0),
              ROUND(ROUND(OFFSET($P168,0,BQ$13),15-13*ORÇAMENTO!$AF$7)*OFFSET(ORÇAMENTO!$W$15,ROW(BQ168)-ROW(BQ$15),0),15-13*ORÇAMENTO!$AF$11)),
         0)</f>
        <v>0</v>
      </c>
      <c r="BS168" s="353" t="n">
        <f aca="true">IF(OR($D168&lt;&gt;"Serviço",AND(AUTOEVENTO="Manual",$M168=$A$15)),0,
         IF(OFFSET(CRONOPLE!$F$15,$M168-$A$15,BS$13)=0,10^12,OFFSET(CRONOPLE!$F$15,$M168-$A$15,BS$13)))</f>
        <v>1</v>
      </c>
      <c r="BT168" s="353" t="n">
        <f aca="true">IF(OR($D168&lt;&gt;"Serviço",AND(AUTOEVENTO="Manual",$M168=$A$15)),0,
         IF(OFFSET(CRONOPLE!$F$15,$M168-$A$15,BT$13)=0,10^12,OFFSET(CRONOPLE!$F$15,$M168-$A$15,BT$13)))</f>
        <v>2</v>
      </c>
      <c r="BU168" s="353" t="n">
        <f aca="true">IF(OR($D168&lt;&gt;"Serviço",AND(AUTOEVENTO="Manual",$M168=$A$15)),0,
         IF(OFFSET(CRONOPLE!$F$15,$M168-$A$15,BU$13)=0,10^12,OFFSET(CRONOPLE!$F$15,$M168-$A$15,BU$13)))</f>
        <v>3</v>
      </c>
      <c r="BV168" s="353" t="n">
        <f aca="true">IF(OR($D168&lt;&gt;"Serviço",AND(AUTOEVENTO="Manual",$M168=$A$15)),0,
         IF(OFFSET(CRONOPLE!$F$15,$M168-$A$15,BV$13)=0,10^12,OFFSET(CRONOPLE!$F$15,$M168-$A$15,BV$13)))</f>
        <v>4</v>
      </c>
      <c r="BW168" s="353" t="n">
        <f aca="true">IF(OR($D168&lt;&gt;"Serviço",AND(AUTOEVENTO="Manual",$M168=$A$15)),0,
         IF(OFFSET(CRONOPLE!$F$15,$M168-$A$15,BW$13)=0,10^12,OFFSET(CRONOPLE!$F$15,$M168-$A$15,BW$13)))</f>
        <v>5</v>
      </c>
      <c r="BX168" s="353" t="n">
        <f aca="true">IF(OR($D168&lt;&gt;"Serviço",AND(AUTOEVENTO="Manual",$M168=$A$15)),0,
         IF(OFFSET(CRONOPLE!$F$15,$M168-$A$15,BX$13)=0,10^12,OFFSET(CRONOPLE!$F$15,$M168-$A$15,BX$13)))</f>
        <v>6</v>
      </c>
      <c r="BY168" s="353" t="n">
        <f aca="true">IF(OR($D168&lt;&gt;"Serviço",AND(AUTOEVENTO="Manual",$M168=$A$15)),0,
         IF(OFFSET(CRONOPLE!$F$15,$M168-$A$15,BY$13)=0,10^12,OFFSET(CRONOPLE!$F$15,$M168-$A$15,BY$13)))</f>
        <v>7</v>
      </c>
      <c r="BZ168" s="353" t="n">
        <f aca="true">IF(OR($D168&lt;&gt;"Serviço",AND(AUTOEVENTO="Manual",$M168=$A$15)),0,
         IF(OFFSET(CRONOPLE!$F$15,$M168-$A$15,BZ$13)=0,10^12,OFFSET(CRONOPLE!$F$15,$M168-$A$15,BZ$13)))</f>
        <v>8</v>
      </c>
      <c r="CA168" s="353" t="n">
        <f aca="true">IF(OR($D168&lt;&gt;"Serviço",AND(AUTOEVENTO="Manual",$M168=$A$15)),0,
         IF(OFFSET(CRONOPLE!$F$15,$M168-$A$15,CA$13)=0,10^12,OFFSET(CRONOPLE!$F$15,$M168-$A$15,CA$13)))</f>
        <v>9</v>
      </c>
      <c r="CB168" s="353" t="n">
        <f aca="true">IF(OR($D168&lt;&gt;"Serviço",AND(AUTOEVENTO="Manual",$M168=$A$15)),0,
         IF(OFFSET(CRONOPLE!$F$15,$M168-$A$15,CB$13)=0,10^12,OFFSET(CRONOPLE!$F$15,$M168-$A$15,CB$13)))</f>
        <v>10</v>
      </c>
      <c r="CC168" s="353" t="n">
        <f aca="true">IF(OR($D168&lt;&gt;"Serviço",AND(AUTOEVENTO="Manual",$M168=$A$15)),0,
         IF(OFFSET(CRONOPLE!$F$15,$M168-$A$15,CC$13)=0,10^12,OFFSET(CRONOPLE!$F$15,$M168-$A$15,CC$13)))</f>
        <v>11</v>
      </c>
      <c r="CD168" s="353" t="n">
        <f aca="true">IF(OR($D168&lt;&gt;"Serviço",AND(AUTOEVENTO="Manual",$M168=$A$15)),0,
         IF(OFFSET(CRONOPLE!$F$15,$M168-$A$15,CD$13)=0,10^12,OFFSET(CRONOPLE!$F$15,$M168-$A$15,CD$13)))</f>
        <v>12</v>
      </c>
      <c r="CE168" s="353" t="n">
        <f aca="true">IF(OR($D168&lt;&gt;"Serviço",AND(AUTOEVENTO="Manual",$M168=$A$15)),0,
         IF(OFFSET(CRONOPLE!$F$15,$M168-$A$15,CE$13)=0,10^12,OFFSET(CRONOPLE!$F$15,$M168-$A$15,CE$13)))</f>
        <v>13</v>
      </c>
      <c r="CF168" s="353" t="n">
        <f aca="true">IF(OR($D168&lt;&gt;"Serviço",AND(AUTOEVENTO="Manual",$M168=$A$15)),0,
         IF(OFFSET(CRONOPLE!$F$15,$M168-$A$15,CF$13)=0,10^12,OFFSET(CRONOPLE!$F$15,$M168-$A$15,CF$13)))</f>
        <v>14</v>
      </c>
      <c r="CG168" s="353" t="n">
        <f aca="true">IF(OR($D168&lt;&gt;"Serviço",AND(AUTOEVENTO="Manual",$M168=$A$15)),0,
         IF(OFFSET(CRONOPLE!$F$15,$M168-$A$15,CG$13)=0,10^12,OFFSET(CRONOPLE!$F$15,$M168-$A$15,CG$13)))</f>
        <v>15</v>
      </c>
      <c r="CH168" s="353" t="n">
        <f aca="true">IF(OR($D168&lt;&gt;"Serviço",AND(AUTOEVENTO="Manual",$M168=$A$15)),0,
         IF(OFFSET(CRONOPLE!$F$15,$M168-$A$15,CH$13)=0,10^12,OFFSET(CRONOPLE!$F$15,$M168-$A$15,CH$13)))</f>
        <v>16</v>
      </c>
      <c r="CI168" s="353" t="n">
        <f aca="true">IF(OR($D168&lt;&gt;"Serviço",AND(AUTOEVENTO="Manual",$M168=$A$15)),0,
         IF(OFFSET(CRONOPLE!$F$15,$M168-$A$15,CI$13)=0,10^12,OFFSET(CRONOPLE!$F$15,$M168-$A$15,CI$13)))</f>
        <v>17</v>
      </c>
      <c r="CJ168" s="353" t="n">
        <f aca="true">IF(OR($D168&lt;&gt;"Serviço",AND(AUTOEVENTO="Manual",$M168=$A$15)),0,
         IF(OFFSET(CRONOPLE!$F$15,$M168-$A$15,CJ$13)=0,10^12,OFFSET(CRONOPLE!$F$15,$M168-$A$15,CJ$13)))</f>
        <v>18</v>
      </c>
      <c r="CK168" s="353" t="n">
        <f aca="true">IF(OR($D168&lt;&gt;"Serviço",AND(AUTOEVENTO="Manual",$M168=$A$15)),0,
         IF(OFFSET(CRONOPLE!$F$15,$M168-$A$15,CK$13)=0,10^12,OFFSET(CRONOPLE!$F$15,$M168-$A$15,CK$13)))</f>
        <v>19</v>
      </c>
      <c r="CL168" s="353" t="n">
        <f aca="true">IF(OR($D168&lt;&gt;"Serviço",AND(AUTOEVENTO="Manual",$M168=$A$15)),0,
         IF(OFFSET(CRONOPLE!$F$15,$M168-$A$15,CL$13)=0,10^12,OFFSET(CRONOPLE!$F$15,$M168-$A$15,CL$13)))</f>
        <v>20</v>
      </c>
      <c r="CM168" s="353" t="n">
        <f aca="true">IF(OR($D168&lt;&gt;"Serviço",AND(AUTOEVENTO="Manual",$M168=$A$15)),0,
         IF(OFFSET(CRONOPLE!$F$15,$M168-$A$15,CM$13)=0,10^12,OFFSET(CRONOPLE!$F$15,$M168-$A$15,CM$13)))</f>
        <v>21</v>
      </c>
      <c r="CN168" s="353" t="n">
        <f aca="true">IF(OR($D168&lt;&gt;"Serviço",AND(AUTOEVENTO="Manual",$M168=$A$15)),0,
         IF(OFFSET(CRONOPLE!$F$15,$M168-$A$15,CN$13)=0,10^12,OFFSET(CRONOPLE!$F$15,$M168-$A$15,CN$13)))</f>
        <v>22</v>
      </c>
      <c r="CO168" s="353" t="n">
        <f aca="true">IF(OR($D168&lt;&gt;"Serviço",AND(AUTOEVENTO="Manual",$M168=$A$15)),0,
         IF(OFFSET(CRONOPLE!$F$15,$M168-$A$15,CO$13)=0,10^12,OFFSET(CRONOPLE!$F$15,$M168-$A$15,CO$13)))</f>
        <v>23</v>
      </c>
      <c r="CP168" s="353" t="n">
        <f aca="true">IF(OR($D168&lt;&gt;"Serviço",AND(AUTOEVENTO="Manual",$M168=$A$15)),0,
         IF(OFFSET(CRONOPLE!$F$15,$M168-$A$15,CP$13)=0,10^12,OFFSET(CRONOPLE!$F$15,$M168-$A$15,CP$13)))</f>
        <v>24</v>
      </c>
      <c r="CQ168" s="353" t="n">
        <f aca="true">IF(OR($D168&lt;&gt;"Serviço",AND(AUTOEVENTO="Manual",$M168=$A$15)),0,
         IF(OFFSET(CRONOPLE!$F$15,$M168-$A$15,CQ$13)=0,10^12,OFFSET(CRONOPLE!$F$15,$M168-$A$15,CQ$13)))</f>
        <v>25</v>
      </c>
      <c r="CR168" s="353" t="n">
        <f aca="true">IF(OR($D168&lt;&gt;"Serviço",AND(AUTOEVENTO="Manual",$M168=$A$15)),0,
         IF(OFFSET(CRONOPLE!$F$15,$M168-$A$15,CR$13)=0,10^12,OFFSET(CRONOPLE!$F$15,$M168-$A$15,CR$13)))</f>
        <v>1000000000000</v>
      </c>
      <c r="CT168" s="354" t="n">
        <f aca="true">IF(OR($D168&lt;&gt;"Serviço",AND(AUTOEVENTO="Manual",$M168=$A$15),$M168&gt;(ROW(PLE.lastrow)-ROW(PLE.firstrow))),0,
           IF(OFFSET(PLE!$G$15,$M168-$A$15,CT$13)="",10^12,OFFSET(PLE!$G$15,$M168-$A$15,CT$13)))</f>
        <v>1000000000000</v>
      </c>
      <c r="CU168" s="354" t="n">
        <f aca="true">IF(OR($D168&lt;&gt;"Serviço",AND(AUTOEVENTO="Manual",$M168=$A$15),$M168&gt;(ROW(PLE.lastrow)-ROW(PLE.firstrow))),0,
           IF(OFFSET(PLE!$G$15,$M168-$A$15,CU$13)="",10^12,OFFSET(PLE!$G$15,$M168-$A$15,CU$13)))</f>
        <v>1000000000000</v>
      </c>
      <c r="CV168" s="354" t="n">
        <f aca="true">IF(OR($D168&lt;&gt;"Serviço",AND(AUTOEVENTO="Manual",$M168=$A$15),$M168&gt;(ROW(PLE.lastrow)-ROW(PLE.firstrow))),0,
           IF(OFFSET(PLE!$G$15,$M168-$A$15,CV$13)="",10^12,OFFSET(PLE!$G$15,$M168-$A$15,CV$13)))</f>
        <v>1000000000000</v>
      </c>
      <c r="CW168" s="354" t="n">
        <f aca="true">IF(OR($D168&lt;&gt;"Serviço",AND(AUTOEVENTO="Manual",$M168=$A$15),$M168&gt;(ROW(PLE.lastrow)-ROW(PLE.firstrow))),0,
           IF(OFFSET(PLE!$G$15,$M168-$A$15,CW$13)="",10^12,OFFSET(PLE!$G$15,$M168-$A$15,CW$13)))</f>
        <v>1000000000000</v>
      </c>
      <c r="CX168" s="354" t="n">
        <f aca="true">IF(OR($D168&lt;&gt;"Serviço",AND(AUTOEVENTO="Manual",$M168=$A$15),$M168&gt;(ROW(PLE.lastrow)-ROW(PLE.firstrow))),0,
           IF(OFFSET(PLE!$G$15,$M168-$A$15,CX$13)="",10^12,OFFSET(PLE!$G$15,$M168-$A$15,CX$13)))</f>
        <v>1000000000000</v>
      </c>
      <c r="CY168" s="354" t="n">
        <f aca="true">IF(OR($D168&lt;&gt;"Serviço",AND(AUTOEVENTO="Manual",$M168=$A$15),$M168&gt;(ROW(PLE.lastrow)-ROW(PLE.firstrow))),0,
           IF(OFFSET(PLE!$G$15,$M168-$A$15,CY$13)="",10^12,OFFSET(PLE!$G$15,$M168-$A$15,CY$13)))</f>
        <v>1000000000000</v>
      </c>
      <c r="CZ168" s="354" t="n">
        <f aca="true">IF(OR($D168&lt;&gt;"Serviço",AND(AUTOEVENTO="Manual",$M168=$A$15),$M168&gt;(ROW(PLE.lastrow)-ROW(PLE.firstrow))),0,
           IF(OFFSET(PLE!$G$15,$M168-$A$15,CZ$13)="",10^12,OFFSET(PLE!$G$15,$M168-$A$15,CZ$13)))</f>
        <v>1000000000000</v>
      </c>
      <c r="DA168" s="354" t="n">
        <f aca="true">IF(OR($D168&lt;&gt;"Serviço",AND(AUTOEVENTO="Manual",$M168=$A$15),$M168&gt;(ROW(PLE.lastrow)-ROW(PLE.firstrow))),0,
           IF(OFFSET(PLE!$G$15,$M168-$A$15,DA$13)="",10^12,OFFSET(PLE!$G$15,$M168-$A$15,DA$13)))</f>
        <v>1000000000000</v>
      </c>
      <c r="DB168" s="354" t="n">
        <f aca="true">IF(OR($D168&lt;&gt;"Serviço",AND(AUTOEVENTO="Manual",$M168=$A$15),$M168&gt;(ROW(PLE.lastrow)-ROW(PLE.firstrow))),0,
           IF(OFFSET(PLE!$G$15,$M168-$A$15,DB$13)="",10^12,OFFSET(PLE!$G$15,$M168-$A$15,DB$13)))</f>
        <v>1000000000000</v>
      </c>
      <c r="DC168" s="354" t="n">
        <f aca="true">IF(OR($D168&lt;&gt;"Serviço",AND(AUTOEVENTO="Manual",$M168=$A$15),$M168&gt;(ROW(PLE.lastrow)-ROW(PLE.firstrow))),0,
           IF(OFFSET(PLE!$G$15,$M168-$A$15,DC$13)="",10^12,OFFSET(PLE!$G$15,$M168-$A$15,DC$13)))</f>
        <v>1000000000000</v>
      </c>
      <c r="DD168" s="354" t="n">
        <f aca="true">IF(OR($D168&lt;&gt;"Serviço",AND(AUTOEVENTO="Manual",$M168=$A$15),$M168&gt;(ROW(PLE.lastrow)-ROW(PLE.firstrow))),0,
           IF(OFFSET(PLE!$G$15,$M168-$A$15,DD$13)="",10^12,OFFSET(PLE!$G$15,$M168-$A$15,DD$13)))</f>
        <v>1000000000000</v>
      </c>
      <c r="DE168" s="354" t="n">
        <f aca="true">IF(OR($D168&lt;&gt;"Serviço",AND(AUTOEVENTO="Manual",$M168=$A$15),$M168&gt;(ROW(PLE.lastrow)-ROW(PLE.firstrow))),0,
           IF(OFFSET(PLE!$G$15,$M168-$A$15,DE$13)="",10^12,OFFSET(PLE!$G$15,$M168-$A$15,DE$13)))</f>
        <v>1000000000000</v>
      </c>
      <c r="DF168" s="354" t="n">
        <f aca="true">IF(OR($D168&lt;&gt;"Serviço",AND(AUTOEVENTO="Manual",$M168=$A$15),$M168&gt;(ROW(PLE.lastrow)-ROW(PLE.firstrow))),0,
           IF(OFFSET(PLE!$G$15,$M168-$A$15,DF$13)="",10^12,OFFSET(PLE!$G$15,$M168-$A$15,DF$13)))</f>
        <v>1000000000000</v>
      </c>
      <c r="DG168" s="354" t="n">
        <f aca="true">IF(OR($D168&lt;&gt;"Serviço",AND(AUTOEVENTO="Manual",$M168=$A$15),$M168&gt;(ROW(PLE.lastrow)-ROW(PLE.firstrow))),0,
           IF(OFFSET(PLE!$G$15,$M168-$A$15,DG$13)="",10^12,OFFSET(PLE!$G$15,$M168-$A$15,DG$13)))</f>
        <v>1000000000000</v>
      </c>
      <c r="DH168" s="354" t="n">
        <f aca="true">IF(OR($D168&lt;&gt;"Serviço",AND(AUTOEVENTO="Manual",$M168=$A$15),$M168&gt;(ROW(PLE.lastrow)-ROW(PLE.firstrow))),0,
           IF(OFFSET(PLE!$G$15,$M168-$A$15,DH$13)="",10^12,OFFSET(PLE!$G$15,$M168-$A$15,DH$13)))</f>
        <v>1000000000000</v>
      </c>
      <c r="DI168" s="354" t="n">
        <f aca="true">IF(OR($D168&lt;&gt;"Serviço",AND(AUTOEVENTO="Manual",$M168=$A$15),$M168&gt;(ROW(PLE.lastrow)-ROW(PLE.firstrow))),0,
           IF(OFFSET(PLE!$G$15,$M168-$A$15,DI$13)="",10^12,OFFSET(PLE!$G$15,$M168-$A$15,DI$13)))</f>
        <v>1000000000000</v>
      </c>
      <c r="DJ168" s="354" t="n">
        <f aca="true">IF(OR($D168&lt;&gt;"Serviço",AND(AUTOEVENTO="Manual",$M168=$A$15),$M168&gt;(ROW(PLE.lastrow)-ROW(PLE.firstrow))),0,
           IF(OFFSET(PLE!$G$15,$M168-$A$15,DJ$13)="",10^12,OFFSET(PLE!$G$15,$M168-$A$15,DJ$13)))</f>
        <v>1000000000000</v>
      </c>
      <c r="DK168" s="354" t="n">
        <f aca="true">IF(OR($D168&lt;&gt;"Serviço",AND(AUTOEVENTO="Manual",$M168=$A$15),$M168&gt;(ROW(PLE.lastrow)-ROW(PLE.firstrow))),0,
           IF(OFFSET(PLE!$G$15,$M168-$A$15,DK$13)="",10^12,OFFSET(PLE!$G$15,$M168-$A$15,DK$13)))</f>
        <v>1000000000000</v>
      </c>
      <c r="DL168" s="354" t="n">
        <f aca="true">IF(OR($D168&lt;&gt;"Serviço",AND(AUTOEVENTO="Manual",$M168=$A$15),$M168&gt;(ROW(PLE.lastrow)-ROW(PLE.firstrow))),0,
           IF(OFFSET(PLE!$G$15,$M168-$A$15,DL$13)="",10^12,OFFSET(PLE!$G$15,$M168-$A$15,DL$13)))</f>
        <v>1000000000000</v>
      </c>
      <c r="DM168" s="354" t="n">
        <f aca="true">IF(OR($D168&lt;&gt;"Serviço",AND(AUTOEVENTO="Manual",$M168=$A$15),$M168&gt;(ROW(PLE.lastrow)-ROW(PLE.firstrow))),0,
           IF(OFFSET(PLE!$G$15,$M168-$A$15,DM$13)="",10^12,OFFSET(PLE!$G$15,$M168-$A$15,DM$13)))</f>
        <v>1000000000000</v>
      </c>
      <c r="DN168" s="354" t="n">
        <f aca="true">IF(OR($D168&lt;&gt;"Serviço",AND(AUTOEVENTO="Manual",$M168=$A$15),$M168&gt;(ROW(PLE.lastrow)-ROW(PLE.firstrow))),0,
           IF(OFFSET(PLE!$G$15,$M168-$A$15,DN$13)="",10^12,OFFSET(PLE!$G$15,$M168-$A$15,DN$13)))</f>
        <v>1000000000000</v>
      </c>
      <c r="DO168" s="354" t="n">
        <f aca="true">IF(OR($D168&lt;&gt;"Serviço",AND(AUTOEVENTO="Manual",$M168=$A$15),$M168&gt;(ROW(PLE.lastrow)-ROW(PLE.firstrow))),0,
           IF(OFFSET(PLE!$G$15,$M168-$A$15,DO$13)="",10^12,OFFSET(PLE!$G$15,$M168-$A$15,DO$13)))</f>
        <v>1000000000000</v>
      </c>
      <c r="DP168" s="354" t="n">
        <f aca="true">IF(OR($D168&lt;&gt;"Serviço",AND(AUTOEVENTO="Manual",$M168=$A$15),$M168&gt;(ROW(PLE.lastrow)-ROW(PLE.firstrow))),0,
           IF(OFFSET(PLE!$G$15,$M168-$A$15,DP$13)="",10^12,OFFSET(PLE!$G$15,$M168-$A$15,DP$13)))</f>
        <v>1000000000000</v>
      </c>
      <c r="DQ168" s="354" t="n">
        <f aca="true">IF(OR($D168&lt;&gt;"Serviço",AND(AUTOEVENTO="Manual",$M168=$A$15),$M168&gt;(ROW(PLE.lastrow)-ROW(PLE.firstrow))),0,
           IF(OFFSET(PLE!$G$15,$M168-$A$15,DQ$13)="",10^12,OFFSET(PLE!$G$15,$M168-$A$15,DQ$13)))</f>
        <v>1000000000000</v>
      </c>
      <c r="DR168" s="354" t="n">
        <f aca="true">IF(OR($D168&lt;&gt;"Serviço",AND(AUTOEVENTO="Manual",$M168=$A$15),$M168&gt;(ROW(PLE.lastrow)-ROW(PLE.firstrow))),0,
           IF(OFFSET(PLE!$G$15,$M168-$A$15,DR$13)="",10^12,OFFSET(PLE!$G$15,$M168-$A$15,DR$13)))</f>
        <v>1000000000000</v>
      </c>
      <c r="DS168" s="354" t="n">
        <f aca="true">IF(OR($D168&lt;&gt;"Serviço",AND(AUTOEVENTO="Manual",$M168=$A$15),$M168&gt;(ROW(PLE.lastrow)-ROW(PLE.firstrow))),0,
           IF(OFFSET(PLE!$G$15,$M168-$A$15,DS$13)="",10^12,OFFSET(PLE!$G$15,$M168-$A$15,DS$13)))</f>
        <v>1000000000000</v>
      </c>
    </row>
    <row r="169" customFormat="false" ht="23.85" hidden="false" customHeight="false" outlineLevel="0" collapsed="false">
      <c r="A169" s="50" t="str">
        <f aca="true">IFERROR(IF(AUTOEVENTO="Manual",IF(K169&lt;&gt;"",MIN(VALUE(LEFT(K169,FIND(".",K169)-1)),COUNTA(EVENTOS.Lista)),0),IF(OR($B169&gt;AUTOEVENTO,$B169="S",$B169=0),SUBSTITUTE(OFFSET($A169,-1,0),IF($D169="Serviço",".",""),""),ROW(A169)-ROW($A$15)&amp;".")),0)</f>
        <v>141</v>
      </c>
      <c r="B169" s="50" t="str">
        <f aca="true">OFFSET(ORÇAMENTO!C$15,ROW(B169)-ROW(B$15),0)</f>
        <v>S</v>
      </c>
      <c r="C169" s="50" t="str">
        <f aca="true">OFFSET(ORÇAMENTO!L$15,ROW(C169)-ROW(C$15),0)</f>
        <v>F</v>
      </c>
      <c r="D169" s="201" t="str">
        <f aca="true">OFFSET(ORÇAMENTO!N$15,ROW(D169)-ROW(D$15),0)</f>
        <v>Serviço</v>
      </c>
      <c r="E169" s="202" t="str">
        <f aca="true">OFFSET(ORÇAMENTO!O$15,ROW(E169)-ROW(E$15),0)</f>
        <v>1.43.13.</v>
      </c>
      <c r="F169" s="341" t="str">
        <f aca="true">OFFSET(ORÇAMENTO!R$15,ROW(F169)-ROW(F$15),0)</f>
        <v>TUBO, PVC, SOLDÁVEL, DE 25MM, INSTALADO EM RAMAL DE DISTRIBUIÇÃO DE ÁGUA - FORNECIMENTO E INSTALAÇÃO. AF_06/2022</v>
      </c>
      <c r="G169" s="342" t="str">
        <f aca="true">IF($D169&lt;&gt;"Serviço","",OFFSET(ORÇAMENTO!S$15,ROW(G169)-ROW(G$15),0))</f>
        <v>M</v>
      </c>
      <c r="H169" s="207" t="n">
        <f aca="true">IF($D169&lt;&gt;"Serviço",0,IF(ACOMPANHAMENTO="BM",ROUND(OFFSET(ORÇAMENTO!AJ$15,ROW(H169)-ROW(H$15),0),15-13*ORÇAMENTO!$AF$7),SUMPRODUCT(($Q$1:$AQ$1=1)*ROUND($Q169:$AQ169,15-13*ORÇAMENTO!$AF$7))))</f>
        <v>110</v>
      </c>
      <c r="I169" s="343" t="s">
        <v>981</v>
      </c>
      <c r="J169" s="344" t="e">
        <f aca="false">IF(OR(B169&lt;&gt;"S",CÁLCULO.FrentesPreenchidas=0),"",IF(AND(ACOMPANHAMENTO="PLE",AUTOEVENTO="Manual",OR(H169&gt;0,ORÇAMENTO!AC169="QUANT."),OR(K169="",M169=0,N169="")),"►",IF(AND(ACOMPANHAMENTO="PLE",ORÇAMENTO!AC169="QUANT."),"►►",IF(AND(COUNTIF($P$11:$AQ$11,"▼")=0,H169&gt;0,I169=""),"◄",""))))</f>
        <v>#NAME?</v>
      </c>
      <c r="K169" s="345"/>
      <c r="L169" s="346" t="s">
        <v>876</v>
      </c>
      <c r="M169" s="347" t="n">
        <f aca="true">IF($D169&lt;&gt;"Serviço","",
          IF(AUTOEVENTO="manual",$A169,
                IF(ISERROR(MATCH($A169,$A$15:OFFSET($A169,-1,0),0)),MAX($M$15:OFFSET(M169,-1,0))+1,
                      INDEX($M$15:OFFSET(M169,-1,0),MATCH($A169,$A$15:OFFSET($A169,-1,0),0)))))</f>
        <v>27</v>
      </c>
      <c r="N169" s="348" t="str">
        <f aca="true">IF($D169&lt;&gt;"Serviço","",
         IF(AUTOEVENTO="Manual",
                IF($A169=0,"&lt;-- defina o número do agrupador",
                       OFFSET(EVENTOS!$D$15,$A169-$A$15,0)),
                OFFSET($F$15,$A169,0)))</f>
        <v>CAIXA D'ÁGUA E BARRILETE</v>
      </c>
      <c r="O169" s="349"/>
      <c r="Q169" s="349" t="n">
        <v>4.4</v>
      </c>
      <c r="R169" s="350" t="n">
        <v>4.4</v>
      </c>
      <c r="S169" s="350" t="n">
        <v>4.4</v>
      </c>
      <c r="T169" s="350" t="n">
        <v>4.4</v>
      </c>
      <c r="U169" s="350" t="n">
        <v>4.4</v>
      </c>
      <c r="V169" s="350" t="n">
        <v>4.4</v>
      </c>
      <c r="W169" s="350" t="n">
        <v>4.4</v>
      </c>
      <c r="X169" s="350" t="n">
        <v>4.4</v>
      </c>
      <c r="Y169" s="350" t="n">
        <v>4.4</v>
      </c>
      <c r="Z169" s="351" t="n">
        <v>4.4</v>
      </c>
      <c r="AA169" s="350" t="n">
        <v>4.4</v>
      </c>
      <c r="AB169" s="350" t="n">
        <v>4.4</v>
      </c>
      <c r="AC169" s="350" t="n">
        <v>4.4</v>
      </c>
      <c r="AD169" s="350" t="n">
        <v>4.4</v>
      </c>
      <c r="AE169" s="350" t="n">
        <v>4.4</v>
      </c>
      <c r="AF169" s="350" t="n">
        <v>4.4</v>
      </c>
      <c r="AG169" s="350" t="n">
        <v>4.4</v>
      </c>
      <c r="AH169" s="351" t="n">
        <v>4.4</v>
      </c>
      <c r="AI169" s="350" t="n">
        <v>4.4</v>
      </c>
      <c r="AJ169" s="350" t="n">
        <v>4.4</v>
      </c>
      <c r="AK169" s="350" t="n">
        <v>4.4</v>
      </c>
      <c r="AL169" s="350" t="n">
        <v>4.4</v>
      </c>
      <c r="AM169" s="350" t="n">
        <v>4.4</v>
      </c>
      <c r="AN169" s="350" t="n">
        <v>4.4</v>
      </c>
      <c r="AO169" s="350" t="n">
        <v>4.4</v>
      </c>
      <c r="AP169" s="351"/>
      <c r="AR169" s="352" t="n">
        <f aca="true">IF(AND($D169="Serviço",AR$12&lt;&gt;0,$H169&gt;0,OR(AUTOEVENTO&lt;&gt;"manual",$M169&lt;&gt;$A$15)),
        IF(Import.TipoArredondamento&lt;&gt;"TransfereGOV",
              ROUND(OFFSET($P169,0,AR$13),15-13*ORÇAMENTO!$AF$7)/$H169*OFFSET(ORÇAMENTO!$X$15,ROW(AR169)-ROW(AR$15),0),
              ROUND(ROUND(OFFSET($P169,0,AR$13),15-13*ORÇAMENTO!$AF$7)*OFFSET(ORÇAMENTO!$W$15,ROW(AR169)-ROW(AR$15),0),15-13*ORÇAMENTO!$AF$11)),
         0)</f>
        <v>69.65</v>
      </c>
      <c r="AS169" s="352" t="n">
        <f aca="true">IF(AND($D169="Serviço",AS$12&lt;&gt;0,$H169&gt;0,OR(AUTOEVENTO&lt;&gt;"manual",$M169&lt;&gt;$A$15)),
        IF(Import.TipoArredondamento&lt;&gt;"TransfereGOV",
              ROUND(OFFSET($P169,0,AS$13),15-13*ORÇAMENTO!$AF$7)/$H169*OFFSET(ORÇAMENTO!$X$15,ROW(AS169)-ROW(AS$15),0),
              ROUND(ROUND(OFFSET($P169,0,AS$13),15-13*ORÇAMENTO!$AF$7)*OFFSET(ORÇAMENTO!$W$15,ROW(AS169)-ROW(AS$15),0),15-13*ORÇAMENTO!$AF$11)),
         0)</f>
        <v>69.65</v>
      </c>
      <c r="AT169" s="352" t="n">
        <f aca="true">IF(AND($D169="Serviço",AT$12&lt;&gt;0,$H169&gt;0,OR(AUTOEVENTO&lt;&gt;"manual",$M169&lt;&gt;$A$15)),
        IF(Import.TipoArredondamento&lt;&gt;"TransfereGOV",
              ROUND(OFFSET($P169,0,AT$13),15-13*ORÇAMENTO!$AF$7)/$H169*OFFSET(ORÇAMENTO!$X$15,ROW(AT169)-ROW(AT$15),0),
              ROUND(ROUND(OFFSET($P169,0,AT$13),15-13*ORÇAMENTO!$AF$7)*OFFSET(ORÇAMENTO!$W$15,ROW(AT169)-ROW(AT$15),0),15-13*ORÇAMENTO!$AF$11)),
         0)</f>
        <v>69.65</v>
      </c>
      <c r="AU169" s="352" t="n">
        <f aca="true">IF(AND($D169="Serviço",AU$12&lt;&gt;0,$H169&gt;0,OR(AUTOEVENTO&lt;&gt;"manual",$M169&lt;&gt;$A$15)),
        IF(Import.TipoArredondamento&lt;&gt;"TransfereGOV",
              ROUND(OFFSET($P169,0,AU$13),15-13*ORÇAMENTO!$AF$7)/$H169*OFFSET(ORÇAMENTO!$X$15,ROW(AU169)-ROW(AU$15),0),
              ROUND(ROUND(OFFSET($P169,0,AU$13),15-13*ORÇAMENTO!$AF$7)*OFFSET(ORÇAMENTO!$W$15,ROW(AU169)-ROW(AU$15),0),15-13*ORÇAMENTO!$AF$11)),
         0)</f>
        <v>69.65</v>
      </c>
      <c r="AV169" s="352" t="n">
        <f aca="true">IF(AND($D169="Serviço",AV$12&lt;&gt;0,$H169&gt;0,OR(AUTOEVENTO&lt;&gt;"manual",$M169&lt;&gt;$A$15)),
        IF(Import.TipoArredondamento&lt;&gt;"TransfereGOV",
              ROUND(OFFSET($P169,0,AV$13),15-13*ORÇAMENTO!$AF$7)/$H169*OFFSET(ORÇAMENTO!$X$15,ROW(AV169)-ROW(AV$15),0),
              ROUND(ROUND(OFFSET($P169,0,AV$13),15-13*ORÇAMENTO!$AF$7)*OFFSET(ORÇAMENTO!$W$15,ROW(AV169)-ROW(AV$15),0),15-13*ORÇAMENTO!$AF$11)),
         0)</f>
        <v>69.65</v>
      </c>
      <c r="AW169" s="352" t="n">
        <f aca="true">IF(AND($D169="Serviço",AW$12&lt;&gt;0,$H169&gt;0,OR(AUTOEVENTO&lt;&gt;"manual",$M169&lt;&gt;$A$15)),
        IF(Import.TipoArredondamento&lt;&gt;"TransfereGOV",
              ROUND(OFFSET($P169,0,AW$13),15-13*ORÇAMENTO!$AF$7)/$H169*OFFSET(ORÇAMENTO!$X$15,ROW(AW169)-ROW(AW$15),0),
              ROUND(ROUND(OFFSET($P169,0,AW$13),15-13*ORÇAMENTO!$AF$7)*OFFSET(ORÇAMENTO!$W$15,ROW(AW169)-ROW(AW$15),0),15-13*ORÇAMENTO!$AF$11)),
         0)</f>
        <v>69.65</v>
      </c>
      <c r="AX169" s="352" t="n">
        <f aca="true">IF(AND($D169="Serviço",AX$12&lt;&gt;0,$H169&gt;0,OR(AUTOEVENTO&lt;&gt;"manual",$M169&lt;&gt;$A$15)),
        IF(Import.TipoArredondamento&lt;&gt;"TransfereGOV",
              ROUND(OFFSET($P169,0,AX$13),15-13*ORÇAMENTO!$AF$7)/$H169*OFFSET(ORÇAMENTO!$X$15,ROW(AX169)-ROW(AX$15),0),
              ROUND(ROUND(OFFSET($P169,0,AX$13),15-13*ORÇAMENTO!$AF$7)*OFFSET(ORÇAMENTO!$W$15,ROW(AX169)-ROW(AX$15),0),15-13*ORÇAMENTO!$AF$11)),
         0)</f>
        <v>69.65</v>
      </c>
      <c r="AY169" s="352" t="n">
        <f aca="true">IF(AND($D169="Serviço",AY$12&lt;&gt;0,$H169&gt;0,OR(AUTOEVENTO&lt;&gt;"manual",$M169&lt;&gt;$A$15)),
        IF(Import.TipoArredondamento&lt;&gt;"TransfereGOV",
              ROUND(OFFSET($P169,0,AY$13),15-13*ORÇAMENTO!$AF$7)/$H169*OFFSET(ORÇAMENTO!$X$15,ROW(AY169)-ROW(AY$15),0),
              ROUND(ROUND(OFFSET($P169,0,AY$13),15-13*ORÇAMENTO!$AF$7)*OFFSET(ORÇAMENTO!$W$15,ROW(AY169)-ROW(AY$15),0),15-13*ORÇAMENTO!$AF$11)),
         0)</f>
        <v>69.65</v>
      </c>
      <c r="AZ169" s="352" t="n">
        <f aca="true">IF(AND($D169="Serviço",AZ$12&lt;&gt;0,$H169&gt;0,OR(AUTOEVENTO&lt;&gt;"manual",$M169&lt;&gt;$A$15)),
        IF(Import.TipoArredondamento&lt;&gt;"TransfereGOV",
              ROUND(OFFSET($P169,0,AZ$13),15-13*ORÇAMENTO!$AF$7)/$H169*OFFSET(ORÇAMENTO!$X$15,ROW(AZ169)-ROW(AZ$15),0),
              ROUND(ROUND(OFFSET($P169,0,AZ$13),15-13*ORÇAMENTO!$AF$7)*OFFSET(ORÇAMENTO!$W$15,ROW(AZ169)-ROW(AZ$15),0),15-13*ORÇAMENTO!$AF$11)),
         0)</f>
        <v>69.65</v>
      </c>
      <c r="BA169" s="352" t="n">
        <f aca="true">IF(AND($D169="Serviço",BA$12&lt;&gt;0,$H169&gt;0,OR(AUTOEVENTO&lt;&gt;"manual",$M169&lt;&gt;$A$15)),
        IF(Import.TipoArredondamento&lt;&gt;"TransfereGOV",
              ROUND(OFFSET($P169,0,BA$13),15-13*ORÇAMENTO!$AF$7)/$H169*OFFSET(ORÇAMENTO!$X$15,ROW(BA169)-ROW(BA$15),0),
              ROUND(ROUND(OFFSET($P169,0,BA$13),15-13*ORÇAMENTO!$AF$7)*OFFSET(ORÇAMENTO!$W$15,ROW(BA169)-ROW(BA$15),0),15-13*ORÇAMENTO!$AF$11)),
         0)</f>
        <v>69.65</v>
      </c>
      <c r="BB169" s="352" t="n">
        <f aca="true">IF(AND($D169="Serviço",BB$12&lt;&gt;0,$H169&gt;0,OR(AUTOEVENTO&lt;&gt;"manual",$M169&lt;&gt;$A$15)),
        IF(Import.TipoArredondamento&lt;&gt;"TransfereGOV",
              ROUND(OFFSET($P169,0,BB$13),15-13*ORÇAMENTO!$AF$7)/$H169*OFFSET(ORÇAMENTO!$X$15,ROW(BB169)-ROW(BB$15),0),
              ROUND(ROUND(OFFSET($P169,0,BB$13),15-13*ORÇAMENTO!$AF$7)*OFFSET(ORÇAMENTO!$W$15,ROW(BB169)-ROW(BB$15),0),15-13*ORÇAMENTO!$AF$11)),
         0)</f>
        <v>69.65</v>
      </c>
      <c r="BC169" s="352" t="n">
        <f aca="true">IF(AND($D169="Serviço",BC$12&lt;&gt;0,$H169&gt;0,OR(AUTOEVENTO&lt;&gt;"manual",$M169&lt;&gt;$A$15)),
        IF(Import.TipoArredondamento&lt;&gt;"TransfereGOV",
              ROUND(OFFSET($P169,0,BC$13),15-13*ORÇAMENTO!$AF$7)/$H169*OFFSET(ORÇAMENTO!$X$15,ROW(BC169)-ROW(BC$15),0),
              ROUND(ROUND(OFFSET($P169,0,BC$13),15-13*ORÇAMENTO!$AF$7)*OFFSET(ORÇAMENTO!$W$15,ROW(BC169)-ROW(BC$15),0),15-13*ORÇAMENTO!$AF$11)),
         0)</f>
        <v>69.65</v>
      </c>
      <c r="BD169" s="352" t="n">
        <f aca="true">IF(AND($D169="Serviço",BD$12&lt;&gt;0,$H169&gt;0,OR(AUTOEVENTO&lt;&gt;"manual",$M169&lt;&gt;$A$15)),
        IF(Import.TipoArredondamento&lt;&gt;"TransfereGOV",
              ROUND(OFFSET($P169,0,BD$13),15-13*ORÇAMENTO!$AF$7)/$H169*OFFSET(ORÇAMENTO!$X$15,ROW(BD169)-ROW(BD$15),0),
              ROUND(ROUND(OFFSET($P169,0,BD$13),15-13*ORÇAMENTO!$AF$7)*OFFSET(ORÇAMENTO!$W$15,ROW(BD169)-ROW(BD$15),0),15-13*ORÇAMENTO!$AF$11)),
         0)</f>
        <v>69.65</v>
      </c>
      <c r="BE169" s="352" t="n">
        <f aca="true">IF(AND($D169="Serviço",BE$12&lt;&gt;0,$H169&gt;0,OR(AUTOEVENTO&lt;&gt;"manual",$M169&lt;&gt;$A$15)),
        IF(Import.TipoArredondamento&lt;&gt;"TransfereGOV",
              ROUND(OFFSET($P169,0,BE$13),15-13*ORÇAMENTO!$AF$7)/$H169*OFFSET(ORÇAMENTO!$X$15,ROW(BE169)-ROW(BE$15),0),
              ROUND(ROUND(OFFSET($P169,0,BE$13),15-13*ORÇAMENTO!$AF$7)*OFFSET(ORÇAMENTO!$W$15,ROW(BE169)-ROW(BE$15),0),15-13*ORÇAMENTO!$AF$11)),
         0)</f>
        <v>69.65</v>
      </c>
      <c r="BF169" s="352" t="n">
        <f aca="true">IF(AND($D169="Serviço",BF$12&lt;&gt;0,$H169&gt;0,OR(AUTOEVENTO&lt;&gt;"manual",$M169&lt;&gt;$A$15)),
        IF(Import.TipoArredondamento&lt;&gt;"TransfereGOV",
              ROUND(OFFSET($P169,0,BF$13),15-13*ORÇAMENTO!$AF$7)/$H169*OFFSET(ORÇAMENTO!$X$15,ROW(BF169)-ROW(BF$15),0),
              ROUND(ROUND(OFFSET($P169,0,BF$13),15-13*ORÇAMENTO!$AF$7)*OFFSET(ORÇAMENTO!$W$15,ROW(BF169)-ROW(BF$15),0),15-13*ORÇAMENTO!$AF$11)),
         0)</f>
        <v>69.65</v>
      </c>
      <c r="BG169" s="352" t="n">
        <f aca="true">IF(AND($D169="Serviço",BG$12&lt;&gt;0,$H169&gt;0,OR(AUTOEVENTO&lt;&gt;"manual",$M169&lt;&gt;$A$15)),
        IF(Import.TipoArredondamento&lt;&gt;"TransfereGOV",
              ROUND(OFFSET($P169,0,BG$13),15-13*ORÇAMENTO!$AF$7)/$H169*OFFSET(ORÇAMENTO!$X$15,ROW(BG169)-ROW(BG$15),0),
              ROUND(ROUND(OFFSET($P169,0,BG$13),15-13*ORÇAMENTO!$AF$7)*OFFSET(ORÇAMENTO!$W$15,ROW(BG169)-ROW(BG$15),0),15-13*ORÇAMENTO!$AF$11)),
         0)</f>
        <v>69.65</v>
      </c>
      <c r="BH169" s="352" t="n">
        <f aca="true">IF(AND($D169="Serviço",BH$12&lt;&gt;0,$H169&gt;0,OR(AUTOEVENTO&lt;&gt;"manual",$M169&lt;&gt;$A$15)),
        IF(Import.TipoArredondamento&lt;&gt;"TransfereGOV",
              ROUND(OFFSET($P169,0,BH$13),15-13*ORÇAMENTO!$AF$7)/$H169*OFFSET(ORÇAMENTO!$X$15,ROW(BH169)-ROW(BH$15),0),
              ROUND(ROUND(OFFSET($P169,0,BH$13),15-13*ORÇAMENTO!$AF$7)*OFFSET(ORÇAMENTO!$W$15,ROW(BH169)-ROW(BH$15),0),15-13*ORÇAMENTO!$AF$11)),
         0)</f>
        <v>69.65</v>
      </c>
      <c r="BI169" s="352" t="n">
        <f aca="true">IF(AND($D169="Serviço",BI$12&lt;&gt;0,$H169&gt;0,OR(AUTOEVENTO&lt;&gt;"manual",$M169&lt;&gt;$A$15)),
        IF(Import.TipoArredondamento&lt;&gt;"TransfereGOV",
              ROUND(OFFSET($P169,0,BI$13),15-13*ORÇAMENTO!$AF$7)/$H169*OFFSET(ORÇAMENTO!$X$15,ROW(BI169)-ROW(BI$15),0),
              ROUND(ROUND(OFFSET($P169,0,BI$13),15-13*ORÇAMENTO!$AF$7)*OFFSET(ORÇAMENTO!$W$15,ROW(BI169)-ROW(BI$15),0),15-13*ORÇAMENTO!$AF$11)),
         0)</f>
        <v>69.65</v>
      </c>
      <c r="BJ169" s="352" t="n">
        <f aca="true">IF(AND($D169="Serviço",BJ$12&lt;&gt;0,$H169&gt;0,OR(AUTOEVENTO&lt;&gt;"manual",$M169&lt;&gt;$A$15)),
        IF(Import.TipoArredondamento&lt;&gt;"TransfereGOV",
              ROUND(OFFSET($P169,0,BJ$13),15-13*ORÇAMENTO!$AF$7)/$H169*OFFSET(ORÇAMENTO!$X$15,ROW(BJ169)-ROW(BJ$15),0),
              ROUND(ROUND(OFFSET($P169,0,BJ$13),15-13*ORÇAMENTO!$AF$7)*OFFSET(ORÇAMENTO!$W$15,ROW(BJ169)-ROW(BJ$15),0),15-13*ORÇAMENTO!$AF$11)),
         0)</f>
        <v>69.65</v>
      </c>
      <c r="BK169" s="352" t="n">
        <f aca="true">IF(AND($D169="Serviço",BK$12&lt;&gt;0,$H169&gt;0,OR(AUTOEVENTO&lt;&gt;"manual",$M169&lt;&gt;$A$15)),
        IF(Import.TipoArredondamento&lt;&gt;"TransfereGOV",
              ROUND(OFFSET($P169,0,BK$13),15-13*ORÇAMENTO!$AF$7)/$H169*OFFSET(ORÇAMENTO!$X$15,ROW(BK169)-ROW(BK$15),0),
              ROUND(ROUND(OFFSET($P169,0,BK$13),15-13*ORÇAMENTO!$AF$7)*OFFSET(ORÇAMENTO!$W$15,ROW(BK169)-ROW(BK$15),0),15-13*ORÇAMENTO!$AF$11)),
         0)</f>
        <v>69.65</v>
      </c>
      <c r="BL169" s="352" t="n">
        <f aca="true">IF(AND($D169="Serviço",BL$12&lt;&gt;0,$H169&gt;0,OR(AUTOEVENTO&lt;&gt;"manual",$M169&lt;&gt;$A$15)),
        IF(Import.TipoArredondamento&lt;&gt;"TransfereGOV",
              ROUND(OFFSET($P169,0,BL$13),15-13*ORÇAMENTO!$AF$7)/$H169*OFFSET(ORÇAMENTO!$X$15,ROW(BL169)-ROW(BL$15),0),
              ROUND(ROUND(OFFSET($P169,0,BL$13),15-13*ORÇAMENTO!$AF$7)*OFFSET(ORÇAMENTO!$W$15,ROW(BL169)-ROW(BL$15),0),15-13*ORÇAMENTO!$AF$11)),
         0)</f>
        <v>69.65</v>
      </c>
      <c r="BM169" s="352" t="n">
        <f aca="true">IF(AND($D169="Serviço",BM$12&lt;&gt;0,$H169&gt;0,OR(AUTOEVENTO&lt;&gt;"manual",$M169&lt;&gt;$A$15)),
        IF(Import.TipoArredondamento&lt;&gt;"TransfereGOV",
              ROUND(OFFSET($P169,0,BM$13),15-13*ORÇAMENTO!$AF$7)/$H169*OFFSET(ORÇAMENTO!$X$15,ROW(BM169)-ROW(BM$15),0),
              ROUND(ROUND(OFFSET($P169,0,BM$13),15-13*ORÇAMENTO!$AF$7)*OFFSET(ORÇAMENTO!$W$15,ROW(BM169)-ROW(BM$15),0),15-13*ORÇAMENTO!$AF$11)),
         0)</f>
        <v>69.65</v>
      </c>
      <c r="BN169" s="352" t="n">
        <f aca="true">IF(AND($D169="Serviço",BN$12&lt;&gt;0,$H169&gt;0,OR(AUTOEVENTO&lt;&gt;"manual",$M169&lt;&gt;$A$15)),
        IF(Import.TipoArredondamento&lt;&gt;"TransfereGOV",
              ROUND(OFFSET($P169,0,BN$13),15-13*ORÇAMENTO!$AF$7)/$H169*OFFSET(ORÇAMENTO!$X$15,ROW(BN169)-ROW(BN$15),0),
              ROUND(ROUND(OFFSET($P169,0,BN$13),15-13*ORÇAMENTO!$AF$7)*OFFSET(ORÇAMENTO!$W$15,ROW(BN169)-ROW(BN$15),0),15-13*ORÇAMENTO!$AF$11)),
         0)</f>
        <v>69.65</v>
      </c>
      <c r="BO169" s="352" t="n">
        <f aca="true">IF(AND($D169="Serviço",BO$12&lt;&gt;0,$H169&gt;0,OR(AUTOEVENTO&lt;&gt;"manual",$M169&lt;&gt;$A$15)),
        IF(Import.TipoArredondamento&lt;&gt;"TransfereGOV",
              ROUND(OFFSET($P169,0,BO$13),15-13*ORÇAMENTO!$AF$7)/$H169*OFFSET(ORÇAMENTO!$X$15,ROW(BO169)-ROW(BO$15),0),
              ROUND(ROUND(OFFSET($P169,0,BO$13),15-13*ORÇAMENTO!$AF$7)*OFFSET(ORÇAMENTO!$W$15,ROW(BO169)-ROW(BO$15),0),15-13*ORÇAMENTO!$AF$11)),
         0)</f>
        <v>69.65</v>
      </c>
      <c r="BP169" s="352" t="n">
        <f aca="true">IF(AND($D169="Serviço",BP$12&lt;&gt;0,$H169&gt;0,OR(AUTOEVENTO&lt;&gt;"manual",$M169&lt;&gt;$A$15)),
        IF(Import.TipoArredondamento&lt;&gt;"TransfereGOV",
              ROUND(OFFSET($P169,0,BP$13),15-13*ORÇAMENTO!$AF$7)/$H169*OFFSET(ORÇAMENTO!$X$15,ROW(BP169)-ROW(BP$15),0),
              ROUND(ROUND(OFFSET($P169,0,BP$13),15-13*ORÇAMENTO!$AF$7)*OFFSET(ORÇAMENTO!$W$15,ROW(BP169)-ROW(BP$15),0),15-13*ORÇAMENTO!$AF$11)),
         0)</f>
        <v>69.65</v>
      </c>
      <c r="BQ169" s="352" t="n">
        <f aca="true">IF(AND($D169="Serviço",BQ$12&lt;&gt;0,$H169&gt;0,OR(AUTOEVENTO&lt;&gt;"manual",$M169&lt;&gt;$A$15)),
        IF(Import.TipoArredondamento&lt;&gt;"TransfereGOV",
              ROUND(OFFSET($P169,0,BQ$13),15-13*ORÇAMENTO!$AF$7)/$H169*OFFSET(ORÇAMENTO!$X$15,ROW(BQ169)-ROW(BQ$15),0),
              ROUND(ROUND(OFFSET($P169,0,BQ$13),15-13*ORÇAMENTO!$AF$7)*OFFSET(ORÇAMENTO!$W$15,ROW(BQ169)-ROW(BQ$15),0),15-13*ORÇAMENTO!$AF$11)),
         0)</f>
        <v>0</v>
      </c>
      <c r="BS169" s="353" t="n">
        <f aca="true">IF(OR($D169&lt;&gt;"Serviço",AND(AUTOEVENTO="Manual",$M169=$A$15)),0,
         IF(OFFSET(CRONOPLE!$F$15,$M169-$A$15,BS$13)=0,10^12,OFFSET(CRONOPLE!$F$15,$M169-$A$15,BS$13)))</f>
        <v>1</v>
      </c>
      <c r="BT169" s="353" t="n">
        <f aca="true">IF(OR($D169&lt;&gt;"Serviço",AND(AUTOEVENTO="Manual",$M169=$A$15)),0,
         IF(OFFSET(CRONOPLE!$F$15,$M169-$A$15,BT$13)=0,10^12,OFFSET(CRONOPLE!$F$15,$M169-$A$15,BT$13)))</f>
        <v>2</v>
      </c>
      <c r="BU169" s="353" t="n">
        <f aca="true">IF(OR($D169&lt;&gt;"Serviço",AND(AUTOEVENTO="Manual",$M169=$A$15)),0,
         IF(OFFSET(CRONOPLE!$F$15,$M169-$A$15,BU$13)=0,10^12,OFFSET(CRONOPLE!$F$15,$M169-$A$15,BU$13)))</f>
        <v>3</v>
      </c>
      <c r="BV169" s="353" t="n">
        <f aca="true">IF(OR($D169&lt;&gt;"Serviço",AND(AUTOEVENTO="Manual",$M169=$A$15)),0,
         IF(OFFSET(CRONOPLE!$F$15,$M169-$A$15,BV$13)=0,10^12,OFFSET(CRONOPLE!$F$15,$M169-$A$15,BV$13)))</f>
        <v>4</v>
      </c>
      <c r="BW169" s="353" t="n">
        <f aca="true">IF(OR($D169&lt;&gt;"Serviço",AND(AUTOEVENTO="Manual",$M169=$A$15)),0,
         IF(OFFSET(CRONOPLE!$F$15,$M169-$A$15,BW$13)=0,10^12,OFFSET(CRONOPLE!$F$15,$M169-$A$15,BW$13)))</f>
        <v>5</v>
      </c>
      <c r="BX169" s="353" t="n">
        <f aca="true">IF(OR($D169&lt;&gt;"Serviço",AND(AUTOEVENTO="Manual",$M169=$A$15)),0,
         IF(OFFSET(CRONOPLE!$F$15,$M169-$A$15,BX$13)=0,10^12,OFFSET(CRONOPLE!$F$15,$M169-$A$15,BX$13)))</f>
        <v>6</v>
      </c>
      <c r="BY169" s="353" t="n">
        <f aca="true">IF(OR($D169&lt;&gt;"Serviço",AND(AUTOEVENTO="Manual",$M169=$A$15)),0,
         IF(OFFSET(CRONOPLE!$F$15,$M169-$A$15,BY$13)=0,10^12,OFFSET(CRONOPLE!$F$15,$M169-$A$15,BY$13)))</f>
        <v>7</v>
      </c>
      <c r="BZ169" s="353" t="n">
        <f aca="true">IF(OR($D169&lt;&gt;"Serviço",AND(AUTOEVENTO="Manual",$M169=$A$15)),0,
         IF(OFFSET(CRONOPLE!$F$15,$M169-$A$15,BZ$13)=0,10^12,OFFSET(CRONOPLE!$F$15,$M169-$A$15,BZ$13)))</f>
        <v>8</v>
      </c>
      <c r="CA169" s="353" t="n">
        <f aca="true">IF(OR($D169&lt;&gt;"Serviço",AND(AUTOEVENTO="Manual",$M169=$A$15)),0,
         IF(OFFSET(CRONOPLE!$F$15,$M169-$A$15,CA$13)=0,10^12,OFFSET(CRONOPLE!$F$15,$M169-$A$15,CA$13)))</f>
        <v>9</v>
      </c>
      <c r="CB169" s="353" t="n">
        <f aca="true">IF(OR($D169&lt;&gt;"Serviço",AND(AUTOEVENTO="Manual",$M169=$A$15)),0,
         IF(OFFSET(CRONOPLE!$F$15,$M169-$A$15,CB$13)=0,10^12,OFFSET(CRONOPLE!$F$15,$M169-$A$15,CB$13)))</f>
        <v>10</v>
      </c>
      <c r="CC169" s="353" t="n">
        <f aca="true">IF(OR($D169&lt;&gt;"Serviço",AND(AUTOEVENTO="Manual",$M169=$A$15)),0,
         IF(OFFSET(CRONOPLE!$F$15,$M169-$A$15,CC$13)=0,10^12,OFFSET(CRONOPLE!$F$15,$M169-$A$15,CC$13)))</f>
        <v>11</v>
      </c>
      <c r="CD169" s="353" t="n">
        <f aca="true">IF(OR($D169&lt;&gt;"Serviço",AND(AUTOEVENTO="Manual",$M169=$A$15)),0,
         IF(OFFSET(CRONOPLE!$F$15,$M169-$A$15,CD$13)=0,10^12,OFFSET(CRONOPLE!$F$15,$M169-$A$15,CD$13)))</f>
        <v>12</v>
      </c>
      <c r="CE169" s="353" t="n">
        <f aca="true">IF(OR($D169&lt;&gt;"Serviço",AND(AUTOEVENTO="Manual",$M169=$A$15)),0,
         IF(OFFSET(CRONOPLE!$F$15,$M169-$A$15,CE$13)=0,10^12,OFFSET(CRONOPLE!$F$15,$M169-$A$15,CE$13)))</f>
        <v>13</v>
      </c>
      <c r="CF169" s="353" t="n">
        <f aca="true">IF(OR($D169&lt;&gt;"Serviço",AND(AUTOEVENTO="Manual",$M169=$A$15)),0,
         IF(OFFSET(CRONOPLE!$F$15,$M169-$A$15,CF$13)=0,10^12,OFFSET(CRONOPLE!$F$15,$M169-$A$15,CF$13)))</f>
        <v>14</v>
      </c>
      <c r="CG169" s="353" t="n">
        <f aca="true">IF(OR($D169&lt;&gt;"Serviço",AND(AUTOEVENTO="Manual",$M169=$A$15)),0,
         IF(OFFSET(CRONOPLE!$F$15,$M169-$A$15,CG$13)=0,10^12,OFFSET(CRONOPLE!$F$15,$M169-$A$15,CG$13)))</f>
        <v>15</v>
      </c>
      <c r="CH169" s="353" t="n">
        <f aca="true">IF(OR($D169&lt;&gt;"Serviço",AND(AUTOEVENTO="Manual",$M169=$A$15)),0,
         IF(OFFSET(CRONOPLE!$F$15,$M169-$A$15,CH$13)=0,10^12,OFFSET(CRONOPLE!$F$15,$M169-$A$15,CH$13)))</f>
        <v>16</v>
      </c>
      <c r="CI169" s="353" t="n">
        <f aca="true">IF(OR($D169&lt;&gt;"Serviço",AND(AUTOEVENTO="Manual",$M169=$A$15)),0,
         IF(OFFSET(CRONOPLE!$F$15,$M169-$A$15,CI$13)=0,10^12,OFFSET(CRONOPLE!$F$15,$M169-$A$15,CI$13)))</f>
        <v>17</v>
      </c>
      <c r="CJ169" s="353" t="n">
        <f aca="true">IF(OR($D169&lt;&gt;"Serviço",AND(AUTOEVENTO="Manual",$M169=$A$15)),0,
         IF(OFFSET(CRONOPLE!$F$15,$M169-$A$15,CJ$13)=0,10^12,OFFSET(CRONOPLE!$F$15,$M169-$A$15,CJ$13)))</f>
        <v>18</v>
      </c>
      <c r="CK169" s="353" t="n">
        <f aca="true">IF(OR($D169&lt;&gt;"Serviço",AND(AUTOEVENTO="Manual",$M169=$A$15)),0,
         IF(OFFSET(CRONOPLE!$F$15,$M169-$A$15,CK$13)=0,10^12,OFFSET(CRONOPLE!$F$15,$M169-$A$15,CK$13)))</f>
        <v>19</v>
      </c>
      <c r="CL169" s="353" t="n">
        <f aca="true">IF(OR($D169&lt;&gt;"Serviço",AND(AUTOEVENTO="Manual",$M169=$A$15)),0,
         IF(OFFSET(CRONOPLE!$F$15,$M169-$A$15,CL$13)=0,10^12,OFFSET(CRONOPLE!$F$15,$M169-$A$15,CL$13)))</f>
        <v>20</v>
      </c>
      <c r="CM169" s="353" t="n">
        <f aca="true">IF(OR($D169&lt;&gt;"Serviço",AND(AUTOEVENTO="Manual",$M169=$A$15)),0,
         IF(OFFSET(CRONOPLE!$F$15,$M169-$A$15,CM$13)=0,10^12,OFFSET(CRONOPLE!$F$15,$M169-$A$15,CM$13)))</f>
        <v>21</v>
      </c>
      <c r="CN169" s="353" t="n">
        <f aca="true">IF(OR($D169&lt;&gt;"Serviço",AND(AUTOEVENTO="Manual",$M169=$A$15)),0,
         IF(OFFSET(CRONOPLE!$F$15,$M169-$A$15,CN$13)=0,10^12,OFFSET(CRONOPLE!$F$15,$M169-$A$15,CN$13)))</f>
        <v>22</v>
      </c>
      <c r="CO169" s="353" t="n">
        <f aca="true">IF(OR($D169&lt;&gt;"Serviço",AND(AUTOEVENTO="Manual",$M169=$A$15)),0,
         IF(OFFSET(CRONOPLE!$F$15,$M169-$A$15,CO$13)=0,10^12,OFFSET(CRONOPLE!$F$15,$M169-$A$15,CO$13)))</f>
        <v>23</v>
      </c>
      <c r="CP169" s="353" t="n">
        <f aca="true">IF(OR($D169&lt;&gt;"Serviço",AND(AUTOEVENTO="Manual",$M169=$A$15)),0,
         IF(OFFSET(CRONOPLE!$F$15,$M169-$A$15,CP$13)=0,10^12,OFFSET(CRONOPLE!$F$15,$M169-$A$15,CP$13)))</f>
        <v>24</v>
      </c>
      <c r="CQ169" s="353" t="n">
        <f aca="true">IF(OR($D169&lt;&gt;"Serviço",AND(AUTOEVENTO="Manual",$M169=$A$15)),0,
         IF(OFFSET(CRONOPLE!$F$15,$M169-$A$15,CQ$13)=0,10^12,OFFSET(CRONOPLE!$F$15,$M169-$A$15,CQ$13)))</f>
        <v>25</v>
      </c>
      <c r="CR169" s="353" t="n">
        <f aca="true">IF(OR($D169&lt;&gt;"Serviço",AND(AUTOEVENTO="Manual",$M169=$A$15)),0,
         IF(OFFSET(CRONOPLE!$F$15,$M169-$A$15,CR$13)=0,10^12,OFFSET(CRONOPLE!$F$15,$M169-$A$15,CR$13)))</f>
        <v>1000000000000</v>
      </c>
      <c r="CT169" s="354" t="n">
        <f aca="true">IF(OR($D169&lt;&gt;"Serviço",AND(AUTOEVENTO="Manual",$M169=$A$15),$M169&gt;(ROW(PLE.lastrow)-ROW(PLE.firstrow))),0,
           IF(OFFSET(PLE!$G$15,$M169-$A$15,CT$13)="",10^12,OFFSET(PLE!$G$15,$M169-$A$15,CT$13)))</f>
        <v>1000000000000</v>
      </c>
      <c r="CU169" s="354" t="n">
        <f aca="true">IF(OR($D169&lt;&gt;"Serviço",AND(AUTOEVENTO="Manual",$M169=$A$15),$M169&gt;(ROW(PLE.lastrow)-ROW(PLE.firstrow))),0,
           IF(OFFSET(PLE!$G$15,$M169-$A$15,CU$13)="",10^12,OFFSET(PLE!$G$15,$M169-$A$15,CU$13)))</f>
        <v>1000000000000</v>
      </c>
      <c r="CV169" s="354" t="n">
        <f aca="true">IF(OR($D169&lt;&gt;"Serviço",AND(AUTOEVENTO="Manual",$M169=$A$15),$M169&gt;(ROW(PLE.lastrow)-ROW(PLE.firstrow))),0,
           IF(OFFSET(PLE!$G$15,$M169-$A$15,CV$13)="",10^12,OFFSET(PLE!$G$15,$M169-$A$15,CV$13)))</f>
        <v>1000000000000</v>
      </c>
      <c r="CW169" s="354" t="n">
        <f aca="true">IF(OR($D169&lt;&gt;"Serviço",AND(AUTOEVENTO="Manual",$M169=$A$15),$M169&gt;(ROW(PLE.lastrow)-ROW(PLE.firstrow))),0,
           IF(OFFSET(PLE!$G$15,$M169-$A$15,CW$13)="",10^12,OFFSET(PLE!$G$15,$M169-$A$15,CW$13)))</f>
        <v>1000000000000</v>
      </c>
      <c r="CX169" s="354" t="n">
        <f aca="true">IF(OR($D169&lt;&gt;"Serviço",AND(AUTOEVENTO="Manual",$M169=$A$15),$M169&gt;(ROW(PLE.lastrow)-ROW(PLE.firstrow))),0,
           IF(OFFSET(PLE!$G$15,$M169-$A$15,CX$13)="",10^12,OFFSET(PLE!$G$15,$M169-$A$15,CX$13)))</f>
        <v>1000000000000</v>
      </c>
      <c r="CY169" s="354" t="n">
        <f aca="true">IF(OR($D169&lt;&gt;"Serviço",AND(AUTOEVENTO="Manual",$M169=$A$15),$M169&gt;(ROW(PLE.lastrow)-ROW(PLE.firstrow))),0,
           IF(OFFSET(PLE!$G$15,$M169-$A$15,CY$13)="",10^12,OFFSET(PLE!$G$15,$M169-$A$15,CY$13)))</f>
        <v>1000000000000</v>
      </c>
      <c r="CZ169" s="354" t="n">
        <f aca="true">IF(OR($D169&lt;&gt;"Serviço",AND(AUTOEVENTO="Manual",$M169=$A$15),$M169&gt;(ROW(PLE.lastrow)-ROW(PLE.firstrow))),0,
           IF(OFFSET(PLE!$G$15,$M169-$A$15,CZ$13)="",10^12,OFFSET(PLE!$G$15,$M169-$A$15,CZ$13)))</f>
        <v>1000000000000</v>
      </c>
      <c r="DA169" s="354" t="n">
        <f aca="true">IF(OR($D169&lt;&gt;"Serviço",AND(AUTOEVENTO="Manual",$M169=$A$15),$M169&gt;(ROW(PLE.lastrow)-ROW(PLE.firstrow))),0,
           IF(OFFSET(PLE!$G$15,$M169-$A$15,DA$13)="",10^12,OFFSET(PLE!$G$15,$M169-$A$15,DA$13)))</f>
        <v>1000000000000</v>
      </c>
      <c r="DB169" s="354" t="n">
        <f aca="true">IF(OR($D169&lt;&gt;"Serviço",AND(AUTOEVENTO="Manual",$M169=$A$15),$M169&gt;(ROW(PLE.lastrow)-ROW(PLE.firstrow))),0,
           IF(OFFSET(PLE!$G$15,$M169-$A$15,DB$13)="",10^12,OFFSET(PLE!$G$15,$M169-$A$15,DB$13)))</f>
        <v>1000000000000</v>
      </c>
      <c r="DC169" s="354" t="n">
        <f aca="true">IF(OR($D169&lt;&gt;"Serviço",AND(AUTOEVENTO="Manual",$M169=$A$15),$M169&gt;(ROW(PLE.lastrow)-ROW(PLE.firstrow))),0,
           IF(OFFSET(PLE!$G$15,$M169-$A$15,DC$13)="",10^12,OFFSET(PLE!$G$15,$M169-$A$15,DC$13)))</f>
        <v>1000000000000</v>
      </c>
      <c r="DD169" s="354" t="n">
        <f aca="true">IF(OR($D169&lt;&gt;"Serviço",AND(AUTOEVENTO="Manual",$M169=$A$15),$M169&gt;(ROW(PLE.lastrow)-ROW(PLE.firstrow))),0,
           IF(OFFSET(PLE!$G$15,$M169-$A$15,DD$13)="",10^12,OFFSET(PLE!$G$15,$M169-$A$15,DD$13)))</f>
        <v>1000000000000</v>
      </c>
      <c r="DE169" s="354" t="n">
        <f aca="true">IF(OR($D169&lt;&gt;"Serviço",AND(AUTOEVENTO="Manual",$M169=$A$15),$M169&gt;(ROW(PLE.lastrow)-ROW(PLE.firstrow))),0,
           IF(OFFSET(PLE!$G$15,$M169-$A$15,DE$13)="",10^12,OFFSET(PLE!$G$15,$M169-$A$15,DE$13)))</f>
        <v>1000000000000</v>
      </c>
      <c r="DF169" s="354" t="n">
        <f aca="true">IF(OR($D169&lt;&gt;"Serviço",AND(AUTOEVENTO="Manual",$M169=$A$15),$M169&gt;(ROW(PLE.lastrow)-ROW(PLE.firstrow))),0,
           IF(OFFSET(PLE!$G$15,$M169-$A$15,DF$13)="",10^12,OFFSET(PLE!$G$15,$M169-$A$15,DF$13)))</f>
        <v>1000000000000</v>
      </c>
      <c r="DG169" s="354" t="n">
        <f aca="true">IF(OR($D169&lt;&gt;"Serviço",AND(AUTOEVENTO="Manual",$M169=$A$15),$M169&gt;(ROW(PLE.lastrow)-ROW(PLE.firstrow))),0,
           IF(OFFSET(PLE!$G$15,$M169-$A$15,DG$13)="",10^12,OFFSET(PLE!$G$15,$M169-$A$15,DG$13)))</f>
        <v>1000000000000</v>
      </c>
      <c r="DH169" s="354" t="n">
        <f aca="true">IF(OR($D169&lt;&gt;"Serviço",AND(AUTOEVENTO="Manual",$M169=$A$15),$M169&gt;(ROW(PLE.lastrow)-ROW(PLE.firstrow))),0,
           IF(OFFSET(PLE!$G$15,$M169-$A$15,DH$13)="",10^12,OFFSET(PLE!$G$15,$M169-$A$15,DH$13)))</f>
        <v>1000000000000</v>
      </c>
      <c r="DI169" s="354" t="n">
        <f aca="true">IF(OR($D169&lt;&gt;"Serviço",AND(AUTOEVENTO="Manual",$M169=$A$15),$M169&gt;(ROW(PLE.lastrow)-ROW(PLE.firstrow))),0,
           IF(OFFSET(PLE!$G$15,$M169-$A$15,DI$13)="",10^12,OFFSET(PLE!$G$15,$M169-$A$15,DI$13)))</f>
        <v>1000000000000</v>
      </c>
      <c r="DJ169" s="354" t="n">
        <f aca="true">IF(OR($D169&lt;&gt;"Serviço",AND(AUTOEVENTO="Manual",$M169=$A$15),$M169&gt;(ROW(PLE.lastrow)-ROW(PLE.firstrow))),0,
           IF(OFFSET(PLE!$G$15,$M169-$A$15,DJ$13)="",10^12,OFFSET(PLE!$G$15,$M169-$A$15,DJ$13)))</f>
        <v>1000000000000</v>
      </c>
      <c r="DK169" s="354" t="n">
        <f aca="true">IF(OR($D169&lt;&gt;"Serviço",AND(AUTOEVENTO="Manual",$M169=$A$15),$M169&gt;(ROW(PLE.lastrow)-ROW(PLE.firstrow))),0,
           IF(OFFSET(PLE!$G$15,$M169-$A$15,DK$13)="",10^12,OFFSET(PLE!$G$15,$M169-$A$15,DK$13)))</f>
        <v>1000000000000</v>
      </c>
      <c r="DL169" s="354" t="n">
        <f aca="true">IF(OR($D169&lt;&gt;"Serviço",AND(AUTOEVENTO="Manual",$M169=$A$15),$M169&gt;(ROW(PLE.lastrow)-ROW(PLE.firstrow))),0,
           IF(OFFSET(PLE!$G$15,$M169-$A$15,DL$13)="",10^12,OFFSET(PLE!$G$15,$M169-$A$15,DL$13)))</f>
        <v>1000000000000</v>
      </c>
      <c r="DM169" s="354" t="n">
        <f aca="true">IF(OR($D169&lt;&gt;"Serviço",AND(AUTOEVENTO="Manual",$M169=$A$15),$M169&gt;(ROW(PLE.lastrow)-ROW(PLE.firstrow))),0,
           IF(OFFSET(PLE!$G$15,$M169-$A$15,DM$13)="",10^12,OFFSET(PLE!$G$15,$M169-$A$15,DM$13)))</f>
        <v>1000000000000</v>
      </c>
      <c r="DN169" s="354" t="n">
        <f aca="true">IF(OR($D169&lt;&gt;"Serviço",AND(AUTOEVENTO="Manual",$M169=$A$15),$M169&gt;(ROW(PLE.lastrow)-ROW(PLE.firstrow))),0,
           IF(OFFSET(PLE!$G$15,$M169-$A$15,DN$13)="",10^12,OFFSET(PLE!$G$15,$M169-$A$15,DN$13)))</f>
        <v>1000000000000</v>
      </c>
      <c r="DO169" s="354" t="n">
        <f aca="true">IF(OR($D169&lt;&gt;"Serviço",AND(AUTOEVENTO="Manual",$M169=$A$15),$M169&gt;(ROW(PLE.lastrow)-ROW(PLE.firstrow))),0,
           IF(OFFSET(PLE!$G$15,$M169-$A$15,DO$13)="",10^12,OFFSET(PLE!$G$15,$M169-$A$15,DO$13)))</f>
        <v>1000000000000</v>
      </c>
      <c r="DP169" s="354" t="n">
        <f aca="true">IF(OR($D169&lt;&gt;"Serviço",AND(AUTOEVENTO="Manual",$M169=$A$15),$M169&gt;(ROW(PLE.lastrow)-ROW(PLE.firstrow))),0,
           IF(OFFSET(PLE!$G$15,$M169-$A$15,DP$13)="",10^12,OFFSET(PLE!$G$15,$M169-$A$15,DP$13)))</f>
        <v>1000000000000</v>
      </c>
      <c r="DQ169" s="354" t="n">
        <f aca="true">IF(OR($D169&lt;&gt;"Serviço",AND(AUTOEVENTO="Manual",$M169=$A$15),$M169&gt;(ROW(PLE.lastrow)-ROW(PLE.firstrow))),0,
           IF(OFFSET(PLE!$G$15,$M169-$A$15,DQ$13)="",10^12,OFFSET(PLE!$G$15,$M169-$A$15,DQ$13)))</f>
        <v>1000000000000</v>
      </c>
      <c r="DR169" s="354" t="n">
        <f aca="true">IF(OR($D169&lt;&gt;"Serviço",AND(AUTOEVENTO="Manual",$M169=$A$15),$M169&gt;(ROW(PLE.lastrow)-ROW(PLE.firstrow))),0,
           IF(OFFSET(PLE!$G$15,$M169-$A$15,DR$13)="",10^12,OFFSET(PLE!$G$15,$M169-$A$15,DR$13)))</f>
        <v>1000000000000</v>
      </c>
      <c r="DS169" s="354" t="n">
        <f aca="true">IF(OR($D169&lt;&gt;"Serviço",AND(AUTOEVENTO="Manual",$M169=$A$15),$M169&gt;(ROW(PLE.lastrow)-ROW(PLE.firstrow))),0,
           IF(OFFSET(PLE!$G$15,$M169-$A$15,DS$13)="",10^12,OFFSET(PLE!$G$15,$M169-$A$15,DS$13)))</f>
        <v>1000000000000</v>
      </c>
    </row>
    <row r="170" customFormat="false" ht="23.85" hidden="false" customHeight="false" outlineLevel="0" collapsed="false">
      <c r="A170" s="50" t="str">
        <f aca="true">IFERROR(IF(AUTOEVENTO="Manual",IF(K170&lt;&gt;"",MIN(VALUE(LEFT(K170,FIND(".",K170)-1)),COUNTA(EVENTOS.Lista)),0),IF(OR($B170&gt;AUTOEVENTO,$B170="S",$B170=0),SUBSTITUTE(OFFSET($A170,-1,0),IF($D170="Serviço",".",""),""),ROW(A170)-ROW($A$15)&amp;".")),0)</f>
        <v>141</v>
      </c>
      <c r="B170" s="50" t="str">
        <f aca="true">OFFSET(ORÇAMENTO!C$15,ROW(B170)-ROW(B$15),0)</f>
        <v>S</v>
      </c>
      <c r="C170" s="50" t="str">
        <f aca="true">OFFSET(ORÇAMENTO!L$15,ROW(C170)-ROW(C$15),0)</f>
        <v>F</v>
      </c>
      <c r="D170" s="201" t="str">
        <f aca="true">OFFSET(ORÇAMENTO!N$15,ROW(D170)-ROW(D$15),0)</f>
        <v>Serviço</v>
      </c>
      <c r="E170" s="202" t="str">
        <f aca="true">OFFSET(ORÇAMENTO!O$15,ROW(E170)-ROW(E$15),0)</f>
        <v>1.43.14.</v>
      </c>
      <c r="F170" s="341" t="str">
        <f aca="true">OFFSET(ORÇAMENTO!R$15,ROW(F170)-ROW(F$15),0)</f>
        <v>TUBO, PVC, SOLDÁVEL, DE 32MM, INSTALADO EM RAMAL DE DISTRIBUIÇÃO DE ÁGUA - FORNECIMENTO E INSTALAÇÃO. AF_06/2022</v>
      </c>
      <c r="G170" s="342" t="str">
        <f aca="true">IF($D170&lt;&gt;"Serviço","",OFFSET(ORÇAMENTO!S$15,ROW(G170)-ROW(G$15),0))</f>
        <v>M</v>
      </c>
      <c r="H170" s="207" t="n">
        <f aca="true">IF($D170&lt;&gt;"Serviço",0,IF(ACOMPANHAMENTO="BM",ROUND(OFFSET(ORÇAMENTO!AJ$15,ROW(H170)-ROW(H$15),0),15-13*ORÇAMENTO!$AF$7),SUMPRODUCT(($Q$1:$AQ$1=1)*ROUND($Q170:$AQ170,15-13*ORÇAMENTO!$AF$7))))</f>
        <v>263.75</v>
      </c>
      <c r="I170" s="343" t="s">
        <v>982</v>
      </c>
      <c r="J170" s="344" t="e">
        <f aca="false">IF(OR(B170&lt;&gt;"S",CÁLCULO.FrentesPreenchidas=0),"",IF(AND(ACOMPANHAMENTO="PLE",AUTOEVENTO="Manual",OR(H170&gt;0,ORÇAMENTO!AC170="QUANT."),OR(K170="",M170=0,N170="")),"►",IF(AND(ACOMPANHAMENTO="PLE",ORÇAMENTO!AC170="QUANT."),"►►",IF(AND(COUNTIF($P$11:$AQ$11,"▼")=0,H170&gt;0,I170=""),"◄",""))))</f>
        <v>#NAME?</v>
      </c>
      <c r="K170" s="345"/>
      <c r="L170" s="346" t="s">
        <v>876</v>
      </c>
      <c r="M170" s="347" t="n">
        <f aca="true">IF($D170&lt;&gt;"Serviço","",
          IF(AUTOEVENTO="manual",$A170,
                IF(ISERROR(MATCH($A170,$A$15:OFFSET($A170,-1,0),0)),MAX($M$15:OFFSET(M170,-1,0))+1,
                      INDEX($M$15:OFFSET(M170,-1,0),MATCH($A170,$A$15:OFFSET($A170,-1,0),0)))))</f>
        <v>27</v>
      </c>
      <c r="N170" s="348" t="str">
        <f aca="true">IF($D170&lt;&gt;"Serviço","",
         IF(AUTOEVENTO="Manual",
                IF($A170=0,"&lt;-- defina o número do agrupador",
                       OFFSET(EVENTOS!$D$15,$A170-$A$15,0)),
                OFFSET($F$15,$A170,0)))</f>
        <v>CAIXA D'ÁGUA E BARRILETE</v>
      </c>
      <c r="O170" s="349"/>
      <c r="Q170" s="349" t="n">
        <v>10.55</v>
      </c>
      <c r="R170" s="350" t="n">
        <v>10.55</v>
      </c>
      <c r="S170" s="350" t="n">
        <v>10.55</v>
      </c>
      <c r="T170" s="350" t="n">
        <v>10.55</v>
      </c>
      <c r="U170" s="350" t="n">
        <v>10.55</v>
      </c>
      <c r="V170" s="350" t="n">
        <v>10.55</v>
      </c>
      <c r="W170" s="350" t="n">
        <v>10.55</v>
      </c>
      <c r="X170" s="350" t="n">
        <v>10.55</v>
      </c>
      <c r="Y170" s="350" t="n">
        <v>10.55</v>
      </c>
      <c r="Z170" s="351" t="n">
        <v>10.55</v>
      </c>
      <c r="AA170" s="350" t="n">
        <v>10.55</v>
      </c>
      <c r="AB170" s="350" t="n">
        <v>10.55</v>
      </c>
      <c r="AC170" s="350" t="n">
        <v>10.55</v>
      </c>
      <c r="AD170" s="350" t="n">
        <v>10.55</v>
      </c>
      <c r="AE170" s="350" t="n">
        <v>10.55</v>
      </c>
      <c r="AF170" s="350" t="n">
        <v>10.55</v>
      </c>
      <c r="AG170" s="350" t="n">
        <v>10.55</v>
      </c>
      <c r="AH170" s="351" t="n">
        <v>10.55</v>
      </c>
      <c r="AI170" s="350" t="n">
        <v>10.55</v>
      </c>
      <c r="AJ170" s="350" t="n">
        <v>10.55</v>
      </c>
      <c r="AK170" s="350" t="n">
        <v>10.55</v>
      </c>
      <c r="AL170" s="350" t="n">
        <v>10.55</v>
      </c>
      <c r="AM170" s="350" t="n">
        <v>10.55</v>
      </c>
      <c r="AN170" s="350" t="n">
        <v>10.55</v>
      </c>
      <c r="AO170" s="350" t="n">
        <v>10.55</v>
      </c>
      <c r="AP170" s="351"/>
      <c r="AR170" s="352" t="n">
        <f aca="true">IF(AND($D170="Serviço",AR$12&lt;&gt;0,$H170&gt;0,OR(AUTOEVENTO&lt;&gt;"manual",$M170&lt;&gt;$A$15)),
        IF(Import.TipoArredondamento&lt;&gt;"TransfereGOV",
              ROUND(OFFSET($P170,0,AR$13),15-13*ORÇAMENTO!$AF$7)/$H170*OFFSET(ORÇAMENTO!$X$15,ROW(AR170)-ROW(AR$15),0),
              ROUND(ROUND(OFFSET($P170,0,AR$13),15-13*ORÇAMENTO!$AF$7)*OFFSET(ORÇAMENTO!$W$15,ROW(AR170)-ROW(AR$15),0),15-13*ORÇAMENTO!$AF$11)),
         0)</f>
        <v>254.26</v>
      </c>
      <c r="AS170" s="352" t="n">
        <f aca="true">IF(AND($D170="Serviço",AS$12&lt;&gt;0,$H170&gt;0,OR(AUTOEVENTO&lt;&gt;"manual",$M170&lt;&gt;$A$15)),
        IF(Import.TipoArredondamento&lt;&gt;"TransfereGOV",
              ROUND(OFFSET($P170,0,AS$13),15-13*ORÇAMENTO!$AF$7)/$H170*OFFSET(ORÇAMENTO!$X$15,ROW(AS170)-ROW(AS$15),0),
              ROUND(ROUND(OFFSET($P170,0,AS$13),15-13*ORÇAMENTO!$AF$7)*OFFSET(ORÇAMENTO!$W$15,ROW(AS170)-ROW(AS$15),0),15-13*ORÇAMENTO!$AF$11)),
         0)</f>
        <v>254.26</v>
      </c>
      <c r="AT170" s="352" t="n">
        <f aca="true">IF(AND($D170="Serviço",AT$12&lt;&gt;0,$H170&gt;0,OR(AUTOEVENTO&lt;&gt;"manual",$M170&lt;&gt;$A$15)),
        IF(Import.TipoArredondamento&lt;&gt;"TransfereGOV",
              ROUND(OFFSET($P170,0,AT$13),15-13*ORÇAMENTO!$AF$7)/$H170*OFFSET(ORÇAMENTO!$X$15,ROW(AT170)-ROW(AT$15),0),
              ROUND(ROUND(OFFSET($P170,0,AT$13),15-13*ORÇAMENTO!$AF$7)*OFFSET(ORÇAMENTO!$W$15,ROW(AT170)-ROW(AT$15),0),15-13*ORÇAMENTO!$AF$11)),
         0)</f>
        <v>254.26</v>
      </c>
      <c r="AU170" s="352" t="n">
        <f aca="true">IF(AND($D170="Serviço",AU$12&lt;&gt;0,$H170&gt;0,OR(AUTOEVENTO&lt;&gt;"manual",$M170&lt;&gt;$A$15)),
        IF(Import.TipoArredondamento&lt;&gt;"TransfereGOV",
              ROUND(OFFSET($P170,0,AU$13),15-13*ORÇAMENTO!$AF$7)/$H170*OFFSET(ORÇAMENTO!$X$15,ROW(AU170)-ROW(AU$15),0),
              ROUND(ROUND(OFFSET($P170,0,AU$13),15-13*ORÇAMENTO!$AF$7)*OFFSET(ORÇAMENTO!$W$15,ROW(AU170)-ROW(AU$15),0),15-13*ORÇAMENTO!$AF$11)),
         0)</f>
        <v>254.26</v>
      </c>
      <c r="AV170" s="352" t="n">
        <f aca="true">IF(AND($D170="Serviço",AV$12&lt;&gt;0,$H170&gt;0,OR(AUTOEVENTO&lt;&gt;"manual",$M170&lt;&gt;$A$15)),
        IF(Import.TipoArredondamento&lt;&gt;"TransfereGOV",
              ROUND(OFFSET($P170,0,AV$13),15-13*ORÇAMENTO!$AF$7)/$H170*OFFSET(ORÇAMENTO!$X$15,ROW(AV170)-ROW(AV$15),0),
              ROUND(ROUND(OFFSET($P170,0,AV$13),15-13*ORÇAMENTO!$AF$7)*OFFSET(ORÇAMENTO!$W$15,ROW(AV170)-ROW(AV$15),0),15-13*ORÇAMENTO!$AF$11)),
         0)</f>
        <v>254.26</v>
      </c>
      <c r="AW170" s="352" t="n">
        <f aca="true">IF(AND($D170="Serviço",AW$12&lt;&gt;0,$H170&gt;0,OR(AUTOEVENTO&lt;&gt;"manual",$M170&lt;&gt;$A$15)),
        IF(Import.TipoArredondamento&lt;&gt;"TransfereGOV",
              ROUND(OFFSET($P170,0,AW$13),15-13*ORÇAMENTO!$AF$7)/$H170*OFFSET(ORÇAMENTO!$X$15,ROW(AW170)-ROW(AW$15),0),
              ROUND(ROUND(OFFSET($P170,0,AW$13),15-13*ORÇAMENTO!$AF$7)*OFFSET(ORÇAMENTO!$W$15,ROW(AW170)-ROW(AW$15),0),15-13*ORÇAMENTO!$AF$11)),
         0)</f>
        <v>254.26</v>
      </c>
      <c r="AX170" s="352" t="n">
        <f aca="true">IF(AND($D170="Serviço",AX$12&lt;&gt;0,$H170&gt;0,OR(AUTOEVENTO&lt;&gt;"manual",$M170&lt;&gt;$A$15)),
        IF(Import.TipoArredondamento&lt;&gt;"TransfereGOV",
              ROUND(OFFSET($P170,0,AX$13),15-13*ORÇAMENTO!$AF$7)/$H170*OFFSET(ORÇAMENTO!$X$15,ROW(AX170)-ROW(AX$15),0),
              ROUND(ROUND(OFFSET($P170,0,AX$13),15-13*ORÇAMENTO!$AF$7)*OFFSET(ORÇAMENTO!$W$15,ROW(AX170)-ROW(AX$15),0),15-13*ORÇAMENTO!$AF$11)),
         0)</f>
        <v>254.26</v>
      </c>
      <c r="AY170" s="352" t="n">
        <f aca="true">IF(AND($D170="Serviço",AY$12&lt;&gt;0,$H170&gt;0,OR(AUTOEVENTO&lt;&gt;"manual",$M170&lt;&gt;$A$15)),
        IF(Import.TipoArredondamento&lt;&gt;"TransfereGOV",
              ROUND(OFFSET($P170,0,AY$13),15-13*ORÇAMENTO!$AF$7)/$H170*OFFSET(ORÇAMENTO!$X$15,ROW(AY170)-ROW(AY$15),0),
              ROUND(ROUND(OFFSET($P170,0,AY$13),15-13*ORÇAMENTO!$AF$7)*OFFSET(ORÇAMENTO!$W$15,ROW(AY170)-ROW(AY$15),0),15-13*ORÇAMENTO!$AF$11)),
         0)</f>
        <v>254.26</v>
      </c>
      <c r="AZ170" s="352" t="n">
        <f aca="true">IF(AND($D170="Serviço",AZ$12&lt;&gt;0,$H170&gt;0,OR(AUTOEVENTO&lt;&gt;"manual",$M170&lt;&gt;$A$15)),
        IF(Import.TipoArredondamento&lt;&gt;"TransfereGOV",
              ROUND(OFFSET($P170,0,AZ$13),15-13*ORÇAMENTO!$AF$7)/$H170*OFFSET(ORÇAMENTO!$X$15,ROW(AZ170)-ROW(AZ$15),0),
              ROUND(ROUND(OFFSET($P170,0,AZ$13),15-13*ORÇAMENTO!$AF$7)*OFFSET(ORÇAMENTO!$W$15,ROW(AZ170)-ROW(AZ$15),0),15-13*ORÇAMENTO!$AF$11)),
         0)</f>
        <v>254.26</v>
      </c>
      <c r="BA170" s="352" t="n">
        <f aca="true">IF(AND($D170="Serviço",BA$12&lt;&gt;0,$H170&gt;0,OR(AUTOEVENTO&lt;&gt;"manual",$M170&lt;&gt;$A$15)),
        IF(Import.TipoArredondamento&lt;&gt;"TransfereGOV",
              ROUND(OFFSET($P170,0,BA$13),15-13*ORÇAMENTO!$AF$7)/$H170*OFFSET(ORÇAMENTO!$X$15,ROW(BA170)-ROW(BA$15),0),
              ROUND(ROUND(OFFSET($P170,0,BA$13),15-13*ORÇAMENTO!$AF$7)*OFFSET(ORÇAMENTO!$W$15,ROW(BA170)-ROW(BA$15),0),15-13*ORÇAMENTO!$AF$11)),
         0)</f>
        <v>254.26</v>
      </c>
      <c r="BB170" s="352" t="n">
        <f aca="true">IF(AND($D170="Serviço",BB$12&lt;&gt;0,$H170&gt;0,OR(AUTOEVENTO&lt;&gt;"manual",$M170&lt;&gt;$A$15)),
        IF(Import.TipoArredondamento&lt;&gt;"TransfereGOV",
              ROUND(OFFSET($P170,0,BB$13),15-13*ORÇAMENTO!$AF$7)/$H170*OFFSET(ORÇAMENTO!$X$15,ROW(BB170)-ROW(BB$15),0),
              ROUND(ROUND(OFFSET($P170,0,BB$13),15-13*ORÇAMENTO!$AF$7)*OFFSET(ORÇAMENTO!$W$15,ROW(BB170)-ROW(BB$15),0),15-13*ORÇAMENTO!$AF$11)),
         0)</f>
        <v>254.26</v>
      </c>
      <c r="BC170" s="352" t="n">
        <f aca="true">IF(AND($D170="Serviço",BC$12&lt;&gt;0,$H170&gt;0,OR(AUTOEVENTO&lt;&gt;"manual",$M170&lt;&gt;$A$15)),
        IF(Import.TipoArredondamento&lt;&gt;"TransfereGOV",
              ROUND(OFFSET($P170,0,BC$13),15-13*ORÇAMENTO!$AF$7)/$H170*OFFSET(ORÇAMENTO!$X$15,ROW(BC170)-ROW(BC$15),0),
              ROUND(ROUND(OFFSET($P170,0,BC$13),15-13*ORÇAMENTO!$AF$7)*OFFSET(ORÇAMENTO!$W$15,ROW(BC170)-ROW(BC$15),0),15-13*ORÇAMENTO!$AF$11)),
         0)</f>
        <v>254.26</v>
      </c>
      <c r="BD170" s="352" t="n">
        <f aca="true">IF(AND($D170="Serviço",BD$12&lt;&gt;0,$H170&gt;0,OR(AUTOEVENTO&lt;&gt;"manual",$M170&lt;&gt;$A$15)),
        IF(Import.TipoArredondamento&lt;&gt;"TransfereGOV",
              ROUND(OFFSET($P170,0,BD$13),15-13*ORÇAMENTO!$AF$7)/$H170*OFFSET(ORÇAMENTO!$X$15,ROW(BD170)-ROW(BD$15),0),
              ROUND(ROUND(OFFSET($P170,0,BD$13),15-13*ORÇAMENTO!$AF$7)*OFFSET(ORÇAMENTO!$W$15,ROW(BD170)-ROW(BD$15),0),15-13*ORÇAMENTO!$AF$11)),
         0)</f>
        <v>254.26</v>
      </c>
      <c r="BE170" s="352" t="n">
        <f aca="true">IF(AND($D170="Serviço",BE$12&lt;&gt;0,$H170&gt;0,OR(AUTOEVENTO&lt;&gt;"manual",$M170&lt;&gt;$A$15)),
        IF(Import.TipoArredondamento&lt;&gt;"TransfereGOV",
              ROUND(OFFSET($P170,0,BE$13),15-13*ORÇAMENTO!$AF$7)/$H170*OFFSET(ORÇAMENTO!$X$15,ROW(BE170)-ROW(BE$15),0),
              ROUND(ROUND(OFFSET($P170,0,BE$13),15-13*ORÇAMENTO!$AF$7)*OFFSET(ORÇAMENTO!$W$15,ROW(BE170)-ROW(BE$15),0),15-13*ORÇAMENTO!$AF$11)),
         0)</f>
        <v>254.26</v>
      </c>
      <c r="BF170" s="352" t="n">
        <f aca="true">IF(AND($D170="Serviço",BF$12&lt;&gt;0,$H170&gt;0,OR(AUTOEVENTO&lt;&gt;"manual",$M170&lt;&gt;$A$15)),
        IF(Import.TipoArredondamento&lt;&gt;"TransfereGOV",
              ROUND(OFFSET($P170,0,BF$13),15-13*ORÇAMENTO!$AF$7)/$H170*OFFSET(ORÇAMENTO!$X$15,ROW(BF170)-ROW(BF$15),0),
              ROUND(ROUND(OFFSET($P170,0,BF$13),15-13*ORÇAMENTO!$AF$7)*OFFSET(ORÇAMENTO!$W$15,ROW(BF170)-ROW(BF$15),0),15-13*ORÇAMENTO!$AF$11)),
         0)</f>
        <v>254.26</v>
      </c>
      <c r="BG170" s="352" t="n">
        <f aca="true">IF(AND($D170="Serviço",BG$12&lt;&gt;0,$H170&gt;0,OR(AUTOEVENTO&lt;&gt;"manual",$M170&lt;&gt;$A$15)),
        IF(Import.TipoArredondamento&lt;&gt;"TransfereGOV",
              ROUND(OFFSET($P170,0,BG$13),15-13*ORÇAMENTO!$AF$7)/$H170*OFFSET(ORÇAMENTO!$X$15,ROW(BG170)-ROW(BG$15),0),
              ROUND(ROUND(OFFSET($P170,0,BG$13),15-13*ORÇAMENTO!$AF$7)*OFFSET(ORÇAMENTO!$W$15,ROW(BG170)-ROW(BG$15),0),15-13*ORÇAMENTO!$AF$11)),
         0)</f>
        <v>254.26</v>
      </c>
      <c r="BH170" s="352" t="n">
        <f aca="true">IF(AND($D170="Serviço",BH$12&lt;&gt;0,$H170&gt;0,OR(AUTOEVENTO&lt;&gt;"manual",$M170&lt;&gt;$A$15)),
        IF(Import.TipoArredondamento&lt;&gt;"TransfereGOV",
              ROUND(OFFSET($P170,0,BH$13),15-13*ORÇAMENTO!$AF$7)/$H170*OFFSET(ORÇAMENTO!$X$15,ROW(BH170)-ROW(BH$15),0),
              ROUND(ROUND(OFFSET($P170,0,BH$13),15-13*ORÇAMENTO!$AF$7)*OFFSET(ORÇAMENTO!$W$15,ROW(BH170)-ROW(BH$15),0),15-13*ORÇAMENTO!$AF$11)),
         0)</f>
        <v>254.26</v>
      </c>
      <c r="BI170" s="352" t="n">
        <f aca="true">IF(AND($D170="Serviço",BI$12&lt;&gt;0,$H170&gt;0,OR(AUTOEVENTO&lt;&gt;"manual",$M170&lt;&gt;$A$15)),
        IF(Import.TipoArredondamento&lt;&gt;"TransfereGOV",
              ROUND(OFFSET($P170,0,BI$13),15-13*ORÇAMENTO!$AF$7)/$H170*OFFSET(ORÇAMENTO!$X$15,ROW(BI170)-ROW(BI$15),0),
              ROUND(ROUND(OFFSET($P170,0,BI$13),15-13*ORÇAMENTO!$AF$7)*OFFSET(ORÇAMENTO!$W$15,ROW(BI170)-ROW(BI$15),0),15-13*ORÇAMENTO!$AF$11)),
         0)</f>
        <v>254.26</v>
      </c>
      <c r="BJ170" s="352" t="n">
        <f aca="true">IF(AND($D170="Serviço",BJ$12&lt;&gt;0,$H170&gt;0,OR(AUTOEVENTO&lt;&gt;"manual",$M170&lt;&gt;$A$15)),
        IF(Import.TipoArredondamento&lt;&gt;"TransfereGOV",
              ROUND(OFFSET($P170,0,BJ$13),15-13*ORÇAMENTO!$AF$7)/$H170*OFFSET(ORÇAMENTO!$X$15,ROW(BJ170)-ROW(BJ$15),0),
              ROUND(ROUND(OFFSET($P170,0,BJ$13),15-13*ORÇAMENTO!$AF$7)*OFFSET(ORÇAMENTO!$W$15,ROW(BJ170)-ROW(BJ$15),0),15-13*ORÇAMENTO!$AF$11)),
         0)</f>
        <v>254.26</v>
      </c>
      <c r="BK170" s="352" t="n">
        <f aca="true">IF(AND($D170="Serviço",BK$12&lt;&gt;0,$H170&gt;0,OR(AUTOEVENTO&lt;&gt;"manual",$M170&lt;&gt;$A$15)),
        IF(Import.TipoArredondamento&lt;&gt;"TransfereGOV",
              ROUND(OFFSET($P170,0,BK$13),15-13*ORÇAMENTO!$AF$7)/$H170*OFFSET(ORÇAMENTO!$X$15,ROW(BK170)-ROW(BK$15),0),
              ROUND(ROUND(OFFSET($P170,0,BK$13),15-13*ORÇAMENTO!$AF$7)*OFFSET(ORÇAMENTO!$W$15,ROW(BK170)-ROW(BK$15),0),15-13*ORÇAMENTO!$AF$11)),
         0)</f>
        <v>254.26</v>
      </c>
      <c r="BL170" s="352" t="n">
        <f aca="true">IF(AND($D170="Serviço",BL$12&lt;&gt;0,$H170&gt;0,OR(AUTOEVENTO&lt;&gt;"manual",$M170&lt;&gt;$A$15)),
        IF(Import.TipoArredondamento&lt;&gt;"TransfereGOV",
              ROUND(OFFSET($P170,0,BL$13),15-13*ORÇAMENTO!$AF$7)/$H170*OFFSET(ORÇAMENTO!$X$15,ROW(BL170)-ROW(BL$15),0),
              ROUND(ROUND(OFFSET($P170,0,BL$13),15-13*ORÇAMENTO!$AF$7)*OFFSET(ORÇAMENTO!$W$15,ROW(BL170)-ROW(BL$15),0),15-13*ORÇAMENTO!$AF$11)),
         0)</f>
        <v>254.26</v>
      </c>
      <c r="BM170" s="352" t="n">
        <f aca="true">IF(AND($D170="Serviço",BM$12&lt;&gt;0,$H170&gt;0,OR(AUTOEVENTO&lt;&gt;"manual",$M170&lt;&gt;$A$15)),
        IF(Import.TipoArredondamento&lt;&gt;"TransfereGOV",
              ROUND(OFFSET($P170,0,BM$13),15-13*ORÇAMENTO!$AF$7)/$H170*OFFSET(ORÇAMENTO!$X$15,ROW(BM170)-ROW(BM$15),0),
              ROUND(ROUND(OFFSET($P170,0,BM$13),15-13*ORÇAMENTO!$AF$7)*OFFSET(ORÇAMENTO!$W$15,ROW(BM170)-ROW(BM$15),0),15-13*ORÇAMENTO!$AF$11)),
         0)</f>
        <v>254.26</v>
      </c>
      <c r="BN170" s="352" t="n">
        <f aca="true">IF(AND($D170="Serviço",BN$12&lt;&gt;0,$H170&gt;0,OR(AUTOEVENTO&lt;&gt;"manual",$M170&lt;&gt;$A$15)),
        IF(Import.TipoArredondamento&lt;&gt;"TransfereGOV",
              ROUND(OFFSET($P170,0,BN$13),15-13*ORÇAMENTO!$AF$7)/$H170*OFFSET(ORÇAMENTO!$X$15,ROW(BN170)-ROW(BN$15),0),
              ROUND(ROUND(OFFSET($P170,0,BN$13),15-13*ORÇAMENTO!$AF$7)*OFFSET(ORÇAMENTO!$W$15,ROW(BN170)-ROW(BN$15),0),15-13*ORÇAMENTO!$AF$11)),
         0)</f>
        <v>254.26</v>
      </c>
      <c r="BO170" s="352" t="n">
        <f aca="true">IF(AND($D170="Serviço",BO$12&lt;&gt;0,$H170&gt;0,OR(AUTOEVENTO&lt;&gt;"manual",$M170&lt;&gt;$A$15)),
        IF(Import.TipoArredondamento&lt;&gt;"TransfereGOV",
              ROUND(OFFSET($P170,0,BO$13),15-13*ORÇAMENTO!$AF$7)/$H170*OFFSET(ORÇAMENTO!$X$15,ROW(BO170)-ROW(BO$15),0),
              ROUND(ROUND(OFFSET($P170,0,BO$13),15-13*ORÇAMENTO!$AF$7)*OFFSET(ORÇAMENTO!$W$15,ROW(BO170)-ROW(BO$15),0),15-13*ORÇAMENTO!$AF$11)),
         0)</f>
        <v>254.26</v>
      </c>
      <c r="BP170" s="352" t="n">
        <f aca="true">IF(AND($D170="Serviço",BP$12&lt;&gt;0,$H170&gt;0,OR(AUTOEVENTO&lt;&gt;"manual",$M170&lt;&gt;$A$15)),
        IF(Import.TipoArredondamento&lt;&gt;"TransfereGOV",
              ROUND(OFFSET($P170,0,BP$13),15-13*ORÇAMENTO!$AF$7)/$H170*OFFSET(ORÇAMENTO!$X$15,ROW(BP170)-ROW(BP$15),0),
              ROUND(ROUND(OFFSET($P170,0,BP$13),15-13*ORÇAMENTO!$AF$7)*OFFSET(ORÇAMENTO!$W$15,ROW(BP170)-ROW(BP$15),0),15-13*ORÇAMENTO!$AF$11)),
         0)</f>
        <v>254.26</v>
      </c>
      <c r="BQ170" s="352" t="n">
        <f aca="true">IF(AND($D170="Serviço",BQ$12&lt;&gt;0,$H170&gt;0,OR(AUTOEVENTO&lt;&gt;"manual",$M170&lt;&gt;$A$15)),
        IF(Import.TipoArredondamento&lt;&gt;"TransfereGOV",
              ROUND(OFFSET($P170,0,BQ$13),15-13*ORÇAMENTO!$AF$7)/$H170*OFFSET(ORÇAMENTO!$X$15,ROW(BQ170)-ROW(BQ$15),0),
              ROUND(ROUND(OFFSET($P170,0,BQ$13),15-13*ORÇAMENTO!$AF$7)*OFFSET(ORÇAMENTO!$W$15,ROW(BQ170)-ROW(BQ$15),0),15-13*ORÇAMENTO!$AF$11)),
         0)</f>
        <v>0</v>
      </c>
      <c r="BS170" s="353" t="n">
        <f aca="true">IF(OR($D170&lt;&gt;"Serviço",AND(AUTOEVENTO="Manual",$M170=$A$15)),0,
         IF(OFFSET(CRONOPLE!$F$15,$M170-$A$15,BS$13)=0,10^12,OFFSET(CRONOPLE!$F$15,$M170-$A$15,BS$13)))</f>
        <v>1</v>
      </c>
      <c r="BT170" s="353" t="n">
        <f aca="true">IF(OR($D170&lt;&gt;"Serviço",AND(AUTOEVENTO="Manual",$M170=$A$15)),0,
         IF(OFFSET(CRONOPLE!$F$15,$M170-$A$15,BT$13)=0,10^12,OFFSET(CRONOPLE!$F$15,$M170-$A$15,BT$13)))</f>
        <v>2</v>
      </c>
      <c r="BU170" s="353" t="n">
        <f aca="true">IF(OR($D170&lt;&gt;"Serviço",AND(AUTOEVENTO="Manual",$M170=$A$15)),0,
         IF(OFFSET(CRONOPLE!$F$15,$M170-$A$15,BU$13)=0,10^12,OFFSET(CRONOPLE!$F$15,$M170-$A$15,BU$13)))</f>
        <v>3</v>
      </c>
      <c r="BV170" s="353" t="n">
        <f aca="true">IF(OR($D170&lt;&gt;"Serviço",AND(AUTOEVENTO="Manual",$M170=$A$15)),0,
         IF(OFFSET(CRONOPLE!$F$15,$M170-$A$15,BV$13)=0,10^12,OFFSET(CRONOPLE!$F$15,$M170-$A$15,BV$13)))</f>
        <v>4</v>
      </c>
      <c r="BW170" s="353" t="n">
        <f aca="true">IF(OR($D170&lt;&gt;"Serviço",AND(AUTOEVENTO="Manual",$M170=$A$15)),0,
         IF(OFFSET(CRONOPLE!$F$15,$M170-$A$15,BW$13)=0,10^12,OFFSET(CRONOPLE!$F$15,$M170-$A$15,BW$13)))</f>
        <v>5</v>
      </c>
      <c r="BX170" s="353" t="n">
        <f aca="true">IF(OR($D170&lt;&gt;"Serviço",AND(AUTOEVENTO="Manual",$M170=$A$15)),0,
         IF(OFFSET(CRONOPLE!$F$15,$M170-$A$15,BX$13)=0,10^12,OFFSET(CRONOPLE!$F$15,$M170-$A$15,BX$13)))</f>
        <v>6</v>
      </c>
      <c r="BY170" s="353" t="n">
        <f aca="true">IF(OR($D170&lt;&gt;"Serviço",AND(AUTOEVENTO="Manual",$M170=$A$15)),0,
         IF(OFFSET(CRONOPLE!$F$15,$M170-$A$15,BY$13)=0,10^12,OFFSET(CRONOPLE!$F$15,$M170-$A$15,BY$13)))</f>
        <v>7</v>
      </c>
      <c r="BZ170" s="353" t="n">
        <f aca="true">IF(OR($D170&lt;&gt;"Serviço",AND(AUTOEVENTO="Manual",$M170=$A$15)),0,
         IF(OFFSET(CRONOPLE!$F$15,$M170-$A$15,BZ$13)=0,10^12,OFFSET(CRONOPLE!$F$15,$M170-$A$15,BZ$13)))</f>
        <v>8</v>
      </c>
      <c r="CA170" s="353" t="n">
        <f aca="true">IF(OR($D170&lt;&gt;"Serviço",AND(AUTOEVENTO="Manual",$M170=$A$15)),0,
         IF(OFFSET(CRONOPLE!$F$15,$M170-$A$15,CA$13)=0,10^12,OFFSET(CRONOPLE!$F$15,$M170-$A$15,CA$13)))</f>
        <v>9</v>
      </c>
      <c r="CB170" s="353" t="n">
        <f aca="true">IF(OR($D170&lt;&gt;"Serviço",AND(AUTOEVENTO="Manual",$M170=$A$15)),0,
         IF(OFFSET(CRONOPLE!$F$15,$M170-$A$15,CB$13)=0,10^12,OFFSET(CRONOPLE!$F$15,$M170-$A$15,CB$13)))</f>
        <v>10</v>
      </c>
      <c r="CC170" s="353" t="n">
        <f aca="true">IF(OR($D170&lt;&gt;"Serviço",AND(AUTOEVENTO="Manual",$M170=$A$15)),0,
         IF(OFFSET(CRONOPLE!$F$15,$M170-$A$15,CC$13)=0,10^12,OFFSET(CRONOPLE!$F$15,$M170-$A$15,CC$13)))</f>
        <v>11</v>
      </c>
      <c r="CD170" s="353" t="n">
        <f aca="true">IF(OR($D170&lt;&gt;"Serviço",AND(AUTOEVENTO="Manual",$M170=$A$15)),0,
         IF(OFFSET(CRONOPLE!$F$15,$M170-$A$15,CD$13)=0,10^12,OFFSET(CRONOPLE!$F$15,$M170-$A$15,CD$13)))</f>
        <v>12</v>
      </c>
      <c r="CE170" s="353" t="n">
        <f aca="true">IF(OR($D170&lt;&gt;"Serviço",AND(AUTOEVENTO="Manual",$M170=$A$15)),0,
         IF(OFFSET(CRONOPLE!$F$15,$M170-$A$15,CE$13)=0,10^12,OFFSET(CRONOPLE!$F$15,$M170-$A$15,CE$13)))</f>
        <v>13</v>
      </c>
      <c r="CF170" s="353" t="n">
        <f aca="true">IF(OR($D170&lt;&gt;"Serviço",AND(AUTOEVENTO="Manual",$M170=$A$15)),0,
         IF(OFFSET(CRONOPLE!$F$15,$M170-$A$15,CF$13)=0,10^12,OFFSET(CRONOPLE!$F$15,$M170-$A$15,CF$13)))</f>
        <v>14</v>
      </c>
      <c r="CG170" s="353" t="n">
        <f aca="true">IF(OR($D170&lt;&gt;"Serviço",AND(AUTOEVENTO="Manual",$M170=$A$15)),0,
         IF(OFFSET(CRONOPLE!$F$15,$M170-$A$15,CG$13)=0,10^12,OFFSET(CRONOPLE!$F$15,$M170-$A$15,CG$13)))</f>
        <v>15</v>
      </c>
      <c r="CH170" s="353" t="n">
        <f aca="true">IF(OR($D170&lt;&gt;"Serviço",AND(AUTOEVENTO="Manual",$M170=$A$15)),0,
         IF(OFFSET(CRONOPLE!$F$15,$M170-$A$15,CH$13)=0,10^12,OFFSET(CRONOPLE!$F$15,$M170-$A$15,CH$13)))</f>
        <v>16</v>
      </c>
      <c r="CI170" s="353" t="n">
        <f aca="true">IF(OR($D170&lt;&gt;"Serviço",AND(AUTOEVENTO="Manual",$M170=$A$15)),0,
         IF(OFFSET(CRONOPLE!$F$15,$M170-$A$15,CI$13)=0,10^12,OFFSET(CRONOPLE!$F$15,$M170-$A$15,CI$13)))</f>
        <v>17</v>
      </c>
      <c r="CJ170" s="353" t="n">
        <f aca="true">IF(OR($D170&lt;&gt;"Serviço",AND(AUTOEVENTO="Manual",$M170=$A$15)),0,
         IF(OFFSET(CRONOPLE!$F$15,$M170-$A$15,CJ$13)=0,10^12,OFFSET(CRONOPLE!$F$15,$M170-$A$15,CJ$13)))</f>
        <v>18</v>
      </c>
      <c r="CK170" s="353" t="n">
        <f aca="true">IF(OR($D170&lt;&gt;"Serviço",AND(AUTOEVENTO="Manual",$M170=$A$15)),0,
         IF(OFFSET(CRONOPLE!$F$15,$M170-$A$15,CK$13)=0,10^12,OFFSET(CRONOPLE!$F$15,$M170-$A$15,CK$13)))</f>
        <v>19</v>
      </c>
      <c r="CL170" s="353" t="n">
        <f aca="true">IF(OR($D170&lt;&gt;"Serviço",AND(AUTOEVENTO="Manual",$M170=$A$15)),0,
         IF(OFFSET(CRONOPLE!$F$15,$M170-$A$15,CL$13)=0,10^12,OFFSET(CRONOPLE!$F$15,$M170-$A$15,CL$13)))</f>
        <v>20</v>
      </c>
      <c r="CM170" s="353" t="n">
        <f aca="true">IF(OR($D170&lt;&gt;"Serviço",AND(AUTOEVENTO="Manual",$M170=$A$15)),0,
         IF(OFFSET(CRONOPLE!$F$15,$M170-$A$15,CM$13)=0,10^12,OFFSET(CRONOPLE!$F$15,$M170-$A$15,CM$13)))</f>
        <v>21</v>
      </c>
      <c r="CN170" s="353" t="n">
        <f aca="true">IF(OR($D170&lt;&gt;"Serviço",AND(AUTOEVENTO="Manual",$M170=$A$15)),0,
         IF(OFFSET(CRONOPLE!$F$15,$M170-$A$15,CN$13)=0,10^12,OFFSET(CRONOPLE!$F$15,$M170-$A$15,CN$13)))</f>
        <v>22</v>
      </c>
      <c r="CO170" s="353" t="n">
        <f aca="true">IF(OR($D170&lt;&gt;"Serviço",AND(AUTOEVENTO="Manual",$M170=$A$15)),0,
         IF(OFFSET(CRONOPLE!$F$15,$M170-$A$15,CO$13)=0,10^12,OFFSET(CRONOPLE!$F$15,$M170-$A$15,CO$13)))</f>
        <v>23</v>
      </c>
      <c r="CP170" s="353" t="n">
        <f aca="true">IF(OR($D170&lt;&gt;"Serviço",AND(AUTOEVENTO="Manual",$M170=$A$15)),0,
         IF(OFFSET(CRONOPLE!$F$15,$M170-$A$15,CP$13)=0,10^12,OFFSET(CRONOPLE!$F$15,$M170-$A$15,CP$13)))</f>
        <v>24</v>
      </c>
      <c r="CQ170" s="353" t="n">
        <f aca="true">IF(OR($D170&lt;&gt;"Serviço",AND(AUTOEVENTO="Manual",$M170=$A$15)),0,
         IF(OFFSET(CRONOPLE!$F$15,$M170-$A$15,CQ$13)=0,10^12,OFFSET(CRONOPLE!$F$15,$M170-$A$15,CQ$13)))</f>
        <v>25</v>
      </c>
      <c r="CR170" s="353" t="n">
        <f aca="true">IF(OR($D170&lt;&gt;"Serviço",AND(AUTOEVENTO="Manual",$M170=$A$15)),0,
         IF(OFFSET(CRONOPLE!$F$15,$M170-$A$15,CR$13)=0,10^12,OFFSET(CRONOPLE!$F$15,$M170-$A$15,CR$13)))</f>
        <v>1000000000000</v>
      </c>
      <c r="CT170" s="354" t="n">
        <f aca="true">IF(OR($D170&lt;&gt;"Serviço",AND(AUTOEVENTO="Manual",$M170=$A$15),$M170&gt;(ROW(PLE.lastrow)-ROW(PLE.firstrow))),0,
           IF(OFFSET(PLE!$G$15,$M170-$A$15,CT$13)="",10^12,OFFSET(PLE!$G$15,$M170-$A$15,CT$13)))</f>
        <v>1000000000000</v>
      </c>
      <c r="CU170" s="354" t="n">
        <f aca="true">IF(OR($D170&lt;&gt;"Serviço",AND(AUTOEVENTO="Manual",$M170=$A$15),$M170&gt;(ROW(PLE.lastrow)-ROW(PLE.firstrow))),0,
           IF(OFFSET(PLE!$G$15,$M170-$A$15,CU$13)="",10^12,OFFSET(PLE!$G$15,$M170-$A$15,CU$13)))</f>
        <v>1000000000000</v>
      </c>
      <c r="CV170" s="354" t="n">
        <f aca="true">IF(OR($D170&lt;&gt;"Serviço",AND(AUTOEVENTO="Manual",$M170=$A$15),$M170&gt;(ROW(PLE.lastrow)-ROW(PLE.firstrow))),0,
           IF(OFFSET(PLE!$G$15,$M170-$A$15,CV$13)="",10^12,OFFSET(PLE!$G$15,$M170-$A$15,CV$13)))</f>
        <v>1000000000000</v>
      </c>
      <c r="CW170" s="354" t="n">
        <f aca="true">IF(OR($D170&lt;&gt;"Serviço",AND(AUTOEVENTO="Manual",$M170=$A$15),$M170&gt;(ROW(PLE.lastrow)-ROW(PLE.firstrow))),0,
           IF(OFFSET(PLE!$G$15,$M170-$A$15,CW$13)="",10^12,OFFSET(PLE!$G$15,$M170-$A$15,CW$13)))</f>
        <v>1000000000000</v>
      </c>
      <c r="CX170" s="354" t="n">
        <f aca="true">IF(OR($D170&lt;&gt;"Serviço",AND(AUTOEVENTO="Manual",$M170=$A$15),$M170&gt;(ROW(PLE.lastrow)-ROW(PLE.firstrow))),0,
           IF(OFFSET(PLE!$G$15,$M170-$A$15,CX$13)="",10^12,OFFSET(PLE!$G$15,$M170-$A$15,CX$13)))</f>
        <v>1000000000000</v>
      </c>
      <c r="CY170" s="354" t="n">
        <f aca="true">IF(OR($D170&lt;&gt;"Serviço",AND(AUTOEVENTO="Manual",$M170=$A$15),$M170&gt;(ROW(PLE.lastrow)-ROW(PLE.firstrow))),0,
           IF(OFFSET(PLE!$G$15,$M170-$A$15,CY$13)="",10^12,OFFSET(PLE!$G$15,$M170-$A$15,CY$13)))</f>
        <v>1000000000000</v>
      </c>
      <c r="CZ170" s="354" t="n">
        <f aca="true">IF(OR($D170&lt;&gt;"Serviço",AND(AUTOEVENTO="Manual",$M170=$A$15),$M170&gt;(ROW(PLE.lastrow)-ROW(PLE.firstrow))),0,
           IF(OFFSET(PLE!$G$15,$M170-$A$15,CZ$13)="",10^12,OFFSET(PLE!$G$15,$M170-$A$15,CZ$13)))</f>
        <v>1000000000000</v>
      </c>
      <c r="DA170" s="354" t="n">
        <f aca="true">IF(OR($D170&lt;&gt;"Serviço",AND(AUTOEVENTO="Manual",$M170=$A$15),$M170&gt;(ROW(PLE.lastrow)-ROW(PLE.firstrow))),0,
           IF(OFFSET(PLE!$G$15,$M170-$A$15,DA$13)="",10^12,OFFSET(PLE!$G$15,$M170-$A$15,DA$13)))</f>
        <v>1000000000000</v>
      </c>
      <c r="DB170" s="354" t="n">
        <f aca="true">IF(OR($D170&lt;&gt;"Serviço",AND(AUTOEVENTO="Manual",$M170=$A$15),$M170&gt;(ROW(PLE.lastrow)-ROW(PLE.firstrow))),0,
           IF(OFFSET(PLE!$G$15,$M170-$A$15,DB$13)="",10^12,OFFSET(PLE!$G$15,$M170-$A$15,DB$13)))</f>
        <v>1000000000000</v>
      </c>
      <c r="DC170" s="354" t="n">
        <f aca="true">IF(OR($D170&lt;&gt;"Serviço",AND(AUTOEVENTO="Manual",$M170=$A$15),$M170&gt;(ROW(PLE.lastrow)-ROW(PLE.firstrow))),0,
           IF(OFFSET(PLE!$G$15,$M170-$A$15,DC$13)="",10^12,OFFSET(PLE!$G$15,$M170-$A$15,DC$13)))</f>
        <v>1000000000000</v>
      </c>
      <c r="DD170" s="354" t="n">
        <f aca="true">IF(OR($D170&lt;&gt;"Serviço",AND(AUTOEVENTO="Manual",$M170=$A$15),$M170&gt;(ROW(PLE.lastrow)-ROW(PLE.firstrow))),0,
           IF(OFFSET(PLE!$G$15,$M170-$A$15,DD$13)="",10^12,OFFSET(PLE!$G$15,$M170-$A$15,DD$13)))</f>
        <v>1000000000000</v>
      </c>
      <c r="DE170" s="354" t="n">
        <f aca="true">IF(OR($D170&lt;&gt;"Serviço",AND(AUTOEVENTO="Manual",$M170=$A$15),$M170&gt;(ROW(PLE.lastrow)-ROW(PLE.firstrow))),0,
           IF(OFFSET(PLE!$G$15,$M170-$A$15,DE$13)="",10^12,OFFSET(PLE!$G$15,$M170-$A$15,DE$13)))</f>
        <v>1000000000000</v>
      </c>
      <c r="DF170" s="354" t="n">
        <f aca="true">IF(OR($D170&lt;&gt;"Serviço",AND(AUTOEVENTO="Manual",$M170=$A$15),$M170&gt;(ROW(PLE.lastrow)-ROW(PLE.firstrow))),0,
           IF(OFFSET(PLE!$G$15,$M170-$A$15,DF$13)="",10^12,OFFSET(PLE!$G$15,$M170-$A$15,DF$13)))</f>
        <v>1000000000000</v>
      </c>
      <c r="DG170" s="354" t="n">
        <f aca="true">IF(OR($D170&lt;&gt;"Serviço",AND(AUTOEVENTO="Manual",$M170=$A$15),$M170&gt;(ROW(PLE.lastrow)-ROW(PLE.firstrow))),0,
           IF(OFFSET(PLE!$G$15,$M170-$A$15,DG$13)="",10^12,OFFSET(PLE!$G$15,$M170-$A$15,DG$13)))</f>
        <v>1000000000000</v>
      </c>
      <c r="DH170" s="354" t="n">
        <f aca="true">IF(OR($D170&lt;&gt;"Serviço",AND(AUTOEVENTO="Manual",$M170=$A$15),$M170&gt;(ROW(PLE.lastrow)-ROW(PLE.firstrow))),0,
           IF(OFFSET(PLE!$G$15,$M170-$A$15,DH$13)="",10^12,OFFSET(PLE!$G$15,$M170-$A$15,DH$13)))</f>
        <v>1000000000000</v>
      </c>
      <c r="DI170" s="354" t="n">
        <f aca="true">IF(OR($D170&lt;&gt;"Serviço",AND(AUTOEVENTO="Manual",$M170=$A$15),$M170&gt;(ROW(PLE.lastrow)-ROW(PLE.firstrow))),0,
           IF(OFFSET(PLE!$G$15,$M170-$A$15,DI$13)="",10^12,OFFSET(PLE!$G$15,$M170-$A$15,DI$13)))</f>
        <v>1000000000000</v>
      </c>
      <c r="DJ170" s="354" t="n">
        <f aca="true">IF(OR($D170&lt;&gt;"Serviço",AND(AUTOEVENTO="Manual",$M170=$A$15),$M170&gt;(ROW(PLE.lastrow)-ROW(PLE.firstrow))),0,
           IF(OFFSET(PLE!$G$15,$M170-$A$15,DJ$13)="",10^12,OFFSET(PLE!$G$15,$M170-$A$15,DJ$13)))</f>
        <v>1000000000000</v>
      </c>
      <c r="DK170" s="354" t="n">
        <f aca="true">IF(OR($D170&lt;&gt;"Serviço",AND(AUTOEVENTO="Manual",$M170=$A$15),$M170&gt;(ROW(PLE.lastrow)-ROW(PLE.firstrow))),0,
           IF(OFFSET(PLE!$G$15,$M170-$A$15,DK$13)="",10^12,OFFSET(PLE!$G$15,$M170-$A$15,DK$13)))</f>
        <v>1000000000000</v>
      </c>
      <c r="DL170" s="354" t="n">
        <f aca="true">IF(OR($D170&lt;&gt;"Serviço",AND(AUTOEVENTO="Manual",$M170=$A$15),$M170&gt;(ROW(PLE.lastrow)-ROW(PLE.firstrow))),0,
           IF(OFFSET(PLE!$G$15,$M170-$A$15,DL$13)="",10^12,OFFSET(PLE!$G$15,$M170-$A$15,DL$13)))</f>
        <v>1000000000000</v>
      </c>
      <c r="DM170" s="354" t="n">
        <f aca="true">IF(OR($D170&lt;&gt;"Serviço",AND(AUTOEVENTO="Manual",$M170=$A$15),$M170&gt;(ROW(PLE.lastrow)-ROW(PLE.firstrow))),0,
           IF(OFFSET(PLE!$G$15,$M170-$A$15,DM$13)="",10^12,OFFSET(PLE!$G$15,$M170-$A$15,DM$13)))</f>
        <v>1000000000000</v>
      </c>
      <c r="DN170" s="354" t="n">
        <f aca="true">IF(OR($D170&lt;&gt;"Serviço",AND(AUTOEVENTO="Manual",$M170=$A$15),$M170&gt;(ROW(PLE.lastrow)-ROW(PLE.firstrow))),0,
           IF(OFFSET(PLE!$G$15,$M170-$A$15,DN$13)="",10^12,OFFSET(PLE!$G$15,$M170-$A$15,DN$13)))</f>
        <v>1000000000000</v>
      </c>
      <c r="DO170" s="354" t="n">
        <f aca="true">IF(OR($D170&lt;&gt;"Serviço",AND(AUTOEVENTO="Manual",$M170=$A$15),$M170&gt;(ROW(PLE.lastrow)-ROW(PLE.firstrow))),0,
           IF(OFFSET(PLE!$G$15,$M170-$A$15,DO$13)="",10^12,OFFSET(PLE!$G$15,$M170-$A$15,DO$13)))</f>
        <v>1000000000000</v>
      </c>
      <c r="DP170" s="354" t="n">
        <f aca="true">IF(OR($D170&lt;&gt;"Serviço",AND(AUTOEVENTO="Manual",$M170=$A$15),$M170&gt;(ROW(PLE.lastrow)-ROW(PLE.firstrow))),0,
           IF(OFFSET(PLE!$G$15,$M170-$A$15,DP$13)="",10^12,OFFSET(PLE!$G$15,$M170-$A$15,DP$13)))</f>
        <v>1000000000000</v>
      </c>
      <c r="DQ170" s="354" t="n">
        <f aca="true">IF(OR($D170&lt;&gt;"Serviço",AND(AUTOEVENTO="Manual",$M170=$A$15),$M170&gt;(ROW(PLE.lastrow)-ROW(PLE.firstrow))),0,
           IF(OFFSET(PLE!$G$15,$M170-$A$15,DQ$13)="",10^12,OFFSET(PLE!$G$15,$M170-$A$15,DQ$13)))</f>
        <v>1000000000000</v>
      </c>
      <c r="DR170" s="354" t="n">
        <f aca="true">IF(OR($D170&lt;&gt;"Serviço",AND(AUTOEVENTO="Manual",$M170=$A$15),$M170&gt;(ROW(PLE.lastrow)-ROW(PLE.firstrow))),0,
           IF(OFFSET(PLE!$G$15,$M170-$A$15,DR$13)="",10^12,OFFSET(PLE!$G$15,$M170-$A$15,DR$13)))</f>
        <v>1000000000000</v>
      </c>
      <c r="DS170" s="354" t="n">
        <f aca="true">IF(OR($D170&lt;&gt;"Serviço",AND(AUTOEVENTO="Manual",$M170=$A$15),$M170&gt;(ROW(PLE.lastrow)-ROW(PLE.firstrow))),0,
           IF(OFFSET(PLE!$G$15,$M170-$A$15,DS$13)="",10^12,OFFSET(PLE!$G$15,$M170-$A$15,DS$13)))</f>
        <v>1000000000000</v>
      </c>
    </row>
    <row r="171" customFormat="false" ht="12.75" hidden="false" customHeight="false" outlineLevel="0" collapsed="false">
      <c r="A171" s="50" t="str">
        <f aca="true">IFERROR(IF(AUTOEVENTO="Manual",IF(K171&lt;&gt;"",MIN(VALUE(LEFT(K171,FIND(".",K171)-1)),COUNTA(EVENTOS.Lista)),0),IF(OR($B171&gt;AUTOEVENTO,$B171="S",$B171=0),SUBSTITUTE(OFFSET($A171,-1,0),IF($D171="Serviço",".",""),""),ROW(A171)-ROW($A$15)&amp;".")),0)</f>
        <v>156.</v>
      </c>
      <c r="B171" s="50" t="n">
        <f aca="true">OFFSET(ORÇAMENTO!C$15,ROW(B171)-ROW(B$15),0)</f>
        <v>2</v>
      </c>
      <c r="C171" s="50" t="str">
        <f aca="true">OFFSET(ORÇAMENTO!L$15,ROW(C171)-ROW(C$15),0)</f>
        <v>F</v>
      </c>
      <c r="D171" s="201" t="str">
        <f aca="true">OFFSET(ORÇAMENTO!N$15,ROW(D171)-ROW(D$15),0)</f>
        <v>Nível 2</v>
      </c>
      <c r="E171" s="202" t="str">
        <f aca="true">OFFSET(ORÇAMENTO!O$15,ROW(E171)-ROW(E$15),0)</f>
        <v>1.44.</v>
      </c>
      <c r="F171" s="341" t="str">
        <f aca="true">OFFSET(ORÇAMENTO!R$15,ROW(F171)-ROW(F$15),0)</f>
        <v>SANITÁRIAS / PLUVIAL</v>
      </c>
      <c r="G171" s="342" t="str">
        <f aca="true">IF($D171&lt;&gt;"Serviço","",OFFSET(ORÇAMENTO!S$15,ROW(G171)-ROW(G$15),0))</f>
        <v/>
      </c>
      <c r="H171" s="207" t="n">
        <f aca="true">IF($D171&lt;&gt;"Serviço",0,IF(ACOMPANHAMENTO="BM",ROUND(OFFSET(ORÇAMENTO!AJ$15,ROW(H171)-ROW(H$15),0),15-13*ORÇAMENTO!$AF$7),SUMPRODUCT(($Q$1:$AQ$1=1)*ROUND($Q171:$AQ171,15-13*ORÇAMENTO!$AF$7))))</f>
        <v>0</v>
      </c>
      <c r="I171" s="343"/>
      <c r="J171" s="344" t="str">
        <f aca="false">IF(OR(B171&lt;&gt;"S",CÁLCULO.FrentesPreenchidas=0),"",IF(AND(ACOMPANHAMENTO="PLE",AUTOEVENTO="Manual",OR(H171&gt;0,ORÇAMENTO!AC171="QUANT."),OR(K171="",M171=0,N171="")),"►",IF(AND(ACOMPANHAMENTO="PLE",ORÇAMENTO!AC171="QUANT."),"►►",IF(AND(COUNTIF($P$11:$AQ$11,"▼")=0,H171&gt;0,I171=""),"◄",""))))</f>
        <v/>
      </c>
      <c r="K171" s="345"/>
      <c r="L171" s="346" t="s">
        <v>876</v>
      </c>
      <c r="M171" s="347" t="str">
        <f aca="true">IF($D171&lt;&gt;"Serviço","",
          IF(AUTOEVENTO="manual",$A171,
                IF(ISERROR(MATCH($A171,$A$15:OFFSET($A171,-1,0),0)),MAX($M$15:OFFSET(M171,-1,0))+1,
                      INDEX($M$15:OFFSET(M171,-1,0),MATCH($A171,$A$15:OFFSET($A171,-1,0),0)))))</f>
        <v/>
      </c>
      <c r="N171" s="348" t="str">
        <f aca="true">IF($D171&lt;&gt;"Serviço","",
         IF(AUTOEVENTO="Manual",
                IF($A171=0,"&lt;-- defina o número do agrupador",
                       OFFSET(EVENTOS!$D$15,$A171-$A$15,0)),
                OFFSET($F$15,$A171,0)))</f>
        <v/>
      </c>
      <c r="O171" s="349"/>
      <c r="Q171" s="349"/>
      <c r="R171" s="350"/>
      <c r="S171" s="350"/>
      <c r="T171" s="350"/>
      <c r="U171" s="350"/>
      <c r="V171" s="350"/>
      <c r="W171" s="350"/>
      <c r="X171" s="350"/>
      <c r="Y171" s="350"/>
      <c r="Z171" s="351"/>
      <c r="AA171" s="350"/>
      <c r="AB171" s="350"/>
      <c r="AC171" s="350"/>
      <c r="AD171" s="350"/>
      <c r="AE171" s="350"/>
      <c r="AF171" s="350"/>
      <c r="AG171" s="350"/>
      <c r="AH171" s="351"/>
      <c r="AI171" s="350"/>
      <c r="AJ171" s="350"/>
      <c r="AK171" s="350"/>
      <c r="AL171" s="350"/>
      <c r="AM171" s="350"/>
      <c r="AN171" s="350"/>
      <c r="AO171" s="350"/>
      <c r="AP171" s="351"/>
      <c r="AR171" s="352" t="n">
        <f aca="true">IF(AND($D171="Serviço",AR$12&lt;&gt;0,$H171&gt;0,OR(AUTOEVENTO&lt;&gt;"manual",$M171&lt;&gt;$A$15)),
        IF(Import.TipoArredondamento&lt;&gt;"TransfereGOV",
              ROUND(OFFSET($P171,0,AR$13),15-13*ORÇAMENTO!$AF$7)/$H171*OFFSET(ORÇAMENTO!$X$15,ROW(AR171)-ROW(AR$15),0),
              ROUND(ROUND(OFFSET($P171,0,AR$13),15-13*ORÇAMENTO!$AF$7)*OFFSET(ORÇAMENTO!$W$15,ROW(AR171)-ROW(AR$15),0),15-13*ORÇAMENTO!$AF$11)),
         0)</f>
        <v>0</v>
      </c>
      <c r="AS171" s="352" t="n">
        <f aca="true">IF(AND($D171="Serviço",AS$12&lt;&gt;0,$H171&gt;0,OR(AUTOEVENTO&lt;&gt;"manual",$M171&lt;&gt;$A$15)),
        IF(Import.TipoArredondamento&lt;&gt;"TransfereGOV",
              ROUND(OFFSET($P171,0,AS$13),15-13*ORÇAMENTO!$AF$7)/$H171*OFFSET(ORÇAMENTO!$X$15,ROW(AS171)-ROW(AS$15),0),
              ROUND(ROUND(OFFSET($P171,0,AS$13),15-13*ORÇAMENTO!$AF$7)*OFFSET(ORÇAMENTO!$W$15,ROW(AS171)-ROW(AS$15),0),15-13*ORÇAMENTO!$AF$11)),
         0)</f>
        <v>0</v>
      </c>
      <c r="AT171" s="352" t="n">
        <f aca="true">IF(AND($D171="Serviço",AT$12&lt;&gt;0,$H171&gt;0,OR(AUTOEVENTO&lt;&gt;"manual",$M171&lt;&gt;$A$15)),
        IF(Import.TipoArredondamento&lt;&gt;"TransfereGOV",
              ROUND(OFFSET($P171,0,AT$13),15-13*ORÇAMENTO!$AF$7)/$H171*OFFSET(ORÇAMENTO!$X$15,ROW(AT171)-ROW(AT$15),0),
              ROUND(ROUND(OFFSET($P171,0,AT$13),15-13*ORÇAMENTO!$AF$7)*OFFSET(ORÇAMENTO!$W$15,ROW(AT171)-ROW(AT$15),0),15-13*ORÇAMENTO!$AF$11)),
         0)</f>
        <v>0</v>
      </c>
      <c r="AU171" s="352" t="n">
        <f aca="true">IF(AND($D171="Serviço",AU$12&lt;&gt;0,$H171&gt;0,OR(AUTOEVENTO&lt;&gt;"manual",$M171&lt;&gt;$A$15)),
        IF(Import.TipoArredondamento&lt;&gt;"TransfereGOV",
              ROUND(OFFSET($P171,0,AU$13),15-13*ORÇAMENTO!$AF$7)/$H171*OFFSET(ORÇAMENTO!$X$15,ROW(AU171)-ROW(AU$15),0),
              ROUND(ROUND(OFFSET($P171,0,AU$13),15-13*ORÇAMENTO!$AF$7)*OFFSET(ORÇAMENTO!$W$15,ROW(AU171)-ROW(AU$15),0),15-13*ORÇAMENTO!$AF$11)),
         0)</f>
        <v>0</v>
      </c>
      <c r="AV171" s="352" t="n">
        <f aca="true">IF(AND($D171="Serviço",AV$12&lt;&gt;0,$H171&gt;0,OR(AUTOEVENTO&lt;&gt;"manual",$M171&lt;&gt;$A$15)),
        IF(Import.TipoArredondamento&lt;&gt;"TransfereGOV",
              ROUND(OFFSET($P171,0,AV$13),15-13*ORÇAMENTO!$AF$7)/$H171*OFFSET(ORÇAMENTO!$X$15,ROW(AV171)-ROW(AV$15),0),
              ROUND(ROUND(OFFSET($P171,0,AV$13),15-13*ORÇAMENTO!$AF$7)*OFFSET(ORÇAMENTO!$W$15,ROW(AV171)-ROW(AV$15),0),15-13*ORÇAMENTO!$AF$11)),
         0)</f>
        <v>0</v>
      </c>
      <c r="AW171" s="352" t="n">
        <f aca="true">IF(AND($D171="Serviço",AW$12&lt;&gt;0,$H171&gt;0,OR(AUTOEVENTO&lt;&gt;"manual",$M171&lt;&gt;$A$15)),
        IF(Import.TipoArredondamento&lt;&gt;"TransfereGOV",
              ROUND(OFFSET($P171,0,AW$13),15-13*ORÇAMENTO!$AF$7)/$H171*OFFSET(ORÇAMENTO!$X$15,ROW(AW171)-ROW(AW$15),0),
              ROUND(ROUND(OFFSET($P171,0,AW$13),15-13*ORÇAMENTO!$AF$7)*OFFSET(ORÇAMENTO!$W$15,ROW(AW171)-ROW(AW$15),0),15-13*ORÇAMENTO!$AF$11)),
         0)</f>
        <v>0</v>
      </c>
      <c r="AX171" s="352" t="n">
        <f aca="true">IF(AND($D171="Serviço",AX$12&lt;&gt;0,$H171&gt;0,OR(AUTOEVENTO&lt;&gt;"manual",$M171&lt;&gt;$A$15)),
        IF(Import.TipoArredondamento&lt;&gt;"TransfereGOV",
              ROUND(OFFSET($P171,0,AX$13),15-13*ORÇAMENTO!$AF$7)/$H171*OFFSET(ORÇAMENTO!$X$15,ROW(AX171)-ROW(AX$15),0),
              ROUND(ROUND(OFFSET($P171,0,AX$13),15-13*ORÇAMENTO!$AF$7)*OFFSET(ORÇAMENTO!$W$15,ROW(AX171)-ROW(AX$15),0),15-13*ORÇAMENTO!$AF$11)),
         0)</f>
        <v>0</v>
      </c>
      <c r="AY171" s="352" t="n">
        <f aca="true">IF(AND($D171="Serviço",AY$12&lt;&gt;0,$H171&gt;0,OR(AUTOEVENTO&lt;&gt;"manual",$M171&lt;&gt;$A$15)),
        IF(Import.TipoArredondamento&lt;&gt;"TransfereGOV",
              ROUND(OFFSET($P171,0,AY$13),15-13*ORÇAMENTO!$AF$7)/$H171*OFFSET(ORÇAMENTO!$X$15,ROW(AY171)-ROW(AY$15),0),
              ROUND(ROUND(OFFSET($P171,0,AY$13),15-13*ORÇAMENTO!$AF$7)*OFFSET(ORÇAMENTO!$W$15,ROW(AY171)-ROW(AY$15),0),15-13*ORÇAMENTO!$AF$11)),
         0)</f>
        <v>0</v>
      </c>
      <c r="AZ171" s="352" t="n">
        <f aca="true">IF(AND($D171="Serviço",AZ$12&lt;&gt;0,$H171&gt;0,OR(AUTOEVENTO&lt;&gt;"manual",$M171&lt;&gt;$A$15)),
        IF(Import.TipoArredondamento&lt;&gt;"TransfereGOV",
              ROUND(OFFSET($P171,0,AZ$13),15-13*ORÇAMENTO!$AF$7)/$H171*OFFSET(ORÇAMENTO!$X$15,ROW(AZ171)-ROW(AZ$15),0),
              ROUND(ROUND(OFFSET($P171,0,AZ$13),15-13*ORÇAMENTO!$AF$7)*OFFSET(ORÇAMENTO!$W$15,ROW(AZ171)-ROW(AZ$15),0),15-13*ORÇAMENTO!$AF$11)),
         0)</f>
        <v>0</v>
      </c>
      <c r="BA171" s="352" t="n">
        <f aca="true">IF(AND($D171="Serviço",BA$12&lt;&gt;0,$H171&gt;0,OR(AUTOEVENTO&lt;&gt;"manual",$M171&lt;&gt;$A$15)),
        IF(Import.TipoArredondamento&lt;&gt;"TransfereGOV",
              ROUND(OFFSET($P171,0,BA$13),15-13*ORÇAMENTO!$AF$7)/$H171*OFFSET(ORÇAMENTO!$X$15,ROW(BA171)-ROW(BA$15),0),
              ROUND(ROUND(OFFSET($P171,0,BA$13),15-13*ORÇAMENTO!$AF$7)*OFFSET(ORÇAMENTO!$W$15,ROW(BA171)-ROW(BA$15),0),15-13*ORÇAMENTO!$AF$11)),
         0)</f>
        <v>0</v>
      </c>
      <c r="BB171" s="352" t="n">
        <f aca="true">IF(AND($D171="Serviço",BB$12&lt;&gt;0,$H171&gt;0,OR(AUTOEVENTO&lt;&gt;"manual",$M171&lt;&gt;$A$15)),
        IF(Import.TipoArredondamento&lt;&gt;"TransfereGOV",
              ROUND(OFFSET($P171,0,BB$13),15-13*ORÇAMENTO!$AF$7)/$H171*OFFSET(ORÇAMENTO!$X$15,ROW(BB171)-ROW(BB$15),0),
              ROUND(ROUND(OFFSET($P171,0,BB$13),15-13*ORÇAMENTO!$AF$7)*OFFSET(ORÇAMENTO!$W$15,ROW(BB171)-ROW(BB$15),0),15-13*ORÇAMENTO!$AF$11)),
         0)</f>
        <v>0</v>
      </c>
      <c r="BC171" s="352" t="n">
        <f aca="true">IF(AND($D171="Serviço",BC$12&lt;&gt;0,$H171&gt;0,OR(AUTOEVENTO&lt;&gt;"manual",$M171&lt;&gt;$A$15)),
        IF(Import.TipoArredondamento&lt;&gt;"TransfereGOV",
              ROUND(OFFSET($P171,0,BC$13),15-13*ORÇAMENTO!$AF$7)/$H171*OFFSET(ORÇAMENTO!$X$15,ROW(BC171)-ROW(BC$15),0),
              ROUND(ROUND(OFFSET($P171,0,BC$13),15-13*ORÇAMENTO!$AF$7)*OFFSET(ORÇAMENTO!$W$15,ROW(BC171)-ROW(BC$15),0),15-13*ORÇAMENTO!$AF$11)),
         0)</f>
        <v>0</v>
      </c>
      <c r="BD171" s="352" t="n">
        <f aca="true">IF(AND($D171="Serviço",BD$12&lt;&gt;0,$H171&gt;0,OR(AUTOEVENTO&lt;&gt;"manual",$M171&lt;&gt;$A$15)),
        IF(Import.TipoArredondamento&lt;&gt;"TransfereGOV",
              ROUND(OFFSET($P171,0,BD$13),15-13*ORÇAMENTO!$AF$7)/$H171*OFFSET(ORÇAMENTO!$X$15,ROW(BD171)-ROW(BD$15),0),
              ROUND(ROUND(OFFSET($P171,0,BD$13),15-13*ORÇAMENTO!$AF$7)*OFFSET(ORÇAMENTO!$W$15,ROW(BD171)-ROW(BD$15),0),15-13*ORÇAMENTO!$AF$11)),
         0)</f>
        <v>0</v>
      </c>
      <c r="BE171" s="352" t="n">
        <f aca="true">IF(AND($D171="Serviço",BE$12&lt;&gt;0,$H171&gt;0,OR(AUTOEVENTO&lt;&gt;"manual",$M171&lt;&gt;$A$15)),
        IF(Import.TipoArredondamento&lt;&gt;"TransfereGOV",
              ROUND(OFFSET($P171,0,BE$13),15-13*ORÇAMENTO!$AF$7)/$H171*OFFSET(ORÇAMENTO!$X$15,ROW(BE171)-ROW(BE$15),0),
              ROUND(ROUND(OFFSET($P171,0,BE$13),15-13*ORÇAMENTO!$AF$7)*OFFSET(ORÇAMENTO!$W$15,ROW(BE171)-ROW(BE$15),0),15-13*ORÇAMENTO!$AF$11)),
         0)</f>
        <v>0</v>
      </c>
      <c r="BF171" s="352" t="n">
        <f aca="true">IF(AND($D171="Serviço",BF$12&lt;&gt;0,$H171&gt;0,OR(AUTOEVENTO&lt;&gt;"manual",$M171&lt;&gt;$A$15)),
        IF(Import.TipoArredondamento&lt;&gt;"TransfereGOV",
              ROUND(OFFSET($P171,0,BF$13),15-13*ORÇAMENTO!$AF$7)/$H171*OFFSET(ORÇAMENTO!$X$15,ROW(BF171)-ROW(BF$15),0),
              ROUND(ROUND(OFFSET($P171,0,BF$13),15-13*ORÇAMENTO!$AF$7)*OFFSET(ORÇAMENTO!$W$15,ROW(BF171)-ROW(BF$15),0),15-13*ORÇAMENTO!$AF$11)),
         0)</f>
        <v>0</v>
      </c>
      <c r="BG171" s="352" t="n">
        <f aca="true">IF(AND($D171="Serviço",BG$12&lt;&gt;0,$H171&gt;0,OR(AUTOEVENTO&lt;&gt;"manual",$M171&lt;&gt;$A$15)),
        IF(Import.TipoArredondamento&lt;&gt;"TransfereGOV",
              ROUND(OFFSET($P171,0,BG$13),15-13*ORÇAMENTO!$AF$7)/$H171*OFFSET(ORÇAMENTO!$X$15,ROW(BG171)-ROW(BG$15),0),
              ROUND(ROUND(OFFSET($P171,0,BG$13),15-13*ORÇAMENTO!$AF$7)*OFFSET(ORÇAMENTO!$W$15,ROW(BG171)-ROW(BG$15),0),15-13*ORÇAMENTO!$AF$11)),
         0)</f>
        <v>0</v>
      </c>
      <c r="BH171" s="352" t="n">
        <f aca="true">IF(AND($D171="Serviço",BH$12&lt;&gt;0,$H171&gt;0,OR(AUTOEVENTO&lt;&gt;"manual",$M171&lt;&gt;$A$15)),
        IF(Import.TipoArredondamento&lt;&gt;"TransfereGOV",
              ROUND(OFFSET($P171,0,BH$13),15-13*ORÇAMENTO!$AF$7)/$H171*OFFSET(ORÇAMENTO!$X$15,ROW(BH171)-ROW(BH$15),0),
              ROUND(ROUND(OFFSET($P171,0,BH$13),15-13*ORÇAMENTO!$AF$7)*OFFSET(ORÇAMENTO!$W$15,ROW(BH171)-ROW(BH$15),0),15-13*ORÇAMENTO!$AF$11)),
         0)</f>
        <v>0</v>
      </c>
      <c r="BI171" s="352" t="n">
        <f aca="true">IF(AND($D171="Serviço",BI$12&lt;&gt;0,$H171&gt;0,OR(AUTOEVENTO&lt;&gt;"manual",$M171&lt;&gt;$A$15)),
        IF(Import.TipoArredondamento&lt;&gt;"TransfereGOV",
              ROUND(OFFSET($P171,0,BI$13),15-13*ORÇAMENTO!$AF$7)/$H171*OFFSET(ORÇAMENTO!$X$15,ROW(BI171)-ROW(BI$15),0),
              ROUND(ROUND(OFFSET($P171,0,BI$13),15-13*ORÇAMENTO!$AF$7)*OFFSET(ORÇAMENTO!$W$15,ROW(BI171)-ROW(BI$15),0),15-13*ORÇAMENTO!$AF$11)),
         0)</f>
        <v>0</v>
      </c>
      <c r="BJ171" s="352" t="n">
        <f aca="true">IF(AND($D171="Serviço",BJ$12&lt;&gt;0,$H171&gt;0,OR(AUTOEVENTO&lt;&gt;"manual",$M171&lt;&gt;$A$15)),
        IF(Import.TipoArredondamento&lt;&gt;"TransfereGOV",
              ROUND(OFFSET($P171,0,BJ$13),15-13*ORÇAMENTO!$AF$7)/$H171*OFFSET(ORÇAMENTO!$X$15,ROW(BJ171)-ROW(BJ$15),0),
              ROUND(ROUND(OFFSET($P171,0,BJ$13),15-13*ORÇAMENTO!$AF$7)*OFFSET(ORÇAMENTO!$W$15,ROW(BJ171)-ROW(BJ$15),0),15-13*ORÇAMENTO!$AF$11)),
         0)</f>
        <v>0</v>
      </c>
      <c r="BK171" s="352" t="n">
        <f aca="true">IF(AND($D171="Serviço",BK$12&lt;&gt;0,$H171&gt;0,OR(AUTOEVENTO&lt;&gt;"manual",$M171&lt;&gt;$A$15)),
        IF(Import.TipoArredondamento&lt;&gt;"TransfereGOV",
              ROUND(OFFSET($P171,0,BK$13),15-13*ORÇAMENTO!$AF$7)/$H171*OFFSET(ORÇAMENTO!$X$15,ROW(BK171)-ROW(BK$15),0),
              ROUND(ROUND(OFFSET($P171,0,BK$13),15-13*ORÇAMENTO!$AF$7)*OFFSET(ORÇAMENTO!$W$15,ROW(BK171)-ROW(BK$15),0),15-13*ORÇAMENTO!$AF$11)),
         0)</f>
        <v>0</v>
      </c>
      <c r="BL171" s="352" t="n">
        <f aca="true">IF(AND($D171="Serviço",BL$12&lt;&gt;0,$H171&gt;0,OR(AUTOEVENTO&lt;&gt;"manual",$M171&lt;&gt;$A$15)),
        IF(Import.TipoArredondamento&lt;&gt;"TransfereGOV",
              ROUND(OFFSET($P171,0,BL$13),15-13*ORÇAMENTO!$AF$7)/$H171*OFFSET(ORÇAMENTO!$X$15,ROW(BL171)-ROW(BL$15),0),
              ROUND(ROUND(OFFSET($P171,0,BL$13),15-13*ORÇAMENTO!$AF$7)*OFFSET(ORÇAMENTO!$W$15,ROW(BL171)-ROW(BL$15),0),15-13*ORÇAMENTO!$AF$11)),
         0)</f>
        <v>0</v>
      </c>
      <c r="BM171" s="352" t="n">
        <f aca="true">IF(AND($D171="Serviço",BM$12&lt;&gt;0,$H171&gt;0,OR(AUTOEVENTO&lt;&gt;"manual",$M171&lt;&gt;$A$15)),
        IF(Import.TipoArredondamento&lt;&gt;"TransfereGOV",
              ROUND(OFFSET($P171,0,BM$13),15-13*ORÇAMENTO!$AF$7)/$H171*OFFSET(ORÇAMENTO!$X$15,ROW(BM171)-ROW(BM$15),0),
              ROUND(ROUND(OFFSET($P171,0,BM$13),15-13*ORÇAMENTO!$AF$7)*OFFSET(ORÇAMENTO!$W$15,ROW(BM171)-ROW(BM$15),0),15-13*ORÇAMENTO!$AF$11)),
         0)</f>
        <v>0</v>
      </c>
      <c r="BN171" s="352" t="n">
        <f aca="true">IF(AND($D171="Serviço",BN$12&lt;&gt;0,$H171&gt;0,OR(AUTOEVENTO&lt;&gt;"manual",$M171&lt;&gt;$A$15)),
        IF(Import.TipoArredondamento&lt;&gt;"TransfereGOV",
              ROUND(OFFSET($P171,0,BN$13),15-13*ORÇAMENTO!$AF$7)/$H171*OFFSET(ORÇAMENTO!$X$15,ROW(BN171)-ROW(BN$15),0),
              ROUND(ROUND(OFFSET($P171,0,BN$13),15-13*ORÇAMENTO!$AF$7)*OFFSET(ORÇAMENTO!$W$15,ROW(BN171)-ROW(BN$15),0),15-13*ORÇAMENTO!$AF$11)),
         0)</f>
        <v>0</v>
      </c>
      <c r="BO171" s="352" t="n">
        <f aca="true">IF(AND($D171="Serviço",BO$12&lt;&gt;0,$H171&gt;0,OR(AUTOEVENTO&lt;&gt;"manual",$M171&lt;&gt;$A$15)),
        IF(Import.TipoArredondamento&lt;&gt;"TransfereGOV",
              ROUND(OFFSET($P171,0,BO$13),15-13*ORÇAMENTO!$AF$7)/$H171*OFFSET(ORÇAMENTO!$X$15,ROW(BO171)-ROW(BO$15),0),
              ROUND(ROUND(OFFSET($P171,0,BO$13),15-13*ORÇAMENTO!$AF$7)*OFFSET(ORÇAMENTO!$W$15,ROW(BO171)-ROW(BO$15),0),15-13*ORÇAMENTO!$AF$11)),
         0)</f>
        <v>0</v>
      </c>
      <c r="BP171" s="352" t="n">
        <f aca="true">IF(AND($D171="Serviço",BP$12&lt;&gt;0,$H171&gt;0,OR(AUTOEVENTO&lt;&gt;"manual",$M171&lt;&gt;$A$15)),
        IF(Import.TipoArredondamento&lt;&gt;"TransfereGOV",
              ROUND(OFFSET($P171,0,BP$13),15-13*ORÇAMENTO!$AF$7)/$H171*OFFSET(ORÇAMENTO!$X$15,ROW(BP171)-ROW(BP$15),0),
              ROUND(ROUND(OFFSET($P171,0,BP$13),15-13*ORÇAMENTO!$AF$7)*OFFSET(ORÇAMENTO!$W$15,ROW(BP171)-ROW(BP$15),0),15-13*ORÇAMENTO!$AF$11)),
         0)</f>
        <v>0</v>
      </c>
      <c r="BQ171" s="352" t="n">
        <f aca="true">IF(AND($D171="Serviço",BQ$12&lt;&gt;0,$H171&gt;0,OR(AUTOEVENTO&lt;&gt;"manual",$M171&lt;&gt;$A$15)),
        IF(Import.TipoArredondamento&lt;&gt;"TransfereGOV",
              ROUND(OFFSET($P171,0,BQ$13),15-13*ORÇAMENTO!$AF$7)/$H171*OFFSET(ORÇAMENTO!$X$15,ROW(BQ171)-ROW(BQ$15),0),
              ROUND(ROUND(OFFSET($P171,0,BQ$13),15-13*ORÇAMENTO!$AF$7)*OFFSET(ORÇAMENTO!$W$15,ROW(BQ171)-ROW(BQ$15),0),15-13*ORÇAMENTO!$AF$11)),
         0)</f>
        <v>0</v>
      </c>
      <c r="BS171" s="353" t="n">
        <f aca="true">IF(OR($D171&lt;&gt;"Serviço",AND(AUTOEVENTO="Manual",$M171=$A$15)),0,
         IF(OFFSET(CRONOPLE!$F$15,$M171-$A$15,BS$13)=0,10^12,OFFSET(CRONOPLE!$F$15,$M171-$A$15,BS$13)))</f>
        <v>0</v>
      </c>
      <c r="BT171" s="353" t="n">
        <f aca="true">IF(OR($D171&lt;&gt;"Serviço",AND(AUTOEVENTO="Manual",$M171=$A$15)),0,
         IF(OFFSET(CRONOPLE!$F$15,$M171-$A$15,BT$13)=0,10^12,OFFSET(CRONOPLE!$F$15,$M171-$A$15,BT$13)))</f>
        <v>0</v>
      </c>
      <c r="BU171" s="353" t="n">
        <f aca="true">IF(OR($D171&lt;&gt;"Serviço",AND(AUTOEVENTO="Manual",$M171=$A$15)),0,
         IF(OFFSET(CRONOPLE!$F$15,$M171-$A$15,BU$13)=0,10^12,OFFSET(CRONOPLE!$F$15,$M171-$A$15,BU$13)))</f>
        <v>0</v>
      </c>
      <c r="BV171" s="353" t="n">
        <f aca="true">IF(OR($D171&lt;&gt;"Serviço",AND(AUTOEVENTO="Manual",$M171=$A$15)),0,
         IF(OFFSET(CRONOPLE!$F$15,$M171-$A$15,BV$13)=0,10^12,OFFSET(CRONOPLE!$F$15,$M171-$A$15,BV$13)))</f>
        <v>0</v>
      </c>
      <c r="BW171" s="353" t="n">
        <f aca="true">IF(OR($D171&lt;&gt;"Serviço",AND(AUTOEVENTO="Manual",$M171=$A$15)),0,
         IF(OFFSET(CRONOPLE!$F$15,$M171-$A$15,BW$13)=0,10^12,OFFSET(CRONOPLE!$F$15,$M171-$A$15,BW$13)))</f>
        <v>0</v>
      </c>
      <c r="BX171" s="353" t="n">
        <f aca="true">IF(OR($D171&lt;&gt;"Serviço",AND(AUTOEVENTO="Manual",$M171=$A$15)),0,
         IF(OFFSET(CRONOPLE!$F$15,$M171-$A$15,BX$13)=0,10^12,OFFSET(CRONOPLE!$F$15,$M171-$A$15,BX$13)))</f>
        <v>0</v>
      </c>
      <c r="BY171" s="353" t="n">
        <f aca="true">IF(OR($D171&lt;&gt;"Serviço",AND(AUTOEVENTO="Manual",$M171=$A$15)),0,
         IF(OFFSET(CRONOPLE!$F$15,$M171-$A$15,BY$13)=0,10^12,OFFSET(CRONOPLE!$F$15,$M171-$A$15,BY$13)))</f>
        <v>0</v>
      </c>
      <c r="BZ171" s="353" t="n">
        <f aca="true">IF(OR($D171&lt;&gt;"Serviço",AND(AUTOEVENTO="Manual",$M171=$A$15)),0,
         IF(OFFSET(CRONOPLE!$F$15,$M171-$A$15,BZ$13)=0,10^12,OFFSET(CRONOPLE!$F$15,$M171-$A$15,BZ$13)))</f>
        <v>0</v>
      </c>
      <c r="CA171" s="353" t="n">
        <f aca="true">IF(OR($D171&lt;&gt;"Serviço",AND(AUTOEVENTO="Manual",$M171=$A$15)),0,
         IF(OFFSET(CRONOPLE!$F$15,$M171-$A$15,CA$13)=0,10^12,OFFSET(CRONOPLE!$F$15,$M171-$A$15,CA$13)))</f>
        <v>0</v>
      </c>
      <c r="CB171" s="353" t="n">
        <f aca="true">IF(OR($D171&lt;&gt;"Serviço",AND(AUTOEVENTO="Manual",$M171=$A$15)),0,
         IF(OFFSET(CRONOPLE!$F$15,$M171-$A$15,CB$13)=0,10^12,OFFSET(CRONOPLE!$F$15,$M171-$A$15,CB$13)))</f>
        <v>0</v>
      </c>
      <c r="CC171" s="353" t="n">
        <f aca="true">IF(OR($D171&lt;&gt;"Serviço",AND(AUTOEVENTO="Manual",$M171=$A$15)),0,
         IF(OFFSET(CRONOPLE!$F$15,$M171-$A$15,CC$13)=0,10^12,OFFSET(CRONOPLE!$F$15,$M171-$A$15,CC$13)))</f>
        <v>0</v>
      </c>
      <c r="CD171" s="353" t="n">
        <f aca="true">IF(OR($D171&lt;&gt;"Serviço",AND(AUTOEVENTO="Manual",$M171=$A$15)),0,
         IF(OFFSET(CRONOPLE!$F$15,$M171-$A$15,CD$13)=0,10^12,OFFSET(CRONOPLE!$F$15,$M171-$A$15,CD$13)))</f>
        <v>0</v>
      </c>
      <c r="CE171" s="353" t="n">
        <f aca="true">IF(OR($D171&lt;&gt;"Serviço",AND(AUTOEVENTO="Manual",$M171=$A$15)),0,
         IF(OFFSET(CRONOPLE!$F$15,$M171-$A$15,CE$13)=0,10^12,OFFSET(CRONOPLE!$F$15,$M171-$A$15,CE$13)))</f>
        <v>0</v>
      </c>
      <c r="CF171" s="353" t="n">
        <f aca="true">IF(OR($D171&lt;&gt;"Serviço",AND(AUTOEVENTO="Manual",$M171=$A$15)),0,
         IF(OFFSET(CRONOPLE!$F$15,$M171-$A$15,CF$13)=0,10^12,OFFSET(CRONOPLE!$F$15,$M171-$A$15,CF$13)))</f>
        <v>0</v>
      </c>
      <c r="CG171" s="353" t="n">
        <f aca="true">IF(OR($D171&lt;&gt;"Serviço",AND(AUTOEVENTO="Manual",$M171=$A$15)),0,
         IF(OFFSET(CRONOPLE!$F$15,$M171-$A$15,CG$13)=0,10^12,OFFSET(CRONOPLE!$F$15,$M171-$A$15,CG$13)))</f>
        <v>0</v>
      </c>
      <c r="CH171" s="353" t="n">
        <f aca="true">IF(OR($D171&lt;&gt;"Serviço",AND(AUTOEVENTO="Manual",$M171=$A$15)),0,
         IF(OFFSET(CRONOPLE!$F$15,$M171-$A$15,CH$13)=0,10^12,OFFSET(CRONOPLE!$F$15,$M171-$A$15,CH$13)))</f>
        <v>0</v>
      </c>
      <c r="CI171" s="353" t="n">
        <f aca="true">IF(OR($D171&lt;&gt;"Serviço",AND(AUTOEVENTO="Manual",$M171=$A$15)),0,
         IF(OFFSET(CRONOPLE!$F$15,$M171-$A$15,CI$13)=0,10^12,OFFSET(CRONOPLE!$F$15,$M171-$A$15,CI$13)))</f>
        <v>0</v>
      </c>
      <c r="CJ171" s="353" t="n">
        <f aca="true">IF(OR($D171&lt;&gt;"Serviço",AND(AUTOEVENTO="Manual",$M171=$A$15)),0,
         IF(OFFSET(CRONOPLE!$F$15,$M171-$A$15,CJ$13)=0,10^12,OFFSET(CRONOPLE!$F$15,$M171-$A$15,CJ$13)))</f>
        <v>0</v>
      </c>
      <c r="CK171" s="353" t="n">
        <f aca="true">IF(OR($D171&lt;&gt;"Serviço",AND(AUTOEVENTO="Manual",$M171=$A$15)),0,
         IF(OFFSET(CRONOPLE!$F$15,$M171-$A$15,CK$13)=0,10^12,OFFSET(CRONOPLE!$F$15,$M171-$A$15,CK$13)))</f>
        <v>0</v>
      </c>
      <c r="CL171" s="353" t="n">
        <f aca="true">IF(OR($D171&lt;&gt;"Serviço",AND(AUTOEVENTO="Manual",$M171=$A$15)),0,
         IF(OFFSET(CRONOPLE!$F$15,$M171-$A$15,CL$13)=0,10^12,OFFSET(CRONOPLE!$F$15,$M171-$A$15,CL$13)))</f>
        <v>0</v>
      </c>
      <c r="CM171" s="353" t="n">
        <f aca="true">IF(OR($D171&lt;&gt;"Serviço",AND(AUTOEVENTO="Manual",$M171=$A$15)),0,
         IF(OFFSET(CRONOPLE!$F$15,$M171-$A$15,CM$13)=0,10^12,OFFSET(CRONOPLE!$F$15,$M171-$A$15,CM$13)))</f>
        <v>0</v>
      </c>
      <c r="CN171" s="353" t="n">
        <f aca="true">IF(OR($D171&lt;&gt;"Serviço",AND(AUTOEVENTO="Manual",$M171=$A$15)),0,
         IF(OFFSET(CRONOPLE!$F$15,$M171-$A$15,CN$13)=0,10^12,OFFSET(CRONOPLE!$F$15,$M171-$A$15,CN$13)))</f>
        <v>0</v>
      </c>
      <c r="CO171" s="353" t="n">
        <f aca="true">IF(OR($D171&lt;&gt;"Serviço",AND(AUTOEVENTO="Manual",$M171=$A$15)),0,
         IF(OFFSET(CRONOPLE!$F$15,$M171-$A$15,CO$13)=0,10^12,OFFSET(CRONOPLE!$F$15,$M171-$A$15,CO$13)))</f>
        <v>0</v>
      </c>
      <c r="CP171" s="353" t="n">
        <f aca="true">IF(OR($D171&lt;&gt;"Serviço",AND(AUTOEVENTO="Manual",$M171=$A$15)),0,
         IF(OFFSET(CRONOPLE!$F$15,$M171-$A$15,CP$13)=0,10^12,OFFSET(CRONOPLE!$F$15,$M171-$A$15,CP$13)))</f>
        <v>0</v>
      </c>
      <c r="CQ171" s="353" t="n">
        <f aca="true">IF(OR($D171&lt;&gt;"Serviço",AND(AUTOEVENTO="Manual",$M171=$A$15)),0,
         IF(OFFSET(CRONOPLE!$F$15,$M171-$A$15,CQ$13)=0,10^12,OFFSET(CRONOPLE!$F$15,$M171-$A$15,CQ$13)))</f>
        <v>0</v>
      </c>
      <c r="CR171" s="353" t="n">
        <f aca="true">IF(OR($D171&lt;&gt;"Serviço",AND(AUTOEVENTO="Manual",$M171=$A$15)),0,
         IF(OFFSET(CRONOPLE!$F$15,$M171-$A$15,CR$13)=0,10^12,OFFSET(CRONOPLE!$F$15,$M171-$A$15,CR$13)))</f>
        <v>0</v>
      </c>
      <c r="CT171" s="354" t="n">
        <f aca="true">IF(OR($D171&lt;&gt;"Serviço",AND(AUTOEVENTO="Manual",$M171=$A$15),$M171&gt;(ROW(PLE.lastrow)-ROW(PLE.firstrow))),0,
           IF(OFFSET(PLE!$G$15,$M171-$A$15,CT$13)="",10^12,OFFSET(PLE!$G$15,$M171-$A$15,CT$13)))</f>
        <v>0</v>
      </c>
      <c r="CU171" s="354" t="n">
        <f aca="true">IF(OR($D171&lt;&gt;"Serviço",AND(AUTOEVENTO="Manual",$M171=$A$15),$M171&gt;(ROW(PLE.lastrow)-ROW(PLE.firstrow))),0,
           IF(OFFSET(PLE!$G$15,$M171-$A$15,CU$13)="",10^12,OFFSET(PLE!$G$15,$M171-$A$15,CU$13)))</f>
        <v>0</v>
      </c>
      <c r="CV171" s="354" t="n">
        <f aca="true">IF(OR($D171&lt;&gt;"Serviço",AND(AUTOEVENTO="Manual",$M171=$A$15),$M171&gt;(ROW(PLE.lastrow)-ROW(PLE.firstrow))),0,
           IF(OFFSET(PLE!$G$15,$M171-$A$15,CV$13)="",10^12,OFFSET(PLE!$G$15,$M171-$A$15,CV$13)))</f>
        <v>0</v>
      </c>
      <c r="CW171" s="354" t="n">
        <f aca="true">IF(OR($D171&lt;&gt;"Serviço",AND(AUTOEVENTO="Manual",$M171=$A$15),$M171&gt;(ROW(PLE.lastrow)-ROW(PLE.firstrow))),0,
           IF(OFFSET(PLE!$G$15,$M171-$A$15,CW$13)="",10^12,OFFSET(PLE!$G$15,$M171-$A$15,CW$13)))</f>
        <v>0</v>
      </c>
      <c r="CX171" s="354" t="n">
        <f aca="true">IF(OR($D171&lt;&gt;"Serviço",AND(AUTOEVENTO="Manual",$M171=$A$15),$M171&gt;(ROW(PLE.lastrow)-ROW(PLE.firstrow))),0,
           IF(OFFSET(PLE!$G$15,$M171-$A$15,CX$13)="",10^12,OFFSET(PLE!$G$15,$M171-$A$15,CX$13)))</f>
        <v>0</v>
      </c>
      <c r="CY171" s="354" t="n">
        <f aca="true">IF(OR($D171&lt;&gt;"Serviço",AND(AUTOEVENTO="Manual",$M171=$A$15),$M171&gt;(ROW(PLE.lastrow)-ROW(PLE.firstrow))),0,
           IF(OFFSET(PLE!$G$15,$M171-$A$15,CY$13)="",10^12,OFFSET(PLE!$G$15,$M171-$A$15,CY$13)))</f>
        <v>0</v>
      </c>
      <c r="CZ171" s="354" t="n">
        <f aca="true">IF(OR($D171&lt;&gt;"Serviço",AND(AUTOEVENTO="Manual",$M171=$A$15),$M171&gt;(ROW(PLE.lastrow)-ROW(PLE.firstrow))),0,
           IF(OFFSET(PLE!$G$15,$M171-$A$15,CZ$13)="",10^12,OFFSET(PLE!$G$15,$M171-$A$15,CZ$13)))</f>
        <v>0</v>
      </c>
      <c r="DA171" s="354" t="n">
        <f aca="true">IF(OR($D171&lt;&gt;"Serviço",AND(AUTOEVENTO="Manual",$M171=$A$15),$M171&gt;(ROW(PLE.lastrow)-ROW(PLE.firstrow))),0,
           IF(OFFSET(PLE!$G$15,$M171-$A$15,DA$13)="",10^12,OFFSET(PLE!$G$15,$M171-$A$15,DA$13)))</f>
        <v>0</v>
      </c>
      <c r="DB171" s="354" t="n">
        <f aca="true">IF(OR($D171&lt;&gt;"Serviço",AND(AUTOEVENTO="Manual",$M171=$A$15),$M171&gt;(ROW(PLE.lastrow)-ROW(PLE.firstrow))),0,
           IF(OFFSET(PLE!$G$15,$M171-$A$15,DB$13)="",10^12,OFFSET(PLE!$G$15,$M171-$A$15,DB$13)))</f>
        <v>0</v>
      </c>
      <c r="DC171" s="354" t="n">
        <f aca="true">IF(OR($D171&lt;&gt;"Serviço",AND(AUTOEVENTO="Manual",$M171=$A$15),$M171&gt;(ROW(PLE.lastrow)-ROW(PLE.firstrow))),0,
           IF(OFFSET(PLE!$G$15,$M171-$A$15,DC$13)="",10^12,OFFSET(PLE!$G$15,$M171-$A$15,DC$13)))</f>
        <v>0</v>
      </c>
      <c r="DD171" s="354" t="n">
        <f aca="true">IF(OR($D171&lt;&gt;"Serviço",AND(AUTOEVENTO="Manual",$M171=$A$15),$M171&gt;(ROW(PLE.lastrow)-ROW(PLE.firstrow))),0,
           IF(OFFSET(PLE!$G$15,$M171-$A$15,DD$13)="",10^12,OFFSET(PLE!$G$15,$M171-$A$15,DD$13)))</f>
        <v>0</v>
      </c>
      <c r="DE171" s="354" t="n">
        <f aca="true">IF(OR($D171&lt;&gt;"Serviço",AND(AUTOEVENTO="Manual",$M171=$A$15),$M171&gt;(ROW(PLE.lastrow)-ROW(PLE.firstrow))),0,
           IF(OFFSET(PLE!$G$15,$M171-$A$15,DE$13)="",10^12,OFFSET(PLE!$G$15,$M171-$A$15,DE$13)))</f>
        <v>0</v>
      </c>
      <c r="DF171" s="354" t="n">
        <f aca="true">IF(OR($D171&lt;&gt;"Serviço",AND(AUTOEVENTO="Manual",$M171=$A$15),$M171&gt;(ROW(PLE.lastrow)-ROW(PLE.firstrow))),0,
           IF(OFFSET(PLE!$G$15,$M171-$A$15,DF$13)="",10^12,OFFSET(PLE!$G$15,$M171-$A$15,DF$13)))</f>
        <v>0</v>
      </c>
      <c r="DG171" s="354" t="n">
        <f aca="true">IF(OR($D171&lt;&gt;"Serviço",AND(AUTOEVENTO="Manual",$M171=$A$15),$M171&gt;(ROW(PLE.lastrow)-ROW(PLE.firstrow))),0,
           IF(OFFSET(PLE!$G$15,$M171-$A$15,DG$13)="",10^12,OFFSET(PLE!$G$15,$M171-$A$15,DG$13)))</f>
        <v>0</v>
      </c>
      <c r="DH171" s="354" t="n">
        <f aca="true">IF(OR($D171&lt;&gt;"Serviço",AND(AUTOEVENTO="Manual",$M171=$A$15),$M171&gt;(ROW(PLE.lastrow)-ROW(PLE.firstrow))),0,
           IF(OFFSET(PLE!$G$15,$M171-$A$15,DH$13)="",10^12,OFFSET(PLE!$G$15,$M171-$A$15,DH$13)))</f>
        <v>0</v>
      </c>
      <c r="DI171" s="354" t="n">
        <f aca="true">IF(OR($D171&lt;&gt;"Serviço",AND(AUTOEVENTO="Manual",$M171=$A$15),$M171&gt;(ROW(PLE.lastrow)-ROW(PLE.firstrow))),0,
           IF(OFFSET(PLE!$G$15,$M171-$A$15,DI$13)="",10^12,OFFSET(PLE!$G$15,$M171-$A$15,DI$13)))</f>
        <v>0</v>
      </c>
      <c r="DJ171" s="354" t="n">
        <f aca="true">IF(OR($D171&lt;&gt;"Serviço",AND(AUTOEVENTO="Manual",$M171=$A$15),$M171&gt;(ROW(PLE.lastrow)-ROW(PLE.firstrow))),0,
           IF(OFFSET(PLE!$G$15,$M171-$A$15,DJ$13)="",10^12,OFFSET(PLE!$G$15,$M171-$A$15,DJ$13)))</f>
        <v>0</v>
      </c>
      <c r="DK171" s="354" t="n">
        <f aca="true">IF(OR($D171&lt;&gt;"Serviço",AND(AUTOEVENTO="Manual",$M171=$A$15),$M171&gt;(ROW(PLE.lastrow)-ROW(PLE.firstrow))),0,
           IF(OFFSET(PLE!$G$15,$M171-$A$15,DK$13)="",10^12,OFFSET(PLE!$G$15,$M171-$A$15,DK$13)))</f>
        <v>0</v>
      </c>
      <c r="DL171" s="354" t="n">
        <f aca="true">IF(OR($D171&lt;&gt;"Serviço",AND(AUTOEVENTO="Manual",$M171=$A$15),$M171&gt;(ROW(PLE.lastrow)-ROW(PLE.firstrow))),0,
           IF(OFFSET(PLE!$G$15,$M171-$A$15,DL$13)="",10^12,OFFSET(PLE!$G$15,$M171-$A$15,DL$13)))</f>
        <v>0</v>
      </c>
      <c r="DM171" s="354" t="n">
        <f aca="true">IF(OR($D171&lt;&gt;"Serviço",AND(AUTOEVENTO="Manual",$M171=$A$15),$M171&gt;(ROW(PLE.lastrow)-ROW(PLE.firstrow))),0,
           IF(OFFSET(PLE!$G$15,$M171-$A$15,DM$13)="",10^12,OFFSET(PLE!$G$15,$M171-$A$15,DM$13)))</f>
        <v>0</v>
      </c>
      <c r="DN171" s="354" t="n">
        <f aca="true">IF(OR($D171&lt;&gt;"Serviço",AND(AUTOEVENTO="Manual",$M171=$A$15),$M171&gt;(ROW(PLE.lastrow)-ROW(PLE.firstrow))),0,
           IF(OFFSET(PLE!$G$15,$M171-$A$15,DN$13)="",10^12,OFFSET(PLE!$G$15,$M171-$A$15,DN$13)))</f>
        <v>0</v>
      </c>
      <c r="DO171" s="354" t="n">
        <f aca="true">IF(OR($D171&lt;&gt;"Serviço",AND(AUTOEVENTO="Manual",$M171=$A$15),$M171&gt;(ROW(PLE.lastrow)-ROW(PLE.firstrow))),0,
           IF(OFFSET(PLE!$G$15,$M171-$A$15,DO$13)="",10^12,OFFSET(PLE!$G$15,$M171-$A$15,DO$13)))</f>
        <v>0</v>
      </c>
      <c r="DP171" s="354" t="n">
        <f aca="true">IF(OR($D171&lt;&gt;"Serviço",AND(AUTOEVENTO="Manual",$M171=$A$15),$M171&gt;(ROW(PLE.lastrow)-ROW(PLE.firstrow))),0,
           IF(OFFSET(PLE!$G$15,$M171-$A$15,DP$13)="",10^12,OFFSET(PLE!$G$15,$M171-$A$15,DP$13)))</f>
        <v>0</v>
      </c>
      <c r="DQ171" s="354" t="n">
        <f aca="true">IF(OR($D171&lt;&gt;"Serviço",AND(AUTOEVENTO="Manual",$M171=$A$15),$M171&gt;(ROW(PLE.lastrow)-ROW(PLE.firstrow))),0,
           IF(OFFSET(PLE!$G$15,$M171-$A$15,DQ$13)="",10^12,OFFSET(PLE!$G$15,$M171-$A$15,DQ$13)))</f>
        <v>0</v>
      </c>
      <c r="DR171" s="354" t="n">
        <f aca="true">IF(OR($D171&lt;&gt;"Serviço",AND(AUTOEVENTO="Manual",$M171=$A$15),$M171&gt;(ROW(PLE.lastrow)-ROW(PLE.firstrow))),0,
           IF(OFFSET(PLE!$G$15,$M171-$A$15,DR$13)="",10^12,OFFSET(PLE!$G$15,$M171-$A$15,DR$13)))</f>
        <v>0</v>
      </c>
      <c r="DS171" s="354" t="n">
        <f aca="true">IF(OR($D171&lt;&gt;"Serviço",AND(AUTOEVENTO="Manual",$M171=$A$15),$M171&gt;(ROW(PLE.lastrow)-ROW(PLE.firstrow))),0,
           IF(OFFSET(PLE!$G$15,$M171-$A$15,DS$13)="",10^12,OFFSET(PLE!$G$15,$M171-$A$15,DS$13)))</f>
        <v>0</v>
      </c>
    </row>
    <row r="172" customFormat="false" ht="12.75" hidden="false" customHeight="false" outlineLevel="0" collapsed="false">
      <c r="A172" s="50" t="str">
        <f aca="true">IFERROR(IF(AUTOEVENTO="Manual",IF(K172&lt;&gt;"",MIN(VALUE(LEFT(K172,FIND(".",K172)-1)),COUNTA(EVENTOS.Lista)),0),IF(OR($B172&gt;AUTOEVENTO,$B172="S",$B172=0),SUBSTITUTE(OFFSET($A172,-1,0),IF($D172="Serviço",".",""),""),ROW(A172)-ROW($A$15)&amp;".")),0)</f>
        <v>157.</v>
      </c>
      <c r="B172" s="50" t="n">
        <f aca="true">OFFSET(ORÇAMENTO!C$15,ROW(B172)-ROW(B$15),0)</f>
        <v>2</v>
      </c>
      <c r="C172" s="50" t="str">
        <f aca="true">OFFSET(ORÇAMENTO!L$15,ROW(C172)-ROW(C$15),0)</f>
        <v>F</v>
      </c>
      <c r="D172" s="201" t="str">
        <f aca="true">OFFSET(ORÇAMENTO!N$15,ROW(D172)-ROW(D$15),0)</f>
        <v>Nível 2</v>
      </c>
      <c r="E172" s="202" t="str">
        <f aca="true">OFFSET(ORÇAMENTO!O$15,ROW(E172)-ROW(E$15),0)</f>
        <v>1.45.</v>
      </c>
      <c r="F172" s="341" t="str">
        <f aca="true">OFFSET(ORÇAMENTO!R$15,ROW(F172)-ROW(F$15),0)</f>
        <v>TUBULAÇÕES E CONEXÕES</v>
      </c>
      <c r="G172" s="342" t="str">
        <f aca="true">IF($D172&lt;&gt;"Serviço","",OFFSET(ORÇAMENTO!S$15,ROW(G172)-ROW(G$15),0))</f>
        <v/>
      </c>
      <c r="H172" s="207" t="n">
        <f aca="true">IF($D172&lt;&gt;"Serviço",0,IF(ACOMPANHAMENTO="BM",ROUND(OFFSET(ORÇAMENTO!AJ$15,ROW(H172)-ROW(H$15),0),15-13*ORÇAMENTO!$AF$7),SUMPRODUCT(($Q$1:$AQ$1=1)*ROUND($Q172:$AQ172,15-13*ORÇAMENTO!$AF$7))))</f>
        <v>0</v>
      </c>
      <c r="I172" s="343"/>
      <c r="J172" s="344" t="str">
        <f aca="false">IF(OR(B172&lt;&gt;"S",CÁLCULO.FrentesPreenchidas=0),"",IF(AND(ACOMPANHAMENTO="PLE",AUTOEVENTO="Manual",OR(H172&gt;0,ORÇAMENTO!AC172="QUANT."),OR(K172="",M172=0,N172="")),"►",IF(AND(ACOMPANHAMENTO="PLE",ORÇAMENTO!AC172="QUANT."),"►►",IF(AND(COUNTIF($P$11:$AQ$11,"▼")=0,H172&gt;0,I172=""),"◄",""))))</f>
        <v/>
      </c>
      <c r="K172" s="345"/>
      <c r="L172" s="346" t="s">
        <v>876</v>
      </c>
      <c r="M172" s="347" t="str">
        <f aca="true">IF($D172&lt;&gt;"Serviço","",
          IF(AUTOEVENTO="manual",$A172,
                IF(ISERROR(MATCH($A172,$A$15:OFFSET($A172,-1,0),0)),MAX($M$15:OFFSET(M172,-1,0))+1,
                      INDEX($M$15:OFFSET(M172,-1,0),MATCH($A172,$A$15:OFFSET($A172,-1,0),0)))))</f>
        <v/>
      </c>
      <c r="N172" s="348" t="str">
        <f aca="true">IF($D172&lt;&gt;"Serviço","",
         IF(AUTOEVENTO="Manual",
                IF($A172=0,"&lt;-- defina o número do agrupador",
                       OFFSET(EVENTOS!$D$15,$A172-$A$15,0)),
                OFFSET($F$15,$A172,0)))</f>
        <v/>
      </c>
      <c r="O172" s="349"/>
      <c r="Q172" s="349"/>
      <c r="R172" s="350"/>
      <c r="S172" s="350"/>
      <c r="T172" s="350"/>
      <c r="U172" s="350"/>
      <c r="V172" s="350"/>
      <c r="W172" s="350"/>
      <c r="X172" s="350"/>
      <c r="Y172" s="350"/>
      <c r="Z172" s="351"/>
      <c r="AA172" s="350"/>
      <c r="AB172" s="350"/>
      <c r="AC172" s="350"/>
      <c r="AD172" s="350"/>
      <c r="AE172" s="350"/>
      <c r="AF172" s="350"/>
      <c r="AG172" s="350"/>
      <c r="AH172" s="351"/>
      <c r="AI172" s="350"/>
      <c r="AJ172" s="350"/>
      <c r="AK172" s="350"/>
      <c r="AL172" s="350"/>
      <c r="AM172" s="350"/>
      <c r="AN172" s="350"/>
      <c r="AO172" s="350"/>
      <c r="AP172" s="351"/>
      <c r="AR172" s="352" t="n">
        <f aca="true">IF(AND($D172="Serviço",AR$12&lt;&gt;0,$H172&gt;0,OR(AUTOEVENTO&lt;&gt;"manual",$M172&lt;&gt;$A$15)),
        IF(Import.TipoArredondamento&lt;&gt;"TransfereGOV",
              ROUND(OFFSET($P172,0,AR$13),15-13*ORÇAMENTO!$AF$7)/$H172*OFFSET(ORÇAMENTO!$X$15,ROW(AR172)-ROW(AR$15),0),
              ROUND(ROUND(OFFSET($P172,0,AR$13),15-13*ORÇAMENTO!$AF$7)*OFFSET(ORÇAMENTO!$W$15,ROW(AR172)-ROW(AR$15),0),15-13*ORÇAMENTO!$AF$11)),
         0)</f>
        <v>0</v>
      </c>
      <c r="AS172" s="352" t="n">
        <f aca="true">IF(AND($D172="Serviço",AS$12&lt;&gt;0,$H172&gt;0,OR(AUTOEVENTO&lt;&gt;"manual",$M172&lt;&gt;$A$15)),
        IF(Import.TipoArredondamento&lt;&gt;"TransfereGOV",
              ROUND(OFFSET($P172,0,AS$13),15-13*ORÇAMENTO!$AF$7)/$H172*OFFSET(ORÇAMENTO!$X$15,ROW(AS172)-ROW(AS$15),0),
              ROUND(ROUND(OFFSET($P172,0,AS$13),15-13*ORÇAMENTO!$AF$7)*OFFSET(ORÇAMENTO!$W$15,ROW(AS172)-ROW(AS$15),0),15-13*ORÇAMENTO!$AF$11)),
         0)</f>
        <v>0</v>
      </c>
      <c r="AT172" s="352" t="n">
        <f aca="true">IF(AND($D172="Serviço",AT$12&lt;&gt;0,$H172&gt;0,OR(AUTOEVENTO&lt;&gt;"manual",$M172&lt;&gt;$A$15)),
        IF(Import.TipoArredondamento&lt;&gt;"TransfereGOV",
              ROUND(OFFSET($P172,0,AT$13),15-13*ORÇAMENTO!$AF$7)/$H172*OFFSET(ORÇAMENTO!$X$15,ROW(AT172)-ROW(AT$15),0),
              ROUND(ROUND(OFFSET($P172,0,AT$13),15-13*ORÇAMENTO!$AF$7)*OFFSET(ORÇAMENTO!$W$15,ROW(AT172)-ROW(AT$15),0),15-13*ORÇAMENTO!$AF$11)),
         0)</f>
        <v>0</v>
      </c>
      <c r="AU172" s="352" t="n">
        <f aca="true">IF(AND($D172="Serviço",AU$12&lt;&gt;0,$H172&gt;0,OR(AUTOEVENTO&lt;&gt;"manual",$M172&lt;&gt;$A$15)),
        IF(Import.TipoArredondamento&lt;&gt;"TransfereGOV",
              ROUND(OFFSET($P172,0,AU$13),15-13*ORÇAMENTO!$AF$7)/$H172*OFFSET(ORÇAMENTO!$X$15,ROW(AU172)-ROW(AU$15),0),
              ROUND(ROUND(OFFSET($P172,0,AU$13),15-13*ORÇAMENTO!$AF$7)*OFFSET(ORÇAMENTO!$W$15,ROW(AU172)-ROW(AU$15),0),15-13*ORÇAMENTO!$AF$11)),
         0)</f>
        <v>0</v>
      </c>
      <c r="AV172" s="352" t="n">
        <f aca="true">IF(AND($D172="Serviço",AV$12&lt;&gt;0,$H172&gt;0,OR(AUTOEVENTO&lt;&gt;"manual",$M172&lt;&gt;$A$15)),
        IF(Import.TipoArredondamento&lt;&gt;"TransfereGOV",
              ROUND(OFFSET($P172,0,AV$13),15-13*ORÇAMENTO!$AF$7)/$H172*OFFSET(ORÇAMENTO!$X$15,ROW(AV172)-ROW(AV$15),0),
              ROUND(ROUND(OFFSET($P172,0,AV$13),15-13*ORÇAMENTO!$AF$7)*OFFSET(ORÇAMENTO!$W$15,ROW(AV172)-ROW(AV$15),0),15-13*ORÇAMENTO!$AF$11)),
         0)</f>
        <v>0</v>
      </c>
      <c r="AW172" s="352" t="n">
        <f aca="true">IF(AND($D172="Serviço",AW$12&lt;&gt;0,$H172&gt;0,OR(AUTOEVENTO&lt;&gt;"manual",$M172&lt;&gt;$A$15)),
        IF(Import.TipoArredondamento&lt;&gt;"TransfereGOV",
              ROUND(OFFSET($P172,0,AW$13),15-13*ORÇAMENTO!$AF$7)/$H172*OFFSET(ORÇAMENTO!$X$15,ROW(AW172)-ROW(AW$15),0),
              ROUND(ROUND(OFFSET($P172,0,AW$13),15-13*ORÇAMENTO!$AF$7)*OFFSET(ORÇAMENTO!$W$15,ROW(AW172)-ROW(AW$15),0),15-13*ORÇAMENTO!$AF$11)),
         0)</f>
        <v>0</v>
      </c>
      <c r="AX172" s="352" t="n">
        <f aca="true">IF(AND($D172="Serviço",AX$12&lt;&gt;0,$H172&gt;0,OR(AUTOEVENTO&lt;&gt;"manual",$M172&lt;&gt;$A$15)),
        IF(Import.TipoArredondamento&lt;&gt;"TransfereGOV",
              ROUND(OFFSET($P172,0,AX$13),15-13*ORÇAMENTO!$AF$7)/$H172*OFFSET(ORÇAMENTO!$X$15,ROW(AX172)-ROW(AX$15),0),
              ROUND(ROUND(OFFSET($P172,0,AX$13),15-13*ORÇAMENTO!$AF$7)*OFFSET(ORÇAMENTO!$W$15,ROW(AX172)-ROW(AX$15),0),15-13*ORÇAMENTO!$AF$11)),
         0)</f>
        <v>0</v>
      </c>
      <c r="AY172" s="352" t="n">
        <f aca="true">IF(AND($D172="Serviço",AY$12&lt;&gt;0,$H172&gt;0,OR(AUTOEVENTO&lt;&gt;"manual",$M172&lt;&gt;$A$15)),
        IF(Import.TipoArredondamento&lt;&gt;"TransfereGOV",
              ROUND(OFFSET($P172,0,AY$13),15-13*ORÇAMENTO!$AF$7)/$H172*OFFSET(ORÇAMENTO!$X$15,ROW(AY172)-ROW(AY$15),0),
              ROUND(ROUND(OFFSET($P172,0,AY$13),15-13*ORÇAMENTO!$AF$7)*OFFSET(ORÇAMENTO!$W$15,ROW(AY172)-ROW(AY$15),0),15-13*ORÇAMENTO!$AF$11)),
         0)</f>
        <v>0</v>
      </c>
      <c r="AZ172" s="352" t="n">
        <f aca="true">IF(AND($D172="Serviço",AZ$12&lt;&gt;0,$H172&gt;0,OR(AUTOEVENTO&lt;&gt;"manual",$M172&lt;&gt;$A$15)),
        IF(Import.TipoArredondamento&lt;&gt;"TransfereGOV",
              ROUND(OFFSET($P172,0,AZ$13),15-13*ORÇAMENTO!$AF$7)/$H172*OFFSET(ORÇAMENTO!$X$15,ROW(AZ172)-ROW(AZ$15),0),
              ROUND(ROUND(OFFSET($P172,0,AZ$13),15-13*ORÇAMENTO!$AF$7)*OFFSET(ORÇAMENTO!$W$15,ROW(AZ172)-ROW(AZ$15),0),15-13*ORÇAMENTO!$AF$11)),
         0)</f>
        <v>0</v>
      </c>
      <c r="BA172" s="352" t="n">
        <f aca="true">IF(AND($D172="Serviço",BA$12&lt;&gt;0,$H172&gt;0,OR(AUTOEVENTO&lt;&gt;"manual",$M172&lt;&gt;$A$15)),
        IF(Import.TipoArredondamento&lt;&gt;"TransfereGOV",
              ROUND(OFFSET($P172,0,BA$13),15-13*ORÇAMENTO!$AF$7)/$H172*OFFSET(ORÇAMENTO!$X$15,ROW(BA172)-ROW(BA$15),0),
              ROUND(ROUND(OFFSET($P172,0,BA$13),15-13*ORÇAMENTO!$AF$7)*OFFSET(ORÇAMENTO!$W$15,ROW(BA172)-ROW(BA$15),0),15-13*ORÇAMENTO!$AF$11)),
         0)</f>
        <v>0</v>
      </c>
      <c r="BB172" s="352" t="n">
        <f aca="true">IF(AND($D172="Serviço",BB$12&lt;&gt;0,$H172&gt;0,OR(AUTOEVENTO&lt;&gt;"manual",$M172&lt;&gt;$A$15)),
        IF(Import.TipoArredondamento&lt;&gt;"TransfereGOV",
              ROUND(OFFSET($P172,0,BB$13),15-13*ORÇAMENTO!$AF$7)/$H172*OFFSET(ORÇAMENTO!$X$15,ROW(BB172)-ROW(BB$15),0),
              ROUND(ROUND(OFFSET($P172,0,BB$13),15-13*ORÇAMENTO!$AF$7)*OFFSET(ORÇAMENTO!$W$15,ROW(BB172)-ROW(BB$15),0),15-13*ORÇAMENTO!$AF$11)),
         0)</f>
        <v>0</v>
      </c>
      <c r="BC172" s="352" t="n">
        <f aca="true">IF(AND($D172="Serviço",BC$12&lt;&gt;0,$H172&gt;0,OR(AUTOEVENTO&lt;&gt;"manual",$M172&lt;&gt;$A$15)),
        IF(Import.TipoArredondamento&lt;&gt;"TransfereGOV",
              ROUND(OFFSET($P172,0,BC$13),15-13*ORÇAMENTO!$AF$7)/$H172*OFFSET(ORÇAMENTO!$X$15,ROW(BC172)-ROW(BC$15),0),
              ROUND(ROUND(OFFSET($P172,0,BC$13),15-13*ORÇAMENTO!$AF$7)*OFFSET(ORÇAMENTO!$W$15,ROW(BC172)-ROW(BC$15),0),15-13*ORÇAMENTO!$AF$11)),
         0)</f>
        <v>0</v>
      </c>
      <c r="BD172" s="352" t="n">
        <f aca="true">IF(AND($D172="Serviço",BD$12&lt;&gt;0,$H172&gt;0,OR(AUTOEVENTO&lt;&gt;"manual",$M172&lt;&gt;$A$15)),
        IF(Import.TipoArredondamento&lt;&gt;"TransfereGOV",
              ROUND(OFFSET($P172,0,BD$13),15-13*ORÇAMENTO!$AF$7)/$H172*OFFSET(ORÇAMENTO!$X$15,ROW(BD172)-ROW(BD$15),0),
              ROUND(ROUND(OFFSET($P172,0,BD$13),15-13*ORÇAMENTO!$AF$7)*OFFSET(ORÇAMENTO!$W$15,ROW(BD172)-ROW(BD$15),0),15-13*ORÇAMENTO!$AF$11)),
         0)</f>
        <v>0</v>
      </c>
      <c r="BE172" s="352" t="n">
        <f aca="true">IF(AND($D172="Serviço",BE$12&lt;&gt;0,$H172&gt;0,OR(AUTOEVENTO&lt;&gt;"manual",$M172&lt;&gt;$A$15)),
        IF(Import.TipoArredondamento&lt;&gt;"TransfereGOV",
              ROUND(OFFSET($P172,0,BE$13),15-13*ORÇAMENTO!$AF$7)/$H172*OFFSET(ORÇAMENTO!$X$15,ROW(BE172)-ROW(BE$15),0),
              ROUND(ROUND(OFFSET($P172,0,BE$13),15-13*ORÇAMENTO!$AF$7)*OFFSET(ORÇAMENTO!$W$15,ROW(BE172)-ROW(BE$15),0),15-13*ORÇAMENTO!$AF$11)),
         0)</f>
        <v>0</v>
      </c>
      <c r="BF172" s="352" t="n">
        <f aca="true">IF(AND($D172="Serviço",BF$12&lt;&gt;0,$H172&gt;0,OR(AUTOEVENTO&lt;&gt;"manual",$M172&lt;&gt;$A$15)),
        IF(Import.TipoArredondamento&lt;&gt;"TransfereGOV",
              ROUND(OFFSET($P172,0,BF$13),15-13*ORÇAMENTO!$AF$7)/$H172*OFFSET(ORÇAMENTO!$X$15,ROW(BF172)-ROW(BF$15),0),
              ROUND(ROUND(OFFSET($P172,0,BF$13),15-13*ORÇAMENTO!$AF$7)*OFFSET(ORÇAMENTO!$W$15,ROW(BF172)-ROW(BF$15),0),15-13*ORÇAMENTO!$AF$11)),
         0)</f>
        <v>0</v>
      </c>
      <c r="BG172" s="352" t="n">
        <f aca="true">IF(AND($D172="Serviço",BG$12&lt;&gt;0,$H172&gt;0,OR(AUTOEVENTO&lt;&gt;"manual",$M172&lt;&gt;$A$15)),
        IF(Import.TipoArredondamento&lt;&gt;"TransfereGOV",
              ROUND(OFFSET($P172,0,BG$13),15-13*ORÇAMENTO!$AF$7)/$H172*OFFSET(ORÇAMENTO!$X$15,ROW(BG172)-ROW(BG$15),0),
              ROUND(ROUND(OFFSET($P172,0,BG$13),15-13*ORÇAMENTO!$AF$7)*OFFSET(ORÇAMENTO!$W$15,ROW(BG172)-ROW(BG$15),0),15-13*ORÇAMENTO!$AF$11)),
         0)</f>
        <v>0</v>
      </c>
      <c r="BH172" s="352" t="n">
        <f aca="true">IF(AND($D172="Serviço",BH$12&lt;&gt;0,$H172&gt;0,OR(AUTOEVENTO&lt;&gt;"manual",$M172&lt;&gt;$A$15)),
        IF(Import.TipoArredondamento&lt;&gt;"TransfereGOV",
              ROUND(OFFSET($P172,0,BH$13),15-13*ORÇAMENTO!$AF$7)/$H172*OFFSET(ORÇAMENTO!$X$15,ROW(BH172)-ROW(BH$15),0),
              ROUND(ROUND(OFFSET($P172,0,BH$13),15-13*ORÇAMENTO!$AF$7)*OFFSET(ORÇAMENTO!$W$15,ROW(BH172)-ROW(BH$15),0),15-13*ORÇAMENTO!$AF$11)),
         0)</f>
        <v>0</v>
      </c>
      <c r="BI172" s="352" t="n">
        <f aca="true">IF(AND($D172="Serviço",BI$12&lt;&gt;0,$H172&gt;0,OR(AUTOEVENTO&lt;&gt;"manual",$M172&lt;&gt;$A$15)),
        IF(Import.TipoArredondamento&lt;&gt;"TransfereGOV",
              ROUND(OFFSET($P172,0,BI$13),15-13*ORÇAMENTO!$AF$7)/$H172*OFFSET(ORÇAMENTO!$X$15,ROW(BI172)-ROW(BI$15),0),
              ROUND(ROUND(OFFSET($P172,0,BI$13),15-13*ORÇAMENTO!$AF$7)*OFFSET(ORÇAMENTO!$W$15,ROW(BI172)-ROW(BI$15),0),15-13*ORÇAMENTO!$AF$11)),
         0)</f>
        <v>0</v>
      </c>
      <c r="BJ172" s="352" t="n">
        <f aca="true">IF(AND($D172="Serviço",BJ$12&lt;&gt;0,$H172&gt;0,OR(AUTOEVENTO&lt;&gt;"manual",$M172&lt;&gt;$A$15)),
        IF(Import.TipoArredondamento&lt;&gt;"TransfereGOV",
              ROUND(OFFSET($P172,0,BJ$13),15-13*ORÇAMENTO!$AF$7)/$H172*OFFSET(ORÇAMENTO!$X$15,ROW(BJ172)-ROW(BJ$15),0),
              ROUND(ROUND(OFFSET($P172,0,BJ$13),15-13*ORÇAMENTO!$AF$7)*OFFSET(ORÇAMENTO!$W$15,ROW(BJ172)-ROW(BJ$15),0),15-13*ORÇAMENTO!$AF$11)),
         0)</f>
        <v>0</v>
      </c>
      <c r="BK172" s="352" t="n">
        <f aca="true">IF(AND($D172="Serviço",BK$12&lt;&gt;0,$H172&gt;0,OR(AUTOEVENTO&lt;&gt;"manual",$M172&lt;&gt;$A$15)),
        IF(Import.TipoArredondamento&lt;&gt;"TransfereGOV",
              ROUND(OFFSET($P172,0,BK$13),15-13*ORÇAMENTO!$AF$7)/$H172*OFFSET(ORÇAMENTO!$X$15,ROW(BK172)-ROW(BK$15),0),
              ROUND(ROUND(OFFSET($P172,0,BK$13),15-13*ORÇAMENTO!$AF$7)*OFFSET(ORÇAMENTO!$W$15,ROW(BK172)-ROW(BK$15),0),15-13*ORÇAMENTO!$AF$11)),
         0)</f>
        <v>0</v>
      </c>
      <c r="BL172" s="352" t="n">
        <f aca="true">IF(AND($D172="Serviço",BL$12&lt;&gt;0,$H172&gt;0,OR(AUTOEVENTO&lt;&gt;"manual",$M172&lt;&gt;$A$15)),
        IF(Import.TipoArredondamento&lt;&gt;"TransfereGOV",
              ROUND(OFFSET($P172,0,BL$13),15-13*ORÇAMENTO!$AF$7)/$H172*OFFSET(ORÇAMENTO!$X$15,ROW(BL172)-ROW(BL$15),0),
              ROUND(ROUND(OFFSET($P172,0,BL$13),15-13*ORÇAMENTO!$AF$7)*OFFSET(ORÇAMENTO!$W$15,ROW(BL172)-ROW(BL$15),0),15-13*ORÇAMENTO!$AF$11)),
         0)</f>
        <v>0</v>
      </c>
      <c r="BM172" s="352" t="n">
        <f aca="true">IF(AND($D172="Serviço",BM$12&lt;&gt;0,$H172&gt;0,OR(AUTOEVENTO&lt;&gt;"manual",$M172&lt;&gt;$A$15)),
        IF(Import.TipoArredondamento&lt;&gt;"TransfereGOV",
              ROUND(OFFSET($P172,0,BM$13),15-13*ORÇAMENTO!$AF$7)/$H172*OFFSET(ORÇAMENTO!$X$15,ROW(BM172)-ROW(BM$15),0),
              ROUND(ROUND(OFFSET($P172,0,BM$13),15-13*ORÇAMENTO!$AF$7)*OFFSET(ORÇAMENTO!$W$15,ROW(BM172)-ROW(BM$15),0),15-13*ORÇAMENTO!$AF$11)),
         0)</f>
        <v>0</v>
      </c>
      <c r="BN172" s="352" t="n">
        <f aca="true">IF(AND($D172="Serviço",BN$12&lt;&gt;0,$H172&gt;0,OR(AUTOEVENTO&lt;&gt;"manual",$M172&lt;&gt;$A$15)),
        IF(Import.TipoArredondamento&lt;&gt;"TransfereGOV",
              ROUND(OFFSET($P172,0,BN$13),15-13*ORÇAMENTO!$AF$7)/$H172*OFFSET(ORÇAMENTO!$X$15,ROW(BN172)-ROW(BN$15),0),
              ROUND(ROUND(OFFSET($P172,0,BN$13),15-13*ORÇAMENTO!$AF$7)*OFFSET(ORÇAMENTO!$W$15,ROW(BN172)-ROW(BN$15),0),15-13*ORÇAMENTO!$AF$11)),
         0)</f>
        <v>0</v>
      </c>
      <c r="BO172" s="352" t="n">
        <f aca="true">IF(AND($D172="Serviço",BO$12&lt;&gt;0,$H172&gt;0,OR(AUTOEVENTO&lt;&gt;"manual",$M172&lt;&gt;$A$15)),
        IF(Import.TipoArredondamento&lt;&gt;"TransfereGOV",
              ROUND(OFFSET($P172,0,BO$13),15-13*ORÇAMENTO!$AF$7)/$H172*OFFSET(ORÇAMENTO!$X$15,ROW(BO172)-ROW(BO$15),0),
              ROUND(ROUND(OFFSET($P172,0,BO$13),15-13*ORÇAMENTO!$AF$7)*OFFSET(ORÇAMENTO!$W$15,ROW(BO172)-ROW(BO$15),0),15-13*ORÇAMENTO!$AF$11)),
         0)</f>
        <v>0</v>
      </c>
      <c r="BP172" s="352" t="n">
        <f aca="true">IF(AND($D172="Serviço",BP$12&lt;&gt;0,$H172&gt;0,OR(AUTOEVENTO&lt;&gt;"manual",$M172&lt;&gt;$A$15)),
        IF(Import.TipoArredondamento&lt;&gt;"TransfereGOV",
              ROUND(OFFSET($P172,0,BP$13),15-13*ORÇAMENTO!$AF$7)/$H172*OFFSET(ORÇAMENTO!$X$15,ROW(BP172)-ROW(BP$15),0),
              ROUND(ROUND(OFFSET($P172,0,BP$13),15-13*ORÇAMENTO!$AF$7)*OFFSET(ORÇAMENTO!$W$15,ROW(BP172)-ROW(BP$15),0),15-13*ORÇAMENTO!$AF$11)),
         0)</f>
        <v>0</v>
      </c>
      <c r="BQ172" s="352" t="n">
        <f aca="true">IF(AND($D172="Serviço",BQ$12&lt;&gt;0,$H172&gt;0,OR(AUTOEVENTO&lt;&gt;"manual",$M172&lt;&gt;$A$15)),
        IF(Import.TipoArredondamento&lt;&gt;"TransfereGOV",
              ROUND(OFFSET($P172,0,BQ$13),15-13*ORÇAMENTO!$AF$7)/$H172*OFFSET(ORÇAMENTO!$X$15,ROW(BQ172)-ROW(BQ$15),0),
              ROUND(ROUND(OFFSET($P172,0,BQ$13),15-13*ORÇAMENTO!$AF$7)*OFFSET(ORÇAMENTO!$W$15,ROW(BQ172)-ROW(BQ$15),0),15-13*ORÇAMENTO!$AF$11)),
         0)</f>
        <v>0</v>
      </c>
      <c r="BS172" s="353" t="n">
        <f aca="true">IF(OR($D172&lt;&gt;"Serviço",AND(AUTOEVENTO="Manual",$M172=$A$15)),0,
         IF(OFFSET(CRONOPLE!$F$15,$M172-$A$15,BS$13)=0,10^12,OFFSET(CRONOPLE!$F$15,$M172-$A$15,BS$13)))</f>
        <v>0</v>
      </c>
      <c r="BT172" s="353" t="n">
        <f aca="true">IF(OR($D172&lt;&gt;"Serviço",AND(AUTOEVENTO="Manual",$M172=$A$15)),0,
         IF(OFFSET(CRONOPLE!$F$15,$M172-$A$15,BT$13)=0,10^12,OFFSET(CRONOPLE!$F$15,$M172-$A$15,BT$13)))</f>
        <v>0</v>
      </c>
      <c r="BU172" s="353" t="n">
        <f aca="true">IF(OR($D172&lt;&gt;"Serviço",AND(AUTOEVENTO="Manual",$M172=$A$15)),0,
         IF(OFFSET(CRONOPLE!$F$15,$M172-$A$15,BU$13)=0,10^12,OFFSET(CRONOPLE!$F$15,$M172-$A$15,BU$13)))</f>
        <v>0</v>
      </c>
      <c r="BV172" s="353" t="n">
        <f aca="true">IF(OR($D172&lt;&gt;"Serviço",AND(AUTOEVENTO="Manual",$M172=$A$15)),0,
         IF(OFFSET(CRONOPLE!$F$15,$M172-$A$15,BV$13)=0,10^12,OFFSET(CRONOPLE!$F$15,$M172-$A$15,BV$13)))</f>
        <v>0</v>
      </c>
      <c r="BW172" s="353" t="n">
        <f aca="true">IF(OR($D172&lt;&gt;"Serviço",AND(AUTOEVENTO="Manual",$M172=$A$15)),0,
         IF(OFFSET(CRONOPLE!$F$15,$M172-$A$15,BW$13)=0,10^12,OFFSET(CRONOPLE!$F$15,$M172-$A$15,BW$13)))</f>
        <v>0</v>
      </c>
      <c r="BX172" s="353" t="n">
        <f aca="true">IF(OR($D172&lt;&gt;"Serviço",AND(AUTOEVENTO="Manual",$M172=$A$15)),0,
         IF(OFFSET(CRONOPLE!$F$15,$M172-$A$15,BX$13)=0,10^12,OFFSET(CRONOPLE!$F$15,$M172-$A$15,BX$13)))</f>
        <v>0</v>
      </c>
      <c r="BY172" s="353" t="n">
        <f aca="true">IF(OR($D172&lt;&gt;"Serviço",AND(AUTOEVENTO="Manual",$M172=$A$15)),0,
         IF(OFFSET(CRONOPLE!$F$15,$M172-$A$15,BY$13)=0,10^12,OFFSET(CRONOPLE!$F$15,$M172-$A$15,BY$13)))</f>
        <v>0</v>
      </c>
      <c r="BZ172" s="353" t="n">
        <f aca="true">IF(OR($D172&lt;&gt;"Serviço",AND(AUTOEVENTO="Manual",$M172=$A$15)),0,
         IF(OFFSET(CRONOPLE!$F$15,$M172-$A$15,BZ$13)=0,10^12,OFFSET(CRONOPLE!$F$15,$M172-$A$15,BZ$13)))</f>
        <v>0</v>
      </c>
      <c r="CA172" s="353" t="n">
        <f aca="true">IF(OR($D172&lt;&gt;"Serviço",AND(AUTOEVENTO="Manual",$M172=$A$15)),0,
         IF(OFFSET(CRONOPLE!$F$15,$M172-$A$15,CA$13)=0,10^12,OFFSET(CRONOPLE!$F$15,$M172-$A$15,CA$13)))</f>
        <v>0</v>
      </c>
      <c r="CB172" s="353" t="n">
        <f aca="true">IF(OR($D172&lt;&gt;"Serviço",AND(AUTOEVENTO="Manual",$M172=$A$15)),0,
         IF(OFFSET(CRONOPLE!$F$15,$M172-$A$15,CB$13)=0,10^12,OFFSET(CRONOPLE!$F$15,$M172-$A$15,CB$13)))</f>
        <v>0</v>
      </c>
      <c r="CC172" s="353" t="n">
        <f aca="true">IF(OR($D172&lt;&gt;"Serviço",AND(AUTOEVENTO="Manual",$M172=$A$15)),0,
         IF(OFFSET(CRONOPLE!$F$15,$M172-$A$15,CC$13)=0,10^12,OFFSET(CRONOPLE!$F$15,$M172-$A$15,CC$13)))</f>
        <v>0</v>
      </c>
      <c r="CD172" s="353" t="n">
        <f aca="true">IF(OR($D172&lt;&gt;"Serviço",AND(AUTOEVENTO="Manual",$M172=$A$15)),0,
         IF(OFFSET(CRONOPLE!$F$15,$M172-$A$15,CD$13)=0,10^12,OFFSET(CRONOPLE!$F$15,$M172-$A$15,CD$13)))</f>
        <v>0</v>
      </c>
      <c r="CE172" s="353" t="n">
        <f aca="true">IF(OR($D172&lt;&gt;"Serviço",AND(AUTOEVENTO="Manual",$M172=$A$15)),0,
         IF(OFFSET(CRONOPLE!$F$15,$M172-$A$15,CE$13)=0,10^12,OFFSET(CRONOPLE!$F$15,$M172-$A$15,CE$13)))</f>
        <v>0</v>
      </c>
      <c r="CF172" s="353" t="n">
        <f aca="true">IF(OR($D172&lt;&gt;"Serviço",AND(AUTOEVENTO="Manual",$M172=$A$15)),0,
         IF(OFFSET(CRONOPLE!$F$15,$M172-$A$15,CF$13)=0,10^12,OFFSET(CRONOPLE!$F$15,$M172-$A$15,CF$13)))</f>
        <v>0</v>
      </c>
      <c r="CG172" s="353" t="n">
        <f aca="true">IF(OR($D172&lt;&gt;"Serviço",AND(AUTOEVENTO="Manual",$M172=$A$15)),0,
         IF(OFFSET(CRONOPLE!$F$15,$M172-$A$15,CG$13)=0,10^12,OFFSET(CRONOPLE!$F$15,$M172-$A$15,CG$13)))</f>
        <v>0</v>
      </c>
      <c r="CH172" s="353" t="n">
        <f aca="true">IF(OR($D172&lt;&gt;"Serviço",AND(AUTOEVENTO="Manual",$M172=$A$15)),0,
         IF(OFFSET(CRONOPLE!$F$15,$M172-$A$15,CH$13)=0,10^12,OFFSET(CRONOPLE!$F$15,$M172-$A$15,CH$13)))</f>
        <v>0</v>
      </c>
      <c r="CI172" s="353" t="n">
        <f aca="true">IF(OR($D172&lt;&gt;"Serviço",AND(AUTOEVENTO="Manual",$M172=$A$15)),0,
         IF(OFFSET(CRONOPLE!$F$15,$M172-$A$15,CI$13)=0,10^12,OFFSET(CRONOPLE!$F$15,$M172-$A$15,CI$13)))</f>
        <v>0</v>
      </c>
      <c r="CJ172" s="353" t="n">
        <f aca="true">IF(OR($D172&lt;&gt;"Serviço",AND(AUTOEVENTO="Manual",$M172=$A$15)),0,
         IF(OFFSET(CRONOPLE!$F$15,$M172-$A$15,CJ$13)=0,10^12,OFFSET(CRONOPLE!$F$15,$M172-$A$15,CJ$13)))</f>
        <v>0</v>
      </c>
      <c r="CK172" s="353" t="n">
        <f aca="true">IF(OR($D172&lt;&gt;"Serviço",AND(AUTOEVENTO="Manual",$M172=$A$15)),0,
         IF(OFFSET(CRONOPLE!$F$15,$M172-$A$15,CK$13)=0,10^12,OFFSET(CRONOPLE!$F$15,$M172-$A$15,CK$13)))</f>
        <v>0</v>
      </c>
      <c r="CL172" s="353" t="n">
        <f aca="true">IF(OR($D172&lt;&gt;"Serviço",AND(AUTOEVENTO="Manual",$M172=$A$15)),0,
         IF(OFFSET(CRONOPLE!$F$15,$M172-$A$15,CL$13)=0,10^12,OFFSET(CRONOPLE!$F$15,$M172-$A$15,CL$13)))</f>
        <v>0</v>
      </c>
      <c r="CM172" s="353" t="n">
        <f aca="true">IF(OR($D172&lt;&gt;"Serviço",AND(AUTOEVENTO="Manual",$M172=$A$15)),0,
         IF(OFFSET(CRONOPLE!$F$15,$M172-$A$15,CM$13)=0,10^12,OFFSET(CRONOPLE!$F$15,$M172-$A$15,CM$13)))</f>
        <v>0</v>
      </c>
      <c r="CN172" s="353" t="n">
        <f aca="true">IF(OR($D172&lt;&gt;"Serviço",AND(AUTOEVENTO="Manual",$M172=$A$15)),0,
         IF(OFFSET(CRONOPLE!$F$15,$M172-$A$15,CN$13)=0,10^12,OFFSET(CRONOPLE!$F$15,$M172-$A$15,CN$13)))</f>
        <v>0</v>
      </c>
      <c r="CO172" s="353" t="n">
        <f aca="true">IF(OR($D172&lt;&gt;"Serviço",AND(AUTOEVENTO="Manual",$M172=$A$15)),0,
         IF(OFFSET(CRONOPLE!$F$15,$M172-$A$15,CO$13)=0,10^12,OFFSET(CRONOPLE!$F$15,$M172-$A$15,CO$13)))</f>
        <v>0</v>
      </c>
      <c r="CP172" s="353" t="n">
        <f aca="true">IF(OR($D172&lt;&gt;"Serviço",AND(AUTOEVENTO="Manual",$M172=$A$15)),0,
         IF(OFFSET(CRONOPLE!$F$15,$M172-$A$15,CP$13)=0,10^12,OFFSET(CRONOPLE!$F$15,$M172-$A$15,CP$13)))</f>
        <v>0</v>
      </c>
      <c r="CQ172" s="353" t="n">
        <f aca="true">IF(OR($D172&lt;&gt;"Serviço",AND(AUTOEVENTO="Manual",$M172=$A$15)),0,
         IF(OFFSET(CRONOPLE!$F$15,$M172-$A$15,CQ$13)=0,10^12,OFFSET(CRONOPLE!$F$15,$M172-$A$15,CQ$13)))</f>
        <v>0</v>
      </c>
      <c r="CR172" s="353" t="n">
        <f aca="true">IF(OR($D172&lt;&gt;"Serviço",AND(AUTOEVENTO="Manual",$M172=$A$15)),0,
         IF(OFFSET(CRONOPLE!$F$15,$M172-$A$15,CR$13)=0,10^12,OFFSET(CRONOPLE!$F$15,$M172-$A$15,CR$13)))</f>
        <v>0</v>
      </c>
      <c r="CT172" s="354" t="n">
        <f aca="true">IF(OR($D172&lt;&gt;"Serviço",AND(AUTOEVENTO="Manual",$M172=$A$15),$M172&gt;(ROW(PLE.lastrow)-ROW(PLE.firstrow))),0,
           IF(OFFSET(PLE!$G$15,$M172-$A$15,CT$13)="",10^12,OFFSET(PLE!$G$15,$M172-$A$15,CT$13)))</f>
        <v>0</v>
      </c>
      <c r="CU172" s="354" t="n">
        <f aca="true">IF(OR($D172&lt;&gt;"Serviço",AND(AUTOEVENTO="Manual",$M172=$A$15),$M172&gt;(ROW(PLE.lastrow)-ROW(PLE.firstrow))),0,
           IF(OFFSET(PLE!$G$15,$M172-$A$15,CU$13)="",10^12,OFFSET(PLE!$G$15,$M172-$A$15,CU$13)))</f>
        <v>0</v>
      </c>
      <c r="CV172" s="354" t="n">
        <f aca="true">IF(OR($D172&lt;&gt;"Serviço",AND(AUTOEVENTO="Manual",$M172=$A$15),$M172&gt;(ROW(PLE.lastrow)-ROW(PLE.firstrow))),0,
           IF(OFFSET(PLE!$G$15,$M172-$A$15,CV$13)="",10^12,OFFSET(PLE!$G$15,$M172-$A$15,CV$13)))</f>
        <v>0</v>
      </c>
      <c r="CW172" s="354" t="n">
        <f aca="true">IF(OR($D172&lt;&gt;"Serviço",AND(AUTOEVENTO="Manual",$M172=$A$15),$M172&gt;(ROW(PLE.lastrow)-ROW(PLE.firstrow))),0,
           IF(OFFSET(PLE!$G$15,$M172-$A$15,CW$13)="",10^12,OFFSET(PLE!$G$15,$M172-$A$15,CW$13)))</f>
        <v>0</v>
      </c>
      <c r="CX172" s="354" t="n">
        <f aca="true">IF(OR($D172&lt;&gt;"Serviço",AND(AUTOEVENTO="Manual",$M172=$A$15),$M172&gt;(ROW(PLE.lastrow)-ROW(PLE.firstrow))),0,
           IF(OFFSET(PLE!$G$15,$M172-$A$15,CX$13)="",10^12,OFFSET(PLE!$G$15,$M172-$A$15,CX$13)))</f>
        <v>0</v>
      </c>
      <c r="CY172" s="354" t="n">
        <f aca="true">IF(OR($D172&lt;&gt;"Serviço",AND(AUTOEVENTO="Manual",$M172=$A$15),$M172&gt;(ROW(PLE.lastrow)-ROW(PLE.firstrow))),0,
           IF(OFFSET(PLE!$G$15,$M172-$A$15,CY$13)="",10^12,OFFSET(PLE!$G$15,$M172-$A$15,CY$13)))</f>
        <v>0</v>
      </c>
      <c r="CZ172" s="354" t="n">
        <f aca="true">IF(OR($D172&lt;&gt;"Serviço",AND(AUTOEVENTO="Manual",$M172=$A$15),$M172&gt;(ROW(PLE.lastrow)-ROW(PLE.firstrow))),0,
           IF(OFFSET(PLE!$G$15,$M172-$A$15,CZ$13)="",10^12,OFFSET(PLE!$G$15,$M172-$A$15,CZ$13)))</f>
        <v>0</v>
      </c>
      <c r="DA172" s="354" t="n">
        <f aca="true">IF(OR($D172&lt;&gt;"Serviço",AND(AUTOEVENTO="Manual",$M172=$A$15),$M172&gt;(ROW(PLE.lastrow)-ROW(PLE.firstrow))),0,
           IF(OFFSET(PLE!$G$15,$M172-$A$15,DA$13)="",10^12,OFFSET(PLE!$G$15,$M172-$A$15,DA$13)))</f>
        <v>0</v>
      </c>
      <c r="DB172" s="354" t="n">
        <f aca="true">IF(OR($D172&lt;&gt;"Serviço",AND(AUTOEVENTO="Manual",$M172=$A$15),$M172&gt;(ROW(PLE.lastrow)-ROW(PLE.firstrow))),0,
           IF(OFFSET(PLE!$G$15,$M172-$A$15,DB$13)="",10^12,OFFSET(PLE!$G$15,$M172-$A$15,DB$13)))</f>
        <v>0</v>
      </c>
      <c r="DC172" s="354" t="n">
        <f aca="true">IF(OR($D172&lt;&gt;"Serviço",AND(AUTOEVENTO="Manual",$M172=$A$15),$M172&gt;(ROW(PLE.lastrow)-ROW(PLE.firstrow))),0,
           IF(OFFSET(PLE!$G$15,$M172-$A$15,DC$13)="",10^12,OFFSET(PLE!$G$15,$M172-$A$15,DC$13)))</f>
        <v>0</v>
      </c>
      <c r="DD172" s="354" t="n">
        <f aca="true">IF(OR($D172&lt;&gt;"Serviço",AND(AUTOEVENTO="Manual",$M172=$A$15),$M172&gt;(ROW(PLE.lastrow)-ROW(PLE.firstrow))),0,
           IF(OFFSET(PLE!$G$15,$M172-$A$15,DD$13)="",10^12,OFFSET(PLE!$G$15,$M172-$A$15,DD$13)))</f>
        <v>0</v>
      </c>
      <c r="DE172" s="354" t="n">
        <f aca="true">IF(OR($D172&lt;&gt;"Serviço",AND(AUTOEVENTO="Manual",$M172=$A$15),$M172&gt;(ROW(PLE.lastrow)-ROW(PLE.firstrow))),0,
           IF(OFFSET(PLE!$G$15,$M172-$A$15,DE$13)="",10^12,OFFSET(PLE!$G$15,$M172-$A$15,DE$13)))</f>
        <v>0</v>
      </c>
      <c r="DF172" s="354" t="n">
        <f aca="true">IF(OR($D172&lt;&gt;"Serviço",AND(AUTOEVENTO="Manual",$M172=$A$15),$M172&gt;(ROW(PLE.lastrow)-ROW(PLE.firstrow))),0,
           IF(OFFSET(PLE!$G$15,$M172-$A$15,DF$13)="",10^12,OFFSET(PLE!$G$15,$M172-$A$15,DF$13)))</f>
        <v>0</v>
      </c>
      <c r="DG172" s="354" t="n">
        <f aca="true">IF(OR($D172&lt;&gt;"Serviço",AND(AUTOEVENTO="Manual",$M172=$A$15),$M172&gt;(ROW(PLE.lastrow)-ROW(PLE.firstrow))),0,
           IF(OFFSET(PLE!$G$15,$M172-$A$15,DG$13)="",10^12,OFFSET(PLE!$G$15,$M172-$A$15,DG$13)))</f>
        <v>0</v>
      </c>
      <c r="DH172" s="354" t="n">
        <f aca="true">IF(OR($D172&lt;&gt;"Serviço",AND(AUTOEVENTO="Manual",$M172=$A$15),$M172&gt;(ROW(PLE.lastrow)-ROW(PLE.firstrow))),0,
           IF(OFFSET(PLE!$G$15,$M172-$A$15,DH$13)="",10^12,OFFSET(PLE!$G$15,$M172-$A$15,DH$13)))</f>
        <v>0</v>
      </c>
      <c r="DI172" s="354" t="n">
        <f aca="true">IF(OR($D172&lt;&gt;"Serviço",AND(AUTOEVENTO="Manual",$M172=$A$15),$M172&gt;(ROW(PLE.lastrow)-ROW(PLE.firstrow))),0,
           IF(OFFSET(PLE!$G$15,$M172-$A$15,DI$13)="",10^12,OFFSET(PLE!$G$15,$M172-$A$15,DI$13)))</f>
        <v>0</v>
      </c>
      <c r="DJ172" s="354" t="n">
        <f aca="true">IF(OR($D172&lt;&gt;"Serviço",AND(AUTOEVENTO="Manual",$M172=$A$15),$M172&gt;(ROW(PLE.lastrow)-ROW(PLE.firstrow))),0,
           IF(OFFSET(PLE!$G$15,$M172-$A$15,DJ$13)="",10^12,OFFSET(PLE!$G$15,$M172-$A$15,DJ$13)))</f>
        <v>0</v>
      </c>
      <c r="DK172" s="354" t="n">
        <f aca="true">IF(OR($D172&lt;&gt;"Serviço",AND(AUTOEVENTO="Manual",$M172=$A$15),$M172&gt;(ROW(PLE.lastrow)-ROW(PLE.firstrow))),0,
           IF(OFFSET(PLE!$G$15,$M172-$A$15,DK$13)="",10^12,OFFSET(PLE!$G$15,$M172-$A$15,DK$13)))</f>
        <v>0</v>
      </c>
      <c r="DL172" s="354" t="n">
        <f aca="true">IF(OR($D172&lt;&gt;"Serviço",AND(AUTOEVENTO="Manual",$M172=$A$15),$M172&gt;(ROW(PLE.lastrow)-ROW(PLE.firstrow))),0,
           IF(OFFSET(PLE!$G$15,$M172-$A$15,DL$13)="",10^12,OFFSET(PLE!$G$15,$M172-$A$15,DL$13)))</f>
        <v>0</v>
      </c>
      <c r="DM172" s="354" t="n">
        <f aca="true">IF(OR($D172&lt;&gt;"Serviço",AND(AUTOEVENTO="Manual",$M172=$A$15),$M172&gt;(ROW(PLE.lastrow)-ROW(PLE.firstrow))),0,
           IF(OFFSET(PLE!$G$15,$M172-$A$15,DM$13)="",10^12,OFFSET(PLE!$G$15,$M172-$A$15,DM$13)))</f>
        <v>0</v>
      </c>
      <c r="DN172" s="354" t="n">
        <f aca="true">IF(OR($D172&lt;&gt;"Serviço",AND(AUTOEVENTO="Manual",$M172=$A$15),$M172&gt;(ROW(PLE.lastrow)-ROW(PLE.firstrow))),0,
           IF(OFFSET(PLE!$G$15,$M172-$A$15,DN$13)="",10^12,OFFSET(PLE!$G$15,$M172-$A$15,DN$13)))</f>
        <v>0</v>
      </c>
      <c r="DO172" s="354" t="n">
        <f aca="true">IF(OR($D172&lt;&gt;"Serviço",AND(AUTOEVENTO="Manual",$M172=$A$15),$M172&gt;(ROW(PLE.lastrow)-ROW(PLE.firstrow))),0,
           IF(OFFSET(PLE!$G$15,$M172-$A$15,DO$13)="",10^12,OFFSET(PLE!$G$15,$M172-$A$15,DO$13)))</f>
        <v>0</v>
      </c>
      <c r="DP172" s="354" t="n">
        <f aca="true">IF(OR($D172&lt;&gt;"Serviço",AND(AUTOEVENTO="Manual",$M172=$A$15),$M172&gt;(ROW(PLE.lastrow)-ROW(PLE.firstrow))),0,
           IF(OFFSET(PLE!$G$15,$M172-$A$15,DP$13)="",10^12,OFFSET(PLE!$G$15,$M172-$A$15,DP$13)))</f>
        <v>0</v>
      </c>
      <c r="DQ172" s="354" t="n">
        <f aca="true">IF(OR($D172&lt;&gt;"Serviço",AND(AUTOEVENTO="Manual",$M172=$A$15),$M172&gt;(ROW(PLE.lastrow)-ROW(PLE.firstrow))),0,
           IF(OFFSET(PLE!$G$15,$M172-$A$15,DQ$13)="",10^12,OFFSET(PLE!$G$15,$M172-$A$15,DQ$13)))</f>
        <v>0</v>
      </c>
      <c r="DR172" s="354" t="n">
        <f aca="true">IF(OR($D172&lt;&gt;"Serviço",AND(AUTOEVENTO="Manual",$M172=$A$15),$M172&gt;(ROW(PLE.lastrow)-ROW(PLE.firstrow))),0,
           IF(OFFSET(PLE!$G$15,$M172-$A$15,DR$13)="",10^12,OFFSET(PLE!$G$15,$M172-$A$15,DR$13)))</f>
        <v>0</v>
      </c>
      <c r="DS172" s="354" t="n">
        <f aca="true">IF(OR($D172&lt;&gt;"Serviço",AND(AUTOEVENTO="Manual",$M172=$A$15),$M172&gt;(ROW(PLE.lastrow)-ROW(PLE.firstrow))),0,
           IF(OFFSET(PLE!$G$15,$M172-$A$15,DS$13)="",10^12,OFFSET(PLE!$G$15,$M172-$A$15,DS$13)))</f>
        <v>0</v>
      </c>
    </row>
    <row r="173" customFormat="false" ht="35.05" hidden="false" customHeight="false" outlineLevel="0" collapsed="false">
      <c r="A173" s="50" t="str">
        <f aca="true">IFERROR(IF(AUTOEVENTO="Manual",IF(K173&lt;&gt;"",MIN(VALUE(LEFT(K173,FIND(".",K173)-1)),COUNTA(EVENTOS.Lista)),0),IF(OR($B173&gt;AUTOEVENTO,$B173="S",$B173=0),SUBSTITUTE(OFFSET($A173,-1,0),IF($D173="Serviço",".",""),""),ROW(A173)-ROW($A$15)&amp;".")),0)</f>
        <v>157</v>
      </c>
      <c r="B173" s="50" t="str">
        <f aca="true">OFFSET(ORÇAMENTO!C$15,ROW(B173)-ROW(B$15),0)</f>
        <v>S</v>
      </c>
      <c r="C173" s="50" t="str">
        <f aca="true">OFFSET(ORÇAMENTO!L$15,ROW(C173)-ROW(C$15),0)</f>
        <v>F</v>
      </c>
      <c r="D173" s="201" t="str">
        <f aca="true">OFFSET(ORÇAMENTO!N$15,ROW(D173)-ROW(D$15),0)</f>
        <v>Serviço</v>
      </c>
      <c r="E173" s="202" t="str">
        <f aca="true">OFFSET(ORÇAMENTO!O$15,ROW(E173)-ROW(E$15),0)</f>
        <v>1.45.1.</v>
      </c>
      <c r="F173" s="341" t="str">
        <f aca="true">OFFSET(ORÇAMENTO!R$15,ROW(F173)-ROW(F$15),0)</f>
        <v>JOELHO 45 GRAUS, PVC, SERIE NORMAL, ESGOTO PREDIAL, DN 40 MM, JUNTA SOLDÁVEL, FORNECIDO E INSTALADO EM RAMAL DE DESCARGA OU RAMAL DE ESGOTO SANITÁRIO. AF_08/2022</v>
      </c>
      <c r="G173" s="342" t="str">
        <f aca="true">IF($D173&lt;&gt;"Serviço","",OFFSET(ORÇAMENTO!S$15,ROW(G173)-ROW(G$15),0))</f>
        <v>UN</v>
      </c>
      <c r="H173" s="207" t="n">
        <f aca="true">IF($D173&lt;&gt;"Serviço",0,IF(ACOMPANHAMENTO="BM",ROUND(OFFSET(ORÇAMENTO!AJ$15,ROW(H173)-ROW(H$15),0),15-13*ORÇAMENTO!$AF$7),SUMPRODUCT(($Q$1:$AQ$1=1)*ROUND($Q173:$AQ173,15-13*ORÇAMENTO!$AF$7))))</f>
        <v>75</v>
      </c>
      <c r="I173" s="343" t="s">
        <v>970</v>
      </c>
      <c r="J173" s="344" t="e">
        <f aca="false">IF(OR(B173&lt;&gt;"S",CÁLCULO.FrentesPreenchidas=0),"",IF(AND(ACOMPANHAMENTO="PLE",AUTOEVENTO="Manual",OR(H173&gt;0,ORÇAMENTO!AC173="QUANT."),OR(K173="",M173=0,N173="")),"►",IF(AND(ACOMPANHAMENTO="PLE",ORÇAMENTO!AC173="QUANT."),"►►",IF(AND(COUNTIF($P$11:$AQ$11,"▼")=0,H173&gt;0,I173=""),"◄",""))))</f>
        <v>#NAME?</v>
      </c>
      <c r="K173" s="345"/>
      <c r="L173" s="346" t="s">
        <v>876</v>
      </c>
      <c r="M173" s="347" t="n">
        <f aca="true">IF($D173&lt;&gt;"Serviço","",
          IF(AUTOEVENTO="manual",$A173,
                IF(ISERROR(MATCH($A173,$A$15:OFFSET($A173,-1,0),0)),MAX($M$15:OFFSET(M173,-1,0))+1,
                      INDEX($M$15:OFFSET(M173,-1,0),MATCH($A173,$A$15:OFFSET($A173,-1,0),0)))))</f>
        <v>28</v>
      </c>
      <c r="N173" s="348" t="str">
        <f aca="true">IF($D173&lt;&gt;"Serviço","",
         IF(AUTOEVENTO="Manual",
                IF($A173=0,"&lt;-- defina o número do agrupador",
                       OFFSET(EVENTOS!$D$15,$A173-$A$15,0)),
                OFFSET($F$15,$A173,0)))</f>
        <v>TUBULAÇÕES E CONEXÕES</v>
      </c>
      <c r="O173" s="349"/>
      <c r="Q173" s="349" t="n">
        <v>3</v>
      </c>
      <c r="R173" s="350" t="n">
        <v>3</v>
      </c>
      <c r="S173" s="350" t="n">
        <v>3</v>
      </c>
      <c r="T173" s="350" t="n">
        <v>3</v>
      </c>
      <c r="U173" s="350" t="n">
        <v>3</v>
      </c>
      <c r="V173" s="350" t="n">
        <v>3</v>
      </c>
      <c r="W173" s="350" t="n">
        <v>3</v>
      </c>
      <c r="X173" s="350" t="n">
        <v>3</v>
      </c>
      <c r="Y173" s="350" t="n">
        <v>3</v>
      </c>
      <c r="Z173" s="351" t="n">
        <v>3</v>
      </c>
      <c r="AA173" s="350" t="n">
        <v>3</v>
      </c>
      <c r="AB173" s="350" t="n">
        <v>3</v>
      </c>
      <c r="AC173" s="350" t="n">
        <v>3</v>
      </c>
      <c r="AD173" s="350" t="n">
        <v>3</v>
      </c>
      <c r="AE173" s="350" t="n">
        <v>3</v>
      </c>
      <c r="AF173" s="350" t="n">
        <v>3</v>
      </c>
      <c r="AG173" s="350" t="n">
        <v>3</v>
      </c>
      <c r="AH173" s="351" t="n">
        <v>3</v>
      </c>
      <c r="AI173" s="350" t="n">
        <v>3</v>
      </c>
      <c r="AJ173" s="350" t="n">
        <v>3</v>
      </c>
      <c r="AK173" s="350" t="n">
        <v>3</v>
      </c>
      <c r="AL173" s="350" t="n">
        <v>3</v>
      </c>
      <c r="AM173" s="350" t="n">
        <v>3</v>
      </c>
      <c r="AN173" s="350" t="n">
        <v>3</v>
      </c>
      <c r="AO173" s="350" t="n">
        <v>3</v>
      </c>
      <c r="AP173" s="351" t="n">
        <v>3</v>
      </c>
      <c r="AR173" s="352" t="n">
        <f aca="true">IF(AND($D173="Serviço",AR$12&lt;&gt;0,$H173&gt;0,OR(AUTOEVENTO&lt;&gt;"manual",$M173&lt;&gt;$A$15)),
        IF(Import.TipoArredondamento&lt;&gt;"TransfereGOV",
              ROUND(OFFSET($P173,0,AR$13),15-13*ORÇAMENTO!$AF$7)/$H173*OFFSET(ORÇAMENTO!$X$15,ROW(AR173)-ROW(AR$15),0),
              ROUND(ROUND(OFFSET($P173,0,AR$13),15-13*ORÇAMENTO!$AF$7)*OFFSET(ORÇAMENTO!$W$15,ROW(AR173)-ROW(AR$15),0),15-13*ORÇAMENTO!$AF$11)),
         0)</f>
        <v>40.38</v>
      </c>
      <c r="AS173" s="352" t="n">
        <f aca="true">IF(AND($D173="Serviço",AS$12&lt;&gt;0,$H173&gt;0,OR(AUTOEVENTO&lt;&gt;"manual",$M173&lt;&gt;$A$15)),
        IF(Import.TipoArredondamento&lt;&gt;"TransfereGOV",
              ROUND(OFFSET($P173,0,AS$13),15-13*ORÇAMENTO!$AF$7)/$H173*OFFSET(ORÇAMENTO!$X$15,ROW(AS173)-ROW(AS$15),0),
              ROUND(ROUND(OFFSET($P173,0,AS$13),15-13*ORÇAMENTO!$AF$7)*OFFSET(ORÇAMENTO!$W$15,ROW(AS173)-ROW(AS$15),0),15-13*ORÇAMENTO!$AF$11)),
         0)</f>
        <v>40.38</v>
      </c>
      <c r="AT173" s="352" t="n">
        <f aca="true">IF(AND($D173="Serviço",AT$12&lt;&gt;0,$H173&gt;0,OR(AUTOEVENTO&lt;&gt;"manual",$M173&lt;&gt;$A$15)),
        IF(Import.TipoArredondamento&lt;&gt;"TransfereGOV",
              ROUND(OFFSET($P173,0,AT$13),15-13*ORÇAMENTO!$AF$7)/$H173*OFFSET(ORÇAMENTO!$X$15,ROW(AT173)-ROW(AT$15),0),
              ROUND(ROUND(OFFSET($P173,0,AT$13),15-13*ORÇAMENTO!$AF$7)*OFFSET(ORÇAMENTO!$W$15,ROW(AT173)-ROW(AT$15),0),15-13*ORÇAMENTO!$AF$11)),
         0)</f>
        <v>40.38</v>
      </c>
      <c r="AU173" s="352" t="n">
        <f aca="true">IF(AND($D173="Serviço",AU$12&lt;&gt;0,$H173&gt;0,OR(AUTOEVENTO&lt;&gt;"manual",$M173&lt;&gt;$A$15)),
        IF(Import.TipoArredondamento&lt;&gt;"TransfereGOV",
              ROUND(OFFSET($P173,0,AU$13),15-13*ORÇAMENTO!$AF$7)/$H173*OFFSET(ORÇAMENTO!$X$15,ROW(AU173)-ROW(AU$15),0),
              ROUND(ROUND(OFFSET($P173,0,AU$13),15-13*ORÇAMENTO!$AF$7)*OFFSET(ORÇAMENTO!$W$15,ROW(AU173)-ROW(AU$15),0),15-13*ORÇAMENTO!$AF$11)),
         0)</f>
        <v>40.38</v>
      </c>
      <c r="AV173" s="352" t="n">
        <f aca="true">IF(AND($D173="Serviço",AV$12&lt;&gt;0,$H173&gt;0,OR(AUTOEVENTO&lt;&gt;"manual",$M173&lt;&gt;$A$15)),
        IF(Import.TipoArredondamento&lt;&gt;"TransfereGOV",
              ROUND(OFFSET($P173,0,AV$13),15-13*ORÇAMENTO!$AF$7)/$H173*OFFSET(ORÇAMENTO!$X$15,ROW(AV173)-ROW(AV$15),0),
              ROUND(ROUND(OFFSET($P173,0,AV$13),15-13*ORÇAMENTO!$AF$7)*OFFSET(ORÇAMENTO!$W$15,ROW(AV173)-ROW(AV$15),0),15-13*ORÇAMENTO!$AF$11)),
         0)</f>
        <v>40.38</v>
      </c>
      <c r="AW173" s="352" t="n">
        <f aca="true">IF(AND($D173="Serviço",AW$12&lt;&gt;0,$H173&gt;0,OR(AUTOEVENTO&lt;&gt;"manual",$M173&lt;&gt;$A$15)),
        IF(Import.TipoArredondamento&lt;&gt;"TransfereGOV",
              ROUND(OFFSET($P173,0,AW$13),15-13*ORÇAMENTO!$AF$7)/$H173*OFFSET(ORÇAMENTO!$X$15,ROW(AW173)-ROW(AW$15),0),
              ROUND(ROUND(OFFSET($P173,0,AW$13),15-13*ORÇAMENTO!$AF$7)*OFFSET(ORÇAMENTO!$W$15,ROW(AW173)-ROW(AW$15),0),15-13*ORÇAMENTO!$AF$11)),
         0)</f>
        <v>40.38</v>
      </c>
      <c r="AX173" s="352" t="n">
        <f aca="true">IF(AND($D173="Serviço",AX$12&lt;&gt;0,$H173&gt;0,OR(AUTOEVENTO&lt;&gt;"manual",$M173&lt;&gt;$A$15)),
        IF(Import.TipoArredondamento&lt;&gt;"TransfereGOV",
              ROUND(OFFSET($P173,0,AX$13),15-13*ORÇAMENTO!$AF$7)/$H173*OFFSET(ORÇAMENTO!$X$15,ROW(AX173)-ROW(AX$15),0),
              ROUND(ROUND(OFFSET($P173,0,AX$13),15-13*ORÇAMENTO!$AF$7)*OFFSET(ORÇAMENTO!$W$15,ROW(AX173)-ROW(AX$15),0),15-13*ORÇAMENTO!$AF$11)),
         0)</f>
        <v>40.38</v>
      </c>
      <c r="AY173" s="352" t="n">
        <f aca="true">IF(AND($D173="Serviço",AY$12&lt;&gt;0,$H173&gt;0,OR(AUTOEVENTO&lt;&gt;"manual",$M173&lt;&gt;$A$15)),
        IF(Import.TipoArredondamento&lt;&gt;"TransfereGOV",
              ROUND(OFFSET($P173,0,AY$13),15-13*ORÇAMENTO!$AF$7)/$H173*OFFSET(ORÇAMENTO!$X$15,ROW(AY173)-ROW(AY$15),0),
              ROUND(ROUND(OFFSET($P173,0,AY$13),15-13*ORÇAMENTO!$AF$7)*OFFSET(ORÇAMENTO!$W$15,ROW(AY173)-ROW(AY$15),0),15-13*ORÇAMENTO!$AF$11)),
         0)</f>
        <v>40.38</v>
      </c>
      <c r="AZ173" s="352" t="n">
        <f aca="true">IF(AND($D173="Serviço",AZ$12&lt;&gt;0,$H173&gt;0,OR(AUTOEVENTO&lt;&gt;"manual",$M173&lt;&gt;$A$15)),
        IF(Import.TipoArredondamento&lt;&gt;"TransfereGOV",
              ROUND(OFFSET($P173,0,AZ$13),15-13*ORÇAMENTO!$AF$7)/$H173*OFFSET(ORÇAMENTO!$X$15,ROW(AZ173)-ROW(AZ$15),0),
              ROUND(ROUND(OFFSET($P173,0,AZ$13),15-13*ORÇAMENTO!$AF$7)*OFFSET(ORÇAMENTO!$W$15,ROW(AZ173)-ROW(AZ$15),0),15-13*ORÇAMENTO!$AF$11)),
         0)</f>
        <v>40.38</v>
      </c>
      <c r="BA173" s="352" t="n">
        <f aca="true">IF(AND($D173="Serviço",BA$12&lt;&gt;0,$H173&gt;0,OR(AUTOEVENTO&lt;&gt;"manual",$M173&lt;&gt;$A$15)),
        IF(Import.TipoArredondamento&lt;&gt;"TransfereGOV",
              ROUND(OFFSET($P173,0,BA$13),15-13*ORÇAMENTO!$AF$7)/$H173*OFFSET(ORÇAMENTO!$X$15,ROW(BA173)-ROW(BA$15),0),
              ROUND(ROUND(OFFSET($P173,0,BA$13),15-13*ORÇAMENTO!$AF$7)*OFFSET(ORÇAMENTO!$W$15,ROW(BA173)-ROW(BA$15),0),15-13*ORÇAMENTO!$AF$11)),
         0)</f>
        <v>40.38</v>
      </c>
      <c r="BB173" s="352" t="n">
        <f aca="true">IF(AND($D173="Serviço",BB$12&lt;&gt;0,$H173&gt;0,OR(AUTOEVENTO&lt;&gt;"manual",$M173&lt;&gt;$A$15)),
        IF(Import.TipoArredondamento&lt;&gt;"TransfereGOV",
              ROUND(OFFSET($P173,0,BB$13),15-13*ORÇAMENTO!$AF$7)/$H173*OFFSET(ORÇAMENTO!$X$15,ROW(BB173)-ROW(BB$15),0),
              ROUND(ROUND(OFFSET($P173,0,BB$13),15-13*ORÇAMENTO!$AF$7)*OFFSET(ORÇAMENTO!$W$15,ROW(BB173)-ROW(BB$15),0),15-13*ORÇAMENTO!$AF$11)),
         0)</f>
        <v>40.38</v>
      </c>
      <c r="BC173" s="352" t="n">
        <f aca="true">IF(AND($D173="Serviço",BC$12&lt;&gt;0,$H173&gt;0,OR(AUTOEVENTO&lt;&gt;"manual",$M173&lt;&gt;$A$15)),
        IF(Import.TipoArredondamento&lt;&gt;"TransfereGOV",
              ROUND(OFFSET($P173,0,BC$13),15-13*ORÇAMENTO!$AF$7)/$H173*OFFSET(ORÇAMENTO!$X$15,ROW(BC173)-ROW(BC$15),0),
              ROUND(ROUND(OFFSET($P173,0,BC$13),15-13*ORÇAMENTO!$AF$7)*OFFSET(ORÇAMENTO!$W$15,ROW(BC173)-ROW(BC$15),0),15-13*ORÇAMENTO!$AF$11)),
         0)</f>
        <v>40.38</v>
      </c>
      <c r="BD173" s="352" t="n">
        <f aca="true">IF(AND($D173="Serviço",BD$12&lt;&gt;0,$H173&gt;0,OR(AUTOEVENTO&lt;&gt;"manual",$M173&lt;&gt;$A$15)),
        IF(Import.TipoArredondamento&lt;&gt;"TransfereGOV",
              ROUND(OFFSET($P173,0,BD$13),15-13*ORÇAMENTO!$AF$7)/$H173*OFFSET(ORÇAMENTO!$X$15,ROW(BD173)-ROW(BD$15),0),
              ROUND(ROUND(OFFSET($P173,0,BD$13),15-13*ORÇAMENTO!$AF$7)*OFFSET(ORÇAMENTO!$W$15,ROW(BD173)-ROW(BD$15),0),15-13*ORÇAMENTO!$AF$11)),
         0)</f>
        <v>40.38</v>
      </c>
      <c r="BE173" s="352" t="n">
        <f aca="true">IF(AND($D173="Serviço",BE$12&lt;&gt;0,$H173&gt;0,OR(AUTOEVENTO&lt;&gt;"manual",$M173&lt;&gt;$A$15)),
        IF(Import.TipoArredondamento&lt;&gt;"TransfereGOV",
              ROUND(OFFSET($P173,0,BE$13),15-13*ORÇAMENTO!$AF$7)/$H173*OFFSET(ORÇAMENTO!$X$15,ROW(BE173)-ROW(BE$15),0),
              ROUND(ROUND(OFFSET($P173,0,BE$13),15-13*ORÇAMENTO!$AF$7)*OFFSET(ORÇAMENTO!$W$15,ROW(BE173)-ROW(BE$15),0),15-13*ORÇAMENTO!$AF$11)),
         0)</f>
        <v>40.38</v>
      </c>
      <c r="BF173" s="352" t="n">
        <f aca="true">IF(AND($D173="Serviço",BF$12&lt;&gt;0,$H173&gt;0,OR(AUTOEVENTO&lt;&gt;"manual",$M173&lt;&gt;$A$15)),
        IF(Import.TipoArredondamento&lt;&gt;"TransfereGOV",
              ROUND(OFFSET($P173,0,BF$13),15-13*ORÇAMENTO!$AF$7)/$H173*OFFSET(ORÇAMENTO!$X$15,ROW(BF173)-ROW(BF$15),0),
              ROUND(ROUND(OFFSET($P173,0,BF$13),15-13*ORÇAMENTO!$AF$7)*OFFSET(ORÇAMENTO!$W$15,ROW(BF173)-ROW(BF$15),0),15-13*ORÇAMENTO!$AF$11)),
         0)</f>
        <v>40.38</v>
      </c>
      <c r="BG173" s="352" t="n">
        <f aca="true">IF(AND($D173="Serviço",BG$12&lt;&gt;0,$H173&gt;0,OR(AUTOEVENTO&lt;&gt;"manual",$M173&lt;&gt;$A$15)),
        IF(Import.TipoArredondamento&lt;&gt;"TransfereGOV",
              ROUND(OFFSET($P173,0,BG$13),15-13*ORÇAMENTO!$AF$7)/$H173*OFFSET(ORÇAMENTO!$X$15,ROW(BG173)-ROW(BG$15),0),
              ROUND(ROUND(OFFSET($P173,0,BG$13),15-13*ORÇAMENTO!$AF$7)*OFFSET(ORÇAMENTO!$W$15,ROW(BG173)-ROW(BG$15),0),15-13*ORÇAMENTO!$AF$11)),
         0)</f>
        <v>40.38</v>
      </c>
      <c r="BH173" s="352" t="n">
        <f aca="true">IF(AND($D173="Serviço",BH$12&lt;&gt;0,$H173&gt;0,OR(AUTOEVENTO&lt;&gt;"manual",$M173&lt;&gt;$A$15)),
        IF(Import.TipoArredondamento&lt;&gt;"TransfereGOV",
              ROUND(OFFSET($P173,0,BH$13),15-13*ORÇAMENTO!$AF$7)/$H173*OFFSET(ORÇAMENTO!$X$15,ROW(BH173)-ROW(BH$15),0),
              ROUND(ROUND(OFFSET($P173,0,BH$13),15-13*ORÇAMENTO!$AF$7)*OFFSET(ORÇAMENTO!$W$15,ROW(BH173)-ROW(BH$15),0),15-13*ORÇAMENTO!$AF$11)),
         0)</f>
        <v>40.38</v>
      </c>
      <c r="BI173" s="352" t="n">
        <f aca="true">IF(AND($D173="Serviço",BI$12&lt;&gt;0,$H173&gt;0,OR(AUTOEVENTO&lt;&gt;"manual",$M173&lt;&gt;$A$15)),
        IF(Import.TipoArredondamento&lt;&gt;"TransfereGOV",
              ROUND(OFFSET($P173,0,BI$13),15-13*ORÇAMENTO!$AF$7)/$H173*OFFSET(ORÇAMENTO!$X$15,ROW(BI173)-ROW(BI$15),0),
              ROUND(ROUND(OFFSET($P173,0,BI$13),15-13*ORÇAMENTO!$AF$7)*OFFSET(ORÇAMENTO!$W$15,ROW(BI173)-ROW(BI$15),0),15-13*ORÇAMENTO!$AF$11)),
         0)</f>
        <v>40.38</v>
      </c>
      <c r="BJ173" s="352" t="n">
        <f aca="true">IF(AND($D173="Serviço",BJ$12&lt;&gt;0,$H173&gt;0,OR(AUTOEVENTO&lt;&gt;"manual",$M173&lt;&gt;$A$15)),
        IF(Import.TipoArredondamento&lt;&gt;"TransfereGOV",
              ROUND(OFFSET($P173,0,BJ$13),15-13*ORÇAMENTO!$AF$7)/$H173*OFFSET(ORÇAMENTO!$X$15,ROW(BJ173)-ROW(BJ$15),0),
              ROUND(ROUND(OFFSET($P173,0,BJ$13),15-13*ORÇAMENTO!$AF$7)*OFFSET(ORÇAMENTO!$W$15,ROW(BJ173)-ROW(BJ$15),0),15-13*ORÇAMENTO!$AF$11)),
         0)</f>
        <v>40.38</v>
      </c>
      <c r="BK173" s="352" t="n">
        <f aca="true">IF(AND($D173="Serviço",BK$12&lt;&gt;0,$H173&gt;0,OR(AUTOEVENTO&lt;&gt;"manual",$M173&lt;&gt;$A$15)),
        IF(Import.TipoArredondamento&lt;&gt;"TransfereGOV",
              ROUND(OFFSET($P173,0,BK$13),15-13*ORÇAMENTO!$AF$7)/$H173*OFFSET(ORÇAMENTO!$X$15,ROW(BK173)-ROW(BK$15),0),
              ROUND(ROUND(OFFSET($P173,0,BK$13),15-13*ORÇAMENTO!$AF$7)*OFFSET(ORÇAMENTO!$W$15,ROW(BK173)-ROW(BK$15),0),15-13*ORÇAMENTO!$AF$11)),
         0)</f>
        <v>40.38</v>
      </c>
      <c r="BL173" s="352" t="n">
        <f aca="true">IF(AND($D173="Serviço",BL$12&lt;&gt;0,$H173&gt;0,OR(AUTOEVENTO&lt;&gt;"manual",$M173&lt;&gt;$A$15)),
        IF(Import.TipoArredondamento&lt;&gt;"TransfereGOV",
              ROUND(OFFSET($P173,0,BL$13),15-13*ORÇAMENTO!$AF$7)/$H173*OFFSET(ORÇAMENTO!$X$15,ROW(BL173)-ROW(BL$15),0),
              ROUND(ROUND(OFFSET($P173,0,BL$13),15-13*ORÇAMENTO!$AF$7)*OFFSET(ORÇAMENTO!$W$15,ROW(BL173)-ROW(BL$15),0),15-13*ORÇAMENTO!$AF$11)),
         0)</f>
        <v>40.38</v>
      </c>
      <c r="BM173" s="352" t="n">
        <f aca="true">IF(AND($D173="Serviço",BM$12&lt;&gt;0,$H173&gt;0,OR(AUTOEVENTO&lt;&gt;"manual",$M173&lt;&gt;$A$15)),
        IF(Import.TipoArredondamento&lt;&gt;"TransfereGOV",
              ROUND(OFFSET($P173,0,BM$13),15-13*ORÇAMENTO!$AF$7)/$H173*OFFSET(ORÇAMENTO!$X$15,ROW(BM173)-ROW(BM$15),0),
              ROUND(ROUND(OFFSET($P173,0,BM$13),15-13*ORÇAMENTO!$AF$7)*OFFSET(ORÇAMENTO!$W$15,ROW(BM173)-ROW(BM$15),0),15-13*ORÇAMENTO!$AF$11)),
         0)</f>
        <v>40.38</v>
      </c>
      <c r="BN173" s="352" t="n">
        <f aca="true">IF(AND($D173="Serviço",BN$12&lt;&gt;0,$H173&gt;0,OR(AUTOEVENTO&lt;&gt;"manual",$M173&lt;&gt;$A$15)),
        IF(Import.TipoArredondamento&lt;&gt;"TransfereGOV",
              ROUND(OFFSET($P173,0,BN$13),15-13*ORÇAMENTO!$AF$7)/$H173*OFFSET(ORÇAMENTO!$X$15,ROW(BN173)-ROW(BN$15),0),
              ROUND(ROUND(OFFSET($P173,0,BN$13),15-13*ORÇAMENTO!$AF$7)*OFFSET(ORÇAMENTO!$W$15,ROW(BN173)-ROW(BN$15),0),15-13*ORÇAMENTO!$AF$11)),
         0)</f>
        <v>40.38</v>
      </c>
      <c r="BO173" s="352" t="n">
        <f aca="true">IF(AND($D173="Serviço",BO$12&lt;&gt;0,$H173&gt;0,OR(AUTOEVENTO&lt;&gt;"manual",$M173&lt;&gt;$A$15)),
        IF(Import.TipoArredondamento&lt;&gt;"TransfereGOV",
              ROUND(OFFSET($P173,0,BO$13),15-13*ORÇAMENTO!$AF$7)/$H173*OFFSET(ORÇAMENTO!$X$15,ROW(BO173)-ROW(BO$15),0),
              ROUND(ROUND(OFFSET($P173,0,BO$13),15-13*ORÇAMENTO!$AF$7)*OFFSET(ORÇAMENTO!$W$15,ROW(BO173)-ROW(BO$15),0),15-13*ORÇAMENTO!$AF$11)),
         0)</f>
        <v>40.38</v>
      </c>
      <c r="BP173" s="352" t="n">
        <f aca="true">IF(AND($D173="Serviço",BP$12&lt;&gt;0,$H173&gt;0,OR(AUTOEVENTO&lt;&gt;"manual",$M173&lt;&gt;$A$15)),
        IF(Import.TipoArredondamento&lt;&gt;"TransfereGOV",
              ROUND(OFFSET($P173,0,BP$13),15-13*ORÇAMENTO!$AF$7)/$H173*OFFSET(ORÇAMENTO!$X$15,ROW(BP173)-ROW(BP$15),0),
              ROUND(ROUND(OFFSET($P173,0,BP$13),15-13*ORÇAMENTO!$AF$7)*OFFSET(ORÇAMENTO!$W$15,ROW(BP173)-ROW(BP$15),0),15-13*ORÇAMENTO!$AF$11)),
         0)</f>
        <v>40.38</v>
      </c>
      <c r="BQ173" s="352" t="n">
        <f aca="true">IF(AND($D173="Serviço",BQ$12&lt;&gt;0,$H173&gt;0,OR(AUTOEVENTO&lt;&gt;"manual",$M173&lt;&gt;$A$15)),
        IF(Import.TipoArredondamento&lt;&gt;"TransfereGOV",
              ROUND(OFFSET($P173,0,BQ$13),15-13*ORÇAMENTO!$AF$7)/$H173*OFFSET(ORÇAMENTO!$X$15,ROW(BQ173)-ROW(BQ$15),0),
              ROUND(ROUND(OFFSET($P173,0,BQ$13),15-13*ORÇAMENTO!$AF$7)*OFFSET(ORÇAMENTO!$W$15,ROW(BQ173)-ROW(BQ$15),0),15-13*ORÇAMENTO!$AF$11)),
         0)</f>
        <v>0</v>
      </c>
      <c r="BS173" s="353" t="n">
        <f aca="true">IF(OR($D173&lt;&gt;"Serviço",AND(AUTOEVENTO="Manual",$M173=$A$15)),0,
         IF(OFFSET(CRONOPLE!$F$15,$M173-$A$15,BS$13)=0,10^12,OFFSET(CRONOPLE!$F$15,$M173-$A$15,BS$13)))</f>
        <v>1</v>
      </c>
      <c r="BT173" s="353" t="n">
        <f aca="true">IF(OR($D173&lt;&gt;"Serviço",AND(AUTOEVENTO="Manual",$M173=$A$15)),0,
         IF(OFFSET(CRONOPLE!$F$15,$M173-$A$15,BT$13)=0,10^12,OFFSET(CRONOPLE!$F$15,$M173-$A$15,BT$13)))</f>
        <v>2</v>
      </c>
      <c r="BU173" s="353" t="n">
        <f aca="true">IF(OR($D173&lt;&gt;"Serviço",AND(AUTOEVENTO="Manual",$M173=$A$15)),0,
         IF(OFFSET(CRONOPLE!$F$15,$M173-$A$15,BU$13)=0,10^12,OFFSET(CRONOPLE!$F$15,$M173-$A$15,BU$13)))</f>
        <v>3</v>
      </c>
      <c r="BV173" s="353" t="n">
        <f aca="true">IF(OR($D173&lt;&gt;"Serviço",AND(AUTOEVENTO="Manual",$M173=$A$15)),0,
         IF(OFFSET(CRONOPLE!$F$15,$M173-$A$15,BV$13)=0,10^12,OFFSET(CRONOPLE!$F$15,$M173-$A$15,BV$13)))</f>
        <v>4</v>
      </c>
      <c r="BW173" s="353" t="n">
        <f aca="true">IF(OR($D173&lt;&gt;"Serviço",AND(AUTOEVENTO="Manual",$M173=$A$15)),0,
         IF(OFFSET(CRONOPLE!$F$15,$M173-$A$15,BW$13)=0,10^12,OFFSET(CRONOPLE!$F$15,$M173-$A$15,BW$13)))</f>
        <v>5</v>
      </c>
      <c r="BX173" s="353" t="n">
        <f aca="true">IF(OR($D173&lt;&gt;"Serviço",AND(AUTOEVENTO="Manual",$M173=$A$15)),0,
         IF(OFFSET(CRONOPLE!$F$15,$M173-$A$15,BX$13)=0,10^12,OFFSET(CRONOPLE!$F$15,$M173-$A$15,BX$13)))</f>
        <v>6</v>
      </c>
      <c r="BY173" s="353" t="n">
        <f aca="true">IF(OR($D173&lt;&gt;"Serviço",AND(AUTOEVENTO="Manual",$M173=$A$15)),0,
         IF(OFFSET(CRONOPLE!$F$15,$M173-$A$15,BY$13)=0,10^12,OFFSET(CRONOPLE!$F$15,$M173-$A$15,BY$13)))</f>
        <v>7</v>
      </c>
      <c r="BZ173" s="353" t="n">
        <f aca="true">IF(OR($D173&lt;&gt;"Serviço",AND(AUTOEVENTO="Manual",$M173=$A$15)),0,
         IF(OFFSET(CRONOPLE!$F$15,$M173-$A$15,BZ$13)=0,10^12,OFFSET(CRONOPLE!$F$15,$M173-$A$15,BZ$13)))</f>
        <v>8</v>
      </c>
      <c r="CA173" s="353" t="n">
        <f aca="true">IF(OR($D173&lt;&gt;"Serviço",AND(AUTOEVENTO="Manual",$M173=$A$15)),0,
         IF(OFFSET(CRONOPLE!$F$15,$M173-$A$15,CA$13)=0,10^12,OFFSET(CRONOPLE!$F$15,$M173-$A$15,CA$13)))</f>
        <v>9</v>
      </c>
      <c r="CB173" s="353" t="n">
        <f aca="true">IF(OR($D173&lt;&gt;"Serviço",AND(AUTOEVENTO="Manual",$M173=$A$15)),0,
         IF(OFFSET(CRONOPLE!$F$15,$M173-$A$15,CB$13)=0,10^12,OFFSET(CRONOPLE!$F$15,$M173-$A$15,CB$13)))</f>
        <v>10</v>
      </c>
      <c r="CC173" s="353" t="n">
        <f aca="true">IF(OR($D173&lt;&gt;"Serviço",AND(AUTOEVENTO="Manual",$M173=$A$15)),0,
         IF(OFFSET(CRONOPLE!$F$15,$M173-$A$15,CC$13)=0,10^12,OFFSET(CRONOPLE!$F$15,$M173-$A$15,CC$13)))</f>
        <v>11</v>
      </c>
      <c r="CD173" s="353" t="n">
        <f aca="true">IF(OR($D173&lt;&gt;"Serviço",AND(AUTOEVENTO="Manual",$M173=$A$15)),0,
         IF(OFFSET(CRONOPLE!$F$15,$M173-$A$15,CD$13)=0,10^12,OFFSET(CRONOPLE!$F$15,$M173-$A$15,CD$13)))</f>
        <v>12</v>
      </c>
      <c r="CE173" s="353" t="n">
        <f aca="true">IF(OR($D173&lt;&gt;"Serviço",AND(AUTOEVENTO="Manual",$M173=$A$15)),0,
         IF(OFFSET(CRONOPLE!$F$15,$M173-$A$15,CE$13)=0,10^12,OFFSET(CRONOPLE!$F$15,$M173-$A$15,CE$13)))</f>
        <v>13</v>
      </c>
      <c r="CF173" s="353" t="n">
        <f aca="true">IF(OR($D173&lt;&gt;"Serviço",AND(AUTOEVENTO="Manual",$M173=$A$15)),0,
         IF(OFFSET(CRONOPLE!$F$15,$M173-$A$15,CF$13)=0,10^12,OFFSET(CRONOPLE!$F$15,$M173-$A$15,CF$13)))</f>
        <v>14</v>
      </c>
      <c r="CG173" s="353" t="n">
        <f aca="true">IF(OR($D173&lt;&gt;"Serviço",AND(AUTOEVENTO="Manual",$M173=$A$15)),0,
         IF(OFFSET(CRONOPLE!$F$15,$M173-$A$15,CG$13)=0,10^12,OFFSET(CRONOPLE!$F$15,$M173-$A$15,CG$13)))</f>
        <v>15</v>
      </c>
      <c r="CH173" s="353" t="n">
        <f aca="true">IF(OR($D173&lt;&gt;"Serviço",AND(AUTOEVENTO="Manual",$M173=$A$15)),0,
         IF(OFFSET(CRONOPLE!$F$15,$M173-$A$15,CH$13)=0,10^12,OFFSET(CRONOPLE!$F$15,$M173-$A$15,CH$13)))</f>
        <v>16</v>
      </c>
      <c r="CI173" s="353" t="n">
        <f aca="true">IF(OR($D173&lt;&gt;"Serviço",AND(AUTOEVENTO="Manual",$M173=$A$15)),0,
         IF(OFFSET(CRONOPLE!$F$15,$M173-$A$15,CI$13)=0,10^12,OFFSET(CRONOPLE!$F$15,$M173-$A$15,CI$13)))</f>
        <v>17</v>
      </c>
      <c r="CJ173" s="353" t="n">
        <f aca="true">IF(OR($D173&lt;&gt;"Serviço",AND(AUTOEVENTO="Manual",$M173=$A$15)),0,
         IF(OFFSET(CRONOPLE!$F$15,$M173-$A$15,CJ$13)=0,10^12,OFFSET(CRONOPLE!$F$15,$M173-$A$15,CJ$13)))</f>
        <v>18</v>
      </c>
      <c r="CK173" s="353" t="n">
        <f aca="true">IF(OR($D173&lt;&gt;"Serviço",AND(AUTOEVENTO="Manual",$M173=$A$15)),0,
         IF(OFFSET(CRONOPLE!$F$15,$M173-$A$15,CK$13)=0,10^12,OFFSET(CRONOPLE!$F$15,$M173-$A$15,CK$13)))</f>
        <v>19</v>
      </c>
      <c r="CL173" s="353" t="n">
        <f aca="true">IF(OR($D173&lt;&gt;"Serviço",AND(AUTOEVENTO="Manual",$M173=$A$15)),0,
         IF(OFFSET(CRONOPLE!$F$15,$M173-$A$15,CL$13)=0,10^12,OFFSET(CRONOPLE!$F$15,$M173-$A$15,CL$13)))</f>
        <v>20</v>
      </c>
      <c r="CM173" s="353" t="n">
        <f aca="true">IF(OR($D173&lt;&gt;"Serviço",AND(AUTOEVENTO="Manual",$M173=$A$15)),0,
         IF(OFFSET(CRONOPLE!$F$15,$M173-$A$15,CM$13)=0,10^12,OFFSET(CRONOPLE!$F$15,$M173-$A$15,CM$13)))</f>
        <v>21</v>
      </c>
      <c r="CN173" s="353" t="n">
        <f aca="true">IF(OR($D173&lt;&gt;"Serviço",AND(AUTOEVENTO="Manual",$M173=$A$15)),0,
         IF(OFFSET(CRONOPLE!$F$15,$M173-$A$15,CN$13)=0,10^12,OFFSET(CRONOPLE!$F$15,$M173-$A$15,CN$13)))</f>
        <v>22</v>
      </c>
      <c r="CO173" s="353" t="n">
        <f aca="true">IF(OR($D173&lt;&gt;"Serviço",AND(AUTOEVENTO="Manual",$M173=$A$15)),0,
         IF(OFFSET(CRONOPLE!$F$15,$M173-$A$15,CO$13)=0,10^12,OFFSET(CRONOPLE!$F$15,$M173-$A$15,CO$13)))</f>
        <v>23</v>
      </c>
      <c r="CP173" s="353" t="n">
        <f aca="true">IF(OR($D173&lt;&gt;"Serviço",AND(AUTOEVENTO="Manual",$M173=$A$15)),0,
         IF(OFFSET(CRONOPLE!$F$15,$M173-$A$15,CP$13)=0,10^12,OFFSET(CRONOPLE!$F$15,$M173-$A$15,CP$13)))</f>
        <v>24</v>
      </c>
      <c r="CQ173" s="353" t="n">
        <f aca="true">IF(OR($D173&lt;&gt;"Serviço",AND(AUTOEVENTO="Manual",$M173=$A$15)),0,
         IF(OFFSET(CRONOPLE!$F$15,$M173-$A$15,CQ$13)=0,10^12,OFFSET(CRONOPLE!$F$15,$M173-$A$15,CQ$13)))</f>
        <v>25</v>
      </c>
      <c r="CR173" s="353" t="n">
        <f aca="true">IF(OR($D173&lt;&gt;"Serviço",AND(AUTOEVENTO="Manual",$M173=$A$15)),0,
         IF(OFFSET(CRONOPLE!$F$15,$M173-$A$15,CR$13)=0,10^12,OFFSET(CRONOPLE!$F$15,$M173-$A$15,CR$13)))</f>
        <v>1000000000000</v>
      </c>
      <c r="CT173" s="354" t="n">
        <f aca="true">IF(OR($D173&lt;&gt;"Serviço",AND(AUTOEVENTO="Manual",$M173=$A$15),$M173&gt;(ROW(PLE.lastrow)-ROW(PLE.firstrow))),0,
           IF(OFFSET(PLE!$G$15,$M173-$A$15,CT$13)="",10^12,OFFSET(PLE!$G$15,$M173-$A$15,CT$13)))</f>
        <v>1000000000000</v>
      </c>
      <c r="CU173" s="354" t="n">
        <f aca="true">IF(OR($D173&lt;&gt;"Serviço",AND(AUTOEVENTO="Manual",$M173=$A$15),$M173&gt;(ROW(PLE.lastrow)-ROW(PLE.firstrow))),0,
           IF(OFFSET(PLE!$G$15,$M173-$A$15,CU$13)="",10^12,OFFSET(PLE!$G$15,$M173-$A$15,CU$13)))</f>
        <v>1000000000000</v>
      </c>
      <c r="CV173" s="354" t="n">
        <f aca="true">IF(OR($D173&lt;&gt;"Serviço",AND(AUTOEVENTO="Manual",$M173=$A$15),$M173&gt;(ROW(PLE.lastrow)-ROW(PLE.firstrow))),0,
           IF(OFFSET(PLE!$G$15,$M173-$A$15,CV$13)="",10^12,OFFSET(PLE!$G$15,$M173-$A$15,CV$13)))</f>
        <v>1000000000000</v>
      </c>
      <c r="CW173" s="354" t="n">
        <f aca="true">IF(OR($D173&lt;&gt;"Serviço",AND(AUTOEVENTO="Manual",$M173=$A$15),$M173&gt;(ROW(PLE.lastrow)-ROW(PLE.firstrow))),0,
           IF(OFFSET(PLE!$G$15,$M173-$A$15,CW$13)="",10^12,OFFSET(PLE!$G$15,$M173-$A$15,CW$13)))</f>
        <v>1000000000000</v>
      </c>
      <c r="CX173" s="354" t="n">
        <f aca="true">IF(OR($D173&lt;&gt;"Serviço",AND(AUTOEVENTO="Manual",$M173=$A$15),$M173&gt;(ROW(PLE.lastrow)-ROW(PLE.firstrow))),0,
           IF(OFFSET(PLE!$G$15,$M173-$A$15,CX$13)="",10^12,OFFSET(PLE!$G$15,$M173-$A$15,CX$13)))</f>
        <v>1000000000000</v>
      </c>
      <c r="CY173" s="354" t="n">
        <f aca="true">IF(OR($D173&lt;&gt;"Serviço",AND(AUTOEVENTO="Manual",$M173=$A$15),$M173&gt;(ROW(PLE.lastrow)-ROW(PLE.firstrow))),0,
           IF(OFFSET(PLE!$G$15,$M173-$A$15,CY$13)="",10^12,OFFSET(PLE!$G$15,$M173-$A$15,CY$13)))</f>
        <v>1000000000000</v>
      </c>
      <c r="CZ173" s="354" t="n">
        <f aca="true">IF(OR($D173&lt;&gt;"Serviço",AND(AUTOEVENTO="Manual",$M173=$A$15),$M173&gt;(ROW(PLE.lastrow)-ROW(PLE.firstrow))),0,
           IF(OFFSET(PLE!$G$15,$M173-$A$15,CZ$13)="",10^12,OFFSET(PLE!$G$15,$M173-$A$15,CZ$13)))</f>
        <v>1000000000000</v>
      </c>
      <c r="DA173" s="354" t="n">
        <f aca="true">IF(OR($D173&lt;&gt;"Serviço",AND(AUTOEVENTO="Manual",$M173=$A$15),$M173&gt;(ROW(PLE.lastrow)-ROW(PLE.firstrow))),0,
           IF(OFFSET(PLE!$G$15,$M173-$A$15,DA$13)="",10^12,OFFSET(PLE!$G$15,$M173-$A$15,DA$13)))</f>
        <v>1000000000000</v>
      </c>
      <c r="DB173" s="354" t="n">
        <f aca="true">IF(OR($D173&lt;&gt;"Serviço",AND(AUTOEVENTO="Manual",$M173=$A$15),$M173&gt;(ROW(PLE.lastrow)-ROW(PLE.firstrow))),0,
           IF(OFFSET(PLE!$G$15,$M173-$A$15,DB$13)="",10^12,OFFSET(PLE!$G$15,$M173-$A$15,DB$13)))</f>
        <v>1000000000000</v>
      </c>
      <c r="DC173" s="354" t="n">
        <f aca="true">IF(OR($D173&lt;&gt;"Serviço",AND(AUTOEVENTO="Manual",$M173=$A$15),$M173&gt;(ROW(PLE.lastrow)-ROW(PLE.firstrow))),0,
           IF(OFFSET(PLE!$G$15,$M173-$A$15,DC$13)="",10^12,OFFSET(PLE!$G$15,$M173-$A$15,DC$13)))</f>
        <v>1000000000000</v>
      </c>
      <c r="DD173" s="354" t="n">
        <f aca="true">IF(OR($D173&lt;&gt;"Serviço",AND(AUTOEVENTO="Manual",$M173=$A$15),$M173&gt;(ROW(PLE.lastrow)-ROW(PLE.firstrow))),0,
           IF(OFFSET(PLE!$G$15,$M173-$A$15,DD$13)="",10^12,OFFSET(PLE!$G$15,$M173-$A$15,DD$13)))</f>
        <v>1000000000000</v>
      </c>
      <c r="DE173" s="354" t="n">
        <f aca="true">IF(OR($D173&lt;&gt;"Serviço",AND(AUTOEVENTO="Manual",$M173=$A$15),$M173&gt;(ROW(PLE.lastrow)-ROW(PLE.firstrow))),0,
           IF(OFFSET(PLE!$G$15,$M173-$A$15,DE$13)="",10^12,OFFSET(PLE!$G$15,$M173-$A$15,DE$13)))</f>
        <v>1000000000000</v>
      </c>
      <c r="DF173" s="354" t="n">
        <f aca="true">IF(OR($D173&lt;&gt;"Serviço",AND(AUTOEVENTO="Manual",$M173=$A$15),$M173&gt;(ROW(PLE.lastrow)-ROW(PLE.firstrow))),0,
           IF(OFFSET(PLE!$G$15,$M173-$A$15,DF$13)="",10^12,OFFSET(PLE!$G$15,$M173-$A$15,DF$13)))</f>
        <v>1000000000000</v>
      </c>
      <c r="DG173" s="354" t="n">
        <f aca="true">IF(OR($D173&lt;&gt;"Serviço",AND(AUTOEVENTO="Manual",$M173=$A$15),$M173&gt;(ROW(PLE.lastrow)-ROW(PLE.firstrow))),0,
           IF(OFFSET(PLE!$G$15,$M173-$A$15,DG$13)="",10^12,OFFSET(PLE!$G$15,$M173-$A$15,DG$13)))</f>
        <v>1000000000000</v>
      </c>
      <c r="DH173" s="354" t="n">
        <f aca="true">IF(OR($D173&lt;&gt;"Serviço",AND(AUTOEVENTO="Manual",$M173=$A$15),$M173&gt;(ROW(PLE.lastrow)-ROW(PLE.firstrow))),0,
           IF(OFFSET(PLE!$G$15,$M173-$A$15,DH$13)="",10^12,OFFSET(PLE!$G$15,$M173-$A$15,DH$13)))</f>
        <v>1000000000000</v>
      </c>
      <c r="DI173" s="354" t="n">
        <f aca="true">IF(OR($D173&lt;&gt;"Serviço",AND(AUTOEVENTO="Manual",$M173=$A$15),$M173&gt;(ROW(PLE.lastrow)-ROW(PLE.firstrow))),0,
           IF(OFFSET(PLE!$G$15,$M173-$A$15,DI$13)="",10^12,OFFSET(PLE!$G$15,$M173-$A$15,DI$13)))</f>
        <v>1000000000000</v>
      </c>
      <c r="DJ173" s="354" t="n">
        <f aca="true">IF(OR($D173&lt;&gt;"Serviço",AND(AUTOEVENTO="Manual",$M173=$A$15),$M173&gt;(ROW(PLE.lastrow)-ROW(PLE.firstrow))),0,
           IF(OFFSET(PLE!$G$15,$M173-$A$15,DJ$13)="",10^12,OFFSET(PLE!$G$15,$M173-$A$15,DJ$13)))</f>
        <v>1000000000000</v>
      </c>
      <c r="DK173" s="354" t="n">
        <f aca="true">IF(OR($D173&lt;&gt;"Serviço",AND(AUTOEVENTO="Manual",$M173=$A$15),$M173&gt;(ROW(PLE.lastrow)-ROW(PLE.firstrow))),0,
           IF(OFFSET(PLE!$G$15,$M173-$A$15,DK$13)="",10^12,OFFSET(PLE!$G$15,$M173-$A$15,DK$13)))</f>
        <v>1000000000000</v>
      </c>
      <c r="DL173" s="354" t="n">
        <f aca="true">IF(OR($D173&lt;&gt;"Serviço",AND(AUTOEVENTO="Manual",$M173=$A$15),$M173&gt;(ROW(PLE.lastrow)-ROW(PLE.firstrow))),0,
           IF(OFFSET(PLE!$G$15,$M173-$A$15,DL$13)="",10^12,OFFSET(PLE!$G$15,$M173-$A$15,DL$13)))</f>
        <v>1000000000000</v>
      </c>
      <c r="DM173" s="354" t="n">
        <f aca="true">IF(OR($D173&lt;&gt;"Serviço",AND(AUTOEVENTO="Manual",$M173=$A$15),$M173&gt;(ROW(PLE.lastrow)-ROW(PLE.firstrow))),0,
           IF(OFFSET(PLE!$G$15,$M173-$A$15,DM$13)="",10^12,OFFSET(PLE!$G$15,$M173-$A$15,DM$13)))</f>
        <v>1000000000000</v>
      </c>
      <c r="DN173" s="354" t="n">
        <f aca="true">IF(OR($D173&lt;&gt;"Serviço",AND(AUTOEVENTO="Manual",$M173=$A$15),$M173&gt;(ROW(PLE.lastrow)-ROW(PLE.firstrow))),0,
           IF(OFFSET(PLE!$G$15,$M173-$A$15,DN$13)="",10^12,OFFSET(PLE!$G$15,$M173-$A$15,DN$13)))</f>
        <v>1000000000000</v>
      </c>
      <c r="DO173" s="354" t="n">
        <f aca="true">IF(OR($D173&lt;&gt;"Serviço",AND(AUTOEVENTO="Manual",$M173=$A$15),$M173&gt;(ROW(PLE.lastrow)-ROW(PLE.firstrow))),0,
           IF(OFFSET(PLE!$G$15,$M173-$A$15,DO$13)="",10^12,OFFSET(PLE!$G$15,$M173-$A$15,DO$13)))</f>
        <v>1000000000000</v>
      </c>
      <c r="DP173" s="354" t="n">
        <f aca="true">IF(OR($D173&lt;&gt;"Serviço",AND(AUTOEVENTO="Manual",$M173=$A$15),$M173&gt;(ROW(PLE.lastrow)-ROW(PLE.firstrow))),0,
           IF(OFFSET(PLE!$G$15,$M173-$A$15,DP$13)="",10^12,OFFSET(PLE!$G$15,$M173-$A$15,DP$13)))</f>
        <v>1000000000000</v>
      </c>
      <c r="DQ173" s="354" t="n">
        <f aca="true">IF(OR($D173&lt;&gt;"Serviço",AND(AUTOEVENTO="Manual",$M173=$A$15),$M173&gt;(ROW(PLE.lastrow)-ROW(PLE.firstrow))),0,
           IF(OFFSET(PLE!$G$15,$M173-$A$15,DQ$13)="",10^12,OFFSET(PLE!$G$15,$M173-$A$15,DQ$13)))</f>
        <v>1000000000000</v>
      </c>
      <c r="DR173" s="354" t="n">
        <f aca="true">IF(OR($D173&lt;&gt;"Serviço",AND(AUTOEVENTO="Manual",$M173=$A$15),$M173&gt;(ROW(PLE.lastrow)-ROW(PLE.firstrow))),0,
           IF(OFFSET(PLE!$G$15,$M173-$A$15,DR$13)="",10^12,OFFSET(PLE!$G$15,$M173-$A$15,DR$13)))</f>
        <v>1000000000000</v>
      </c>
      <c r="DS173" s="354" t="n">
        <f aca="true">IF(OR($D173&lt;&gt;"Serviço",AND(AUTOEVENTO="Manual",$M173=$A$15),$M173&gt;(ROW(PLE.lastrow)-ROW(PLE.firstrow))),0,
           IF(OFFSET(PLE!$G$15,$M173-$A$15,DS$13)="",10^12,OFFSET(PLE!$G$15,$M173-$A$15,DS$13)))</f>
        <v>1000000000000</v>
      </c>
    </row>
    <row r="174" customFormat="false" ht="35.05" hidden="false" customHeight="false" outlineLevel="0" collapsed="false">
      <c r="A174" s="50" t="str">
        <f aca="true">IFERROR(IF(AUTOEVENTO="Manual",IF(K174&lt;&gt;"",MIN(VALUE(LEFT(K174,FIND(".",K174)-1)),COUNTA(EVENTOS.Lista)),0),IF(OR($B174&gt;AUTOEVENTO,$B174="S",$B174=0),SUBSTITUTE(OFFSET($A174,-1,0),IF($D174="Serviço",".",""),""),ROW(A174)-ROW($A$15)&amp;".")),0)</f>
        <v>157</v>
      </c>
      <c r="B174" s="50" t="str">
        <f aca="true">OFFSET(ORÇAMENTO!C$15,ROW(B174)-ROW(B$15),0)</f>
        <v>S</v>
      </c>
      <c r="C174" s="50" t="str">
        <f aca="true">OFFSET(ORÇAMENTO!L$15,ROW(C174)-ROW(C$15),0)</f>
        <v>F</v>
      </c>
      <c r="D174" s="201" t="str">
        <f aca="true">OFFSET(ORÇAMENTO!N$15,ROW(D174)-ROW(D$15),0)</f>
        <v>Serviço</v>
      </c>
      <c r="E174" s="202" t="str">
        <f aca="true">OFFSET(ORÇAMENTO!O$15,ROW(E174)-ROW(E$15),0)</f>
        <v>1.45.2.</v>
      </c>
      <c r="F174" s="341" t="str">
        <f aca="true">OFFSET(ORÇAMENTO!R$15,ROW(F174)-ROW(F$15),0)</f>
        <v>JOELHO 45 GRAUS, PVC, SERIE NORMAL, ESGOTO PREDIAL, DN 50 MM, JUNTA ELÁSTICA, FORNECIDO E INSTALADO EM RAMAL DE DESCARGA OU RAMAL DE ESGOTO SANITÁRIO. AF_08/2022</v>
      </c>
      <c r="G174" s="342" t="str">
        <f aca="true">IF($D174&lt;&gt;"Serviço","",OFFSET(ORÇAMENTO!S$15,ROW(G174)-ROW(G$15),0))</f>
        <v>UN</v>
      </c>
      <c r="H174" s="207" t="n">
        <f aca="true">IF($D174&lt;&gt;"Serviço",0,IF(ACOMPANHAMENTO="BM",ROUND(OFFSET(ORÇAMENTO!AJ$15,ROW(H174)-ROW(H$15),0),15-13*ORÇAMENTO!$AF$7),SUMPRODUCT(($Q$1:$AQ$1=1)*ROUND($Q174:$AQ174,15-13*ORÇAMENTO!$AF$7))))</f>
        <v>50</v>
      </c>
      <c r="I174" s="343" t="s">
        <v>972</v>
      </c>
      <c r="J174" s="344" t="e">
        <f aca="false">IF(OR(B174&lt;&gt;"S",CÁLCULO.FrentesPreenchidas=0),"",IF(AND(ACOMPANHAMENTO="PLE",AUTOEVENTO="Manual",OR(H174&gt;0,ORÇAMENTO!AC174="QUANT."),OR(K174="",M174=0,N174="")),"►",IF(AND(ACOMPANHAMENTO="PLE",ORÇAMENTO!AC174="QUANT."),"►►",IF(AND(COUNTIF($P$11:$AQ$11,"▼")=0,H174&gt;0,I174=""),"◄",""))))</f>
        <v>#NAME?</v>
      </c>
      <c r="K174" s="345"/>
      <c r="L174" s="346" t="s">
        <v>876</v>
      </c>
      <c r="M174" s="347" t="n">
        <f aca="true">IF($D174&lt;&gt;"Serviço","",
          IF(AUTOEVENTO="manual",$A174,
                IF(ISERROR(MATCH($A174,$A$15:OFFSET($A174,-1,0),0)),MAX($M$15:OFFSET(M174,-1,0))+1,
                      INDEX($M$15:OFFSET(M174,-1,0),MATCH($A174,$A$15:OFFSET($A174,-1,0),0)))))</f>
        <v>28</v>
      </c>
      <c r="N174" s="348" t="str">
        <f aca="true">IF($D174&lt;&gt;"Serviço","",
         IF(AUTOEVENTO="Manual",
                IF($A174=0,"&lt;-- defina o número do agrupador",
                       OFFSET(EVENTOS!$D$15,$A174-$A$15,0)),
                OFFSET($F$15,$A174,0)))</f>
        <v>TUBULAÇÕES E CONEXÕES</v>
      </c>
      <c r="O174" s="349"/>
      <c r="Q174" s="349" t="n">
        <v>2</v>
      </c>
      <c r="R174" s="350" t="n">
        <v>2</v>
      </c>
      <c r="S174" s="350" t="n">
        <v>2</v>
      </c>
      <c r="T174" s="350" t="n">
        <v>2</v>
      </c>
      <c r="U174" s="350" t="n">
        <v>2</v>
      </c>
      <c r="V174" s="350" t="n">
        <v>2</v>
      </c>
      <c r="W174" s="350" t="n">
        <v>2</v>
      </c>
      <c r="X174" s="350" t="n">
        <v>2</v>
      </c>
      <c r="Y174" s="350" t="n">
        <v>2</v>
      </c>
      <c r="Z174" s="351" t="n">
        <v>2</v>
      </c>
      <c r="AA174" s="350" t="n">
        <v>2</v>
      </c>
      <c r="AB174" s="350" t="n">
        <v>2</v>
      </c>
      <c r="AC174" s="350" t="n">
        <v>2</v>
      </c>
      <c r="AD174" s="350" t="n">
        <v>2</v>
      </c>
      <c r="AE174" s="350" t="n">
        <v>2</v>
      </c>
      <c r="AF174" s="350" t="n">
        <v>2</v>
      </c>
      <c r="AG174" s="350" t="n">
        <v>2</v>
      </c>
      <c r="AH174" s="351" t="n">
        <v>2</v>
      </c>
      <c r="AI174" s="350" t="n">
        <v>2</v>
      </c>
      <c r="AJ174" s="350" t="n">
        <v>2</v>
      </c>
      <c r="AK174" s="350" t="n">
        <v>2</v>
      </c>
      <c r="AL174" s="350" t="n">
        <v>2</v>
      </c>
      <c r="AM174" s="350" t="n">
        <v>2</v>
      </c>
      <c r="AN174" s="350" t="n">
        <v>2</v>
      </c>
      <c r="AO174" s="350" t="n">
        <v>2</v>
      </c>
      <c r="AP174" s="351"/>
      <c r="AR174" s="352" t="n">
        <f aca="true">IF(AND($D174="Serviço",AR$12&lt;&gt;0,$H174&gt;0,OR(AUTOEVENTO&lt;&gt;"manual",$M174&lt;&gt;$A$15)),
        IF(Import.TipoArredondamento&lt;&gt;"TransfereGOV",
              ROUND(OFFSET($P174,0,AR$13),15-13*ORÇAMENTO!$AF$7)/$H174*OFFSET(ORÇAMENTO!$X$15,ROW(AR174)-ROW(AR$15),0),
              ROUND(ROUND(OFFSET($P174,0,AR$13),15-13*ORÇAMENTO!$AF$7)*OFFSET(ORÇAMENTO!$W$15,ROW(AR174)-ROW(AR$15),0),15-13*ORÇAMENTO!$AF$11)),
         0)</f>
        <v>39.46</v>
      </c>
      <c r="AS174" s="352" t="n">
        <f aca="true">IF(AND($D174="Serviço",AS$12&lt;&gt;0,$H174&gt;0,OR(AUTOEVENTO&lt;&gt;"manual",$M174&lt;&gt;$A$15)),
        IF(Import.TipoArredondamento&lt;&gt;"TransfereGOV",
              ROUND(OFFSET($P174,0,AS$13),15-13*ORÇAMENTO!$AF$7)/$H174*OFFSET(ORÇAMENTO!$X$15,ROW(AS174)-ROW(AS$15),0),
              ROUND(ROUND(OFFSET($P174,0,AS$13),15-13*ORÇAMENTO!$AF$7)*OFFSET(ORÇAMENTO!$W$15,ROW(AS174)-ROW(AS$15),0),15-13*ORÇAMENTO!$AF$11)),
         0)</f>
        <v>39.46</v>
      </c>
      <c r="AT174" s="352" t="n">
        <f aca="true">IF(AND($D174="Serviço",AT$12&lt;&gt;0,$H174&gt;0,OR(AUTOEVENTO&lt;&gt;"manual",$M174&lt;&gt;$A$15)),
        IF(Import.TipoArredondamento&lt;&gt;"TransfereGOV",
              ROUND(OFFSET($P174,0,AT$13),15-13*ORÇAMENTO!$AF$7)/$H174*OFFSET(ORÇAMENTO!$X$15,ROW(AT174)-ROW(AT$15),0),
              ROUND(ROUND(OFFSET($P174,0,AT$13),15-13*ORÇAMENTO!$AF$7)*OFFSET(ORÇAMENTO!$W$15,ROW(AT174)-ROW(AT$15),0),15-13*ORÇAMENTO!$AF$11)),
         0)</f>
        <v>39.46</v>
      </c>
      <c r="AU174" s="352" t="n">
        <f aca="true">IF(AND($D174="Serviço",AU$12&lt;&gt;0,$H174&gt;0,OR(AUTOEVENTO&lt;&gt;"manual",$M174&lt;&gt;$A$15)),
        IF(Import.TipoArredondamento&lt;&gt;"TransfereGOV",
              ROUND(OFFSET($P174,0,AU$13),15-13*ORÇAMENTO!$AF$7)/$H174*OFFSET(ORÇAMENTO!$X$15,ROW(AU174)-ROW(AU$15),0),
              ROUND(ROUND(OFFSET($P174,0,AU$13),15-13*ORÇAMENTO!$AF$7)*OFFSET(ORÇAMENTO!$W$15,ROW(AU174)-ROW(AU$15),0),15-13*ORÇAMENTO!$AF$11)),
         0)</f>
        <v>39.46</v>
      </c>
      <c r="AV174" s="352" t="n">
        <f aca="true">IF(AND($D174="Serviço",AV$12&lt;&gt;0,$H174&gt;0,OR(AUTOEVENTO&lt;&gt;"manual",$M174&lt;&gt;$A$15)),
        IF(Import.TipoArredondamento&lt;&gt;"TransfereGOV",
              ROUND(OFFSET($P174,0,AV$13),15-13*ORÇAMENTO!$AF$7)/$H174*OFFSET(ORÇAMENTO!$X$15,ROW(AV174)-ROW(AV$15),0),
              ROUND(ROUND(OFFSET($P174,0,AV$13),15-13*ORÇAMENTO!$AF$7)*OFFSET(ORÇAMENTO!$W$15,ROW(AV174)-ROW(AV$15),0),15-13*ORÇAMENTO!$AF$11)),
         0)</f>
        <v>39.46</v>
      </c>
      <c r="AW174" s="352" t="n">
        <f aca="true">IF(AND($D174="Serviço",AW$12&lt;&gt;0,$H174&gt;0,OR(AUTOEVENTO&lt;&gt;"manual",$M174&lt;&gt;$A$15)),
        IF(Import.TipoArredondamento&lt;&gt;"TransfereGOV",
              ROUND(OFFSET($P174,0,AW$13),15-13*ORÇAMENTO!$AF$7)/$H174*OFFSET(ORÇAMENTO!$X$15,ROW(AW174)-ROW(AW$15),0),
              ROUND(ROUND(OFFSET($P174,0,AW$13),15-13*ORÇAMENTO!$AF$7)*OFFSET(ORÇAMENTO!$W$15,ROW(AW174)-ROW(AW$15),0),15-13*ORÇAMENTO!$AF$11)),
         0)</f>
        <v>39.46</v>
      </c>
      <c r="AX174" s="352" t="n">
        <f aca="true">IF(AND($D174="Serviço",AX$12&lt;&gt;0,$H174&gt;0,OR(AUTOEVENTO&lt;&gt;"manual",$M174&lt;&gt;$A$15)),
        IF(Import.TipoArredondamento&lt;&gt;"TransfereGOV",
              ROUND(OFFSET($P174,0,AX$13),15-13*ORÇAMENTO!$AF$7)/$H174*OFFSET(ORÇAMENTO!$X$15,ROW(AX174)-ROW(AX$15),0),
              ROUND(ROUND(OFFSET($P174,0,AX$13),15-13*ORÇAMENTO!$AF$7)*OFFSET(ORÇAMENTO!$W$15,ROW(AX174)-ROW(AX$15),0),15-13*ORÇAMENTO!$AF$11)),
         0)</f>
        <v>39.46</v>
      </c>
      <c r="AY174" s="352" t="n">
        <f aca="true">IF(AND($D174="Serviço",AY$12&lt;&gt;0,$H174&gt;0,OR(AUTOEVENTO&lt;&gt;"manual",$M174&lt;&gt;$A$15)),
        IF(Import.TipoArredondamento&lt;&gt;"TransfereGOV",
              ROUND(OFFSET($P174,0,AY$13),15-13*ORÇAMENTO!$AF$7)/$H174*OFFSET(ORÇAMENTO!$X$15,ROW(AY174)-ROW(AY$15),0),
              ROUND(ROUND(OFFSET($P174,0,AY$13),15-13*ORÇAMENTO!$AF$7)*OFFSET(ORÇAMENTO!$W$15,ROW(AY174)-ROW(AY$15),0),15-13*ORÇAMENTO!$AF$11)),
         0)</f>
        <v>39.46</v>
      </c>
      <c r="AZ174" s="352" t="n">
        <f aca="true">IF(AND($D174="Serviço",AZ$12&lt;&gt;0,$H174&gt;0,OR(AUTOEVENTO&lt;&gt;"manual",$M174&lt;&gt;$A$15)),
        IF(Import.TipoArredondamento&lt;&gt;"TransfereGOV",
              ROUND(OFFSET($P174,0,AZ$13),15-13*ORÇAMENTO!$AF$7)/$H174*OFFSET(ORÇAMENTO!$X$15,ROW(AZ174)-ROW(AZ$15),0),
              ROUND(ROUND(OFFSET($P174,0,AZ$13),15-13*ORÇAMENTO!$AF$7)*OFFSET(ORÇAMENTO!$W$15,ROW(AZ174)-ROW(AZ$15),0),15-13*ORÇAMENTO!$AF$11)),
         0)</f>
        <v>39.46</v>
      </c>
      <c r="BA174" s="352" t="n">
        <f aca="true">IF(AND($D174="Serviço",BA$12&lt;&gt;0,$H174&gt;0,OR(AUTOEVENTO&lt;&gt;"manual",$M174&lt;&gt;$A$15)),
        IF(Import.TipoArredondamento&lt;&gt;"TransfereGOV",
              ROUND(OFFSET($P174,0,BA$13),15-13*ORÇAMENTO!$AF$7)/$H174*OFFSET(ORÇAMENTO!$X$15,ROW(BA174)-ROW(BA$15),0),
              ROUND(ROUND(OFFSET($P174,0,BA$13),15-13*ORÇAMENTO!$AF$7)*OFFSET(ORÇAMENTO!$W$15,ROW(BA174)-ROW(BA$15),0),15-13*ORÇAMENTO!$AF$11)),
         0)</f>
        <v>39.46</v>
      </c>
      <c r="BB174" s="352" t="n">
        <f aca="true">IF(AND($D174="Serviço",BB$12&lt;&gt;0,$H174&gt;0,OR(AUTOEVENTO&lt;&gt;"manual",$M174&lt;&gt;$A$15)),
        IF(Import.TipoArredondamento&lt;&gt;"TransfereGOV",
              ROUND(OFFSET($P174,0,BB$13),15-13*ORÇAMENTO!$AF$7)/$H174*OFFSET(ORÇAMENTO!$X$15,ROW(BB174)-ROW(BB$15),0),
              ROUND(ROUND(OFFSET($P174,0,BB$13),15-13*ORÇAMENTO!$AF$7)*OFFSET(ORÇAMENTO!$W$15,ROW(BB174)-ROW(BB$15),0),15-13*ORÇAMENTO!$AF$11)),
         0)</f>
        <v>39.46</v>
      </c>
      <c r="BC174" s="352" t="n">
        <f aca="true">IF(AND($D174="Serviço",BC$12&lt;&gt;0,$H174&gt;0,OR(AUTOEVENTO&lt;&gt;"manual",$M174&lt;&gt;$A$15)),
        IF(Import.TipoArredondamento&lt;&gt;"TransfereGOV",
              ROUND(OFFSET($P174,0,BC$13),15-13*ORÇAMENTO!$AF$7)/$H174*OFFSET(ORÇAMENTO!$X$15,ROW(BC174)-ROW(BC$15),0),
              ROUND(ROUND(OFFSET($P174,0,BC$13),15-13*ORÇAMENTO!$AF$7)*OFFSET(ORÇAMENTO!$W$15,ROW(BC174)-ROW(BC$15),0),15-13*ORÇAMENTO!$AF$11)),
         0)</f>
        <v>39.46</v>
      </c>
      <c r="BD174" s="352" t="n">
        <f aca="true">IF(AND($D174="Serviço",BD$12&lt;&gt;0,$H174&gt;0,OR(AUTOEVENTO&lt;&gt;"manual",$M174&lt;&gt;$A$15)),
        IF(Import.TipoArredondamento&lt;&gt;"TransfereGOV",
              ROUND(OFFSET($P174,0,BD$13),15-13*ORÇAMENTO!$AF$7)/$H174*OFFSET(ORÇAMENTO!$X$15,ROW(BD174)-ROW(BD$15),0),
              ROUND(ROUND(OFFSET($P174,0,BD$13),15-13*ORÇAMENTO!$AF$7)*OFFSET(ORÇAMENTO!$W$15,ROW(BD174)-ROW(BD$15),0),15-13*ORÇAMENTO!$AF$11)),
         0)</f>
        <v>39.46</v>
      </c>
      <c r="BE174" s="352" t="n">
        <f aca="true">IF(AND($D174="Serviço",BE$12&lt;&gt;0,$H174&gt;0,OR(AUTOEVENTO&lt;&gt;"manual",$M174&lt;&gt;$A$15)),
        IF(Import.TipoArredondamento&lt;&gt;"TransfereGOV",
              ROUND(OFFSET($P174,0,BE$13),15-13*ORÇAMENTO!$AF$7)/$H174*OFFSET(ORÇAMENTO!$X$15,ROW(BE174)-ROW(BE$15),0),
              ROUND(ROUND(OFFSET($P174,0,BE$13),15-13*ORÇAMENTO!$AF$7)*OFFSET(ORÇAMENTO!$W$15,ROW(BE174)-ROW(BE$15),0),15-13*ORÇAMENTO!$AF$11)),
         0)</f>
        <v>39.46</v>
      </c>
      <c r="BF174" s="352" t="n">
        <f aca="true">IF(AND($D174="Serviço",BF$12&lt;&gt;0,$H174&gt;0,OR(AUTOEVENTO&lt;&gt;"manual",$M174&lt;&gt;$A$15)),
        IF(Import.TipoArredondamento&lt;&gt;"TransfereGOV",
              ROUND(OFFSET($P174,0,BF$13),15-13*ORÇAMENTO!$AF$7)/$H174*OFFSET(ORÇAMENTO!$X$15,ROW(BF174)-ROW(BF$15),0),
              ROUND(ROUND(OFFSET($P174,0,BF$13),15-13*ORÇAMENTO!$AF$7)*OFFSET(ORÇAMENTO!$W$15,ROW(BF174)-ROW(BF$15),0),15-13*ORÇAMENTO!$AF$11)),
         0)</f>
        <v>39.46</v>
      </c>
      <c r="BG174" s="352" t="n">
        <f aca="true">IF(AND($D174="Serviço",BG$12&lt;&gt;0,$H174&gt;0,OR(AUTOEVENTO&lt;&gt;"manual",$M174&lt;&gt;$A$15)),
        IF(Import.TipoArredondamento&lt;&gt;"TransfereGOV",
              ROUND(OFFSET($P174,0,BG$13),15-13*ORÇAMENTO!$AF$7)/$H174*OFFSET(ORÇAMENTO!$X$15,ROW(BG174)-ROW(BG$15),0),
              ROUND(ROUND(OFFSET($P174,0,BG$13),15-13*ORÇAMENTO!$AF$7)*OFFSET(ORÇAMENTO!$W$15,ROW(BG174)-ROW(BG$15),0),15-13*ORÇAMENTO!$AF$11)),
         0)</f>
        <v>39.46</v>
      </c>
      <c r="BH174" s="352" t="n">
        <f aca="true">IF(AND($D174="Serviço",BH$12&lt;&gt;0,$H174&gt;0,OR(AUTOEVENTO&lt;&gt;"manual",$M174&lt;&gt;$A$15)),
        IF(Import.TipoArredondamento&lt;&gt;"TransfereGOV",
              ROUND(OFFSET($P174,0,BH$13),15-13*ORÇAMENTO!$AF$7)/$H174*OFFSET(ORÇAMENTO!$X$15,ROW(BH174)-ROW(BH$15),0),
              ROUND(ROUND(OFFSET($P174,0,BH$13),15-13*ORÇAMENTO!$AF$7)*OFFSET(ORÇAMENTO!$W$15,ROW(BH174)-ROW(BH$15),0),15-13*ORÇAMENTO!$AF$11)),
         0)</f>
        <v>39.46</v>
      </c>
      <c r="BI174" s="352" t="n">
        <f aca="true">IF(AND($D174="Serviço",BI$12&lt;&gt;0,$H174&gt;0,OR(AUTOEVENTO&lt;&gt;"manual",$M174&lt;&gt;$A$15)),
        IF(Import.TipoArredondamento&lt;&gt;"TransfereGOV",
              ROUND(OFFSET($P174,0,BI$13),15-13*ORÇAMENTO!$AF$7)/$H174*OFFSET(ORÇAMENTO!$X$15,ROW(BI174)-ROW(BI$15),0),
              ROUND(ROUND(OFFSET($P174,0,BI$13),15-13*ORÇAMENTO!$AF$7)*OFFSET(ORÇAMENTO!$W$15,ROW(BI174)-ROW(BI$15),0),15-13*ORÇAMENTO!$AF$11)),
         0)</f>
        <v>39.46</v>
      </c>
      <c r="BJ174" s="352" t="n">
        <f aca="true">IF(AND($D174="Serviço",BJ$12&lt;&gt;0,$H174&gt;0,OR(AUTOEVENTO&lt;&gt;"manual",$M174&lt;&gt;$A$15)),
        IF(Import.TipoArredondamento&lt;&gt;"TransfereGOV",
              ROUND(OFFSET($P174,0,BJ$13),15-13*ORÇAMENTO!$AF$7)/$H174*OFFSET(ORÇAMENTO!$X$15,ROW(BJ174)-ROW(BJ$15),0),
              ROUND(ROUND(OFFSET($P174,0,BJ$13),15-13*ORÇAMENTO!$AF$7)*OFFSET(ORÇAMENTO!$W$15,ROW(BJ174)-ROW(BJ$15),0),15-13*ORÇAMENTO!$AF$11)),
         0)</f>
        <v>39.46</v>
      </c>
      <c r="BK174" s="352" t="n">
        <f aca="true">IF(AND($D174="Serviço",BK$12&lt;&gt;0,$H174&gt;0,OR(AUTOEVENTO&lt;&gt;"manual",$M174&lt;&gt;$A$15)),
        IF(Import.TipoArredondamento&lt;&gt;"TransfereGOV",
              ROUND(OFFSET($P174,0,BK$13),15-13*ORÇAMENTO!$AF$7)/$H174*OFFSET(ORÇAMENTO!$X$15,ROW(BK174)-ROW(BK$15),0),
              ROUND(ROUND(OFFSET($P174,0,BK$13),15-13*ORÇAMENTO!$AF$7)*OFFSET(ORÇAMENTO!$W$15,ROW(BK174)-ROW(BK$15),0),15-13*ORÇAMENTO!$AF$11)),
         0)</f>
        <v>39.46</v>
      </c>
      <c r="BL174" s="352" t="n">
        <f aca="true">IF(AND($D174="Serviço",BL$12&lt;&gt;0,$H174&gt;0,OR(AUTOEVENTO&lt;&gt;"manual",$M174&lt;&gt;$A$15)),
        IF(Import.TipoArredondamento&lt;&gt;"TransfereGOV",
              ROUND(OFFSET($P174,0,BL$13),15-13*ORÇAMENTO!$AF$7)/$H174*OFFSET(ORÇAMENTO!$X$15,ROW(BL174)-ROW(BL$15),0),
              ROUND(ROUND(OFFSET($P174,0,BL$13),15-13*ORÇAMENTO!$AF$7)*OFFSET(ORÇAMENTO!$W$15,ROW(BL174)-ROW(BL$15),0),15-13*ORÇAMENTO!$AF$11)),
         0)</f>
        <v>39.46</v>
      </c>
      <c r="BM174" s="352" t="n">
        <f aca="true">IF(AND($D174="Serviço",BM$12&lt;&gt;0,$H174&gt;0,OR(AUTOEVENTO&lt;&gt;"manual",$M174&lt;&gt;$A$15)),
        IF(Import.TipoArredondamento&lt;&gt;"TransfereGOV",
              ROUND(OFFSET($P174,0,BM$13),15-13*ORÇAMENTO!$AF$7)/$H174*OFFSET(ORÇAMENTO!$X$15,ROW(BM174)-ROW(BM$15),0),
              ROUND(ROUND(OFFSET($P174,0,BM$13),15-13*ORÇAMENTO!$AF$7)*OFFSET(ORÇAMENTO!$W$15,ROW(BM174)-ROW(BM$15),0),15-13*ORÇAMENTO!$AF$11)),
         0)</f>
        <v>39.46</v>
      </c>
      <c r="BN174" s="352" t="n">
        <f aca="true">IF(AND($D174="Serviço",BN$12&lt;&gt;0,$H174&gt;0,OR(AUTOEVENTO&lt;&gt;"manual",$M174&lt;&gt;$A$15)),
        IF(Import.TipoArredondamento&lt;&gt;"TransfereGOV",
              ROUND(OFFSET($P174,0,BN$13),15-13*ORÇAMENTO!$AF$7)/$H174*OFFSET(ORÇAMENTO!$X$15,ROW(BN174)-ROW(BN$15),0),
              ROUND(ROUND(OFFSET($P174,0,BN$13),15-13*ORÇAMENTO!$AF$7)*OFFSET(ORÇAMENTO!$W$15,ROW(BN174)-ROW(BN$15),0),15-13*ORÇAMENTO!$AF$11)),
         0)</f>
        <v>39.46</v>
      </c>
      <c r="BO174" s="352" t="n">
        <f aca="true">IF(AND($D174="Serviço",BO$12&lt;&gt;0,$H174&gt;0,OR(AUTOEVENTO&lt;&gt;"manual",$M174&lt;&gt;$A$15)),
        IF(Import.TipoArredondamento&lt;&gt;"TransfereGOV",
              ROUND(OFFSET($P174,0,BO$13),15-13*ORÇAMENTO!$AF$7)/$H174*OFFSET(ORÇAMENTO!$X$15,ROW(BO174)-ROW(BO$15),0),
              ROUND(ROUND(OFFSET($P174,0,BO$13),15-13*ORÇAMENTO!$AF$7)*OFFSET(ORÇAMENTO!$W$15,ROW(BO174)-ROW(BO$15),0),15-13*ORÇAMENTO!$AF$11)),
         0)</f>
        <v>39.46</v>
      </c>
      <c r="BP174" s="352" t="n">
        <f aca="true">IF(AND($D174="Serviço",BP$12&lt;&gt;0,$H174&gt;0,OR(AUTOEVENTO&lt;&gt;"manual",$M174&lt;&gt;$A$15)),
        IF(Import.TipoArredondamento&lt;&gt;"TransfereGOV",
              ROUND(OFFSET($P174,0,BP$13),15-13*ORÇAMENTO!$AF$7)/$H174*OFFSET(ORÇAMENTO!$X$15,ROW(BP174)-ROW(BP$15),0),
              ROUND(ROUND(OFFSET($P174,0,BP$13),15-13*ORÇAMENTO!$AF$7)*OFFSET(ORÇAMENTO!$W$15,ROW(BP174)-ROW(BP$15),0),15-13*ORÇAMENTO!$AF$11)),
         0)</f>
        <v>39.46</v>
      </c>
      <c r="BQ174" s="352" t="n">
        <f aca="true">IF(AND($D174="Serviço",BQ$12&lt;&gt;0,$H174&gt;0,OR(AUTOEVENTO&lt;&gt;"manual",$M174&lt;&gt;$A$15)),
        IF(Import.TipoArredondamento&lt;&gt;"TransfereGOV",
              ROUND(OFFSET($P174,0,BQ$13),15-13*ORÇAMENTO!$AF$7)/$H174*OFFSET(ORÇAMENTO!$X$15,ROW(BQ174)-ROW(BQ$15),0),
              ROUND(ROUND(OFFSET($P174,0,BQ$13),15-13*ORÇAMENTO!$AF$7)*OFFSET(ORÇAMENTO!$W$15,ROW(BQ174)-ROW(BQ$15),0),15-13*ORÇAMENTO!$AF$11)),
         0)</f>
        <v>0</v>
      </c>
      <c r="BS174" s="353" t="n">
        <f aca="true">IF(OR($D174&lt;&gt;"Serviço",AND(AUTOEVENTO="Manual",$M174=$A$15)),0,
         IF(OFFSET(CRONOPLE!$F$15,$M174-$A$15,BS$13)=0,10^12,OFFSET(CRONOPLE!$F$15,$M174-$A$15,BS$13)))</f>
        <v>1</v>
      </c>
      <c r="BT174" s="353" t="n">
        <f aca="true">IF(OR($D174&lt;&gt;"Serviço",AND(AUTOEVENTO="Manual",$M174=$A$15)),0,
         IF(OFFSET(CRONOPLE!$F$15,$M174-$A$15,BT$13)=0,10^12,OFFSET(CRONOPLE!$F$15,$M174-$A$15,BT$13)))</f>
        <v>2</v>
      </c>
      <c r="BU174" s="353" t="n">
        <f aca="true">IF(OR($D174&lt;&gt;"Serviço",AND(AUTOEVENTO="Manual",$M174=$A$15)),0,
         IF(OFFSET(CRONOPLE!$F$15,$M174-$A$15,BU$13)=0,10^12,OFFSET(CRONOPLE!$F$15,$M174-$A$15,BU$13)))</f>
        <v>3</v>
      </c>
      <c r="BV174" s="353" t="n">
        <f aca="true">IF(OR($D174&lt;&gt;"Serviço",AND(AUTOEVENTO="Manual",$M174=$A$15)),0,
         IF(OFFSET(CRONOPLE!$F$15,$M174-$A$15,BV$13)=0,10^12,OFFSET(CRONOPLE!$F$15,$M174-$A$15,BV$13)))</f>
        <v>4</v>
      </c>
      <c r="BW174" s="353" t="n">
        <f aca="true">IF(OR($D174&lt;&gt;"Serviço",AND(AUTOEVENTO="Manual",$M174=$A$15)),0,
         IF(OFFSET(CRONOPLE!$F$15,$M174-$A$15,BW$13)=0,10^12,OFFSET(CRONOPLE!$F$15,$M174-$A$15,BW$13)))</f>
        <v>5</v>
      </c>
      <c r="BX174" s="353" t="n">
        <f aca="true">IF(OR($D174&lt;&gt;"Serviço",AND(AUTOEVENTO="Manual",$M174=$A$15)),0,
         IF(OFFSET(CRONOPLE!$F$15,$M174-$A$15,BX$13)=0,10^12,OFFSET(CRONOPLE!$F$15,$M174-$A$15,BX$13)))</f>
        <v>6</v>
      </c>
      <c r="BY174" s="353" t="n">
        <f aca="true">IF(OR($D174&lt;&gt;"Serviço",AND(AUTOEVENTO="Manual",$M174=$A$15)),0,
         IF(OFFSET(CRONOPLE!$F$15,$M174-$A$15,BY$13)=0,10^12,OFFSET(CRONOPLE!$F$15,$M174-$A$15,BY$13)))</f>
        <v>7</v>
      </c>
      <c r="BZ174" s="353" t="n">
        <f aca="true">IF(OR($D174&lt;&gt;"Serviço",AND(AUTOEVENTO="Manual",$M174=$A$15)),0,
         IF(OFFSET(CRONOPLE!$F$15,$M174-$A$15,BZ$13)=0,10^12,OFFSET(CRONOPLE!$F$15,$M174-$A$15,BZ$13)))</f>
        <v>8</v>
      </c>
      <c r="CA174" s="353" t="n">
        <f aca="true">IF(OR($D174&lt;&gt;"Serviço",AND(AUTOEVENTO="Manual",$M174=$A$15)),0,
         IF(OFFSET(CRONOPLE!$F$15,$M174-$A$15,CA$13)=0,10^12,OFFSET(CRONOPLE!$F$15,$M174-$A$15,CA$13)))</f>
        <v>9</v>
      </c>
      <c r="CB174" s="353" t="n">
        <f aca="true">IF(OR($D174&lt;&gt;"Serviço",AND(AUTOEVENTO="Manual",$M174=$A$15)),0,
         IF(OFFSET(CRONOPLE!$F$15,$M174-$A$15,CB$13)=0,10^12,OFFSET(CRONOPLE!$F$15,$M174-$A$15,CB$13)))</f>
        <v>10</v>
      </c>
      <c r="CC174" s="353" t="n">
        <f aca="true">IF(OR($D174&lt;&gt;"Serviço",AND(AUTOEVENTO="Manual",$M174=$A$15)),0,
         IF(OFFSET(CRONOPLE!$F$15,$M174-$A$15,CC$13)=0,10^12,OFFSET(CRONOPLE!$F$15,$M174-$A$15,CC$13)))</f>
        <v>11</v>
      </c>
      <c r="CD174" s="353" t="n">
        <f aca="true">IF(OR($D174&lt;&gt;"Serviço",AND(AUTOEVENTO="Manual",$M174=$A$15)),0,
         IF(OFFSET(CRONOPLE!$F$15,$M174-$A$15,CD$13)=0,10^12,OFFSET(CRONOPLE!$F$15,$M174-$A$15,CD$13)))</f>
        <v>12</v>
      </c>
      <c r="CE174" s="353" t="n">
        <f aca="true">IF(OR($D174&lt;&gt;"Serviço",AND(AUTOEVENTO="Manual",$M174=$A$15)),0,
         IF(OFFSET(CRONOPLE!$F$15,$M174-$A$15,CE$13)=0,10^12,OFFSET(CRONOPLE!$F$15,$M174-$A$15,CE$13)))</f>
        <v>13</v>
      </c>
      <c r="CF174" s="353" t="n">
        <f aca="true">IF(OR($D174&lt;&gt;"Serviço",AND(AUTOEVENTO="Manual",$M174=$A$15)),0,
         IF(OFFSET(CRONOPLE!$F$15,$M174-$A$15,CF$13)=0,10^12,OFFSET(CRONOPLE!$F$15,$M174-$A$15,CF$13)))</f>
        <v>14</v>
      </c>
      <c r="CG174" s="353" t="n">
        <f aca="true">IF(OR($D174&lt;&gt;"Serviço",AND(AUTOEVENTO="Manual",$M174=$A$15)),0,
         IF(OFFSET(CRONOPLE!$F$15,$M174-$A$15,CG$13)=0,10^12,OFFSET(CRONOPLE!$F$15,$M174-$A$15,CG$13)))</f>
        <v>15</v>
      </c>
      <c r="CH174" s="353" t="n">
        <f aca="true">IF(OR($D174&lt;&gt;"Serviço",AND(AUTOEVENTO="Manual",$M174=$A$15)),0,
         IF(OFFSET(CRONOPLE!$F$15,$M174-$A$15,CH$13)=0,10^12,OFFSET(CRONOPLE!$F$15,$M174-$A$15,CH$13)))</f>
        <v>16</v>
      </c>
      <c r="CI174" s="353" t="n">
        <f aca="true">IF(OR($D174&lt;&gt;"Serviço",AND(AUTOEVENTO="Manual",$M174=$A$15)),0,
         IF(OFFSET(CRONOPLE!$F$15,$M174-$A$15,CI$13)=0,10^12,OFFSET(CRONOPLE!$F$15,$M174-$A$15,CI$13)))</f>
        <v>17</v>
      </c>
      <c r="CJ174" s="353" t="n">
        <f aca="true">IF(OR($D174&lt;&gt;"Serviço",AND(AUTOEVENTO="Manual",$M174=$A$15)),0,
         IF(OFFSET(CRONOPLE!$F$15,$M174-$A$15,CJ$13)=0,10^12,OFFSET(CRONOPLE!$F$15,$M174-$A$15,CJ$13)))</f>
        <v>18</v>
      </c>
      <c r="CK174" s="353" t="n">
        <f aca="true">IF(OR($D174&lt;&gt;"Serviço",AND(AUTOEVENTO="Manual",$M174=$A$15)),0,
         IF(OFFSET(CRONOPLE!$F$15,$M174-$A$15,CK$13)=0,10^12,OFFSET(CRONOPLE!$F$15,$M174-$A$15,CK$13)))</f>
        <v>19</v>
      </c>
      <c r="CL174" s="353" t="n">
        <f aca="true">IF(OR($D174&lt;&gt;"Serviço",AND(AUTOEVENTO="Manual",$M174=$A$15)),0,
         IF(OFFSET(CRONOPLE!$F$15,$M174-$A$15,CL$13)=0,10^12,OFFSET(CRONOPLE!$F$15,$M174-$A$15,CL$13)))</f>
        <v>20</v>
      </c>
      <c r="CM174" s="353" t="n">
        <f aca="true">IF(OR($D174&lt;&gt;"Serviço",AND(AUTOEVENTO="Manual",$M174=$A$15)),0,
         IF(OFFSET(CRONOPLE!$F$15,$M174-$A$15,CM$13)=0,10^12,OFFSET(CRONOPLE!$F$15,$M174-$A$15,CM$13)))</f>
        <v>21</v>
      </c>
      <c r="CN174" s="353" t="n">
        <f aca="true">IF(OR($D174&lt;&gt;"Serviço",AND(AUTOEVENTO="Manual",$M174=$A$15)),0,
         IF(OFFSET(CRONOPLE!$F$15,$M174-$A$15,CN$13)=0,10^12,OFFSET(CRONOPLE!$F$15,$M174-$A$15,CN$13)))</f>
        <v>22</v>
      </c>
      <c r="CO174" s="353" t="n">
        <f aca="true">IF(OR($D174&lt;&gt;"Serviço",AND(AUTOEVENTO="Manual",$M174=$A$15)),0,
         IF(OFFSET(CRONOPLE!$F$15,$M174-$A$15,CO$13)=0,10^12,OFFSET(CRONOPLE!$F$15,$M174-$A$15,CO$13)))</f>
        <v>23</v>
      </c>
      <c r="CP174" s="353" t="n">
        <f aca="true">IF(OR($D174&lt;&gt;"Serviço",AND(AUTOEVENTO="Manual",$M174=$A$15)),0,
         IF(OFFSET(CRONOPLE!$F$15,$M174-$A$15,CP$13)=0,10^12,OFFSET(CRONOPLE!$F$15,$M174-$A$15,CP$13)))</f>
        <v>24</v>
      </c>
      <c r="CQ174" s="353" t="n">
        <f aca="true">IF(OR($D174&lt;&gt;"Serviço",AND(AUTOEVENTO="Manual",$M174=$A$15)),0,
         IF(OFFSET(CRONOPLE!$F$15,$M174-$A$15,CQ$13)=0,10^12,OFFSET(CRONOPLE!$F$15,$M174-$A$15,CQ$13)))</f>
        <v>25</v>
      </c>
      <c r="CR174" s="353" t="n">
        <f aca="true">IF(OR($D174&lt;&gt;"Serviço",AND(AUTOEVENTO="Manual",$M174=$A$15)),0,
         IF(OFFSET(CRONOPLE!$F$15,$M174-$A$15,CR$13)=0,10^12,OFFSET(CRONOPLE!$F$15,$M174-$A$15,CR$13)))</f>
        <v>1000000000000</v>
      </c>
      <c r="CT174" s="354" t="n">
        <f aca="true">IF(OR($D174&lt;&gt;"Serviço",AND(AUTOEVENTO="Manual",$M174=$A$15),$M174&gt;(ROW(PLE.lastrow)-ROW(PLE.firstrow))),0,
           IF(OFFSET(PLE!$G$15,$M174-$A$15,CT$13)="",10^12,OFFSET(PLE!$G$15,$M174-$A$15,CT$13)))</f>
        <v>1000000000000</v>
      </c>
      <c r="CU174" s="354" t="n">
        <f aca="true">IF(OR($D174&lt;&gt;"Serviço",AND(AUTOEVENTO="Manual",$M174=$A$15),$M174&gt;(ROW(PLE.lastrow)-ROW(PLE.firstrow))),0,
           IF(OFFSET(PLE!$G$15,$M174-$A$15,CU$13)="",10^12,OFFSET(PLE!$G$15,$M174-$A$15,CU$13)))</f>
        <v>1000000000000</v>
      </c>
      <c r="CV174" s="354" t="n">
        <f aca="true">IF(OR($D174&lt;&gt;"Serviço",AND(AUTOEVENTO="Manual",$M174=$A$15),$M174&gt;(ROW(PLE.lastrow)-ROW(PLE.firstrow))),0,
           IF(OFFSET(PLE!$G$15,$M174-$A$15,CV$13)="",10^12,OFFSET(PLE!$G$15,$M174-$A$15,CV$13)))</f>
        <v>1000000000000</v>
      </c>
      <c r="CW174" s="354" t="n">
        <f aca="true">IF(OR($D174&lt;&gt;"Serviço",AND(AUTOEVENTO="Manual",$M174=$A$15),$M174&gt;(ROW(PLE.lastrow)-ROW(PLE.firstrow))),0,
           IF(OFFSET(PLE!$G$15,$M174-$A$15,CW$13)="",10^12,OFFSET(PLE!$G$15,$M174-$A$15,CW$13)))</f>
        <v>1000000000000</v>
      </c>
      <c r="CX174" s="354" t="n">
        <f aca="true">IF(OR($D174&lt;&gt;"Serviço",AND(AUTOEVENTO="Manual",$M174=$A$15),$M174&gt;(ROW(PLE.lastrow)-ROW(PLE.firstrow))),0,
           IF(OFFSET(PLE!$G$15,$M174-$A$15,CX$13)="",10^12,OFFSET(PLE!$G$15,$M174-$A$15,CX$13)))</f>
        <v>1000000000000</v>
      </c>
      <c r="CY174" s="354" t="n">
        <f aca="true">IF(OR($D174&lt;&gt;"Serviço",AND(AUTOEVENTO="Manual",$M174=$A$15),$M174&gt;(ROW(PLE.lastrow)-ROW(PLE.firstrow))),0,
           IF(OFFSET(PLE!$G$15,$M174-$A$15,CY$13)="",10^12,OFFSET(PLE!$G$15,$M174-$A$15,CY$13)))</f>
        <v>1000000000000</v>
      </c>
      <c r="CZ174" s="354" t="n">
        <f aca="true">IF(OR($D174&lt;&gt;"Serviço",AND(AUTOEVENTO="Manual",$M174=$A$15),$M174&gt;(ROW(PLE.lastrow)-ROW(PLE.firstrow))),0,
           IF(OFFSET(PLE!$G$15,$M174-$A$15,CZ$13)="",10^12,OFFSET(PLE!$G$15,$M174-$A$15,CZ$13)))</f>
        <v>1000000000000</v>
      </c>
      <c r="DA174" s="354" t="n">
        <f aca="true">IF(OR($D174&lt;&gt;"Serviço",AND(AUTOEVENTO="Manual",$M174=$A$15),$M174&gt;(ROW(PLE.lastrow)-ROW(PLE.firstrow))),0,
           IF(OFFSET(PLE!$G$15,$M174-$A$15,DA$13)="",10^12,OFFSET(PLE!$G$15,$M174-$A$15,DA$13)))</f>
        <v>1000000000000</v>
      </c>
      <c r="DB174" s="354" t="n">
        <f aca="true">IF(OR($D174&lt;&gt;"Serviço",AND(AUTOEVENTO="Manual",$M174=$A$15),$M174&gt;(ROW(PLE.lastrow)-ROW(PLE.firstrow))),0,
           IF(OFFSET(PLE!$G$15,$M174-$A$15,DB$13)="",10^12,OFFSET(PLE!$G$15,$M174-$A$15,DB$13)))</f>
        <v>1000000000000</v>
      </c>
      <c r="DC174" s="354" t="n">
        <f aca="true">IF(OR($D174&lt;&gt;"Serviço",AND(AUTOEVENTO="Manual",$M174=$A$15),$M174&gt;(ROW(PLE.lastrow)-ROW(PLE.firstrow))),0,
           IF(OFFSET(PLE!$G$15,$M174-$A$15,DC$13)="",10^12,OFFSET(PLE!$G$15,$M174-$A$15,DC$13)))</f>
        <v>1000000000000</v>
      </c>
      <c r="DD174" s="354" t="n">
        <f aca="true">IF(OR($D174&lt;&gt;"Serviço",AND(AUTOEVENTO="Manual",$M174=$A$15),$M174&gt;(ROW(PLE.lastrow)-ROW(PLE.firstrow))),0,
           IF(OFFSET(PLE!$G$15,$M174-$A$15,DD$13)="",10^12,OFFSET(PLE!$G$15,$M174-$A$15,DD$13)))</f>
        <v>1000000000000</v>
      </c>
      <c r="DE174" s="354" t="n">
        <f aca="true">IF(OR($D174&lt;&gt;"Serviço",AND(AUTOEVENTO="Manual",$M174=$A$15),$M174&gt;(ROW(PLE.lastrow)-ROW(PLE.firstrow))),0,
           IF(OFFSET(PLE!$G$15,$M174-$A$15,DE$13)="",10^12,OFFSET(PLE!$G$15,$M174-$A$15,DE$13)))</f>
        <v>1000000000000</v>
      </c>
      <c r="DF174" s="354" t="n">
        <f aca="true">IF(OR($D174&lt;&gt;"Serviço",AND(AUTOEVENTO="Manual",$M174=$A$15),$M174&gt;(ROW(PLE.lastrow)-ROW(PLE.firstrow))),0,
           IF(OFFSET(PLE!$G$15,$M174-$A$15,DF$13)="",10^12,OFFSET(PLE!$G$15,$M174-$A$15,DF$13)))</f>
        <v>1000000000000</v>
      </c>
      <c r="DG174" s="354" t="n">
        <f aca="true">IF(OR($D174&lt;&gt;"Serviço",AND(AUTOEVENTO="Manual",$M174=$A$15),$M174&gt;(ROW(PLE.lastrow)-ROW(PLE.firstrow))),0,
           IF(OFFSET(PLE!$G$15,$M174-$A$15,DG$13)="",10^12,OFFSET(PLE!$G$15,$M174-$A$15,DG$13)))</f>
        <v>1000000000000</v>
      </c>
      <c r="DH174" s="354" t="n">
        <f aca="true">IF(OR($D174&lt;&gt;"Serviço",AND(AUTOEVENTO="Manual",$M174=$A$15),$M174&gt;(ROW(PLE.lastrow)-ROW(PLE.firstrow))),0,
           IF(OFFSET(PLE!$G$15,$M174-$A$15,DH$13)="",10^12,OFFSET(PLE!$G$15,$M174-$A$15,DH$13)))</f>
        <v>1000000000000</v>
      </c>
      <c r="DI174" s="354" t="n">
        <f aca="true">IF(OR($D174&lt;&gt;"Serviço",AND(AUTOEVENTO="Manual",$M174=$A$15),$M174&gt;(ROW(PLE.lastrow)-ROW(PLE.firstrow))),0,
           IF(OFFSET(PLE!$G$15,$M174-$A$15,DI$13)="",10^12,OFFSET(PLE!$G$15,$M174-$A$15,DI$13)))</f>
        <v>1000000000000</v>
      </c>
      <c r="DJ174" s="354" t="n">
        <f aca="true">IF(OR($D174&lt;&gt;"Serviço",AND(AUTOEVENTO="Manual",$M174=$A$15),$M174&gt;(ROW(PLE.lastrow)-ROW(PLE.firstrow))),0,
           IF(OFFSET(PLE!$G$15,$M174-$A$15,DJ$13)="",10^12,OFFSET(PLE!$G$15,$M174-$A$15,DJ$13)))</f>
        <v>1000000000000</v>
      </c>
      <c r="DK174" s="354" t="n">
        <f aca="true">IF(OR($D174&lt;&gt;"Serviço",AND(AUTOEVENTO="Manual",$M174=$A$15),$M174&gt;(ROW(PLE.lastrow)-ROW(PLE.firstrow))),0,
           IF(OFFSET(PLE!$G$15,$M174-$A$15,DK$13)="",10^12,OFFSET(PLE!$G$15,$M174-$A$15,DK$13)))</f>
        <v>1000000000000</v>
      </c>
      <c r="DL174" s="354" t="n">
        <f aca="true">IF(OR($D174&lt;&gt;"Serviço",AND(AUTOEVENTO="Manual",$M174=$A$15),$M174&gt;(ROW(PLE.lastrow)-ROW(PLE.firstrow))),0,
           IF(OFFSET(PLE!$G$15,$M174-$A$15,DL$13)="",10^12,OFFSET(PLE!$G$15,$M174-$A$15,DL$13)))</f>
        <v>1000000000000</v>
      </c>
      <c r="DM174" s="354" t="n">
        <f aca="true">IF(OR($D174&lt;&gt;"Serviço",AND(AUTOEVENTO="Manual",$M174=$A$15),$M174&gt;(ROW(PLE.lastrow)-ROW(PLE.firstrow))),0,
           IF(OFFSET(PLE!$G$15,$M174-$A$15,DM$13)="",10^12,OFFSET(PLE!$G$15,$M174-$A$15,DM$13)))</f>
        <v>1000000000000</v>
      </c>
      <c r="DN174" s="354" t="n">
        <f aca="true">IF(OR($D174&lt;&gt;"Serviço",AND(AUTOEVENTO="Manual",$M174=$A$15),$M174&gt;(ROW(PLE.lastrow)-ROW(PLE.firstrow))),0,
           IF(OFFSET(PLE!$G$15,$M174-$A$15,DN$13)="",10^12,OFFSET(PLE!$G$15,$M174-$A$15,DN$13)))</f>
        <v>1000000000000</v>
      </c>
      <c r="DO174" s="354" t="n">
        <f aca="true">IF(OR($D174&lt;&gt;"Serviço",AND(AUTOEVENTO="Manual",$M174=$A$15),$M174&gt;(ROW(PLE.lastrow)-ROW(PLE.firstrow))),0,
           IF(OFFSET(PLE!$G$15,$M174-$A$15,DO$13)="",10^12,OFFSET(PLE!$G$15,$M174-$A$15,DO$13)))</f>
        <v>1000000000000</v>
      </c>
      <c r="DP174" s="354" t="n">
        <f aca="true">IF(OR($D174&lt;&gt;"Serviço",AND(AUTOEVENTO="Manual",$M174=$A$15),$M174&gt;(ROW(PLE.lastrow)-ROW(PLE.firstrow))),0,
           IF(OFFSET(PLE!$G$15,$M174-$A$15,DP$13)="",10^12,OFFSET(PLE!$G$15,$M174-$A$15,DP$13)))</f>
        <v>1000000000000</v>
      </c>
      <c r="DQ174" s="354" t="n">
        <f aca="true">IF(OR($D174&lt;&gt;"Serviço",AND(AUTOEVENTO="Manual",$M174=$A$15),$M174&gt;(ROW(PLE.lastrow)-ROW(PLE.firstrow))),0,
           IF(OFFSET(PLE!$G$15,$M174-$A$15,DQ$13)="",10^12,OFFSET(PLE!$G$15,$M174-$A$15,DQ$13)))</f>
        <v>1000000000000</v>
      </c>
      <c r="DR174" s="354" t="n">
        <f aca="true">IF(OR($D174&lt;&gt;"Serviço",AND(AUTOEVENTO="Manual",$M174=$A$15),$M174&gt;(ROW(PLE.lastrow)-ROW(PLE.firstrow))),0,
           IF(OFFSET(PLE!$G$15,$M174-$A$15,DR$13)="",10^12,OFFSET(PLE!$G$15,$M174-$A$15,DR$13)))</f>
        <v>1000000000000</v>
      </c>
      <c r="DS174" s="354" t="n">
        <f aca="true">IF(OR($D174&lt;&gt;"Serviço",AND(AUTOEVENTO="Manual",$M174=$A$15),$M174&gt;(ROW(PLE.lastrow)-ROW(PLE.firstrow))),0,
           IF(OFFSET(PLE!$G$15,$M174-$A$15,DS$13)="",10^12,OFFSET(PLE!$G$15,$M174-$A$15,DS$13)))</f>
        <v>1000000000000</v>
      </c>
    </row>
    <row r="175" customFormat="false" ht="35.05" hidden="false" customHeight="false" outlineLevel="0" collapsed="false">
      <c r="A175" s="50" t="str">
        <f aca="true">IFERROR(IF(AUTOEVENTO="Manual",IF(K175&lt;&gt;"",MIN(VALUE(LEFT(K175,FIND(".",K175)-1)),COUNTA(EVENTOS.Lista)),0),IF(OR($B175&gt;AUTOEVENTO,$B175="S",$B175=0),SUBSTITUTE(OFFSET($A175,-1,0),IF($D175="Serviço",".",""),""),ROW(A175)-ROW($A$15)&amp;".")),0)</f>
        <v>157</v>
      </c>
      <c r="B175" s="50" t="str">
        <f aca="true">OFFSET(ORÇAMENTO!C$15,ROW(B175)-ROW(B$15),0)</f>
        <v>S</v>
      </c>
      <c r="C175" s="50" t="str">
        <f aca="true">OFFSET(ORÇAMENTO!L$15,ROW(C175)-ROW(C$15),0)</f>
        <v>F</v>
      </c>
      <c r="D175" s="201" t="str">
        <f aca="true">OFFSET(ORÇAMENTO!N$15,ROW(D175)-ROW(D$15),0)</f>
        <v>Serviço</v>
      </c>
      <c r="E175" s="202" t="str">
        <f aca="true">OFFSET(ORÇAMENTO!O$15,ROW(E175)-ROW(E$15),0)</f>
        <v>1.45.3.</v>
      </c>
      <c r="F175" s="341" t="str">
        <f aca="true">OFFSET(ORÇAMENTO!R$15,ROW(F175)-ROW(F$15),0)</f>
        <v>JOELHO 90 GRAUS, PVC, SERIE NORMAL, ESGOTO PREDIAL, DN 40 MM, JUNTA SOLDÁVEL, FORNECIDO E INSTALADO EM RAMAL DE DESCARGA OU RAMAL DE ESGOTO SANITÁRIO. AF_08/2022</v>
      </c>
      <c r="G175" s="342" t="str">
        <f aca="true">IF($D175&lt;&gt;"Serviço","",OFFSET(ORÇAMENTO!S$15,ROW(G175)-ROW(G$15),0))</f>
        <v>UN</v>
      </c>
      <c r="H175" s="207" t="n">
        <f aca="true">IF($D175&lt;&gt;"Serviço",0,IF(ACOMPANHAMENTO="BM",ROUND(OFFSET(ORÇAMENTO!AJ$15,ROW(H175)-ROW(H$15),0),15-13*ORÇAMENTO!$AF$7),SUMPRODUCT(($Q$1:$AQ$1=1)*ROUND($Q175:$AQ175,15-13*ORÇAMENTO!$AF$7))))</f>
        <v>50</v>
      </c>
      <c r="I175" s="343" t="s">
        <v>972</v>
      </c>
      <c r="J175" s="344" t="e">
        <f aca="false">IF(OR(B175&lt;&gt;"S",CÁLCULO.FrentesPreenchidas=0),"",IF(AND(ACOMPANHAMENTO="PLE",AUTOEVENTO="Manual",OR(H175&gt;0,ORÇAMENTO!AC175="QUANT."),OR(K175="",M175=0,N175="")),"►",IF(AND(ACOMPANHAMENTO="PLE",ORÇAMENTO!AC175="QUANT."),"►►",IF(AND(COUNTIF($P$11:$AQ$11,"▼")=0,H175&gt;0,I175=""),"◄",""))))</f>
        <v>#NAME?</v>
      </c>
      <c r="K175" s="345"/>
      <c r="L175" s="346" t="s">
        <v>876</v>
      </c>
      <c r="M175" s="347" t="n">
        <f aca="true">IF($D175&lt;&gt;"Serviço","",
          IF(AUTOEVENTO="manual",$A175,
                IF(ISERROR(MATCH($A175,$A$15:OFFSET($A175,-1,0),0)),MAX($M$15:OFFSET(M175,-1,0))+1,
                      INDEX($M$15:OFFSET(M175,-1,0),MATCH($A175,$A$15:OFFSET($A175,-1,0),0)))))</f>
        <v>28</v>
      </c>
      <c r="N175" s="348" t="str">
        <f aca="true">IF($D175&lt;&gt;"Serviço","",
         IF(AUTOEVENTO="Manual",
                IF($A175=0,"&lt;-- defina o número do agrupador",
                       OFFSET(EVENTOS!$D$15,$A175-$A$15,0)),
                OFFSET($F$15,$A175,0)))</f>
        <v>TUBULAÇÕES E CONEXÕES</v>
      </c>
      <c r="O175" s="349"/>
      <c r="Q175" s="349" t="n">
        <v>2</v>
      </c>
      <c r="R175" s="350" t="n">
        <v>2</v>
      </c>
      <c r="S175" s="350" t="n">
        <v>2</v>
      </c>
      <c r="T175" s="350" t="n">
        <v>2</v>
      </c>
      <c r="U175" s="350" t="n">
        <v>2</v>
      </c>
      <c r="V175" s="350" t="n">
        <v>2</v>
      </c>
      <c r="W175" s="350" t="n">
        <v>2</v>
      </c>
      <c r="X175" s="350" t="n">
        <v>2</v>
      </c>
      <c r="Y175" s="350" t="n">
        <v>2</v>
      </c>
      <c r="Z175" s="351" t="n">
        <v>2</v>
      </c>
      <c r="AA175" s="350" t="n">
        <v>2</v>
      </c>
      <c r="AB175" s="350" t="n">
        <v>2</v>
      </c>
      <c r="AC175" s="350" t="n">
        <v>2</v>
      </c>
      <c r="AD175" s="350" t="n">
        <v>2</v>
      </c>
      <c r="AE175" s="350" t="n">
        <v>2</v>
      </c>
      <c r="AF175" s="350" t="n">
        <v>2</v>
      </c>
      <c r="AG175" s="350" t="n">
        <v>2</v>
      </c>
      <c r="AH175" s="351" t="n">
        <v>2</v>
      </c>
      <c r="AI175" s="350" t="n">
        <v>2</v>
      </c>
      <c r="AJ175" s="350" t="n">
        <v>2</v>
      </c>
      <c r="AK175" s="350" t="n">
        <v>2</v>
      </c>
      <c r="AL175" s="350" t="n">
        <v>2</v>
      </c>
      <c r="AM175" s="350" t="n">
        <v>2</v>
      </c>
      <c r="AN175" s="350" t="n">
        <v>2</v>
      </c>
      <c r="AO175" s="350" t="n">
        <v>2</v>
      </c>
      <c r="AP175" s="351"/>
      <c r="AR175" s="352" t="n">
        <f aca="true">IF(AND($D175="Serviço",AR$12&lt;&gt;0,$H175&gt;0,OR(AUTOEVENTO&lt;&gt;"manual",$M175&lt;&gt;$A$15)),
        IF(Import.TipoArredondamento&lt;&gt;"TransfereGOV",
              ROUND(OFFSET($P175,0,AR$13),15-13*ORÇAMENTO!$AF$7)/$H175*OFFSET(ORÇAMENTO!$X$15,ROW(AR175)-ROW(AR$15),0),
              ROUND(ROUND(OFFSET($P175,0,AR$13),15-13*ORÇAMENTO!$AF$7)*OFFSET(ORÇAMENTO!$W$15,ROW(AR175)-ROW(AR$15),0),15-13*ORÇAMENTO!$AF$11)),
         0)</f>
        <v>26.34</v>
      </c>
      <c r="AS175" s="352" t="n">
        <f aca="true">IF(AND($D175="Serviço",AS$12&lt;&gt;0,$H175&gt;0,OR(AUTOEVENTO&lt;&gt;"manual",$M175&lt;&gt;$A$15)),
        IF(Import.TipoArredondamento&lt;&gt;"TransfereGOV",
              ROUND(OFFSET($P175,0,AS$13),15-13*ORÇAMENTO!$AF$7)/$H175*OFFSET(ORÇAMENTO!$X$15,ROW(AS175)-ROW(AS$15),0),
              ROUND(ROUND(OFFSET($P175,0,AS$13),15-13*ORÇAMENTO!$AF$7)*OFFSET(ORÇAMENTO!$W$15,ROW(AS175)-ROW(AS$15),0),15-13*ORÇAMENTO!$AF$11)),
         0)</f>
        <v>26.34</v>
      </c>
      <c r="AT175" s="352" t="n">
        <f aca="true">IF(AND($D175="Serviço",AT$12&lt;&gt;0,$H175&gt;0,OR(AUTOEVENTO&lt;&gt;"manual",$M175&lt;&gt;$A$15)),
        IF(Import.TipoArredondamento&lt;&gt;"TransfereGOV",
              ROUND(OFFSET($P175,0,AT$13),15-13*ORÇAMENTO!$AF$7)/$H175*OFFSET(ORÇAMENTO!$X$15,ROW(AT175)-ROW(AT$15),0),
              ROUND(ROUND(OFFSET($P175,0,AT$13),15-13*ORÇAMENTO!$AF$7)*OFFSET(ORÇAMENTO!$W$15,ROW(AT175)-ROW(AT$15),0),15-13*ORÇAMENTO!$AF$11)),
         0)</f>
        <v>26.34</v>
      </c>
      <c r="AU175" s="352" t="n">
        <f aca="true">IF(AND($D175="Serviço",AU$12&lt;&gt;0,$H175&gt;0,OR(AUTOEVENTO&lt;&gt;"manual",$M175&lt;&gt;$A$15)),
        IF(Import.TipoArredondamento&lt;&gt;"TransfereGOV",
              ROUND(OFFSET($P175,0,AU$13),15-13*ORÇAMENTO!$AF$7)/$H175*OFFSET(ORÇAMENTO!$X$15,ROW(AU175)-ROW(AU$15),0),
              ROUND(ROUND(OFFSET($P175,0,AU$13),15-13*ORÇAMENTO!$AF$7)*OFFSET(ORÇAMENTO!$W$15,ROW(AU175)-ROW(AU$15),0),15-13*ORÇAMENTO!$AF$11)),
         0)</f>
        <v>26.34</v>
      </c>
      <c r="AV175" s="352" t="n">
        <f aca="true">IF(AND($D175="Serviço",AV$12&lt;&gt;0,$H175&gt;0,OR(AUTOEVENTO&lt;&gt;"manual",$M175&lt;&gt;$A$15)),
        IF(Import.TipoArredondamento&lt;&gt;"TransfereGOV",
              ROUND(OFFSET($P175,0,AV$13),15-13*ORÇAMENTO!$AF$7)/$H175*OFFSET(ORÇAMENTO!$X$15,ROW(AV175)-ROW(AV$15),0),
              ROUND(ROUND(OFFSET($P175,0,AV$13),15-13*ORÇAMENTO!$AF$7)*OFFSET(ORÇAMENTO!$W$15,ROW(AV175)-ROW(AV$15),0),15-13*ORÇAMENTO!$AF$11)),
         0)</f>
        <v>26.34</v>
      </c>
      <c r="AW175" s="352" t="n">
        <f aca="true">IF(AND($D175="Serviço",AW$12&lt;&gt;0,$H175&gt;0,OR(AUTOEVENTO&lt;&gt;"manual",$M175&lt;&gt;$A$15)),
        IF(Import.TipoArredondamento&lt;&gt;"TransfereGOV",
              ROUND(OFFSET($P175,0,AW$13),15-13*ORÇAMENTO!$AF$7)/$H175*OFFSET(ORÇAMENTO!$X$15,ROW(AW175)-ROW(AW$15),0),
              ROUND(ROUND(OFFSET($P175,0,AW$13),15-13*ORÇAMENTO!$AF$7)*OFFSET(ORÇAMENTO!$W$15,ROW(AW175)-ROW(AW$15),0),15-13*ORÇAMENTO!$AF$11)),
         0)</f>
        <v>26.34</v>
      </c>
      <c r="AX175" s="352" t="n">
        <f aca="true">IF(AND($D175="Serviço",AX$12&lt;&gt;0,$H175&gt;0,OR(AUTOEVENTO&lt;&gt;"manual",$M175&lt;&gt;$A$15)),
        IF(Import.TipoArredondamento&lt;&gt;"TransfereGOV",
              ROUND(OFFSET($P175,0,AX$13),15-13*ORÇAMENTO!$AF$7)/$H175*OFFSET(ORÇAMENTO!$X$15,ROW(AX175)-ROW(AX$15),0),
              ROUND(ROUND(OFFSET($P175,0,AX$13),15-13*ORÇAMENTO!$AF$7)*OFFSET(ORÇAMENTO!$W$15,ROW(AX175)-ROW(AX$15),0),15-13*ORÇAMENTO!$AF$11)),
         0)</f>
        <v>26.34</v>
      </c>
      <c r="AY175" s="352" t="n">
        <f aca="true">IF(AND($D175="Serviço",AY$12&lt;&gt;0,$H175&gt;0,OR(AUTOEVENTO&lt;&gt;"manual",$M175&lt;&gt;$A$15)),
        IF(Import.TipoArredondamento&lt;&gt;"TransfereGOV",
              ROUND(OFFSET($P175,0,AY$13),15-13*ORÇAMENTO!$AF$7)/$H175*OFFSET(ORÇAMENTO!$X$15,ROW(AY175)-ROW(AY$15),0),
              ROUND(ROUND(OFFSET($P175,0,AY$13),15-13*ORÇAMENTO!$AF$7)*OFFSET(ORÇAMENTO!$W$15,ROW(AY175)-ROW(AY$15),0),15-13*ORÇAMENTO!$AF$11)),
         0)</f>
        <v>26.34</v>
      </c>
      <c r="AZ175" s="352" t="n">
        <f aca="true">IF(AND($D175="Serviço",AZ$12&lt;&gt;0,$H175&gt;0,OR(AUTOEVENTO&lt;&gt;"manual",$M175&lt;&gt;$A$15)),
        IF(Import.TipoArredondamento&lt;&gt;"TransfereGOV",
              ROUND(OFFSET($P175,0,AZ$13),15-13*ORÇAMENTO!$AF$7)/$H175*OFFSET(ORÇAMENTO!$X$15,ROW(AZ175)-ROW(AZ$15),0),
              ROUND(ROUND(OFFSET($P175,0,AZ$13),15-13*ORÇAMENTO!$AF$7)*OFFSET(ORÇAMENTO!$W$15,ROW(AZ175)-ROW(AZ$15),0),15-13*ORÇAMENTO!$AF$11)),
         0)</f>
        <v>26.34</v>
      </c>
      <c r="BA175" s="352" t="n">
        <f aca="true">IF(AND($D175="Serviço",BA$12&lt;&gt;0,$H175&gt;0,OR(AUTOEVENTO&lt;&gt;"manual",$M175&lt;&gt;$A$15)),
        IF(Import.TipoArredondamento&lt;&gt;"TransfereGOV",
              ROUND(OFFSET($P175,0,BA$13),15-13*ORÇAMENTO!$AF$7)/$H175*OFFSET(ORÇAMENTO!$X$15,ROW(BA175)-ROW(BA$15),0),
              ROUND(ROUND(OFFSET($P175,0,BA$13),15-13*ORÇAMENTO!$AF$7)*OFFSET(ORÇAMENTO!$W$15,ROW(BA175)-ROW(BA$15),0),15-13*ORÇAMENTO!$AF$11)),
         0)</f>
        <v>26.34</v>
      </c>
      <c r="BB175" s="352" t="n">
        <f aca="true">IF(AND($D175="Serviço",BB$12&lt;&gt;0,$H175&gt;0,OR(AUTOEVENTO&lt;&gt;"manual",$M175&lt;&gt;$A$15)),
        IF(Import.TipoArredondamento&lt;&gt;"TransfereGOV",
              ROUND(OFFSET($P175,0,BB$13),15-13*ORÇAMENTO!$AF$7)/$H175*OFFSET(ORÇAMENTO!$X$15,ROW(BB175)-ROW(BB$15),0),
              ROUND(ROUND(OFFSET($P175,0,BB$13),15-13*ORÇAMENTO!$AF$7)*OFFSET(ORÇAMENTO!$W$15,ROW(BB175)-ROW(BB$15),0),15-13*ORÇAMENTO!$AF$11)),
         0)</f>
        <v>26.34</v>
      </c>
      <c r="BC175" s="352" t="n">
        <f aca="true">IF(AND($D175="Serviço",BC$12&lt;&gt;0,$H175&gt;0,OR(AUTOEVENTO&lt;&gt;"manual",$M175&lt;&gt;$A$15)),
        IF(Import.TipoArredondamento&lt;&gt;"TransfereGOV",
              ROUND(OFFSET($P175,0,BC$13),15-13*ORÇAMENTO!$AF$7)/$H175*OFFSET(ORÇAMENTO!$X$15,ROW(BC175)-ROW(BC$15),0),
              ROUND(ROUND(OFFSET($P175,0,BC$13),15-13*ORÇAMENTO!$AF$7)*OFFSET(ORÇAMENTO!$W$15,ROW(BC175)-ROW(BC$15),0),15-13*ORÇAMENTO!$AF$11)),
         0)</f>
        <v>26.34</v>
      </c>
      <c r="BD175" s="352" t="n">
        <f aca="true">IF(AND($D175="Serviço",BD$12&lt;&gt;0,$H175&gt;0,OR(AUTOEVENTO&lt;&gt;"manual",$M175&lt;&gt;$A$15)),
        IF(Import.TipoArredondamento&lt;&gt;"TransfereGOV",
              ROUND(OFFSET($P175,0,BD$13),15-13*ORÇAMENTO!$AF$7)/$H175*OFFSET(ORÇAMENTO!$X$15,ROW(BD175)-ROW(BD$15),0),
              ROUND(ROUND(OFFSET($P175,0,BD$13),15-13*ORÇAMENTO!$AF$7)*OFFSET(ORÇAMENTO!$W$15,ROW(BD175)-ROW(BD$15),0),15-13*ORÇAMENTO!$AF$11)),
         0)</f>
        <v>26.34</v>
      </c>
      <c r="BE175" s="352" t="n">
        <f aca="true">IF(AND($D175="Serviço",BE$12&lt;&gt;0,$H175&gt;0,OR(AUTOEVENTO&lt;&gt;"manual",$M175&lt;&gt;$A$15)),
        IF(Import.TipoArredondamento&lt;&gt;"TransfereGOV",
              ROUND(OFFSET($P175,0,BE$13),15-13*ORÇAMENTO!$AF$7)/$H175*OFFSET(ORÇAMENTO!$X$15,ROW(BE175)-ROW(BE$15),0),
              ROUND(ROUND(OFFSET($P175,0,BE$13),15-13*ORÇAMENTO!$AF$7)*OFFSET(ORÇAMENTO!$W$15,ROW(BE175)-ROW(BE$15),0),15-13*ORÇAMENTO!$AF$11)),
         0)</f>
        <v>26.34</v>
      </c>
      <c r="BF175" s="352" t="n">
        <f aca="true">IF(AND($D175="Serviço",BF$12&lt;&gt;0,$H175&gt;0,OR(AUTOEVENTO&lt;&gt;"manual",$M175&lt;&gt;$A$15)),
        IF(Import.TipoArredondamento&lt;&gt;"TransfereGOV",
              ROUND(OFFSET($P175,0,BF$13),15-13*ORÇAMENTO!$AF$7)/$H175*OFFSET(ORÇAMENTO!$X$15,ROW(BF175)-ROW(BF$15),0),
              ROUND(ROUND(OFFSET($P175,0,BF$13),15-13*ORÇAMENTO!$AF$7)*OFFSET(ORÇAMENTO!$W$15,ROW(BF175)-ROW(BF$15),0),15-13*ORÇAMENTO!$AF$11)),
         0)</f>
        <v>26.34</v>
      </c>
      <c r="BG175" s="352" t="n">
        <f aca="true">IF(AND($D175="Serviço",BG$12&lt;&gt;0,$H175&gt;0,OR(AUTOEVENTO&lt;&gt;"manual",$M175&lt;&gt;$A$15)),
        IF(Import.TipoArredondamento&lt;&gt;"TransfereGOV",
              ROUND(OFFSET($P175,0,BG$13),15-13*ORÇAMENTO!$AF$7)/$H175*OFFSET(ORÇAMENTO!$X$15,ROW(BG175)-ROW(BG$15),0),
              ROUND(ROUND(OFFSET($P175,0,BG$13),15-13*ORÇAMENTO!$AF$7)*OFFSET(ORÇAMENTO!$W$15,ROW(BG175)-ROW(BG$15),0),15-13*ORÇAMENTO!$AF$11)),
         0)</f>
        <v>26.34</v>
      </c>
      <c r="BH175" s="352" t="n">
        <f aca="true">IF(AND($D175="Serviço",BH$12&lt;&gt;0,$H175&gt;0,OR(AUTOEVENTO&lt;&gt;"manual",$M175&lt;&gt;$A$15)),
        IF(Import.TipoArredondamento&lt;&gt;"TransfereGOV",
              ROUND(OFFSET($P175,0,BH$13),15-13*ORÇAMENTO!$AF$7)/$H175*OFFSET(ORÇAMENTO!$X$15,ROW(BH175)-ROW(BH$15),0),
              ROUND(ROUND(OFFSET($P175,0,BH$13),15-13*ORÇAMENTO!$AF$7)*OFFSET(ORÇAMENTO!$W$15,ROW(BH175)-ROW(BH$15),0),15-13*ORÇAMENTO!$AF$11)),
         0)</f>
        <v>26.34</v>
      </c>
      <c r="BI175" s="352" t="n">
        <f aca="true">IF(AND($D175="Serviço",BI$12&lt;&gt;0,$H175&gt;0,OR(AUTOEVENTO&lt;&gt;"manual",$M175&lt;&gt;$A$15)),
        IF(Import.TipoArredondamento&lt;&gt;"TransfereGOV",
              ROUND(OFFSET($P175,0,BI$13),15-13*ORÇAMENTO!$AF$7)/$H175*OFFSET(ORÇAMENTO!$X$15,ROW(BI175)-ROW(BI$15),0),
              ROUND(ROUND(OFFSET($P175,0,BI$13),15-13*ORÇAMENTO!$AF$7)*OFFSET(ORÇAMENTO!$W$15,ROW(BI175)-ROW(BI$15),0),15-13*ORÇAMENTO!$AF$11)),
         0)</f>
        <v>26.34</v>
      </c>
      <c r="BJ175" s="352" t="n">
        <f aca="true">IF(AND($D175="Serviço",BJ$12&lt;&gt;0,$H175&gt;0,OR(AUTOEVENTO&lt;&gt;"manual",$M175&lt;&gt;$A$15)),
        IF(Import.TipoArredondamento&lt;&gt;"TransfereGOV",
              ROUND(OFFSET($P175,0,BJ$13),15-13*ORÇAMENTO!$AF$7)/$H175*OFFSET(ORÇAMENTO!$X$15,ROW(BJ175)-ROW(BJ$15),0),
              ROUND(ROUND(OFFSET($P175,0,BJ$13),15-13*ORÇAMENTO!$AF$7)*OFFSET(ORÇAMENTO!$W$15,ROW(BJ175)-ROW(BJ$15),0),15-13*ORÇAMENTO!$AF$11)),
         0)</f>
        <v>26.34</v>
      </c>
      <c r="BK175" s="352" t="n">
        <f aca="true">IF(AND($D175="Serviço",BK$12&lt;&gt;0,$H175&gt;0,OR(AUTOEVENTO&lt;&gt;"manual",$M175&lt;&gt;$A$15)),
        IF(Import.TipoArredondamento&lt;&gt;"TransfereGOV",
              ROUND(OFFSET($P175,0,BK$13),15-13*ORÇAMENTO!$AF$7)/$H175*OFFSET(ORÇAMENTO!$X$15,ROW(BK175)-ROW(BK$15),0),
              ROUND(ROUND(OFFSET($P175,0,BK$13),15-13*ORÇAMENTO!$AF$7)*OFFSET(ORÇAMENTO!$W$15,ROW(BK175)-ROW(BK$15),0),15-13*ORÇAMENTO!$AF$11)),
         0)</f>
        <v>26.34</v>
      </c>
      <c r="BL175" s="352" t="n">
        <f aca="true">IF(AND($D175="Serviço",BL$12&lt;&gt;0,$H175&gt;0,OR(AUTOEVENTO&lt;&gt;"manual",$M175&lt;&gt;$A$15)),
        IF(Import.TipoArredondamento&lt;&gt;"TransfereGOV",
              ROUND(OFFSET($P175,0,BL$13),15-13*ORÇAMENTO!$AF$7)/$H175*OFFSET(ORÇAMENTO!$X$15,ROW(BL175)-ROW(BL$15),0),
              ROUND(ROUND(OFFSET($P175,0,BL$13),15-13*ORÇAMENTO!$AF$7)*OFFSET(ORÇAMENTO!$W$15,ROW(BL175)-ROW(BL$15),0),15-13*ORÇAMENTO!$AF$11)),
         0)</f>
        <v>26.34</v>
      </c>
      <c r="BM175" s="352" t="n">
        <f aca="true">IF(AND($D175="Serviço",BM$12&lt;&gt;0,$H175&gt;0,OR(AUTOEVENTO&lt;&gt;"manual",$M175&lt;&gt;$A$15)),
        IF(Import.TipoArredondamento&lt;&gt;"TransfereGOV",
              ROUND(OFFSET($P175,0,BM$13),15-13*ORÇAMENTO!$AF$7)/$H175*OFFSET(ORÇAMENTO!$X$15,ROW(BM175)-ROW(BM$15),0),
              ROUND(ROUND(OFFSET($P175,0,BM$13),15-13*ORÇAMENTO!$AF$7)*OFFSET(ORÇAMENTO!$W$15,ROW(BM175)-ROW(BM$15),0),15-13*ORÇAMENTO!$AF$11)),
         0)</f>
        <v>26.34</v>
      </c>
      <c r="BN175" s="352" t="n">
        <f aca="true">IF(AND($D175="Serviço",BN$12&lt;&gt;0,$H175&gt;0,OR(AUTOEVENTO&lt;&gt;"manual",$M175&lt;&gt;$A$15)),
        IF(Import.TipoArredondamento&lt;&gt;"TransfereGOV",
              ROUND(OFFSET($P175,0,BN$13),15-13*ORÇAMENTO!$AF$7)/$H175*OFFSET(ORÇAMENTO!$X$15,ROW(BN175)-ROW(BN$15),0),
              ROUND(ROUND(OFFSET($P175,0,BN$13),15-13*ORÇAMENTO!$AF$7)*OFFSET(ORÇAMENTO!$W$15,ROW(BN175)-ROW(BN$15),0),15-13*ORÇAMENTO!$AF$11)),
         0)</f>
        <v>26.34</v>
      </c>
      <c r="BO175" s="352" t="n">
        <f aca="true">IF(AND($D175="Serviço",BO$12&lt;&gt;0,$H175&gt;0,OR(AUTOEVENTO&lt;&gt;"manual",$M175&lt;&gt;$A$15)),
        IF(Import.TipoArredondamento&lt;&gt;"TransfereGOV",
              ROUND(OFFSET($P175,0,BO$13),15-13*ORÇAMENTO!$AF$7)/$H175*OFFSET(ORÇAMENTO!$X$15,ROW(BO175)-ROW(BO$15),0),
              ROUND(ROUND(OFFSET($P175,0,BO$13),15-13*ORÇAMENTO!$AF$7)*OFFSET(ORÇAMENTO!$W$15,ROW(BO175)-ROW(BO$15),0),15-13*ORÇAMENTO!$AF$11)),
         0)</f>
        <v>26.34</v>
      </c>
      <c r="BP175" s="352" t="n">
        <f aca="true">IF(AND($D175="Serviço",BP$12&lt;&gt;0,$H175&gt;0,OR(AUTOEVENTO&lt;&gt;"manual",$M175&lt;&gt;$A$15)),
        IF(Import.TipoArredondamento&lt;&gt;"TransfereGOV",
              ROUND(OFFSET($P175,0,BP$13),15-13*ORÇAMENTO!$AF$7)/$H175*OFFSET(ORÇAMENTO!$X$15,ROW(BP175)-ROW(BP$15),0),
              ROUND(ROUND(OFFSET($P175,0,BP$13),15-13*ORÇAMENTO!$AF$7)*OFFSET(ORÇAMENTO!$W$15,ROW(BP175)-ROW(BP$15),0),15-13*ORÇAMENTO!$AF$11)),
         0)</f>
        <v>26.34</v>
      </c>
      <c r="BQ175" s="352" t="n">
        <f aca="true">IF(AND($D175="Serviço",BQ$12&lt;&gt;0,$H175&gt;0,OR(AUTOEVENTO&lt;&gt;"manual",$M175&lt;&gt;$A$15)),
        IF(Import.TipoArredondamento&lt;&gt;"TransfereGOV",
              ROUND(OFFSET($P175,0,BQ$13),15-13*ORÇAMENTO!$AF$7)/$H175*OFFSET(ORÇAMENTO!$X$15,ROW(BQ175)-ROW(BQ$15),0),
              ROUND(ROUND(OFFSET($P175,0,BQ$13),15-13*ORÇAMENTO!$AF$7)*OFFSET(ORÇAMENTO!$W$15,ROW(BQ175)-ROW(BQ$15),0),15-13*ORÇAMENTO!$AF$11)),
         0)</f>
        <v>0</v>
      </c>
      <c r="BS175" s="353" t="n">
        <f aca="true">IF(OR($D175&lt;&gt;"Serviço",AND(AUTOEVENTO="Manual",$M175=$A$15)),0,
         IF(OFFSET(CRONOPLE!$F$15,$M175-$A$15,BS$13)=0,10^12,OFFSET(CRONOPLE!$F$15,$M175-$A$15,BS$13)))</f>
        <v>1</v>
      </c>
      <c r="BT175" s="353" t="n">
        <f aca="true">IF(OR($D175&lt;&gt;"Serviço",AND(AUTOEVENTO="Manual",$M175=$A$15)),0,
         IF(OFFSET(CRONOPLE!$F$15,$M175-$A$15,BT$13)=0,10^12,OFFSET(CRONOPLE!$F$15,$M175-$A$15,BT$13)))</f>
        <v>2</v>
      </c>
      <c r="BU175" s="353" t="n">
        <f aca="true">IF(OR($D175&lt;&gt;"Serviço",AND(AUTOEVENTO="Manual",$M175=$A$15)),0,
         IF(OFFSET(CRONOPLE!$F$15,$M175-$A$15,BU$13)=0,10^12,OFFSET(CRONOPLE!$F$15,$M175-$A$15,BU$13)))</f>
        <v>3</v>
      </c>
      <c r="BV175" s="353" t="n">
        <f aca="true">IF(OR($D175&lt;&gt;"Serviço",AND(AUTOEVENTO="Manual",$M175=$A$15)),0,
         IF(OFFSET(CRONOPLE!$F$15,$M175-$A$15,BV$13)=0,10^12,OFFSET(CRONOPLE!$F$15,$M175-$A$15,BV$13)))</f>
        <v>4</v>
      </c>
      <c r="BW175" s="353" t="n">
        <f aca="true">IF(OR($D175&lt;&gt;"Serviço",AND(AUTOEVENTO="Manual",$M175=$A$15)),0,
         IF(OFFSET(CRONOPLE!$F$15,$M175-$A$15,BW$13)=0,10^12,OFFSET(CRONOPLE!$F$15,$M175-$A$15,BW$13)))</f>
        <v>5</v>
      </c>
      <c r="BX175" s="353" t="n">
        <f aca="true">IF(OR($D175&lt;&gt;"Serviço",AND(AUTOEVENTO="Manual",$M175=$A$15)),0,
         IF(OFFSET(CRONOPLE!$F$15,$M175-$A$15,BX$13)=0,10^12,OFFSET(CRONOPLE!$F$15,$M175-$A$15,BX$13)))</f>
        <v>6</v>
      </c>
      <c r="BY175" s="353" t="n">
        <f aca="true">IF(OR($D175&lt;&gt;"Serviço",AND(AUTOEVENTO="Manual",$M175=$A$15)),0,
         IF(OFFSET(CRONOPLE!$F$15,$M175-$A$15,BY$13)=0,10^12,OFFSET(CRONOPLE!$F$15,$M175-$A$15,BY$13)))</f>
        <v>7</v>
      </c>
      <c r="BZ175" s="353" t="n">
        <f aca="true">IF(OR($D175&lt;&gt;"Serviço",AND(AUTOEVENTO="Manual",$M175=$A$15)),0,
         IF(OFFSET(CRONOPLE!$F$15,$M175-$A$15,BZ$13)=0,10^12,OFFSET(CRONOPLE!$F$15,$M175-$A$15,BZ$13)))</f>
        <v>8</v>
      </c>
      <c r="CA175" s="353" t="n">
        <f aca="true">IF(OR($D175&lt;&gt;"Serviço",AND(AUTOEVENTO="Manual",$M175=$A$15)),0,
         IF(OFFSET(CRONOPLE!$F$15,$M175-$A$15,CA$13)=0,10^12,OFFSET(CRONOPLE!$F$15,$M175-$A$15,CA$13)))</f>
        <v>9</v>
      </c>
      <c r="CB175" s="353" t="n">
        <f aca="true">IF(OR($D175&lt;&gt;"Serviço",AND(AUTOEVENTO="Manual",$M175=$A$15)),0,
         IF(OFFSET(CRONOPLE!$F$15,$M175-$A$15,CB$13)=0,10^12,OFFSET(CRONOPLE!$F$15,$M175-$A$15,CB$13)))</f>
        <v>10</v>
      </c>
      <c r="CC175" s="353" t="n">
        <f aca="true">IF(OR($D175&lt;&gt;"Serviço",AND(AUTOEVENTO="Manual",$M175=$A$15)),0,
         IF(OFFSET(CRONOPLE!$F$15,$M175-$A$15,CC$13)=0,10^12,OFFSET(CRONOPLE!$F$15,$M175-$A$15,CC$13)))</f>
        <v>11</v>
      </c>
      <c r="CD175" s="353" t="n">
        <f aca="true">IF(OR($D175&lt;&gt;"Serviço",AND(AUTOEVENTO="Manual",$M175=$A$15)),0,
         IF(OFFSET(CRONOPLE!$F$15,$M175-$A$15,CD$13)=0,10^12,OFFSET(CRONOPLE!$F$15,$M175-$A$15,CD$13)))</f>
        <v>12</v>
      </c>
      <c r="CE175" s="353" t="n">
        <f aca="true">IF(OR($D175&lt;&gt;"Serviço",AND(AUTOEVENTO="Manual",$M175=$A$15)),0,
         IF(OFFSET(CRONOPLE!$F$15,$M175-$A$15,CE$13)=0,10^12,OFFSET(CRONOPLE!$F$15,$M175-$A$15,CE$13)))</f>
        <v>13</v>
      </c>
      <c r="CF175" s="353" t="n">
        <f aca="true">IF(OR($D175&lt;&gt;"Serviço",AND(AUTOEVENTO="Manual",$M175=$A$15)),0,
         IF(OFFSET(CRONOPLE!$F$15,$M175-$A$15,CF$13)=0,10^12,OFFSET(CRONOPLE!$F$15,$M175-$A$15,CF$13)))</f>
        <v>14</v>
      </c>
      <c r="CG175" s="353" t="n">
        <f aca="true">IF(OR($D175&lt;&gt;"Serviço",AND(AUTOEVENTO="Manual",$M175=$A$15)),0,
         IF(OFFSET(CRONOPLE!$F$15,$M175-$A$15,CG$13)=0,10^12,OFFSET(CRONOPLE!$F$15,$M175-$A$15,CG$13)))</f>
        <v>15</v>
      </c>
      <c r="CH175" s="353" t="n">
        <f aca="true">IF(OR($D175&lt;&gt;"Serviço",AND(AUTOEVENTO="Manual",$M175=$A$15)),0,
         IF(OFFSET(CRONOPLE!$F$15,$M175-$A$15,CH$13)=0,10^12,OFFSET(CRONOPLE!$F$15,$M175-$A$15,CH$13)))</f>
        <v>16</v>
      </c>
      <c r="CI175" s="353" t="n">
        <f aca="true">IF(OR($D175&lt;&gt;"Serviço",AND(AUTOEVENTO="Manual",$M175=$A$15)),0,
         IF(OFFSET(CRONOPLE!$F$15,$M175-$A$15,CI$13)=0,10^12,OFFSET(CRONOPLE!$F$15,$M175-$A$15,CI$13)))</f>
        <v>17</v>
      </c>
      <c r="CJ175" s="353" t="n">
        <f aca="true">IF(OR($D175&lt;&gt;"Serviço",AND(AUTOEVENTO="Manual",$M175=$A$15)),0,
         IF(OFFSET(CRONOPLE!$F$15,$M175-$A$15,CJ$13)=0,10^12,OFFSET(CRONOPLE!$F$15,$M175-$A$15,CJ$13)))</f>
        <v>18</v>
      </c>
      <c r="CK175" s="353" t="n">
        <f aca="true">IF(OR($D175&lt;&gt;"Serviço",AND(AUTOEVENTO="Manual",$M175=$A$15)),0,
         IF(OFFSET(CRONOPLE!$F$15,$M175-$A$15,CK$13)=0,10^12,OFFSET(CRONOPLE!$F$15,$M175-$A$15,CK$13)))</f>
        <v>19</v>
      </c>
      <c r="CL175" s="353" t="n">
        <f aca="true">IF(OR($D175&lt;&gt;"Serviço",AND(AUTOEVENTO="Manual",$M175=$A$15)),0,
         IF(OFFSET(CRONOPLE!$F$15,$M175-$A$15,CL$13)=0,10^12,OFFSET(CRONOPLE!$F$15,$M175-$A$15,CL$13)))</f>
        <v>20</v>
      </c>
      <c r="CM175" s="353" t="n">
        <f aca="true">IF(OR($D175&lt;&gt;"Serviço",AND(AUTOEVENTO="Manual",$M175=$A$15)),0,
         IF(OFFSET(CRONOPLE!$F$15,$M175-$A$15,CM$13)=0,10^12,OFFSET(CRONOPLE!$F$15,$M175-$A$15,CM$13)))</f>
        <v>21</v>
      </c>
      <c r="CN175" s="353" t="n">
        <f aca="true">IF(OR($D175&lt;&gt;"Serviço",AND(AUTOEVENTO="Manual",$M175=$A$15)),0,
         IF(OFFSET(CRONOPLE!$F$15,$M175-$A$15,CN$13)=0,10^12,OFFSET(CRONOPLE!$F$15,$M175-$A$15,CN$13)))</f>
        <v>22</v>
      </c>
      <c r="CO175" s="353" t="n">
        <f aca="true">IF(OR($D175&lt;&gt;"Serviço",AND(AUTOEVENTO="Manual",$M175=$A$15)),0,
         IF(OFFSET(CRONOPLE!$F$15,$M175-$A$15,CO$13)=0,10^12,OFFSET(CRONOPLE!$F$15,$M175-$A$15,CO$13)))</f>
        <v>23</v>
      </c>
      <c r="CP175" s="353" t="n">
        <f aca="true">IF(OR($D175&lt;&gt;"Serviço",AND(AUTOEVENTO="Manual",$M175=$A$15)),0,
         IF(OFFSET(CRONOPLE!$F$15,$M175-$A$15,CP$13)=0,10^12,OFFSET(CRONOPLE!$F$15,$M175-$A$15,CP$13)))</f>
        <v>24</v>
      </c>
      <c r="CQ175" s="353" t="n">
        <f aca="true">IF(OR($D175&lt;&gt;"Serviço",AND(AUTOEVENTO="Manual",$M175=$A$15)),0,
         IF(OFFSET(CRONOPLE!$F$15,$M175-$A$15,CQ$13)=0,10^12,OFFSET(CRONOPLE!$F$15,$M175-$A$15,CQ$13)))</f>
        <v>25</v>
      </c>
      <c r="CR175" s="353" t="n">
        <f aca="true">IF(OR($D175&lt;&gt;"Serviço",AND(AUTOEVENTO="Manual",$M175=$A$15)),0,
         IF(OFFSET(CRONOPLE!$F$15,$M175-$A$15,CR$13)=0,10^12,OFFSET(CRONOPLE!$F$15,$M175-$A$15,CR$13)))</f>
        <v>1000000000000</v>
      </c>
      <c r="CT175" s="354" t="n">
        <f aca="true">IF(OR($D175&lt;&gt;"Serviço",AND(AUTOEVENTO="Manual",$M175=$A$15),$M175&gt;(ROW(PLE.lastrow)-ROW(PLE.firstrow))),0,
           IF(OFFSET(PLE!$G$15,$M175-$A$15,CT$13)="",10^12,OFFSET(PLE!$G$15,$M175-$A$15,CT$13)))</f>
        <v>1000000000000</v>
      </c>
      <c r="CU175" s="354" t="n">
        <f aca="true">IF(OR($D175&lt;&gt;"Serviço",AND(AUTOEVENTO="Manual",$M175=$A$15),$M175&gt;(ROW(PLE.lastrow)-ROW(PLE.firstrow))),0,
           IF(OFFSET(PLE!$G$15,$M175-$A$15,CU$13)="",10^12,OFFSET(PLE!$G$15,$M175-$A$15,CU$13)))</f>
        <v>1000000000000</v>
      </c>
      <c r="CV175" s="354" t="n">
        <f aca="true">IF(OR($D175&lt;&gt;"Serviço",AND(AUTOEVENTO="Manual",$M175=$A$15),$M175&gt;(ROW(PLE.lastrow)-ROW(PLE.firstrow))),0,
           IF(OFFSET(PLE!$G$15,$M175-$A$15,CV$13)="",10^12,OFFSET(PLE!$G$15,$M175-$A$15,CV$13)))</f>
        <v>1000000000000</v>
      </c>
      <c r="CW175" s="354" t="n">
        <f aca="true">IF(OR($D175&lt;&gt;"Serviço",AND(AUTOEVENTO="Manual",$M175=$A$15),$M175&gt;(ROW(PLE.lastrow)-ROW(PLE.firstrow))),0,
           IF(OFFSET(PLE!$G$15,$M175-$A$15,CW$13)="",10^12,OFFSET(PLE!$G$15,$M175-$A$15,CW$13)))</f>
        <v>1000000000000</v>
      </c>
      <c r="CX175" s="354" t="n">
        <f aca="true">IF(OR($D175&lt;&gt;"Serviço",AND(AUTOEVENTO="Manual",$M175=$A$15),$M175&gt;(ROW(PLE.lastrow)-ROW(PLE.firstrow))),0,
           IF(OFFSET(PLE!$G$15,$M175-$A$15,CX$13)="",10^12,OFFSET(PLE!$G$15,$M175-$A$15,CX$13)))</f>
        <v>1000000000000</v>
      </c>
      <c r="CY175" s="354" t="n">
        <f aca="true">IF(OR($D175&lt;&gt;"Serviço",AND(AUTOEVENTO="Manual",$M175=$A$15),$M175&gt;(ROW(PLE.lastrow)-ROW(PLE.firstrow))),0,
           IF(OFFSET(PLE!$G$15,$M175-$A$15,CY$13)="",10^12,OFFSET(PLE!$G$15,$M175-$A$15,CY$13)))</f>
        <v>1000000000000</v>
      </c>
      <c r="CZ175" s="354" t="n">
        <f aca="true">IF(OR($D175&lt;&gt;"Serviço",AND(AUTOEVENTO="Manual",$M175=$A$15),$M175&gt;(ROW(PLE.lastrow)-ROW(PLE.firstrow))),0,
           IF(OFFSET(PLE!$G$15,$M175-$A$15,CZ$13)="",10^12,OFFSET(PLE!$G$15,$M175-$A$15,CZ$13)))</f>
        <v>1000000000000</v>
      </c>
      <c r="DA175" s="354" t="n">
        <f aca="true">IF(OR($D175&lt;&gt;"Serviço",AND(AUTOEVENTO="Manual",$M175=$A$15),$M175&gt;(ROW(PLE.lastrow)-ROW(PLE.firstrow))),0,
           IF(OFFSET(PLE!$G$15,$M175-$A$15,DA$13)="",10^12,OFFSET(PLE!$G$15,$M175-$A$15,DA$13)))</f>
        <v>1000000000000</v>
      </c>
      <c r="DB175" s="354" t="n">
        <f aca="true">IF(OR($D175&lt;&gt;"Serviço",AND(AUTOEVENTO="Manual",$M175=$A$15),$M175&gt;(ROW(PLE.lastrow)-ROW(PLE.firstrow))),0,
           IF(OFFSET(PLE!$G$15,$M175-$A$15,DB$13)="",10^12,OFFSET(PLE!$G$15,$M175-$A$15,DB$13)))</f>
        <v>1000000000000</v>
      </c>
      <c r="DC175" s="354" t="n">
        <f aca="true">IF(OR($D175&lt;&gt;"Serviço",AND(AUTOEVENTO="Manual",$M175=$A$15),$M175&gt;(ROW(PLE.lastrow)-ROW(PLE.firstrow))),0,
           IF(OFFSET(PLE!$G$15,$M175-$A$15,DC$13)="",10^12,OFFSET(PLE!$G$15,$M175-$A$15,DC$13)))</f>
        <v>1000000000000</v>
      </c>
      <c r="DD175" s="354" t="n">
        <f aca="true">IF(OR($D175&lt;&gt;"Serviço",AND(AUTOEVENTO="Manual",$M175=$A$15),$M175&gt;(ROW(PLE.lastrow)-ROW(PLE.firstrow))),0,
           IF(OFFSET(PLE!$G$15,$M175-$A$15,DD$13)="",10^12,OFFSET(PLE!$G$15,$M175-$A$15,DD$13)))</f>
        <v>1000000000000</v>
      </c>
      <c r="DE175" s="354" t="n">
        <f aca="true">IF(OR($D175&lt;&gt;"Serviço",AND(AUTOEVENTO="Manual",$M175=$A$15),$M175&gt;(ROW(PLE.lastrow)-ROW(PLE.firstrow))),0,
           IF(OFFSET(PLE!$G$15,$M175-$A$15,DE$13)="",10^12,OFFSET(PLE!$G$15,$M175-$A$15,DE$13)))</f>
        <v>1000000000000</v>
      </c>
      <c r="DF175" s="354" t="n">
        <f aca="true">IF(OR($D175&lt;&gt;"Serviço",AND(AUTOEVENTO="Manual",$M175=$A$15),$M175&gt;(ROW(PLE.lastrow)-ROW(PLE.firstrow))),0,
           IF(OFFSET(PLE!$G$15,$M175-$A$15,DF$13)="",10^12,OFFSET(PLE!$G$15,$M175-$A$15,DF$13)))</f>
        <v>1000000000000</v>
      </c>
      <c r="DG175" s="354" t="n">
        <f aca="true">IF(OR($D175&lt;&gt;"Serviço",AND(AUTOEVENTO="Manual",$M175=$A$15),$M175&gt;(ROW(PLE.lastrow)-ROW(PLE.firstrow))),0,
           IF(OFFSET(PLE!$G$15,$M175-$A$15,DG$13)="",10^12,OFFSET(PLE!$G$15,$M175-$A$15,DG$13)))</f>
        <v>1000000000000</v>
      </c>
      <c r="DH175" s="354" t="n">
        <f aca="true">IF(OR($D175&lt;&gt;"Serviço",AND(AUTOEVENTO="Manual",$M175=$A$15),$M175&gt;(ROW(PLE.lastrow)-ROW(PLE.firstrow))),0,
           IF(OFFSET(PLE!$G$15,$M175-$A$15,DH$13)="",10^12,OFFSET(PLE!$G$15,$M175-$A$15,DH$13)))</f>
        <v>1000000000000</v>
      </c>
      <c r="DI175" s="354" t="n">
        <f aca="true">IF(OR($D175&lt;&gt;"Serviço",AND(AUTOEVENTO="Manual",$M175=$A$15),$M175&gt;(ROW(PLE.lastrow)-ROW(PLE.firstrow))),0,
           IF(OFFSET(PLE!$G$15,$M175-$A$15,DI$13)="",10^12,OFFSET(PLE!$G$15,$M175-$A$15,DI$13)))</f>
        <v>1000000000000</v>
      </c>
      <c r="DJ175" s="354" t="n">
        <f aca="true">IF(OR($D175&lt;&gt;"Serviço",AND(AUTOEVENTO="Manual",$M175=$A$15),$M175&gt;(ROW(PLE.lastrow)-ROW(PLE.firstrow))),0,
           IF(OFFSET(PLE!$G$15,$M175-$A$15,DJ$13)="",10^12,OFFSET(PLE!$G$15,$M175-$A$15,DJ$13)))</f>
        <v>1000000000000</v>
      </c>
      <c r="DK175" s="354" t="n">
        <f aca="true">IF(OR($D175&lt;&gt;"Serviço",AND(AUTOEVENTO="Manual",$M175=$A$15),$M175&gt;(ROW(PLE.lastrow)-ROW(PLE.firstrow))),0,
           IF(OFFSET(PLE!$G$15,$M175-$A$15,DK$13)="",10^12,OFFSET(PLE!$G$15,$M175-$A$15,DK$13)))</f>
        <v>1000000000000</v>
      </c>
      <c r="DL175" s="354" t="n">
        <f aca="true">IF(OR($D175&lt;&gt;"Serviço",AND(AUTOEVENTO="Manual",$M175=$A$15),$M175&gt;(ROW(PLE.lastrow)-ROW(PLE.firstrow))),0,
           IF(OFFSET(PLE!$G$15,$M175-$A$15,DL$13)="",10^12,OFFSET(PLE!$G$15,$M175-$A$15,DL$13)))</f>
        <v>1000000000000</v>
      </c>
      <c r="DM175" s="354" t="n">
        <f aca="true">IF(OR($D175&lt;&gt;"Serviço",AND(AUTOEVENTO="Manual",$M175=$A$15),$M175&gt;(ROW(PLE.lastrow)-ROW(PLE.firstrow))),0,
           IF(OFFSET(PLE!$G$15,$M175-$A$15,DM$13)="",10^12,OFFSET(PLE!$G$15,$M175-$A$15,DM$13)))</f>
        <v>1000000000000</v>
      </c>
      <c r="DN175" s="354" t="n">
        <f aca="true">IF(OR($D175&lt;&gt;"Serviço",AND(AUTOEVENTO="Manual",$M175=$A$15),$M175&gt;(ROW(PLE.lastrow)-ROW(PLE.firstrow))),0,
           IF(OFFSET(PLE!$G$15,$M175-$A$15,DN$13)="",10^12,OFFSET(PLE!$G$15,$M175-$A$15,DN$13)))</f>
        <v>1000000000000</v>
      </c>
      <c r="DO175" s="354" t="n">
        <f aca="true">IF(OR($D175&lt;&gt;"Serviço",AND(AUTOEVENTO="Manual",$M175=$A$15),$M175&gt;(ROW(PLE.lastrow)-ROW(PLE.firstrow))),0,
           IF(OFFSET(PLE!$G$15,$M175-$A$15,DO$13)="",10^12,OFFSET(PLE!$G$15,$M175-$A$15,DO$13)))</f>
        <v>1000000000000</v>
      </c>
      <c r="DP175" s="354" t="n">
        <f aca="true">IF(OR($D175&lt;&gt;"Serviço",AND(AUTOEVENTO="Manual",$M175=$A$15),$M175&gt;(ROW(PLE.lastrow)-ROW(PLE.firstrow))),0,
           IF(OFFSET(PLE!$G$15,$M175-$A$15,DP$13)="",10^12,OFFSET(PLE!$G$15,$M175-$A$15,DP$13)))</f>
        <v>1000000000000</v>
      </c>
      <c r="DQ175" s="354" t="n">
        <f aca="true">IF(OR($D175&lt;&gt;"Serviço",AND(AUTOEVENTO="Manual",$M175=$A$15),$M175&gt;(ROW(PLE.lastrow)-ROW(PLE.firstrow))),0,
           IF(OFFSET(PLE!$G$15,$M175-$A$15,DQ$13)="",10^12,OFFSET(PLE!$G$15,$M175-$A$15,DQ$13)))</f>
        <v>1000000000000</v>
      </c>
      <c r="DR175" s="354" t="n">
        <f aca="true">IF(OR($D175&lt;&gt;"Serviço",AND(AUTOEVENTO="Manual",$M175=$A$15),$M175&gt;(ROW(PLE.lastrow)-ROW(PLE.firstrow))),0,
           IF(OFFSET(PLE!$G$15,$M175-$A$15,DR$13)="",10^12,OFFSET(PLE!$G$15,$M175-$A$15,DR$13)))</f>
        <v>1000000000000</v>
      </c>
      <c r="DS175" s="354" t="n">
        <f aca="true">IF(OR($D175&lt;&gt;"Serviço",AND(AUTOEVENTO="Manual",$M175=$A$15),$M175&gt;(ROW(PLE.lastrow)-ROW(PLE.firstrow))),0,
           IF(OFFSET(PLE!$G$15,$M175-$A$15,DS$13)="",10^12,OFFSET(PLE!$G$15,$M175-$A$15,DS$13)))</f>
        <v>1000000000000</v>
      </c>
    </row>
    <row r="176" customFormat="false" ht="35.05" hidden="false" customHeight="false" outlineLevel="0" collapsed="false">
      <c r="A176" s="50" t="str">
        <f aca="true">IFERROR(IF(AUTOEVENTO="Manual",IF(K176&lt;&gt;"",MIN(VALUE(LEFT(K176,FIND(".",K176)-1)),COUNTA(EVENTOS.Lista)),0),IF(OR($B176&gt;AUTOEVENTO,$B176="S",$B176=0),SUBSTITUTE(OFFSET($A176,-1,0),IF($D176="Serviço",".",""),""),ROW(A176)-ROW($A$15)&amp;".")),0)</f>
        <v>157</v>
      </c>
      <c r="B176" s="50" t="str">
        <f aca="true">OFFSET(ORÇAMENTO!C$15,ROW(B176)-ROW(B$15),0)</f>
        <v>S</v>
      </c>
      <c r="C176" s="50" t="str">
        <f aca="true">OFFSET(ORÇAMENTO!L$15,ROW(C176)-ROW(C$15),0)</f>
        <v>F</v>
      </c>
      <c r="D176" s="201" t="str">
        <f aca="true">OFFSET(ORÇAMENTO!N$15,ROW(D176)-ROW(D$15),0)</f>
        <v>Serviço</v>
      </c>
      <c r="E176" s="202" t="str">
        <f aca="true">OFFSET(ORÇAMENTO!O$15,ROW(E176)-ROW(E$15),0)</f>
        <v>1.45.4.</v>
      </c>
      <c r="F176" s="341" t="str">
        <f aca="true">OFFSET(ORÇAMENTO!R$15,ROW(F176)-ROW(F$15),0)</f>
        <v>JOELHO 90 GRAUS, PVC, SERIE NORMAL, ESGOTO PREDIAL, DN 50 MM, JUNTA ELÁSTICA, FORNECIDO E INSTALADO EM RAMAL DE DESCARGA OU RAMAL DE ESGOTO SANITÁRIO. AF_08/2022</v>
      </c>
      <c r="G176" s="342" t="str">
        <f aca="true">IF($D176&lt;&gt;"Serviço","",OFFSET(ORÇAMENTO!S$15,ROW(G176)-ROW(G$15),0))</f>
        <v>UN</v>
      </c>
      <c r="H176" s="207" t="n">
        <f aca="true">IF($D176&lt;&gt;"Serviço",0,IF(ACOMPANHAMENTO="BM",ROUND(OFFSET(ORÇAMENTO!AJ$15,ROW(H176)-ROW(H$15),0),15-13*ORÇAMENTO!$AF$7),SUMPRODUCT(($Q$1:$AQ$1=1)*ROUND($Q176:$AQ176,15-13*ORÇAMENTO!$AF$7))))</f>
        <v>225</v>
      </c>
      <c r="I176" s="343" t="s">
        <v>952</v>
      </c>
      <c r="J176" s="344" t="e">
        <f aca="false">IF(OR(B176&lt;&gt;"S",CÁLCULO.FrentesPreenchidas=0),"",IF(AND(ACOMPANHAMENTO="PLE",AUTOEVENTO="Manual",OR(H176&gt;0,ORÇAMENTO!AC176="QUANT."),OR(K176="",M176=0,N176="")),"►",IF(AND(ACOMPANHAMENTO="PLE",ORÇAMENTO!AC176="QUANT."),"►►",IF(AND(COUNTIF($P$11:$AQ$11,"▼")=0,H176&gt;0,I176=""),"◄",""))))</f>
        <v>#NAME?</v>
      </c>
      <c r="K176" s="345"/>
      <c r="L176" s="346" t="s">
        <v>876</v>
      </c>
      <c r="M176" s="347" t="n">
        <f aca="true">IF($D176&lt;&gt;"Serviço","",
          IF(AUTOEVENTO="manual",$A176,
                IF(ISERROR(MATCH($A176,$A$15:OFFSET($A176,-1,0),0)),MAX($M$15:OFFSET(M176,-1,0))+1,
                      INDEX($M$15:OFFSET(M176,-1,0),MATCH($A176,$A$15:OFFSET($A176,-1,0),0)))))</f>
        <v>28</v>
      </c>
      <c r="N176" s="348" t="str">
        <f aca="true">IF($D176&lt;&gt;"Serviço","",
         IF(AUTOEVENTO="Manual",
                IF($A176=0,"&lt;-- defina o número do agrupador",
                       OFFSET(EVENTOS!$D$15,$A176-$A$15,0)),
                OFFSET($F$15,$A176,0)))</f>
        <v>TUBULAÇÕES E CONEXÕES</v>
      </c>
      <c r="O176" s="349"/>
      <c r="Q176" s="349" t="n">
        <v>9</v>
      </c>
      <c r="R176" s="350" t="n">
        <v>9</v>
      </c>
      <c r="S176" s="350" t="n">
        <v>9</v>
      </c>
      <c r="T176" s="350" t="n">
        <v>9</v>
      </c>
      <c r="U176" s="350" t="n">
        <v>9</v>
      </c>
      <c r="V176" s="350" t="n">
        <v>9</v>
      </c>
      <c r="W176" s="350" t="n">
        <v>9</v>
      </c>
      <c r="X176" s="350" t="n">
        <v>9</v>
      </c>
      <c r="Y176" s="350" t="n">
        <v>9</v>
      </c>
      <c r="Z176" s="351" t="n">
        <v>9</v>
      </c>
      <c r="AA176" s="350" t="n">
        <v>9</v>
      </c>
      <c r="AB176" s="350" t="n">
        <v>9</v>
      </c>
      <c r="AC176" s="350" t="n">
        <v>9</v>
      </c>
      <c r="AD176" s="350" t="n">
        <v>9</v>
      </c>
      <c r="AE176" s="350" t="n">
        <v>9</v>
      </c>
      <c r="AF176" s="350" t="n">
        <v>9</v>
      </c>
      <c r="AG176" s="350" t="n">
        <v>9</v>
      </c>
      <c r="AH176" s="351" t="n">
        <v>9</v>
      </c>
      <c r="AI176" s="350" t="n">
        <v>9</v>
      </c>
      <c r="AJ176" s="350" t="n">
        <v>9</v>
      </c>
      <c r="AK176" s="350" t="n">
        <v>9</v>
      </c>
      <c r="AL176" s="350" t="n">
        <v>9</v>
      </c>
      <c r="AM176" s="350" t="n">
        <v>9</v>
      </c>
      <c r="AN176" s="350" t="n">
        <v>9</v>
      </c>
      <c r="AO176" s="350" t="n">
        <v>9</v>
      </c>
      <c r="AP176" s="351"/>
      <c r="AR176" s="352" t="n">
        <f aca="true">IF(AND($D176="Serviço",AR$12&lt;&gt;0,$H176&gt;0,OR(AUTOEVENTO&lt;&gt;"manual",$M176&lt;&gt;$A$15)),
        IF(Import.TipoArredondamento&lt;&gt;"TransfereGOV",
              ROUND(OFFSET($P176,0,AR$13),15-13*ORÇAMENTO!$AF$7)/$H176*OFFSET(ORÇAMENTO!$X$15,ROW(AR176)-ROW(AR$15),0),
              ROUND(ROUND(OFFSET($P176,0,AR$13),15-13*ORÇAMENTO!$AF$7)*OFFSET(ORÇAMENTO!$W$15,ROW(AR176)-ROW(AR$15),0),15-13*ORÇAMENTO!$AF$11)),
         0)</f>
        <v>169.2</v>
      </c>
      <c r="AS176" s="352" t="n">
        <f aca="true">IF(AND($D176="Serviço",AS$12&lt;&gt;0,$H176&gt;0,OR(AUTOEVENTO&lt;&gt;"manual",$M176&lt;&gt;$A$15)),
        IF(Import.TipoArredondamento&lt;&gt;"TransfereGOV",
              ROUND(OFFSET($P176,0,AS$13),15-13*ORÇAMENTO!$AF$7)/$H176*OFFSET(ORÇAMENTO!$X$15,ROW(AS176)-ROW(AS$15),0),
              ROUND(ROUND(OFFSET($P176,0,AS$13),15-13*ORÇAMENTO!$AF$7)*OFFSET(ORÇAMENTO!$W$15,ROW(AS176)-ROW(AS$15),0),15-13*ORÇAMENTO!$AF$11)),
         0)</f>
        <v>169.2</v>
      </c>
      <c r="AT176" s="352" t="n">
        <f aca="true">IF(AND($D176="Serviço",AT$12&lt;&gt;0,$H176&gt;0,OR(AUTOEVENTO&lt;&gt;"manual",$M176&lt;&gt;$A$15)),
        IF(Import.TipoArredondamento&lt;&gt;"TransfereGOV",
              ROUND(OFFSET($P176,0,AT$13),15-13*ORÇAMENTO!$AF$7)/$H176*OFFSET(ORÇAMENTO!$X$15,ROW(AT176)-ROW(AT$15),0),
              ROUND(ROUND(OFFSET($P176,0,AT$13),15-13*ORÇAMENTO!$AF$7)*OFFSET(ORÇAMENTO!$W$15,ROW(AT176)-ROW(AT$15),0),15-13*ORÇAMENTO!$AF$11)),
         0)</f>
        <v>169.2</v>
      </c>
      <c r="AU176" s="352" t="n">
        <f aca="true">IF(AND($D176="Serviço",AU$12&lt;&gt;0,$H176&gt;0,OR(AUTOEVENTO&lt;&gt;"manual",$M176&lt;&gt;$A$15)),
        IF(Import.TipoArredondamento&lt;&gt;"TransfereGOV",
              ROUND(OFFSET($P176,0,AU$13),15-13*ORÇAMENTO!$AF$7)/$H176*OFFSET(ORÇAMENTO!$X$15,ROW(AU176)-ROW(AU$15),0),
              ROUND(ROUND(OFFSET($P176,0,AU$13),15-13*ORÇAMENTO!$AF$7)*OFFSET(ORÇAMENTO!$W$15,ROW(AU176)-ROW(AU$15),0),15-13*ORÇAMENTO!$AF$11)),
         0)</f>
        <v>169.2</v>
      </c>
      <c r="AV176" s="352" t="n">
        <f aca="true">IF(AND($D176="Serviço",AV$12&lt;&gt;0,$H176&gt;0,OR(AUTOEVENTO&lt;&gt;"manual",$M176&lt;&gt;$A$15)),
        IF(Import.TipoArredondamento&lt;&gt;"TransfereGOV",
              ROUND(OFFSET($P176,0,AV$13),15-13*ORÇAMENTO!$AF$7)/$H176*OFFSET(ORÇAMENTO!$X$15,ROW(AV176)-ROW(AV$15),0),
              ROUND(ROUND(OFFSET($P176,0,AV$13),15-13*ORÇAMENTO!$AF$7)*OFFSET(ORÇAMENTO!$W$15,ROW(AV176)-ROW(AV$15),0),15-13*ORÇAMENTO!$AF$11)),
         0)</f>
        <v>169.2</v>
      </c>
      <c r="AW176" s="352" t="n">
        <f aca="true">IF(AND($D176="Serviço",AW$12&lt;&gt;0,$H176&gt;0,OR(AUTOEVENTO&lt;&gt;"manual",$M176&lt;&gt;$A$15)),
        IF(Import.TipoArredondamento&lt;&gt;"TransfereGOV",
              ROUND(OFFSET($P176,0,AW$13),15-13*ORÇAMENTO!$AF$7)/$H176*OFFSET(ORÇAMENTO!$X$15,ROW(AW176)-ROW(AW$15),0),
              ROUND(ROUND(OFFSET($P176,0,AW$13),15-13*ORÇAMENTO!$AF$7)*OFFSET(ORÇAMENTO!$W$15,ROW(AW176)-ROW(AW$15),0),15-13*ORÇAMENTO!$AF$11)),
         0)</f>
        <v>169.2</v>
      </c>
      <c r="AX176" s="352" t="n">
        <f aca="true">IF(AND($D176="Serviço",AX$12&lt;&gt;0,$H176&gt;0,OR(AUTOEVENTO&lt;&gt;"manual",$M176&lt;&gt;$A$15)),
        IF(Import.TipoArredondamento&lt;&gt;"TransfereGOV",
              ROUND(OFFSET($P176,0,AX$13),15-13*ORÇAMENTO!$AF$7)/$H176*OFFSET(ORÇAMENTO!$X$15,ROW(AX176)-ROW(AX$15),0),
              ROUND(ROUND(OFFSET($P176,0,AX$13),15-13*ORÇAMENTO!$AF$7)*OFFSET(ORÇAMENTO!$W$15,ROW(AX176)-ROW(AX$15),0),15-13*ORÇAMENTO!$AF$11)),
         0)</f>
        <v>169.2</v>
      </c>
      <c r="AY176" s="352" t="n">
        <f aca="true">IF(AND($D176="Serviço",AY$12&lt;&gt;0,$H176&gt;0,OR(AUTOEVENTO&lt;&gt;"manual",$M176&lt;&gt;$A$15)),
        IF(Import.TipoArredondamento&lt;&gt;"TransfereGOV",
              ROUND(OFFSET($P176,0,AY$13),15-13*ORÇAMENTO!$AF$7)/$H176*OFFSET(ORÇAMENTO!$X$15,ROW(AY176)-ROW(AY$15),0),
              ROUND(ROUND(OFFSET($P176,0,AY$13),15-13*ORÇAMENTO!$AF$7)*OFFSET(ORÇAMENTO!$W$15,ROW(AY176)-ROW(AY$15),0),15-13*ORÇAMENTO!$AF$11)),
         0)</f>
        <v>169.2</v>
      </c>
      <c r="AZ176" s="352" t="n">
        <f aca="true">IF(AND($D176="Serviço",AZ$12&lt;&gt;0,$H176&gt;0,OR(AUTOEVENTO&lt;&gt;"manual",$M176&lt;&gt;$A$15)),
        IF(Import.TipoArredondamento&lt;&gt;"TransfereGOV",
              ROUND(OFFSET($P176,0,AZ$13),15-13*ORÇAMENTO!$AF$7)/$H176*OFFSET(ORÇAMENTO!$X$15,ROW(AZ176)-ROW(AZ$15),0),
              ROUND(ROUND(OFFSET($P176,0,AZ$13),15-13*ORÇAMENTO!$AF$7)*OFFSET(ORÇAMENTO!$W$15,ROW(AZ176)-ROW(AZ$15),0),15-13*ORÇAMENTO!$AF$11)),
         0)</f>
        <v>169.2</v>
      </c>
      <c r="BA176" s="352" t="n">
        <f aca="true">IF(AND($D176="Serviço",BA$12&lt;&gt;0,$H176&gt;0,OR(AUTOEVENTO&lt;&gt;"manual",$M176&lt;&gt;$A$15)),
        IF(Import.TipoArredondamento&lt;&gt;"TransfereGOV",
              ROUND(OFFSET($P176,0,BA$13),15-13*ORÇAMENTO!$AF$7)/$H176*OFFSET(ORÇAMENTO!$X$15,ROW(BA176)-ROW(BA$15),0),
              ROUND(ROUND(OFFSET($P176,0,BA$13),15-13*ORÇAMENTO!$AF$7)*OFFSET(ORÇAMENTO!$W$15,ROW(BA176)-ROW(BA$15),0),15-13*ORÇAMENTO!$AF$11)),
         0)</f>
        <v>169.2</v>
      </c>
      <c r="BB176" s="352" t="n">
        <f aca="true">IF(AND($D176="Serviço",BB$12&lt;&gt;0,$H176&gt;0,OR(AUTOEVENTO&lt;&gt;"manual",$M176&lt;&gt;$A$15)),
        IF(Import.TipoArredondamento&lt;&gt;"TransfereGOV",
              ROUND(OFFSET($P176,0,BB$13),15-13*ORÇAMENTO!$AF$7)/$H176*OFFSET(ORÇAMENTO!$X$15,ROW(BB176)-ROW(BB$15),0),
              ROUND(ROUND(OFFSET($P176,0,BB$13),15-13*ORÇAMENTO!$AF$7)*OFFSET(ORÇAMENTO!$W$15,ROW(BB176)-ROW(BB$15),0),15-13*ORÇAMENTO!$AF$11)),
         0)</f>
        <v>169.2</v>
      </c>
      <c r="BC176" s="352" t="n">
        <f aca="true">IF(AND($D176="Serviço",BC$12&lt;&gt;0,$H176&gt;0,OR(AUTOEVENTO&lt;&gt;"manual",$M176&lt;&gt;$A$15)),
        IF(Import.TipoArredondamento&lt;&gt;"TransfereGOV",
              ROUND(OFFSET($P176,0,BC$13),15-13*ORÇAMENTO!$AF$7)/$H176*OFFSET(ORÇAMENTO!$X$15,ROW(BC176)-ROW(BC$15),0),
              ROUND(ROUND(OFFSET($P176,0,BC$13),15-13*ORÇAMENTO!$AF$7)*OFFSET(ORÇAMENTO!$W$15,ROW(BC176)-ROW(BC$15),0),15-13*ORÇAMENTO!$AF$11)),
         0)</f>
        <v>169.2</v>
      </c>
      <c r="BD176" s="352" t="n">
        <f aca="true">IF(AND($D176="Serviço",BD$12&lt;&gt;0,$H176&gt;0,OR(AUTOEVENTO&lt;&gt;"manual",$M176&lt;&gt;$A$15)),
        IF(Import.TipoArredondamento&lt;&gt;"TransfereGOV",
              ROUND(OFFSET($P176,0,BD$13),15-13*ORÇAMENTO!$AF$7)/$H176*OFFSET(ORÇAMENTO!$X$15,ROW(BD176)-ROW(BD$15),0),
              ROUND(ROUND(OFFSET($P176,0,BD$13),15-13*ORÇAMENTO!$AF$7)*OFFSET(ORÇAMENTO!$W$15,ROW(BD176)-ROW(BD$15),0),15-13*ORÇAMENTO!$AF$11)),
         0)</f>
        <v>169.2</v>
      </c>
      <c r="BE176" s="352" t="n">
        <f aca="true">IF(AND($D176="Serviço",BE$12&lt;&gt;0,$H176&gt;0,OR(AUTOEVENTO&lt;&gt;"manual",$M176&lt;&gt;$A$15)),
        IF(Import.TipoArredondamento&lt;&gt;"TransfereGOV",
              ROUND(OFFSET($P176,0,BE$13),15-13*ORÇAMENTO!$AF$7)/$H176*OFFSET(ORÇAMENTO!$X$15,ROW(BE176)-ROW(BE$15),0),
              ROUND(ROUND(OFFSET($P176,0,BE$13),15-13*ORÇAMENTO!$AF$7)*OFFSET(ORÇAMENTO!$W$15,ROW(BE176)-ROW(BE$15),0),15-13*ORÇAMENTO!$AF$11)),
         0)</f>
        <v>169.2</v>
      </c>
      <c r="BF176" s="352" t="n">
        <f aca="true">IF(AND($D176="Serviço",BF$12&lt;&gt;0,$H176&gt;0,OR(AUTOEVENTO&lt;&gt;"manual",$M176&lt;&gt;$A$15)),
        IF(Import.TipoArredondamento&lt;&gt;"TransfereGOV",
              ROUND(OFFSET($P176,0,BF$13),15-13*ORÇAMENTO!$AF$7)/$H176*OFFSET(ORÇAMENTO!$X$15,ROW(BF176)-ROW(BF$15),0),
              ROUND(ROUND(OFFSET($P176,0,BF$13),15-13*ORÇAMENTO!$AF$7)*OFFSET(ORÇAMENTO!$W$15,ROW(BF176)-ROW(BF$15),0),15-13*ORÇAMENTO!$AF$11)),
         0)</f>
        <v>169.2</v>
      </c>
      <c r="BG176" s="352" t="n">
        <f aca="true">IF(AND($D176="Serviço",BG$12&lt;&gt;0,$H176&gt;0,OR(AUTOEVENTO&lt;&gt;"manual",$M176&lt;&gt;$A$15)),
        IF(Import.TipoArredondamento&lt;&gt;"TransfereGOV",
              ROUND(OFFSET($P176,0,BG$13),15-13*ORÇAMENTO!$AF$7)/$H176*OFFSET(ORÇAMENTO!$X$15,ROW(BG176)-ROW(BG$15),0),
              ROUND(ROUND(OFFSET($P176,0,BG$13),15-13*ORÇAMENTO!$AF$7)*OFFSET(ORÇAMENTO!$W$15,ROW(BG176)-ROW(BG$15),0),15-13*ORÇAMENTO!$AF$11)),
         0)</f>
        <v>169.2</v>
      </c>
      <c r="BH176" s="352" t="n">
        <f aca="true">IF(AND($D176="Serviço",BH$12&lt;&gt;0,$H176&gt;0,OR(AUTOEVENTO&lt;&gt;"manual",$M176&lt;&gt;$A$15)),
        IF(Import.TipoArredondamento&lt;&gt;"TransfereGOV",
              ROUND(OFFSET($P176,0,BH$13),15-13*ORÇAMENTO!$AF$7)/$H176*OFFSET(ORÇAMENTO!$X$15,ROW(BH176)-ROW(BH$15),0),
              ROUND(ROUND(OFFSET($P176,0,BH$13),15-13*ORÇAMENTO!$AF$7)*OFFSET(ORÇAMENTO!$W$15,ROW(BH176)-ROW(BH$15),0),15-13*ORÇAMENTO!$AF$11)),
         0)</f>
        <v>169.2</v>
      </c>
      <c r="BI176" s="352" t="n">
        <f aca="true">IF(AND($D176="Serviço",BI$12&lt;&gt;0,$H176&gt;0,OR(AUTOEVENTO&lt;&gt;"manual",$M176&lt;&gt;$A$15)),
        IF(Import.TipoArredondamento&lt;&gt;"TransfereGOV",
              ROUND(OFFSET($P176,0,BI$13),15-13*ORÇAMENTO!$AF$7)/$H176*OFFSET(ORÇAMENTO!$X$15,ROW(BI176)-ROW(BI$15),0),
              ROUND(ROUND(OFFSET($P176,0,BI$13),15-13*ORÇAMENTO!$AF$7)*OFFSET(ORÇAMENTO!$W$15,ROW(BI176)-ROW(BI$15),0),15-13*ORÇAMENTO!$AF$11)),
         0)</f>
        <v>169.2</v>
      </c>
      <c r="BJ176" s="352" t="n">
        <f aca="true">IF(AND($D176="Serviço",BJ$12&lt;&gt;0,$H176&gt;0,OR(AUTOEVENTO&lt;&gt;"manual",$M176&lt;&gt;$A$15)),
        IF(Import.TipoArredondamento&lt;&gt;"TransfereGOV",
              ROUND(OFFSET($P176,0,BJ$13),15-13*ORÇAMENTO!$AF$7)/$H176*OFFSET(ORÇAMENTO!$X$15,ROW(BJ176)-ROW(BJ$15),0),
              ROUND(ROUND(OFFSET($P176,0,BJ$13),15-13*ORÇAMENTO!$AF$7)*OFFSET(ORÇAMENTO!$W$15,ROW(BJ176)-ROW(BJ$15),0),15-13*ORÇAMENTO!$AF$11)),
         0)</f>
        <v>169.2</v>
      </c>
      <c r="BK176" s="352" t="n">
        <f aca="true">IF(AND($D176="Serviço",BK$12&lt;&gt;0,$H176&gt;0,OR(AUTOEVENTO&lt;&gt;"manual",$M176&lt;&gt;$A$15)),
        IF(Import.TipoArredondamento&lt;&gt;"TransfereGOV",
              ROUND(OFFSET($P176,0,BK$13),15-13*ORÇAMENTO!$AF$7)/$H176*OFFSET(ORÇAMENTO!$X$15,ROW(BK176)-ROW(BK$15),0),
              ROUND(ROUND(OFFSET($P176,0,BK$13),15-13*ORÇAMENTO!$AF$7)*OFFSET(ORÇAMENTO!$W$15,ROW(BK176)-ROW(BK$15),0),15-13*ORÇAMENTO!$AF$11)),
         0)</f>
        <v>169.2</v>
      </c>
      <c r="BL176" s="352" t="n">
        <f aca="true">IF(AND($D176="Serviço",BL$12&lt;&gt;0,$H176&gt;0,OR(AUTOEVENTO&lt;&gt;"manual",$M176&lt;&gt;$A$15)),
        IF(Import.TipoArredondamento&lt;&gt;"TransfereGOV",
              ROUND(OFFSET($P176,0,BL$13),15-13*ORÇAMENTO!$AF$7)/$H176*OFFSET(ORÇAMENTO!$X$15,ROW(BL176)-ROW(BL$15),0),
              ROUND(ROUND(OFFSET($P176,0,BL$13),15-13*ORÇAMENTO!$AF$7)*OFFSET(ORÇAMENTO!$W$15,ROW(BL176)-ROW(BL$15),0),15-13*ORÇAMENTO!$AF$11)),
         0)</f>
        <v>169.2</v>
      </c>
      <c r="BM176" s="352" t="n">
        <f aca="true">IF(AND($D176="Serviço",BM$12&lt;&gt;0,$H176&gt;0,OR(AUTOEVENTO&lt;&gt;"manual",$M176&lt;&gt;$A$15)),
        IF(Import.TipoArredondamento&lt;&gt;"TransfereGOV",
              ROUND(OFFSET($P176,0,BM$13),15-13*ORÇAMENTO!$AF$7)/$H176*OFFSET(ORÇAMENTO!$X$15,ROW(BM176)-ROW(BM$15),0),
              ROUND(ROUND(OFFSET($P176,0,BM$13),15-13*ORÇAMENTO!$AF$7)*OFFSET(ORÇAMENTO!$W$15,ROW(BM176)-ROW(BM$15),0),15-13*ORÇAMENTO!$AF$11)),
         0)</f>
        <v>169.2</v>
      </c>
      <c r="BN176" s="352" t="n">
        <f aca="true">IF(AND($D176="Serviço",BN$12&lt;&gt;0,$H176&gt;0,OR(AUTOEVENTO&lt;&gt;"manual",$M176&lt;&gt;$A$15)),
        IF(Import.TipoArredondamento&lt;&gt;"TransfereGOV",
              ROUND(OFFSET($P176,0,BN$13),15-13*ORÇAMENTO!$AF$7)/$H176*OFFSET(ORÇAMENTO!$X$15,ROW(BN176)-ROW(BN$15),0),
              ROUND(ROUND(OFFSET($P176,0,BN$13),15-13*ORÇAMENTO!$AF$7)*OFFSET(ORÇAMENTO!$W$15,ROW(BN176)-ROW(BN$15),0),15-13*ORÇAMENTO!$AF$11)),
         0)</f>
        <v>169.2</v>
      </c>
      <c r="BO176" s="352" t="n">
        <f aca="true">IF(AND($D176="Serviço",BO$12&lt;&gt;0,$H176&gt;0,OR(AUTOEVENTO&lt;&gt;"manual",$M176&lt;&gt;$A$15)),
        IF(Import.TipoArredondamento&lt;&gt;"TransfereGOV",
              ROUND(OFFSET($P176,0,BO$13),15-13*ORÇAMENTO!$AF$7)/$H176*OFFSET(ORÇAMENTO!$X$15,ROW(BO176)-ROW(BO$15),0),
              ROUND(ROUND(OFFSET($P176,0,BO$13),15-13*ORÇAMENTO!$AF$7)*OFFSET(ORÇAMENTO!$W$15,ROW(BO176)-ROW(BO$15),0),15-13*ORÇAMENTO!$AF$11)),
         0)</f>
        <v>169.2</v>
      </c>
      <c r="BP176" s="352" t="n">
        <f aca="true">IF(AND($D176="Serviço",BP$12&lt;&gt;0,$H176&gt;0,OR(AUTOEVENTO&lt;&gt;"manual",$M176&lt;&gt;$A$15)),
        IF(Import.TipoArredondamento&lt;&gt;"TransfereGOV",
              ROUND(OFFSET($P176,0,BP$13),15-13*ORÇAMENTO!$AF$7)/$H176*OFFSET(ORÇAMENTO!$X$15,ROW(BP176)-ROW(BP$15),0),
              ROUND(ROUND(OFFSET($P176,0,BP$13),15-13*ORÇAMENTO!$AF$7)*OFFSET(ORÇAMENTO!$W$15,ROW(BP176)-ROW(BP$15),0),15-13*ORÇAMENTO!$AF$11)),
         0)</f>
        <v>169.2</v>
      </c>
      <c r="BQ176" s="352" t="n">
        <f aca="true">IF(AND($D176="Serviço",BQ$12&lt;&gt;0,$H176&gt;0,OR(AUTOEVENTO&lt;&gt;"manual",$M176&lt;&gt;$A$15)),
        IF(Import.TipoArredondamento&lt;&gt;"TransfereGOV",
              ROUND(OFFSET($P176,0,BQ$13),15-13*ORÇAMENTO!$AF$7)/$H176*OFFSET(ORÇAMENTO!$X$15,ROW(BQ176)-ROW(BQ$15),0),
              ROUND(ROUND(OFFSET($P176,0,BQ$13),15-13*ORÇAMENTO!$AF$7)*OFFSET(ORÇAMENTO!$W$15,ROW(BQ176)-ROW(BQ$15),0),15-13*ORÇAMENTO!$AF$11)),
         0)</f>
        <v>0</v>
      </c>
      <c r="BS176" s="353" t="n">
        <f aca="true">IF(OR($D176&lt;&gt;"Serviço",AND(AUTOEVENTO="Manual",$M176=$A$15)),0,
         IF(OFFSET(CRONOPLE!$F$15,$M176-$A$15,BS$13)=0,10^12,OFFSET(CRONOPLE!$F$15,$M176-$A$15,BS$13)))</f>
        <v>1</v>
      </c>
      <c r="BT176" s="353" t="n">
        <f aca="true">IF(OR($D176&lt;&gt;"Serviço",AND(AUTOEVENTO="Manual",$M176=$A$15)),0,
         IF(OFFSET(CRONOPLE!$F$15,$M176-$A$15,BT$13)=0,10^12,OFFSET(CRONOPLE!$F$15,$M176-$A$15,BT$13)))</f>
        <v>2</v>
      </c>
      <c r="BU176" s="353" t="n">
        <f aca="true">IF(OR($D176&lt;&gt;"Serviço",AND(AUTOEVENTO="Manual",$M176=$A$15)),0,
         IF(OFFSET(CRONOPLE!$F$15,$M176-$A$15,BU$13)=0,10^12,OFFSET(CRONOPLE!$F$15,$M176-$A$15,BU$13)))</f>
        <v>3</v>
      </c>
      <c r="BV176" s="353" t="n">
        <f aca="true">IF(OR($D176&lt;&gt;"Serviço",AND(AUTOEVENTO="Manual",$M176=$A$15)),0,
         IF(OFFSET(CRONOPLE!$F$15,$M176-$A$15,BV$13)=0,10^12,OFFSET(CRONOPLE!$F$15,$M176-$A$15,BV$13)))</f>
        <v>4</v>
      </c>
      <c r="BW176" s="353" t="n">
        <f aca="true">IF(OR($D176&lt;&gt;"Serviço",AND(AUTOEVENTO="Manual",$M176=$A$15)),0,
         IF(OFFSET(CRONOPLE!$F$15,$M176-$A$15,BW$13)=0,10^12,OFFSET(CRONOPLE!$F$15,$M176-$A$15,BW$13)))</f>
        <v>5</v>
      </c>
      <c r="BX176" s="353" t="n">
        <f aca="true">IF(OR($D176&lt;&gt;"Serviço",AND(AUTOEVENTO="Manual",$M176=$A$15)),0,
         IF(OFFSET(CRONOPLE!$F$15,$M176-$A$15,BX$13)=0,10^12,OFFSET(CRONOPLE!$F$15,$M176-$A$15,BX$13)))</f>
        <v>6</v>
      </c>
      <c r="BY176" s="353" t="n">
        <f aca="true">IF(OR($D176&lt;&gt;"Serviço",AND(AUTOEVENTO="Manual",$M176=$A$15)),0,
         IF(OFFSET(CRONOPLE!$F$15,$M176-$A$15,BY$13)=0,10^12,OFFSET(CRONOPLE!$F$15,$M176-$A$15,BY$13)))</f>
        <v>7</v>
      </c>
      <c r="BZ176" s="353" t="n">
        <f aca="true">IF(OR($D176&lt;&gt;"Serviço",AND(AUTOEVENTO="Manual",$M176=$A$15)),0,
         IF(OFFSET(CRONOPLE!$F$15,$M176-$A$15,BZ$13)=0,10^12,OFFSET(CRONOPLE!$F$15,$M176-$A$15,BZ$13)))</f>
        <v>8</v>
      </c>
      <c r="CA176" s="353" t="n">
        <f aca="true">IF(OR($D176&lt;&gt;"Serviço",AND(AUTOEVENTO="Manual",$M176=$A$15)),0,
         IF(OFFSET(CRONOPLE!$F$15,$M176-$A$15,CA$13)=0,10^12,OFFSET(CRONOPLE!$F$15,$M176-$A$15,CA$13)))</f>
        <v>9</v>
      </c>
      <c r="CB176" s="353" t="n">
        <f aca="true">IF(OR($D176&lt;&gt;"Serviço",AND(AUTOEVENTO="Manual",$M176=$A$15)),0,
         IF(OFFSET(CRONOPLE!$F$15,$M176-$A$15,CB$13)=0,10^12,OFFSET(CRONOPLE!$F$15,$M176-$A$15,CB$13)))</f>
        <v>10</v>
      </c>
      <c r="CC176" s="353" t="n">
        <f aca="true">IF(OR($D176&lt;&gt;"Serviço",AND(AUTOEVENTO="Manual",$M176=$A$15)),0,
         IF(OFFSET(CRONOPLE!$F$15,$M176-$A$15,CC$13)=0,10^12,OFFSET(CRONOPLE!$F$15,$M176-$A$15,CC$13)))</f>
        <v>11</v>
      </c>
      <c r="CD176" s="353" t="n">
        <f aca="true">IF(OR($D176&lt;&gt;"Serviço",AND(AUTOEVENTO="Manual",$M176=$A$15)),0,
         IF(OFFSET(CRONOPLE!$F$15,$M176-$A$15,CD$13)=0,10^12,OFFSET(CRONOPLE!$F$15,$M176-$A$15,CD$13)))</f>
        <v>12</v>
      </c>
      <c r="CE176" s="353" t="n">
        <f aca="true">IF(OR($D176&lt;&gt;"Serviço",AND(AUTOEVENTO="Manual",$M176=$A$15)),0,
         IF(OFFSET(CRONOPLE!$F$15,$M176-$A$15,CE$13)=0,10^12,OFFSET(CRONOPLE!$F$15,$M176-$A$15,CE$13)))</f>
        <v>13</v>
      </c>
      <c r="CF176" s="353" t="n">
        <f aca="true">IF(OR($D176&lt;&gt;"Serviço",AND(AUTOEVENTO="Manual",$M176=$A$15)),0,
         IF(OFFSET(CRONOPLE!$F$15,$M176-$A$15,CF$13)=0,10^12,OFFSET(CRONOPLE!$F$15,$M176-$A$15,CF$13)))</f>
        <v>14</v>
      </c>
      <c r="CG176" s="353" t="n">
        <f aca="true">IF(OR($D176&lt;&gt;"Serviço",AND(AUTOEVENTO="Manual",$M176=$A$15)),0,
         IF(OFFSET(CRONOPLE!$F$15,$M176-$A$15,CG$13)=0,10^12,OFFSET(CRONOPLE!$F$15,$M176-$A$15,CG$13)))</f>
        <v>15</v>
      </c>
      <c r="CH176" s="353" t="n">
        <f aca="true">IF(OR($D176&lt;&gt;"Serviço",AND(AUTOEVENTO="Manual",$M176=$A$15)),0,
         IF(OFFSET(CRONOPLE!$F$15,$M176-$A$15,CH$13)=0,10^12,OFFSET(CRONOPLE!$F$15,$M176-$A$15,CH$13)))</f>
        <v>16</v>
      </c>
      <c r="CI176" s="353" t="n">
        <f aca="true">IF(OR($D176&lt;&gt;"Serviço",AND(AUTOEVENTO="Manual",$M176=$A$15)),0,
         IF(OFFSET(CRONOPLE!$F$15,$M176-$A$15,CI$13)=0,10^12,OFFSET(CRONOPLE!$F$15,$M176-$A$15,CI$13)))</f>
        <v>17</v>
      </c>
      <c r="CJ176" s="353" t="n">
        <f aca="true">IF(OR($D176&lt;&gt;"Serviço",AND(AUTOEVENTO="Manual",$M176=$A$15)),0,
         IF(OFFSET(CRONOPLE!$F$15,$M176-$A$15,CJ$13)=0,10^12,OFFSET(CRONOPLE!$F$15,$M176-$A$15,CJ$13)))</f>
        <v>18</v>
      </c>
      <c r="CK176" s="353" t="n">
        <f aca="true">IF(OR($D176&lt;&gt;"Serviço",AND(AUTOEVENTO="Manual",$M176=$A$15)),0,
         IF(OFFSET(CRONOPLE!$F$15,$M176-$A$15,CK$13)=0,10^12,OFFSET(CRONOPLE!$F$15,$M176-$A$15,CK$13)))</f>
        <v>19</v>
      </c>
      <c r="CL176" s="353" t="n">
        <f aca="true">IF(OR($D176&lt;&gt;"Serviço",AND(AUTOEVENTO="Manual",$M176=$A$15)),0,
         IF(OFFSET(CRONOPLE!$F$15,$M176-$A$15,CL$13)=0,10^12,OFFSET(CRONOPLE!$F$15,$M176-$A$15,CL$13)))</f>
        <v>20</v>
      </c>
      <c r="CM176" s="353" t="n">
        <f aca="true">IF(OR($D176&lt;&gt;"Serviço",AND(AUTOEVENTO="Manual",$M176=$A$15)),0,
         IF(OFFSET(CRONOPLE!$F$15,$M176-$A$15,CM$13)=0,10^12,OFFSET(CRONOPLE!$F$15,$M176-$A$15,CM$13)))</f>
        <v>21</v>
      </c>
      <c r="CN176" s="353" t="n">
        <f aca="true">IF(OR($D176&lt;&gt;"Serviço",AND(AUTOEVENTO="Manual",$M176=$A$15)),0,
         IF(OFFSET(CRONOPLE!$F$15,$M176-$A$15,CN$13)=0,10^12,OFFSET(CRONOPLE!$F$15,$M176-$A$15,CN$13)))</f>
        <v>22</v>
      </c>
      <c r="CO176" s="353" t="n">
        <f aca="true">IF(OR($D176&lt;&gt;"Serviço",AND(AUTOEVENTO="Manual",$M176=$A$15)),0,
         IF(OFFSET(CRONOPLE!$F$15,$M176-$A$15,CO$13)=0,10^12,OFFSET(CRONOPLE!$F$15,$M176-$A$15,CO$13)))</f>
        <v>23</v>
      </c>
      <c r="CP176" s="353" t="n">
        <f aca="true">IF(OR($D176&lt;&gt;"Serviço",AND(AUTOEVENTO="Manual",$M176=$A$15)),0,
         IF(OFFSET(CRONOPLE!$F$15,$M176-$A$15,CP$13)=0,10^12,OFFSET(CRONOPLE!$F$15,$M176-$A$15,CP$13)))</f>
        <v>24</v>
      </c>
      <c r="CQ176" s="353" t="n">
        <f aca="true">IF(OR($D176&lt;&gt;"Serviço",AND(AUTOEVENTO="Manual",$M176=$A$15)),0,
         IF(OFFSET(CRONOPLE!$F$15,$M176-$A$15,CQ$13)=0,10^12,OFFSET(CRONOPLE!$F$15,$M176-$A$15,CQ$13)))</f>
        <v>25</v>
      </c>
      <c r="CR176" s="353" t="n">
        <f aca="true">IF(OR($D176&lt;&gt;"Serviço",AND(AUTOEVENTO="Manual",$M176=$A$15)),0,
         IF(OFFSET(CRONOPLE!$F$15,$M176-$A$15,CR$13)=0,10^12,OFFSET(CRONOPLE!$F$15,$M176-$A$15,CR$13)))</f>
        <v>1000000000000</v>
      </c>
      <c r="CT176" s="354" t="n">
        <f aca="true">IF(OR($D176&lt;&gt;"Serviço",AND(AUTOEVENTO="Manual",$M176=$A$15),$M176&gt;(ROW(PLE.lastrow)-ROW(PLE.firstrow))),0,
           IF(OFFSET(PLE!$G$15,$M176-$A$15,CT$13)="",10^12,OFFSET(PLE!$G$15,$M176-$A$15,CT$13)))</f>
        <v>1000000000000</v>
      </c>
      <c r="CU176" s="354" t="n">
        <f aca="true">IF(OR($D176&lt;&gt;"Serviço",AND(AUTOEVENTO="Manual",$M176=$A$15),$M176&gt;(ROW(PLE.lastrow)-ROW(PLE.firstrow))),0,
           IF(OFFSET(PLE!$G$15,$M176-$A$15,CU$13)="",10^12,OFFSET(PLE!$G$15,$M176-$A$15,CU$13)))</f>
        <v>1000000000000</v>
      </c>
      <c r="CV176" s="354" t="n">
        <f aca="true">IF(OR($D176&lt;&gt;"Serviço",AND(AUTOEVENTO="Manual",$M176=$A$15),$M176&gt;(ROW(PLE.lastrow)-ROW(PLE.firstrow))),0,
           IF(OFFSET(PLE!$G$15,$M176-$A$15,CV$13)="",10^12,OFFSET(PLE!$G$15,$M176-$A$15,CV$13)))</f>
        <v>1000000000000</v>
      </c>
      <c r="CW176" s="354" t="n">
        <f aca="true">IF(OR($D176&lt;&gt;"Serviço",AND(AUTOEVENTO="Manual",$M176=$A$15),$M176&gt;(ROW(PLE.lastrow)-ROW(PLE.firstrow))),0,
           IF(OFFSET(PLE!$G$15,$M176-$A$15,CW$13)="",10^12,OFFSET(PLE!$G$15,$M176-$A$15,CW$13)))</f>
        <v>1000000000000</v>
      </c>
      <c r="CX176" s="354" t="n">
        <f aca="true">IF(OR($D176&lt;&gt;"Serviço",AND(AUTOEVENTO="Manual",$M176=$A$15),$M176&gt;(ROW(PLE.lastrow)-ROW(PLE.firstrow))),0,
           IF(OFFSET(PLE!$G$15,$M176-$A$15,CX$13)="",10^12,OFFSET(PLE!$G$15,$M176-$A$15,CX$13)))</f>
        <v>1000000000000</v>
      </c>
      <c r="CY176" s="354" t="n">
        <f aca="true">IF(OR($D176&lt;&gt;"Serviço",AND(AUTOEVENTO="Manual",$M176=$A$15),$M176&gt;(ROW(PLE.lastrow)-ROW(PLE.firstrow))),0,
           IF(OFFSET(PLE!$G$15,$M176-$A$15,CY$13)="",10^12,OFFSET(PLE!$G$15,$M176-$A$15,CY$13)))</f>
        <v>1000000000000</v>
      </c>
      <c r="CZ176" s="354" t="n">
        <f aca="true">IF(OR($D176&lt;&gt;"Serviço",AND(AUTOEVENTO="Manual",$M176=$A$15),$M176&gt;(ROW(PLE.lastrow)-ROW(PLE.firstrow))),0,
           IF(OFFSET(PLE!$G$15,$M176-$A$15,CZ$13)="",10^12,OFFSET(PLE!$G$15,$M176-$A$15,CZ$13)))</f>
        <v>1000000000000</v>
      </c>
      <c r="DA176" s="354" t="n">
        <f aca="true">IF(OR($D176&lt;&gt;"Serviço",AND(AUTOEVENTO="Manual",$M176=$A$15),$M176&gt;(ROW(PLE.lastrow)-ROW(PLE.firstrow))),0,
           IF(OFFSET(PLE!$G$15,$M176-$A$15,DA$13)="",10^12,OFFSET(PLE!$G$15,$M176-$A$15,DA$13)))</f>
        <v>1000000000000</v>
      </c>
      <c r="DB176" s="354" t="n">
        <f aca="true">IF(OR($D176&lt;&gt;"Serviço",AND(AUTOEVENTO="Manual",$M176=$A$15),$M176&gt;(ROW(PLE.lastrow)-ROW(PLE.firstrow))),0,
           IF(OFFSET(PLE!$G$15,$M176-$A$15,DB$13)="",10^12,OFFSET(PLE!$G$15,$M176-$A$15,DB$13)))</f>
        <v>1000000000000</v>
      </c>
      <c r="DC176" s="354" t="n">
        <f aca="true">IF(OR($D176&lt;&gt;"Serviço",AND(AUTOEVENTO="Manual",$M176=$A$15),$M176&gt;(ROW(PLE.lastrow)-ROW(PLE.firstrow))),0,
           IF(OFFSET(PLE!$G$15,$M176-$A$15,DC$13)="",10^12,OFFSET(PLE!$G$15,$M176-$A$15,DC$13)))</f>
        <v>1000000000000</v>
      </c>
      <c r="DD176" s="354" t="n">
        <f aca="true">IF(OR($D176&lt;&gt;"Serviço",AND(AUTOEVENTO="Manual",$M176=$A$15),$M176&gt;(ROW(PLE.lastrow)-ROW(PLE.firstrow))),0,
           IF(OFFSET(PLE!$G$15,$M176-$A$15,DD$13)="",10^12,OFFSET(PLE!$G$15,$M176-$A$15,DD$13)))</f>
        <v>1000000000000</v>
      </c>
      <c r="DE176" s="354" t="n">
        <f aca="true">IF(OR($D176&lt;&gt;"Serviço",AND(AUTOEVENTO="Manual",$M176=$A$15),$M176&gt;(ROW(PLE.lastrow)-ROW(PLE.firstrow))),0,
           IF(OFFSET(PLE!$G$15,$M176-$A$15,DE$13)="",10^12,OFFSET(PLE!$G$15,$M176-$A$15,DE$13)))</f>
        <v>1000000000000</v>
      </c>
      <c r="DF176" s="354" t="n">
        <f aca="true">IF(OR($D176&lt;&gt;"Serviço",AND(AUTOEVENTO="Manual",$M176=$A$15),$M176&gt;(ROW(PLE.lastrow)-ROW(PLE.firstrow))),0,
           IF(OFFSET(PLE!$G$15,$M176-$A$15,DF$13)="",10^12,OFFSET(PLE!$G$15,$M176-$A$15,DF$13)))</f>
        <v>1000000000000</v>
      </c>
      <c r="DG176" s="354" t="n">
        <f aca="true">IF(OR($D176&lt;&gt;"Serviço",AND(AUTOEVENTO="Manual",$M176=$A$15),$M176&gt;(ROW(PLE.lastrow)-ROW(PLE.firstrow))),0,
           IF(OFFSET(PLE!$G$15,$M176-$A$15,DG$13)="",10^12,OFFSET(PLE!$G$15,$M176-$A$15,DG$13)))</f>
        <v>1000000000000</v>
      </c>
      <c r="DH176" s="354" t="n">
        <f aca="true">IF(OR($D176&lt;&gt;"Serviço",AND(AUTOEVENTO="Manual",$M176=$A$15),$M176&gt;(ROW(PLE.lastrow)-ROW(PLE.firstrow))),0,
           IF(OFFSET(PLE!$G$15,$M176-$A$15,DH$13)="",10^12,OFFSET(PLE!$G$15,$M176-$A$15,DH$13)))</f>
        <v>1000000000000</v>
      </c>
      <c r="DI176" s="354" t="n">
        <f aca="true">IF(OR($D176&lt;&gt;"Serviço",AND(AUTOEVENTO="Manual",$M176=$A$15),$M176&gt;(ROW(PLE.lastrow)-ROW(PLE.firstrow))),0,
           IF(OFFSET(PLE!$G$15,$M176-$A$15,DI$13)="",10^12,OFFSET(PLE!$G$15,$M176-$A$15,DI$13)))</f>
        <v>1000000000000</v>
      </c>
      <c r="DJ176" s="354" t="n">
        <f aca="true">IF(OR($D176&lt;&gt;"Serviço",AND(AUTOEVENTO="Manual",$M176=$A$15),$M176&gt;(ROW(PLE.lastrow)-ROW(PLE.firstrow))),0,
           IF(OFFSET(PLE!$G$15,$M176-$A$15,DJ$13)="",10^12,OFFSET(PLE!$G$15,$M176-$A$15,DJ$13)))</f>
        <v>1000000000000</v>
      </c>
      <c r="DK176" s="354" t="n">
        <f aca="true">IF(OR($D176&lt;&gt;"Serviço",AND(AUTOEVENTO="Manual",$M176=$A$15),$M176&gt;(ROW(PLE.lastrow)-ROW(PLE.firstrow))),0,
           IF(OFFSET(PLE!$G$15,$M176-$A$15,DK$13)="",10^12,OFFSET(PLE!$G$15,$M176-$A$15,DK$13)))</f>
        <v>1000000000000</v>
      </c>
      <c r="DL176" s="354" t="n">
        <f aca="true">IF(OR($D176&lt;&gt;"Serviço",AND(AUTOEVENTO="Manual",$M176=$A$15),$M176&gt;(ROW(PLE.lastrow)-ROW(PLE.firstrow))),0,
           IF(OFFSET(PLE!$G$15,$M176-$A$15,DL$13)="",10^12,OFFSET(PLE!$G$15,$M176-$A$15,DL$13)))</f>
        <v>1000000000000</v>
      </c>
      <c r="DM176" s="354" t="n">
        <f aca="true">IF(OR($D176&lt;&gt;"Serviço",AND(AUTOEVENTO="Manual",$M176=$A$15),$M176&gt;(ROW(PLE.lastrow)-ROW(PLE.firstrow))),0,
           IF(OFFSET(PLE!$G$15,$M176-$A$15,DM$13)="",10^12,OFFSET(PLE!$G$15,$M176-$A$15,DM$13)))</f>
        <v>1000000000000</v>
      </c>
      <c r="DN176" s="354" t="n">
        <f aca="true">IF(OR($D176&lt;&gt;"Serviço",AND(AUTOEVENTO="Manual",$M176=$A$15),$M176&gt;(ROW(PLE.lastrow)-ROW(PLE.firstrow))),0,
           IF(OFFSET(PLE!$G$15,$M176-$A$15,DN$13)="",10^12,OFFSET(PLE!$G$15,$M176-$A$15,DN$13)))</f>
        <v>1000000000000</v>
      </c>
      <c r="DO176" s="354" t="n">
        <f aca="true">IF(OR($D176&lt;&gt;"Serviço",AND(AUTOEVENTO="Manual",$M176=$A$15),$M176&gt;(ROW(PLE.lastrow)-ROW(PLE.firstrow))),0,
           IF(OFFSET(PLE!$G$15,$M176-$A$15,DO$13)="",10^12,OFFSET(PLE!$G$15,$M176-$A$15,DO$13)))</f>
        <v>1000000000000</v>
      </c>
      <c r="DP176" s="354" t="n">
        <f aca="true">IF(OR($D176&lt;&gt;"Serviço",AND(AUTOEVENTO="Manual",$M176=$A$15),$M176&gt;(ROW(PLE.lastrow)-ROW(PLE.firstrow))),0,
           IF(OFFSET(PLE!$G$15,$M176-$A$15,DP$13)="",10^12,OFFSET(PLE!$G$15,$M176-$A$15,DP$13)))</f>
        <v>1000000000000</v>
      </c>
      <c r="DQ176" s="354" t="n">
        <f aca="true">IF(OR($D176&lt;&gt;"Serviço",AND(AUTOEVENTO="Manual",$M176=$A$15),$M176&gt;(ROW(PLE.lastrow)-ROW(PLE.firstrow))),0,
           IF(OFFSET(PLE!$G$15,$M176-$A$15,DQ$13)="",10^12,OFFSET(PLE!$G$15,$M176-$A$15,DQ$13)))</f>
        <v>1000000000000</v>
      </c>
      <c r="DR176" s="354" t="n">
        <f aca="true">IF(OR($D176&lt;&gt;"Serviço",AND(AUTOEVENTO="Manual",$M176=$A$15),$M176&gt;(ROW(PLE.lastrow)-ROW(PLE.firstrow))),0,
           IF(OFFSET(PLE!$G$15,$M176-$A$15,DR$13)="",10^12,OFFSET(PLE!$G$15,$M176-$A$15,DR$13)))</f>
        <v>1000000000000</v>
      </c>
      <c r="DS176" s="354" t="n">
        <f aca="true">IF(OR($D176&lt;&gt;"Serviço",AND(AUTOEVENTO="Manual",$M176=$A$15),$M176&gt;(ROW(PLE.lastrow)-ROW(PLE.firstrow))),0,
           IF(OFFSET(PLE!$G$15,$M176-$A$15,DS$13)="",10^12,OFFSET(PLE!$G$15,$M176-$A$15,DS$13)))</f>
        <v>1000000000000</v>
      </c>
    </row>
    <row r="177" customFormat="false" ht="35.05" hidden="false" customHeight="false" outlineLevel="0" collapsed="false">
      <c r="A177" s="50" t="str">
        <f aca="true">IFERROR(IF(AUTOEVENTO="Manual",IF(K177&lt;&gt;"",MIN(VALUE(LEFT(K177,FIND(".",K177)-1)),COUNTA(EVENTOS.Lista)),0),IF(OR($B177&gt;AUTOEVENTO,$B177="S",$B177=0),SUBSTITUTE(OFFSET($A177,-1,0),IF($D177="Serviço",".",""),""),ROW(A177)-ROW($A$15)&amp;".")),0)</f>
        <v>157</v>
      </c>
      <c r="B177" s="50" t="str">
        <f aca="true">OFFSET(ORÇAMENTO!C$15,ROW(B177)-ROW(B$15),0)</f>
        <v>S</v>
      </c>
      <c r="C177" s="50" t="str">
        <f aca="true">OFFSET(ORÇAMENTO!L$15,ROW(C177)-ROW(C$15),0)</f>
        <v>F</v>
      </c>
      <c r="D177" s="201" t="str">
        <f aca="true">OFFSET(ORÇAMENTO!N$15,ROW(D177)-ROW(D$15),0)</f>
        <v>Serviço</v>
      </c>
      <c r="E177" s="202" t="str">
        <f aca="true">OFFSET(ORÇAMENTO!O$15,ROW(E177)-ROW(E$15),0)</f>
        <v>1.45.5.</v>
      </c>
      <c r="F177" s="341" t="str">
        <f aca="true">OFFSET(ORÇAMENTO!R$15,ROW(F177)-ROW(F$15),0)</f>
        <v>JOELHO 90 GRAUS, PVC, SERIE NORMAL, ESGOTO PREDIAL, DN 100 MM, JUNTA ELÁSTICA, FORNECIDO E INSTALADO EM RAMAL DE DESCARGA OU RAMAL DE ESGOTO SANITÁRIO. AF_08/2022</v>
      </c>
      <c r="G177" s="342" t="str">
        <f aca="true">IF($D177&lt;&gt;"Serviço","",OFFSET(ORÇAMENTO!S$15,ROW(G177)-ROW(G$15),0))</f>
        <v>UN</v>
      </c>
      <c r="H177" s="207" t="n">
        <f aca="true">IF($D177&lt;&gt;"Serviço",0,IF(ACOMPANHAMENTO="BM",ROUND(OFFSET(ORÇAMENTO!AJ$15,ROW(H177)-ROW(H$15),0),15-13*ORÇAMENTO!$AF$7),SUMPRODUCT(($Q$1:$AQ$1=1)*ROUND($Q177:$AQ177,15-13*ORÇAMENTO!$AF$7))))</f>
        <v>25</v>
      </c>
      <c r="I177" s="343" t="s">
        <v>969</v>
      </c>
      <c r="J177" s="344" t="e">
        <f aca="false">IF(OR(B177&lt;&gt;"S",CÁLCULO.FrentesPreenchidas=0),"",IF(AND(ACOMPANHAMENTO="PLE",AUTOEVENTO="Manual",OR(H177&gt;0,ORÇAMENTO!AC177="QUANT."),OR(K177="",M177=0,N177="")),"►",IF(AND(ACOMPANHAMENTO="PLE",ORÇAMENTO!AC177="QUANT."),"►►",IF(AND(COUNTIF($P$11:$AQ$11,"▼")=0,H177&gt;0,I177=""),"◄",""))))</f>
        <v>#NAME?</v>
      </c>
      <c r="K177" s="345"/>
      <c r="L177" s="346" t="s">
        <v>876</v>
      </c>
      <c r="M177" s="347" t="n">
        <f aca="true">IF($D177&lt;&gt;"Serviço","",
          IF(AUTOEVENTO="manual",$A177,
                IF(ISERROR(MATCH($A177,$A$15:OFFSET($A177,-1,0),0)),MAX($M$15:OFFSET(M177,-1,0))+1,
                      INDEX($M$15:OFFSET(M177,-1,0),MATCH($A177,$A$15:OFFSET($A177,-1,0),0)))))</f>
        <v>28</v>
      </c>
      <c r="N177" s="348" t="str">
        <f aca="true">IF($D177&lt;&gt;"Serviço","",
         IF(AUTOEVENTO="Manual",
                IF($A177=0,"&lt;-- defina o número do agrupador",
                       OFFSET(EVENTOS!$D$15,$A177-$A$15,0)),
                OFFSET($F$15,$A177,0)))</f>
        <v>TUBULAÇÕES E CONEXÕES</v>
      </c>
      <c r="O177" s="349"/>
      <c r="Q177" s="349" t="n">
        <v>1</v>
      </c>
      <c r="R177" s="350" t="n">
        <v>1</v>
      </c>
      <c r="S177" s="350" t="n">
        <v>1</v>
      </c>
      <c r="T177" s="350" t="n">
        <v>1</v>
      </c>
      <c r="U177" s="350" t="n">
        <v>1</v>
      </c>
      <c r="V177" s="350" t="n">
        <v>1</v>
      </c>
      <c r="W177" s="350" t="n">
        <v>1</v>
      </c>
      <c r="X177" s="350" t="n">
        <v>1</v>
      </c>
      <c r="Y177" s="350" t="n">
        <v>1</v>
      </c>
      <c r="Z177" s="351" t="n">
        <v>1</v>
      </c>
      <c r="AA177" s="350" t="n">
        <v>1</v>
      </c>
      <c r="AB177" s="350" t="n">
        <v>1</v>
      </c>
      <c r="AC177" s="350" t="n">
        <v>1</v>
      </c>
      <c r="AD177" s="350" t="n">
        <v>1</v>
      </c>
      <c r="AE177" s="350" t="n">
        <v>1</v>
      </c>
      <c r="AF177" s="350" t="n">
        <v>1</v>
      </c>
      <c r="AG177" s="350" t="n">
        <v>1</v>
      </c>
      <c r="AH177" s="351" t="n">
        <v>1</v>
      </c>
      <c r="AI177" s="350" t="n">
        <v>1</v>
      </c>
      <c r="AJ177" s="350" t="n">
        <v>1</v>
      </c>
      <c r="AK177" s="350" t="n">
        <v>1</v>
      </c>
      <c r="AL177" s="350" t="n">
        <v>1</v>
      </c>
      <c r="AM177" s="350" t="n">
        <v>1</v>
      </c>
      <c r="AN177" s="350" t="n">
        <v>1</v>
      </c>
      <c r="AO177" s="350" t="n">
        <v>1</v>
      </c>
      <c r="AP177" s="351"/>
      <c r="AR177" s="352" t="n">
        <f aca="true">IF(AND($D177="Serviço",AR$12&lt;&gt;0,$H177&gt;0,OR(AUTOEVENTO&lt;&gt;"manual",$M177&lt;&gt;$A$15)),
        IF(Import.TipoArredondamento&lt;&gt;"TransfereGOV",
              ROUND(OFFSET($P177,0,AR$13),15-13*ORÇAMENTO!$AF$7)/$H177*OFFSET(ORÇAMENTO!$X$15,ROW(AR177)-ROW(AR$15),0),
              ROUND(ROUND(OFFSET($P177,0,AR$13),15-13*ORÇAMENTO!$AF$7)*OFFSET(ORÇAMENTO!$W$15,ROW(AR177)-ROW(AR$15),0),15-13*ORÇAMENTO!$AF$11)),
         0)</f>
        <v>34.56</v>
      </c>
      <c r="AS177" s="352" t="n">
        <f aca="true">IF(AND($D177="Serviço",AS$12&lt;&gt;0,$H177&gt;0,OR(AUTOEVENTO&lt;&gt;"manual",$M177&lt;&gt;$A$15)),
        IF(Import.TipoArredondamento&lt;&gt;"TransfereGOV",
              ROUND(OFFSET($P177,0,AS$13),15-13*ORÇAMENTO!$AF$7)/$H177*OFFSET(ORÇAMENTO!$X$15,ROW(AS177)-ROW(AS$15),0),
              ROUND(ROUND(OFFSET($P177,0,AS$13),15-13*ORÇAMENTO!$AF$7)*OFFSET(ORÇAMENTO!$W$15,ROW(AS177)-ROW(AS$15),0),15-13*ORÇAMENTO!$AF$11)),
         0)</f>
        <v>34.56</v>
      </c>
      <c r="AT177" s="352" t="n">
        <f aca="true">IF(AND($D177="Serviço",AT$12&lt;&gt;0,$H177&gt;0,OR(AUTOEVENTO&lt;&gt;"manual",$M177&lt;&gt;$A$15)),
        IF(Import.TipoArredondamento&lt;&gt;"TransfereGOV",
              ROUND(OFFSET($P177,0,AT$13),15-13*ORÇAMENTO!$AF$7)/$H177*OFFSET(ORÇAMENTO!$X$15,ROW(AT177)-ROW(AT$15),0),
              ROUND(ROUND(OFFSET($P177,0,AT$13),15-13*ORÇAMENTO!$AF$7)*OFFSET(ORÇAMENTO!$W$15,ROW(AT177)-ROW(AT$15),0),15-13*ORÇAMENTO!$AF$11)),
         0)</f>
        <v>34.56</v>
      </c>
      <c r="AU177" s="352" t="n">
        <f aca="true">IF(AND($D177="Serviço",AU$12&lt;&gt;0,$H177&gt;0,OR(AUTOEVENTO&lt;&gt;"manual",$M177&lt;&gt;$A$15)),
        IF(Import.TipoArredondamento&lt;&gt;"TransfereGOV",
              ROUND(OFFSET($P177,0,AU$13),15-13*ORÇAMENTO!$AF$7)/$H177*OFFSET(ORÇAMENTO!$X$15,ROW(AU177)-ROW(AU$15),0),
              ROUND(ROUND(OFFSET($P177,0,AU$13),15-13*ORÇAMENTO!$AF$7)*OFFSET(ORÇAMENTO!$W$15,ROW(AU177)-ROW(AU$15),0),15-13*ORÇAMENTO!$AF$11)),
         0)</f>
        <v>34.56</v>
      </c>
      <c r="AV177" s="352" t="n">
        <f aca="true">IF(AND($D177="Serviço",AV$12&lt;&gt;0,$H177&gt;0,OR(AUTOEVENTO&lt;&gt;"manual",$M177&lt;&gt;$A$15)),
        IF(Import.TipoArredondamento&lt;&gt;"TransfereGOV",
              ROUND(OFFSET($P177,0,AV$13),15-13*ORÇAMENTO!$AF$7)/$H177*OFFSET(ORÇAMENTO!$X$15,ROW(AV177)-ROW(AV$15),0),
              ROUND(ROUND(OFFSET($P177,0,AV$13),15-13*ORÇAMENTO!$AF$7)*OFFSET(ORÇAMENTO!$W$15,ROW(AV177)-ROW(AV$15),0),15-13*ORÇAMENTO!$AF$11)),
         0)</f>
        <v>34.56</v>
      </c>
      <c r="AW177" s="352" t="n">
        <f aca="true">IF(AND($D177="Serviço",AW$12&lt;&gt;0,$H177&gt;0,OR(AUTOEVENTO&lt;&gt;"manual",$M177&lt;&gt;$A$15)),
        IF(Import.TipoArredondamento&lt;&gt;"TransfereGOV",
              ROUND(OFFSET($P177,0,AW$13),15-13*ORÇAMENTO!$AF$7)/$H177*OFFSET(ORÇAMENTO!$X$15,ROW(AW177)-ROW(AW$15),0),
              ROUND(ROUND(OFFSET($P177,0,AW$13),15-13*ORÇAMENTO!$AF$7)*OFFSET(ORÇAMENTO!$W$15,ROW(AW177)-ROW(AW$15),0),15-13*ORÇAMENTO!$AF$11)),
         0)</f>
        <v>34.56</v>
      </c>
      <c r="AX177" s="352" t="n">
        <f aca="true">IF(AND($D177="Serviço",AX$12&lt;&gt;0,$H177&gt;0,OR(AUTOEVENTO&lt;&gt;"manual",$M177&lt;&gt;$A$15)),
        IF(Import.TipoArredondamento&lt;&gt;"TransfereGOV",
              ROUND(OFFSET($P177,0,AX$13),15-13*ORÇAMENTO!$AF$7)/$H177*OFFSET(ORÇAMENTO!$X$15,ROW(AX177)-ROW(AX$15),0),
              ROUND(ROUND(OFFSET($P177,0,AX$13),15-13*ORÇAMENTO!$AF$7)*OFFSET(ORÇAMENTO!$W$15,ROW(AX177)-ROW(AX$15),0),15-13*ORÇAMENTO!$AF$11)),
         0)</f>
        <v>34.56</v>
      </c>
      <c r="AY177" s="352" t="n">
        <f aca="true">IF(AND($D177="Serviço",AY$12&lt;&gt;0,$H177&gt;0,OR(AUTOEVENTO&lt;&gt;"manual",$M177&lt;&gt;$A$15)),
        IF(Import.TipoArredondamento&lt;&gt;"TransfereGOV",
              ROUND(OFFSET($P177,0,AY$13),15-13*ORÇAMENTO!$AF$7)/$H177*OFFSET(ORÇAMENTO!$X$15,ROW(AY177)-ROW(AY$15),0),
              ROUND(ROUND(OFFSET($P177,0,AY$13),15-13*ORÇAMENTO!$AF$7)*OFFSET(ORÇAMENTO!$W$15,ROW(AY177)-ROW(AY$15),0),15-13*ORÇAMENTO!$AF$11)),
         0)</f>
        <v>34.56</v>
      </c>
      <c r="AZ177" s="352" t="n">
        <f aca="true">IF(AND($D177="Serviço",AZ$12&lt;&gt;0,$H177&gt;0,OR(AUTOEVENTO&lt;&gt;"manual",$M177&lt;&gt;$A$15)),
        IF(Import.TipoArredondamento&lt;&gt;"TransfereGOV",
              ROUND(OFFSET($P177,0,AZ$13),15-13*ORÇAMENTO!$AF$7)/$H177*OFFSET(ORÇAMENTO!$X$15,ROW(AZ177)-ROW(AZ$15),0),
              ROUND(ROUND(OFFSET($P177,0,AZ$13),15-13*ORÇAMENTO!$AF$7)*OFFSET(ORÇAMENTO!$W$15,ROW(AZ177)-ROW(AZ$15),0),15-13*ORÇAMENTO!$AF$11)),
         0)</f>
        <v>34.56</v>
      </c>
      <c r="BA177" s="352" t="n">
        <f aca="true">IF(AND($D177="Serviço",BA$12&lt;&gt;0,$H177&gt;0,OR(AUTOEVENTO&lt;&gt;"manual",$M177&lt;&gt;$A$15)),
        IF(Import.TipoArredondamento&lt;&gt;"TransfereGOV",
              ROUND(OFFSET($P177,0,BA$13),15-13*ORÇAMENTO!$AF$7)/$H177*OFFSET(ORÇAMENTO!$X$15,ROW(BA177)-ROW(BA$15),0),
              ROUND(ROUND(OFFSET($P177,0,BA$13),15-13*ORÇAMENTO!$AF$7)*OFFSET(ORÇAMENTO!$W$15,ROW(BA177)-ROW(BA$15),0),15-13*ORÇAMENTO!$AF$11)),
         0)</f>
        <v>34.56</v>
      </c>
      <c r="BB177" s="352" t="n">
        <f aca="true">IF(AND($D177="Serviço",BB$12&lt;&gt;0,$H177&gt;0,OR(AUTOEVENTO&lt;&gt;"manual",$M177&lt;&gt;$A$15)),
        IF(Import.TipoArredondamento&lt;&gt;"TransfereGOV",
              ROUND(OFFSET($P177,0,BB$13),15-13*ORÇAMENTO!$AF$7)/$H177*OFFSET(ORÇAMENTO!$X$15,ROW(BB177)-ROW(BB$15),0),
              ROUND(ROUND(OFFSET($P177,0,BB$13),15-13*ORÇAMENTO!$AF$7)*OFFSET(ORÇAMENTO!$W$15,ROW(BB177)-ROW(BB$15),0),15-13*ORÇAMENTO!$AF$11)),
         0)</f>
        <v>34.56</v>
      </c>
      <c r="BC177" s="352" t="n">
        <f aca="true">IF(AND($D177="Serviço",BC$12&lt;&gt;0,$H177&gt;0,OR(AUTOEVENTO&lt;&gt;"manual",$M177&lt;&gt;$A$15)),
        IF(Import.TipoArredondamento&lt;&gt;"TransfereGOV",
              ROUND(OFFSET($P177,0,BC$13),15-13*ORÇAMENTO!$AF$7)/$H177*OFFSET(ORÇAMENTO!$X$15,ROW(BC177)-ROW(BC$15),0),
              ROUND(ROUND(OFFSET($P177,0,BC$13),15-13*ORÇAMENTO!$AF$7)*OFFSET(ORÇAMENTO!$W$15,ROW(BC177)-ROW(BC$15),0),15-13*ORÇAMENTO!$AF$11)),
         0)</f>
        <v>34.56</v>
      </c>
      <c r="BD177" s="352" t="n">
        <f aca="true">IF(AND($D177="Serviço",BD$12&lt;&gt;0,$H177&gt;0,OR(AUTOEVENTO&lt;&gt;"manual",$M177&lt;&gt;$A$15)),
        IF(Import.TipoArredondamento&lt;&gt;"TransfereGOV",
              ROUND(OFFSET($P177,0,BD$13),15-13*ORÇAMENTO!$AF$7)/$H177*OFFSET(ORÇAMENTO!$X$15,ROW(BD177)-ROW(BD$15),0),
              ROUND(ROUND(OFFSET($P177,0,BD$13),15-13*ORÇAMENTO!$AF$7)*OFFSET(ORÇAMENTO!$W$15,ROW(BD177)-ROW(BD$15),0),15-13*ORÇAMENTO!$AF$11)),
         0)</f>
        <v>34.56</v>
      </c>
      <c r="BE177" s="352" t="n">
        <f aca="true">IF(AND($D177="Serviço",BE$12&lt;&gt;0,$H177&gt;0,OR(AUTOEVENTO&lt;&gt;"manual",$M177&lt;&gt;$A$15)),
        IF(Import.TipoArredondamento&lt;&gt;"TransfereGOV",
              ROUND(OFFSET($P177,0,BE$13),15-13*ORÇAMENTO!$AF$7)/$H177*OFFSET(ORÇAMENTO!$X$15,ROW(BE177)-ROW(BE$15),0),
              ROUND(ROUND(OFFSET($P177,0,BE$13),15-13*ORÇAMENTO!$AF$7)*OFFSET(ORÇAMENTO!$W$15,ROW(BE177)-ROW(BE$15),0),15-13*ORÇAMENTO!$AF$11)),
         0)</f>
        <v>34.56</v>
      </c>
      <c r="BF177" s="352" t="n">
        <f aca="true">IF(AND($D177="Serviço",BF$12&lt;&gt;0,$H177&gt;0,OR(AUTOEVENTO&lt;&gt;"manual",$M177&lt;&gt;$A$15)),
        IF(Import.TipoArredondamento&lt;&gt;"TransfereGOV",
              ROUND(OFFSET($P177,0,BF$13),15-13*ORÇAMENTO!$AF$7)/$H177*OFFSET(ORÇAMENTO!$X$15,ROW(BF177)-ROW(BF$15),0),
              ROUND(ROUND(OFFSET($P177,0,BF$13),15-13*ORÇAMENTO!$AF$7)*OFFSET(ORÇAMENTO!$W$15,ROW(BF177)-ROW(BF$15),0),15-13*ORÇAMENTO!$AF$11)),
         0)</f>
        <v>34.56</v>
      </c>
      <c r="BG177" s="352" t="n">
        <f aca="true">IF(AND($D177="Serviço",BG$12&lt;&gt;0,$H177&gt;0,OR(AUTOEVENTO&lt;&gt;"manual",$M177&lt;&gt;$A$15)),
        IF(Import.TipoArredondamento&lt;&gt;"TransfereGOV",
              ROUND(OFFSET($P177,0,BG$13),15-13*ORÇAMENTO!$AF$7)/$H177*OFFSET(ORÇAMENTO!$X$15,ROW(BG177)-ROW(BG$15),0),
              ROUND(ROUND(OFFSET($P177,0,BG$13),15-13*ORÇAMENTO!$AF$7)*OFFSET(ORÇAMENTO!$W$15,ROW(BG177)-ROW(BG$15),0),15-13*ORÇAMENTO!$AF$11)),
         0)</f>
        <v>34.56</v>
      </c>
      <c r="BH177" s="352" t="n">
        <f aca="true">IF(AND($D177="Serviço",BH$12&lt;&gt;0,$H177&gt;0,OR(AUTOEVENTO&lt;&gt;"manual",$M177&lt;&gt;$A$15)),
        IF(Import.TipoArredondamento&lt;&gt;"TransfereGOV",
              ROUND(OFFSET($P177,0,BH$13),15-13*ORÇAMENTO!$AF$7)/$H177*OFFSET(ORÇAMENTO!$X$15,ROW(BH177)-ROW(BH$15),0),
              ROUND(ROUND(OFFSET($P177,0,BH$13),15-13*ORÇAMENTO!$AF$7)*OFFSET(ORÇAMENTO!$W$15,ROW(BH177)-ROW(BH$15),0),15-13*ORÇAMENTO!$AF$11)),
         0)</f>
        <v>34.56</v>
      </c>
      <c r="BI177" s="352" t="n">
        <f aca="true">IF(AND($D177="Serviço",BI$12&lt;&gt;0,$H177&gt;0,OR(AUTOEVENTO&lt;&gt;"manual",$M177&lt;&gt;$A$15)),
        IF(Import.TipoArredondamento&lt;&gt;"TransfereGOV",
              ROUND(OFFSET($P177,0,BI$13),15-13*ORÇAMENTO!$AF$7)/$H177*OFFSET(ORÇAMENTO!$X$15,ROW(BI177)-ROW(BI$15),0),
              ROUND(ROUND(OFFSET($P177,0,BI$13),15-13*ORÇAMENTO!$AF$7)*OFFSET(ORÇAMENTO!$W$15,ROW(BI177)-ROW(BI$15),0),15-13*ORÇAMENTO!$AF$11)),
         0)</f>
        <v>34.56</v>
      </c>
      <c r="BJ177" s="352" t="n">
        <f aca="true">IF(AND($D177="Serviço",BJ$12&lt;&gt;0,$H177&gt;0,OR(AUTOEVENTO&lt;&gt;"manual",$M177&lt;&gt;$A$15)),
        IF(Import.TipoArredondamento&lt;&gt;"TransfereGOV",
              ROUND(OFFSET($P177,0,BJ$13),15-13*ORÇAMENTO!$AF$7)/$H177*OFFSET(ORÇAMENTO!$X$15,ROW(BJ177)-ROW(BJ$15),0),
              ROUND(ROUND(OFFSET($P177,0,BJ$13),15-13*ORÇAMENTO!$AF$7)*OFFSET(ORÇAMENTO!$W$15,ROW(BJ177)-ROW(BJ$15),0),15-13*ORÇAMENTO!$AF$11)),
         0)</f>
        <v>34.56</v>
      </c>
      <c r="BK177" s="352" t="n">
        <f aca="true">IF(AND($D177="Serviço",BK$12&lt;&gt;0,$H177&gt;0,OR(AUTOEVENTO&lt;&gt;"manual",$M177&lt;&gt;$A$15)),
        IF(Import.TipoArredondamento&lt;&gt;"TransfereGOV",
              ROUND(OFFSET($P177,0,BK$13),15-13*ORÇAMENTO!$AF$7)/$H177*OFFSET(ORÇAMENTO!$X$15,ROW(BK177)-ROW(BK$15),0),
              ROUND(ROUND(OFFSET($P177,0,BK$13),15-13*ORÇAMENTO!$AF$7)*OFFSET(ORÇAMENTO!$W$15,ROW(BK177)-ROW(BK$15),0),15-13*ORÇAMENTO!$AF$11)),
         0)</f>
        <v>34.56</v>
      </c>
      <c r="BL177" s="352" t="n">
        <f aca="true">IF(AND($D177="Serviço",BL$12&lt;&gt;0,$H177&gt;0,OR(AUTOEVENTO&lt;&gt;"manual",$M177&lt;&gt;$A$15)),
        IF(Import.TipoArredondamento&lt;&gt;"TransfereGOV",
              ROUND(OFFSET($P177,0,BL$13),15-13*ORÇAMENTO!$AF$7)/$H177*OFFSET(ORÇAMENTO!$X$15,ROW(BL177)-ROW(BL$15),0),
              ROUND(ROUND(OFFSET($P177,0,BL$13),15-13*ORÇAMENTO!$AF$7)*OFFSET(ORÇAMENTO!$W$15,ROW(BL177)-ROW(BL$15),0),15-13*ORÇAMENTO!$AF$11)),
         0)</f>
        <v>34.56</v>
      </c>
      <c r="BM177" s="352" t="n">
        <f aca="true">IF(AND($D177="Serviço",BM$12&lt;&gt;0,$H177&gt;0,OR(AUTOEVENTO&lt;&gt;"manual",$M177&lt;&gt;$A$15)),
        IF(Import.TipoArredondamento&lt;&gt;"TransfereGOV",
              ROUND(OFFSET($P177,0,BM$13),15-13*ORÇAMENTO!$AF$7)/$H177*OFFSET(ORÇAMENTO!$X$15,ROW(BM177)-ROW(BM$15),0),
              ROUND(ROUND(OFFSET($P177,0,BM$13),15-13*ORÇAMENTO!$AF$7)*OFFSET(ORÇAMENTO!$W$15,ROW(BM177)-ROW(BM$15),0),15-13*ORÇAMENTO!$AF$11)),
         0)</f>
        <v>34.56</v>
      </c>
      <c r="BN177" s="352" t="n">
        <f aca="true">IF(AND($D177="Serviço",BN$12&lt;&gt;0,$H177&gt;0,OR(AUTOEVENTO&lt;&gt;"manual",$M177&lt;&gt;$A$15)),
        IF(Import.TipoArredondamento&lt;&gt;"TransfereGOV",
              ROUND(OFFSET($P177,0,BN$13),15-13*ORÇAMENTO!$AF$7)/$H177*OFFSET(ORÇAMENTO!$X$15,ROW(BN177)-ROW(BN$15),0),
              ROUND(ROUND(OFFSET($P177,0,BN$13),15-13*ORÇAMENTO!$AF$7)*OFFSET(ORÇAMENTO!$W$15,ROW(BN177)-ROW(BN$15),0),15-13*ORÇAMENTO!$AF$11)),
         0)</f>
        <v>34.56</v>
      </c>
      <c r="BO177" s="352" t="n">
        <f aca="true">IF(AND($D177="Serviço",BO$12&lt;&gt;0,$H177&gt;0,OR(AUTOEVENTO&lt;&gt;"manual",$M177&lt;&gt;$A$15)),
        IF(Import.TipoArredondamento&lt;&gt;"TransfereGOV",
              ROUND(OFFSET($P177,0,BO$13),15-13*ORÇAMENTO!$AF$7)/$H177*OFFSET(ORÇAMENTO!$X$15,ROW(BO177)-ROW(BO$15),0),
              ROUND(ROUND(OFFSET($P177,0,BO$13),15-13*ORÇAMENTO!$AF$7)*OFFSET(ORÇAMENTO!$W$15,ROW(BO177)-ROW(BO$15),0),15-13*ORÇAMENTO!$AF$11)),
         0)</f>
        <v>34.56</v>
      </c>
      <c r="BP177" s="352" t="n">
        <f aca="true">IF(AND($D177="Serviço",BP$12&lt;&gt;0,$H177&gt;0,OR(AUTOEVENTO&lt;&gt;"manual",$M177&lt;&gt;$A$15)),
        IF(Import.TipoArredondamento&lt;&gt;"TransfereGOV",
              ROUND(OFFSET($P177,0,BP$13),15-13*ORÇAMENTO!$AF$7)/$H177*OFFSET(ORÇAMENTO!$X$15,ROW(BP177)-ROW(BP$15),0),
              ROUND(ROUND(OFFSET($P177,0,BP$13),15-13*ORÇAMENTO!$AF$7)*OFFSET(ORÇAMENTO!$W$15,ROW(BP177)-ROW(BP$15),0),15-13*ORÇAMENTO!$AF$11)),
         0)</f>
        <v>34.56</v>
      </c>
      <c r="BQ177" s="352" t="n">
        <f aca="true">IF(AND($D177="Serviço",BQ$12&lt;&gt;0,$H177&gt;0,OR(AUTOEVENTO&lt;&gt;"manual",$M177&lt;&gt;$A$15)),
        IF(Import.TipoArredondamento&lt;&gt;"TransfereGOV",
              ROUND(OFFSET($P177,0,BQ$13),15-13*ORÇAMENTO!$AF$7)/$H177*OFFSET(ORÇAMENTO!$X$15,ROW(BQ177)-ROW(BQ$15),0),
              ROUND(ROUND(OFFSET($P177,0,BQ$13),15-13*ORÇAMENTO!$AF$7)*OFFSET(ORÇAMENTO!$W$15,ROW(BQ177)-ROW(BQ$15),0),15-13*ORÇAMENTO!$AF$11)),
         0)</f>
        <v>0</v>
      </c>
      <c r="BS177" s="353" t="n">
        <f aca="true">IF(OR($D177&lt;&gt;"Serviço",AND(AUTOEVENTO="Manual",$M177=$A$15)),0,
         IF(OFFSET(CRONOPLE!$F$15,$M177-$A$15,BS$13)=0,10^12,OFFSET(CRONOPLE!$F$15,$M177-$A$15,BS$13)))</f>
        <v>1</v>
      </c>
      <c r="BT177" s="353" t="n">
        <f aca="true">IF(OR($D177&lt;&gt;"Serviço",AND(AUTOEVENTO="Manual",$M177=$A$15)),0,
         IF(OFFSET(CRONOPLE!$F$15,$M177-$A$15,BT$13)=0,10^12,OFFSET(CRONOPLE!$F$15,$M177-$A$15,BT$13)))</f>
        <v>2</v>
      </c>
      <c r="BU177" s="353" t="n">
        <f aca="true">IF(OR($D177&lt;&gt;"Serviço",AND(AUTOEVENTO="Manual",$M177=$A$15)),0,
         IF(OFFSET(CRONOPLE!$F$15,$M177-$A$15,BU$13)=0,10^12,OFFSET(CRONOPLE!$F$15,$M177-$A$15,BU$13)))</f>
        <v>3</v>
      </c>
      <c r="BV177" s="353" t="n">
        <f aca="true">IF(OR($D177&lt;&gt;"Serviço",AND(AUTOEVENTO="Manual",$M177=$A$15)),0,
         IF(OFFSET(CRONOPLE!$F$15,$M177-$A$15,BV$13)=0,10^12,OFFSET(CRONOPLE!$F$15,$M177-$A$15,BV$13)))</f>
        <v>4</v>
      </c>
      <c r="BW177" s="353" t="n">
        <f aca="true">IF(OR($D177&lt;&gt;"Serviço",AND(AUTOEVENTO="Manual",$M177=$A$15)),0,
         IF(OFFSET(CRONOPLE!$F$15,$M177-$A$15,BW$13)=0,10^12,OFFSET(CRONOPLE!$F$15,$M177-$A$15,BW$13)))</f>
        <v>5</v>
      </c>
      <c r="BX177" s="353" t="n">
        <f aca="true">IF(OR($D177&lt;&gt;"Serviço",AND(AUTOEVENTO="Manual",$M177=$A$15)),0,
         IF(OFFSET(CRONOPLE!$F$15,$M177-$A$15,BX$13)=0,10^12,OFFSET(CRONOPLE!$F$15,$M177-$A$15,BX$13)))</f>
        <v>6</v>
      </c>
      <c r="BY177" s="353" t="n">
        <f aca="true">IF(OR($D177&lt;&gt;"Serviço",AND(AUTOEVENTO="Manual",$M177=$A$15)),0,
         IF(OFFSET(CRONOPLE!$F$15,$M177-$A$15,BY$13)=0,10^12,OFFSET(CRONOPLE!$F$15,$M177-$A$15,BY$13)))</f>
        <v>7</v>
      </c>
      <c r="BZ177" s="353" t="n">
        <f aca="true">IF(OR($D177&lt;&gt;"Serviço",AND(AUTOEVENTO="Manual",$M177=$A$15)),0,
         IF(OFFSET(CRONOPLE!$F$15,$M177-$A$15,BZ$13)=0,10^12,OFFSET(CRONOPLE!$F$15,$M177-$A$15,BZ$13)))</f>
        <v>8</v>
      </c>
      <c r="CA177" s="353" t="n">
        <f aca="true">IF(OR($D177&lt;&gt;"Serviço",AND(AUTOEVENTO="Manual",$M177=$A$15)),0,
         IF(OFFSET(CRONOPLE!$F$15,$M177-$A$15,CA$13)=0,10^12,OFFSET(CRONOPLE!$F$15,$M177-$A$15,CA$13)))</f>
        <v>9</v>
      </c>
      <c r="CB177" s="353" t="n">
        <f aca="true">IF(OR($D177&lt;&gt;"Serviço",AND(AUTOEVENTO="Manual",$M177=$A$15)),0,
         IF(OFFSET(CRONOPLE!$F$15,$M177-$A$15,CB$13)=0,10^12,OFFSET(CRONOPLE!$F$15,$M177-$A$15,CB$13)))</f>
        <v>10</v>
      </c>
      <c r="CC177" s="353" t="n">
        <f aca="true">IF(OR($D177&lt;&gt;"Serviço",AND(AUTOEVENTO="Manual",$M177=$A$15)),0,
         IF(OFFSET(CRONOPLE!$F$15,$M177-$A$15,CC$13)=0,10^12,OFFSET(CRONOPLE!$F$15,$M177-$A$15,CC$13)))</f>
        <v>11</v>
      </c>
      <c r="CD177" s="353" t="n">
        <f aca="true">IF(OR($D177&lt;&gt;"Serviço",AND(AUTOEVENTO="Manual",$M177=$A$15)),0,
         IF(OFFSET(CRONOPLE!$F$15,$M177-$A$15,CD$13)=0,10^12,OFFSET(CRONOPLE!$F$15,$M177-$A$15,CD$13)))</f>
        <v>12</v>
      </c>
      <c r="CE177" s="353" t="n">
        <f aca="true">IF(OR($D177&lt;&gt;"Serviço",AND(AUTOEVENTO="Manual",$M177=$A$15)),0,
         IF(OFFSET(CRONOPLE!$F$15,$M177-$A$15,CE$13)=0,10^12,OFFSET(CRONOPLE!$F$15,$M177-$A$15,CE$13)))</f>
        <v>13</v>
      </c>
      <c r="CF177" s="353" t="n">
        <f aca="true">IF(OR($D177&lt;&gt;"Serviço",AND(AUTOEVENTO="Manual",$M177=$A$15)),0,
         IF(OFFSET(CRONOPLE!$F$15,$M177-$A$15,CF$13)=0,10^12,OFFSET(CRONOPLE!$F$15,$M177-$A$15,CF$13)))</f>
        <v>14</v>
      </c>
      <c r="CG177" s="353" t="n">
        <f aca="true">IF(OR($D177&lt;&gt;"Serviço",AND(AUTOEVENTO="Manual",$M177=$A$15)),0,
         IF(OFFSET(CRONOPLE!$F$15,$M177-$A$15,CG$13)=0,10^12,OFFSET(CRONOPLE!$F$15,$M177-$A$15,CG$13)))</f>
        <v>15</v>
      </c>
      <c r="CH177" s="353" t="n">
        <f aca="true">IF(OR($D177&lt;&gt;"Serviço",AND(AUTOEVENTO="Manual",$M177=$A$15)),0,
         IF(OFFSET(CRONOPLE!$F$15,$M177-$A$15,CH$13)=0,10^12,OFFSET(CRONOPLE!$F$15,$M177-$A$15,CH$13)))</f>
        <v>16</v>
      </c>
      <c r="CI177" s="353" t="n">
        <f aca="true">IF(OR($D177&lt;&gt;"Serviço",AND(AUTOEVENTO="Manual",$M177=$A$15)),0,
         IF(OFFSET(CRONOPLE!$F$15,$M177-$A$15,CI$13)=0,10^12,OFFSET(CRONOPLE!$F$15,$M177-$A$15,CI$13)))</f>
        <v>17</v>
      </c>
      <c r="CJ177" s="353" t="n">
        <f aca="true">IF(OR($D177&lt;&gt;"Serviço",AND(AUTOEVENTO="Manual",$M177=$A$15)),0,
         IF(OFFSET(CRONOPLE!$F$15,$M177-$A$15,CJ$13)=0,10^12,OFFSET(CRONOPLE!$F$15,$M177-$A$15,CJ$13)))</f>
        <v>18</v>
      </c>
      <c r="CK177" s="353" t="n">
        <f aca="true">IF(OR($D177&lt;&gt;"Serviço",AND(AUTOEVENTO="Manual",$M177=$A$15)),0,
         IF(OFFSET(CRONOPLE!$F$15,$M177-$A$15,CK$13)=0,10^12,OFFSET(CRONOPLE!$F$15,$M177-$A$15,CK$13)))</f>
        <v>19</v>
      </c>
      <c r="CL177" s="353" t="n">
        <f aca="true">IF(OR($D177&lt;&gt;"Serviço",AND(AUTOEVENTO="Manual",$M177=$A$15)),0,
         IF(OFFSET(CRONOPLE!$F$15,$M177-$A$15,CL$13)=0,10^12,OFFSET(CRONOPLE!$F$15,$M177-$A$15,CL$13)))</f>
        <v>20</v>
      </c>
      <c r="CM177" s="353" t="n">
        <f aca="true">IF(OR($D177&lt;&gt;"Serviço",AND(AUTOEVENTO="Manual",$M177=$A$15)),0,
         IF(OFFSET(CRONOPLE!$F$15,$M177-$A$15,CM$13)=0,10^12,OFFSET(CRONOPLE!$F$15,$M177-$A$15,CM$13)))</f>
        <v>21</v>
      </c>
      <c r="CN177" s="353" t="n">
        <f aca="true">IF(OR($D177&lt;&gt;"Serviço",AND(AUTOEVENTO="Manual",$M177=$A$15)),0,
         IF(OFFSET(CRONOPLE!$F$15,$M177-$A$15,CN$13)=0,10^12,OFFSET(CRONOPLE!$F$15,$M177-$A$15,CN$13)))</f>
        <v>22</v>
      </c>
      <c r="CO177" s="353" t="n">
        <f aca="true">IF(OR($D177&lt;&gt;"Serviço",AND(AUTOEVENTO="Manual",$M177=$A$15)),0,
         IF(OFFSET(CRONOPLE!$F$15,$M177-$A$15,CO$13)=0,10^12,OFFSET(CRONOPLE!$F$15,$M177-$A$15,CO$13)))</f>
        <v>23</v>
      </c>
      <c r="CP177" s="353" t="n">
        <f aca="true">IF(OR($D177&lt;&gt;"Serviço",AND(AUTOEVENTO="Manual",$M177=$A$15)),0,
         IF(OFFSET(CRONOPLE!$F$15,$M177-$A$15,CP$13)=0,10^12,OFFSET(CRONOPLE!$F$15,$M177-$A$15,CP$13)))</f>
        <v>24</v>
      </c>
      <c r="CQ177" s="353" t="n">
        <f aca="true">IF(OR($D177&lt;&gt;"Serviço",AND(AUTOEVENTO="Manual",$M177=$A$15)),0,
         IF(OFFSET(CRONOPLE!$F$15,$M177-$A$15,CQ$13)=0,10^12,OFFSET(CRONOPLE!$F$15,$M177-$A$15,CQ$13)))</f>
        <v>25</v>
      </c>
      <c r="CR177" s="353" t="n">
        <f aca="true">IF(OR($D177&lt;&gt;"Serviço",AND(AUTOEVENTO="Manual",$M177=$A$15)),0,
         IF(OFFSET(CRONOPLE!$F$15,$M177-$A$15,CR$13)=0,10^12,OFFSET(CRONOPLE!$F$15,$M177-$A$15,CR$13)))</f>
        <v>1000000000000</v>
      </c>
      <c r="CT177" s="354" t="n">
        <f aca="true">IF(OR($D177&lt;&gt;"Serviço",AND(AUTOEVENTO="Manual",$M177=$A$15),$M177&gt;(ROW(PLE.lastrow)-ROW(PLE.firstrow))),0,
           IF(OFFSET(PLE!$G$15,$M177-$A$15,CT$13)="",10^12,OFFSET(PLE!$G$15,$M177-$A$15,CT$13)))</f>
        <v>1000000000000</v>
      </c>
      <c r="CU177" s="354" t="n">
        <f aca="true">IF(OR($D177&lt;&gt;"Serviço",AND(AUTOEVENTO="Manual",$M177=$A$15),$M177&gt;(ROW(PLE.lastrow)-ROW(PLE.firstrow))),0,
           IF(OFFSET(PLE!$G$15,$M177-$A$15,CU$13)="",10^12,OFFSET(PLE!$G$15,$M177-$A$15,CU$13)))</f>
        <v>1000000000000</v>
      </c>
      <c r="CV177" s="354" t="n">
        <f aca="true">IF(OR($D177&lt;&gt;"Serviço",AND(AUTOEVENTO="Manual",$M177=$A$15),$M177&gt;(ROW(PLE.lastrow)-ROW(PLE.firstrow))),0,
           IF(OFFSET(PLE!$G$15,$M177-$A$15,CV$13)="",10^12,OFFSET(PLE!$G$15,$M177-$A$15,CV$13)))</f>
        <v>1000000000000</v>
      </c>
      <c r="CW177" s="354" t="n">
        <f aca="true">IF(OR($D177&lt;&gt;"Serviço",AND(AUTOEVENTO="Manual",$M177=$A$15),$M177&gt;(ROW(PLE.lastrow)-ROW(PLE.firstrow))),0,
           IF(OFFSET(PLE!$G$15,$M177-$A$15,CW$13)="",10^12,OFFSET(PLE!$G$15,$M177-$A$15,CW$13)))</f>
        <v>1000000000000</v>
      </c>
      <c r="CX177" s="354" t="n">
        <f aca="true">IF(OR($D177&lt;&gt;"Serviço",AND(AUTOEVENTO="Manual",$M177=$A$15),$M177&gt;(ROW(PLE.lastrow)-ROW(PLE.firstrow))),0,
           IF(OFFSET(PLE!$G$15,$M177-$A$15,CX$13)="",10^12,OFFSET(PLE!$G$15,$M177-$A$15,CX$13)))</f>
        <v>1000000000000</v>
      </c>
      <c r="CY177" s="354" t="n">
        <f aca="true">IF(OR($D177&lt;&gt;"Serviço",AND(AUTOEVENTO="Manual",$M177=$A$15),$M177&gt;(ROW(PLE.lastrow)-ROW(PLE.firstrow))),0,
           IF(OFFSET(PLE!$G$15,$M177-$A$15,CY$13)="",10^12,OFFSET(PLE!$G$15,$M177-$A$15,CY$13)))</f>
        <v>1000000000000</v>
      </c>
      <c r="CZ177" s="354" t="n">
        <f aca="true">IF(OR($D177&lt;&gt;"Serviço",AND(AUTOEVENTO="Manual",$M177=$A$15),$M177&gt;(ROW(PLE.lastrow)-ROW(PLE.firstrow))),0,
           IF(OFFSET(PLE!$G$15,$M177-$A$15,CZ$13)="",10^12,OFFSET(PLE!$G$15,$M177-$A$15,CZ$13)))</f>
        <v>1000000000000</v>
      </c>
      <c r="DA177" s="354" t="n">
        <f aca="true">IF(OR($D177&lt;&gt;"Serviço",AND(AUTOEVENTO="Manual",$M177=$A$15),$M177&gt;(ROW(PLE.lastrow)-ROW(PLE.firstrow))),0,
           IF(OFFSET(PLE!$G$15,$M177-$A$15,DA$13)="",10^12,OFFSET(PLE!$G$15,$M177-$A$15,DA$13)))</f>
        <v>1000000000000</v>
      </c>
      <c r="DB177" s="354" t="n">
        <f aca="true">IF(OR($D177&lt;&gt;"Serviço",AND(AUTOEVENTO="Manual",$M177=$A$15),$M177&gt;(ROW(PLE.lastrow)-ROW(PLE.firstrow))),0,
           IF(OFFSET(PLE!$G$15,$M177-$A$15,DB$13)="",10^12,OFFSET(PLE!$G$15,$M177-$A$15,DB$13)))</f>
        <v>1000000000000</v>
      </c>
      <c r="DC177" s="354" t="n">
        <f aca="true">IF(OR($D177&lt;&gt;"Serviço",AND(AUTOEVENTO="Manual",$M177=$A$15),$M177&gt;(ROW(PLE.lastrow)-ROW(PLE.firstrow))),0,
           IF(OFFSET(PLE!$G$15,$M177-$A$15,DC$13)="",10^12,OFFSET(PLE!$G$15,$M177-$A$15,DC$13)))</f>
        <v>1000000000000</v>
      </c>
      <c r="DD177" s="354" t="n">
        <f aca="true">IF(OR($D177&lt;&gt;"Serviço",AND(AUTOEVENTO="Manual",$M177=$A$15),$M177&gt;(ROW(PLE.lastrow)-ROW(PLE.firstrow))),0,
           IF(OFFSET(PLE!$G$15,$M177-$A$15,DD$13)="",10^12,OFFSET(PLE!$G$15,$M177-$A$15,DD$13)))</f>
        <v>1000000000000</v>
      </c>
      <c r="DE177" s="354" t="n">
        <f aca="true">IF(OR($D177&lt;&gt;"Serviço",AND(AUTOEVENTO="Manual",$M177=$A$15),$M177&gt;(ROW(PLE.lastrow)-ROW(PLE.firstrow))),0,
           IF(OFFSET(PLE!$G$15,$M177-$A$15,DE$13)="",10^12,OFFSET(PLE!$G$15,$M177-$A$15,DE$13)))</f>
        <v>1000000000000</v>
      </c>
      <c r="DF177" s="354" t="n">
        <f aca="true">IF(OR($D177&lt;&gt;"Serviço",AND(AUTOEVENTO="Manual",$M177=$A$15),$M177&gt;(ROW(PLE.lastrow)-ROW(PLE.firstrow))),0,
           IF(OFFSET(PLE!$G$15,$M177-$A$15,DF$13)="",10^12,OFFSET(PLE!$G$15,$M177-$A$15,DF$13)))</f>
        <v>1000000000000</v>
      </c>
      <c r="DG177" s="354" t="n">
        <f aca="true">IF(OR($D177&lt;&gt;"Serviço",AND(AUTOEVENTO="Manual",$M177=$A$15),$M177&gt;(ROW(PLE.lastrow)-ROW(PLE.firstrow))),0,
           IF(OFFSET(PLE!$G$15,$M177-$A$15,DG$13)="",10^12,OFFSET(PLE!$G$15,$M177-$A$15,DG$13)))</f>
        <v>1000000000000</v>
      </c>
      <c r="DH177" s="354" t="n">
        <f aca="true">IF(OR($D177&lt;&gt;"Serviço",AND(AUTOEVENTO="Manual",$M177=$A$15),$M177&gt;(ROW(PLE.lastrow)-ROW(PLE.firstrow))),0,
           IF(OFFSET(PLE!$G$15,$M177-$A$15,DH$13)="",10^12,OFFSET(PLE!$G$15,$M177-$A$15,DH$13)))</f>
        <v>1000000000000</v>
      </c>
      <c r="DI177" s="354" t="n">
        <f aca="true">IF(OR($D177&lt;&gt;"Serviço",AND(AUTOEVENTO="Manual",$M177=$A$15),$M177&gt;(ROW(PLE.lastrow)-ROW(PLE.firstrow))),0,
           IF(OFFSET(PLE!$G$15,$M177-$A$15,DI$13)="",10^12,OFFSET(PLE!$G$15,$M177-$A$15,DI$13)))</f>
        <v>1000000000000</v>
      </c>
      <c r="DJ177" s="354" t="n">
        <f aca="true">IF(OR($D177&lt;&gt;"Serviço",AND(AUTOEVENTO="Manual",$M177=$A$15),$M177&gt;(ROW(PLE.lastrow)-ROW(PLE.firstrow))),0,
           IF(OFFSET(PLE!$G$15,$M177-$A$15,DJ$13)="",10^12,OFFSET(PLE!$G$15,$M177-$A$15,DJ$13)))</f>
        <v>1000000000000</v>
      </c>
      <c r="DK177" s="354" t="n">
        <f aca="true">IF(OR($D177&lt;&gt;"Serviço",AND(AUTOEVENTO="Manual",$M177=$A$15),$M177&gt;(ROW(PLE.lastrow)-ROW(PLE.firstrow))),0,
           IF(OFFSET(PLE!$G$15,$M177-$A$15,DK$13)="",10^12,OFFSET(PLE!$G$15,$M177-$A$15,DK$13)))</f>
        <v>1000000000000</v>
      </c>
      <c r="DL177" s="354" t="n">
        <f aca="true">IF(OR($D177&lt;&gt;"Serviço",AND(AUTOEVENTO="Manual",$M177=$A$15),$M177&gt;(ROW(PLE.lastrow)-ROW(PLE.firstrow))),0,
           IF(OFFSET(PLE!$G$15,$M177-$A$15,DL$13)="",10^12,OFFSET(PLE!$G$15,$M177-$A$15,DL$13)))</f>
        <v>1000000000000</v>
      </c>
      <c r="DM177" s="354" t="n">
        <f aca="true">IF(OR($D177&lt;&gt;"Serviço",AND(AUTOEVENTO="Manual",$M177=$A$15),$M177&gt;(ROW(PLE.lastrow)-ROW(PLE.firstrow))),0,
           IF(OFFSET(PLE!$G$15,$M177-$A$15,DM$13)="",10^12,OFFSET(PLE!$G$15,$M177-$A$15,DM$13)))</f>
        <v>1000000000000</v>
      </c>
      <c r="DN177" s="354" t="n">
        <f aca="true">IF(OR($D177&lt;&gt;"Serviço",AND(AUTOEVENTO="Manual",$M177=$A$15),$M177&gt;(ROW(PLE.lastrow)-ROW(PLE.firstrow))),0,
           IF(OFFSET(PLE!$G$15,$M177-$A$15,DN$13)="",10^12,OFFSET(PLE!$G$15,$M177-$A$15,DN$13)))</f>
        <v>1000000000000</v>
      </c>
      <c r="DO177" s="354" t="n">
        <f aca="true">IF(OR($D177&lt;&gt;"Serviço",AND(AUTOEVENTO="Manual",$M177=$A$15),$M177&gt;(ROW(PLE.lastrow)-ROW(PLE.firstrow))),0,
           IF(OFFSET(PLE!$G$15,$M177-$A$15,DO$13)="",10^12,OFFSET(PLE!$G$15,$M177-$A$15,DO$13)))</f>
        <v>1000000000000</v>
      </c>
      <c r="DP177" s="354" t="n">
        <f aca="true">IF(OR($D177&lt;&gt;"Serviço",AND(AUTOEVENTO="Manual",$M177=$A$15),$M177&gt;(ROW(PLE.lastrow)-ROW(PLE.firstrow))),0,
           IF(OFFSET(PLE!$G$15,$M177-$A$15,DP$13)="",10^12,OFFSET(PLE!$G$15,$M177-$A$15,DP$13)))</f>
        <v>1000000000000</v>
      </c>
      <c r="DQ177" s="354" t="n">
        <f aca="true">IF(OR($D177&lt;&gt;"Serviço",AND(AUTOEVENTO="Manual",$M177=$A$15),$M177&gt;(ROW(PLE.lastrow)-ROW(PLE.firstrow))),0,
           IF(OFFSET(PLE!$G$15,$M177-$A$15,DQ$13)="",10^12,OFFSET(PLE!$G$15,$M177-$A$15,DQ$13)))</f>
        <v>1000000000000</v>
      </c>
      <c r="DR177" s="354" t="n">
        <f aca="true">IF(OR($D177&lt;&gt;"Serviço",AND(AUTOEVENTO="Manual",$M177=$A$15),$M177&gt;(ROW(PLE.lastrow)-ROW(PLE.firstrow))),0,
           IF(OFFSET(PLE!$G$15,$M177-$A$15,DR$13)="",10^12,OFFSET(PLE!$G$15,$M177-$A$15,DR$13)))</f>
        <v>1000000000000</v>
      </c>
      <c r="DS177" s="354" t="n">
        <f aca="true">IF(OR($D177&lt;&gt;"Serviço",AND(AUTOEVENTO="Manual",$M177=$A$15),$M177&gt;(ROW(PLE.lastrow)-ROW(PLE.firstrow))),0,
           IF(OFFSET(PLE!$G$15,$M177-$A$15,DS$13)="",10^12,OFFSET(PLE!$G$15,$M177-$A$15,DS$13)))</f>
        <v>1000000000000</v>
      </c>
    </row>
    <row r="178" customFormat="false" ht="35.05" hidden="false" customHeight="false" outlineLevel="0" collapsed="false">
      <c r="A178" s="50" t="str">
        <f aca="true">IFERROR(IF(AUTOEVENTO="Manual",IF(K178&lt;&gt;"",MIN(VALUE(LEFT(K178,FIND(".",K178)-1)),COUNTA(EVENTOS.Lista)),0),IF(OR($B178&gt;AUTOEVENTO,$B178="S",$B178=0),SUBSTITUTE(OFFSET($A178,-1,0),IF($D178="Serviço",".",""),""),ROW(A178)-ROW($A$15)&amp;".")),0)</f>
        <v>157</v>
      </c>
      <c r="B178" s="50" t="str">
        <f aca="true">OFFSET(ORÇAMENTO!C$15,ROW(B178)-ROW(B$15),0)</f>
        <v>S</v>
      </c>
      <c r="C178" s="50" t="str">
        <f aca="true">OFFSET(ORÇAMENTO!L$15,ROW(C178)-ROW(C$15),0)</f>
        <v>F</v>
      </c>
      <c r="D178" s="201" t="str">
        <f aca="true">OFFSET(ORÇAMENTO!N$15,ROW(D178)-ROW(D$15),0)</f>
        <v>Serviço</v>
      </c>
      <c r="E178" s="202" t="str">
        <f aca="true">OFFSET(ORÇAMENTO!O$15,ROW(E178)-ROW(E$15),0)</f>
        <v>1.45.6.</v>
      </c>
      <c r="F178" s="341" t="str">
        <f aca="true">OFFSET(ORÇAMENTO!R$15,ROW(F178)-ROW(F$15),0)</f>
        <v>TE, PVC, SERIE NORMAL, ESGOTO PREDIAL, DN 50 X 50 MM, JUNTA ELÁSTICA, FORNECIDO E INSTALADO EM RAMAL DE DESCARGA OU RAMAL DE ESGOTO SANITÁRIO. AF_08/2022</v>
      </c>
      <c r="G178" s="342" t="str">
        <f aca="true">IF($D178&lt;&gt;"Serviço","",OFFSET(ORÇAMENTO!S$15,ROW(G178)-ROW(G$15),0))</f>
        <v>UN</v>
      </c>
      <c r="H178" s="207" t="n">
        <f aca="true">IF($D178&lt;&gt;"Serviço",0,IF(ACOMPANHAMENTO="BM",ROUND(OFFSET(ORÇAMENTO!AJ$15,ROW(H178)-ROW(H$15),0),15-13*ORÇAMENTO!$AF$7),SUMPRODUCT(($Q$1:$AQ$1=1)*ROUND($Q178:$AQ178,15-13*ORÇAMENTO!$AF$7))))</f>
        <v>25</v>
      </c>
      <c r="I178" s="343" t="s">
        <v>969</v>
      </c>
      <c r="J178" s="344" t="e">
        <f aca="false">IF(OR(B178&lt;&gt;"S",CÁLCULO.FrentesPreenchidas=0),"",IF(AND(ACOMPANHAMENTO="PLE",AUTOEVENTO="Manual",OR(H178&gt;0,ORÇAMENTO!AC178="QUANT."),OR(K178="",M178=0,N178="")),"►",IF(AND(ACOMPANHAMENTO="PLE",ORÇAMENTO!AC178="QUANT."),"►►",IF(AND(COUNTIF($P$11:$AQ$11,"▼")=0,H178&gt;0,I178=""),"◄",""))))</f>
        <v>#NAME?</v>
      </c>
      <c r="K178" s="345"/>
      <c r="L178" s="346" t="s">
        <v>876</v>
      </c>
      <c r="M178" s="347" t="n">
        <f aca="true">IF($D178&lt;&gt;"Serviço","",
          IF(AUTOEVENTO="manual",$A178,
                IF(ISERROR(MATCH($A178,$A$15:OFFSET($A178,-1,0),0)),MAX($M$15:OFFSET(M178,-1,0))+1,
                      INDEX($M$15:OFFSET(M178,-1,0),MATCH($A178,$A$15:OFFSET($A178,-1,0),0)))))</f>
        <v>28</v>
      </c>
      <c r="N178" s="348" t="str">
        <f aca="true">IF($D178&lt;&gt;"Serviço","",
         IF(AUTOEVENTO="Manual",
                IF($A178=0,"&lt;-- defina o número do agrupador",
                       OFFSET(EVENTOS!$D$15,$A178-$A$15,0)),
                OFFSET($F$15,$A178,0)))</f>
        <v>TUBULAÇÕES E CONEXÕES</v>
      </c>
      <c r="O178" s="349"/>
      <c r="Q178" s="349" t="n">
        <v>1</v>
      </c>
      <c r="R178" s="350" t="n">
        <v>1</v>
      </c>
      <c r="S178" s="350" t="n">
        <v>1</v>
      </c>
      <c r="T178" s="350" t="n">
        <v>1</v>
      </c>
      <c r="U178" s="350" t="n">
        <v>1</v>
      </c>
      <c r="V178" s="350" t="n">
        <v>1</v>
      </c>
      <c r="W178" s="350" t="n">
        <v>1</v>
      </c>
      <c r="X178" s="350" t="n">
        <v>1</v>
      </c>
      <c r="Y178" s="350" t="n">
        <v>1</v>
      </c>
      <c r="Z178" s="351" t="n">
        <v>1</v>
      </c>
      <c r="AA178" s="350" t="n">
        <v>1</v>
      </c>
      <c r="AB178" s="350" t="n">
        <v>1</v>
      </c>
      <c r="AC178" s="350" t="n">
        <v>1</v>
      </c>
      <c r="AD178" s="350" t="n">
        <v>1</v>
      </c>
      <c r="AE178" s="350" t="n">
        <v>1</v>
      </c>
      <c r="AF178" s="350" t="n">
        <v>1</v>
      </c>
      <c r="AG178" s="350" t="n">
        <v>1</v>
      </c>
      <c r="AH178" s="351" t="n">
        <v>1</v>
      </c>
      <c r="AI178" s="350" t="n">
        <v>1</v>
      </c>
      <c r="AJ178" s="350" t="n">
        <v>1</v>
      </c>
      <c r="AK178" s="350" t="n">
        <v>1</v>
      </c>
      <c r="AL178" s="350" t="n">
        <v>1</v>
      </c>
      <c r="AM178" s="350" t="n">
        <v>1</v>
      </c>
      <c r="AN178" s="350" t="n">
        <v>1</v>
      </c>
      <c r="AO178" s="350" t="n">
        <v>1</v>
      </c>
      <c r="AP178" s="351"/>
      <c r="AR178" s="352" t="n">
        <f aca="true">IF(AND($D178="Serviço",AR$12&lt;&gt;0,$H178&gt;0,OR(AUTOEVENTO&lt;&gt;"manual",$M178&lt;&gt;$A$15)),
        IF(Import.TipoArredondamento&lt;&gt;"TransfereGOV",
              ROUND(OFFSET($P178,0,AR$13),15-13*ORÇAMENTO!$AF$7)/$H178*OFFSET(ORÇAMENTO!$X$15,ROW(AR178)-ROW(AR$15),0),
              ROUND(ROUND(OFFSET($P178,0,AR$13),15-13*ORÇAMENTO!$AF$7)*OFFSET(ORÇAMENTO!$W$15,ROW(AR178)-ROW(AR$15),0),15-13*ORÇAMENTO!$AF$11)),
         0)</f>
        <v>30.44</v>
      </c>
      <c r="AS178" s="352" t="n">
        <f aca="true">IF(AND($D178="Serviço",AS$12&lt;&gt;0,$H178&gt;0,OR(AUTOEVENTO&lt;&gt;"manual",$M178&lt;&gt;$A$15)),
        IF(Import.TipoArredondamento&lt;&gt;"TransfereGOV",
              ROUND(OFFSET($P178,0,AS$13),15-13*ORÇAMENTO!$AF$7)/$H178*OFFSET(ORÇAMENTO!$X$15,ROW(AS178)-ROW(AS$15),0),
              ROUND(ROUND(OFFSET($P178,0,AS$13),15-13*ORÇAMENTO!$AF$7)*OFFSET(ORÇAMENTO!$W$15,ROW(AS178)-ROW(AS$15),0),15-13*ORÇAMENTO!$AF$11)),
         0)</f>
        <v>30.44</v>
      </c>
      <c r="AT178" s="352" t="n">
        <f aca="true">IF(AND($D178="Serviço",AT$12&lt;&gt;0,$H178&gt;0,OR(AUTOEVENTO&lt;&gt;"manual",$M178&lt;&gt;$A$15)),
        IF(Import.TipoArredondamento&lt;&gt;"TransfereGOV",
              ROUND(OFFSET($P178,0,AT$13),15-13*ORÇAMENTO!$AF$7)/$H178*OFFSET(ORÇAMENTO!$X$15,ROW(AT178)-ROW(AT$15),0),
              ROUND(ROUND(OFFSET($P178,0,AT$13),15-13*ORÇAMENTO!$AF$7)*OFFSET(ORÇAMENTO!$W$15,ROW(AT178)-ROW(AT$15),0),15-13*ORÇAMENTO!$AF$11)),
         0)</f>
        <v>30.44</v>
      </c>
      <c r="AU178" s="352" t="n">
        <f aca="true">IF(AND($D178="Serviço",AU$12&lt;&gt;0,$H178&gt;0,OR(AUTOEVENTO&lt;&gt;"manual",$M178&lt;&gt;$A$15)),
        IF(Import.TipoArredondamento&lt;&gt;"TransfereGOV",
              ROUND(OFFSET($P178,0,AU$13),15-13*ORÇAMENTO!$AF$7)/$H178*OFFSET(ORÇAMENTO!$X$15,ROW(AU178)-ROW(AU$15),0),
              ROUND(ROUND(OFFSET($P178,0,AU$13),15-13*ORÇAMENTO!$AF$7)*OFFSET(ORÇAMENTO!$W$15,ROW(AU178)-ROW(AU$15),0),15-13*ORÇAMENTO!$AF$11)),
         0)</f>
        <v>30.44</v>
      </c>
      <c r="AV178" s="352" t="n">
        <f aca="true">IF(AND($D178="Serviço",AV$12&lt;&gt;0,$H178&gt;0,OR(AUTOEVENTO&lt;&gt;"manual",$M178&lt;&gt;$A$15)),
        IF(Import.TipoArredondamento&lt;&gt;"TransfereGOV",
              ROUND(OFFSET($P178,0,AV$13),15-13*ORÇAMENTO!$AF$7)/$H178*OFFSET(ORÇAMENTO!$X$15,ROW(AV178)-ROW(AV$15),0),
              ROUND(ROUND(OFFSET($P178,0,AV$13),15-13*ORÇAMENTO!$AF$7)*OFFSET(ORÇAMENTO!$W$15,ROW(AV178)-ROW(AV$15),0),15-13*ORÇAMENTO!$AF$11)),
         0)</f>
        <v>30.44</v>
      </c>
      <c r="AW178" s="352" t="n">
        <f aca="true">IF(AND($D178="Serviço",AW$12&lt;&gt;0,$H178&gt;0,OR(AUTOEVENTO&lt;&gt;"manual",$M178&lt;&gt;$A$15)),
        IF(Import.TipoArredondamento&lt;&gt;"TransfereGOV",
              ROUND(OFFSET($P178,0,AW$13),15-13*ORÇAMENTO!$AF$7)/$H178*OFFSET(ORÇAMENTO!$X$15,ROW(AW178)-ROW(AW$15),0),
              ROUND(ROUND(OFFSET($P178,0,AW$13),15-13*ORÇAMENTO!$AF$7)*OFFSET(ORÇAMENTO!$W$15,ROW(AW178)-ROW(AW$15),0),15-13*ORÇAMENTO!$AF$11)),
         0)</f>
        <v>30.44</v>
      </c>
      <c r="AX178" s="352" t="n">
        <f aca="true">IF(AND($D178="Serviço",AX$12&lt;&gt;0,$H178&gt;0,OR(AUTOEVENTO&lt;&gt;"manual",$M178&lt;&gt;$A$15)),
        IF(Import.TipoArredondamento&lt;&gt;"TransfereGOV",
              ROUND(OFFSET($P178,0,AX$13),15-13*ORÇAMENTO!$AF$7)/$H178*OFFSET(ORÇAMENTO!$X$15,ROW(AX178)-ROW(AX$15),0),
              ROUND(ROUND(OFFSET($P178,0,AX$13),15-13*ORÇAMENTO!$AF$7)*OFFSET(ORÇAMENTO!$W$15,ROW(AX178)-ROW(AX$15),0),15-13*ORÇAMENTO!$AF$11)),
         0)</f>
        <v>30.44</v>
      </c>
      <c r="AY178" s="352" t="n">
        <f aca="true">IF(AND($D178="Serviço",AY$12&lt;&gt;0,$H178&gt;0,OR(AUTOEVENTO&lt;&gt;"manual",$M178&lt;&gt;$A$15)),
        IF(Import.TipoArredondamento&lt;&gt;"TransfereGOV",
              ROUND(OFFSET($P178,0,AY$13),15-13*ORÇAMENTO!$AF$7)/$H178*OFFSET(ORÇAMENTO!$X$15,ROW(AY178)-ROW(AY$15),0),
              ROUND(ROUND(OFFSET($P178,0,AY$13),15-13*ORÇAMENTO!$AF$7)*OFFSET(ORÇAMENTO!$W$15,ROW(AY178)-ROW(AY$15),0),15-13*ORÇAMENTO!$AF$11)),
         0)</f>
        <v>30.44</v>
      </c>
      <c r="AZ178" s="352" t="n">
        <f aca="true">IF(AND($D178="Serviço",AZ$12&lt;&gt;0,$H178&gt;0,OR(AUTOEVENTO&lt;&gt;"manual",$M178&lt;&gt;$A$15)),
        IF(Import.TipoArredondamento&lt;&gt;"TransfereGOV",
              ROUND(OFFSET($P178,0,AZ$13),15-13*ORÇAMENTO!$AF$7)/$H178*OFFSET(ORÇAMENTO!$X$15,ROW(AZ178)-ROW(AZ$15),0),
              ROUND(ROUND(OFFSET($P178,0,AZ$13),15-13*ORÇAMENTO!$AF$7)*OFFSET(ORÇAMENTO!$W$15,ROW(AZ178)-ROW(AZ$15),0),15-13*ORÇAMENTO!$AF$11)),
         0)</f>
        <v>30.44</v>
      </c>
      <c r="BA178" s="352" t="n">
        <f aca="true">IF(AND($D178="Serviço",BA$12&lt;&gt;0,$H178&gt;0,OR(AUTOEVENTO&lt;&gt;"manual",$M178&lt;&gt;$A$15)),
        IF(Import.TipoArredondamento&lt;&gt;"TransfereGOV",
              ROUND(OFFSET($P178,0,BA$13),15-13*ORÇAMENTO!$AF$7)/$H178*OFFSET(ORÇAMENTO!$X$15,ROW(BA178)-ROW(BA$15),0),
              ROUND(ROUND(OFFSET($P178,0,BA$13),15-13*ORÇAMENTO!$AF$7)*OFFSET(ORÇAMENTO!$W$15,ROW(BA178)-ROW(BA$15),0),15-13*ORÇAMENTO!$AF$11)),
         0)</f>
        <v>30.44</v>
      </c>
      <c r="BB178" s="352" t="n">
        <f aca="true">IF(AND($D178="Serviço",BB$12&lt;&gt;0,$H178&gt;0,OR(AUTOEVENTO&lt;&gt;"manual",$M178&lt;&gt;$A$15)),
        IF(Import.TipoArredondamento&lt;&gt;"TransfereGOV",
              ROUND(OFFSET($P178,0,BB$13),15-13*ORÇAMENTO!$AF$7)/$H178*OFFSET(ORÇAMENTO!$X$15,ROW(BB178)-ROW(BB$15),0),
              ROUND(ROUND(OFFSET($P178,0,BB$13),15-13*ORÇAMENTO!$AF$7)*OFFSET(ORÇAMENTO!$W$15,ROW(BB178)-ROW(BB$15),0),15-13*ORÇAMENTO!$AF$11)),
         0)</f>
        <v>30.44</v>
      </c>
      <c r="BC178" s="352" t="n">
        <f aca="true">IF(AND($D178="Serviço",BC$12&lt;&gt;0,$H178&gt;0,OR(AUTOEVENTO&lt;&gt;"manual",$M178&lt;&gt;$A$15)),
        IF(Import.TipoArredondamento&lt;&gt;"TransfereGOV",
              ROUND(OFFSET($P178,0,BC$13),15-13*ORÇAMENTO!$AF$7)/$H178*OFFSET(ORÇAMENTO!$X$15,ROW(BC178)-ROW(BC$15),0),
              ROUND(ROUND(OFFSET($P178,0,BC$13),15-13*ORÇAMENTO!$AF$7)*OFFSET(ORÇAMENTO!$W$15,ROW(BC178)-ROW(BC$15),0),15-13*ORÇAMENTO!$AF$11)),
         0)</f>
        <v>30.44</v>
      </c>
      <c r="BD178" s="352" t="n">
        <f aca="true">IF(AND($D178="Serviço",BD$12&lt;&gt;0,$H178&gt;0,OR(AUTOEVENTO&lt;&gt;"manual",$M178&lt;&gt;$A$15)),
        IF(Import.TipoArredondamento&lt;&gt;"TransfereGOV",
              ROUND(OFFSET($P178,0,BD$13),15-13*ORÇAMENTO!$AF$7)/$H178*OFFSET(ORÇAMENTO!$X$15,ROW(BD178)-ROW(BD$15),0),
              ROUND(ROUND(OFFSET($P178,0,BD$13),15-13*ORÇAMENTO!$AF$7)*OFFSET(ORÇAMENTO!$W$15,ROW(BD178)-ROW(BD$15),0),15-13*ORÇAMENTO!$AF$11)),
         0)</f>
        <v>30.44</v>
      </c>
      <c r="BE178" s="352" t="n">
        <f aca="true">IF(AND($D178="Serviço",BE$12&lt;&gt;0,$H178&gt;0,OR(AUTOEVENTO&lt;&gt;"manual",$M178&lt;&gt;$A$15)),
        IF(Import.TipoArredondamento&lt;&gt;"TransfereGOV",
              ROUND(OFFSET($P178,0,BE$13),15-13*ORÇAMENTO!$AF$7)/$H178*OFFSET(ORÇAMENTO!$X$15,ROW(BE178)-ROW(BE$15),0),
              ROUND(ROUND(OFFSET($P178,0,BE$13),15-13*ORÇAMENTO!$AF$7)*OFFSET(ORÇAMENTO!$W$15,ROW(BE178)-ROW(BE$15),0),15-13*ORÇAMENTO!$AF$11)),
         0)</f>
        <v>30.44</v>
      </c>
      <c r="BF178" s="352" t="n">
        <f aca="true">IF(AND($D178="Serviço",BF$12&lt;&gt;0,$H178&gt;0,OR(AUTOEVENTO&lt;&gt;"manual",$M178&lt;&gt;$A$15)),
        IF(Import.TipoArredondamento&lt;&gt;"TransfereGOV",
              ROUND(OFFSET($P178,0,BF$13),15-13*ORÇAMENTO!$AF$7)/$H178*OFFSET(ORÇAMENTO!$X$15,ROW(BF178)-ROW(BF$15),0),
              ROUND(ROUND(OFFSET($P178,0,BF$13),15-13*ORÇAMENTO!$AF$7)*OFFSET(ORÇAMENTO!$W$15,ROW(BF178)-ROW(BF$15),0),15-13*ORÇAMENTO!$AF$11)),
         0)</f>
        <v>30.44</v>
      </c>
      <c r="BG178" s="352" t="n">
        <f aca="true">IF(AND($D178="Serviço",BG$12&lt;&gt;0,$H178&gt;0,OR(AUTOEVENTO&lt;&gt;"manual",$M178&lt;&gt;$A$15)),
        IF(Import.TipoArredondamento&lt;&gt;"TransfereGOV",
              ROUND(OFFSET($P178,0,BG$13),15-13*ORÇAMENTO!$AF$7)/$H178*OFFSET(ORÇAMENTO!$X$15,ROW(BG178)-ROW(BG$15),0),
              ROUND(ROUND(OFFSET($P178,0,BG$13),15-13*ORÇAMENTO!$AF$7)*OFFSET(ORÇAMENTO!$W$15,ROW(BG178)-ROW(BG$15),0),15-13*ORÇAMENTO!$AF$11)),
         0)</f>
        <v>30.44</v>
      </c>
      <c r="BH178" s="352" t="n">
        <f aca="true">IF(AND($D178="Serviço",BH$12&lt;&gt;0,$H178&gt;0,OR(AUTOEVENTO&lt;&gt;"manual",$M178&lt;&gt;$A$15)),
        IF(Import.TipoArredondamento&lt;&gt;"TransfereGOV",
              ROUND(OFFSET($P178,0,BH$13),15-13*ORÇAMENTO!$AF$7)/$H178*OFFSET(ORÇAMENTO!$X$15,ROW(BH178)-ROW(BH$15),0),
              ROUND(ROUND(OFFSET($P178,0,BH$13),15-13*ORÇAMENTO!$AF$7)*OFFSET(ORÇAMENTO!$W$15,ROW(BH178)-ROW(BH$15),0),15-13*ORÇAMENTO!$AF$11)),
         0)</f>
        <v>30.44</v>
      </c>
      <c r="BI178" s="352" t="n">
        <f aca="true">IF(AND($D178="Serviço",BI$12&lt;&gt;0,$H178&gt;0,OR(AUTOEVENTO&lt;&gt;"manual",$M178&lt;&gt;$A$15)),
        IF(Import.TipoArredondamento&lt;&gt;"TransfereGOV",
              ROUND(OFFSET($P178,0,BI$13),15-13*ORÇAMENTO!$AF$7)/$H178*OFFSET(ORÇAMENTO!$X$15,ROW(BI178)-ROW(BI$15),0),
              ROUND(ROUND(OFFSET($P178,0,BI$13),15-13*ORÇAMENTO!$AF$7)*OFFSET(ORÇAMENTO!$W$15,ROW(BI178)-ROW(BI$15),0),15-13*ORÇAMENTO!$AF$11)),
         0)</f>
        <v>30.44</v>
      </c>
      <c r="BJ178" s="352" t="n">
        <f aca="true">IF(AND($D178="Serviço",BJ$12&lt;&gt;0,$H178&gt;0,OR(AUTOEVENTO&lt;&gt;"manual",$M178&lt;&gt;$A$15)),
        IF(Import.TipoArredondamento&lt;&gt;"TransfereGOV",
              ROUND(OFFSET($P178,0,BJ$13),15-13*ORÇAMENTO!$AF$7)/$H178*OFFSET(ORÇAMENTO!$X$15,ROW(BJ178)-ROW(BJ$15),0),
              ROUND(ROUND(OFFSET($P178,0,BJ$13),15-13*ORÇAMENTO!$AF$7)*OFFSET(ORÇAMENTO!$W$15,ROW(BJ178)-ROW(BJ$15),0),15-13*ORÇAMENTO!$AF$11)),
         0)</f>
        <v>30.44</v>
      </c>
      <c r="BK178" s="352" t="n">
        <f aca="true">IF(AND($D178="Serviço",BK$12&lt;&gt;0,$H178&gt;0,OR(AUTOEVENTO&lt;&gt;"manual",$M178&lt;&gt;$A$15)),
        IF(Import.TipoArredondamento&lt;&gt;"TransfereGOV",
              ROUND(OFFSET($P178,0,BK$13),15-13*ORÇAMENTO!$AF$7)/$H178*OFFSET(ORÇAMENTO!$X$15,ROW(BK178)-ROW(BK$15),0),
              ROUND(ROUND(OFFSET($P178,0,BK$13),15-13*ORÇAMENTO!$AF$7)*OFFSET(ORÇAMENTO!$W$15,ROW(BK178)-ROW(BK$15),0),15-13*ORÇAMENTO!$AF$11)),
         0)</f>
        <v>30.44</v>
      </c>
      <c r="BL178" s="352" t="n">
        <f aca="true">IF(AND($D178="Serviço",BL$12&lt;&gt;0,$H178&gt;0,OR(AUTOEVENTO&lt;&gt;"manual",$M178&lt;&gt;$A$15)),
        IF(Import.TipoArredondamento&lt;&gt;"TransfereGOV",
              ROUND(OFFSET($P178,0,BL$13),15-13*ORÇAMENTO!$AF$7)/$H178*OFFSET(ORÇAMENTO!$X$15,ROW(BL178)-ROW(BL$15),0),
              ROUND(ROUND(OFFSET($P178,0,BL$13),15-13*ORÇAMENTO!$AF$7)*OFFSET(ORÇAMENTO!$W$15,ROW(BL178)-ROW(BL$15),0),15-13*ORÇAMENTO!$AF$11)),
         0)</f>
        <v>30.44</v>
      </c>
      <c r="BM178" s="352" t="n">
        <f aca="true">IF(AND($D178="Serviço",BM$12&lt;&gt;0,$H178&gt;0,OR(AUTOEVENTO&lt;&gt;"manual",$M178&lt;&gt;$A$15)),
        IF(Import.TipoArredondamento&lt;&gt;"TransfereGOV",
              ROUND(OFFSET($P178,0,BM$13),15-13*ORÇAMENTO!$AF$7)/$H178*OFFSET(ORÇAMENTO!$X$15,ROW(BM178)-ROW(BM$15),0),
              ROUND(ROUND(OFFSET($P178,0,BM$13),15-13*ORÇAMENTO!$AF$7)*OFFSET(ORÇAMENTO!$W$15,ROW(BM178)-ROW(BM$15),0),15-13*ORÇAMENTO!$AF$11)),
         0)</f>
        <v>30.44</v>
      </c>
      <c r="BN178" s="352" t="n">
        <f aca="true">IF(AND($D178="Serviço",BN$12&lt;&gt;0,$H178&gt;0,OR(AUTOEVENTO&lt;&gt;"manual",$M178&lt;&gt;$A$15)),
        IF(Import.TipoArredondamento&lt;&gt;"TransfereGOV",
              ROUND(OFFSET($P178,0,BN$13),15-13*ORÇAMENTO!$AF$7)/$H178*OFFSET(ORÇAMENTO!$X$15,ROW(BN178)-ROW(BN$15),0),
              ROUND(ROUND(OFFSET($P178,0,BN$13),15-13*ORÇAMENTO!$AF$7)*OFFSET(ORÇAMENTO!$W$15,ROW(BN178)-ROW(BN$15),0),15-13*ORÇAMENTO!$AF$11)),
         0)</f>
        <v>30.44</v>
      </c>
      <c r="BO178" s="352" t="n">
        <f aca="true">IF(AND($D178="Serviço",BO$12&lt;&gt;0,$H178&gt;0,OR(AUTOEVENTO&lt;&gt;"manual",$M178&lt;&gt;$A$15)),
        IF(Import.TipoArredondamento&lt;&gt;"TransfereGOV",
              ROUND(OFFSET($P178,0,BO$13),15-13*ORÇAMENTO!$AF$7)/$H178*OFFSET(ORÇAMENTO!$X$15,ROW(BO178)-ROW(BO$15),0),
              ROUND(ROUND(OFFSET($P178,0,BO$13),15-13*ORÇAMENTO!$AF$7)*OFFSET(ORÇAMENTO!$W$15,ROW(BO178)-ROW(BO$15),0),15-13*ORÇAMENTO!$AF$11)),
         0)</f>
        <v>30.44</v>
      </c>
      <c r="BP178" s="352" t="n">
        <f aca="true">IF(AND($D178="Serviço",BP$12&lt;&gt;0,$H178&gt;0,OR(AUTOEVENTO&lt;&gt;"manual",$M178&lt;&gt;$A$15)),
        IF(Import.TipoArredondamento&lt;&gt;"TransfereGOV",
              ROUND(OFFSET($P178,0,BP$13),15-13*ORÇAMENTO!$AF$7)/$H178*OFFSET(ORÇAMENTO!$X$15,ROW(BP178)-ROW(BP$15),0),
              ROUND(ROUND(OFFSET($P178,0,BP$13),15-13*ORÇAMENTO!$AF$7)*OFFSET(ORÇAMENTO!$W$15,ROW(BP178)-ROW(BP$15),0),15-13*ORÇAMENTO!$AF$11)),
         0)</f>
        <v>30.44</v>
      </c>
      <c r="BQ178" s="352" t="n">
        <f aca="true">IF(AND($D178="Serviço",BQ$12&lt;&gt;0,$H178&gt;0,OR(AUTOEVENTO&lt;&gt;"manual",$M178&lt;&gt;$A$15)),
        IF(Import.TipoArredondamento&lt;&gt;"TransfereGOV",
              ROUND(OFFSET($P178,0,BQ$13),15-13*ORÇAMENTO!$AF$7)/$H178*OFFSET(ORÇAMENTO!$X$15,ROW(BQ178)-ROW(BQ$15),0),
              ROUND(ROUND(OFFSET($P178,0,BQ$13),15-13*ORÇAMENTO!$AF$7)*OFFSET(ORÇAMENTO!$W$15,ROW(BQ178)-ROW(BQ$15),0),15-13*ORÇAMENTO!$AF$11)),
         0)</f>
        <v>0</v>
      </c>
      <c r="BS178" s="353" t="n">
        <f aca="true">IF(OR($D178&lt;&gt;"Serviço",AND(AUTOEVENTO="Manual",$M178=$A$15)),0,
         IF(OFFSET(CRONOPLE!$F$15,$M178-$A$15,BS$13)=0,10^12,OFFSET(CRONOPLE!$F$15,$M178-$A$15,BS$13)))</f>
        <v>1</v>
      </c>
      <c r="BT178" s="353" t="n">
        <f aca="true">IF(OR($D178&lt;&gt;"Serviço",AND(AUTOEVENTO="Manual",$M178=$A$15)),0,
         IF(OFFSET(CRONOPLE!$F$15,$M178-$A$15,BT$13)=0,10^12,OFFSET(CRONOPLE!$F$15,$M178-$A$15,BT$13)))</f>
        <v>2</v>
      </c>
      <c r="BU178" s="353" t="n">
        <f aca="true">IF(OR($D178&lt;&gt;"Serviço",AND(AUTOEVENTO="Manual",$M178=$A$15)),0,
         IF(OFFSET(CRONOPLE!$F$15,$M178-$A$15,BU$13)=0,10^12,OFFSET(CRONOPLE!$F$15,$M178-$A$15,BU$13)))</f>
        <v>3</v>
      </c>
      <c r="BV178" s="353" t="n">
        <f aca="true">IF(OR($D178&lt;&gt;"Serviço",AND(AUTOEVENTO="Manual",$M178=$A$15)),0,
         IF(OFFSET(CRONOPLE!$F$15,$M178-$A$15,BV$13)=0,10^12,OFFSET(CRONOPLE!$F$15,$M178-$A$15,BV$13)))</f>
        <v>4</v>
      </c>
      <c r="BW178" s="353" t="n">
        <f aca="true">IF(OR($D178&lt;&gt;"Serviço",AND(AUTOEVENTO="Manual",$M178=$A$15)),0,
         IF(OFFSET(CRONOPLE!$F$15,$M178-$A$15,BW$13)=0,10^12,OFFSET(CRONOPLE!$F$15,$M178-$A$15,BW$13)))</f>
        <v>5</v>
      </c>
      <c r="BX178" s="353" t="n">
        <f aca="true">IF(OR($D178&lt;&gt;"Serviço",AND(AUTOEVENTO="Manual",$M178=$A$15)),0,
         IF(OFFSET(CRONOPLE!$F$15,$M178-$A$15,BX$13)=0,10^12,OFFSET(CRONOPLE!$F$15,$M178-$A$15,BX$13)))</f>
        <v>6</v>
      </c>
      <c r="BY178" s="353" t="n">
        <f aca="true">IF(OR($D178&lt;&gt;"Serviço",AND(AUTOEVENTO="Manual",$M178=$A$15)),0,
         IF(OFFSET(CRONOPLE!$F$15,$M178-$A$15,BY$13)=0,10^12,OFFSET(CRONOPLE!$F$15,$M178-$A$15,BY$13)))</f>
        <v>7</v>
      </c>
      <c r="BZ178" s="353" t="n">
        <f aca="true">IF(OR($D178&lt;&gt;"Serviço",AND(AUTOEVENTO="Manual",$M178=$A$15)),0,
         IF(OFFSET(CRONOPLE!$F$15,$M178-$A$15,BZ$13)=0,10^12,OFFSET(CRONOPLE!$F$15,$M178-$A$15,BZ$13)))</f>
        <v>8</v>
      </c>
      <c r="CA178" s="353" t="n">
        <f aca="true">IF(OR($D178&lt;&gt;"Serviço",AND(AUTOEVENTO="Manual",$M178=$A$15)),0,
         IF(OFFSET(CRONOPLE!$F$15,$M178-$A$15,CA$13)=0,10^12,OFFSET(CRONOPLE!$F$15,$M178-$A$15,CA$13)))</f>
        <v>9</v>
      </c>
      <c r="CB178" s="353" t="n">
        <f aca="true">IF(OR($D178&lt;&gt;"Serviço",AND(AUTOEVENTO="Manual",$M178=$A$15)),0,
         IF(OFFSET(CRONOPLE!$F$15,$M178-$A$15,CB$13)=0,10^12,OFFSET(CRONOPLE!$F$15,$M178-$A$15,CB$13)))</f>
        <v>10</v>
      </c>
      <c r="CC178" s="353" t="n">
        <f aca="true">IF(OR($D178&lt;&gt;"Serviço",AND(AUTOEVENTO="Manual",$M178=$A$15)),0,
         IF(OFFSET(CRONOPLE!$F$15,$M178-$A$15,CC$13)=0,10^12,OFFSET(CRONOPLE!$F$15,$M178-$A$15,CC$13)))</f>
        <v>11</v>
      </c>
      <c r="CD178" s="353" t="n">
        <f aca="true">IF(OR($D178&lt;&gt;"Serviço",AND(AUTOEVENTO="Manual",$M178=$A$15)),0,
         IF(OFFSET(CRONOPLE!$F$15,$M178-$A$15,CD$13)=0,10^12,OFFSET(CRONOPLE!$F$15,$M178-$A$15,CD$13)))</f>
        <v>12</v>
      </c>
      <c r="CE178" s="353" t="n">
        <f aca="true">IF(OR($D178&lt;&gt;"Serviço",AND(AUTOEVENTO="Manual",$M178=$A$15)),0,
         IF(OFFSET(CRONOPLE!$F$15,$M178-$A$15,CE$13)=0,10^12,OFFSET(CRONOPLE!$F$15,$M178-$A$15,CE$13)))</f>
        <v>13</v>
      </c>
      <c r="CF178" s="353" t="n">
        <f aca="true">IF(OR($D178&lt;&gt;"Serviço",AND(AUTOEVENTO="Manual",$M178=$A$15)),0,
         IF(OFFSET(CRONOPLE!$F$15,$M178-$A$15,CF$13)=0,10^12,OFFSET(CRONOPLE!$F$15,$M178-$A$15,CF$13)))</f>
        <v>14</v>
      </c>
      <c r="CG178" s="353" t="n">
        <f aca="true">IF(OR($D178&lt;&gt;"Serviço",AND(AUTOEVENTO="Manual",$M178=$A$15)),0,
         IF(OFFSET(CRONOPLE!$F$15,$M178-$A$15,CG$13)=0,10^12,OFFSET(CRONOPLE!$F$15,$M178-$A$15,CG$13)))</f>
        <v>15</v>
      </c>
      <c r="CH178" s="353" t="n">
        <f aca="true">IF(OR($D178&lt;&gt;"Serviço",AND(AUTOEVENTO="Manual",$M178=$A$15)),0,
         IF(OFFSET(CRONOPLE!$F$15,$M178-$A$15,CH$13)=0,10^12,OFFSET(CRONOPLE!$F$15,$M178-$A$15,CH$13)))</f>
        <v>16</v>
      </c>
      <c r="CI178" s="353" t="n">
        <f aca="true">IF(OR($D178&lt;&gt;"Serviço",AND(AUTOEVENTO="Manual",$M178=$A$15)),0,
         IF(OFFSET(CRONOPLE!$F$15,$M178-$A$15,CI$13)=0,10^12,OFFSET(CRONOPLE!$F$15,$M178-$A$15,CI$13)))</f>
        <v>17</v>
      </c>
      <c r="CJ178" s="353" t="n">
        <f aca="true">IF(OR($D178&lt;&gt;"Serviço",AND(AUTOEVENTO="Manual",$M178=$A$15)),0,
         IF(OFFSET(CRONOPLE!$F$15,$M178-$A$15,CJ$13)=0,10^12,OFFSET(CRONOPLE!$F$15,$M178-$A$15,CJ$13)))</f>
        <v>18</v>
      </c>
      <c r="CK178" s="353" t="n">
        <f aca="true">IF(OR($D178&lt;&gt;"Serviço",AND(AUTOEVENTO="Manual",$M178=$A$15)),0,
         IF(OFFSET(CRONOPLE!$F$15,$M178-$A$15,CK$13)=0,10^12,OFFSET(CRONOPLE!$F$15,$M178-$A$15,CK$13)))</f>
        <v>19</v>
      </c>
      <c r="CL178" s="353" t="n">
        <f aca="true">IF(OR($D178&lt;&gt;"Serviço",AND(AUTOEVENTO="Manual",$M178=$A$15)),0,
         IF(OFFSET(CRONOPLE!$F$15,$M178-$A$15,CL$13)=0,10^12,OFFSET(CRONOPLE!$F$15,$M178-$A$15,CL$13)))</f>
        <v>20</v>
      </c>
      <c r="CM178" s="353" t="n">
        <f aca="true">IF(OR($D178&lt;&gt;"Serviço",AND(AUTOEVENTO="Manual",$M178=$A$15)),0,
         IF(OFFSET(CRONOPLE!$F$15,$M178-$A$15,CM$13)=0,10^12,OFFSET(CRONOPLE!$F$15,$M178-$A$15,CM$13)))</f>
        <v>21</v>
      </c>
      <c r="CN178" s="353" t="n">
        <f aca="true">IF(OR($D178&lt;&gt;"Serviço",AND(AUTOEVENTO="Manual",$M178=$A$15)),0,
         IF(OFFSET(CRONOPLE!$F$15,$M178-$A$15,CN$13)=0,10^12,OFFSET(CRONOPLE!$F$15,$M178-$A$15,CN$13)))</f>
        <v>22</v>
      </c>
      <c r="CO178" s="353" t="n">
        <f aca="true">IF(OR($D178&lt;&gt;"Serviço",AND(AUTOEVENTO="Manual",$M178=$A$15)),0,
         IF(OFFSET(CRONOPLE!$F$15,$M178-$A$15,CO$13)=0,10^12,OFFSET(CRONOPLE!$F$15,$M178-$A$15,CO$13)))</f>
        <v>23</v>
      </c>
      <c r="CP178" s="353" t="n">
        <f aca="true">IF(OR($D178&lt;&gt;"Serviço",AND(AUTOEVENTO="Manual",$M178=$A$15)),0,
         IF(OFFSET(CRONOPLE!$F$15,$M178-$A$15,CP$13)=0,10^12,OFFSET(CRONOPLE!$F$15,$M178-$A$15,CP$13)))</f>
        <v>24</v>
      </c>
      <c r="CQ178" s="353" t="n">
        <f aca="true">IF(OR($D178&lt;&gt;"Serviço",AND(AUTOEVENTO="Manual",$M178=$A$15)),0,
         IF(OFFSET(CRONOPLE!$F$15,$M178-$A$15,CQ$13)=0,10^12,OFFSET(CRONOPLE!$F$15,$M178-$A$15,CQ$13)))</f>
        <v>25</v>
      </c>
      <c r="CR178" s="353" t="n">
        <f aca="true">IF(OR($D178&lt;&gt;"Serviço",AND(AUTOEVENTO="Manual",$M178=$A$15)),0,
         IF(OFFSET(CRONOPLE!$F$15,$M178-$A$15,CR$13)=0,10^12,OFFSET(CRONOPLE!$F$15,$M178-$A$15,CR$13)))</f>
        <v>1000000000000</v>
      </c>
      <c r="CT178" s="354" t="n">
        <f aca="true">IF(OR($D178&lt;&gt;"Serviço",AND(AUTOEVENTO="Manual",$M178=$A$15),$M178&gt;(ROW(PLE.lastrow)-ROW(PLE.firstrow))),0,
           IF(OFFSET(PLE!$G$15,$M178-$A$15,CT$13)="",10^12,OFFSET(PLE!$G$15,$M178-$A$15,CT$13)))</f>
        <v>1000000000000</v>
      </c>
      <c r="CU178" s="354" t="n">
        <f aca="true">IF(OR($D178&lt;&gt;"Serviço",AND(AUTOEVENTO="Manual",$M178=$A$15),$M178&gt;(ROW(PLE.lastrow)-ROW(PLE.firstrow))),0,
           IF(OFFSET(PLE!$G$15,$M178-$A$15,CU$13)="",10^12,OFFSET(PLE!$G$15,$M178-$A$15,CU$13)))</f>
        <v>1000000000000</v>
      </c>
      <c r="CV178" s="354" t="n">
        <f aca="true">IF(OR($D178&lt;&gt;"Serviço",AND(AUTOEVENTO="Manual",$M178=$A$15),$M178&gt;(ROW(PLE.lastrow)-ROW(PLE.firstrow))),0,
           IF(OFFSET(PLE!$G$15,$M178-$A$15,CV$13)="",10^12,OFFSET(PLE!$G$15,$M178-$A$15,CV$13)))</f>
        <v>1000000000000</v>
      </c>
      <c r="CW178" s="354" t="n">
        <f aca="true">IF(OR($D178&lt;&gt;"Serviço",AND(AUTOEVENTO="Manual",$M178=$A$15),$M178&gt;(ROW(PLE.lastrow)-ROW(PLE.firstrow))),0,
           IF(OFFSET(PLE!$G$15,$M178-$A$15,CW$13)="",10^12,OFFSET(PLE!$G$15,$M178-$A$15,CW$13)))</f>
        <v>1000000000000</v>
      </c>
      <c r="CX178" s="354" t="n">
        <f aca="true">IF(OR($D178&lt;&gt;"Serviço",AND(AUTOEVENTO="Manual",$M178=$A$15),$M178&gt;(ROW(PLE.lastrow)-ROW(PLE.firstrow))),0,
           IF(OFFSET(PLE!$G$15,$M178-$A$15,CX$13)="",10^12,OFFSET(PLE!$G$15,$M178-$A$15,CX$13)))</f>
        <v>1000000000000</v>
      </c>
      <c r="CY178" s="354" t="n">
        <f aca="true">IF(OR($D178&lt;&gt;"Serviço",AND(AUTOEVENTO="Manual",$M178=$A$15),$M178&gt;(ROW(PLE.lastrow)-ROW(PLE.firstrow))),0,
           IF(OFFSET(PLE!$G$15,$M178-$A$15,CY$13)="",10^12,OFFSET(PLE!$G$15,$M178-$A$15,CY$13)))</f>
        <v>1000000000000</v>
      </c>
      <c r="CZ178" s="354" t="n">
        <f aca="true">IF(OR($D178&lt;&gt;"Serviço",AND(AUTOEVENTO="Manual",$M178=$A$15),$M178&gt;(ROW(PLE.lastrow)-ROW(PLE.firstrow))),0,
           IF(OFFSET(PLE!$G$15,$M178-$A$15,CZ$13)="",10^12,OFFSET(PLE!$G$15,$M178-$A$15,CZ$13)))</f>
        <v>1000000000000</v>
      </c>
      <c r="DA178" s="354" t="n">
        <f aca="true">IF(OR($D178&lt;&gt;"Serviço",AND(AUTOEVENTO="Manual",$M178=$A$15),$M178&gt;(ROW(PLE.lastrow)-ROW(PLE.firstrow))),0,
           IF(OFFSET(PLE!$G$15,$M178-$A$15,DA$13)="",10^12,OFFSET(PLE!$G$15,$M178-$A$15,DA$13)))</f>
        <v>1000000000000</v>
      </c>
      <c r="DB178" s="354" t="n">
        <f aca="true">IF(OR($D178&lt;&gt;"Serviço",AND(AUTOEVENTO="Manual",$M178=$A$15),$M178&gt;(ROW(PLE.lastrow)-ROW(PLE.firstrow))),0,
           IF(OFFSET(PLE!$G$15,$M178-$A$15,DB$13)="",10^12,OFFSET(PLE!$G$15,$M178-$A$15,DB$13)))</f>
        <v>1000000000000</v>
      </c>
      <c r="DC178" s="354" t="n">
        <f aca="true">IF(OR($D178&lt;&gt;"Serviço",AND(AUTOEVENTO="Manual",$M178=$A$15),$M178&gt;(ROW(PLE.lastrow)-ROW(PLE.firstrow))),0,
           IF(OFFSET(PLE!$G$15,$M178-$A$15,DC$13)="",10^12,OFFSET(PLE!$G$15,$M178-$A$15,DC$13)))</f>
        <v>1000000000000</v>
      </c>
      <c r="DD178" s="354" t="n">
        <f aca="true">IF(OR($D178&lt;&gt;"Serviço",AND(AUTOEVENTO="Manual",$M178=$A$15),$M178&gt;(ROW(PLE.lastrow)-ROW(PLE.firstrow))),0,
           IF(OFFSET(PLE!$G$15,$M178-$A$15,DD$13)="",10^12,OFFSET(PLE!$G$15,$M178-$A$15,DD$13)))</f>
        <v>1000000000000</v>
      </c>
      <c r="DE178" s="354" t="n">
        <f aca="true">IF(OR($D178&lt;&gt;"Serviço",AND(AUTOEVENTO="Manual",$M178=$A$15),$M178&gt;(ROW(PLE.lastrow)-ROW(PLE.firstrow))),0,
           IF(OFFSET(PLE!$G$15,$M178-$A$15,DE$13)="",10^12,OFFSET(PLE!$G$15,$M178-$A$15,DE$13)))</f>
        <v>1000000000000</v>
      </c>
      <c r="DF178" s="354" t="n">
        <f aca="true">IF(OR($D178&lt;&gt;"Serviço",AND(AUTOEVENTO="Manual",$M178=$A$15),$M178&gt;(ROW(PLE.lastrow)-ROW(PLE.firstrow))),0,
           IF(OFFSET(PLE!$G$15,$M178-$A$15,DF$13)="",10^12,OFFSET(PLE!$G$15,$M178-$A$15,DF$13)))</f>
        <v>1000000000000</v>
      </c>
      <c r="DG178" s="354" t="n">
        <f aca="true">IF(OR($D178&lt;&gt;"Serviço",AND(AUTOEVENTO="Manual",$M178=$A$15),$M178&gt;(ROW(PLE.lastrow)-ROW(PLE.firstrow))),0,
           IF(OFFSET(PLE!$G$15,$M178-$A$15,DG$13)="",10^12,OFFSET(PLE!$G$15,$M178-$A$15,DG$13)))</f>
        <v>1000000000000</v>
      </c>
      <c r="DH178" s="354" t="n">
        <f aca="true">IF(OR($D178&lt;&gt;"Serviço",AND(AUTOEVENTO="Manual",$M178=$A$15),$M178&gt;(ROW(PLE.lastrow)-ROW(PLE.firstrow))),0,
           IF(OFFSET(PLE!$G$15,$M178-$A$15,DH$13)="",10^12,OFFSET(PLE!$G$15,$M178-$A$15,DH$13)))</f>
        <v>1000000000000</v>
      </c>
      <c r="DI178" s="354" t="n">
        <f aca="true">IF(OR($D178&lt;&gt;"Serviço",AND(AUTOEVENTO="Manual",$M178=$A$15),$M178&gt;(ROW(PLE.lastrow)-ROW(PLE.firstrow))),0,
           IF(OFFSET(PLE!$G$15,$M178-$A$15,DI$13)="",10^12,OFFSET(PLE!$G$15,$M178-$A$15,DI$13)))</f>
        <v>1000000000000</v>
      </c>
      <c r="DJ178" s="354" t="n">
        <f aca="true">IF(OR($D178&lt;&gt;"Serviço",AND(AUTOEVENTO="Manual",$M178=$A$15),$M178&gt;(ROW(PLE.lastrow)-ROW(PLE.firstrow))),0,
           IF(OFFSET(PLE!$G$15,$M178-$A$15,DJ$13)="",10^12,OFFSET(PLE!$G$15,$M178-$A$15,DJ$13)))</f>
        <v>1000000000000</v>
      </c>
      <c r="DK178" s="354" t="n">
        <f aca="true">IF(OR($D178&lt;&gt;"Serviço",AND(AUTOEVENTO="Manual",$M178=$A$15),$M178&gt;(ROW(PLE.lastrow)-ROW(PLE.firstrow))),0,
           IF(OFFSET(PLE!$G$15,$M178-$A$15,DK$13)="",10^12,OFFSET(PLE!$G$15,$M178-$A$15,DK$13)))</f>
        <v>1000000000000</v>
      </c>
      <c r="DL178" s="354" t="n">
        <f aca="true">IF(OR($D178&lt;&gt;"Serviço",AND(AUTOEVENTO="Manual",$M178=$A$15),$M178&gt;(ROW(PLE.lastrow)-ROW(PLE.firstrow))),0,
           IF(OFFSET(PLE!$G$15,$M178-$A$15,DL$13)="",10^12,OFFSET(PLE!$G$15,$M178-$A$15,DL$13)))</f>
        <v>1000000000000</v>
      </c>
      <c r="DM178" s="354" t="n">
        <f aca="true">IF(OR($D178&lt;&gt;"Serviço",AND(AUTOEVENTO="Manual",$M178=$A$15),$M178&gt;(ROW(PLE.lastrow)-ROW(PLE.firstrow))),0,
           IF(OFFSET(PLE!$G$15,$M178-$A$15,DM$13)="",10^12,OFFSET(PLE!$G$15,$M178-$A$15,DM$13)))</f>
        <v>1000000000000</v>
      </c>
      <c r="DN178" s="354" t="n">
        <f aca="true">IF(OR($D178&lt;&gt;"Serviço",AND(AUTOEVENTO="Manual",$M178=$A$15),$M178&gt;(ROW(PLE.lastrow)-ROW(PLE.firstrow))),0,
           IF(OFFSET(PLE!$G$15,$M178-$A$15,DN$13)="",10^12,OFFSET(PLE!$G$15,$M178-$A$15,DN$13)))</f>
        <v>1000000000000</v>
      </c>
      <c r="DO178" s="354" t="n">
        <f aca="true">IF(OR($D178&lt;&gt;"Serviço",AND(AUTOEVENTO="Manual",$M178=$A$15),$M178&gt;(ROW(PLE.lastrow)-ROW(PLE.firstrow))),0,
           IF(OFFSET(PLE!$G$15,$M178-$A$15,DO$13)="",10^12,OFFSET(PLE!$G$15,$M178-$A$15,DO$13)))</f>
        <v>1000000000000</v>
      </c>
      <c r="DP178" s="354" t="n">
        <f aca="true">IF(OR($D178&lt;&gt;"Serviço",AND(AUTOEVENTO="Manual",$M178=$A$15),$M178&gt;(ROW(PLE.lastrow)-ROW(PLE.firstrow))),0,
           IF(OFFSET(PLE!$G$15,$M178-$A$15,DP$13)="",10^12,OFFSET(PLE!$G$15,$M178-$A$15,DP$13)))</f>
        <v>1000000000000</v>
      </c>
      <c r="DQ178" s="354" t="n">
        <f aca="true">IF(OR($D178&lt;&gt;"Serviço",AND(AUTOEVENTO="Manual",$M178=$A$15),$M178&gt;(ROW(PLE.lastrow)-ROW(PLE.firstrow))),0,
           IF(OFFSET(PLE!$G$15,$M178-$A$15,DQ$13)="",10^12,OFFSET(PLE!$G$15,$M178-$A$15,DQ$13)))</f>
        <v>1000000000000</v>
      </c>
      <c r="DR178" s="354" t="n">
        <f aca="true">IF(OR($D178&lt;&gt;"Serviço",AND(AUTOEVENTO="Manual",$M178=$A$15),$M178&gt;(ROW(PLE.lastrow)-ROW(PLE.firstrow))),0,
           IF(OFFSET(PLE!$G$15,$M178-$A$15,DR$13)="",10^12,OFFSET(PLE!$G$15,$M178-$A$15,DR$13)))</f>
        <v>1000000000000</v>
      </c>
      <c r="DS178" s="354" t="n">
        <f aca="true">IF(OR($D178&lt;&gt;"Serviço",AND(AUTOEVENTO="Manual",$M178=$A$15),$M178&gt;(ROW(PLE.lastrow)-ROW(PLE.firstrow))),0,
           IF(OFFSET(PLE!$G$15,$M178-$A$15,DS$13)="",10^12,OFFSET(PLE!$G$15,$M178-$A$15,DS$13)))</f>
        <v>1000000000000</v>
      </c>
    </row>
    <row r="179" customFormat="false" ht="46.25" hidden="false" customHeight="false" outlineLevel="0" collapsed="false">
      <c r="A179" s="50" t="str">
        <f aca="true">IFERROR(IF(AUTOEVENTO="Manual",IF(K179&lt;&gt;"",MIN(VALUE(LEFT(K179,FIND(".",K179)-1)),COUNTA(EVENTOS.Lista)),0),IF(OR($B179&gt;AUTOEVENTO,$B179="S",$B179=0),SUBSTITUTE(OFFSET($A179,-1,0),IF($D179="Serviço",".",""),""),ROW(A179)-ROW($A$15)&amp;".")),0)</f>
        <v>157</v>
      </c>
      <c r="B179" s="50" t="str">
        <f aca="true">OFFSET(ORÇAMENTO!C$15,ROW(B179)-ROW(B$15),0)</f>
        <v>S</v>
      </c>
      <c r="C179" s="50" t="str">
        <f aca="true">OFFSET(ORÇAMENTO!L$15,ROW(C179)-ROW(C$15),0)</f>
        <v>F</v>
      </c>
      <c r="D179" s="201" t="str">
        <f aca="true">OFFSET(ORÇAMENTO!N$15,ROW(D179)-ROW(D$15),0)</f>
        <v>Serviço</v>
      </c>
      <c r="E179" s="202" t="str">
        <f aca="true">OFFSET(ORÇAMENTO!O$15,ROW(E179)-ROW(E$15),0)</f>
        <v>1.45.7.</v>
      </c>
      <c r="F179" s="341" t="str">
        <f aca="true">OFFSET(ORÇAMENTO!R$15,ROW(F179)-ROW(F$15),0)</f>
        <v>JUNÇÃO DE REDUÇÃO INVERTIDA, PVC, SÉRIE NORMAL, ESGOTO PREDIAL, DN 100 X 50 MM, JUNTA ELÁSTICA, FORNECIDO E INSTALADO EM RAMAL DE DESCARGA OU RAMAL DE ESGOTO SANITÁRIO. AF_08/2022</v>
      </c>
      <c r="G179" s="342" t="str">
        <f aca="true">IF($D179&lt;&gt;"Serviço","",OFFSET(ORÇAMENTO!S$15,ROW(G179)-ROW(G$15),0))</f>
        <v>UN</v>
      </c>
      <c r="H179" s="207" t="n">
        <f aca="true">IF($D179&lt;&gt;"Serviço",0,IF(ACOMPANHAMENTO="BM",ROUND(OFFSET(ORÇAMENTO!AJ$15,ROW(H179)-ROW(H$15),0),15-13*ORÇAMENTO!$AF$7),SUMPRODUCT(($Q$1:$AQ$1=1)*ROUND($Q179:$AQ179,15-13*ORÇAMENTO!$AF$7))))</f>
        <v>25</v>
      </c>
      <c r="I179" s="343" t="s">
        <v>969</v>
      </c>
      <c r="J179" s="344" t="e">
        <f aca="false">IF(OR(B179&lt;&gt;"S",CÁLCULO.FrentesPreenchidas=0),"",IF(AND(ACOMPANHAMENTO="PLE",AUTOEVENTO="Manual",OR(H179&gt;0,ORÇAMENTO!AC179="QUANT."),OR(K179="",M179=0,N179="")),"►",IF(AND(ACOMPANHAMENTO="PLE",ORÇAMENTO!AC179="QUANT."),"►►",IF(AND(COUNTIF($P$11:$AQ$11,"▼")=0,H179&gt;0,I179=""),"◄",""))))</f>
        <v>#NAME?</v>
      </c>
      <c r="K179" s="345"/>
      <c r="L179" s="346" t="s">
        <v>876</v>
      </c>
      <c r="M179" s="347" t="n">
        <f aca="true">IF($D179&lt;&gt;"Serviço","",
          IF(AUTOEVENTO="manual",$A179,
                IF(ISERROR(MATCH($A179,$A$15:OFFSET($A179,-1,0),0)),MAX($M$15:OFFSET(M179,-1,0))+1,
                      INDEX($M$15:OFFSET(M179,-1,0),MATCH($A179,$A$15:OFFSET($A179,-1,0),0)))))</f>
        <v>28</v>
      </c>
      <c r="N179" s="348" t="str">
        <f aca="true">IF($D179&lt;&gt;"Serviço","",
         IF(AUTOEVENTO="Manual",
                IF($A179=0,"&lt;-- defina o número do agrupador",
                       OFFSET(EVENTOS!$D$15,$A179-$A$15,0)),
                OFFSET($F$15,$A179,0)))</f>
        <v>TUBULAÇÕES E CONEXÕES</v>
      </c>
      <c r="O179" s="349"/>
      <c r="Q179" s="349" t="n">
        <v>1</v>
      </c>
      <c r="R179" s="350" t="n">
        <v>1</v>
      </c>
      <c r="S179" s="350" t="n">
        <v>1</v>
      </c>
      <c r="T179" s="350" t="n">
        <v>1</v>
      </c>
      <c r="U179" s="350" t="n">
        <v>1</v>
      </c>
      <c r="V179" s="350" t="n">
        <v>1</v>
      </c>
      <c r="W179" s="350" t="n">
        <v>1</v>
      </c>
      <c r="X179" s="350" t="n">
        <v>1</v>
      </c>
      <c r="Y179" s="350" t="n">
        <v>1</v>
      </c>
      <c r="Z179" s="351" t="n">
        <v>1</v>
      </c>
      <c r="AA179" s="350" t="n">
        <v>1</v>
      </c>
      <c r="AB179" s="350" t="n">
        <v>1</v>
      </c>
      <c r="AC179" s="350" t="n">
        <v>1</v>
      </c>
      <c r="AD179" s="350" t="n">
        <v>1</v>
      </c>
      <c r="AE179" s="350" t="n">
        <v>1</v>
      </c>
      <c r="AF179" s="350" t="n">
        <v>1</v>
      </c>
      <c r="AG179" s="350" t="n">
        <v>1</v>
      </c>
      <c r="AH179" s="351" t="n">
        <v>1</v>
      </c>
      <c r="AI179" s="350" t="n">
        <v>1</v>
      </c>
      <c r="AJ179" s="350" t="n">
        <v>1</v>
      </c>
      <c r="AK179" s="350" t="n">
        <v>1</v>
      </c>
      <c r="AL179" s="350" t="n">
        <v>1</v>
      </c>
      <c r="AM179" s="350" t="n">
        <v>1</v>
      </c>
      <c r="AN179" s="350" t="n">
        <v>1</v>
      </c>
      <c r="AO179" s="350" t="n">
        <v>1</v>
      </c>
      <c r="AP179" s="351"/>
      <c r="AR179" s="352" t="n">
        <f aca="true">IF(AND($D179="Serviço",AR$12&lt;&gt;0,$H179&gt;0,OR(AUTOEVENTO&lt;&gt;"manual",$M179&lt;&gt;$A$15)),
        IF(Import.TipoArredondamento&lt;&gt;"TransfereGOV",
              ROUND(OFFSET($P179,0,AR$13),15-13*ORÇAMENTO!$AF$7)/$H179*OFFSET(ORÇAMENTO!$X$15,ROW(AR179)-ROW(AR$15),0),
              ROUND(ROUND(OFFSET($P179,0,AR$13),15-13*ORÇAMENTO!$AF$7)*OFFSET(ORÇAMENTO!$W$15,ROW(AR179)-ROW(AR$15),0),15-13*ORÇAMENTO!$AF$11)),
         0)</f>
        <v>53.82</v>
      </c>
      <c r="AS179" s="352" t="n">
        <f aca="true">IF(AND($D179="Serviço",AS$12&lt;&gt;0,$H179&gt;0,OR(AUTOEVENTO&lt;&gt;"manual",$M179&lt;&gt;$A$15)),
        IF(Import.TipoArredondamento&lt;&gt;"TransfereGOV",
              ROUND(OFFSET($P179,0,AS$13),15-13*ORÇAMENTO!$AF$7)/$H179*OFFSET(ORÇAMENTO!$X$15,ROW(AS179)-ROW(AS$15),0),
              ROUND(ROUND(OFFSET($P179,0,AS$13),15-13*ORÇAMENTO!$AF$7)*OFFSET(ORÇAMENTO!$W$15,ROW(AS179)-ROW(AS$15),0),15-13*ORÇAMENTO!$AF$11)),
         0)</f>
        <v>53.82</v>
      </c>
      <c r="AT179" s="352" t="n">
        <f aca="true">IF(AND($D179="Serviço",AT$12&lt;&gt;0,$H179&gt;0,OR(AUTOEVENTO&lt;&gt;"manual",$M179&lt;&gt;$A$15)),
        IF(Import.TipoArredondamento&lt;&gt;"TransfereGOV",
              ROUND(OFFSET($P179,0,AT$13),15-13*ORÇAMENTO!$AF$7)/$H179*OFFSET(ORÇAMENTO!$X$15,ROW(AT179)-ROW(AT$15),0),
              ROUND(ROUND(OFFSET($P179,0,AT$13),15-13*ORÇAMENTO!$AF$7)*OFFSET(ORÇAMENTO!$W$15,ROW(AT179)-ROW(AT$15),0),15-13*ORÇAMENTO!$AF$11)),
         0)</f>
        <v>53.82</v>
      </c>
      <c r="AU179" s="352" t="n">
        <f aca="true">IF(AND($D179="Serviço",AU$12&lt;&gt;0,$H179&gt;0,OR(AUTOEVENTO&lt;&gt;"manual",$M179&lt;&gt;$A$15)),
        IF(Import.TipoArredondamento&lt;&gt;"TransfereGOV",
              ROUND(OFFSET($P179,0,AU$13),15-13*ORÇAMENTO!$AF$7)/$H179*OFFSET(ORÇAMENTO!$X$15,ROW(AU179)-ROW(AU$15),0),
              ROUND(ROUND(OFFSET($P179,0,AU$13),15-13*ORÇAMENTO!$AF$7)*OFFSET(ORÇAMENTO!$W$15,ROW(AU179)-ROW(AU$15),0),15-13*ORÇAMENTO!$AF$11)),
         0)</f>
        <v>53.82</v>
      </c>
      <c r="AV179" s="352" t="n">
        <f aca="true">IF(AND($D179="Serviço",AV$12&lt;&gt;0,$H179&gt;0,OR(AUTOEVENTO&lt;&gt;"manual",$M179&lt;&gt;$A$15)),
        IF(Import.TipoArredondamento&lt;&gt;"TransfereGOV",
              ROUND(OFFSET($P179,0,AV$13),15-13*ORÇAMENTO!$AF$7)/$H179*OFFSET(ORÇAMENTO!$X$15,ROW(AV179)-ROW(AV$15),0),
              ROUND(ROUND(OFFSET($P179,0,AV$13),15-13*ORÇAMENTO!$AF$7)*OFFSET(ORÇAMENTO!$W$15,ROW(AV179)-ROW(AV$15),0),15-13*ORÇAMENTO!$AF$11)),
         0)</f>
        <v>53.82</v>
      </c>
      <c r="AW179" s="352" t="n">
        <f aca="true">IF(AND($D179="Serviço",AW$12&lt;&gt;0,$H179&gt;0,OR(AUTOEVENTO&lt;&gt;"manual",$M179&lt;&gt;$A$15)),
        IF(Import.TipoArredondamento&lt;&gt;"TransfereGOV",
              ROUND(OFFSET($P179,0,AW$13),15-13*ORÇAMENTO!$AF$7)/$H179*OFFSET(ORÇAMENTO!$X$15,ROW(AW179)-ROW(AW$15),0),
              ROUND(ROUND(OFFSET($P179,0,AW$13),15-13*ORÇAMENTO!$AF$7)*OFFSET(ORÇAMENTO!$W$15,ROW(AW179)-ROW(AW$15),0),15-13*ORÇAMENTO!$AF$11)),
         0)</f>
        <v>53.82</v>
      </c>
      <c r="AX179" s="352" t="n">
        <f aca="true">IF(AND($D179="Serviço",AX$12&lt;&gt;0,$H179&gt;0,OR(AUTOEVENTO&lt;&gt;"manual",$M179&lt;&gt;$A$15)),
        IF(Import.TipoArredondamento&lt;&gt;"TransfereGOV",
              ROUND(OFFSET($P179,0,AX$13),15-13*ORÇAMENTO!$AF$7)/$H179*OFFSET(ORÇAMENTO!$X$15,ROW(AX179)-ROW(AX$15),0),
              ROUND(ROUND(OFFSET($P179,0,AX$13),15-13*ORÇAMENTO!$AF$7)*OFFSET(ORÇAMENTO!$W$15,ROW(AX179)-ROW(AX$15),0),15-13*ORÇAMENTO!$AF$11)),
         0)</f>
        <v>53.82</v>
      </c>
      <c r="AY179" s="352" t="n">
        <f aca="true">IF(AND($D179="Serviço",AY$12&lt;&gt;0,$H179&gt;0,OR(AUTOEVENTO&lt;&gt;"manual",$M179&lt;&gt;$A$15)),
        IF(Import.TipoArredondamento&lt;&gt;"TransfereGOV",
              ROUND(OFFSET($P179,0,AY$13),15-13*ORÇAMENTO!$AF$7)/$H179*OFFSET(ORÇAMENTO!$X$15,ROW(AY179)-ROW(AY$15),0),
              ROUND(ROUND(OFFSET($P179,0,AY$13),15-13*ORÇAMENTO!$AF$7)*OFFSET(ORÇAMENTO!$W$15,ROW(AY179)-ROW(AY$15),0),15-13*ORÇAMENTO!$AF$11)),
         0)</f>
        <v>53.82</v>
      </c>
      <c r="AZ179" s="352" t="n">
        <f aca="true">IF(AND($D179="Serviço",AZ$12&lt;&gt;0,$H179&gt;0,OR(AUTOEVENTO&lt;&gt;"manual",$M179&lt;&gt;$A$15)),
        IF(Import.TipoArredondamento&lt;&gt;"TransfereGOV",
              ROUND(OFFSET($P179,0,AZ$13),15-13*ORÇAMENTO!$AF$7)/$H179*OFFSET(ORÇAMENTO!$X$15,ROW(AZ179)-ROW(AZ$15),0),
              ROUND(ROUND(OFFSET($P179,0,AZ$13),15-13*ORÇAMENTO!$AF$7)*OFFSET(ORÇAMENTO!$W$15,ROW(AZ179)-ROW(AZ$15),0),15-13*ORÇAMENTO!$AF$11)),
         0)</f>
        <v>53.82</v>
      </c>
      <c r="BA179" s="352" t="n">
        <f aca="true">IF(AND($D179="Serviço",BA$12&lt;&gt;0,$H179&gt;0,OR(AUTOEVENTO&lt;&gt;"manual",$M179&lt;&gt;$A$15)),
        IF(Import.TipoArredondamento&lt;&gt;"TransfereGOV",
              ROUND(OFFSET($P179,0,BA$13),15-13*ORÇAMENTO!$AF$7)/$H179*OFFSET(ORÇAMENTO!$X$15,ROW(BA179)-ROW(BA$15),0),
              ROUND(ROUND(OFFSET($P179,0,BA$13),15-13*ORÇAMENTO!$AF$7)*OFFSET(ORÇAMENTO!$W$15,ROW(BA179)-ROW(BA$15),0),15-13*ORÇAMENTO!$AF$11)),
         0)</f>
        <v>53.82</v>
      </c>
      <c r="BB179" s="352" t="n">
        <f aca="true">IF(AND($D179="Serviço",BB$12&lt;&gt;0,$H179&gt;0,OR(AUTOEVENTO&lt;&gt;"manual",$M179&lt;&gt;$A$15)),
        IF(Import.TipoArredondamento&lt;&gt;"TransfereGOV",
              ROUND(OFFSET($P179,0,BB$13),15-13*ORÇAMENTO!$AF$7)/$H179*OFFSET(ORÇAMENTO!$X$15,ROW(BB179)-ROW(BB$15),0),
              ROUND(ROUND(OFFSET($P179,0,BB$13),15-13*ORÇAMENTO!$AF$7)*OFFSET(ORÇAMENTO!$W$15,ROW(BB179)-ROW(BB$15),0),15-13*ORÇAMENTO!$AF$11)),
         0)</f>
        <v>53.82</v>
      </c>
      <c r="BC179" s="352" t="n">
        <f aca="true">IF(AND($D179="Serviço",BC$12&lt;&gt;0,$H179&gt;0,OR(AUTOEVENTO&lt;&gt;"manual",$M179&lt;&gt;$A$15)),
        IF(Import.TipoArredondamento&lt;&gt;"TransfereGOV",
              ROUND(OFFSET($P179,0,BC$13),15-13*ORÇAMENTO!$AF$7)/$H179*OFFSET(ORÇAMENTO!$X$15,ROW(BC179)-ROW(BC$15),0),
              ROUND(ROUND(OFFSET($P179,0,BC$13),15-13*ORÇAMENTO!$AF$7)*OFFSET(ORÇAMENTO!$W$15,ROW(BC179)-ROW(BC$15),0),15-13*ORÇAMENTO!$AF$11)),
         0)</f>
        <v>53.82</v>
      </c>
      <c r="BD179" s="352" t="n">
        <f aca="true">IF(AND($D179="Serviço",BD$12&lt;&gt;0,$H179&gt;0,OR(AUTOEVENTO&lt;&gt;"manual",$M179&lt;&gt;$A$15)),
        IF(Import.TipoArredondamento&lt;&gt;"TransfereGOV",
              ROUND(OFFSET($P179,0,BD$13),15-13*ORÇAMENTO!$AF$7)/$H179*OFFSET(ORÇAMENTO!$X$15,ROW(BD179)-ROW(BD$15),0),
              ROUND(ROUND(OFFSET($P179,0,BD$13),15-13*ORÇAMENTO!$AF$7)*OFFSET(ORÇAMENTO!$W$15,ROW(BD179)-ROW(BD$15),0),15-13*ORÇAMENTO!$AF$11)),
         0)</f>
        <v>53.82</v>
      </c>
      <c r="BE179" s="352" t="n">
        <f aca="true">IF(AND($D179="Serviço",BE$12&lt;&gt;0,$H179&gt;0,OR(AUTOEVENTO&lt;&gt;"manual",$M179&lt;&gt;$A$15)),
        IF(Import.TipoArredondamento&lt;&gt;"TransfereGOV",
              ROUND(OFFSET($P179,0,BE$13),15-13*ORÇAMENTO!$AF$7)/$H179*OFFSET(ORÇAMENTO!$X$15,ROW(BE179)-ROW(BE$15),0),
              ROUND(ROUND(OFFSET($P179,0,BE$13),15-13*ORÇAMENTO!$AF$7)*OFFSET(ORÇAMENTO!$W$15,ROW(BE179)-ROW(BE$15),0),15-13*ORÇAMENTO!$AF$11)),
         0)</f>
        <v>53.82</v>
      </c>
      <c r="BF179" s="352" t="n">
        <f aca="true">IF(AND($D179="Serviço",BF$12&lt;&gt;0,$H179&gt;0,OR(AUTOEVENTO&lt;&gt;"manual",$M179&lt;&gt;$A$15)),
        IF(Import.TipoArredondamento&lt;&gt;"TransfereGOV",
              ROUND(OFFSET($P179,0,BF$13),15-13*ORÇAMENTO!$AF$7)/$H179*OFFSET(ORÇAMENTO!$X$15,ROW(BF179)-ROW(BF$15),0),
              ROUND(ROUND(OFFSET($P179,0,BF$13),15-13*ORÇAMENTO!$AF$7)*OFFSET(ORÇAMENTO!$W$15,ROW(BF179)-ROW(BF$15),0),15-13*ORÇAMENTO!$AF$11)),
         0)</f>
        <v>53.82</v>
      </c>
      <c r="BG179" s="352" t="n">
        <f aca="true">IF(AND($D179="Serviço",BG$12&lt;&gt;0,$H179&gt;0,OR(AUTOEVENTO&lt;&gt;"manual",$M179&lt;&gt;$A$15)),
        IF(Import.TipoArredondamento&lt;&gt;"TransfereGOV",
              ROUND(OFFSET($P179,0,BG$13),15-13*ORÇAMENTO!$AF$7)/$H179*OFFSET(ORÇAMENTO!$X$15,ROW(BG179)-ROW(BG$15),0),
              ROUND(ROUND(OFFSET($P179,0,BG$13),15-13*ORÇAMENTO!$AF$7)*OFFSET(ORÇAMENTO!$W$15,ROW(BG179)-ROW(BG$15),0),15-13*ORÇAMENTO!$AF$11)),
         0)</f>
        <v>53.82</v>
      </c>
      <c r="BH179" s="352" t="n">
        <f aca="true">IF(AND($D179="Serviço",BH$12&lt;&gt;0,$H179&gt;0,OR(AUTOEVENTO&lt;&gt;"manual",$M179&lt;&gt;$A$15)),
        IF(Import.TipoArredondamento&lt;&gt;"TransfereGOV",
              ROUND(OFFSET($P179,0,BH$13),15-13*ORÇAMENTO!$AF$7)/$H179*OFFSET(ORÇAMENTO!$X$15,ROW(BH179)-ROW(BH$15),0),
              ROUND(ROUND(OFFSET($P179,0,BH$13),15-13*ORÇAMENTO!$AF$7)*OFFSET(ORÇAMENTO!$W$15,ROW(BH179)-ROW(BH$15),0),15-13*ORÇAMENTO!$AF$11)),
         0)</f>
        <v>53.82</v>
      </c>
      <c r="BI179" s="352" t="n">
        <f aca="true">IF(AND($D179="Serviço",BI$12&lt;&gt;0,$H179&gt;0,OR(AUTOEVENTO&lt;&gt;"manual",$M179&lt;&gt;$A$15)),
        IF(Import.TipoArredondamento&lt;&gt;"TransfereGOV",
              ROUND(OFFSET($P179,0,BI$13),15-13*ORÇAMENTO!$AF$7)/$H179*OFFSET(ORÇAMENTO!$X$15,ROW(BI179)-ROW(BI$15),0),
              ROUND(ROUND(OFFSET($P179,0,BI$13),15-13*ORÇAMENTO!$AF$7)*OFFSET(ORÇAMENTO!$W$15,ROW(BI179)-ROW(BI$15),0),15-13*ORÇAMENTO!$AF$11)),
         0)</f>
        <v>53.82</v>
      </c>
      <c r="BJ179" s="352" t="n">
        <f aca="true">IF(AND($D179="Serviço",BJ$12&lt;&gt;0,$H179&gt;0,OR(AUTOEVENTO&lt;&gt;"manual",$M179&lt;&gt;$A$15)),
        IF(Import.TipoArredondamento&lt;&gt;"TransfereGOV",
              ROUND(OFFSET($P179,0,BJ$13),15-13*ORÇAMENTO!$AF$7)/$H179*OFFSET(ORÇAMENTO!$X$15,ROW(BJ179)-ROW(BJ$15),0),
              ROUND(ROUND(OFFSET($P179,0,BJ$13),15-13*ORÇAMENTO!$AF$7)*OFFSET(ORÇAMENTO!$W$15,ROW(BJ179)-ROW(BJ$15),0),15-13*ORÇAMENTO!$AF$11)),
         0)</f>
        <v>53.82</v>
      </c>
      <c r="BK179" s="352" t="n">
        <f aca="true">IF(AND($D179="Serviço",BK$12&lt;&gt;0,$H179&gt;0,OR(AUTOEVENTO&lt;&gt;"manual",$M179&lt;&gt;$A$15)),
        IF(Import.TipoArredondamento&lt;&gt;"TransfereGOV",
              ROUND(OFFSET($P179,0,BK$13),15-13*ORÇAMENTO!$AF$7)/$H179*OFFSET(ORÇAMENTO!$X$15,ROW(BK179)-ROW(BK$15),0),
              ROUND(ROUND(OFFSET($P179,0,BK$13),15-13*ORÇAMENTO!$AF$7)*OFFSET(ORÇAMENTO!$W$15,ROW(BK179)-ROW(BK$15),0),15-13*ORÇAMENTO!$AF$11)),
         0)</f>
        <v>53.82</v>
      </c>
      <c r="BL179" s="352" t="n">
        <f aca="true">IF(AND($D179="Serviço",BL$12&lt;&gt;0,$H179&gt;0,OR(AUTOEVENTO&lt;&gt;"manual",$M179&lt;&gt;$A$15)),
        IF(Import.TipoArredondamento&lt;&gt;"TransfereGOV",
              ROUND(OFFSET($P179,0,BL$13),15-13*ORÇAMENTO!$AF$7)/$H179*OFFSET(ORÇAMENTO!$X$15,ROW(BL179)-ROW(BL$15),0),
              ROUND(ROUND(OFFSET($P179,0,BL$13),15-13*ORÇAMENTO!$AF$7)*OFFSET(ORÇAMENTO!$W$15,ROW(BL179)-ROW(BL$15),0),15-13*ORÇAMENTO!$AF$11)),
         0)</f>
        <v>53.82</v>
      </c>
      <c r="BM179" s="352" t="n">
        <f aca="true">IF(AND($D179="Serviço",BM$12&lt;&gt;0,$H179&gt;0,OR(AUTOEVENTO&lt;&gt;"manual",$M179&lt;&gt;$A$15)),
        IF(Import.TipoArredondamento&lt;&gt;"TransfereGOV",
              ROUND(OFFSET($P179,0,BM$13),15-13*ORÇAMENTO!$AF$7)/$H179*OFFSET(ORÇAMENTO!$X$15,ROW(BM179)-ROW(BM$15),0),
              ROUND(ROUND(OFFSET($P179,0,BM$13),15-13*ORÇAMENTO!$AF$7)*OFFSET(ORÇAMENTO!$W$15,ROW(BM179)-ROW(BM$15),0),15-13*ORÇAMENTO!$AF$11)),
         0)</f>
        <v>53.82</v>
      </c>
      <c r="BN179" s="352" t="n">
        <f aca="true">IF(AND($D179="Serviço",BN$12&lt;&gt;0,$H179&gt;0,OR(AUTOEVENTO&lt;&gt;"manual",$M179&lt;&gt;$A$15)),
        IF(Import.TipoArredondamento&lt;&gt;"TransfereGOV",
              ROUND(OFFSET($P179,0,BN$13),15-13*ORÇAMENTO!$AF$7)/$H179*OFFSET(ORÇAMENTO!$X$15,ROW(BN179)-ROW(BN$15),0),
              ROUND(ROUND(OFFSET($P179,0,BN$13),15-13*ORÇAMENTO!$AF$7)*OFFSET(ORÇAMENTO!$W$15,ROW(BN179)-ROW(BN$15),0),15-13*ORÇAMENTO!$AF$11)),
         0)</f>
        <v>53.82</v>
      </c>
      <c r="BO179" s="352" t="n">
        <f aca="true">IF(AND($D179="Serviço",BO$12&lt;&gt;0,$H179&gt;0,OR(AUTOEVENTO&lt;&gt;"manual",$M179&lt;&gt;$A$15)),
        IF(Import.TipoArredondamento&lt;&gt;"TransfereGOV",
              ROUND(OFFSET($P179,0,BO$13),15-13*ORÇAMENTO!$AF$7)/$H179*OFFSET(ORÇAMENTO!$X$15,ROW(BO179)-ROW(BO$15),0),
              ROUND(ROUND(OFFSET($P179,0,BO$13),15-13*ORÇAMENTO!$AF$7)*OFFSET(ORÇAMENTO!$W$15,ROW(BO179)-ROW(BO$15),0),15-13*ORÇAMENTO!$AF$11)),
         0)</f>
        <v>53.82</v>
      </c>
      <c r="BP179" s="352" t="n">
        <f aca="true">IF(AND($D179="Serviço",BP$12&lt;&gt;0,$H179&gt;0,OR(AUTOEVENTO&lt;&gt;"manual",$M179&lt;&gt;$A$15)),
        IF(Import.TipoArredondamento&lt;&gt;"TransfereGOV",
              ROUND(OFFSET($P179,0,BP$13),15-13*ORÇAMENTO!$AF$7)/$H179*OFFSET(ORÇAMENTO!$X$15,ROW(BP179)-ROW(BP$15),0),
              ROUND(ROUND(OFFSET($P179,0,BP$13),15-13*ORÇAMENTO!$AF$7)*OFFSET(ORÇAMENTO!$W$15,ROW(BP179)-ROW(BP$15),0),15-13*ORÇAMENTO!$AF$11)),
         0)</f>
        <v>53.82</v>
      </c>
      <c r="BQ179" s="352" t="n">
        <f aca="true">IF(AND($D179="Serviço",BQ$12&lt;&gt;0,$H179&gt;0,OR(AUTOEVENTO&lt;&gt;"manual",$M179&lt;&gt;$A$15)),
        IF(Import.TipoArredondamento&lt;&gt;"TransfereGOV",
              ROUND(OFFSET($P179,0,BQ$13),15-13*ORÇAMENTO!$AF$7)/$H179*OFFSET(ORÇAMENTO!$X$15,ROW(BQ179)-ROW(BQ$15),0),
              ROUND(ROUND(OFFSET($P179,0,BQ$13),15-13*ORÇAMENTO!$AF$7)*OFFSET(ORÇAMENTO!$W$15,ROW(BQ179)-ROW(BQ$15),0),15-13*ORÇAMENTO!$AF$11)),
         0)</f>
        <v>0</v>
      </c>
      <c r="BS179" s="353" t="n">
        <f aca="true">IF(OR($D179&lt;&gt;"Serviço",AND(AUTOEVENTO="Manual",$M179=$A$15)),0,
         IF(OFFSET(CRONOPLE!$F$15,$M179-$A$15,BS$13)=0,10^12,OFFSET(CRONOPLE!$F$15,$M179-$A$15,BS$13)))</f>
        <v>1</v>
      </c>
      <c r="BT179" s="353" t="n">
        <f aca="true">IF(OR($D179&lt;&gt;"Serviço",AND(AUTOEVENTO="Manual",$M179=$A$15)),0,
         IF(OFFSET(CRONOPLE!$F$15,$M179-$A$15,BT$13)=0,10^12,OFFSET(CRONOPLE!$F$15,$M179-$A$15,BT$13)))</f>
        <v>2</v>
      </c>
      <c r="BU179" s="353" t="n">
        <f aca="true">IF(OR($D179&lt;&gt;"Serviço",AND(AUTOEVENTO="Manual",$M179=$A$15)),0,
         IF(OFFSET(CRONOPLE!$F$15,$M179-$A$15,BU$13)=0,10^12,OFFSET(CRONOPLE!$F$15,$M179-$A$15,BU$13)))</f>
        <v>3</v>
      </c>
      <c r="BV179" s="353" t="n">
        <f aca="true">IF(OR($D179&lt;&gt;"Serviço",AND(AUTOEVENTO="Manual",$M179=$A$15)),0,
         IF(OFFSET(CRONOPLE!$F$15,$M179-$A$15,BV$13)=0,10^12,OFFSET(CRONOPLE!$F$15,$M179-$A$15,BV$13)))</f>
        <v>4</v>
      </c>
      <c r="BW179" s="353" t="n">
        <f aca="true">IF(OR($D179&lt;&gt;"Serviço",AND(AUTOEVENTO="Manual",$M179=$A$15)),0,
         IF(OFFSET(CRONOPLE!$F$15,$M179-$A$15,BW$13)=0,10^12,OFFSET(CRONOPLE!$F$15,$M179-$A$15,BW$13)))</f>
        <v>5</v>
      </c>
      <c r="BX179" s="353" t="n">
        <f aca="true">IF(OR($D179&lt;&gt;"Serviço",AND(AUTOEVENTO="Manual",$M179=$A$15)),0,
         IF(OFFSET(CRONOPLE!$F$15,$M179-$A$15,BX$13)=0,10^12,OFFSET(CRONOPLE!$F$15,$M179-$A$15,BX$13)))</f>
        <v>6</v>
      </c>
      <c r="BY179" s="353" t="n">
        <f aca="true">IF(OR($D179&lt;&gt;"Serviço",AND(AUTOEVENTO="Manual",$M179=$A$15)),0,
         IF(OFFSET(CRONOPLE!$F$15,$M179-$A$15,BY$13)=0,10^12,OFFSET(CRONOPLE!$F$15,$M179-$A$15,BY$13)))</f>
        <v>7</v>
      </c>
      <c r="BZ179" s="353" t="n">
        <f aca="true">IF(OR($D179&lt;&gt;"Serviço",AND(AUTOEVENTO="Manual",$M179=$A$15)),0,
         IF(OFFSET(CRONOPLE!$F$15,$M179-$A$15,BZ$13)=0,10^12,OFFSET(CRONOPLE!$F$15,$M179-$A$15,BZ$13)))</f>
        <v>8</v>
      </c>
      <c r="CA179" s="353" t="n">
        <f aca="true">IF(OR($D179&lt;&gt;"Serviço",AND(AUTOEVENTO="Manual",$M179=$A$15)),0,
         IF(OFFSET(CRONOPLE!$F$15,$M179-$A$15,CA$13)=0,10^12,OFFSET(CRONOPLE!$F$15,$M179-$A$15,CA$13)))</f>
        <v>9</v>
      </c>
      <c r="CB179" s="353" t="n">
        <f aca="true">IF(OR($D179&lt;&gt;"Serviço",AND(AUTOEVENTO="Manual",$M179=$A$15)),0,
         IF(OFFSET(CRONOPLE!$F$15,$M179-$A$15,CB$13)=0,10^12,OFFSET(CRONOPLE!$F$15,$M179-$A$15,CB$13)))</f>
        <v>10</v>
      </c>
      <c r="CC179" s="353" t="n">
        <f aca="true">IF(OR($D179&lt;&gt;"Serviço",AND(AUTOEVENTO="Manual",$M179=$A$15)),0,
         IF(OFFSET(CRONOPLE!$F$15,$M179-$A$15,CC$13)=0,10^12,OFFSET(CRONOPLE!$F$15,$M179-$A$15,CC$13)))</f>
        <v>11</v>
      </c>
      <c r="CD179" s="353" t="n">
        <f aca="true">IF(OR($D179&lt;&gt;"Serviço",AND(AUTOEVENTO="Manual",$M179=$A$15)),0,
         IF(OFFSET(CRONOPLE!$F$15,$M179-$A$15,CD$13)=0,10^12,OFFSET(CRONOPLE!$F$15,$M179-$A$15,CD$13)))</f>
        <v>12</v>
      </c>
      <c r="CE179" s="353" t="n">
        <f aca="true">IF(OR($D179&lt;&gt;"Serviço",AND(AUTOEVENTO="Manual",$M179=$A$15)),0,
         IF(OFFSET(CRONOPLE!$F$15,$M179-$A$15,CE$13)=0,10^12,OFFSET(CRONOPLE!$F$15,$M179-$A$15,CE$13)))</f>
        <v>13</v>
      </c>
      <c r="CF179" s="353" t="n">
        <f aca="true">IF(OR($D179&lt;&gt;"Serviço",AND(AUTOEVENTO="Manual",$M179=$A$15)),0,
         IF(OFFSET(CRONOPLE!$F$15,$M179-$A$15,CF$13)=0,10^12,OFFSET(CRONOPLE!$F$15,$M179-$A$15,CF$13)))</f>
        <v>14</v>
      </c>
      <c r="CG179" s="353" t="n">
        <f aca="true">IF(OR($D179&lt;&gt;"Serviço",AND(AUTOEVENTO="Manual",$M179=$A$15)),0,
         IF(OFFSET(CRONOPLE!$F$15,$M179-$A$15,CG$13)=0,10^12,OFFSET(CRONOPLE!$F$15,$M179-$A$15,CG$13)))</f>
        <v>15</v>
      </c>
      <c r="CH179" s="353" t="n">
        <f aca="true">IF(OR($D179&lt;&gt;"Serviço",AND(AUTOEVENTO="Manual",$M179=$A$15)),0,
         IF(OFFSET(CRONOPLE!$F$15,$M179-$A$15,CH$13)=0,10^12,OFFSET(CRONOPLE!$F$15,$M179-$A$15,CH$13)))</f>
        <v>16</v>
      </c>
      <c r="CI179" s="353" t="n">
        <f aca="true">IF(OR($D179&lt;&gt;"Serviço",AND(AUTOEVENTO="Manual",$M179=$A$15)),0,
         IF(OFFSET(CRONOPLE!$F$15,$M179-$A$15,CI$13)=0,10^12,OFFSET(CRONOPLE!$F$15,$M179-$A$15,CI$13)))</f>
        <v>17</v>
      </c>
      <c r="CJ179" s="353" t="n">
        <f aca="true">IF(OR($D179&lt;&gt;"Serviço",AND(AUTOEVENTO="Manual",$M179=$A$15)),0,
         IF(OFFSET(CRONOPLE!$F$15,$M179-$A$15,CJ$13)=0,10^12,OFFSET(CRONOPLE!$F$15,$M179-$A$15,CJ$13)))</f>
        <v>18</v>
      </c>
      <c r="CK179" s="353" t="n">
        <f aca="true">IF(OR($D179&lt;&gt;"Serviço",AND(AUTOEVENTO="Manual",$M179=$A$15)),0,
         IF(OFFSET(CRONOPLE!$F$15,$M179-$A$15,CK$13)=0,10^12,OFFSET(CRONOPLE!$F$15,$M179-$A$15,CK$13)))</f>
        <v>19</v>
      </c>
      <c r="CL179" s="353" t="n">
        <f aca="true">IF(OR($D179&lt;&gt;"Serviço",AND(AUTOEVENTO="Manual",$M179=$A$15)),0,
         IF(OFFSET(CRONOPLE!$F$15,$M179-$A$15,CL$13)=0,10^12,OFFSET(CRONOPLE!$F$15,$M179-$A$15,CL$13)))</f>
        <v>20</v>
      </c>
      <c r="CM179" s="353" t="n">
        <f aca="true">IF(OR($D179&lt;&gt;"Serviço",AND(AUTOEVENTO="Manual",$M179=$A$15)),0,
         IF(OFFSET(CRONOPLE!$F$15,$M179-$A$15,CM$13)=0,10^12,OFFSET(CRONOPLE!$F$15,$M179-$A$15,CM$13)))</f>
        <v>21</v>
      </c>
      <c r="CN179" s="353" t="n">
        <f aca="true">IF(OR($D179&lt;&gt;"Serviço",AND(AUTOEVENTO="Manual",$M179=$A$15)),0,
         IF(OFFSET(CRONOPLE!$F$15,$M179-$A$15,CN$13)=0,10^12,OFFSET(CRONOPLE!$F$15,$M179-$A$15,CN$13)))</f>
        <v>22</v>
      </c>
      <c r="CO179" s="353" t="n">
        <f aca="true">IF(OR($D179&lt;&gt;"Serviço",AND(AUTOEVENTO="Manual",$M179=$A$15)),0,
         IF(OFFSET(CRONOPLE!$F$15,$M179-$A$15,CO$13)=0,10^12,OFFSET(CRONOPLE!$F$15,$M179-$A$15,CO$13)))</f>
        <v>23</v>
      </c>
      <c r="CP179" s="353" t="n">
        <f aca="true">IF(OR($D179&lt;&gt;"Serviço",AND(AUTOEVENTO="Manual",$M179=$A$15)),0,
         IF(OFFSET(CRONOPLE!$F$15,$M179-$A$15,CP$13)=0,10^12,OFFSET(CRONOPLE!$F$15,$M179-$A$15,CP$13)))</f>
        <v>24</v>
      </c>
      <c r="CQ179" s="353" t="n">
        <f aca="true">IF(OR($D179&lt;&gt;"Serviço",AND(AUTOEVENTO="Manual",$M179=$A$15)),0,
         IF(OFFSET(CRONOPLE!$F$15,$M179-$A$15,CQ$13)=0,10^12,OFFSET(CRONOPLE!$F$15,$M179-$A$15,CQ$13)))</f>
        <v>25</v>
      </c>
      <c r="CR179" s="353" t="n">
        <f aca="true">IF(OR($D179&lt;&gt;"Serviço",AND(AUTOEVENTO="Manual",$M179=$A$15)),0,
         IF(OFFSET(CRONOPLE!$F$15,$M179-$A$15,CR$13)=0,10^12,OFFSET(CRONOPLE!$F$15,$M179-$A$15,CR$13)))</f>
        <v>1000000000000</v>
      </c>
      <c r="CT179" s="354" t="n">
        <f aca="true">IF(OR($D179&lt;&gt;"Serviço",AND(AUTOEVENTO="Manual",$M179=$A$15),$M179&gt;(ROW(PLE.lastrow)-ROW(PLE.firstrow))),0,
           IF(OFFSET(PLE!$G$15,$M179-$A$15,CT$13)="",10^12,OFFSET(PLE!$G$15,$M179-$A$15,CT$13)))</f>
        <v>1000000000000</v>
      </c>
      <c r="CU179" s="354" t="n">
        <f aca="true">IF(OR($D179&lt;&gt;"Serviço",AND(AUTOEVENTO="Manual",$M179=$A$15),$M179&gt;(ROW(PLE.lastrow)-ROW(PLE.firstrow))),0,
           IF(OFFSET(PLE!$G$15,$M179-$A$15,CU$13)="",10^12,OFFSET(PLE!$G$15,$M179-$A$15,CU$13)))</f>
        <v>1000000000000</v>
      </c>
      <c r="CV179" s="354" t="n">
        <f aca="true">IF(OR($D179&lt;&gt;"Serviço",AND(AUTOEVENTO="Manual",$M179=$A$15),$M179&gt;(ROW(PLE.lastrow)-ROW(PLE.firstrow))),0,
           IF(OFFSET(PLE!$G$15,$M179-$A$15,CV$13)="",10^12,OFFSET(PLE!$G$15,$M179-$A$15,CV$13)))</f>
        <v>1000000000000</v>
      </c>
      <c r="CW179" s="354" t="n">
        <f aca="true">IF(OR($D179&lt;&gt;"Serviço",AND(AUTOEVENTO="Manual",$M179=$A$15),$M179&gt;(ROW(PLE.lastrow)-ROW(PLE.firstrow))),0,
           IF(OFFSET(PLE!$G$15,$M179-$A$15,CW$13)="",10^12,OFFSET(PLE!$G$15,$M179-$A$15,CW$13)))</f>
        <v>1000000000000</v>
      </c>
      <c r="CX179" s="354" t="n">
        <f aca="true">IF(OR($D179&lt;&gt;"Serviço",AND(AUTOEVENTO="Manual",$M179=$A$15),$M179&gt;(ROW(PLE.lastrow)-ROW(PLE.firstrow))),0,
           IF(OFFSET(PLE!$G$15,$M179-$A$15,CX$13)="",10^12,OFFSET(PLE!$G$15,$M179-$A$15,CX$13)))</f>
        <v>1000000000000</v>
      </c>
      <c r="CY179" s="354" t="n">
        <f aca="true">IF(OR($D179&lt;&gt;"Serviço",AND(AUTOEVENTO="Manual",$M179=$A$15),$M179&gt;(ROW(PLE.lastrow)-ROW(PLE.firstrow))),0,
           IF(OFFSET(PLE!$G$15,$M179-$A$15,CY$13)="",10^12,OFFSET(PLE!$G$15,$M179-$A$15,CY$13)))</f>
        <v>1000000000000</v>
      </c>
      <c r="CZ179" s="354" t="n">
        <f aca="true">IF(OR($D179&lt;&gt;"Serviço",AND(AUTOEVENTO="Manual",$M179=$A$15),$M179&gt;(ROW(PLE.lastrow)-ROW(PLE.firstrow))),0,
           IF(OFFSET(PLE!$G$15,$M179-$A$15,CZ$13)="",10^12,OFFSET(PLE!$G$15,$M179-$A$15,CZ$13)))</f>
        <v>1000000000000</v>
      </c>
      <c r="DA179" s="354" t="n">
        <f aca="true">IF(OR($D179&lt;&gt;"Serviço",AND(AUTOEVENTO="Manual",$M179=$A$15),$M179&gt;(ROW(PLE.lastrow)-ROW(PLE.firstrow))),0,
           IF(OFFSET(PLE!$G$15,$M179-$A$15,DA$13)="",10^12,OFFSET(PLE!$G$15,$M179-$A$15,DA$13)))</f>
        <v>1000000000000</v>
      </c>
      <c r="DB179" s="354" t="n">
        <f aca="true">IF(OR($D179&lt;&gt;"Serviço",AND(AUTOEVENTO="Manual",$M179=$A$15),$M179&gt;(ROW(PLE.lastrow)-ROW(PLE.firstrow))),0,
           IF(OFFSET(PLE!$G$15,$M179-$A$15,DB$13)="",10^12,OFFSET(PLE!$G$15,$M179-$A$15,DB$13)))</f>
        <v>1000000000000</v>
      </c>
      <c r="DC179" s="354" t="n">
        <f aca="true">IF(OR($D179&lt;&gt;"Serviço",AND(AUTOEVENTO="Manual",$M179=$A$15),$M179&gt;(ROW(PLE.lastrow)-ROW(PLE.firstrow))),0,
           IF(OFFSET(PLE!$G$15,$M179-$A$15,DC$13)="",10^12,OFFSET(PLE!$G$15,$M179-$A$15,DC$13)))</f>
        <v>1000000000000</v>
      </c>
      <c r="DD179" s="354" t="n">
        <f aca="true">IF(OR($D179&lt;&gt;"Serviço",AND(AUTOEVENTO="Manual",$M179=$A$15),$M179&gt;(ROW(PLE.lastrow)-ROW(PLE.firstrow))),0,
           IF(OFFSET(PLE!$G$15,$M179-$A$15,DD$13)="",10^12,OFFSET(PLE!$G$15,$M179-$A$15,DD$13)))</f>
        <v>1000000000000</v>
      </c>
      <c r="DE179" s="354" t="n">
        <f aca="true">IF(OR($D179&lt;&gt;"Serviço",AND(AUTOEVENTO="Manual",$M179=$A$15),$M179&gt;(ROW(PLE.lastrow)-ROW(PLE.firstrow))),0,
           IF(OFFSET(PLE!$G$15,$M179-$A$15,DE$13)="",10^12,OFFSET(PLE!$G$15,$M179-$A$15,DE$13)))</f>
        <v>1000000000000</v>
      </c>
      <c r="DF179" s="354" t="n">
        <f aca="true">IF(OR($D179&lt;&gt;"Serviço",AND(AUTOEVENTO="Manual",$M179=$A$15),$M179&gt;(ROW(PLE.lastrow)-ROW(PLE.firstrow))),0,
           IF(OFFSET(PLE!$G$15,$M179-$A$15,DF$13)="",10^12,OFFSET(PLE!$G$15,$M179-$A$15,DF$13)))</f>
        <v>1000000000000</v>
      </c>
      <c r="DG179" s="354" t="n">
        <f aca="true">IF(OR($D179&lt;&gt;"Serviço",AND(AUTOEVENTO="Manual",$M179=$A$15),$M179&gt;(ROW(PLE.lastrow)-ROW(PLE.firstrow))),0,
           IF(OFFSET(PLE!$G$15,$M179-$A$15,DG$13)="",10^12,OFFSET(PLE!$G$15,$M179-$A$15,DG$13)))</f>
        <v>1000000000000</v>
      </c>
      <c r="DH179" s="354" t="n">
        <f aca="true">IF(OR($D179&lt;&gt;"Serviço",AND(AUTOEVENTO="Manual",$M179=$A$15),$M179&gt;(ROW(PLE.lastrow)-ROW(PLE.firstrow))),0,
           IF(OFFSET(PLE!$G$15,$M179-$A$15,DH$13)="",10^12,OFFSET(PLE!$G$15,$M179-$A$15,DH$13)))</f>
        <v>1000000000000</v>
      </c>
      <c r="DI179" s="354" t="n">
        <f aca="true">IF(OR($D179&lt;&gt;"Serviço",AND(AUTOEVENTO="Manual",$M179=$A$15),$M179&gt;(ROW(PLE.lastrow)-ROW(PLE.firstrow))),0,
           IF(OFFSET(PLE!$G$15,$M179-$A$15,DI$13)="",10^12,OFFSET(PLE!$G$15,$M179-$A$15,DI$13)))</f>
        <v>1000000000000</v>
      </c>
      <c r="DJ179" s="354" t="n">
        <f aca="true">IF(OR($D179&lt;&gt;"Serviço",AND(AUTOEVENTO="Manual",$M179=$A$15),$M179&gt;(ROW(PLE.lastrow)-ROW(PLE.firstrow))),0,
           IF(OFFSET(PLE!$G$15,$M179-$A$15,DJ$13)="",10^12,OFFSET(PLE!$G$15,$M179-$A$15,DJ$13)))</f>
        <v>1000000000000</v>
      </c>
      <c r="DK179" s="354" t="n">
        <f aca="true">IF(OR($D179&lt;&gt;"Serviço",AND(AUTOEVENTO="Manual",$M179=$A$15),$M179&gt;(ROW(PLE.lastrow)-ROW(PLE.firstrow))),0,
           IF(OFFSET(PLE!$G$15,$M179-$A$15,DK$13)="",10^12,OFFSET(PLE!$G$15,$M179-$A$15,DK$13)))</f>
        <v>1000000000000</v>
      </c>
      <c r="DL179" s="354" t="n">
        <f aca="true">IF(OR($D179&lt;&gt;"Serviço",AND(AUTOEVENTO="Manual",$M179=$A$15),$M179&gt;(ROW(PLE.lastrow)-ROW(PLE.firstrow))),0,
           IF(OFFSET(PLE!$G$15,$M179-$A$15,DL$13)="",10^12,OFFSET(PLE!$G$15,$M179-$A$15,DL$13)))</f>
        <v>1000000000000</v>
      </c>
      <c r="DM179" s="354" t="n">
        <f aca="true">IF(OR($D179&lt;&gt;"Serviço",AND(AUTOEVENTO="Manual",$M179=$A$15),$M179&gt;(ROW(PLE.lastrow)-ROW(PLE.firstrow))),0,
           IF(OFFSET(PLE!$G$15,$M179-$A$15,DM$13)="",10^12,OFFSET(PLE!$G$15,$M179-$A$15,DM$13)))</f>
        <v>1000000000000</v>
      </c>
      <c r="DN179" s="354" t="n">
        <f aca="true">IF(OR($D179&lt;&gt;"Serviço",AND(AUTOEVENTO="Manual",$M179=$A$15),$M179&gt;(ROW(PLE.lastrow)-ROW(PLE.firstrow))),0,
           IF(OFFSET(PLE!$G$15,$M179-$A$15,DN$13)="",10^12,OFFSET(PLE!$G$15,$M179-$A$15,DN$13)))</f>
        <v>1000000000000</v>
      </c>
      <c r="DO179" s="354" t="n">
        <f aca="true">IF(OR($D179&lt;&gt;"Serviço",AND(AUTOEVENTO="Manual",$M179=$A$15),$M179&gt;(ROW(PLE.lastrow)-ROW(PLE.firstrow))),0,
           IF(OFFSET(PLE!$G$15,$M179-$A$15,DO$13)="",10^12,OFFSET(PLE!$G$15,$M179-$A$15,DO$13)))</f>
        <v>1000000000000</v>
      </c>
      <c r="DP179" s="354" t="n">
        <f aca="true">IF(OR($D179&lt;&gt;"Serviço",AND(AUTOEVENTO="Manual",$M179=$A$15),$M179&gt;(ROW(PLE.lastrow)-ROW(PLE.firstrow))),0,
           IF(OFFSET(PLE!$G$15,$M179-$A$15,DP$13)="",10^12,OFFSET(PLE!$G$15,$M179-$A$15,DP$13)))</f>
        <v>1000000000000</v>
      </c>
      <c r="DQ179" s="354" t="n">
        <f aca="true">IF(OR($D179&lt;&gt;"Serviço",AND(AUTOEVENTO="Manual",$M179=$A$15),$M179&gt;(ROW(PLE.lastrow)-ROW(PLE.firstrow))),0,
           IF(OFFSET(PLE!$G$15,$M179-$A$15,DQ$13)="",10^12,OFFSET(PLE!$G$15,$M179-$A$15,DQ$13)))</f>
        <v>1000000000000</v>
      </c>
      <c r="DR179" s="354" t="n">
        <f aca="true">IF(OR($D179&lt;&gt;"Serviço",AND(AUTOEVENTO="Manual",$M179=$A$15),$M179&gt;(ROW(PLE.lastrow)-ROW(PLE.firstrow))),0,
           IF(OFFSET(PLE!$G$15,$M179-$A$15,DR$13)="",10^12,OFFSET(PLE!$G$15,$M179-$A$15,DR$13)))</f>
        <v>1000000000000</v>
      </c>
      <c r="DS179" s="354" t="n">
        <f aca="true">IF(OR($D179&lt;&gt;"Serviço",AND(AUTOEVENTO="Manual",$M179=$A$15),$M179&gt;(ROW(PLE.lastrow)-ROW(PLE.firstrow))),0,
           IF(OFFSET(PLE!$G$15,$M179-$A$15,DS$13)="",10^12,OFFSET(PLE!$G$15,$M179-$A$15,DS$13)))</f>
        <v>1000000000000</v>
      </c>
    </row>
    <row r="180" customFormat="false" ht="35.05" hidden="false" customHeight="false" outlineLevel="0" collapsed="false">
      <c r="A180" s="50" t="str">
        <f aca="true">IFERROR(IF(AUTOEVENTO="Manual",IF(K180&lt;&gt;"",MIN(VALUE(LEFT(K180,FIND(".",K180)-1)),COUNTA(EVENTOS.Lista)),0),IF(OR($B180&gt;AUTOEVENTO,$B180="S",$B180=0),SUBSTITUTE(OFFSET($A180,-1,0),IF($D180="Serviço",".",""),""),ROW(A180)-ROW($A$15)&amp;".")),0)</f>
        <v>157</v>
      </c>
      <c r="B180" s="50" t="str">
        <f aca="true">OFFSET(ORÇAMENTO!C$15,ROW(B180)-ROW(B$15),0)</f>
        <v>S</v>
      </c>
      <c r="C180" s="50" t="str">
        <f aca="true">OFFSET(ORÇAMENTO!L$15,ROW(C180)-ROW(C$15),0)</f>
        <v>F</v>
      </c>
      <c r="D180" s="201" t="str">
        <f aca="true">OFFSET(ORÇAMENTO!N$15,ROW(D180)-ROW(D$15),0)</f>
        <v>Serviço</v>
      </c>
      <c r="E180" s="202" t="str">
        <f aca="true">OFFSET(ORÇAMENTO!O$15,ROW(E180)-ROW(E$15),0)</f>
        <v>1.45.8.</v>
      </c>
      <c r="F180" s="341" t="str">
        <f aca="true">OFFSET(ORÇAMENTO!R$15,ROW(F180)-ROW(F$15),0)</f>
        <v>TERMINAL DE VENTILAÇÃO, PVC, SÉRIE NORMAL, ESGOTO PREDIAL, DN 50 MM, JUNTA SOLDÁVEL, FORNECIDO E INSTALADO EM PRUMADA DE ESGOTO SANITÁRIO OU VENTILAÇÃO. AF_08/2022</v>
      </c>
      <c r="G180" s="342" t="str">
        <f aca="true">IF($D180&lt;&gt;"Serviço","",OFFSET(ORÇAMENTO!S$15,ROW(G180)-ROW(G$15),0))</f>
        <v>UN</v>
      </c>
      <c r="H180" s="207" t="n">
        <f aca="true">IF($D180&lt;&gt;"Serviço",0,IF(ACOMPANHAMENTO="BM",ROUND(OFFSET(ORÇAMENTO!AJ$15,ROW(H180)-ROW(H$15),0),15-13*ORÇAMENTO!$AF$7),SUMPRODUCT(($Q$1:$AQ$1=1)*ROUND($Q180:$AQ180,15-13*ORÇAMENTO!$AF$7))))</f>
        <v>25</v>
      </c>
      <c r="I180" s="343" t="s">
        <v>969</v>
      </c>
      <c r="J180" s="344" t="e">
        <f aca="false">IF(OR(B180&lt;&gt;"S",CÁLCULO.FrentesPreenchidas=0),"",IF(AND(ACOMPANHAMENTO="PLE",AUTOEVENTO="Manual",OR(H180&gt;0,ORÇAMENTO!AC180="QUANT."),OR(K180="",M180=0,N180="")),"►",IF(AND(ACOMPANHAMENTO="PLE",ORÇAMENTO!AC180="QUANT."),"►►",IF(AND(COUNTIF($P$11:$AQ$11,"▼")=0,H180&gt;0,I180=""),"◄",""))))</f>
        <v>#NAME?</v>
      </c>
      <c r="K180" s="345"/>
      <c r="L180" s="346" t="s">
        <v>876</v>
      </c>
      <c r="M180" s="347" t="n">
        <f aca="true">IF($D180&lt;&gt;"Serviço","",
          IF(AUTOEVENTO="manual",$A180,
                IF(ISERROR(MATCH($A180,$A$15:OFFSET($A180,-1,0),0)),MAX($M$15:OFFSET(M180,-1,0))+1,
                      INDEX($M$15:OFFSET(M180,-1,0),MATCH($A180,$A$15:OFFSET($A180,-1,0),0)))))</f>
        <v>28</v>
      </c>
      <c r="N180" s="348" t="str">
        <f aca="true">IF($D180&lt;&gt;"Serviço","",
         IF(AUTOEVENTO="Manual",
                IF($A180=0,"&lt;-- defina o número do agrupador",
                       OFFSET(EVENTOS!$D$15,$A180-$A$15,0)),
                OFFSET($F$15,$A180,0)))</f>
        <v>TUBULAÇÕES E CONEXÕES</v>
      </c>
      <c r="O180" s="349"/>
      <c r="Q180" s="349" t="n">
        <v>1</v>
      </c>
      <c r="R180" s="350" t="n">
        <v>1</v>
      </c>
      <c r="S180" s="350" t="n">
        <v>1</v>
      </c>
      <c r="T180" s="350" t="n">
        <v>1</v>
      </c>
      <c r="U180" s="350" t="n">
        <v>1</v>
      </c>
      <c r="V180" s="350" t="n">
        <v>1</v>
      </c>
      <c r="W180" s="350" t="n">
        <v>1</v>
      </c>
      <c r="X180" s="350" t="n">
        <v>1</v>
      </c>
      <c r="Y180" s="350" t="n">
        <v>1</v>
      </c>
      <c r="Z180" s="351" t="n">
        <v>1</v>
      </c>
      <c r="AA180" s="350" t="n">
        <v>1</v>
      </c>
      <c r="AB180" s="350" t="n">
        <v>1</v>
      </c>
      <c r="AC180" s="350" t="n">
        <v>1</v>
      </c>
      <c r="AD180" s="350" t="n">
        <v>1</v>
      </c>
      <c r="AE180" s="350" t="n">
        <v>1</v>
      </c>
      <c r="AF180" s="350" t="n">
        <v>1</v>
      </c>
      <c r="AG180" s="350" t="n">
        <v>1</v>
      </c>
      <c r="AH180" s="351" t="n">
        <v>1</v>
      </c>
      <c r="AI180" s="350" t="n">
        <v>1</v>
      </c>
      <c r="AJ180" s="350" t="n">
        <v>1</v>
      </c>
      <c r="AK180" s="350" t="n">
        <v>1</v>
      </c>
      <c r="AL180" s="350" t="n">
        <v>1</v>
      </c>
      <c r="AM180" s="350" t="n">
        <v>1</v>
      </c>
      <c r="AN180" s="350" t="n">
        <v>1</v>
      </c>
      <c r="AO180" s="350" t="n">
        <v>1</v>
      </c>
      <c r="AP180" s="351"/>
      <c r="AR180" s="352" t="n">
        <f aca="true">IF(AND($D180="Serviço",AR$12&lt;&gt;0,$H180&gt;0,OR(AUTOEVENTO&lt;&gt;"manual",$M180&lt;&gt;$A$15)),
        IF(Import.TipoArredondamento&lt;&gt;"TransfereGOV",
              ROUND(OFFSET($P180,0,AR$13),15-13*ORÇAMENTO!$AF$7)/$H180*OFFSET(ORÇAMENTO!$X$15,ROW(AR180)-ROW(AR$15),0),
              ROUND(ROUND(OFFSET($P180,0,AR$13),15-13*ORÇAMENTO!$AF$7)*OFFSET(ORÇAMENTO!$W$15,ROW(AR180)-ROW(AR$15),0),15-13*ORÇAMENTO!$AF$11)),
         0)</f>
        <v>13.96</v>
      </c>
      <c r="AS180" s="352" t="n">
        <f aca="true">IF(AND($D180="Serviço",AS$12&lt;&gt;0,$H180&gt;0,OR(AUTOEVENTO&lt;&gt;"manual",$M180&lt;&gt;$A$15)),
        IF(Import.TipoArredondamento&lt;&gt;"TransfereGOV",
              ROUND(OFFSET($P180,0,AS$13),15-13*ORÇAMENTO!$AF$7)/$H180*OFFSET(ORÇAMENTO!$X$15,ROW(AS180)-ROW(AS$15),0),
              ROUND(ROUND(OFFSET($P180,0,AS$13),15-13*ORÇAMENTO!$AF$7)*OFFSET(ORÇAMENTO!$W$15,ROW(AS180)-ROW(AS$15),0),15-13*ORÇAMENTO!$AF$11)),
         0)</f>
        <v>13.96</v>
      </c>
      <c r="AT180" s="352" t="n">
        <f aca="true">IF(AND($D180="Serviço",AT$12&lt;&gt;0,$H180&gt;0,OR(AUTOEVENTO&lt;&gt;"manual",$M180&lt;&gt;$A$15)),
        IF(Import.TipoArredondamento&lt;&gt;"TransfereGOV",
              ROUND(OFFSET($P180,0,AT$13),15-13*ORÇAMENTO!$AF$7)/$H180*OFFSET(ORÇAMENTO!$X$15,ROW(AT180)-ROW(AT$15),0),
              ROUND(ROUND(OFFSET($P180,0,AT$13),15-13*ORÇAMENTO!$AF$7)*OFFSET(ORÇAMENTO!$W$15,ROW(AT180)-ROW(AT$15),0),15-13*ORÇAMENTO!$AF$11)),
         0)</f>
        <v>13.96</v>
      </c>
      <c r="AU180" s="352" t="n">
        <f aca="true">IF(AND($D180="Serviço",AU$12&lt;&gt;0,$H180&gt;0,OR(AUTOEVENTO&lt;&gt;"manual",$M180&lt;&gt;$A$15)),
        IF(Import.TipoArredondamento&lt;&gt;"TransfereGOV",
              ROUND(OFFSET($P180,0,AU$13),15-13*ORÇAMENTO!$AF$7)/$H180*OFFSET(ORÇAMENTO!$X$15,ROW(AU180)-ROW(AU$15),0),
              ROUND(ROUND(OFFSET($P180,0,AU$13),15-13*ORÇAMENTO!$AF$7)*OFFSET(ORÇAMENTO!$W$15,ROW(AU180)-ROW(AU$15),0),15-13*ORÇAMENTO!$AF$11)),
         0)</f>
        <v>13.96</v>
      </c>
      <c r="AV180" s="352" t="n">
        <f aca="true">IF(AND($D180="Serviço",AV$12&lt;&gt;0,$H180&gt;0,OR(AUTOEVENTO&lt;&gt;"manual",$M180&lt;&gt;$A$15)),
        IF(Import.TipoArredondamento&lt;&gt;"TransfereGOV",
              ROUND(OFFSET($P180,0,AV$13),15-13*ORÇAMENTO!$AF$7)/$H180*OFFSET(ORÇAMENTO!$X$15,ROW(AV180)-ROW(AV$15),0),
              ROUND(ROUND(OFFSET($P180,0,AV$13),15-13*ORÇAMENTO!$AF$7)*OFFSET(ORÇAMENTO!$W$15,ROW(AV180)-ROW(AV$15),0),15-13*ORÇAMENTO!$AF$11)),
         0)</f>
        <v>13.96</v>
      </c>
      <c r="AW180" s="352" t="n">
        <f aca="true">IF(AND($D180="Serviço",AW$12&lt;&gt;0,$H180&gt;0,OR(AUTOEVENTO&lt;&gt;"manual",$M180&lt;&gt;$A$15)),
        IF(Import.TipoArredondamento&lt;&gt;"TransfereGOV",
              ROUND(OFFSET($P180,0,AW$13),15-13*ORÇAMENTO!$AF$7)/$H180*OFFSET(ORÇAMENTO!$X$15,ROW(AW180)-ROW(AW$15),0),
              ROUND(ROUND(OFFSET($P180,0,AW$13),15-13*ORÇAMENTO!$AF$7)*OFFSET(ORÇAMENTO!$W$15,ROW(AW180)-ROW(AW$15),0),15-13*ORÇAMENTO!$AF$11)),
         0)</f>
        <v>13.96</v>
      </c>
      <c r="AX180" s="352" t="n">
        <f aca="true">IF(AND($D180="Serviço",AX$12&lt;&gt;0,$H180&gt;0,OR(AUTOEVENTO&lt;&gt;"manual",$M180&lt;&gt;$A$15)),
        IF(Import.TipoArredondamento&lt;&gt;"TransfereGOV",
              ROUND(OFFSET($P180,0,AX$13),15-13*ORÇAMENTO!$AF$7)/$H180*OFFSET(ORÇAMENTO!$X$15,ROW(AX180)-ROW(AX$15),0),
              ROUND(ROUND(OFFSET($P180,0,AX$13),15-13*ORÇAMENTO!$AF$7)*OFFSET(ORÇAMENTO!$W$15,ROW(AX180)-ROW(AX$15),0),15-13*ORÇAMENTO!$AF$11)),
         0)</f>
        <v>13.96</v>
      </c>
      <c r="AY180" s="352" t="n">
        <f aca="true">IF(AND($D180="Serviço",AY$12&lt;&gt;0,$H180&gt;0,OR(AUTOEVENTO&lt;&gt;"manual",$M180&lt;&gt;$A$15)),
        IF(Import.TipoArredondamento&lt;&gt;"TransfereGOV",
              ROUND(OFFSET($P180,0,AY$13),15-13*ORÇAMENTO!$AF$7)/$H180*OFFSET(ORÇAMENTO!$X$15,ROW(AY180)-ROW(AY$15),0),
              ROUND(ROUND(OFFSET($P180,0,AY$13),15-13*ORÇAMENTO!$AF$7)*OFFSET(ORÇAMENTO!$W$15,ROW(AY180)-ROW(AY$15),0),15-13*ORÇAMENTO!$AF$11)),
         0)</f>
        <v>13.96</v>
      </c>
      <c r="AZ180" s="352" t="n">
        <f aca="true">IF(AND($D180="Serviço",AZ$12&lt;&gt;0,$H180&gt;0,OR(AUTOEVENTO&lt;&gt;"manual",$M180&lt;&gt;$A$15)),
        IF(Import.TipoArredondamento&lt;&gt;"TransfereGOV",
              ROUND(OFFSET($P180,0,AZ$13),15-13*ORÇAMENTO!$AF$7)/$H180*OFFSET(ORÇAMENTO!$X$15,ROW(AZ180)-ROW(AZ$15),0),
              ROUND(ROUND(OFFSET($P180,0,AZ$13),15-13*ORÇAMENTO!$AF$7)*OFFSET(ORÇAMENTO!$W$15,ROW(AZ180)-ROW(AZ$15),0),15-13*ORÇAMENTO!$AF$11)),
         0)</f>
        <v>13.96</v>
      </c>
      <c r="BA180" s="352" t="n">
        <f aca="true">IF(AND($D180="Serviço",BA$12&lt;&gt;0,$H180&gt;0,OR(AUTOEVENTO&lt;&gt;"manual",$M180&lt;&gt;$A$15)),
        IF(Import.TipoArredondamento&lt;&gt;"TransfereGOV",
              ROUND(OFFSET($P180,0,BA$13),15-13*ORÇAMENTO!$AF$7)/$H180*OFFSET(ORÇAMENTO!$X$15,ROW(BA180)-ROW(BA$15),0),
              ROUND(ROUND(OFFSET($P180,0,BA$13),15-13*ORÇAMENTO!$AF$7)*OFFSET(ORÇAMENTO!$W$15,ROW(BA180)-ROW(BA$15),0),15-13*ORÇAMENTO!$AF$11)),
         0)</f>
        <v>13.96</v>
      </c>
      <c r="BB180" s="352" t="n">
        <f aca="true">IF(AND($D180="Serviço",BB$12&lt;&gt;0,$H180&gt;0,OR(AUTOEVENTO&lt;&gt;"manual",$M180&lt;&gt;$A$15)),
        IF(Import.TipoArredondamento&lt;&gt;"TransfereGOV",
              ROUND(OFFSET($P180,0,BB$13),15-13*ORÇAMENTO!$AF$7)/$H180*OFFSET(ORÇAMENTO!$X$15,ROW(BB180)-ROW(BB$15),0),
              ROUND(ROUND(OFFSET($P180,0,BB$13),15-13*ORÇAMENTO!$AF$7)*OFFSET(ORÇAMENTO!$W$15,ROW(BB180)-ROW(BB$15),0),15-13*ORÇAMENTO!$AF$11)),
         0)</f>
        <v>13.96</v>
      </c>
      <c r="BC180" s="352" t="n">
        <f aca="true">IF(AND($D180="Serviço",BC$12&lt;&gt;0,$H180&gt;0,OR(AUTOEVENTO&lt;&gt;"manual",$M180&lt;&gt;$A$15)),
        IF(Import.TipoArredondamento&lt;&gt;"TransfereGOV",
              ROUND(OFFSET($P180,0,BC$13),15-13*ORÇAMENTO!$AF$7)/$H180*OFFSET(ORÇAMENTO!$X$15,ROW(BC180)-ROW(BC$15),0),
              ROUND(ROUND(OFFSET($P180,0,BC$13),15-13*ORÇAMENTO!$AF$7)*OFFSET(ORÇAMENTO!$W$15,ROW(BC180)-ROW(BC$15),0),15-13*ORÇAMENTO!$AF$11)),
         0)</f>
        <v>13.96</v>
      </c>
      <c r="BD180" s="352" t="n">
        <f aca="true">IF(AND($D180="Serviço",BD$12&lt;&gt;0,$H180&gt;0,OR(AUTOEVENTO&lt;&gt;"manual",$M180&lt;&gt;$A$15)),
        IF(Import.TipoArredondamento&lt;&gt;"TransfereGOV",
              ROUND(OFFSET($P180,0,BD$13),15-13*ORÇAMENTO!$AF$7)/$H180*OFFSET(ORÇAMENTO!$X$15,ROW(BD180)-ROW(BD$15),0),
              ROUND(ROUND(OFFSET($P180,0,BD$13),15-13*ORÇAMENTO!$AF$7)*OFFSET(ORÇAMENTO!$W$15,ROW(BD180)-ROW(BD$15),0),15-13*ORÇAMENTO!$AF$11)),
         0)</f>
        <v>13.96</v>
      </c>
      <c r="BE180" s="352" t="n">
        <f aca="true">IF(AND($D180="Serviço",BE$12&lt;&gt;0,$H180&gt;0,OR(AUTOEVENTO&lt;&gt;"manual",$M180&lt;&gt;$A$15)),
        IF(Import.TipoArredondamento&lt;&gt;"TransfereGOV",
              ROUND(OFFSET($P180,0,BE$13),15-13*ORÇAMENTO!$AF$7)/$H180*OFFSET(ORÇAMENTO!$X$15,ROW(BE180)-ROW(BE$15),0),
              ROUND(ROUND(OFFSET($P180,0,BE$13),15-13*ORÇAMENTO!$AF$7)*OFFSET(ORÇAMENTO!$W$15,ROW(BE180)-ROW(BE$15),0),15-13*ORÇAMENTO!$AF$11)),
         0)</f>
        <v>13.96</v>
      </c>
      <c r="BF180" s="352" t="n">
        <f aca="true">IF(AND($D180="Serviço",BF$12&lt;&gt;0,$H180&gt;0,OR(AUTOEVENTO&lt;&gt;"manual",$M180&lt;&gt;$A$15)),
        IF(Import.TipoArredondamento&lt;&gt;"TransfereGOV",
              ROUND(OFFSET($P180,0,BF$13),15-13*ORÇAMENTO!$AF$7)/$H180*OFFSET(ORÇAMENTO!$X$15,ROW(BF180)-ROW(BF$15),0),
              ROUND(ROUND(OFFSET($P180,0,BF$13),15-13*ORÇAMENTO!$AF$7)*OFFSET(ORÇAMENTO!$W$15,ROW(BF180)-ROW(BF$15),0),15-13*ORÇAMENTO!$AF$11)),
         0)</f>
        <v>13.96</v>
      </c>
      <c r="BG180" s="352" t="n">
        <f aca="true">IF(AND($D180="Serviço",BG$12&lt;&gt;0,$H180&gt;0,OR(AUTOEVENTO&lt;&gt;"manual",$M180&lt;&gt;$A$15)),
        IF(Import.TipoArredondamento&lt;&gt;"TransfereGOV",
              ROUND(OFFSET($P180,0,BG$13),15-13*ORÇAMENTO!$AF$7)/$H180*OFFSET(ORÇAMENTO!$X$15,ROW(BG180)-ROW(BG$15),0),
              ROUND(ROUND(OFFSET($P180,0,BG$13),15-13*ORÇAMENTO!$AF$7)*OFFSET(ORÇAMENTO!$W$15,ROW(BG180)-ROW(BG$15),0),15-13*ORÇAMENTO!$AF$11)),
         0)</f>
        <v>13.96</v>
      </c>
      <c r="BH180" s="352" t="n">
        <f aca="true">IF(AND($D180="Serviço",BH$12&lt;&gt;0,$H180&gt;0,OR(AUTOEVENTO&lt;&gt;"manual",$M180&lt;&gt;$A$15)),
        IF(Import.TipoArredondamento&lt;&gt;"TransfereGOV",
              ROUND(OFFSET($P180,0,BH$13),15-13*ORÇAMENTO!$AF$7)/$H180*OFFSET(ORÇAMENTO!$X$15,ROW(BH180)-ROW(BH$15),0),
              ROUND(ROUND(OFFSET($P180,0,BH$13),15-13*ORÇAMENTO!$AF$7)*OFFSET(ORÇAMENTO!$W$15,ROW(BH180)-ROW(BH$15),0),15-13*ORÇAMENTO!$AF$11)),
         0)</f>
        <v>13.96</v>
      </c>
      <c r="BI180" s="352" t="n">
        <f aca="true">IF(AND($D180="Serviço",BI$12&lt;&gt;0,$H180&gt;0,OR(AUTOEVENTO&lt;&gt;"manual",$M180&lt;&gt;$A$15)),
        IF(Import.TipoArredondamento&lt;&gt;"TransfereGOV",
              ROUND(OFFSET($P180,0,BI$13),15-13*ORÇAMENTO!$AF$7)/$H180*OFFSET(ORÇAMENTO!$X$15,ROW(BI180)-ROW(BI$15),0),
              ROUND(ROUND(OFFSET($P180,0,BI$13),15-13*ORÇAMENTO!$AF$7)*OFFSET(ORÇAMENTO!$W$15,ROW(BI180)-ROW(BI$15),0),15-13*ORÇAMENTO!$AF$11)),
         0)</f>
        <v>13.96</v>
      </c>
      <c r="BJ180" s="352" t="n">
        <f aca="true">IF(AND($D180="Serviço",BJ$12&lt;&gt;0,$H180&gt;0,OR(AUTOEVENTO&lt;&gt;"manual",$M180&lt;&gt;$A$15)),
        IF(Import.TipoArredondamento&lt;&gt;"TransfereGOV",
              ROUND(OFFSET($P180,0,BJ$13),15-13*ORÇAMENTO!$AF$7)/$H180*OFFSET(ORÇAMENTO!$X$15,ROW(BJ180)-ROW(BJ$15),0),
              ROUND(ROUND(OFFSET($P180,0,BJ$13),15-13*ORÇAMENTO!$AF$7)*OFFSET(ORÇAMENTO!$W$15,ROW(BJ180)-ROW(BJ$15),0),15-13*ORÇAMENTO!$AF$11)),
         0)</f>
        <v>13.96</v>
      </c>
      <c r="BK180" s="352" t="n">
        <f aca="true">IF(AND($D180="Serviço",BK$12&lt;&gt;0,$H180&gt;0,OR(AUTOEVENTO&lt;&gt;"manual",$M180&lt;&gt;$A$15)),
        IF(Import.TipoArredondamento&lt;&gt;"TransfereGOV",
              ROUND(OFFSET($P180,0,BK$13),15-13*ORÇAMENTO!$AF$7)/$H180*OFFSET(ORÇAMENTO!$X$15,ROW(BK180)-ROW(BK$15),0),
              ROUND(ROUND(OFFSET($P180,0,BK$13),15-13*ORÇAMENTO!$AF$7)*OFFSET(ORÇAMENTO!$W$15,ROW(BK180)-ROW(BK$15),0),15-13*ORÇAMENTO!$AF$11)),
         0)</f>
        <v>13.96</v>
      </c>
      <c r="BL180" s="352" t="n">
        <f aca="true">IF(AND($D180="Serviço",BL$12&lt;&gt;0,$H180&gt;0,OR(AUTOEVENTO&lt;&gt;"manual",$M180&lt;&gt;$A$15)),
        IF(Import.TipoArredondamento&lt;&gt;"TransfereGOV",
              ROUND(OFFSET($P180,0,BL$13),15-13*ORÇAMENTO!$AF$7)/$H180*OFFSET(ORÇAMENTO!$X$15,ROW(BL180)-ROW(BL$15),0),
              ROUND(ROUND(OFFSET($P180,0,BL$13),15-13*ORÇAMENTO!$AF$7)*OFFSET(ORÇAMENTO!$W$15,ROW(BL180)-ROW(BL$15),0),15-13*ORÇAMENTO!$AF$11)),
         0)</f>
        <v>13.96</v>
      </c>
      <c r="BM180" s="352" t="n">
        <f aca="true">IF(AND($D180="Serviço",BM$12&lt;&gt;0,$H180&gt;0,OR(AUTOEVENTO&lt;&gt;"manual",$M180&lt;&gt;$A$15)),
        IF(Import.TipoArredondamento&lt;&gt;"TransfereGOV",
              ROUND(OFFSET($P180,0,BM$13),15-13*ORÇAMENTO!$AF$7)/$H180*OFFSET(ORÇAMENTO!$X$15,ROW(BM180)-ROW(BM$15),0),
              ROUND(ROUND(OFFSET($P180,0,BM$13),15-13*ORÇAMENTO!$AF$7)*OFFSET(ORÇAMENTO!$W$15,ROW(BM180)-ROW(BM$15),0),15-13*ORÇAMENTO!$AF$11)),
         0)</f>
        <v>13.96</v>
      </c>
      <c r="BN180" s="352" t="n">
        <f aca="true">IF(AND($D180="Serviço",BN$12&lt;&gt;0,$H180&gt;0,OR(AUTOEVENTO&lt;&gt;"manual",$M180&lt;&gt;$A$15)),
        IF(Import.TipoArredondamento&lt;&gt;"TransfereGOV",
              ROUND(OFFSET($P180,0,BN$13),15-13*ORÇAMENTO!$AF$7)/$H180*OFFSET(ORÇAMENTO!$X$15,ROW(BN180)-ROW(BN$15),0),
              ROUND(ROUND(OFFSET($P180,0,BN$13),15-13*ORÇAMENTO!$AF$7)*OFFSET(ORÇAMENTO!$W$15,ROW(BN180)-ROW(BN$15),0),15-13*ORÇAMENTO!$AF$11)),
         0)</f>
        <v>13.96</v>
      </c>
      <c r="BO180" s="352" t="n">
        <f aca="true">IF(AND($D180="Serviço",BO$12&lt;&gt;0,$H180&gt;0,OR(AUTOEVENTO&lt;&gt;"manual",$M180&lt;&gt;$A$15)),
        IF(Import.TipoArredondamento&lt;&gt;"TransfereGOV",
              ROUND(OFFSET($P180,0,BO$13),15-13*ORÇAMENTO!$AF$7)/$H180*OFFSET(ORÇAMENTO!$X$15,ROW(BO180)-ROW(BO$15),0),
              ROUND(ROUND(OFFSET($P180,0,BO$13),15-13*ORÇAMENTO!$AF$7)*OFFSET(ORÇAMENTO!$W$15,ROW(BO180)-ROW(BO$15),0),15-13*ORÇAMENTO!$AF$11)),
         0)</f>
        <v>13.96</v>
      </c>
      <c r="BP180" s="352" t="n">
        <f aca="true">IF(AND($D180="Serviço",BP$12&lt;&gt;0,$H180&gt;0,OR(AUTOEVENTO&lt;&gt;"manual",$M180&lt;&gt;$A$15)),
        IF(Import.TipoArredondamento&lt;&gt;"TransfereGOV",
              ROUND(OFFSET($P180,0,BP$13),15-13*ORÇAMENTO!$AF$7)/$H180*OFFSET(ORÇAMENTO!$X$15,ROW(BP180)-ROW(BP$15),0),
              ROUND(ROUND(OFFSET($P180,0,BP$13),15-13*ORÇAMENTO!$AF$7)*OFFSET(ORÇAMENTO!$W$15,ROW(BP180)-ROW(BP$15),0),15-13*ORÇAMENTO!$AF$11)),
         0)</f>
        <v>13.96</v>
      </c>
      <c r="BQ180" s="352" t="n">
        <f aca="true">IF(AND($D180="Serviço",BQ$12&lt;&gt;0,$H180&gt;0,OR(AUTOEVENTO&lt;&gt;"manual",$M180&lt;&gt;$A$15)),
        IF(Import.TipoArredondamento&lt;&gt;"TransfereGOV",
              ROUND(OFFSET($P180,0,BQ$13),15-13*ORÇAMENTO!$AF$7)/$H180*OFFSET(ORÇAMENTO!$X$15,ROW(BQ180)-ROW(BQ$15),0),
              ROUND(ROUND(OFFSET($P180,0,BQ$13),15-13*ORÇAMENTO!$AF$7)*OFFSET(ORÇAMENTO!$W$15,ROW(BQ180)-ROW(BQ$15),0),15-13*ORÇAMENTO!$AF$11)),
         0)</f>
        <v>0</v>
      </c>
      <c r="BS180" s="353" t="n">
        <f aca="true">IF(OR($D180&lt;&gt;"Serviço",AND(AUTOEVENTO="Manual",$M180=$A$15)),0,
         IF(OFFSET(CRONOPLE!$F$15,$M180-$A$15,BS$13)=0,10^12,OFFSET(CRONOPLE!$F$15,$M180-$A$15,BS$13)))</f>
        <v>1</v>
      </c>
      <c r="BT180" s="353" t="n">
        <f aca="true">IF(OR($D180&lt;&gt;"Serviço",AND(AUTOEVENTO="Manual",$M180=$A$15)),0,
         IF(OFFSET(CRONOPLE!$F$15,$M180-$A$15,BT$13)=0,10^12,OFFSET(CRONOPLE!$F$15,$M180-$A$15,BT$13)))</f>
        <v>2</v>
      </c>
      <c r="BU180" s="353" t="n">
        <f aca="true">IF(OR($D180&lt;&gt;"Serviço",AND(AUTOEVENTO="Manual",$M180=$A$15)),0,
         IF(OFFSET(CRONOPLE!$F$15,$M180-$A$15,BU$13)=0,10^12,OFFSET(CRONOPLE!$F$15,$M180-$A$15,BU$13)))</f>
        <v>3</v>
      </c>
      <c r="BV180" s="353" t="n">
        <f aca="true">IF(OR($D180&lt;&gt;"Serviço",AND(AUTOEVENTO="Manual",$M180=$A$15)),0,
         IF(OFFSET(CRONOPLE!$F$15,$M180-$A$15,BV$13)=0,10^12,OFFSET(CRONOPLE!$F$15,$M180-$A$15,BV$13)))</f>
        <v>4</v>
      </c>
      <c r="BW180" s="353" t="n">
        <f aca="true">IF(OR($D180&lt;&gt;"Serviço",AND(AUTOEVENTO="Manual",$M180=$A$15)),0,
         IF(OFFSET(CRONOPLE!$F$15,$M180-$A$15,BW$13)=0,10^12,OFFSET(CRONOPLE!$F$15,$M180-$A$15,BW$13)))</f>
        <v>5</v>
      </c>
      <c r="BX180" s="353" t="n">
        <f aca="true">IF(OR($D180&lt;&gt;"Serviço",AND(AUTOEVENTO="Manual",$M180=$A$15)),0,
         IF(OFFSET(CRONOPLE!$F$15,$M180-$A$15,BX$13)=0,10^12,OFFSET(CRONOPLE!$F$15,$M180-$A$15,BX$13)))</f>
        <v>6</v>
      </c>
      <c r="BY180" s="353" t="n">
        <f aca="true">IF(OR($D180&lt;&gt;"Serviço",AND(AUTOEVENTO="Manual",$M180=$A$15)),0,
         IF(OFFSET(CRONOPLE!$F$15,$M180-$A$15,BY$13)=0,10^12,OFFSET(CRONOPLE!$F$15,$M180-$A$15,BY$13)))</f>
        <v>7</v>
      </c>
      <c r="BZ180" s="353" t="n">
        <f aca="true">IF(OR($D180&lt;&gt;"Serviço",AND(AUTOEVENTO="Manual",$M180=$A$15)),0,
         IF(OFFSET(CRONOPLE!$F$15,$M180-$A$15,BZ$13)=0,10^12,OFFSET(CRONOPLE!$F$15,$M180-$A$15,BZ$13)))</f>
        <v>8</v>
      </c>
      <c r="CA180" s="353" t="n">
        <f aca="true">IF(OR($D180&lt;&gt;"Serviço",AND(AUTOEVENTO="Manual",$M180=$A$15)),0,
         IF(OFFSET(CRONOPLE!$F$15,$M180-$A$15,CA$13)=0,10^12,OFFSET(CRONOPLE!$F$15,$M180-$A$15,CA$13)))</f>
        <v>9</v>
      </c>
      <c r="CB180" s="353" t="n">
        <f aca="true">IF(OR($D180&lt;&gt;"Serviço",AND(AUTOEVENTO="Manual",$M180=$A$15)),0,
         IF(OFFSET(CRONOPLE!$F$15,$M180-$A$15,CB$13)=0,10^12,OFFSET(CRONOPLE!$F$15,$M180-$A$15,CB$13)))</f>
        <v>10</v>
      </c>
      <c r="CC180" s="353" t="n">
        <f aca="true">IF(OR($D180&lt;&gt;"Serviço",AND(AUTOEVENTO="Manual",$M180=$A$15)),0,
         IF(OFFSET(CRONOPLE!$F$15,$M180-$A$15,CC$13)=0,10^12,OFFSET(CRONOPLE!$F$15,$M180-$A$15,CC$13)))</f>
        <v>11</v>
      </c>
      <c r="CD180" s="353" t="n">
        <f aca="true">IF(OR($D180&lt;&gt;"Serviço",AND(AUTOEVENTO="Manual",$M180=$A$15)),0,
         IF(OFFSET(CRONOPLE!$F$15,$M180-$A$15,CD$13)=0,10^12,OFFSET(CRONOPLE!$F$15,$M180-$A$15,CD$13)))</f>
        <v>12</v>
      </c>
      <c r="CE180" s="353" t="n">
        <f aca="true">IF(OR($D180&lt;&gt;"Serviço",AND(AUTOEVENTO="Manual",$M180=$A$15)),0,
         IF(OFFSET(CRONOPLE!$F$15,$M180-$A$15,CE$13)=0,10^12,OFFSET(CRONOPLE!$F$15,$M180-$A$15,CE$13)))</f>
        <v>13</v>
      </c>
      <c r="CF180" s="353" t="n">
        <f aca="true">IF(OR($D180&lt;&gt;"Serviço",AND(AUTOEVENTO="Manual",$M180=$A$15)),0,
         IF(OFFSET(CRONOPLE!$F$15,$M180-$A$15,CF$13)=0,10^12,OFFSET(CRONOPLE!$F$15,$M180-$A$15,CF$13)))</f>
        <v>14</v>
      </c>
      <c r="CG180" s="353" t="n">
        <f aca="true">IF(OR($D180&lt;&gt;"Serviço",AND(AUTOEVENTO="Manual",$M180=$A$15)),0,
         IF(OFFSET(CRONOPLE!$F$15,$M180-$A$15,CG$13)=0,10^12,OFFSET(CRONOPLE!$F$15,$M180-$A$15,CG$13)))</f>
        <v>15</v>
      </c>
      <c r="CH180" s="353" t="n">
        <f aca="true">IF(OR($D180&lt;&gt;"Serviço",AND(AUTOEVENTO="Manual",$M180=$A$15)),0,
         IF(OFFSET(CRONOPLE!$F$15,$M180-$A$15,CH$13)=0,10^12,OFFSET(CRONOPLE!$F$15,$M180-$A$15,CH$13)))</f>
        <v>16</v>
      </c>
      <c r="CI180" s="353" t="n">
        <f aca="true">IF(OR($D180&lt;&gt;"Serviço",AND(AUTOEVENTO="Manual",$M180=$A$15)),0,
         IF(OFFSET(CRONOPLE!$F$15,$M180-$A$15,CI$13)=0,10^12,OFFSET(CRONOPLE!$F$15,$M180-$A$15,CI$13)))</f>
        <v>17</v>
      </c>
      <c r="CJ180" s="353" t="n">
        <f aca="true">IF(OR($D180&lt;&gt;"Serviço",AND(AUTOEVENTO="Manual",$M180=$A$15)),0,
         IF(OFFSET(CRONOPLE!$F$15,$M180-$A$15,CJ$13)=0,10^12,OFFSET(CRONOPLE!$F$15,$M180-$A$15,CJ$13)))</f>
        <v>18</v>
      </c>
      <c r="CK180" s="353" t="n">
        <f aca="true">IF(OR($D180&lt;&gt;"Serviço",AND(AUTOEVENTO="Manual",$M180=$A$15)),0,
         IF(OFFSET(CRONOPLE!$F$15,$M180-$A$15,CK$13)=0,10^12,OFFSET(CRONOPLE!$F$15,$M180-$A$15,CK$13)))</f>
        <v>19</v>
      </c>
      <c r="CL180" s="353" t="n">
        <f aca="true">IF(OR($D180&lt;&gt;"Serviço",AND(AUTOEVENTO="Manual",$M180=$A$15)),0,
         IF(OFFSET(CRONOPLE!$F$15,$M180-$A$15,CL$13)=0,10^12,OFFSET(CRONOPLE!$F$15,$M180-$A$15,CL$13)))</f>
        <v>20</v>
      </c>
      <c r="CM180" s="353" t="n">
        <f aca="true">IF(OR($D180&lt;&gt;"Serviço",AND(AUTOEVENTO="Manual",$M180=$A$15)),0,
         IF(OFFSET(CRONOPLE!$F$15,$M180-$A$15,CM$13)=0,10^12,OFFSET(CRONOPLE!$F$15,$M180-$A$15,CM$13)))</f>
        <v>21</v>
      </c>
      <c r="CN180" s="353" t="n">
        <f aca="true">IF(OR($D180&lt;&gt;"Serviço",AND(AUTOEVENTO="Manual",$M180=$A$15)),0,
         IF(OFFSET(CRONOPLE!$F$15,$M180-$A$15,CN$13)=0,10^12,OFFSET(CRONOPLE!$F$15,$M180-$A$15,CN$13)))</f>
        <v>22</v>
      </c>
      <c r="CO180" s="353" t="n">
        <f aca="true">IF(OR($D180&lt;&gt;"Serviço",AND(AUTOEVENTO="Manual",$M180=$A$15)),0,
         IF(OFFSET(CRONOPLE!$F$15,$M180-$A$15,CO$13)=0,10^12,OFFSET(CRONOPLE!$F$15,$M180-$A$15,CO$13)))</f>
        <v>23</v>
      </c>
      <c r="CP180" s="353" t="n">
        <f aca="true">IF(OR($D180&lt;&gt;"Serviço",AND(AUTOEVENTO="Manual",$M180=$A$15)),0,
         IF(OFFSET(CRONOPLE!$F$15,$M180-$A$15,CP$13)=0,10^12,OFFSET(CRONOPLE!$F$15,$M180-$A$15,CP$13)))</f>
        <v>24</v>
      </c>
      <c r="CQ180" s="353" t="n">
        <f aca="true">IF(OR($D180&lt;&gt;"Serviço",AND(AUTOEVENTO="Manual",$M180=$A$15)),0,
         IF(OFFSET(CRONOPLE!$F$15,$M180-$A$15,CQ$13)=0,10^12,OFFSET(CRONOPLE!$F$15,$M180-$A$15,CQ$13)))</f>
        <v>25</v>
      </c>
      <c r="CR180" s="353" t="n">
        <f aca="true">IF(OR($D180&lt;&gt;"Serviço",AND(AUTOEVENTO="Manual",$M180=$A$15)),0,
         IF(OFFSET(CRONOPLE!$F$15,$M180-$A$15,CR$13)=0,10^12,OFFSET(CRONOPLE!$F$15,$M180-$A$15,CR$13)))</f>
        <v>1000000000000</v>
      </c>
      <c r="CT180" s="354" t="n">
        <f aca="true">IF(OR($D180&lt;&gt;"Serviço",AND(AUTOEVENTO="Manual",$M180=$A$15),$M180&gt;(ROW(PLE.lastrow)-ROW(PLE.firstrow))),0,
           IF(OFFSET(PLE!$G$15,$M180-$A$15,CT$13)="",10^12,OFFSET(PLE!$G$15,$M180-$A$15,CT$13)))</f>
        <v>1000000000000</v>
      </c>
      <c r="CU180" s="354" t="n">
        <f aca="true">IF(OR($D180&lt;&gt;"Serviço",AND(AUTOEVENTO="Manual",$M180=$A$15),$M180&gt;(ROW(PLE.lastrow)-ROW(PLE.firstrow))),0,
           IF(OFFSET(PLE!$G$15,$M180-$A$15,CU$13)="",10^12,OFFSET(PLE!$G$15,$M180-$A$15,CU$13)))</f>
        <v>1000000000000</v>
      </c>
      <c r="CV180" s="354" t="n">
        <f aca="true">IF(OR($D180&lt;&gt;"Serviço",AND(AUTOEVENTO="Manual",$M180=$A$15),$M180&gt;(ROW(PLE.lastrow)-ROW(PLE.firstrow))),0,
           IF(OFFSET(PLE!$G$15,$M180-$A$15,CV$13)="",10^12,OFFSET(PLE!$G$15,$M180-$A$15,CV$13)))</f>
        <v>1000000000000</v>
      </c>
      <c r="CW180" s="354" t="n">
        <f aca="true">IF(OR($D180&lt;&gt;"Serviço",AND(AUTOEVENTO="Manual",$M180=$A$15),$M180&gt;(ROW(PLE.lastrow)-ROW(PLE.firstrow))),0,
           IF(OFFSET(PLE!$G$15,$M180-$A$15,CW$13)="",10^12,OFFSET(PLE!$G$15,$M180-$A$15,CW$13)))</f>
        <v>1000000000000</v>
      </c>
      <c r="CX180" s="354" t="n">
        <f aca="true">IF(OR($D180&lt;&gt;"Serviço",AND(AUTOEVENTO="Manual",$M180=$A$15),$M180&gt;(ROW(PLE.lastrow)-ROW(PLE.firstrow))),0,
           IF(OFFSET(PLE!$G$15,$M180-$A$15,CX$13)="",10^12,OFFSET(PLE!$G$15,$M180-$A$15,CX$13)))</f>
        <v>1000000000000</v>
      </c>
      <c r="CY180" s="354" t="n">
        <f aca="true">IF(OR($D180&lt;&gt;"Serviço",AND(AUTOEVENTO="Manual",$M180=$A$15),$M180&gt;(ROW(PLE.lastrow)-ROW(PLE.firstrow))),0,
           IF(OFFSET(PLE!$G$15,$M180-$A$15,CY$13)="",10^12,OFFSET(PLE!$G$15,$M180-$A$15,CY$13)))</f>
        <v>1000000000000</v>
      </c>
      <c r="CZ180" s="354" t="n">
        <f aca="true">IF(OR($D180&lt;&gt;"Serviço",AND(AUTOEVENTO="Manual",$M180=$A$15),$M180&gt;(ROW(PLE.lastrow)-ROW(PLE.firstrow))),0,
           IF(OFFSET(PLE!$G$15,$M180-$A$15,CZ$13)="",10^12,OFFSET(PLE!$G$15,$M180-$A$15,CZ$13)))</f>
        <v>1000000000000</v>
      </c>
      <c r="DA180" s="354" t="n">
        <f aca="true">IF(OR($D180&lt;&gt;"Serviço",AND(AUTOEVENTO="Manual",$M180=$A$15),$M180&gt;(ROW(PLE.lastrow)-ROW(PLE.firstrow))),0,
           IF(OFFSET(PLE!$G$15,$M180-$A$15,DA$13)="",10^12,OFFSET(PLE!$G$15,$M180-$A$15,DA$13)))</f>
        <v>1000000000000</v>
      </c>
      <c r="DB180" s="354" t="n">
        <f aca="true">IF(OR($D180&lt;&gt;"Serviço",AND(AUTOEVENTO="Manual",$M180=$A$15),$M180&gt;(ROW(PLE.lastrow)-ROW(PLE.firstrow))),0,
           IF(OFFSET(PLE!$G$15,$M180-$A$15,DB$13)="",10^12,OFFSET(PLE!$G$15,$M180-$A$15,DB$13)))</f>
        <v>1000000000000</v>
      </c>
      <c r="DC180" s="354" t="n">
        <f aca="true">IF(OR($D180&lt;&gt;"Serviço",AND(AUTOEVENTO="Manual",$M180=$A$15),$M180&gt;(ROW(PLE.lastrow)-ROW(PLE.firstrow))),0,
           IF(OFFSET(PLE!$G$15,$M180-$A$15,DC$13)="",10^12,OFFSET(PLE!$G$15,$M180-$A$15,DC$13)))</f>
        <v>1000000000000</v>
      </c>
      <c r="DD180" s="354" t="n">
        <f aca="true">IF(OR($D180&lt;&gt;"Serviço",AND(AUTOEVENTO="Manual",$M180=$A$15),$M180&gt;(ROW(PLE.lastrow)-ROW(PLE.firstrow))),0,
           IF(OFFSET(PLE!$G$15,$M180-$A$15,DD$13)="",10^12,OFFSET(PLE!$G$15,$M180-$A$15,DD$13)))</f>
        <v>1000000000000</v>
      </c>
      <c r="DE180" s="354" t="n">
        <f aca="true">IF(OR($D180&lt;&gt;"Serviço",AND(AUTOEVENTO="Manual",$M180=$A$15),$M180&gt;(ROW(PLE.lastrow)-ROW(PLE.firstrow))),0,
           IF(OFFSET(PLE!$G$15,$M180-$A$15,DE$13)="",10^12,OFFSET(PLE!$G$15,$M180-$A$15,DE$13)))</f>
        <v>1000000000000</v>
      </c>
      <c r="DF180" s="354" t="n">
        <f aca="true">IF(OR($D180&lt;&gt;"Serviço",AND(AUTOEVENTO="Manual",$M180=$A$15),$M180&gt;(ROW(PLE.lastrow)-ROW(PLE.firstrow))),0,
           IF(OFFSET(PLE!$G$15,$M180-$A$15,DF$13)="",10^12,OFFSET(PLE!$G$15,$M180-$A$15,DF$13)))</f>
        <v>1000000000000</v>
      </c>
      <c r="DG180" s="354" t="n">
        <f aca="true">IF(OR($D180&lt;&gt;"Serviço",AND(AUTOEVENTO="Manual",$M180=$A$15),$M180&gt;(ROW(PLE.lastrow)-ROW(PLE.firstrow))),0,
           IF(OFFSET(PLE!$G$15,$M180-$A$15,DG$13)="",10^12,OFFSET(PLE!$G$15,$M180-$A$15,DG$13)))</f>
        <v>1000000000000</v>
      </c>
      <c r="DH180" s="354" t="n">
        <f aca="true">IF(OR($D180&lt;&gt;"Serviço",AND(AUTOEVENTO="Manual",$M180=$A$15),$M180&gt;(ROW(PLE.lastrow)-ROW(PLE.firstrow))),0,
           IF(OFFSET(PLE!$G$15,$M180-$A$15,DH$13)="",10^12,OFFSET(PLE!$G$15,$M180-$A$15,DH$13)))</f>
        <v>1000000000000</v>
      </c>
      <c r="DI180" s="354" t="n">
        <f aca="true">IF(OR($D180&lt;&gt;"Serviço",AND(AUTOEVENTO="Manual",$M180=$A$15),$M180&gt;(ROW(PLE.lastrow)-ROW(PLE.firstrow))),0,
           IF(OFFSET(PLE!$G$15,$M180-$A$15,DI$13)="",10^12,OFFSET(PLE!$G$15,$M180-$A$15,DI$13)))</f>
        <v>1000000000000</v>
      </c>
      <c r="DJ180" s="354" t="n">
        <f aca="true">IF(OR($D180&lt;&gt;"Serviço",AND(AUTOEVENTO="Manual",$M180=$A$15),$M180&gt;(ROW(PLE.lastrow)-ROW(PLE.firstrow))),0,
           IF(OFFSET(PLE!$G$15,$M180-$A$15,DJ$13)="",10^12,OFFSET(PLE!$G$15,$M180-$A$15,DJ$13)))</f>
        <v>1000000000000</v>
      </c>
      <c r="DK180" s="354" t="n">
        <f aca="true">IF(OR($D180&lt;&gt;"Serviço",AND(AUTOEVENTO="Manual",$M180=$A$15),$M180&gt;(ROW(PLE.lastrow)-ROW(PLE.firstrow))),0,
           IF(OFFSET(PLE!$G$15,$M180-$A$15,DK$13)="",10^12,OFFSET(PLE!$G$15,$M180-$A$15,DK$13)))</f>
        <v>1000000000000</v>
      </c>
      <c r="DL180" s="354" t="n">
        <f aca="true">IF(OR($D180&lt;&gt;"Serviço",AND(AUTOEVENTO="Manual",$M180=$A$15),$M180&gt;(ROW(PLE.lastrow)-ROW(PLE.firstrow))),0,
           IF(OFFSET(PLE!$G$15,$M180-$A$15,DL$13)="",10^12,OFFSET(PLE!$G$15,$M180-$A$15,DL$13)))</f>
        <v>1000000000000</v>
      </c>
      <c r="DM180" s="354" t="n">
        <f aca="true">IF(OR($D180&lt;&gt;"Serviço",AND(AUTOEVENTO="Manual",$M180=$A$15),$M180&gt;(ROW(PLE.lastrow)-ROW(PLE.firstrow))),0,
           IF(OFFSET(PLE!$G$15,$M180-$A$15,DM$13)="",10^12,OFFSET(PLE!$G$15,$M180-$A$15,DM$13)))</f>
        <v>1000000000000</v>
      </c>
      <c r="DN180" s="354" t="n">
        <f aca="true">IF(OR($D180&lt;&gt;"Serviço",AND(AUTOEVENTO="Manual",$M180=$A$15),$M180&gt;(ROW(PLE.lastrow)-ROW(PLE.firstrow))),0,
           IF(OFFSET(PLE!$G$15,$M180-$A$15,DN$13)="",10^12,OFFSET(PLE!$G$15,$M180-$A$15,DN$13)))</f>
        <v>1000000000000</v>
      </c>
      <c r="DO180" s="354" t="n">
        <f aca="true">IF(OR($D180&lt;&gt;"Serviço",AND(AUTOEVENTO="Manual",$M180=$A$15),$M180&gt;(ROW(PLE.lastrow)-ROW(PLE.firstrow))),0,
           IF(OFFSET(PLE!$G$15,$M180-$A$15,DO$13)="",10^12,OFFSET(PLE!$G$15,$M180-$A$15,DO$13)))</f>
        <v>1000000000000</v>
      </c>
      <c r="DP180" s="354" t="n">
        <f aca="true">IF(OR($D180&lt;&gt;"Serviço",AND(AUTOEVENTO="Manual",$M180=$A$15),$M180&gt;(ROW(PLE.lastrow)-ROW(PLE.firstrow))),0,
           IF(OFFSET(PLE!$G$15,$M180-$A$15,DP$13)="",10^12,OFFSET(PLE!$G$15,$M180-$A$15,DP$13)))</f>
        <v>1000000000000</v>
      </c>
      <c r="DQ180" s="354" t="n">
        <f aca="true">IF(OR($D180&lt;&gt;"Serviço",AND(AUTOEVENTO="Manual",$M180=$A$15),$M180&gt;(ROW(PLE.lastrow)-ROW(PLE.firstrow))),0,
           IF(OFFSET(PLE!$G$15,$M180-$A$15,DQ$13)="",10^12,OFFSET(PLE!$G$15,$M180-$A$15,DQ$13)))</f>
        <v>1000000000000</v>
      </c>
      <c r="DR180" s="354" t="n">
        <f aca="true">IF(OR($D180&lt;&gt;"Serviço",AND(AUTOEVENTO="Manual",$M180=$A$15),$M180&gt;(ROW(PLE.lastrow)-ROW(PLE.firstrow))),0,
           IF(OFFSET(PLE!$G$15,$M180-$A$15,DR$13)="",10^12,OFFSET(PLE!$G$15,$M180-$A$15,DR$13)))</f>
        <v>1000000000000</v>
      </c>
      <c r="DS180" s="354" t="n">
        <f aca="true">IF(OR($D180&lt;&gt;"Serviço",AND(AUTOEVENTO="Manual",$M180=$A$15),$M180&gt;(ROW(PLE.lastrow)-ROW(PLE.firstrow))),0,
           IF(OFFSET(PLE!$G$15,$M180-$A$15,DS$13)="",10^12,OFFSET(PLE!$G$15,$M180-$A$15,DS$13)))</f>
        <v>1000000000000</v>
      </c>
    </row>
    <row r="181" customFormat="false" ht="35.05" hidden="false" customHeight="false" outlineLevel="0" collapsed="false">
      <c r="A181" s="50" t="str">
        <f aca="true">IFERROR(IF(AUTOEVENTO="Manual",IF(K181&lt;&gt;"",MIN(VALUE(LEFT(K181,FIND(".",K181)-1)),COUNTA(EVENTOS.Lista)),0),IF(OR($B181&gt;AUTOEVENTO,$B181="S",$B181=0),SUBSTITUTE(OFFSET($A181,-1,0),IF($D181="Serviço",".",""),""),ROW(A181)-ROW($A$15)&amp;".")),0)</f>
        <v>157</v>
      </c>
      <c r="B181" s="50" t="str">
        <f aca="true">OFFSET(ORÇAMENTO!C$15,ROW(B181)-ROW(B$15),0)</f>
        <v>S</v>
      </c>
      <c r="C181" s="50" t="str">
        <f aca="true">OFFSET(ORÇAMENTO!L$15,ROW(C181)-ROW(C$15),0)</f>
        <v>F</v>
      </c>
      <c r="D181" s="201" t="str">
        <f aca="true">OFFSET(ORÇAMENTO!N$15,ROW(D181)-ROW(D$15),0)</f>
        <v>Serviço</v>
      </c>
      <c r="E181" s="202" t="str">
        <f aca="true">OFFSET(ORÇAMENTO!O$15,ROW(E181)-ROW(E$15),0)</f>
        <v>1.45.9.</v>
      </c>
      <c r="F181" s="341" t="str">
        <f aca="true">OFFSET(ORÇAMENTO!R$15,ROW(F181)-ROW(F$15),0)</f>
        <v>TUBO PVC, SERIE NORMAL, ESGOTO PREDIAL, DN 40 MM, FORNECIDO E INSTALADO EM RAMAL DE DESCARGA OU RAMAL DE ESGOTO SANITÁRIO. AF_08/2022</v>
      </c>
      <c r="G181" s="342" t="str">
        <f aca="true">IF($D181&lt;&gt;"Serviço","",OFFSET(ORÇAMENTO!S$15,ROW(G181)-ROW(G$15),0))</f>
        <v>M</v>
      </c>
      <c r="H181" s="207" t="n">
        <f aca="true">IF($D181&lt;&gt;"Serviço",0,IF(ACOMPANHAMENTO="BM",ROUND(OFFSET(ORÇAMENTO!AJ$15,ROW(H181)-ROW(H$15),0),15-13*ORÇAMENTO!$AF$7),SUMPRODUCT(($Q$1:$AQ$1=1)*ROUND($Q181:$AQ181,15-13*ORÇAMENTO!$AF$7))))</f>
        <v>83.75</v>
      </c>
      <c r="I181" s="343" t="s">
        <v>983</v>
      </c>
      <c r="J181" s="344" t="e">
        <f aca="false">IF(OR(B181&lt;&gt;"S",CÁLCULO.FrentesPreenchidas=0),"",IF(AND(ACOMPANHAMENTO="PLE",AUTOEVENTO="Manual",OR(H181&gt;0,ORÇAMENTO!AC181="QUANT."),OR(K181="",M181=0,N181="")),"►",IF(AND(ACOMPANHAMENTO="PLE",ORÇAMENTO!AC181="QUANT."),"►►",IF(AND(COUNTIF($P$11:$AQ$11,"▼")=0,H181&gt;0,I181=""),"◄",""))))</f>
        <v>#NAME?</v>
      </c>
      <c r="K181" s="345"/>
      <c r="L181" s="346" t="s">
        <v>876</v>
      </c>
      <c r="M181" s="347" t="n">
        <f aca="true">IF($D181&lt;&gt;"Serviço","",
          IF(AUTOEVENTO="manual",$A181,
                IF(ISERROR(MATCH($A181,$A$15:OFFSET($A181,-1,0),0)),MAX($M$15:OFFSET(M181,-1,0))+1,
                      INDEX($M$15:OFFSET(M181,-1,0),MATCH($A181,$A$15:OFFSET($A181,-1,0),0)))))</f>
        <v>28</v>
      </c>
      <c r="N181" s="348" t="str">
        <f aca="true">IF($D181&lt;&gt;"Serviço","",
         IF(AUTOEVENTO="Manual",
                IF($A181=0,"&lt;-- defina o número do agrupador",
                       OFFSET(EVENTOS!$D$15,$A181-$A$15,0)),
                OFFSET($F$15,$A181,0)))</f>
        <v>TUBULAÇÕES E CONEXÕES</v>
      </c>
      <c r="O181" s="349"/>
      <c r="Q181" s="349" t="n">
        <v>3.35</v>
      </c>
      <c r="R181" s="350" t="n">
        <v>3.35</v>
      </c>
      <c r="S181" s="350" t="n">
        <v>3.35</v>
      </c>
      <c r="T181" s="350" t="n">
        <v>3.35</v>
      </c>
      <c r="U181" s="350" t="n">
        <v>3.35</v>
      </c>
      <c r="V181" s="350" t="n">
        <v>3.35</v>
      </c>
      <c r="W181" s="350" t="n">
        <v>3.35</v>
      </c>
      <c r="X181" s="350" t="n">
        <v>3.35</v>
      </c>
      <c r="Y181" s="350" t="n">
        <v>3.35</v>
      </c>
      <c r="Z181" s="351" t="n">
        <v>3.35</v>
      </c>
      <c r="AA181" s="350" t="n">
        <v>3.35</v>
      </c>
      <c r="AB181" s="350" t="n">
        <v>3.35</v>
      </c>
      <c r="AC181" s="350" t="n">
        <v>3.35</v>
      </c>
      <c r="AD181" s="350" t="n">
        <v>3.35</v>
      </c>
      <c r="AE181" s="350" t="n">
        <v>3.35</v>
      </c>
      <c r="AF181" s="350" t="n">
        <v>3.35</v>
      </c>
      <c r="AG181" s="350" t="n">
        <v>3.35</v>
      </c>
      <c r="AH181" s="351" t="n">
        <v>3.35</v>
      </c>
      <c r="AI181" s="350" t="n">
        <v>3.35</v>
      </c>
      <c r="AJ181" s="350" t="n">
        <v>3.35</v>
      </c>
      <c r="AK181" s="350" t="n">
        <v>3.35</v>
      </c>
      <c r="AL181" s="350" t="n">
        <v>3.35</v>
      </c>
      <c r="AM181" s="350" t="n">
        <v>3.35</v>
      </c>
      <c r="AN181" s="350" t="n">
        <v>3.35</v>
      </c>
      <c r="AO181" s="350" t="n">
        <v>3.35</v>
      </c>
      <c r="AP181" s="351"/>
      <c r="AR181" s="352" t="n">
        <f aca="true">IF(AND($D181="Serviço",AR$12&lt;&gt;0,$H181&gt;0,OR(AUTOEVENTO&lt;&gt;"manual",$M181&lt;&gt;$A$15)),
        IF(Import.TipoArredondamento&lt;&gt;"TransfereGOV",
              ROUND(OFFSET($P181,0,AR$13),15-13*ORÇAMENTO!$AF$7)/$H181*OFFSET(ORÇAMENTO!$X$15,ROW(AR181)-ROW(AR$15),0),
              ROUND(ROUND(OFFSET($P181,0,AR$13),15-13*ORÇAMENTO!$AF$7)*OFFSET(ORÇAMENTO!$W$15,ROW(AR181)-ROW(AR$15),0),15-13*ORÇAMENTO!$AF$11)),
         0)</f>
        <v>93.16</v>
      </c>
      <c r="AS181" s="352" t="n">
        <f aca="true">IF(AND($D181="Serviço",AS$12&lt;&gt;0,$H181&gt;0,OR(AUTOEVENTO&lt;&gt;"manual",$M181&lt;&gt;$A$15)),
        IF(Import.TipoArredondamento&lt;&gt;"TransfereGOV",
              ROUND(OFFSET($P181,0,AS$13),15-13*ORÇAMENTO!$AF$7)/$H181*OFFSET(ORÇAMENTO!$X$15,ROW(AS181)-ROW(AS$15),0),
              ROUND(ROUND(OFFSET($P181,0,AS$13),15-13*ORÇAMENTO!$AF$7)*OFFSET(ORÇAMENTO!$W$15,ROW(AS181)-ROW(AS$15),0),15-13*ORÇAMENTO!$AF$11)),
         0)</f>
        <v>93.16</v>
      </c>
      <c r="AT181" s="352" t="n">
        <f aca="true">IF(AND($D181="Serviço",AT$12&lt;&gt;0,$H181&gt;0,OR(AUTOEVENTO&lt;&gt;"manual",$M181&lt;&gt;$A$15)),
        IF(Import.TipoArredondamento&lt;&gt;"TransfereGOV",
              ROUND(OFFSET($P181,0,AT$13),15-13*ORÇAMENTO!$AF$7)/$H181*OFFSET(ORÇAMENTO!$X$15,ROW(AT181)-ROW(AT$15),0),
              ROUND(ROUND(OFFSET($P181,0,AT$13),15-13*ORÇAMENTO!$AF$7)*OFFSET(ORÇAMENTO!$W$15,ROW(AT181)-ROW(AT$15),0),15-13*ORÇAMENTO!$AF$11)),
         0)</f>
        <v>93.16</v>
      </c>
      <c r="AU181" s="352" t="n">
        <f aca="true">IF(AND($D181="Serviço",AU$12&lt;&gt;0,$H181&gt;0,OR(AUTOEVENTO&lt;&gt;"manual",$M181&lt;&gt;$A$15)),
        IF(Import.TipoArredondamento&lt;&gt;"TransfereGOV",
              ROUND(OFFSET($P181,0,AU$13),15-13*ORÇAMENTO!$AF$7)/$H181*OFFSET(ORÇAMENTO!$X$15,ROW(AU181)-ROW(AU$15),0),
              ROUND(ROUND(OFFSET($P181,0,AU$13),15-13*ORÇAMENTO!$AF$7)*OFFSET(ORÇAMENTO!$W$15,ROW(AU181)-ROW(AU$15),0),15-13*ORÇAMENTO!$AF$11)),
         0)</f>
        <v>93.16</v>
      </c>
      <c r="AV181" s="352" t="n">
        <f aca="true">IF(AND($D181="Serviço",AV$12&lt;&gt;0,$H181&gt;0,OR(AUTOEVENTO&lt;&gt;"manual",$M181&lt;&gt;$A$15)),
        IF(Import.TipoArredondamento&lt;&gt;"TransfereGOV",
              ROUND(OFFSET($P181,0,AV$13),15-13*ORÇAMENTO!$AF$7)/$H181*OFFSET(ORÇAMENTO!$X$15,ROW(AV181)-ROW(AV$15),0),
              ROUND(ROUND(OFFSET($P181,0,AV$13),15-13*ORÇAMENTO!$AF$7)*OFFSET(ORÇAMENTO!$W$15,ROW(AV181)-ROW(AV$15),0),15-13*ORÇAMENTO!$AF$11)),
         0)</f>
        <v>93.16</v>
      </c>
      <c r="AW181" s="352" t="n">
        <f aca="true">IF(AND($D181="Serviço",AW$12&lt;&gt;0,$H181&gt;0,OR(AUTOEVENTO&lt;&gt;"manual",$M181&lt;&gt;$A$15)),
        IF(Import.TipoArredondamento&lt;&gt;"TransfereGOV",
              ROUND(OFFSET($P181,0,AW$13),15-13*ORÇAMENTO!$AF$7)/$H181*OFFSET(ORÇAMENTO!$X$15,ROW(AW181)-ROW(AW$15),0),
              ROUND(ROUND(OFFSET($P181,0,AW$13),15-13*ORÇAMENTO!$AF$7)*OFFSET(ORÇAMENTO!$W$15,ROW(AW181)-ROW(AW$15),0),15-13*ORÇAMENTO!$AF$11)),
         0)</f>
        <v>93.16</v>
      </c>
      <c r="AX181" s="352" t="n">
        <f aca="true">IF(AND($D181="Serviço",AX$12&lt;&gt;0,$H181&gt;0,OR(AUTOEVENTO&lt;&gt;"manual",$M181&lt;&gt;$A$15)),
        IF(Import.TipoArredondamento&lt;&gt;"TransfereGOV",
              ROUND(OFFSET($P181,0,AX$13),15-13*ORÇAMENTO!$AF$7)/$H181*OFFSET(ORÇAMENTO!$X$15,ROW(AX181)-ROW(AX$15),0),
              ROUND(ROUND(OFFSET($P181,0,AX$13),15-13*ORÇAMENTO!$AF$7)*OFFSET(ORÇAMENTO!$W$15,ROW(AX181)-ROW(AX$15),0),15-13*ORÇAMENTO!$AF$11)),
         0)</f>
        <v>93.16</v>
      </c>
      <c r="AY181" s="352" t="n">
        <f aca="true">IF(AND($D181="Serviço",AY$12&lt;&gt;0,$H181&gt;0,OR(AUTOEVENTO&lt;&gt;"manual",$M181&lt;&gt;$A$15)),
        IF(Import.TipoArredondamento&lt;&gt;"TransfereGOV",
              ROUND(OFFSET($P181,0,AY$13),15-13*ORÇAMENTO!$AF$7)/$H181*OFFSET(ORÇAMENTO!$X$15,ROW(AY181)-ROW(AY$15),0),
              ROUND(ROUND(OFFSET($P181,0,AY$13),15-13*ORÇAMENTO!$AF$7)*OFFSET(ORÇAMENTO!$W$15,ROW(AY181)-ROW(AY$15),0),15-13*ORÇAMENTO!$AF$11)),
         0)</f>
        <v>93.16</v>
      </c>
      <c r="AZ181" s="352" t="n">
        <f aca="true">IF(AND($D181="Serviço",AZ$12&lt;&gt;0,$H181&gt;0,OR(AUTOEVENTO&lt;&gt;"manual",$M181&lt;&gt;$A$15)),
        IF(Import.TipoArredondamento&lt;&gt;"TransfereGOV",
              ROUND(OFFSET($P181,0,AZ$13),15-13*ORÇAMENTO!$AF$7)/$H181*OFFSET(ORÇAMENTO!$X$15,ROW(AZ181)-ROW(AZ$15),0),
              ROUND(ROUND(OFFSET($P181,0,AZ$13),15-13*ORÇAMENTO!$AF$7)*OFFSET(ORÇAMENTO!$W$15,ROW(AZ181)-ROW(AZ$15),0),15-13*ORÇAMENTO!$AF$11)),
         0)</f>
        <v>93.16</v>
      </c>
      <c r="BA181" s="352" t="n">
        <f aca="true">IF(AND($D181="Serviço",BA$12&lt;&gt;0,$H181&gt;0,OR(AUTOEVENTO&lt;&gt;"manual",$M181&lt;&gt;$A$15)),
        IF(Import.TipoArredondamento&lt;&gt;"TransfereGOV",
              ROUND(OFFSET($P181,0,BA$13),15-13*ORÇAMENTO!$AF$7)/$H181*OFFSET(ORÇAMENTO!$X$15,ROW(BA181)-ROW(BA$15),0),
              ROUND(ROUND(OFFSET($P181,0,BA$13),15-13*ORÇAMENTO!$AF$7)*OFFSET(ORÇAMENTO!$W$15,ROW(BA181)-ROW(BA$15),0),15-13*ORÇAMENTO!$AF$11)),
         0)</f>
        <v>93.16</v>
      </c>
      <c r="BB181" s="352" t="n">
        <f aca="true">IF(AND($D181="Serviço",BB$12&lt;&gt;0,$H181&gt;0,OR(AUTOEVENTO&lt;&gt;"manual",$M181&lt;&gt;$A$15)),
        IF(Import.TipoArredondamento&lt;&gt;"TransfereGOV",
              ROUND(OFFSET($P181,0,BB$13),15-13*ORÇAMENTO!$AF$7)/$H181*OFFSET(ORÇAMENTO!$X$15,ROW(BB181)-ROW(BB$15),0),
              ROUND(ROUND(OFFSET($P181,0,BB$13),15-13*ORÇAMENTO!$AF$7)*OFFSET(ORÇAMENTO!$W$15,ROW(BB181)-ROW(BB$15),0),15-13*ORÇAMENTO!$AF$11)),
         0)</f>
        <v>93.16</v>
      </c>
      <c r="BC181" s="352" t="n">
        <f aca="true">IF(AND($D181="Serviço",BC$12&lt;&gt;0,$H181&gt;0,OR(AUTOEVENTO&lt;&gt;"manual",$M181&lt;&gt;$A$15)),
        IF(Import.TipoArredondamento&lt;&gt;"TransfereGOV",
              ROUND(OFFSET($P181,0,BC$13),15-13*ORÇAMENTO!$AF$7)/$H181*OFFSET(ORÇAMENTO!$X$15,ROW(BC181)-ROW(BC$15),0),
              ROUND(ROUND(OFFSET($P181,0,BC$13),15-13*ORÇAMENTO!$AF$7)*OFFSET(ORÇAMENTO!$W$15,ROW(BC181)-ROW(BC$15),0),15-13*ORÇAMENTO!$AF$11)),
         0)</f>
        <v>93.16</v>
      </c>
      <c r="BD181" s="352" t="n">
        <f aca="true">IF(AND($D181="Serviço",BD$12&lt;&gt;0,$H181&gt;0,OR(AUTOEVENTO&lt;&gt;"manual",$M181&lt;&gt;$A$15)),
        IF(Import.TipoArredondamento&lt;&gt;"TransfereGOV",
              ROUND(OFFSET($P181,0,BD$13),15-13*ORÇAMENTO!$AF$7)/$H181*OFFSET(ORÇAMENTO!$X$15,ROW(BD181)-ROW(BD$15),0),
              ROUND(ROUND(OFFSET($P181,0,BD$13),15-13*ORÇAMENTO!$AF$7)*OFFSET(ORÇAMENTO!$W$15,ROW(BD181)-ROW(BD$15),0),15-13*ORÇAMENTO!$AF$11)),
         0)</f>
        <v>93.16</v>
      </c>
      <c r="BE181" s="352" t="n">
        <f aca="true">IF(AND($D181="Serviço",BE$12&lt;&gt;0,$H181&gt;0,OR(AUTOEVENTO&lt;&gt;"manual",$M181&lt;&gt;$A$15)),
        IF(Import.TipoArredondamento&lt;&gt;"TransfereGOV",
              ROUND(OFFSET($P181,0,BE$13),15-13*ORÇAMENTO!$AF$7)/$H181*OFFSET(ORÇAMENTO!$X$15,ROW(BE181)-ROW(BE$15),0),
              ROUND(ROUND(OFFSET($P181,0,BE$13),15-13*ORÇAMENTO!$AF$7)*OFFSET(ORÇAMENTO!$W$15,ROW(BE181)-ROW(BE$15),0),15-13*ORÇAMENTO!$AF$11)),
         0)</f>
        <v>93.16</v>
      </c>
      <c r="BF181" s="352" t="n">
        <f aca="true">IF(AND($D181="Serviço",BF$12&lt;&gt;0,$H181&gt;0,OR(AUTOEVENTO&lt;&gt;"manual",$M181&lt;&gt;$A$15)),
        IF(Import.TipoArredondamento&lt;&gt;"TransfereGOV",
              ROUND(OFFSET($P181,0,BF$13),15-13*ORÇAMENTO!$AF$7)/$H181*OFFSET(ORÇAMENTO!$X$15,ROW(BF181)-ROW(BF$15),0),
              ROUND(ROUND(OFFSET($P181,0,BF$13),15-13*ORÇAMENTO!$AF$7)*OFFSET(ORÇAMENTO!$W$15,ROW(BF181)-ROW(BF$15),0),15-13*ORÇAMENTO!$AF$11)),
         0)</f>
        <v>93.16</v>
      </c>
      <c r="BG181" s="352" t="n">
        <f aca="true">IF(AND($D181="Serviço",BG$12&lt;&gt;0,$H181&gt;0,OR(AUTOEVENTO&lt;&gt;"manual",$M181&lt;&gt;$A$15)),
        IF(Import.TipoArredondamento&lt;&gt;"TransfereGOV",
              ROUND(OFFSET($P181,0,BG$13),15-13*ORÇAMENTO!$AF$7)/$H181*OFFSET(ORÇAMENTO!$X$15,ROW(BG181)-ROW(BG$15),0),
              ROUND(ROUND(OFFSET($P181,0,BG$13),15-13*ORÇAMENTO!$AF$7)*OFFSET(ORÇAMENTO!$W$15,ROW(BG181)-ROW(BG$15),0),15-13*ORÇAMENTO!$AF$11)),
         0)</f>
        <v>93.16</v>
      </c>
      <c r="BH181" s="352" t="n">
        <f aca="true">IF(AND($D181="Serviço",BH$12&lt;&gt;0,$H181&gt;0,OR(AUTOEVENTO&lt;&gt;"manual",$M181&lt;&gt;$A$15)),
        IF(Import.TipoArredondamento&lt;&gt;"TransfereGOV",
              ROUND(OFFSET($P181,0,BH$13),15-13*ORÇAMENTO!$AF$7)/$H181*OFFSET(ORÇAMENTO!$X$15,ROW(BH181)-ROW(BH$15),0),
              ROUND(ROUND(OFFSET($P181,0,BH$13),15-13*ORÇAMENTO!$AF$7)*OFFSET(ORÇAMENTO!$W$15,ROW(BH181)-ROW(BH$15),0),15-13*ORÇAMENTO!$AF$11)),
         0)</f>
        <v>93.16</v>
      </c>
      <c r="BI181" s="352" t="n">
        <f aca="true">IF(AND($D181="Serviço",BI$12&lt;&gt;0,$H181&gt;0,OR(AUTOEVENTO&lt;&gt;"manual",$M181&lt;&gt;$A$15)),
        IF(Import.TipoArredondamento&lt;&gt;"TransfereGOV",
              ROUND(OFFSET($P181,0,BI$13),15-13*ORÇAMENTO!$AF$7)/$H181*OFFSET(ORÇAMENTO!$X$15,ROW(BI181)-ROW(BI$15),0),
              ROUND(ROUND(OFFSET($P181,0,BI$13),15-13*ORÇAMENTO!$AF$7)*OFFSET(ORÇAMENTO!$W$15,ROW(BI181)-ROW(BI$15),0),15-13*ORÇAMENTO!$AF$11)),
         0)</f>
        <v>93.16</v>
      </c>
      <c r="BJ181" s="352" t="n">
        <f aca="true">IF(AND($D181="Serviço",BJ$12&lt;&gt;0,$H181&gt;0,OR(AUTOEVENTO&lt;&gt;"manual",$M181&lt;&gt;$A$15)),
        IF(Import.TipoArredondamento&lt;&gt;"TransfereGOV",
              ROUND(OFFSET($P181,0,BJ$13),15-13*ORÇAMENTO!$AF$7)/$H181*OFFSET(ORÇAMENTO!$X$15,ROW(BJ181)-ROW(BJ$15),0),
              ROUND(ROUND(OFFSET($P181,0,BJ$13),15-13*ORÇAMENTO!$AF$7)*OFFSET(ORÇAMENTO!$W$15,ROW(BJ181)-ROW(BJ$15),0),15-13*ORÇAMENTO!$AF$11)),
         0)</f>
        <v>93.16</v>
      </c>
      <c r="BK181" s="352" t="n">
        <f aca="true">IF(AND($D181="Serviço",BK$12&lt;&gt;0,$H181&gt;0,OR(AUTOEVENTO&lt;&gt;"manual",$M181&lt;&gt;$A$15)),
        IF(Import.TipoArredondamento&lt;&gt;"TransfereGOV",
              ROUND(OFFSET($P181,0,BK$13),15-13*ORÇAMENTO!$AF$7)/$H181*OFFSET(ORÇAMENTO!$X$15,ROW(BK181)-ROW(BK$15),0),
              ROUND(ROUND(OFFSET($P181,0,BK$13),15-13*ORÇAMENTO!$AF$7)*OFFSET(ORÇAMENTO!$W$15,ROW(BK181)-ROW(BK$15),0),15-13*ORÇAMENTO!$AF$11)),
         0)</f>
        <v>93.16</v>
      </c>
      <c r="BL181" s="352" t="n">
        <f aca="true">IF(AND($D181="Serviço",BL$12&lt;&gt;0,$H181&gt;0,OR(AUTOEVENTO&lt;&gt;"manual",$M181&lt;&gt;$A$15)),
        IF(Import.TipoArredondamento&lt;&gt;"TransfereGOV",
              ROUND(OFFSET($P181,0,BL$13),15-13*ORÇAMENTO!$AF$7)/$H181*OFFSET(ORÇAMENTO!$X$15,ROW(BL181)-ROW(BL$15),0),
              ROUND(ROUND(OFFSET($P181,0,BL$13),15-13*ORÇAMENTO!$AF$7)*OFFSET(ORÇAMENTO!$W$15,ROW(BL181)-ROW(BL$15),0),15-13*ORÇAMENTO!$AF$11)),
         0)</f>
        <v>93.16</v>
      </c>
      <c r="BM181" s="352" t="n">
        <f aca="true">IF(AND($D181="Serviço",BM$12&lt;&gt;0,$H181&gt;0,OR(AUTOEVENTO&lt;&gt;"manual",$M181&lt;&gt;$A$15)),
        IF(Import.TipoArredondamento&lt;&gt;"TransfereGOV",
              ROUND(OFFSET($P181,0,BM$13),15-13*ORÇAMENTO!$AF$7)/$H181*OFFSET(ORÇAMENTO!$X$15,ROW(BM181)-ROW(BM$15),0),
              ROUND(ROUND(OFFSET($P181,0,BM$13),15-13*ORÇAMENTO!$AF$7)*OFFSET(ORÇAMENTO!$W$15,ROW(BM181)-ROW(BM$15),0),15-13*ORÇAMENTO!$AF$11)),
         0)</f>
        <v>93.16</v>
      </c>
      <c r="BN181" s="352" t="n">
        <f aca="true">IF(AND($D181="Serviço",BN$12&lt;&gt;0,$H181&gt;0,OR(AUTOEVENTO&lt;&gt;"manual",$M181&lt;&gt;$A$15)),
        IF(Import.TipoArredondamento&lt;&gt;"TransfereGOV",
              ROUND(OFFSET($P181,0,BN$13),15-13*ORÇAMENTO!$AF$7)/$H181*OFFSET(ORÇAMENTO!$X$15,ROW(BN181)-ROW(BN$15),0),
              ROUND(ROUND(OFFSET($P181,0,BN$13),15-13*ORÇAMENTO!$AF$7)*OFFSET(ORÇAMENTO!$W$15,ROW(BN181)-ROW(BN$15),0),15-13*ORÇAMENTO!$AF$11)),
         0)</f>
        <v>93.16</v>
      </c>
      <c r="BO181" s="352" t="n">
        <f aca="true">IF(AND($D181="Serviço",BO$12&lt;&gt;0,$H181&gt;0,OR(AUTOEVENTO&lt;&gt;"manual",$M181&lt;&gt;$A$15)),
        IF(Import.TipoArredondamento&lt;&gt;"TransfereGOV",
              ROUND(OFFSET($P181,0,BO$13),15-13*ORÇAMENTO!$AF$7)/$H181*OFFSET(ORÇAMENTO!$X$15,ROW(BO181)-ROW(BO$15),0),
              ROUND(ROUND(OFFSET($P181,0,BO$13),15-13*ORÇAMENTO!$AF$7)*OFFSET(ORÇAMENTO!$W$15,ROW(BO181)-ROW(BO$15),0),15-13*ORÇAMENTO!$AF$11)),
         0)</f>
        <v>93.16</v>
      </c>
      <c r="BP181" s="352" t="n">
        <f aca="true">IF(AND($D181="Serviço",BP$12&lt;&gt;0,$H181&gt;0,OR(AUTOEVENTO&lt;&gt;"manual",$M181&lt;&gt;$A$15)),
        IF(Import.TipoArredondamento&lt;&gt;"TransfereGOV",
              ROUND(OFFSET($P181,0,BP$13),15-13*ORÇAMENTO!$AF$7)/$H181*OFFSET(ORÇAMENTO!$X$15,ROW(BP181)-ROW(BP$15),0),
              ROUND(ROUND(OFFSET($P181,0,BP$13),15-13*ORÇAMENTO!$AF$7)*OFFSET(ORÇAMENTO!$W$15,ROW(BP181)-ROW(BP$15),0),15-13*ORÇAMENTO!$AF$11)),
         0)</f>
        <v>93.16</v>
      </c>
      <c r="BQ181" s="352" t="n">
        <f aca="true">IF(AND($D181="Serviço",BQ$12&lt;&gt;0,$H181&gt;0,OR(AUTOEVENTO&lt;&gt;"manual",$M181&lt;&gt;$A$15)),
        IF(Import.TipoArredondamento&lt;&gt;"TransfereGOV",
              ROUND(OFFSET($P181,0,BQ$13),15-13*ORÇAMENTO!$AF$7)/$H181*OFFSET(ORÇAMENTO!$X$15,ROW(BQ181)-ROW(BQ$15),0),
              ROUND(ROUND(OFFSET($P181,0,BQ$13),15-13*ORÇAMENTO!$AF$7)*OFFSET(ORÇAMENTO!$W$15,ROW(BQ181)-ROW(BQ$15),0),15-13*ORÇAMENTO!$AF$11)),
         0)</f>
        <v>0</v>
      </c>
      <c r="BS181" s="353" t="n">
        <f aca="true">IF(OR($D181&lt;&gt;"Serviço",AND(AUTOEVENTO="Manual",$M181=$A$15)),0,
         IF(OFFSET(CRONOPLE!$F$15,$M181-$A$15,BS$13)=0,10^12,OFFSET(CRONOPLE!$F$15,$M181-$A$15,BS$13)))</f>
        <v>1</v>
      </c>
      <c r="BT181" s="353" t="n">
        <f aca="true">IF(OR($D181&lt;&gt;"Serviço",AND(AUTOEVENTO="Manual",$M181=$A$15)),0,
         IF(OFFSET(CRONOPLE!$F$15,$M181-$A$15,BT$13)=0,10^12,OFFSET(CRONOPLE!$F$15,$M181-$A$15,BT$13)))</f>
        <v>2</v>
      </c>
      <c r="BU181" s="353" t="n">
        <f aca="true">IF(OR($D181&lt;&gt;"Serviço",AND(AUTOEVENTO="Manual",$M181=$A$15)),0,
         IF(OFFSET(CRONOPLE!$F$15,$M181-$A$15,BU$13)=0,10^12,OFFSET(CRONOPLE!$F$15,$M181-$A$15,BU$13)))</f>
        <v>3</v>
      </c>
      <c r="BV181" s="353" t="n">
        <f aca="true">IF(OR($D181&lt;&gt;"Serviço",AND(AUTOEVENTO="Manual",$M181=$A$15)),0,
         IF(OFFSET(CRONOPLE!$F$15,$M181-$A$15,BV$13)=0,10^12,OFFSET(CRONOPLE!$F$15,$M181-$A$15,BV$13)))</f>
        <v>4</v>
      </c>
      <c r="BW181" s="353" t="n">
        <f aca="true">IF(OR($D181&lt;&gt;"Serviço",AND(AUTOEVENTO="Manual",$M181=$A$15)),0,
         IF(OFFSET(CRONOPLE!$F$15,$M181-$A$15,BW$13)=0,10^12,OFFSET(CRONOPLE!$F$15,$M181-$A$15,BW$13)))</f>
        <v>5</v>
      </c>
      <c r="BX181" s="353" t="n">
        <f aca="true">IF(OR($D181&lt;&gt;"Serviço",AND(AUTOEVENTO="Manual",$M181=$A$15)),0,
         IF(OFFSET(CRONOPLE!$F$15,$M181-$A$15,BX$13)=0,10^12,OFFSET(CRONOPLE!$F$15,$M181-$A$15,BX$13)))</f>
        <v>6</v>
      </c>
      <c r="BY181" s="353" t="n">
        <f aca="true">IF(OR($D181&lt;&gt;"Serviço",AND(AUTOEVENTO="Manual",$M181=$A$15)),0,
         IF(OFFSET(CRONOPLE!$F$15,$M181-$A$15,BY$13)=0,10^12,OFFSET(CRONOPLE!$F$15,$M181-$A$15,BY$13)))</f>
        <v>7</v>
      </c>
      <c r="BZ181" s="353" t="n">
        <f aca="true">IF(OR($D181&lt;&gt;"Serviço",AND(AUTOEVENTO="Manual",$M181=$A$15)),0,
         IF(OFFSET(CRONOPLE!$F$15,$M181-$A$15,BZ$13)=0,10^12,OFFSET(CRONOPLE!$F$15,$M181-$A$15,BZ$13)))</f>
        <v>8</v>
      </c>
      <c r="CA181" s="353" t="n">
        <f aca="true">IF(OR($D181&lt;&gt;"Serviço",AND(AUTOEVENTO="Manual",$M181=$A$15)),0,
         IF(OFFSET(CRONOPLE!$F$15,$M181-$A$15,CA$13)=0,10^12,OFFSET(CRONOPLE!$F$15,$M181-$A$15,CA$13)))</f>
        <v>9</v>
      </c>
      <c r="CB181" s="353" t="n">
        <f aca="true">IF(OR($D181&lt;&gt;"Serviço",AND(AUTOEVENTO="Manual",$M181=$A$15)),0,
         IF(OFFSET(CRONOPLE!$F$15,$M181-$A$15,CB$13)=0,10^12,OFFSET(CRONOPLE!$F$15,$M181-$A$15,CB$13)))</f>
        <v>10</v>
      </c>
      <c r="CC181" s="353" t="n">
        <f aca="true">IF(OR($D181&lt;&gt;"Serviço",AND(AUTOEVENTO="Manual",$M181=$A$15)),0,
         IF(OFFSET(CRONOPLE!$F$15,$M181-$A$15,CC$13)=0,10^12,OFFSET(CRONOPLE!$F$15,$M181-$A$15,CC$13)))</f>
        <v>11</v>
      </c>
      <c r="CD181" s="353" t="n">
        <f aca="true">IF(OR($D181&lt;&gt;"Serviço",AND(AUTOEVENTO="Manual",$M181=$A$15)),0,
         IF(OFFSET(CRONOPLE!$F$15,$M181-$A$15,CD$13)=0,10^12,OFFSET(CRONOPLE!$F$15,$M181-$A$15,CD$13)))</f>
        <v>12</v>
      </c>
      <c r="CE181" s="353" t="n">
        <f aca="true">IF(OR($D181&lt;&gt;"Serviço",AND(AUTOEVENTO="Manual",$M181=$A$15)),0,
         IF(OFFSET(CRONOPLE!$F$15,$M181-$A$15,CE$13)=0,10^12,OFFSET(CRONOPLE!$F$15,$M181-$A$15,CE$13)))</f>
        <v>13</v>
      </c>
      <c r="CF181" s="353" t="n">
        <f aca="true">IF(OR($D181&lt;&gt;"Serviço",AND(AUTOEVENTO="Manual",$M181=$A$15)),0,
         IF(OFFSET(CRONOPLE!$F$15,$M181-$A$15,CF$13)=0,10^12,OFFSET(CRONOPLE!$F$15,$M181-$A$15,CF$13)))</f>
        <v>14</v>
      </c>
      <c r="CG181" s="353" t="n">
        <f aca="true">IF(OR($D181&lt;&gt;"Serviço",AND(AUTOEVENTO="Manual",$M181=$A$15)),0,
         IF(OFFSET(CRONOPLE!$F$15,$M181-$A$15,CG$13)=0,10^12,OFFSET(CRONOPLE!$F$15,$M181-$A$15,CG$13)))</f>
        <v>15</v>
      </c>
      <c r="CH181" s="353" t="n">
        <f aca="true">IF(OR($D181&lt;&gt;"Serviço",AND(AUTOEVENTO="Manual",$M181=$A$15)),0,
         IF(OFFSET(CRONOPLE!$F$15,$M181-$A$15,CH$13)=0,10^12,OFFSET(CRONOPLE!$F$15,$M181-$A$15,CH$13)))</f>
        <v>16</v>
      </c>
      <c r="CI181" s="353" t="n">
        <f aca="true">IF(OR($D181&lt;&gt;"Serviço",AND(AUTOEVENTO="Manual",$M181=$A$15)),0,
         IF(OFFSET(CRONOPLE!$F$15,$M181-$A$15,CI$13)=0,10^12,OFFSET(CRONOPLE!$F$15,$M181-$A$15,CI$13)))</f>
        <v>17</v>
      </c>
      <c r="CJ181" s="353" t="n">
        <f aca="true">IF(OR($D181&lt;&gt;"Serviço",AND(AUTOEVENTO="Manual",$M181=$A$15)),0,
         IF(OFFSET(CRONOPLE!$F$15,$M181-$A$15,CJ$13)=0,10^12,OFFSET(CRONOPLE!$F$15,$M181-$A$15,CJ$13)))</f>
        <v>18</v>
      </c>
      <c r="CK181" s="353" t="n">
        <f aca="true">IF(OR($D181&lt;&gt;"Serviço",AND(AUTOEVENTO="Manual",$M181=$A$15)),0,
         IF(OFFSET(CRONOPLE!$F$15,$M181-$A$15,CK$13)=0,10^12,OFFSET(CRONOPLE!$F$15,$M181-$A$15,CK$13)))</f>
        <v>19</v>
      </c>
      <c r="CL181" s="353" t="n">
        <f aca="true">IF(OR($D181&lt;&gt;"Serviço",AND(AUTOEVENTO="Manual",$M181=$A$15)),0,
         IF(OFFSET(CRONOPLE!$F$15,$M181-$A$15,CL$13)=0,10^12,OFFSET(CRONOPLE!$F$15,$M181-$A$15,CL$13)))</f>
        <v>20</v>
      </c>
      <c r="CM181" s="353" t="n">
        <f aca="true">IF(OR($D181&lt;&gt;"Serviço",AND(AUTOEVENTO="Manual",$M181=$A$15)),0,
         IF(OFFSET(CRONOPLE!$F$15,$M181-$A$15,CM$13)=0,10^12,OFFSET(CRONOPLE!$F$15,$M181-$A$15,CM$13)))</f>
        <v>21</v>
      </c>
      <c r="CN181" s="353" t="n">
        <f aca="true">IF(OR($D181&lt;&gt;"Serviço",AND(AUTOEVENTO="Manual",$M181=$A$15)),0,
         IF(OFFSET(CRONOPLE!$F$15,$M181-$A$15,CN$13)=0,10^12,OFFSET(CRONOPLE!$F$15,$M181-$A$15,CN$13)))</f>
        <v>22</v>
      </c>
      <c r="CO181" s="353" t="n">
        <f aca="true">IF(OR($D181&lt;&gt;"Serviço",AND(AUTOEVENTO="Manual",$M181=$A$15)),0,
         IF(OFFSET(CRONOPLE!$F$15,$M181-$A$15,CO$13)=0,10^12,OFFSET(CRONOPLE!$F$15,$M181-$A$15,CO$13)))</f>
        <v>23</v>
      </c>
      <c r="CP181" s="353" t="n">
        <f aca="true">IF(OR($D181&lt;&gt;"Serviço",AND(AUTOEVENTO="Manual",$M181=$A$15)),0,
         IF(OFFSET(CRONOPLE!$F$15,$M181-$A$15,CP$13)=0,10^12,OFFSET(CRONOPLE!$F$15,$M181-$A$15,CP$13)))</f>
        <v>24</v>
      </c>
      <c r="CQ181" s="353" t="n">
        <f aca="true">IF(OR($D181&lt;&gt;"Serviço",AND(AUTOEVENTO="Manual",$M181=$A$15)),0,
         IF(OFFSET(CRONOPLE!$F$15,$M181-$A$15,CQ$13)=0,10^12,OFFSET(CRONOPLE!$F$15,$M181-$A$15,CQ$13)))</f>
        <v>25</v>
      </c>
      <c r="CR181" s="353" t="n">
        <f aca="true">IF(OR($D181&lt;&gt;"Serviço",AND(AUTOEVENTO="Manual",$M181=$A$15)),0,
         IF(OFFSET(CRONOPLE!$F$15,$M181-$A$15,CR$13)=0,10^12,OFFSET(CRONOPLE!$F$15,$M181-$A$15,CR$13)))</f>
        <v>1000000000000</v>
      </c>
      <c r="CT181" s="354" t="n">
        <f aca="true">IF(OR($D181&lt;&gt;"Serviço",AND(AUTOEVENTO="Manual",$M181=$A$15),$M181&gt;(ROW(PLE.lastrow)-ROW(PLE.firstrow))),0,
           IF(OFFSET(PLE!$G$15,$M181-$A$15,CT$13)="",10^12,OFFSET(PLE!$G$15,$M181-$A$15,CT$13)))</f>
        <v>1000000000000</v>
      </c>
      <c r="CU181" s="354" t="n">
        <f aca="true">IF(OR($D181&lt;&gt;"Serviço",AND(AUTOEVENTO="Manual",$M181=$A$15),$M181&gt;(ROW(PLE.lastrow)-ROW(PLE.firstrow))),0,
           IF(OFFSET(PLE!$G$15,$M181-$A$15,CU$13)="",10^12,OFFSET(PLE!$G$15,$M181-$A$15,CU$13)))</f>
        <v>1000000000000</v>
      </c>
      <c r="CV181" s="354" t="n">
        <f aca="true">IF(OR($D181&lt;&gt;"Serviço",AND(AUTOEVENTO="Manual",$M181=$A$15),$M181&gt;(ROW(PLE.lastrow)-ROW(PLE.firstrow))),0,
           IF(OFFSET(PLE!$G$15,$M181-$A$15,CV$13)="",10^12,OFFSET(PLE!$G$15,$M181-$A$15,CV$13)))</f>
        <v>1000000000000</v>
      </c>
      <c r="CW181" s="354" t="n">
        <f aca="true">IF(OR($D181&lt;&gt;"Serviço",AND(AUTOEVENTO="Manual",$M181=$A$15),$M181&gt;(ROW(PLE.lastrow)-ROW(PLE.firstrow))),0,
           IF(OFFSET(PLE!$G$15,$M181-$A$15,CW$13)="",10^12,OFFSET(PLE!$G$15,$M181-$A$15,CW$13)))</f>
        <v>1000000000000</v>
      </c>
      <c r="CX181" s="354" t="n">
        <f aca="true">IF(OR($D181&lt;&gt;"Serviço",AND(AUTOEVENTO="Manual",$M181=$A$15),$M181&gt;(ROW(PLE.lastrow)-ROW(PLE.firstrow))),0,
           IF(OFFSET(PLE!$G$15,$M181-$A$15,CX$13)="",10^12,OFFSET(PLE!$G$15,$M181-$A$15,CX$13)))</f>
        <v>1000000000000</v>
      </c>
      <c r="CY181" s="354" t="n">
        <f aca="true">IF(OR($D181&lt;&gt;"Serviço",AND(AUTOEVENTO="Manual",$M181=$A$15),$M181&gt;(ROW(PLE.lastrow)-ROW(PLE.firstrow))),0,
           IF(OFFSET(PLE!$G$15,$M181-$A$15,CY$13)="",10^12,OFFSET(PLE!$G$15,$M181-$A$15,CY$13)))</f>
        <v>1000000000000</v>
      </c>
      <c r="CZ181" s="354" t="n">
        <f aca="true">IF(OR($D181&lt;&gt;"Serviço",AND(AUTOEVENTO="Manual",$M181=$A$15),$M181&gt;(ROW(PLE.lastrow)-ROW(PLE.firstrow))),0,
           IF(OFFSET(PLE!$G$15,$M181-$A$15,CZ$13)="",10^12,OFFSET(PLE!$G$15,$M181-$A$15,CZ$13)))</f>
        <v>1000000000000</v>
      </c>
      <c r="DA181" s="354" t="n">
        <f aca="true">IF(OR($D181&lt;&gt;"Serviço",AND(AUTOEVENTO="Manual",$M181=$A$15),$M181&gt;(ROW(PLE.lastrow)-ROW(PLE.firstrow))),0,
           IF(OFFSET(PLE!$G$15,$M181-$A$15,DA$13)="",10^12,OFFSET(PLE!$G$15,$M181-$A$15,DA$13)))</f>
        <v>1000000000000</v>
      </c>
      <c r="DB181" s="354" t="n">
        <f aca="true">IF(OR($D181&lt;&gt;"Serviço",AND(AUTOEVENTO="Manual",$M181=$A$15),$M181&gt;(ROW(PLE.lastrow)-ROW(PLE.firstrow))),0,
           IF(OFFSET(PLE!$G$15,$M181-$A$15,DB$13)="",10^12,OFFSET(PLE!$G$15,$M181-$A$15,DB$13)))</f>
        <v>1000000000000</v>
      </c>
      <c r="DC181" s="354" t="n">
        <f aca="true">IF(OR($D181&lt;&gt;"Serviço",AND(AUTOEVENTO="Manual",$M181=$A$15),$M181&gt;(ROW(PLE.lastrow)-ROW(PLE.firstrow))),0,
           IF(OFFSET(PLE!$G$15,$M181-$A$15,DC$13)="",10^12,OFFSET(PLE!$G$15,$M181-$A$15,DC$13)))</f>
        <v>1000000000000</v>
      </c>
      <c r="DD181" s="354" t="n">
        <f aca="true">IF(OR($D181&lt;&gt;"Serviço",AND(AUTOEVENTO="Manual",$M181=$A$15),$M181&gt;(ROW(PLE.lastrow)-ROW(PLE.firstrow))),0,
           IF(OFFSET(PLE!$G$15,$M181-$A$15,DD$13)="",10^12,OFFSET(PLE!$G$15,$M181-$A$15,DD$13)))</f>
        <v>1000000000000</v>
      </c>
      <c r="DE181" s="354" t="n">
        <f aca="true">IF(OR($D181&lt;&gt;"Serviço",AND(AUTOEVENTO="Manual",$M181=$A$15),$M181&gt;(ROW(PLE.lastrow)-ROW(PLE.firstrow))),0,
           IF(OFFSET(PLE!$G$15,$M181-$A$15,DE$13)="",10^12,OFFSET(PLE!$G$15,$M181-$A$15,DE$13)))</f>
        <v>1000000000000</v>
      </c>
      <c r="DF181" s="354" t="n">
        <f aca="true">IF(OR($D181&lt;&gt;"Serviço",AND(AUTOEVENTO="Manual",$M181=$A$15),$M181&gt;(ROW(PLE.lastrow)-ROW(PLE.firstrow))),0,
           IF(OFFSET(PLE!$G$15,$M181-$A$15,DF$13)="",10^12,OFFSET(PLE!$G$15,$M181-$A$15,DF$13)))</f>
        <v>1000000000000</v>
      </c>
      <c r="DG181" s="354" t="n">
        <f aca="true">IF(OR($D181&lt;&gt;"Serviço",AND(AUTOEVENTO="Manual",$M181=$A$15),$M181&gt;(ROW(PLE.lastrow)-ROW(PLE.firstrow))),0,
           IF(OFFSET(PLE!$G$15,$M181-$A$15,DG$13)="",10^12,OFFSET(PLE!$G$15,$M181-$A$15,DG$13)))</f>
        <v>1000000000000</v>
      </c>
      <c r="DH181" s="354" t="n">
        <f aca="true">IF(OR($D181&lt;&gt;"Serviço",AND(AUTOEVENTO="Manual",$M181=$A$15),$M181&gt;(ROW(PLE.lastrow)-ROW(PLE.firstrow))),0,
           IF(OFFSET(PLE!$G$15,$M181-$A$15,DH$13)="",10^12,OFFSET(PLE!$G$15,$M181-$A$15,DH$13)))</f>
        <v>1000000000000</v>
      </c>
      <c r="DI181" s="354" t="n">
        <f aca="true">IF(OR($D181&lt;&gt;"Serviço",AND(AUTOEVENTO="Manual",$M181=$A$15),$M181&gt;(ROW(PLE.lastrow)-ROW(PLE.firstrow))),0,
           IF(OFFSET(PLE!$G$15,$M181-$A$15,DI$13)="",10^12,OFFSET(PLE!$G$15,$M181-$A$15,DI$13)))</f>
        <v>1000000000000</v>
      </c>
      <c r="DJ181" s="354" t="n">
        <f aca="true">IF(OR($D181&lt;&gt;"Serviço",AND(AUTOEVENTO="Manual",$M181=$A$15),$M181&gt;(ROW(PLE.lastrow)-ROW(PLE.firstrow))),0,
           IF(OFFSET(PLE!$G$15,$M181-$A$15,DJ$13)="",10^12,OFFSET(PLE!$G$15,$M181-$A$15,DJ$13)))</f>
        <v>1000000000000</v>
      </c>
      <c r="DK181" s="354" t="n">
        <f aca="true">IF(OR($D181&lt;&gt;"Serviço",AND(AUTOEVENTO="Manual",$M181=$A$15),$M181&gt;(ROW(PLE.lastrow)-ROW(PLE.firstrow))),0,
           IF(OFFSET(PLE!$G$15,$M181-$A$15,DK$13)="",10^12,OFFSET(PLE!$G$15,$M181-$A$15,DK$13)))</f>
        <v>1000000000000</v>
      </c>
      <c r="DL181" s="354" t="n">
        <f aca="true">IF(OR($D181&lt;&gt;"Serviço",AND(AUTOEVENTO="Manual",$M181=$A$15),$M181&gt;(ROW(PLE.lastrow)-ROW(PLE.firstrow))),0,
           IF(OFFSET(PLE!$G$15,$M181-$A$15,DL$13)="",10^12,OFFSET(PLE!$G$15,$M181-$A$15,DL$13)))</f>
        <v>1000000000000</v>
      </c>
      <c r="DM181" s="354" t="n">
        <f aca="true">IF(OR($D181&lt;&gt;"Serviço",AND(AUTOEVENTO="Manual",$M181=$A$15),$M181&gt;(ROW(PLE.lastrow)-ROW(PLE.firstrow))),0,
           IF(OFFSET(PLE!$G$15,$M181-$A$15,DM$13)="",10^12,OFFSET(PLE!$G$15,$M181-$A$15,DM$13)))</f>
        <v>1000000000000</v>
      </c>
      <c r="DN181" s="354" t="n">
        <f aca="true">IF(OR($D181&lt;&gt;"Serviço",AND(AUTOEVENTO="Manual",$M181=$A$15),$M181&gt;(ROW(PLE.lastrow)-ROW(PLE.firstrow))),0,
           IF(OFFSET(PLE!$G$15,$M181-$A$15,DN$13)="",10^12,OFFSET(PLE!$G$15,$M181-$A$15,DN$13)))</f>
        <v>1000000000000</v>
      </c>
      <c r="DO181" s="354" t="n">
        <f aca="true">IF(OR($D181&lt;&gt;"Serviço",AND(AUTOEVENTO="Manual",$M181=$A$15),$M181&gt;(ROW(PLE.lastrow)-ROW(PLE.firstrow))),0,
           IF(OFFSET(PLE!$G$15,$M181-$A$15,DO$13)="",10^12,OFFSET(PLE!$G$15,$M181-$A$15,DO$13)))</f>
        <v>1000000000000</v>
      </c>
      <c r="DP181" s="354" t="n">
        <f aca="true">IF(OR($D181&lt;&gt;"Serviço",AND(AUTOEVENTO="Manual",$M181=$A$15),$M181&gt;(ROW(PLE.lastrow)-ROW(PLE.firstrow))),0,
           IF(OFFSET(PLE!$G$15,$M181-$A$15,DP$13)="",10^12,OFFSET(PLE!$G$15,$M181-$A$15,DP$13)))</f>
        <v>1000000000000</v>
      </c>
      <c r="DQ181" s="354" t="n">
        <f aca="true">IF(OR($D181&lt;&gt;"Serviço",AND(AUTOEVENTO="Manual",$M181=$A$15),$M181&gt;(ROW(PLE.lastrow)-ROW(PLE.firstrow))),0,
           IF(OFFSET(PLE!$G$15,$M181-$A$15,DQ$13)="",10^12,OFFSET(PLE!$G$15,$M181-$A$15,DQ$13)))</f>
        <v>1000000000000</v>
      </c>
      <c r="DR181" s="354" t="n">
        <f aca="true">IF(OR($D181&lt;&gt;"Serviço",AND(AUTOEVENTO="Manual",$M181=$A$15),$M181&gt;(ROW(PLE.lastrow)-ROW(PLE.firstrow))),0,
           IF(OFFSET(PLE!$G$15,$M181-$A$15,DR$13)="",10^12,OFFSET(PLE!$G$15,$M181-$A$15,DR$13)))</f>
        <v>1000000000000</v>
      </c>
      <c r="DS181" s="354" t="n">
        <f aca="true">IF(OR($D181&lt;&gt;"Serviço",AND(AUTOEVENTO="Manual",$M181=$A$15),$M181&gt;(ROW(PLE.lastrow)-ROW(PLE.firstrow))),0,
           IF(OFFSET(PLE!$G$15,$M181-$A$15,DS$13)="",10^12,OFFSET(PLE!$G$15,$M181-$A$15,DS$13)))</f>
        <v>1000000000000</v>
      </c>
    </row>
    <row r="182" customFormat="false" ht="35.05" hidden="false" customHeight="false" outlineLevel="0" collapsed="false">
      <c r="A182" s="50" t="str">
        <f aca="true">IFERROR(IF(AUTOEVENTO="Manual",IF(K182&lt;&gt;"",MIN(VALUE(LEFT(K182,FIND(".",K182)-1)),COUNTA(EVENTOS.Lista)),0),IF(OR($B182&gt;AUTOEVENTO,$B182="S",$B182=0),SUBSTITUTE(OFFSET($A182,-1,0),IF($D182="Serviço",".",""),""),ROW(A182)-ROW($A$15)&amp;".")),0)</f>
        <v>157</v>
      </c>
      <c r="B182" s="50" t="str">
        <f aca="true">OFFSET(ORÇAMENTO!C$15,ROW(B182)-ROW(B$15),0)</f>
        <v>S</v>
      </c>
      <c r="C182" s="50" t="str">
        <f aca="true">OFFSET(ORÇAMENTO!L$15,ROW(C182)-ROW(C$15),0)</f>
        <v>F</v>
      </c>
      <c r="D182" s="201" t="str">
        <f aca="true">OFFSET(ORÇAMENTO!N$15,ROW(D182)-ROW(D$15),0)</f>
        <v>Serviço</v>
      </c>
      <c r="E182" s="202" t="str">
        <f aca="true">OFFSET(ORÇAMENTO!O$15,ROW(E182)-ROW(E$15),0)</f>
        <v>1.45.10.</v>
      </c>
      <c r="F182" s="341" t="str">
        <f aca="true">OFFSET(ORÇAMENTO!R$15,ROW(F182)-ROW(F$15),0)</f>
        <v>TUBO PVC, SERIE NORMAL, ESGOTO PREDIAL, DN 50 MM, FORNECIDO E INSTALADO EM RAMAL DE DESCARGA OU RAMAL DE ESGOTO SANITÁRIO. AF_08/2022</v>
      </c>
      <c r="G182" s="342" t="str">
        <f aca="true">IF($D182&lt;&gt;"Serviço","",OFFSET(ORÇAMENTO!S$15,ROW(G182)-ROW(G$15),0))</f>
        <v>M</v>
      </c>
      <c r="H182" s="207" t="n">
        <f aca="true">IF($D182&lt;&gt;"Serviço",0,IF(ACOMPANHAMENTO="BM",ROUND(OFFSET(ORÇAMENTO!AJ$15,ROW(H182)-ROW(H$15),0),15-13*ORÇAMENTO!$AF$7),SUMPRODUCT(($Q$1:$AQ$1=1)*ROUND($Q182:$AQ182,15-13*ORÇAMENTO!$AF$7))))</f>
        <v>255.25</v>
      </c>
      <c r="I182" s="343" t="s">
        <v>984</v>
      </c>
      <c r="J182" s="344" t="e">
        <f aca="false">IF(OR(B182&lt;&gt;"S",CÁLCULO.FrentesPreenchidas=0),"",IF(AND(ACOMPANHAMENTO="PLE",AUTOEVENTO="Manual",OR(H182&gt;0,ORÇAMENTO!AC182="QUANT."),OR(K182="",M182=0,N182="")),"►",IF(AND(ACOMPANHAMENTO="PLE",ORÇAMENTO!AC182="QUANT."),"►►",IF(AND(COUNTIF($P$11:$AQ$11,"▼")=0,H182&gt;0,I182=""),"◄",""))))</f>
        <v>#NAME?</v>
      </c>
      <c r="K182" s="345"/>
      <c r="L182" s="346" t="s">
        <v>876</v>
      </c>
      <c r="M182" s="347" t="n">
        <f aca="true">IF($D182&lt;&gt;"Serviço","",
          IF(AUTOEVENTO="manual",$A182,
                IF(ISERROR(MATCH($A182,$A$15:OFFSET($A182,-1,0),0)),MAX($M$15:OFFSET(M182,-1,0))+1,
                      INDEX($M$15:OFFSET(M182,-1,0),MATCH($A182,$A$15:OFFSET($A182,-1,0),0)))))</f>
        <v>28</v>
      </c>
      <c r="N182" s="348" t="str">
        <f aca="true">IF($D182&lt;&gt;"Serviço","",
         IF(AUTOEVENTO="Manual",
                IF($A182=0,"&lt;-- defina o número do agrupador",
                       OFFSET(EVENTOS!$D$15,$A182-$A$15,0)),
                OFFSET($F$15,$A182,0)))</f>
        <v>TUBULAÇÕES E CONEXÕES</v>
      </c>
      <c r="O182" s="349"/>
      <c r="Q182" s="349" t="n">
        <v>10.21</v>
      </c>
      <c r="R182" s="350" t="n">
        <v>10.21</v>
      </c>
      <c r="S182" s="350" t="n">
        <v>10.21</v>
      </c>
      <c r="T182" s="350" t="n">
        <v>10.21</v>
      </c>
      <c r="U182" s="350" t="n">
        <v>10.21</v>
      </c>
      <c r="V182" s="350" t="n">
        <v>10.21</v>
      </c>
      <c r="W182" s="350" t="n">
        <v>10.21</v>
      </c>
      <c r="X182" s="350" t="n">
        <v>10.21</v>
      </c>
      <c r="Y182" s="350" t="n">
        <v>10.21</v>
      </c>
      <c r="Z182" s="351" t="n">
        <v>10.21</v>
      </c>
      <c r="AA182" s="350" t="n">
        <v>10.21</v>
      </c>
      <c r="AB182" s="350" t="n">
        <v>10.21</v>
      </c>
      <c r="AC182" s="350" t="n">
        <v>10.21</v>
      </c>
      <c r="AD182" s="350" t="n">
        <v>10.21</v>
      </c>
      <c r="AE182" s="350" t="n">
        <v>10.21</v>
      </c>
      <c r="AF182" s="350" t="n">
        <v>10.21</v>
      </c>
      <c r="AG182" s="350" t="n">
        <v>10.21</v>
      </c>
      <c r="AH182" s="351" t="n">
        <v>10.21</v>
      </c>
      <c r="AI182" s="350" t="n">
        <v>10.21</v>
      </c>
      <c r="AJ182" s="350" t="n">
        <v>10.21</v>
      </c>
      <c r="AK182" s="350" t="n">
        <v>10.21</v>
      </c>
      <c r="AL182" s="350" t="n">
        <v>10.21</v>
      </c>
      <c r="AM182" s="350" t="n">
        <v>10.21</v>
      </c>
      <c r="AN182" s="350" t="n">
        <v>10.21</v>
      </c>
      <c r="AO182" s="350" t="n">
        <v>10.21</v>
      </c>
      <c r="AP182" s="351"/>
      <c r="AR182" s="352" t="n">
        <f aca="true">IF(AND($D182="Serviço",AR$12&lt;&gt;0,$H182&gt;0,OR(AUTOEVENTO&lt;&gt;"manual",$M182&lt;&gt;$A$15)),
        IF(Import.TipoArredondamento&lt;&gt;"TransfereGOV",
              ROUND(OFFSET($P182,0,AR$13),15-13*ORÇAMENTO!$AF$7)/$H182*OFFSET(ORÇAMENTO!$X$15,ROW(AR182)-ROW(AR$15),0),
              ROUND(ROUND(OFFSET($P182,0,AR$13),15-13*ORÇAMENTO!$AF$7)*OFFSET(ORÇAMENTO!$W$15,ROW(AR182)-ROW(AR$15),0),15-13*ORÇAMENTO!$AF$11)),
         0)</f>
        <v>358.78</v>
      </c>
      <c r="AS182" s="352" t="n">
        <f aca="true">IF(AND($D182="Serviço",AS$12&lt;&gt;0,$H182&gt;0,OR(AUTOEVENTO&lt;&gt;"manual",$M182&lt;&gt;$A$15)),
        IF(Import.TipoArredondamento&lt;&gt;"TransfereGOV",
              ROUND(OFFSET($P182,0,AS$13),15-13*ORÇAMENTO!$AF$7)/$H182*OFFSET(ORÇAMENTO!$X$15,ROW(AS182)-ROW(AS$15),0),
              ROUND(ROUND(OFFSET($P182,0,AS$13),15-13*ORÇAMENTO!$AF$7)*OFFSET(ORÇAMENTO!$W$15,ROW(AS182)-ROW(AS$15),0),15-13*ORÇAMENTO!$AF$11)),
         0)</f>
        <v>358.78</v>
      </c>
      <c r="AT182" s="352" t="n">
        <f aca="true">IF(AND($D182="Serviço",AT$12&lt;&gt;0,$H182&gt;0,OR(AUTOEVENTO&lt;&gt;"manual",$M182&lt;&gt;$A$15)),
        IF(Import.TipoArredondamento&lt;&gt;"TransfereGOV",
              ROUND(OFFSET($P182,0,AT$13),15-13*ORÇAMENTO!$AF$7)/$H182*OFFSET(ORÇAMENTO!$X$15,ROW(AT182)-ROW(AT$15),0),
              ROUND(ROUND(OFFSET($P182,0,AT$13),15-13*ORÇAMENTO!$AF$7)*OFFSET(ORÇAMENTO!$W$15,ROW(AT182)-ROW(AT$15),0),15-13*ORÇAMENTO!$AF$11)),
         0)</f>
        <v>358.78</v>
      </c>
      <c r="AU182" s="352" t="n">
        <f aca="true">IF(AND($D182="Serviço",AU$12&lt;&gt;0,$H182&gt;0,OR(AUTOEVENTO&lt;&gt;"manual",$M182&lt;&gt;$A$15)),
        IF(Import.TipoArredondamento&lt;&gt;"TransfereGOV",
              ROUND(OFFSET($P182,0,AU$13),15-13*ORÇAMENTO!$AF$7)/$H182*OFFSET(ORÇAMENTO!$X$15,ROW(AU182)-ROW(AU$15),0),
              ROUND(ROUND(OFFSET($P182,0,AU$13),15-13*ORÇAMENTO!$AF$7)*OFFSET(ORÇAMENTO!$W$15,ROW(AU182)-ROW(AU$15),0),15-13*ORÇAMENTO!$AF$11)),
         0)</f>
        <v>358.78</v>
      </c>
      <c r="AV182" s="352" t="n">
        <f aca="true">IF(AND($D182="Serviço",AV$12&lt;&gt;0,$H182&gt;0,OR(AUTOEVENTO&lt;&gt;"manual",$M182&lt;&gt;$A$15)),
        IF(Import.TipoArredondamento&lt;&gt;"TransfereGOV",
              ROUND(OFFSET($P182,0,AV$13),15-13*ORÇAMENTO!$AF$7)/$H182*OFFSET(ORÇAMENTO!$X$15,ROW(AV182)-ROW(AV$15),0),
              ROUND(ROUND(OFFSET($P182,0,AV$13),15-13*ORÇAMENTO!$AF$7)*OFFSET(ORÇAMENTO!$W$15,ROW(AV182)-ROW(AV$15),0),15-13*ORÇAMENTO!$AF$11)),
         0)</f>
        <v>358.78</v>
      </c>
      <c r="AW182" s="352" t="n">
        <f aca="true">IF(AND($D182="Serviço",AW$12&lt;&gt;0,$H182&gt;0,OR(AUTOEVENTO&lt;&gt;"manual",$M182&lt;&gt;$A$15)),
        IF(Import.TipoArredondamento&lt;&gt;"TransfereGOV",
              ROUND(OFFSET($P182,0,AW$13),15-13*ORÇAMENTO!$AF$7)/$H182*OFFSET(ORÇAMENTO!$X$15,ROW(AW182)-ROW(AW$15),0),
              ROUND(ROUND(OFFSET($P182,0,AW$13),15-13*ORÇAMENTO!$AF$7)*OFFSET(ORÇAMENTO!$W$15,ROW(AW182)-ROW(AW$15),0),15-13*ORÇAMENTO!$AF$11)),
         0)</f>
        <v>358.78</v>
      </c>
      <c r="AX182" s="352" t="n">
        <f aca="true">IF(AND($D182="Serviço",AX$12&lt;&gt;0,$H182&gt;0,OR(AUTOEVENTO&lt;&gt;"manual",$M182&lt;&gt;$A$15)),
        IF(Import.TipoArredondamento&lt;&gt;"TransfereGOV",
              ROUND(OFFSET($P182,0,AX$13),15-13*ORÇAMENTO!$AF$7)/$H182*OFFSET(ORÇAMENTO!$X$15,ROW(AX182)-ROW(AX$15),0),
              ROUND(ROUND(OFFSET($P182,0,AX$13),15-13*ORÇAMENTO!$AF$7)*OFFSET(ORÇAMENTO!$W$15,ROW(AX182)-ROW(AX$15),0),15-13*ORÇAMENTO!$AF$11)),
         0)</f>
        <v>358.78</v>
      </c>
      <c r="AY182" s="352" t="n">
        <f aca="true">IF(AND($D182="Serviço",AY$12&lt;&gt;0,$H182&gt;0,OR(AUTOEVENTO&lt;&gt;"manual",$M182&lt;&gt;$A$15)),
        IF(Import.TipoArredondamento&lt;&gt;"TransfereGOV",
              ROUND(OFFSET($P182,0,AY$13),15-13*ORÇAMENTO!$AF$7)/$H182*OFFSET(ORÇAMENTO!$X$15,ROW(AY182)-ROW(AY$15),0),
              ROUND(ROUND(OFFSET($P182,0,AY$13),15-13*ORÇAMENTO!$AF$7)*OFFSET(ORÇAMENTO!$W$15,ROW(AY182)-ROW(AY$15),0),15-13*ORÇAMENTO!$AF$11)),
         0)</f>
        <v>358.78</v>
      </c>
      <c r="AZ182" s="352" t="n">
        <f aca="true">IF(AND($D182="Serviço",AZ$12&lt;&gt;0,$H182&gt;0,OR(AUTOEVENTO&lt;&gt;"manual",$M182&lt;&gt;$A$15)),
        IF(Import.TipoArredondamento&lt;&gt;"TransfereGOV",
              ROUND(OFFSET($P182,0,AZ$13),15-13*ORÇAMENTO!$AF$7)/$H182*OFFSET(ORÇAMENTO!$X$15,ROW(AZ182)-ROW(AZ$15),0),
              ROUND(ROUND(OFFSET($P182,0,AZ$13),15-13*ORÇAMENTO!$AF$7)*OFFSET(ORÇAMENTO!$W$15,ROW(AZ182)-ROW(AZ$15),0),15-13*ORÇAMENTO!$AF$11)),
         0)</f>
        <v>358.78</v>
      </c>
      <c r="BA182" s="352" t="n">
        <f aca="true">IF(AND($D182="Serviço",BA$12&lt;&gt;0,$H182&gt;0,OR(AUTOEVENTO&lt;&gt;"manual",$M182&lt;&gt;$A$15)),
        IF(Import.TipoArredondamento&lt;&gt;"TransfereGOV",
              ROUND(OFFSET($P182,0,BA$13),15-13*ORÇAMENTO!$AF$7)/$H182*OFFSET(ORÇAMENTO!$X$15,ROW(BA182)-ROW(BA$15),0),
              ROUND(ROUND(OFFSET($P182,0,BA$13),15-13*ORÇAMENTO!$AF$7)*OFFSET(ORÇAMENTO!$W$15,ROW(BA182)-ROW(BA$15),0),15-13*ORÇAMENTO!$AF$11)),
         0)</f>
        <v>358.78</v>
      </c>
      <c r="BB182" s="352" t="n">
        <f aca="true">IF(AND($D182="Serviço",BB$12&lt;&gt;0,$H182&gt;0,OR(AUTOEVENTO&lt;&gt;"manual",$M182&lt;&gt;$A$15)),
        IF(Import.TipoArredondamento&lt;&gt;"TransfereGOV",
              ROUND(OFFSET($P182,0,BB$13),15-13*ORÇAMENTO!$AF$7)/$H182*OFFSET(ORÇAMENTO!$X$15,ROW(BB182)-ROW(BB$15),0),
              ROUND(ROUND(OFFSET($P182,0,BB$13),15-13*ORÇAMENTO!$AF$7)*OFFSET(ORÇAMENTO!$W$15,ROW(BB182)-ROW(BB$15),0),15-13*ORÇAMENTO!$AF$11)),
         0)</f>
        <v>358.78</v>
      </c>
      <c r="BC182" s="352" t="n">
        <f aca="true">IF(AND($D182="Serviço",BC$12&lt;&gt;0,$H182&gt;0,OR(AUTOEVENTO&lt;&gt;"manual",$M182&lt;&gt;$A$15)),
        IF(Import.TipoArredondamento&lt;&gt;"TransfereGOV",
              ROUND(OFFSET($P182,0,BC$13),15-13*ORÇAMENTO!$AF$7)/$H182*OFFSET(ORÇAMENTO!$X$15,ROW(BC182)-ROW(BC$15),0),
              ROUND(ROUND(OFFSET($P182,0,BC$13),15-13*ORÇAMENTO!$AF$7)*OFFSET(ORÇAMENTO!$W$15,ROW(BC182)-ROW(BC$15),0),15-13*ORÇAMENTO!$AF$11)),
         0)</f>
        <v>358.78</v>
      </c>
      <c r="BD182" s="352" t="n">
        <f aca="true">IF(AND($D182="Serviço",BD$12&lt;&gt;0,$H182&gt;0,OR(AUTOEVENTO&lt;&gt;"manual",$M182&lt;&gt;$A$15)),
        IF(Import.TipoArredondamento&lt;&gt;"TransfereGOV",
              ROUND(OFFSET($P182,0,BD$13),15-13*ORÇAMENTO!$AF$7)/$H182*OFFSET(ORÇAMENTO!$X$15,ROW(BD182)-ROW(BD$15),0),
              ROUND(ROUND(OFFSET($P182,0,BD$13),15-13*ORÇAMENTO!$AF$7)*OFFSET(ORÇAMENTO!$W$15,ROW(BD182)-ROW(BD$15),0),15-13*ORÇAMENTO!$AF$11)),
         0)</f>
        <v>358.78</v>
      </c>
      <c r="BE182" s="352" t="n">
        <f aca="true">IF(AND($D182="Serviço",BE$12&lt;&gt;0,$H182&gt;0,OR(AUTOEVENTO&lt;&gt;"manual",$M182&lt;&gt;$A$15)),
        IF(Import.TipoArredondamento&lt;&gt;"TransfereGOV",
              ROUND(OFFSET($P182,0,BE$13),15-13*ORÇAMENTO!$AF$7)/$H182*OFFSET(ORÇAMENTO!$X$15,ROW(BE182)-ROW(BE$15),0),
              ROUND(ROUND(OFFSET($P182,0,BE$13),15-13*ORÇAMENTO!$AF$7)*OFFSET(ORÇAMENTO!$W$15,ROW(BE182)-ROW(BE$15),0),15-13*ORÇAMENTO!$AF$11)),
         0)</f>
        <v>358.78</v>
      </c>
      <c r="BF182" s="352" t="n">
        <f aca="true">IF(AND($D182="Serviço",BF$12&lt;&gt;0,$H182&gt;0,OR(AUTOEVENTO&lt;&gt;"manual",$M182&lt;&gt;$A$15)),
        IF(Import.TipoArredondamento&lt;&gt;"TransfereGOV",
              ROUND(OFFSET($P182,0,BF$13),15-13*ORÇAMENTO!$AF$7)/$H182*OFFSET(ORÇAMENTO!$X$15,ROW(BF182)-ROW(BF$15),0),
              ROUND(ROUND(OFFSET($P182,0,BF$13),15-13*ORÇAMENTO!$AF$7)*OFFSET(ORÇAMENTO!$W$15,ROW(BF182)-ROW(BF$15),0),15-13*ORÇAMENTO!$AF$11)),
         0)</f>
        <v>358.78</v>
      </c>
      <c r="BG182" s="352" t="n">
        <f aca="true">IF(AND($D182="Serviço",BG$12&lt;&gt;0,$H182&gt;0,OR(AUTOEVENTO&lt;&gt;"manual",$M182&lt;&gt;$A$15)),
        IF(Import.TipoArredondamento&lt;&gt;"TransfereGOV",
              ROUND(OFFSET($P182,0,BG$13),15-13*ORÇAMENTO!$AF$7)/$H182*OFFSET(ORÇAMENTO!$X$15,ROW(BG182)-ROW(BG$15),0),
              ROUND(ROUND(OFFSET($P182,0,BG$13),15-13*ORÇAMENTO!$AF$7)*OFFSET(ORÇAMENTO!$W$15,ROW(BG182)-ROW(BG$15),0),15-13*ORÇAMENTO!$AF$11)),
         0)</f>
        <v>358.78</v>
      </c>
      <c r="BH182" s="352" t="n">
        <f aca="true">IF(AND($D182="Serviço",BH$12&lt;&gt;0,$H182&gt;0,OR(AUTOEVENTO&lt;&gt;"manual",$M182&lt;&gt;$A$15)),
        IF(Import.TipoArredondamento&lt;&gt;"TransfereGOV",
              ROUND(OFFSET($P182,0,BH$13),15-13*ORÇAMENTO!$AF$7)/$H182*OFFSET(ORÇAMENTO!$X$15,ROW(BH182)-ROW(BH$15),0),
              ROUND(ROUND(OFFSET($P182,0,BH$13),15-13*ORÇAMENTO!$AF$7)*OFFSET(ORÇAMENTO!$W$15,ROW(BH182)-ROW(BH$15),0),15-13*ORÇAMENTO!$AF$11)),
         0)</f>
        <v>358.78</v>
      </c>
      <c r="BI182" s="352" t="n">
        <f aca="true">IF(AND($D182="Serviço",BI$12&lt;&gt;0,$H182&gt;0,OR(AUTOEVENTO&lt;&gt;"manual",$M182&lt;&gt;$A$15)),
        IF(Import.TipoArredondamento&lt;&gt;"TransfereGOV",
              ROUND(OFFSET($P182,0,BI$13),15-13*ORÇAMENTO!$AF$7)/$H182*OFFSET(ORÇAMENTO!$X$15,ROW(BI182)-ROW(BI$15),0),
              ROUND(ROUND(OFFSET($P182,0,BI$13),15-13*ORÇAMENTO!$AF$7)*OFFSET(ORÇAMENTO!$W$15,ROW(BI182)-ROW(BI$15),0),15-13*ORÇAMENTO!$AF$11)),
         0)</f>
        <v>358.78</v>
      </c>
      <c r="BJ182" s="352" t="n">
        <f aca="true">IF(AND($D182="Serviço",BJ$12&lt;&gt;0,$H182&gt;0,OR(AUTOEVENTO&lt;&gt;"manual",$M182&lt;&gt;$A$15)),
        IF(Import.TipoArredondamento&lt;&gt;"TransfereGOV",
              ROUND(OFFSET($P182,0,BJ$13),15-13*ORÇAMENTO!$AF$7)/$H182*OFFSET(ORÇAMENTO!$X$15,ROW(BJ182)-ROW(BJ$15),0),
              ROUND(ROUND(OFFSET($P182,0,BJ$13),15-13*ORÇAMENTO!$AF$7)*OFFSET(ORÇAMENTO!$W$15,ROW(BJ182)-ROW(BJ$15),0),15-13*ORÇAMENTO!$AF$11)),
         0)</f>
        <v>358.78</v>
      </c>
      <c r="BK182" s="352" t="n">
        <f aca="true">IF(AND($D182="Serviço",BK$12&lt;&gt;0,$H182&gt;0,OR(AUTOEVENTO&lt;&gt;"manual",$M182&lt;&gt;$A$15)),
        IF(Import.TipoArredondamento&lt;&gt;"TransfereGOV",
              ROUND(OFFSET($P182,0,BK$13),15-13*ORÇAMENTO!$AF$7)/$H182*OFFSET(ORÇAMENTO!$X$15,ROW(BK182)-ROW(BK$15),0),
              ROUND(ROUND(OFFSET($P182,0,BK$13),15-13*ORÇAMENTO!$AF$7)*OFFSET(ORÇAMENTO!$W$15,ROW(BK182)-ROW(BK$15),0),15-13*ORÇAMENTO!$AF$11)),
         0)</f>
        <v>358.78</v>
      </c>
      <c r="BL182" s="352" t="n">
        <f aca="true">IF(AND($D182="Serviço",BL$12&lt;&gt;0,$H182&gt;0,OR(AUTOEVENTO&lt;&gt;"manual",$M182&lt;&gt;$A$15)),
        IF(Import.TipoArredondamento&lt;&gt;"TransfereGOV",
              ROUND(OFFSET($P182,0,BL$13),15-13*ORÇAMENTO!$AF$7)/$H182*OFFSET(ORÇAMENTO!$X$15,ROW(BL182)-ROW(BL$15),0),
              ROUND(ROUND(OFFSET($P182,0,BL$13),15-13*ORÇAMENTO!$AF$7)*OFFSET(ORÇAMENTO!$W$15,ROW(BL182)-ROW(BL$15),0),15-13*ORÇAMENTO!$AF$11)),
         0)</f>
        <v>358.78</v>
      </c>
      <c r="BM182" s="352" t="n">
        <f aca="true">IF(AND($D182="Serviço",BM$12&lt;&gt;0,$H182&gt;0,OR(AUTOEVENTO&lt;&gt;"manual",$M182&lt;&gt;$A$15)),
        IF(Import.TipoArredondamento&lt;&gt;"TransfereGOV",
              ROUND(OFFSET($P182,0,BM$13),15-13*ORÇAMENTO!$AF$7)/$H182*OFFSET(ORÇAMENTO!$X$15,ROW(BM182)-ROW(BM$15),0),
              ROUND(ROUND(OFFSET($P182,0,BM$13),15-13*ORÇAMENTO!$AF$7)*OFFSET(ORÇAMENTO!$W$15,ROW(BM182)-ROW(BM$15),0),15-13*ORÇAMENTO!$AF$11)),
         0)</f>
        <v>358.78</v>
      </c>
      <c r="BN182" s="352" t="n">
        <f aca="true">IF(AND($D182="Serviço",BN$12&lt;&gt;0,$H182&gt;0,OR(AUTOEVENTO&lt;&gt;"manual",$M182&lt;&gt;$A$15)),
        IF(Import.TipoArredondamento&lt;&gt;"TransfereGOV",
              ROUND(OFFSET($P182,0,BN$13),15-13*ORÇAMENTO!$AF$7)/$H182*OFFSET(ORÇAMENTO!$X$15,ROW(BN182)-ROW(BN$15),0),
              ROUND(ROUND(OFFSET($P182,0,BN$13),15-13*ORÇAMENTO!$AF$7)*OFFSET(ORÇAMENTO!$W$15,ROW(BN182)-ROW(BN$15),0),15-13*ORÇAMENTO!$AF$11)),
         0)</f>
        <v>358.78</v>
      </c>
      <c r="BO182" s="352" t="n">
        <f aca="true">IF(AND($D182="Serviço",BO$12&lt;&gt;0,$H182&gt;0,OR(AUTOEVENTO&lt;&gt;"manual",$M182&lt;&gt;$A$15)),
        IF(Import.TipoArredondamento&lt;&gt;"TransfereGOV",
              ROUND(OFFSET($P182,0,BO$13),15-13*ORÇAMENTO!$AF$7)/$H182*OFFSET(ORÇAMENTO!$X$15,ROW(BO182)-ROW(BO$15),0),
              ROUND(ROUND(OFFSET($P182,0,BO$13),15-13*ORÇAMENTO!$AF$7)*OFFSET(ORÇAMENTO!$W$15,ROW(BO182)-ROW(BO$15),0),15-13*ORÇAMENTO!$AF$11)),
         0)</f>
        <v>358.78</v>
      </c>
      <c r="BP182" s="352" t="n">
        <f aca="true">IF(AND($D182="Serviço",BP$12&lt;&gt;0,$H182&gt;0,OR(AUTOEVENTO&lt;&gt;"manual",$M182&lt;&gt;$A$15)),
        IF(Import.TipoArredondamento&lt;&gt;"TransfereGOV",
              ROUND(OFFSET($P182,0,BP$13),15-13*ORÇAMENTO!$AF$7)/$H182*OFFSET(ORÇAMENTO!$X$15,ROW(BP182)-ROW(BP$15),0),
              ROUND(ROUND(OFFSET($P182,0,BP$13),15-13*ORÇAMENTO!$AF$7)*OFFSET(ORÇAMENTO!$W$15,ROW(BP182)-ROW(BP$15),0),15-13*ORÇAMENTO!$AF$11)),
         0)</f>
        <v>358.78</v>
      </c>
      <c r="BQ182" s="352" t="n">
        <f aca="true">IF(AND($D182="Serviço",BQ$12&lt;&gt;0,$H182&gt;0,OR(AUTOEVENTO&lt;&gt;"manual",$M182&lt;&gt;$A$15)),
        IF(Import.TipoArredondamento&lt;&gt;"TransfereGOV",
              ROUND(OFFSET($P182,0,BQ$13),15-13*ORÇAMENTO!$AF$7)/$H182*OFFSET(ORÇAMENTO!$X$15,ROW(BQ182)-ROW(BQ$15),0),
              ROUND(ROUND(OFFSET($P182,0,BQ$13),15-13*ORÇAMENTO!$AF$7)*OFFSET(ORÇAMENTO!$W$15,ROW(BQ182)-ROW(BQ$15),0),15-13*ORÇAMENTO!$AF$11)),
         0)</f>
        <v>0</v>
      </c>
      <c r="BS182" s="353" t="n">
        <f aca="true">IF(OR($D182&lt;&gt;"Serviço",AND(AUTOEVENTO="Manual",$M182=$A$15)),0,
         IF(OFFSET(CRONOPLE!$F$15,$M182-$A$15,BS$13)=0,10^12,OFFSET(CRONOPLE!$F$15,$M182-$A$15,BS$13)))</f>
        <v>1</v>
      </c>
      <c r="BT182" s="353" t="n">
        <f aca="true">IF(OR($D182&lt;&gt;"Serviço",AND(AUTOEVENTO="Manual",$M182=$A$15)),0,
         IF(OFFSET(CRONOPLE!$F$15,$M182-$A$15,BT$13)=0,10^12,OFFSET(CRONOPLE!$F$15,$M182-$A$15,BT$13)))</f>
        <v>2</v>
      </c>
      <c r="BU182" s="353" t="n">
        <f aca="true">IF(OR($D182&lt;&gt;"Serviço",AND(AUTOEVENTO="Manual",$M182=$A$15)),0,
         IF(OFFSET(CRONOPLE!$F$15,$M182-$A$15,BU$13)=0,10^12,OFFSET(CRONOPLE!$F$15,$M182-$A$15,BU$13)))</f>
        <v>3</v>
      </c>
      <c r="BV182" s="353" t="n">
        <f aca="true">IF(OR($D182&lt;&gt;"Serviço",AND(AUTOEVENTO="Manual",$M182=$A$15)),0,
         IF(OFFSET(CRONOPLE!$F$15,$M182-$A$15,BV$13)=0,10^12,OFFSET(CRONOPLE!$F$15,$M182-$A$15,BV$13)))</f>
        <v>4</v>
      </c>
      <c r="BW182" s="353" t="n">
        <f aca="true">IF(OR($D182&lt;&gt;"Serviço",AND(AUTOEVENTO="Manual",$M182=$A$15)),0,
         IF(OFFSET(CRONOPLE!$F$15,$M182-$A$15,BW$13)=0,10^12,OFFSET(CRONOPLE!$F$15,$M182-$A$15,BW$13)))</f>
        <v>5</v>
      </c>
      <c r="BX182" s="353" t="n">
        <f aca="true">IF(OR($D182&lt;&gt;"Serviço",AND(AUTOEVENTO="Manual",$M182=$A$15)),0,
         IF(OFFSET(CRONOPLE!$F$15,$M182-$A$15,BX$13)=0,10^12,OFFSET(CRONOPLE!$F$15,$M182-$A$15,BX$13)))</f>
        <v>6</v>
      </c>
      <c r="BY182" s="353" t="n">
        <f aca="true">IF(OR($D182&lt;&gt;"Serviço",AND(AUTOEVENTO="Manual",$M182=$A$15)),0,
         IF(OFFSET(CRONOPLE!$F$15,$M182-$A$15,BY$13)=0,10^12,OFFSET(CRONOPLE!$F$15,$M182-$A$15,BY$13)))</f>
        <v>7</v>
      </c>
      <c r="BZ182" s="353" t="n">
        <f aca="true">IF(OR($D182&lt;&gt;"Serviço",AND(AUTOEVENTO="Manual",$M182=$A$15)),0,
         IF(OFFSET(CRONOPLE!$F$15,$M182-$A$15,BZ$13)=0,10^12,OFFSET(CRONOPLE!$F$15,$M182-$A$15,BZ$13)))</f>
        <v>8</v>
      </c>
      <c r="CA182" s="353" t="n">
        <f aca="true">IF(OR($D182&lt;&gt;"Serviço",AND(AUTOEVENTO="Manual",$M182=$A$15)),0,
         IF(OFFSET(CRONOPLE!$F$15,$M182-$A$15,CA$13)=0,10^12,OFFSET(CRONOPLE!$F$15,$M182-$A$15,CA$13)))</f>
        <v>9</v>
      </c>
      <c r="CB182" s="353" t="n">
        <f aca="true">IF(OR($D182&lt;&gt;"Serviço",AND(AUTOEVENTO="Manual",$M182=$A$15)),0,
         IF(OFFSET(CRONOPLE!$F$15,$M182-$A$15,CB$13)=0,10^12,OFFSET(CRONOPLE!$F$15,$M182-$A$15,CB$13)))</f>
        <v>10</v>
      </c>
      <c r="CC182" s="353" t="n">
        <f aca="true">IF(OR($D182&lt;&gt;"Serviço",AND(AUTOEVENTO="Manual",$M182=$A$15)),0,
         IF(OFFSET(CRONOPLE!$F$15,$M182-$A$15,CC$13)=0,10^12,OFFSET(CRONOPLE!$F$15,$M182-$A$15,CC$13)))</f>
        <v>11</v>
      </c>
      <c r="CD182" s="353" t="n">
        <f aca="true">IF(OR($D182&lt;&gt;"Serviço",AND(AUTOEVENTO="Manual",$M182=$A$15)),0,
         IF(OFFSET(CRONOPLE!$F$15,$M182-$A$15,CD$13)=0,10^12,OFFSET(CRONOPLE!$F$15,$M182-$A$15,CD$13)))</f>
        <v>12</v>
      </c>
      <c r="CE182" s="353" t="n">
        <f aca="true">IF(OR($D182&lt;&gt;"Serviço",AND(AUTOEVENTO="Manual",$M182=$A$15)),0,
         IF(OFFSET(CRONOPLE!$F$15,$M182-$A$15,CE$13)=0,10^12,OFFSET(CRONOPLE!$F$15,$M182-$A$15,CE$13)))</f>
        <v>13</v>
      </c>
      <c r="CF182" s="353" t="n">
        <f aca="true">IF(OR($D182&lt;&gt;"Serviço",AND(AUTOEVENTO="Manual",$M182=$A$15)),0,
         IF(OFFSET(CRONOPLE!$F$15,$M182-$A$15,CF$13)=0,10^12,OFFSET(CRONOPLE!$F$15,$M182-$A$15,CF$13)))</f>
        <v>14</v>
      </c>
      <c r="CG182" s="353" t="n">
        <f aca="true">IF(OR($D182&lt;&gt;"Serviço",AND(AUTOEVENTO="Manual",$M182=$A$15)),0,
         IF(OFFSET(CRONOPLE!$F$15,$M182-$A$15,CG$13)=0,10^12,OFFSET(CRONOPLE!$F$15,$M182-$A$15,CG$13)))</f>
        <v>15</v>
      </c>
      <c r="CH182" s="353" t="n">
        <f aca="true">IF(OR($D182&lt;&gt;"Serviço",AND(AUTOEVENTO="Manual",$M182=$A$15)),0,
         IF(OFFSET(CRONOPLE!$F$15,$M182-$A$15,CH$13)=0,10^12,OFFSET(CRONOPLE!$F$15,$M182-$A$15,CH$13)))</f>
        <v>16</v>
      </c>
      <c r="CI182" s="353" t="n">
        <f aca="true">IF(OR($D182&lt;&gt;"Serviço",AND(AUTOEVENTO="Manual",$M182=$A$15)),0,
         IF(OFFSET(CRONOPLE!$F$15,$M182-$A$15,CI$13)=0,10^12,OFFSET(CRONOPLE!$F$15,$M182-$A$15,CI$13)))</f>
        <v>17</v>
      </c>
      <c r="CJ182" s="353" t="n">
        <f aca="true">IF(OR($D182&lt;&gt;"Serviço",AND(AUTOEVENTO="Manual",$M182=$A$15)),0,
         IF(OFFSET(CRONOPLE!$F$15,$M182-$A$15,CJ$13)=0,10^12,OFFSET(CRONOPLE!$F$15,$M182-$A$15,CJ$13)))</f>
        <v>18</v>
      </c>
      <c r="CK182" s="353" t="n">
        <f aca="true">IF(OR($D182&lt;&gt;"Serviço",AND(AUTOEVENTO="Manual",$M182=$A$15)),0,
         IF(OFFSET(CRONOPLE!$F$15,$M182-$A$15,CK$13)=0,10^12,OFFSET(CRONOPLE!$F$15,$M182-$A$15,CK$13)))</f>
        <v>19</v>
      </c>
      <c r="CL182" s="353" t="n">
        <f aca="true">IF(OR($D182&lt;&gt;"Serviço",AND(AUTOEVENTO="Manual",$M182=$A$15)),0,
         IF(OFFSET(CRONOPLE!$F$15,$M182-$A$15,CL$13)=0,10^12,OFFSET(CRONOPLE!$F$15,$M182-$A$15,CL$13)))</f>
        <v>20</v>
      </c>
      <c r="CM182" s="353" t="n">
        <f aca="true">IF(OR($D182&lt;&gt;"Serviço",AND(AUTOEVENTO="Manual",$M182=$A$15)),0,
         IF(OFFSET(CRONOPLE!$F$15,$M182-$A$15,CM$13)=0,10^12,OFFSET(CRONOPLE!$F$15,$M182-$A$15,CM$13)))</f>
        <v>21</v>
      </c>
      <c r="CN182" s="353" t="n">
        <f aca="true">IF(OR($D182&lt;&gt;"Serviço",AND(AUTOEVENTO="Manual",$M182=$A$15)),0,
         IF(OFFSET(CRONOPLE!$F$15,$M182-$A$15,CN$13)=0,10^12,OFFSET(CRONOPLE!$F$15,$M182-$A$15,CN$13)))</f>
        <v>22</v>
      </c>
      <c r="CO182" s="353" t="n">
        <f aca="true">IF(OR($D182&lt;&gt;"Serviço",AND(AUTOEVENTO="Manual",$M182=$A$15)),0,
         IF(OFFSET(CRONOPLE!$F$15,$M182-$A$15,CO$13)=0,10^12,OFFSET(CRONOPLE!$F$15,$M182-$A$15,CO$13)))</f>
        <v>23</v>
      </c>
      <c r="CP182" s="353" t="n">
        <f aca="true">IF(OR($D182&lt;&gt;"Serviço",AND(AUTOEVENTO="Manual",$M182=$A$15)),0,
         IF(OFFSET(CRONOPLE!$F$15,$M182-$A$15,CP$13)=0,10^12,OFFSET(CRONOPLE!$F$15,$M182-$A$15,CP$13)))</f>
        <v>24</v>
      </c>
      <c r="CQ182" s="353" t="n">
        <f aca="true">IF(OR($D182&lt;&gt;"Serviço",AND(AUTOEVENTO="Manual",$M182=$A$15)),0,
         IF(OFFSET(CRONOPLE!$F$15,$M182-$A$15,CQ$13)=0,10^12,OFFSET(CRONOPLE!$F$15,$M182-$A$15,CQ$13)))</f>
        <v>25</v>
      </c>
      <c r="CR182" s="353" t="n">
        <f aca="true">IF(OR($D182&lt;&gt;"Serviço",AND(AUTOEVENTO="Manual",$M182=$A$15)),0,
         IF(OFFSET(CRONOPLE!$F$15,$M182-$A$15,CR$13)=0,10^12,OFFSET(CRONOPLE!$F$15,$M182-$A$15,CR$13)))</f>
        <v>1000000000000</v>
      </c>
      <c r="CT182" s="354" t="n">
        <f aca="true">IF(OR($D182&lt;&gt;"Serviço",AND(AUTOEVENTO="Manual",$M182=$A$15),$M182&gt;(ROW(PLE.lastrow)-ROW(PLE.firstrow))),0,
           IF(OFFSET(PLE!$G$15,$M182-$A$15,CT$13)="",10^12,OFFSET(PLE!$G$15,$M182-$A$15,CT$13)))</f>
        <v>1000000000000</v>
      </c>
      <c r="CU182" s="354" t="n">
        <f aca="true">IF(OR($D182&lt;&gt;"Serviço",AND(AUTOEVENTO="Manual",$M182=$A$15),$M182&gt;(ROW(PLE.lastrow)-ROW(PLE.firstrow))),0,
           IF(OFFSET(PLE!$G$15,$M182-$A$15,CU$13)="",10^12,OFFSET(PLE!$G$15,$M182-$A$15,CU$13)))</f>
        <v>1000000000000</v>
      </c>
      <c r="CV182" s="354" t="n">
        <f aca="true">IF(OR($D182&lt;&gt;"Serviço",AND(AUTOEVENTO="Manual",$M182=$A$15),$M182&gt;(ROW(PLE.lastrow)-ROW(PLE.firstrow))),0,
           IF(OFFSET(PLE!$G$15,$M182-$A$15,CV$13)="",10^12,OFFSET(PLE!$G$15,$M182-$A$15,CV$13)))</f>
        <v>1000000000000</v>
      </c>
      <c r="CW182" s="354" t="n">
        <f aca="true">IF(OR($D182&lt;&gt;"Serviço",AND(AUTOEVENTO="Manual",$M182=$A$15),$M182&gt;(ROW(PLE.lastrow)-ROW(PLE.firstrow))),0,
           IF(OFFSET(PLE!$G$15,$M182-$A$15,CW$13)="",10^12,OFFSET(PLE!$G$15,$M182-$A$15,CW$13)))</f>
        <v>1000000000000</v>
      </c>
      <c r="CX182" s="354" t="n">
        <f aca="true">IF(OR($D182&lt;&gt;"Serviço",AND(AUTOEVENTO="Manual",$M182=$A$15),$M182&gt;(ROW(PLE.lastrow)-ROW(PLE.firstrow))),0,
           IF(OFFSET(PLE!$G$15,$M182-$A$15,CX$13)="",10^12,OFFSET(PLE!$G$15,$M182-$A$15,CX$13)))</f>
        <v>1000000000000</v>
      </c>
      <c r="CY182" s="354" t="n">
        <f aca="true">IF(OR($D182&lt;&gt;"Serviço",AND(AUTOEVENTO="Manual",$M182=$A$15),$M182&gt;(ROW(PLE.lastrow)-ROW(PLE.firstrow))),0,
           IF(OFFSET(PLE!$G$15,$M182-$A$15,CY$13)="",10^12,OFFSET(PLE!$G$15,$M182-$A$15,CY$13)))</f>
        <v>1000000000000</v>
      </c>
      <c r="CZ182" s="354" t="n">
        <f aca="true">IF(OR($D182&lt;&gt;"Serviço",AND(AUTOEVENTO="Manual",$M182=$A$15),$M182&gt;(ROW(PLE.lastrow)-ROW(PLE.firstrow))),0,
           IF(OFFSET(PLE!$G$15,$M182-$A$15,CZ$13)="",10^12,OFFSET(PLE!$G$15,$M182-$A$15,CZ$13)))</f>
        <v>1000000000000</v>
      </c>
      <c r="DA182" s="354" t="n">
        <f aca="true">IF(OR($D182&lt;&gt;"Serviço",AND(AUTOEVENTO="Manual",$M182=$A$15),$M182&gt;(ROW(PLE.lastrow)-ROW(PLE.firstrow))),0,
           IF(OFFSET(PLE!$G$15,$M182-$A$15,DA$13)="",10^12,OFFSET(PLE!$G$15,$M182-$A$15,DA$13)))</f>
        <v>1000000000000</v>
      </c>
      <c r="DB182" s="354" t="n">
        <f aca="true">IF(OR($D182&lt;&gt;"Serviço",AND(AUTOEVENTO="Manual",$M182=$A$15),$M182&gt;(ROW(PLE.lastrow)-ROW(PLE.firstrow))),0,
           IF(OFFSET(PLE!$G$15,$M182-$A$15,DB$13)="",10^12,OFFSET(PLE!$G$15,$M182-$A$15,DB$13)))</f>
        <v>1000000000000</v>
      </c>
      <c r="DC182" s="354" t="n">
        <f aca="true">IF(OR($D182&lt;&gt;"Serviço",AND(AUTOEVENTO="Manual",$M182=$A$15),$M182&gt;(ROW(PLE.lastrow)-ROW(PLE.firstrow))),0,
           IF(OFFSET(PLE!$G$15,$M182-$A$15,DC$13)="",10^12,OFFSET(PLE!$G$15,$M182-$A$15,DC$13)))</f>
        <v>1000000000000</v>
      </c>
      <c r="DD182" s="354" t="n">
        <f aca="true">IF(OR($D182&lt;&gt;"Serviço",AND(AUTOEVENTO="Manual",$M182=$A$15),$M182&gt;(ROW(PLE.lastrow)-ROW(PLE.firstrow))),0,
           IF(OFFSET(PLE!$G$15,$M182-$A$15,DD$13)="",10^12,OFFSET(PLE!$G$15,$M182-$A$15,DD$13)))</f>
        <v>1000000000000</v>
      </c>
      <c r="DE182" s="354" t="n">
        <f aca="true">IF(OR($D182&lt;&gt;"Serviço",AND(AUTOEVENTO="Manual",$M182=$A$15),$M182&gt;(ROW(PLE.lastrow)-ROW(PLE.firstrow))),0,
           IF(OFFSET(PLE!$G$15,$M182-$A$15,DE$13)="",10^12,OFFSET(PLE!$G$15,$M182-$A$15,DE$13)))</f>
        <v>1000000000000</v>
      </c>
      <c r="DF182" s="354" t="n">
        <f aca="true">IF(OR($D182&lt;&gt;"Serviço",AND(AUTOEVENTO="Manual",$M182=$A$15),$M182&gt;(ROW(PLE.lastrow)-ROW(PLE.firstrow))),0,
           IF(OFFSET(PLE!$G$15,$M182-$A$15,DF$13)="",10^12,OFFSET(PLE!$G$15,$M182-$A$15,DF$13)))</f>
        <v>1000000000000</v>
      </c>
      <c r="DG182" s="354" t="n">
        <f aca="true">IF(OR($D182&lt;&gt;"Serviço",AND(AUTOEVENTO="Manual",$M182=$A$15),$M182&gt;(ROW(PLE.lastrow)-ROW(PLE.firstrow))),0,
           IF(OFFSET(PLE!$G$15,$M182-$A$15,DG$13)="",10^12,OFFSET(PLE!$G$15,$M182-$A$15,DG$13)))</f>
        <v>1000000000000</v>
      </c>
      <c r="DH182" s="354" t="n">
        <f aca="true">IF(OR($D182&lt;&gt;"Serviço",AND(AUTOEVENTO="Manual",$M182=$A$15),$M182&gt;(ROW(PLE.lastrow)-ROW(PLE.firstrow))),0,
           IF(OFFSET(PLE!$G$15,$M182-$A$15,DH$13)="",10^12,OFFSET(PLE!$G$15,$M182-$A$15,DH$13)))</f>
        <v>1000000000000</v>
      </c>
      <c r="DI182" s="354" t="n">
        <f aca="true">IF(OR($D182&lt;&gt;"Serviço",AND(AUTOEVENTO="Manual",$M182=$A$15),$M182&gt;(ROW(PLE.lastrow)-ROW(PLE.firstrow))),0,
           IF(OFFSET(PLE!$G$15,$M182-$A$15,DI$13)="",10^12,OFFSET(PLE!$G$15,$M182-$A$15,DI$13)))</f>
        <v>1000000000000</v>
      </c>
      <c r="DJ182" s="354" t="n">
        <f aca="true">IF(OR($D182&lt;&gt;"Serviço",AND(AUTOEVENTO="Manual",$M182=$A$15),$M182&gt;(ROW(PLE.lastrow)-ROW(PLE.firstrow))),0,
           IF(OFFSET(PLE!$G$15,$M182-$A$15,DJ$13)="",10^12,OFFSET(PLE!$G$15,$M182-$A$15,DJ$13)))</f>
        <v>1000000000000</v>
      </c>
      <c r="DK182" s="354" t="n">
        <f aca="true">IF(OR($D182&lt;&gt;"Serviço",AND(AUTOEVENTO="Manual",$M182=$A$15),$M182&gt;(ROW(PLE.lastrow)-ROW(PLE.firstrow))),0,
           IF(OFFSET(PLE!$G$15,$M182-$A$15,DK$13)="",10^12,OFFSET(PLE!$G$15,$M182-$A$15,DK$13)))</f>
        <v>1000000000000</v>
      </c>
      <c r="DL182" s="354" t="n">
        <f aca="true">IF(OR($D182&lt;&gt;"Serviço",AND(AUTOEVENTO="Manual",$M182=$A$15),$M182&gt;(ROW(PLE.lastrow)-ROW(PLE.firstrow))),0,
           IF(OFFSET(PLE!$G$15,$M182-$A$15,DL$13)="",10^12,OFFSET(PLE!$G$15,$M182-$A$15,DL$13)))</f>
        <v>1000000000000</v>
      </c>
      <c r="DM182" s="354" t="n">
        <f aca="true">IF(OR($D182&lt;&gt;"Serviço",AND(AUTOEVENTO="Manual",$M182=$A$15),$M182&gt;(ROW(PLE.lastrow)-ROW(PLE.firstrow))),0,
           IF(OFFSET(PLE!$G$15,$M182-$A$15,DM$13)="",10^12,OFFSET(PLE!$G$15,$M182-$A$15,DM$13)))</f>
        <v>1000000000000</v>
      </c>
      <c r="DN182" s="354" t="n">
        <f aca="true">IF(OR($D182&lt;&gt;"Serviço",AND(AUTOEVENTO="Manual",$M182=$A$15),$M182&gt;(ROW(PLE.lastrow)-ROW(PLE.firstrow))),0,
           IF(OFFSET(PLE!$G$15,$M182-$A$15,DN$13)="",10^12,OFFSET(PLE!$G$15,$M182-$A$15,DN$13)))</f>
        <v>1000000000000</v>
      </c>
      <c r="DO182" s="354" t="n">
        <f aca="true">IF(OR($D182&lt;&gt;"Serviço",AND(AUTOEVENTO="Manual",$M182=$A$15),$M182&gt;(ROW(PLE.lastrow)-ROW(PLE.firstrow))),0,
           IF(OFFSET(PLE!$G$15,$M182-$A$15,DO$13)="",10^12,OFFSET(PLE!$G$15,$M182-$A$15,DO$13)))</f>
        <v>1000000000000</v>
      </c>
      <c r="DP182" s="354" t="n">
        <f aca="true">IF(OR($D182&lt;&gt;"Serviço",AND(AUTOEVENTO="Manual",$M182=$A$15),$M182&gt;(ROW(PLE.lastrow)-ROW(PLE.firstrow))),0,
           IF(OFFSET(PLE!$G$15,$M182-$A$15,DP$13)="",10^12,OFFSET(PLE!$G$15,$M182-$A$15,DP$13)))</f>
        <v>1000000000000</v>
      </c>
      <c r="DQ182" s="354" t="n">
        <f aca="true">IF(OR($D182&lt;&gt;"Serviço",AND(AUTOEVENTO="Manual",$M182=$A$15),$M182&gt;(ROW(PLE.lastrow)-ROW(PLE.firstrow))),0,
           IF(OFFSET(PLE!$G$15,$M182-$A$15,DQ$13)="",10^12,OFFSET(PLE!$G$15,$M182-$A$15,DQ$13)))</f>
        <v>1000000000000</v>
      </c>
      <c r="DR182" s="354" t="n">
        <f aca="true">IF(OR($D182&lt;&gt;"Serviço",AND(AUTOEVENTO="Manual",$M182=$A$15),$M182&gt;(ROW(PLE.lastrow)-ROW(PLE.firstrow))),0,
           IF(OFFSET(PLE!$G$15,$M182-$A$15,DR$13)="",10^12,OFFSET(PLE!$G$15,$M182-$A$15,DR$13)))</f>
        <v>1000000000000</v>
      </c>
      <c r="DS182" s="354" t="n">
        <f aca="true">IF(OR($D182&lt;&gt;"Serviço",AND(AUTOEVENTO="Manual",$M182=$A$15),$M182&gt;(ROW(PLE.lastrow)-ROW(PLE.firstrow))),0,
           IF(OFFSET(PLE!$G$15,$M182-$A$15,DS$13)="",10^12,OFFSET(PLE!$G$15,$M182-$A$15,DS$13)))</f>
        <v>1000000000000</v>
      </c>
    </row>
    <row r="183" customFormat="false" ht="35.05" hidden="false" customHeight="false" outlineLevel="0" collapsed="false">
      <c r="A183" s="50" t="str">
        <f aca="true">IFERROR(IF(AUTOEVENTO="Manual",IF(K183&lt;&gt;"",MIN(VALUE(LEFT(K183,FIND(".",K183)-1)),COUNTA(EVENTOS.Lista)),0),IF(OR($B183&gt;AUTOEVENTO,$B183="S",$B183=0),SUBSTITUTE(OFFSET($A183,-1,0),IF($D183="Serviço",".",""),""),ROW(A183)-ROW($A$15)&amp;".")),0)</f>
        <v>157</v>
      </c>
      <c r="B183" s="50" t="str">
        <f aca="true">OFFSET(ORÇAMENTO!C$15,ROW(B183)-ROW(B$15),0)</f>
        <v>S</v>
      </c>
      <c r="C183" s="50" t="str">
        <f aca="true">OFFSET(ORÇAMENTO!L$15,ROW(C183)-ROW(C$15),0)</f>
        <v>F</v>
      </c>
      <c r="D183" s="201" t="str">
        <f aca="true">OFFSET(ORÇAMENTO!N$15,ROW(D183)-ROW(D$15),0)</f>
        <v>Serviço</v>
      </c>
      <c r="E183" s="202" t="str">
        <f aca="true">OFFSET(ORÇAMENTO!O$15,ROW(E183)-ROW(E$15),0)</f>
        <v>1.45.11.</v>
      </c>
      <c r="F183" s="341" t="str">
        <f aca="true">OFFSET(ORÇAMENTO!R$15,ROW(F183)-ROW(F$15),0)</f>
        <v>TUBO PVC, SERIE NORMAL, ESGOTO PREDIAL, DN 50 MM, FORNECIDO E INSTALADO EM PRUMADA DE ESGOTO SANITÁRIO OU VENTILAÇÃO. AF_08/2022</v>
      </c>
      <c r="G183" s="342" t="str">
        <f aca="true">IF($D183&lt;&gt;"Serviço","",OFFSET(ORÇAMENTO!S$15,ROW(G183)-ROW(G$15),0))</f>
        <v>M</v>
      </c>
      <c r="H183" s="207" t="n">
        <f aca="true">IF($D183&lt;&gt;"Serviço",0,IF(ACOMPANHAMENTO="BM",ROUND(OFFSET(ORÇAMENTO!AJ$15,ROW(H183)-ROW(H$15),0),15-13*ORÇAMENTO!$AF$7),SUMPRODUCT(($Q$1:$AQ$1=1)*ROUND($Q183:$AQ183,15-13*ORÇAMENTO!$AF$7))))</f>
        <v>100</v>
      </c>
      <c r="I183" s="343" t="s">
        <v>977</v>
      </c>
      <c r="J183" s="344" t="e">
        <f aca="false">IF(OR(B183&lt;&gt;"S",CÁLCULO.FrentesPreenchidas=0),"",IF(AND(ACOMPANHAMENTO="PLE",AUTOEVENTO="Manual",OR(H183&gt;0,ORÇAMENTO!AC183="QUANT."),OR(K183="",M183=0,N183="")),"►",IF(AND(ACOMPANHAMENTO="PLE",ORÇAMENTO!AC183="QUANT."),"►►",IF(AND(COUNTIF($P$11:$AQ$11,"▼")=0,H183&gt;0,I183=""),"◄",""))))</f>
        <v>#NAME?</v>
      </c>
      <c r="K183" s="345"/>
      <c r="L183" s="346" t="s">
        <v>876</v>
      </c>
      <c r="M183" s="347" t="n">
        <f aca="true">IF($D183&lt;&gt;"Serviço","",
          IF(AUTOEVENTO="manual",$A183,
                IF(ISERROR(MATCH($A183,$A$15:OFFSET($A183,-1,0),0)),MAX($M$15:OFFSET(M183,-1,0))+1,
                      INDEX($M$15:OFFSET(M183,-1,0),MATCH($A183,$A$15:OFFSET($A183,-1,0),0)))))</f>
        <v>28</v>
      </c>
      <c r="N183" s="348" t="str">
        <f aca="true">IF($D183&lt;&gt;"Serviço","",
         IF(AUTOEVENTO="Manual",
                IF($A183=0,"&lt;-- defina o número do agrupador",
                       OFFSET(EVENTOS!$D$15,$A183-$A$15,0)),
                OFFSET($F$15,$A183,0)))</f>
        <v>TUBULAÇÕES E CONEXÕES</v>
      </c>
      <c r="O183" s="349"/>
      <c r="Q183" s="349" t="n">
        <v>4</v>
      </c>
      <c r="R183" s="350" t="n">
        <v>4</v>
      </c>
      <c r="S183" s="350" t="n">
        <v>4</v>
      </c>
      <c r="T183" s="350" t="n">
        <v>4</v>
      </c>
      <c r="U183" s="350" t="n">
        <v>4</v>
      </c>
      <c r="V183" s="350" t="n">
        <v>4</v>
      </c>
      <c r="W183" s="350" t="n">
        <v>4</v>
      </c>
      <c r="X183" s="350" t="n">
        <v>4</v>
      </c>
      <c r="Y183" s="350" t="n">
        <v>4</v>
      </c>
      <c r="Z183" s="351" t="n">
        <v>4</v>
      </c>
      <c r="AA183" s="350" t="n">
        <v>4</v>
      </c>
      <c r="AB183" s="350" t="n">
        <v>4</v>
      </c>
      <c r="AC183" s="350" t="n">
        <v>4</v>
      </c>
      <c r="AD183" s="350" t="n">
        <v>4</v>
      </c>
      <c r="AE183" s="350" t="n">
        <v>4</v>
      </c>
      <c r="AF183" s="350" t="n">
        <v>4</v>
      </c>
      <c r="AG183" s="350" t="n">
        <v>4</v>
      </c>
      <c r="AH183" s="351" t="n">
        <v>4</v>
      </c>
      <c r="AI183" s="350" t="n">
        <v>4</v>
      </c>
      <c r="AJ183" s="350" t="n">
        <v>4</v>
      </c>
      <c r="AK183" s="350" t="n">
        <v>4</v>
      </c>
      <c r="AL183" s="350" t="n">
        <v>4</v>
      </c>
      <c r="AM183" s="350" t="n">
        <v>4</v>
      </c>
      <c r="AN183" s="350" t="n">
        <v>4</v>
      </c>
      <c r="AO183" s="350" t="n">
        <v>4</v>
      </c>
      <c r="AP183" s="351"/>
      <c r="AR183" s="352" t="n">
        <f aca="true">IF(AND($D183="Serviço",AR$12&lt;&gt;0,$H183&gt;0,OR(AUTOEVENTO&lt;&gt;"manual",$M183&lt;&gt;$A$15)),
        IF(Import.TipoArredondamento&lt;&gt;"TransfereGOV",
              ROUND(OFFSET($P183,0,AR$13),15-13*ORÇAMENTO!$AF$7)/$H183*OFFSET(ORÇAMENTO!$X$15,ROW(AR183)-ROW(AR$15),0),
              ROUND(ROUND(OFFSET($P183,0,AR$13),15-13*ORÇAMENTO!$AF$7)*OFFSET(ORÇAMENTO!$W$15,ROW(AR183)-ROW(AR$15),0),15-13*ORÇAMENTO!$AF$11)),
         0)</f>
        <v>68.64</v>
      </c>
      <c r="AS183" s="352" t="n">
        <f aca="true">IF(AND($D183="Serviço",AS$12&lt;&gt;0,$H183&gt;0,OR(AUTOEVENTO&lt;&gt;"manual",$M183&lt;&gt;$A$15)),
        IF(Import.TipoArredondamento&lt;&gt;"TransfereGOV",
              ROUND(OFFSET($P183,0,AS$13),15-13*ORÇAMENTO!$AF$7)/$H183*OFFSET(ORÇAMENTO!$X$15,ROW(AS183)-ROW(AS$15),0),
              ROUND(ROUND(OFFSET($P183,0,AS$13),15-13*ORÇAMENTO!$AF$7)*OFFSET(ORÇAMENTO!$W$15,ROW(AS183)-ROW(AS$15),0),15-13*ORÇAMENTO!$AF$11)),
         0)</f>
        <v>68.64</v>
      </c>
      <c r="AT183" s="352" t="n">
        <f aca="true">IF(AND($D183="Serviço",AT$12&lt;&gt;0,$H183&gt;0,OR(AUTOEVENTO&lt;&gt;"manual",$M183&lt;&gt;$A$15)),
        IF(Import.TipoArredondamento&lt;&gt;"TransfereGOV",
              ROUND(OFFSET($P183,0,AT$13),15-13*ORÇAMENTO!$AF$7)/$H183*OFFSET(ORÇAMENTO!$X$15,ROW(AT183)-ROW(AT$15),0),
              ROUND(ROUND(OFFSET($P183,0,AT$13),15-13*ORÇAMENTO!$AF$7)*OFFSET(ORÇAMENTO!$W$15,ROW(AT183)-ROW(AT$15),0),15-13*ORÇAMENTO!$AF$11)),
         0)</f>
        <v>68.64</v>
      </c>
      <c r="AU183" s="352" t="n">
        <f aca="true">IF(AND($D183="Serviço",AU$12&lt;&gt;0,$H183&gt;0,OR(AUTOEVENTO&lt;&gt;"manual",$M183&lt;&gt;$A$15)),
        IF(Import.TipoArredondamento&lt;&gt;"TransfereGOV",
              ROUND(OFFSET($P183,0,AU$13),15-13*ORÇAMENTO!$AF$7)/$H183*OFFSET(ORÇAMENTO!$X$15,ROW(AU183)-ROW(AU$15),0),
              ROUND(ROUND(OFFSET($P183,0,AU$13),15-13*ORÇAMENTO!$AF$7)*OFFSET(ORÇAMENTO!$W$15,ROW(AU183)-ROW(AU$15),0),15-13*ORÇAMENTO!$AF$11)),
         0)</f>
        <v>68.64</v>
      </c>
      <c r="AV183" s="352" t="n">
        <f aca="true">IF(AND($D183="Serviço",AV$12&lt;&gt;0,$H183&gt;0,OR(AUTOEVENTO&lt;&gt;"manual",$M183&lt;&gt;$A$15)),
        IF(Import.TipoArredondamento&lt;&gt;"TransfereGOV",
              ROUND(OFFSET($P183,0,AV$13),15-13*ORÇAMENTO!$AF$7)/$H183*OFFSET(ORÇAMENTO!$X$15,ROW(AV183)-ROW(AV$15),0),
              ROUND(ROUND(OFFSET($P183,0,AV$13),15-13*ORÇAMENTO!$AF$7)*OFFSET(ORÇAMENTO!$W$15,ROW(AV183)-ROW(AV$15),0),15-13*ORÇAMENTO!$AF$11)),
         0)</f>
        <v>68.64</v>
      </c>
      <c r="AW183" s="352" t="n">
        <f aca="true">IF(AND($D183="Serviço",AW$12&lt;&gt;0,$H183&gt;0,OR(AUTOEVENTO&lt;&gt;"manual",$M183&lt;&gt;$A$15)),
        IF(Import.TipoArredondamento&lt;&gt;"TransfereGOV",
              ROUND(OFFSET($P183,0,AW$13),15-13*ORÇAMENTO!$AF$7)/$H183*OFFSET(ORÇAMENTO!$X$15,ROW(AW183)-ROW(AW$15),0),
              ROUND(ROUND(OFFSET($P183,0,AW$13),15-13*ORÇAMENTO!$AF$7)*OFFSET(ORÇAMENTO!$W$15,ROW(AW183)-ROW(AW$15),0),15-13*ORÇAMENTO!$AF$11)),
         0)</f>
        <v>68.64</v>
      </c>
      <c r="AX183" s="352" t="n">
        <f aca="true">IF(AND($D183="Serviço",AX$12&lt;&gt;0,$H183&gt;0,OR(AUTOEVENTO&lt;&gt;"manual",$M183&lt;&gt;$A$15)),
        IF(Import.TipoArredondamento&lt;&gt;"TransfereGOV",
              ROUND(OFFSET($P183,0,AX$13),15-13*ORÇAMENTO!$AF$7)/$H183*OFFSET(ORÇAMENTO!$X$15,ROW(AX183)-ROW(AX$15),0),
              ROUND(ROUND(OFFSET($P183,0,AX$13),15-13*ORÇAMENTO!$AF$7)*OFFSET(ORÇAMENTO!$W$15,ROW(AX183)-ROW(AX$15),0),15-13*ORÇAMENTO!$AF$11)),
         0)</f>
        <v>68.64</v>
      </c>
      <c r="AY183" s="352" t="n">
        <f aca="true">IF(AND($D183="Serviço",AY$12&lt;&gt;0,$H183&gt;0,OR(AUTOEVENTO&lt;&gt;"manual",$M183&lt;&gt;$A$15)),
        IF(Import.TipoArredondamento&lt;&gt;"TransfereGOV",
              ROUND(OFFSET($P183,0,AY$13),15-13*ORÇAMENTO!$AF$7)/$H183*OFFSET(ORÇAMENTO!$X$15,ROW(AY183)-ROW(AY$15),0),
              ROUND(ROUND(OFFSET($P183,0,AY$13),15-13*ORÇAMENTO!$AF$7)*OFFSET(ORÇAMENTO!$W$15,ROW(AY183)-ROW(AY$15),0),15-13*ORÇAMENTO!$AF$11)),
         0)</f>
        <v>68.64</v>
      </c>
      <c r="AZ183" s="352" t="n">
        <f aca="true">IF(AND($D183="Serviço",AZ$12&lt;&gt;0,$H183&gt;0,OR(AUTOEVENTO&lt;&gt;"manual",$M183&lt;&gt;$A$15)),
        IF(Import.TipoArredondamento&lt;&gt;"TransfereGOV",
              ROUND(OFFSET($P183,0,AZ$13),15-13*ORÇAMENTO!$AF$7)/$H183*OFFSET(ORÇAMENTO!$X$15,ROW(AZ183)-ROW(AZ$15),0),
              ROUND(ROUND(OFFSET($P183,0,AZ$13),15-13*ORÇAMENTO!$AF$7)*OFFSET(ORÇAMENTO!$W$15,ROW(AZ183)-ROW(AZ$15),0),15-13*ORÇAMENTO!$AF$11)),
         0)</f>
        <v>68.64</v>
      </c>
      <c r="BA183" s="352" t="n">
        <f aca="true">IF(AND($D183="Serviço",BA$12&lt;&gt;0,$H183&gt;0,OR(AUTOEVENTO&lt;&gt;"manual",$M183&lt;&gt;$A$15)),
        IF(Import.TipoArredondamento&lt;&gt;"TransfereGOV",
              ROUND(OFFSET($P183,0,BA$13),15-13*ORÇAMENTO!$AF$7)/$H183*OFFSET(ORÇAMENTO!$X$15,ROW(BA183)-ROW(BA$15),0),
              ROUND(ROUND(OFFSET($P183,0,BA$13),15-13*ORÇAMENTO!$AF$7)*OFFSET(ORÇAMENTO!$W$15,ROW(BA183)-ROW(BA$15),0),15-13*ORÇAMENTO!$AF$11)),
         0)</f>
        <v>68.64</v>
      </c>
      <c r="BB183" s="352" t="n">
        <f aca="true">IF(AND($D183="Serviço",BB$12&lt;&gt;0,$H183&gt;0,OR(AUTOEVENTO&lt;&gt;"manual",$M183&lt;&gt;$A$15)),
        IF(Import.TipoArredondamento&lt;&gt;"TransfereGOV",
              ROUND(OFFSET($P183,0,BB$13),15-13*ORÇAMENTO!$AF$7)/$H183*OFFSET(ORÇAMENTO!$X$15,ROW(BB183)-ROW(BB$15),0),
              ROUND(ROUND(OFFSET($P183,0,BB$13),15-13*ORÇAMENTO!$AF$7)*OFFSET(ORÇAMENTO!$W$15,ROW(BB183)-ROW(BB$15),0),15-13*ORÇAMENTO!$AF$11)),
         0)</f>
        <v>68.64</v>
      </c>
      <c r="BC183" s="352" t="n">
        <f aca="true">IF(AND($D183="Serviço",BC$12&lt;&gt;0,$H183&gt;0,OR(AUTOEVENTO&lt;&gt;"manual",$M183&lt;&gt;$A$15)),
        IF(Import.TipoArredondamento&lt;&gt;"TransfereGOV",
              ROUND(OFFSET($P183,0,BC$13),15-13*ORÇAMENTO!$AF$7)/$H183*OFFSET(ORÇAMENTO!$X$15,ROW(BC183)-ROW(BC$15),0),
              ROUND(ROUND(OFFSET($P183,0,BC$13),15-13*ORÇAMENTO!$AF$7)*OFFSET(ORÇAMENTO!$W$15,ROW(BC183)-ROW(BC$15),0),15-13*ORÇAMENTO!$AF$11)),
         0)</f>
        <v>68.64</v>
      </c>
      <c r="BD183" s="352" t="n">
        <f aca="true">IF(AND($D183="Serviço",BD$12&lt;&gt;0,$H183&gt;0,OR(AUTOEVENTO&lt;&gt;"manual",$M183&lt;&gt;$A$15)),
        IF(Import.TipoArredondamento&lt;&gt;"TransfereGOV",
              ROUND(OFFSET($P183,0,BD$13),15-13*ORÇAMENTO!$AF$7)/$H183*OFFSET(ORÇAMENTO!$X$15,ROW(BD183)-ROW(BD$15),0),
              ROUND(ROUND(OFFSET($P183,0,BD$13),15-13*ORÇAMENTO!$AF$7)*OFFSET(ORÇAMENTO!$W$15,ROW(BD183)-ROW(BD$15),0),15-13*ORÇAMENTO!$AF$11)),
         0)</f>
        <v>68.64</v>
      </c>
      <c r="BE183" s="352" t="n">
        <f aca="true">IF(AND($D183="Serviço",BE$12&lt;&gt;0,$H183&gt;0,OR(AUTOEVENTO&lt;&gt;"manual",$M183&lt;&gt;$A$15)),
        IF(Import.TipoArredondamento&lt;&gt;"TransfereGOV",
              ROUND(OFFSET($P183,0,BE$13),15-13*ORÇAMENTO!$AF$7)/$H183*OFFSET(ORÇAMENTO!$X$15,ROW(BE183)-ROW(BE$15),0),
              ROUND(ROUND(OFFSET($P183,0,BE$13),15-13*ORÇAMENTO!$AF$7)*OFFSET(ORÇAMENTO!$W$15,ROW(BE183)-ROW(BE$15),0),15-13*ORÇAMENTO!$AF$11)),
         0)</f>
        <v>68.64</v>
      </c>
      <c r="BF183" s="352" t="n">
        <f aca="true">IF(AND($D183="Serviço",BF$12&lt;&gt;0,$H183&gt;0,OR(AUTOEVENTO&lt;&gt;"manual",$M183&lt;&gt;$A$15)),
        IF(Import.TipoArredondamento&lt;&gt;"TransfereGOV",
              ROUND(OFFSET($P183,0,BF$13),15-13*ORÇAMENTO!$AF$7)/$H183*OFFSET(ORÇAMENTO!$X$15,ROW(BF183)-ROW(BF$15),0),
              ROUND(ROUND(OFFSET($P183,0,BF$13),15-13*ORÇAMENTO!$AF$7)*OFFSET(ORÇAMENTO!$W$15,ROW(BF183)-ROW(BF$15),0),15-13*ORÇAMENTO!$AF$11)),
         0)</f>
        <v>68.64</v>
      </c>
      <c r="BG183" s="352" t="n">
        <f aca="true">IF(AND($D183="Serviço",BG$12&lt;&gt;0,$H183&gt;0,OR(AUTOEVENTO&lt;&gt;"manual",$M183&lt;&gt;$A$15)),
        IF(Import.TipoArredondamento&lt;&gt;"TransfereGOV",
              ROUND(OFFSET($P183,0,BG$13),15-13*ORÇAMENTO!$AF$7)/$H183*OFFSET(ORÇAMENTO!$X$15,ROW(BG183)-ROW(BG$15),0),
              ROUND(ROUND(OFFSET($P183,0,BG$13),15-13*ORÇAMENTO!$AF$7)*OFFSET(ORÇAMENTO!$W$15,ROW(BG183)-ROW(BG$15),0),15-13*ORÇAMENTO!$AF$11)),
         0)</f>
        <v>68.64</v>
      </c>
      <c r="BH183" s="352" t="n">
        <f aca="true">IF(AND($D183="Serviço",BH$12&lt;&gt;0,$H183&gt;0,OR(AUTOEVENTO&lt;&gt;"manual",$M183&lt;&gt;$A$15)),
        IF(Import.TipoArredondamento&lt;&gt;"TransfereGOV",
              ROUND(OFFSET($P183,0,BH$13),15-13*ORÇAMENTO!$AF$7)/$H183*OFFSET(ORÇAMENTO!$X$15,ROW(BH183)-ROW(BH$15),0),
              ROUND(ROUND(OFFSET($P183,0,BH$13),15-13*ORÇAMENTO!$AF$7)*OFFSET(ORÇAMENTO!$W$15,ROW(BH183)-ROW(BH$15),0),15-13*ORÇAMENTO!$AF$11)),
         0)</f>
        <v>68.64</v>
      </c>
      <c r="BI183" s="352" t="n">
        <f aca="true">IF(AND($D183="Serviço",BI$12&lt;&gt;0,$H183&gt;0,OR(AUTOEVENTO&lt;&gt;"manual",$M183&lt;&gt;$A$15)),
        IF(Import.TipoArredondamento&lt;&gt;"TransfereGOV",
              ROUND(OFFSET($P183,0,BI$13),15-13*ORÇAMENTO!$AF$7)/$H183*OFFSET(ORÇAMENTO!$X$15,ROW(BI183)-ROW(BI$15),0),
              ROUND(ROUND(OFFSET($P183,0,BI$13),15-13*ORÇAMENTO!$AF$7)*OFFSET(ORÇAMENTO!$W$15,ROW(BI183)-ROW(BI$15),0),15-13*ORÇAMENTO!$AF$11)),
         0)</f>
        <v>68.64</v>
      </c>
      <c r="BJ183" s="352" t="n">
        <f aca="true">IF(AND($D183="Serviço",BJ$12&lt;&gt;0,$H183&gt;0,OR(AUTOEVENTO&lt;&gt;"manual",$M183&lt;&gt;$A$15)),
        IF(Import.TipoArredondamento&lt;&gt;"TransfereGOV",
              ROUND(OFFSET($P183,0,BJ$13),15-13*ORÇAMENTO!$AF$7)/$H183*OFFSET(ORÇAMENTO!$X$15,ROW(BJ183)-ROW(BJ$15),0),
              ROUND(ROUND(OFFSET($P183,0,BJ$13),15-13*ORÇAMENTO!$AF$7)*OFFSET(ORÇAMENTO!$W$15,ROW(BJ183)-ROW(BJ$15),0),15-13*ORÇAMENTO!$AF$11)),
         0)</f>
        <v>68.64</v>
      </c>
      <c r="BK183" s="352" t="n">
        <f aca="true">IF(AND($D183="Serviço",BK$12&lt;&gt;0,$H183&gt;0,OR(AUTOEVENTO&lt;&gt;"manual",$M183&lt;&gt;$A$15)),
        IF(Import.TipoArredondamento&lt;&gt;"TransfereGOV",
              ROUND(OFFSET($P183,0,BK$13),15-13*ORÇAMENTO!$AF$7)/$H183*OFFSET(ORÇAMENTO!$X$15,ROW(BK183)-ROW(BK$15),0),
              ROUND(ROUND(OFFSET($P183,0,BK$13),15-13*ORÇAMENTO!$AF$7)*OFFSET(ORÇAMENTO!$W$15,ROW(BK183)-ROW(BK$15),0),15-13*ORÇAMENTO!$AF$11)),
         0)</f>
        <v>68.64</v>
      </c>
      <c r="BL183" s="352" t="n">
        <f aca="true">IF(AND($D183="Serviço",BL$12&lt;&gt;0,$H183&gt;0,OR(AUTOEVENTO&lt;&gt;"manual",$M183&lt;&gt;$A$15)),
        IF(Import.TipoArredondamento&lt;&gt;"TransfereGOV",
              ROUND(OFFSET($P183,0,BL$13),15-13*ORÇAMENTO!$AF$7)/$H183*OFFSET(ORÇAMENTO!$X$15,ROW(BL183)-ROW(BL$15),0),
              ROUND(ROUND(OFFSET($P183,0,BL$13),15-13*ORÇAMENTO!$AF$7)*OFFSET(ORÇAMENTO!$W$15,ROW(BL183)-ROW(BL$15),0),15-13*ORÇAMENTO!$AF$11)),
         0)</f>
        <v>68.64</v>
      </c>
      <c r="BM183" s="352" t="n">
        <f aca="true">IF(AND($D183="Serviço",BM$12&lt;&gt;0,$H183&gt;0,OR(AUTOEVENTO&lt;&gt;"manual",$M183&lt;&gt;$A$15)),
        IF(Import.TipoArredondamento&lt;&gt;"TransfereGOV",
              ROUND(OFFSET($P183,0,BM$13),15-13*ORÇAMENTO!$AF$7)/$H183*OFFSET(ORÇAMENTO!$X$15,ROW(BM183)-ROW(BM$15),0),
              ROUND(ROUND(OFFSET($P183,0,BM$13),15-13*ORÇAMENTO!$AF$7)*OFFSET(ORÇAMENTO!$W$15,ROW(BM183)-ROW(BM$15),0),15-13*ORÇAMENTO!$AF$11)),
         0)</f>
        <v>68.64</v>
      </c>
      <c r="BN183" s="352" t="n">
        <f aca="true">IF(AND($D183="Serviço",BN$12&lt;&gt;0,$H183&gt;0,OR(AUTOEVENTO&lt;&gt;"manual",$M183&lt;&gt;$A$15)),
        IF(Import.TipoArredondamento&lt;&gt;"TransfereGOV",
              ROUND(OFFSET($P183,0,BN$13),15-13*ORÇAMENTO!$AF$7)/$H183*OFFSET(ORÇAMENTO!$X$15,ROW(BN183)-ROW(BN$15),0),
              ROUND(ROUND(OFFSET($P183,0,BN$13),15-13*ORÇAMENTO!$AF$7)*OFFSET(ORÇAMENTO!$W$15,ROW(BN183)-ROW(BN$15),0),15-13*ORÇAMENTO!$AF$11)),
         0)</f>
        <v>68.64</v>
      </c>
      <c r="BO183" s="352" t="n">
        <f aca="true">IF(AND($D183="Serviço",BO$12&lt;&gt;0,$H183&gt;0,OR(AUTOEVENTO&lt;&gt;"manual",$M183&lt;&gt;$A$15)),
        IF(Import.TipoArredondamento&lt;&gt;"TransfereGOV",
              ROUND(OFFSET($P183,0,BO$13),15-13*ORÇAMENTO!$AF$7)/$H183*OFFSET(ORÇAMENTO!$X$15,ROW(BO183)-ROW(BO$15),0),
              ROUND(ROUND(OFFSET($P183,0,BO$13),15-13*ORÇAMENTO!$AF$7)*OFFSET(ORÇAMENTO!$W$15,ROW(BO183)-ROW(BO$15),0),15-13*ORÇAMENTO!$AF$11)),
         0)</f>
        <v>68.64</v>
      </c>
      <c r="BP183" s="352" t="n">
        <f aca="true">IF(AND($D183="Serviço",BP$12&lt;&gt;0,$H183&gt;0,OR(AUTOEVENTO&lt;&gt;"manual",$M183&lt;&gt;$A$15)),
        IF(Import.TipoArredondamento&lt;&gt;"TransfereGOV",
              ROUND(OFFSET($P183,0,BP$13),15-13*ORÇAMENTO!$AF$7)/$H183*OFFSET(ORÇAMENTO!$X$15,ROW(BP183)-ROW(BP$15),0),
              ROUND(ROUND(OFFSET($P183,0,BP$13),15-13*ORÇAMENTO!$AF$7)*OFFSET(ORÇAMENTO!$W$15,ROW(BP183)-ROW(BP$15),0),15-13*ORÇAMENTO!$AF$11)),
         0)</f>
        <v>68.64</v>
      </c>
      <c r="BQ183" s="352" t="n">
        <f aca="true">IF(AND($D183="Serviço",BQ$12&lt;&gt;0,$H183&gt;0,OR(AUTOEVENTO&lt;&gt;"manual",$M183&lt;&gt;$A$15)),
        IF(Import.TipoArredondamento&lt;&gt;"TransfereGOV",
              ROUND(OFFSET($P183,0,BQ$13),15-13*ORÇAMENTO!$AF$7)/$H183*OFFSET(ORÇAMENTO!$X$15,ROW(BQ183)-ROW(BQ$15),0),
              ROUND(ROUND(OFFSET($P183,0,BQ$13),15-13*ORÇAMENTO!$AF$7)*OFFSET(ORÇAMENTO!$W$15,ROW(BQ183)-ROW(BQ$15),0),15-13*ORÇAMENTO!$AF$11)),
         0)</f>
        <v>0</v>
      </c>
      <c r="BS183" s="353" t="n">
        <f aca="true">IF(OR($D183&lt;&gt;"Serviço",AND(AUTOEVENTO="Manual",$M183=$A$15)),0,
         IF(OFFSET(CRONOPLE!$F$15,$M183-$A$15,BS$13)=0,10^12,OFFSET(CRONOPLE!$F$15,$M183-$A$15,BS$13)))</f>
        <v>1</v>
      </c>
      <c r="BT183" s="353" t="n">
        <f aca="true">IF(OR($D183&lt;&gt;"Serviço",AND(AUTOEVENTO="Manual",$M183=$A$15)),0,
         IF(OFFSET(CRONOPLE!$F$15,$M183-$A$15,BT$13)=0,10^12,OFFSET(CRONOPLE!$F$15,$M183-$A$15,BT$13)))</f>
        <v>2</v>
      </c>
      <c r="BU183" s="353" t="n">
        <f aca="true">IF(OR($D183&lt;&gt;"Serviço",AND(AUTOEVENTO="Manual",$M183=$A$15)),0,
         IF(OFFSET(CRONOPLE!$F$15,$M183-$A$15,BU$13)=0,10^12,OFFSET(CRONOPLE!$F$15,$M183-$A$15,BU$13)))</f>
        <v>3</v>
      </c>
      <c r="BV183" s="353" t="n">
        <f aca="true">IF(OR($D183&lt;&gt;"Serviço",AND(AUTOEVENTO="Manual",$M183=$A$15)),0,
         IF(OFFSET(CRONOPLE!$F$15,$M183-$A$15,BV$13)=0,10^12,OFFSET(CRONOPLE!$F$15,$M183-$A$15,BV$13)))</f>
        <v>4</v>
      </c>
      <c r="BW183" s="353" t="n">
        <f aca="true">IF(OR($D183&lt;&gt;"Serviço",AND(AUTOEVENTO="Manual",$M183=$A$15)),0,
         IF(OFFSET(CRONOPLE!$F$15,$M183-$A$15,BW$13)=0,10^12,OFFSET(CRONOPLE!$F$15,$M183-$A$15,BW$13)))</f>
        <v>5</v>
      </c>
      <c r="BX183" s="353" t="n">
        <f aca="true">IF(OR($D183&lt;&gt;"Serviço",AND(AUTOEVENTO="Manual",$M183=$A$15)),0,
         IF(OFFSET(CRONOPLE!$F$15,$M183-$A$15,BX$13)=0,10^12,OFFSET(CRONOPLE!$F$15,$M183-$A$15,BX$13)))</f>
        <v>6</v>
      </c>
      <c r="BY183" s="353" t="n">
        <f aca="true">IF(OR($D183&lt;&gt;"Serviço",AND(AUTOEVENTO="Manual",$M183=$A$15)),0,
         IF(OFFSET(CRONOPLE!$F$15,$M183-$A$15,BY$13)=0,10^12,OFFSET(CRONOPLE!$F$15,$M183-$A$15,BY$13)))</f>
        <v>7</v>
      </c>
      <c r="BZ183" s="353" t="n">
        <f aca="true">IF(OR($D183&lt;&gt;"Serviço",AND(AUTOEVENTO="Manual",$M183=$A$15)),0,
         IF(OFFSET(CRONOPLE!$F$15,$M183-$A$15,BZ$13)=0,10^12,OFFSET(CRONOPLE!$F$15,$M183-$A$15,BZ$13)))</f>
        <v>8</v>
      </c>
      <c r="CA183" s="353" t="n">
        <f aca="true">IF(OR($D183&lt;&gt;"Serviço",AND(AUTOEVENTO="Manual",$M183=$A$15)),0,
         IF(OFFSET(CRONOPLE!$F$15,$M183-$A$15,CA$13)=0,10^12,OFFSET(CRONOPLE!$F$15,$M183-$A$15,CA$13)))</f>
        <v>9</v>
      </c>
      <c r="CB183" s="353" t="n">
        <f aca="true">IF(OR($D183&lt;&gt;"Serviço",AND(AUTOEVENTO="Manual",$M183=$A$15)),0,
         IF(OFFSET(CRONOPLE!$F$15,$M183-$A$15,CB$13)=0,10^12,OFFSET(CRONOPLE!$F$15,$M183-$A$15,CB$13)))</f>
        <v>10</v>
      </c>
      <c r="CC183" s="353" t="n">
        <f aca="true">IF(OR($D183&lt;&gt;"Serviço",AND(AUTOEVENTO="Manual",$M183=$A$15)),0,
         IF(OFFSET(CRONOPLE!$F$15,$M183-$A$15,CC$13)=0,10^12,OFFSET(CRONOPLE!$F$15,$M183-$A$15,CC$13)))</f>
        <v>11</v>
      </c>
      <c r="CD183" s="353" t="n">
        <f aca="true">IF(OR($D183&lt;&gt;"Serviço",AND(AUTOEVENTO="Manual",$M183=$A$15)),0,
         IF(OFFSET(CRONOPLE!$F$15,$M183-$A$15,CD$13)=0,10^12,OFFSET(CRONOPLE!$F$15,$M183-$A$15,CD$13)))</f>
        <v>12</v>
      </c>
      <c r="CE183" s="353" t="n">
        <f aca="true">IF(OR($D183&lt;&gt;"Serviço",AND(AUTOEVENTO="Manual",$M183=$A$15)),0,
         IF(OFFSET(CRONOPLE!$F$15,$M183-$A$15,CE$13)=0,10^12,OFFSET(CRONOPLE!$F$15,$M183-$A$15,CE$13)))</f>
        <v>13</v>
      </c>
      <c r="CF183" s="353" t="n">
        <f aca="true">IF(OR($D183&lt;&gt;"Serviço",AND(AUTOEVENTO="Manual",$M183=$A$15)),0,
         IF(OFFSET(CRONOPLE!$F$15,$M183-$A$15,CF$13)=0,10^12,OFFSET(CRONOPLE!$F$15,$M183-$A$15,CF$13)))</f>
        <v>14</v>
      </c>
      <c r="CG183" s="353" t="n">
        <f aca="true">IF(OR($D183&lt;&gt;"Serviço",AND(AUTOEVENTO="Manual",$M183=$A$15)),0,
         IF(OFFSET(CRONOPLE!$F$15,$M183-$A$15,CG$13)=0,10^12,OFFSET(CRONOPLE!$F$15,$M183-$A$15,CG$13)))</f>
        <v>15</v>
      </c>
      <c r="CH183" s="353" t="n">
        <f aca="true">IF(OR($D183&lt;&gt;"Serviço",AND(AUTOEVENTO="Manual",$M183=$A$15)),0,
         IF(OFFSET(CRONOPLE!$F$15,$M183-$A$15,CH$13)=0,10^12,OFFSET(CRONOPLE!$F$15,$M183-$A$15,CH$13)))</f>
        <v>16</v>
      </c>
      <c r="CI183" s="353" t="n">
        <f aca="true">IF(OR($D183&lt;&gt;"Serviço",AND(AUTOEVENTO="Manual",$M183=$A$15)),0,
         IF(OFFSET(CRONOPLE!$F$15,$M183-$A$15,CI$13)=0,10^12,OFFSET(CRONOPLE!$F$15,$M183-$A$15,CI$13)))</f>
        <v>17</v>
      </c>
      <c r="CJ183" s="353" t="n">
        <f aca="true">IF(OR($D183&lt;&gt;"Serviço",AND(AUTOEVENTO="Manual",$M183=$A$15)),0,
         IF(OFFSET(CRONOPLE!$F$15,$M183-$A$15,CJ$13)=0,10^12,OFFSET(CRONOPLE!$F$15,$M183-$A$15,CJ$13)))</f>
        <v>18</v>
      </c>
      <c r="CK183" s="353" t="n">
        <f aca="true">IF(OR($D183&lt;&gt;"Serviço",AND(AUTOEVENTO="Manual",$M183=$A$15)),0,
         IF(OFFSET(CRONOPLE!$F$15,$M183-$A$15,CK$13)=0,10^12,OFFSET(CRONOPLE!$F$15,$M183-$A$15,CK$13)))</f>
        <v>19</v>
      </c>
      <c r="CL183" s="353" t="n">
        <f aca="true">IF(OR($D183&lt;&gt;"Serviço",AND(AUTOEVENTO="Manual",$M183=$A$15)),0,
         IF(OFFSET(CRONOPLE!$F$15,$M183-$A$15,CL$13)=0,10^12,OFFSET(CRONOPLE!$F$15,$M183-$A$15,CL$13)))</f>
        <v>20</v>
      </c>
      <c r="CM183" s="353" t="n">
        <f aca="true">IF(OR($D183&lt;&gt;"Serviço",AND(AUTOEVENTO="Manual",$M183=$A$15)),0,
         IF(OFFSET(CRONOPLE!$F$15,$M183-$A$15,CM$13)=0,10^12,OFFSET(CRONOPLE!$F$15,$M183-$A$15,CM$13)))</f>
        <v>21</v>
      </c>
      <c r="CN183" s="353" t="n">
        <f aca="true">IF(OR($D183&lt;&gt;"Serviço",AND(AUTOEVENTO="Manual",$M183=$A$15)),0,
         IF(OFFSET(CRONOPLE!$F$15,$M183-$A$15,CN$13)=0,10^12,OFFSET(CRONOPLE!$F$15,$M183-$A$15,CN$13)))</f>
        <v>22</v>
      </c>
      <c r="CO183" s="353" t="n">
        <f aca="true">IF(OR($D183&lt;&gt;"Serviço",AND(AUTOEVENTO="Manual",$M183=$A$15)),0,
         IF(OFFSET(CRONOPLE!$F$15,$M183-$A$15,CO$13)=0,10^12,OFFSET(CRONOPLE!$F$15,$M183-$A$15,CO$13)))</f>
        <v>23</v>
      </c>
      <c r="CP183" s="353" t="n">
        <f aca="true">IF(OR($D183&lt;&gt;"Serviço",AND(AUTOEVENTO="Manual",$M183=$A$15)),0,
         IF(OFFSET(CRONOPLE!$F$15,$M183-$A$15,CP$13)=0,10^12,OFFSET(CRONOPLE!$F$15,$M183-$A$15,CP$13)))</f>
        <v>24</v>
      </c>
      <c r="CQ183" s="353" t="n">
        <f aca="true">IF(OR($D183&lt;&gt;"Serviço",AND(AUTOEVENTO="Manual",$M183=$A$15)),0,
         IF(OFFSET(CRONOPLE!$F$15,$M183-$A$15,CQ$13)=0,10^12,OFFSET(CRONOPLE!$F$15,$M183-$A$15,CQ$13)))</f>
        <v>25</v>
      </c>
      <c r="CR183" s="353" t="n">
        <f aca="true">IF(OR($D183&lt;&gt;"Serviço",AND(AUTOEVENTO="Manual",$M183=$A$15)),0,
         IF(OFFSET(CRONOPLE!$F$15,$M183-$A$15,CR$13)=0,10^12,OFFSET(CRONOPLE!$F$15,$M183-$A$15,CR$13)))</f>
        <v>1000000000000</v>
      </c>
      <c r="CT183" s="354" t="n">
        <f aca="true">IF(OR($D183&lt;&gt;"Serviço",AND(AUTOEVENTO="Manual",$M183=$A$15),$M183&gt;(ROW(PLE.lastrow)-ROW(PLE.firstrow))),0,
           IF(OFFSET(PLE!$G$15,$M183-$A$15,CT$13)="",10^12,OFFSET(PLE!$G$15,$M183-$A$15,CT$13)))</f>
        <v>1000000000000</v>
      </c>
      <c r="CU183" s="354" t="n">
        <f aca="true">IF(OR($D183&lt;&gt;"Serviço",AND(AUTOEVENTO="Manual",$M183=$A$15),$M183&gt;(ROW(PLE.lastrow)-ROW(PLE.firstrow))),0,
           IF(OFFSET(PLE!$G$15,$M183-$A$15,CU$13)="",10^12,OFFSET(PLE!$G$15,$M183-$A$15,CU$13)))</f>
        <v>1000000000000</v>
      </c>
      <c r="CV183" s="354" t="n">
        <f aca="true">IF(OR($D183&lt;&gt;"Serviço",AND(AUTOEVENTO="Manual",$M183=$A$15),$M183&gt;(ROW(PLE.lastrow)-ROW(PLE.firstrow))),0,
           IF(OFFSET(PLE!$G$15,$M183-$A$15,CV$13)="",10^12,OFFSET(PLE!$G$15,$M183-$A$15,CV$13)))</f>
        <v>1000000000000</v>
      </c>
      <c r="CW183" s="354" t="n">
        <f aca="true">IF(OR($D183&lt;&gt;"Serviço",AND(AUTOEVENTO="Manual",$M183=$A$15),$M183&gt;(ROW(PLE.lastrow)-ROW(PLE.firstrow))),0,
           IF(OFFSET(PLE!$G$15,$M183-$A$15,CW$13)="",10^12,OFFSET(PLE!$G$15,$M183-$A$15,CW$13)))</f>
        <v>1000000000000</v>
      </c>
      <c r="CX183" s="354" t="n">
        <f aca="true">IF(OR($D183&lt;&gt;"Serviço",AND(AUTOEVENTO="Manual",$M183=$A$15),$M183&gt;(ROW(PLE.lastrow)-ROW(PLE.firstrow))),0,
           IF(OFFSET(PLE!$G$15,$M183-$A$15,CX$13)="",10^12,OFFSET(PLE!$G$15,$M183-$A$15,CX$13)))</f>
        <v>1000000000000</v>
      </c>
      <c r="CY183" s="354" t="n">
        <f aca="true">IF(OR($D183&lt;&gt;"Serviço",AND(AUTOEVENTO="Manual",$M183=$A$15),$M183&gt;(ROW(PLE.lastrow)-ROW(PLE.firstrow))),0,
           IF(OFFSET(PLE!$G$15,$M183-$A$15,CY$13)="",10^12,OFFSET(PLE!$G$15,$M183-$A$15,CY$13)))</f>
        <v>1000000000000</v>
      </c>
      <c r="CZ183" s="354" t="n">
        <f aca="true">IF(OR($D183&lt;&gt;"Serviço",AND(AUTOEVENTO="Manual",$M183=$A$15),$M183&gt;(ROW(PLE.lastrow)-ROW(PLE.firstrow))),0,
           IF(OFFSET(PLE!$G$15,$M183-$A$15,CZ$13)="",10^12,OFFSET(PLE!$G$15,$M183-$A$15,CZ$13)))</f>
        <v>1000000000000</v>
      </c>
      <c r="DA183" s="354" t="n">
        <f aca="true">IF(OR($D183&lt;&gt;"Serviço",AND(AUTOEVENTO="Manual",$M183=$A$15),$M183&gt;(ROW(PLE.lastrow)-ROW(PLE.firstrow))),0,
           IF(OFFSET(PLE!$G$15,$M183-$A$15,DA$13)="",10^12,OFFSET(PLE!$G$15,$M183-$A$15,DA$13)))</f>
        <v>1000000000000</v>
      </c>
      <c r="DB183" s="354" t="n">
        <f aca="true">IF(OR($D183&lt;&gt;"Serviço",AND(AUTOEVENTO="Manual",$M183=$A$15),$M183&gt;(ROW(PLE.lastrow)-ROW(PLE.firstrow))),0,
           IF(OFFSET(PLE!$G$15,$M183-$A$15,DB$13)="",10^12,OFFSET(PLE!$G$15,$M183-$A$15,DB$13)))</f>
        <v>1000000000000</v>
      </c>
      <c r="DC183" s="354" t="n">
        <f aca="true">IF(OR($D183&lt;&gt;"Serviço",AND(AUTOEVENTO="Manual",$M183=$A$15),$M183&gt;(ROW(PLE.lastrow)-ROW(PLE.firstrow))),0,
           IF(OFFSET(PLE!$G$15,$M183-$A$15,DC$13)="",10^12,OFFSET(PLE!$G$15,$M183-$A$15,DC$13)))</f>
        <v>1000000000000</v>
      </c>
      <c r="DD183" s="354" t="n">
        <f aca="true">IF(OR($D183&lt;&gt;"Serviço",AND(AUTOEVENTO="Manual",$M183=$A$15),$M183&gt;(ROW(PLE.lastrow)-ROW(PLE.firstrow))),0,
           IF(OFFSET(PLE!$G$15,$M183-$A$15,DD$13)="",10^12,OFFSET(PLE!$G$15,$M183-$A$15,DD$13)))</f>
        <v>1000000000000</v>
      </c>
      <c r="DE183" s="354" t="n">
        <f aca="true">IF(OR($D183&lt;&gt;"Serviço",AND(AUTOEVENTO="Manual",$M183=$A$15),$M183&gt;(ROW(PLE.lastrow)-ROW(PLE.firstrow))),0,
           IF(OFFSET(PLE!$G$15,$M183-$A$15,DE$13)="",10^12,OFFSET(PLE!$G$15,$M183-$A$15,DE$13)))</f>
        <v>1000000000000</v>
      </c>
      <c r="DF183" s="354" t="n">
        <f aca="true">IF(OR($D183&lt;&gt;"Serviço",AND(AUTOEVENTO="Manual",$M183=$A$15),$M183&gt;(ROW(PLE.lastrow)-ROW(PLE.firstrow))),0,
           IF(OFFSET(PLE!$G$15,$M183-$A$15,DF$13)="",10^12,OFFSET(PLE!$G$15,$M183-$A$15,DF$13)))</f>
        <v>1000000000000</v>
      </c>
      <c r="DG183" s="354" t="n">
        <f aca="true">IF(OR($D183&lt;&gt;"Serviço",AND(AUTOEVENTO="Manual",$M183=$A$15),$M183&gt;(ROW(PLE.lastrow)-ROW(PLE.firstrow))),0,
           IF(OFFSET(PLE!$G$15,$M183-$A$15,DG$13)="",10^12,OFFSET(PLE!$G$15,$M183-$A$15,DG$13)))</f>
        <v>1000000000000</v>
      </c>
      <c r="DH183" s="354" t="n">
        <f aca="true">IF(OR($D183&lt;&gt;"Serviço",AND(AUTOEVENTO="Manual",$M183=$A$15),$M183&gt;(ROW(PLE.lastrow)-ROW(PLE.firstrow))),0,
           IF(OFFSET(PLE!$G$15,$M183-$A$15,DH$13)="",10^12,OFFSET(PLE!$G$15,$M183-$A$15,DH$13)))</f>
        <v>1000000000000</v>
      </c>
      <c r="DI183" s="354" t="n">
        <f aca="true">IF(OR($D183&lt;&gt;"Serviço",AND(AUTOEVENTO="Manual",$M183=$A$15),$M183&gt;(ROW(PLE.lastrow)-ROW(PLE.firstrow))),0,
           IF(OFFSET(PLE!$G$15,$M183-$A$15,DI$13)="",10^12,OFFSET(PLE!$G$15,$M183-$A$15,DI$13)))</f>
        <v>1000000000000</v>
      </c>
      <c r="DJ183" s="354" t="n">
        <f aca="true">IF(OR($D183&lt;&gt;"Serviço",AND(AUTOEVENTO="Manual",$M183=$A$15),$M183&gt;(ROW(PLE.lastrow)-ROW(PLE.firstrow))),0,
           IF(OFFSET(PLE!$G$15,$M183-$A$15,DJ$13)="",10^12,OFFSET(PLE!$G$15,$M183-$A$15,DJ$13)))</f>
        <v>1000000000000</v>
      </c>
      <c r="DK183" s="354" t="n">
        <f aca="true">IF(OR($D183&lt;&gt;"Serviço",AND(AUTOEVENTO="Manual",$M183=$A$15),$M183&gt;(ROW(PLE.lastrow)-ROW(PLE.firstrow))),0,
           IF(OFFSET(PLE!$G$15,$M183-$A$15,DK$13)="",10^12,OFFSET(PLE!$G$15,$M183-$A$15,DK$13)))</f>
        <v>1000000000000</v>
      </c>
      <c r="DL183" s="354" t="n">
        <f aca="true">IF(OR($D183&lt;&gt;"Serviço",AND(AUTOEVENTO="Manual",$M183=$A$15),$M183&gt;(ROW(PLE.lastrow)-ROW(PLE.firstrow))),0,
           IF(OFFSET(PLE!$G$15,$M183-$A$15,DL$13)="",10^12,OFFSET(PLE!$G$15,$M183-$A$15,DL$13)))</f>
        <v>1000000000000</v>
      </c>
      <c r="DM183" s="354" t="n">
        <f aca="true">IF(OR($D183&lt;&gt;"Serviço",AND(AUTOEVENTO="Manual",$M183=$A$15),$M183&gt;(ROW(PLE.lastrow)-ROW(PLE.firstrow))),0,
           IF(OFFSET(PLE!$G$15,$M183-$A$15,DM$13)="",10^12,OFFSET(PLE!$G$15,$M183-$A$15,DM$13)))</f>
        <v>1000000000000</v>
      </c>
      <c r="DN183" s="354" t="n">
        <f aca="true">IF(OR($D183&lt;&gt;"Serviço",AND(AUTOEVENTO="Manual",$M183=$A$15),$M183&gt;(ROW(PLE.lastrow)-ROW(PLE.firstrow))),0,
           IF(OFFSET(PLE!$G$15,$M183-$A$15,DN$13)="",10^12,OFFSET(PLE!$G$15,$M183-$A$15,DN$13)))</f>
        <v>1000000000000</v>
      </c>
      <c r="DO183" s="354" t="n">
        <f aca="true">IF(OR($D183&lt;&gt;"Serviço",AND(AUTOEVENTO="Manual",$M183=$A$15),$M183&gt;(ROW(PLE.lastrow)-ROW(PLE.firstrow))),0,
           IF(OFFSET(PLE!$G$15,$M183-$A$15,DO$13)="",10^12,OFFSET(PLE!$G$15,$M183-$A$15,DO$13)))</f>
        <v>1000000000000</v>
      </c>
      <c r="DP183" s="354" t="n">
        <f aca="true">IF(OR($D183&lt;&gt;"Serviço",AND(AUTOEVENTO="Manual",$M183=$A$15),$M183&gt;(ROW(PLE.lastrow)-ROW(PLE.firstrow))),0,
           IF(OFFSET(PLE!$G$15,$M183-$A$15,DP$13)="",10^12,OFFSET(PLE!$G$15,$M183-$A$15,DP$13)))</f>
        <v>1000000000000</v>
      </c>
      <c r="DQ183" s="354" t="n">
        <f aca="true">IF(OR($D183&lt;&gt;"Serviço",AND(AUTOEVENTO="Manual",$M183=$A$15),$M183&gt;(ROW(PLE.lastrow)-ROW(PLE.firstrow))),0,
           IF(OFFSET(PLE!$G$15,$M183-$A$15,DQ$13)="",10^12,OFFSET(PLE!$G$15,$M183-$A$15,DQ$13)))</f>
        <v>1000000000000</v>
      </c>
      <c r="DR183" s="354" t="n">
        <f aca="true">IF(OR($D183&lt;&gt;"Serviço",AND(AUTOEVENTO="Manual",$M183=$A$15),$M183&gt;(ROW(PLE.lastrow)-ROW(PLE.firstrow))),0,
           IF(OFFSET(PLE!$G$15,$M183-$A$15,DR$13)="",10^12,OFFSET(PLE!$G$15,$M183-$A$15,DR$13)))</f>
        <v>1000000000000</v>
      </c>
      <c r="DS183" s="354" t="n">
        <f aca="true">IF(OR($D183&lt;&gt;"Serviço",AND(AUTOEVENTO="Manual",$M183=$A$15),$M183&gt;(ROW(PLE.lastrow)-ROW(PLE.firstrow))),0,
           IF(OFFSET(PLE!$G$15,$M183-$A$15,DS$13)="",10^12,OFFSET(PLE!$G$15,$M183-$A$15,DS$13)))</f>
        <v>1000000000000</v>
      </c>
    </row>
    <row r="184" customFormat="false" ht="35.05" hidden="false" customHeight="false" outlineLevel="0" collapsed="false">
      <c r="A184" s="50" t="str">
        <f aca="true">IFERROR(IF(AUTOEVENTO="Manual",IF(K184&lt;&gt;"",MIN(VALUE(LEFT(K184,FIND(".",K184)-1)),COUNTA(EVENTOS.Lista)),0),IF(OR($B184&gt;AUTOEVENTO,$B184="S",$B184=0),SUBSTITUTE(OFFSET($A184,-1,0),IF($D184="Serviço",".",""),""),ROW(A184)-ROW($A$15)&amp;".")),0)</f>
        <v>157</v>
      </c>
      <c r="B184" s="50" t="str">
        <f aca="true">OFFSET(ORÇAMENTO!C$15,ROW(B184)-ROW(B$15),0)</f>
        <v>S</v>
      </c>
      <c r="C184" s="50" t="str">
        <f aca="true">OFFSET(ORÇAMENTO!L$15,ROW(C184)-ROW(C$15),0)</f>
        <v>F</v>
      </c>
      <c r="D184" s="201" t="str">
        <f aca="true">OFFSET(ORÇAMENTO!N$15,ROW(D184)-ROW(D$15),0)</f>
        <v>Serviço</v>
      </c>
      <c r="E184" s="202" t="str">
        <f aca="true">OFFSET(ORÇAMENTO!O$15,ROW(E184)-ROW(E$15),0)</f>
        <v>1.45.12.</v>
      </c>
      <c r="F184" s="341" t="str">
        <f aca="true">OFFSET(ORÇAMENTO!R$15,ROW(F184)-ROW(F$15),0)</f>
        <v>TUBO PVC, SERIE NORMAL, ESGOTO PREDIAL, DN 100 MM, FORNECIDO E INSTALADO EM RAMAL DE DESCARGA OU RAMAL DE ESGOTO SANITÁRIO. AF_08/2022</v>
      </c>
      <c r="G184" s="342" t="str">
        <f aca="true">IF($D184&lt;&gt;"Serviço","",OFFSET(ORÇAMENTO!S$15,ROW(G184)-ROW(G$15),0))</f>
        <v>M</v>
      </c>
      <c r="H184" s="207" t="n">
        <f aca="true">IF($D184&lt;&gt;"Serviço",0,IF(ACOMPANHAMENTO="BM",ROUND(OFFSET(ORÇAMENTO!AJ$15,ROW(H184)-ROW(H$15),0),15-13*ORÇAMENTO!$AF$7),SUMPRODUCT(($Q$1:$AQ$1=1)*ROUND($Q184:$AQ184,15-13*ORÇAMENTO!$AF$7))))</f>
        <v>406.25</v>
      </c>
      <c r="I184" s="343" t="s">
        <v>985</v>
      </c>
      <c r="J184" s="344" t="e">
        <f aca="false">IF(OR(B184&lt;&gt;"S",CÁLCULO.FrentesPreenchidas=0),"",IF(AND(ACOMPANHAMENTO="PLE",AUTOEVENTO="Manual",OR(H184&gt;0,ORÇAMENTO!AC184="QUANT."),OR(K184="",M184=0,N184="")),"►",IF(AND(ACOMPANHAMENTO="PLE",ORÇAMENTO!AC184="QUANT."),"►►",IF(AND(COUNTIF($P$11:$AQ$11,"▼")=0,H184&gt;0,I184=""),"◄",""))))</f>
        <v>#NAME?</v>
      </c>
      <c r="K184" s="345"/>
      <c r="L184" s="346" t="s">
        <v>876</v>
      </c>
      <c r="M184" s="347" t="n">
        <f aca="true">IF($D184&lt;&gt;"Serviço","",
          IF(AUTOEVENTO="manual",$A184,
                IF(ISERROR(MATCH($A184,$A$15:OFFSET($A184,-1,0),0)),MAX($M$15:OFFSET(M184,-1,0))+1,
                      INDEX($M$15:OFFSET(M184,-1,0),MATCH($A184,$A$15:OFFSET($A184,-1,0),0)))))</f>
        <v>28</v>
      </c>
      <c r="N184" s="348" t="str">
        <f aca="true">IF($D184&lt;&gt;"Serviço","",
         IF(AUTOEVENTO="Manual",
                IF($A184=0,"&lt;-- defina o número do agrupador",
                       OFFSET(EVENTOS!$D$15,$A184-$A$15,0)),
                OFFSET($F$15,$A184,0)))</f>
        <v>TUBULAÇÕES E CONEXÕES</v>
      </c>
      <c r="O184" s="349"/>
      <c r="Q184" s="349" t="n">
        <v>16.25</v>
      </c>
      <c r="R184" s="350" t="n">
        <v>16.25</v>
      </c>
      <c r="S184" s="350" t="n">
        <v>16.25</v>
      </c>
      <c r="T184" s="350" t="n">
        <v>16.25</v>
      </c>
      <c r="U184" s="350" t="n">
        <v>16.25</v>
      </c>
      <c r="V184" s="350" t="n">
        <v>16.25</v>
      </c>
      <c r="W184" s="350" t="n">
        <v>16.25</v>
      </c>
      <c r="X184" s="350" t="n">
        <v>16.25</v>
      </c>
      <c r="Y184" s="350" t="n">
        <v>16.25</v>
      </c>
      <c r="Z184" s="351" t="n">
        <v>16.25</v>
      </c>
      <c r="AA184" s="350" t="n">
        <v>16.25</v>
      </c>
      <c r="AB184" s="350" t="n">
        <v>16.25</v>
      </c>
      <c r="AC184" s="350" t="n">
        <v>16.25</v>
      </c>
      <c r="AD184" s="350" t="n">
        <v>16.25</v>
      </c>
      <c r="AE184" s="350" t="n">
        <v>16.25</v>
      </c>
      <c r="AF184" s="350" t="n">
        <v>16.25</v>
      </c>
      <c r="AG184" s="350" t="n">
        <v>16.25</v>
      </c>
      <c r="AH184" s="351" t="n">
        <v>16.25</v>
      </c>
      <c r="AI184" s="350" t="n">
        <v>16.25</v>
      </c>
      <c r="AJ184" s="350" t="n">
        <v>16.25</v>
      </c>
      <c r="AK184" s="350" t="n">
        <v>16.25</v>
      </c>
      <c r="AL184" s="350" t="n">
        <v>16.25</v>
      </c>
      <c r="AM184" s="350" t="n">
        <v>16.25</v>
      </c>
      <c r="AN184" s="350" t="n">
        <v>16.25</v>
      </c>
      <c r="AO184" s="350" t="n">
        <v>16.25</v>
      </c>
      <c r="AP184" s="351"/>
      <c r="AR184" s="352" t="n">
        <f aca="true">IF(AND($D184="Serviço",AR$12&lt;&gt;0,$H184&gt;0,OR(AUTOEVENTO&lt;&gt;"manual",$M184&lt;&gt;$A$15)),
        IF(Import.TipoArredondamento&lt;&gt;"TransfereGOV",
              ROUND(OFFSET($P184,0,AR$13),15-13*ORÇAMENTO!$AF$7)/$H184*OFFSET(ORÇAMENTO!$X$15,ROW(AR184)-ROW(AR$15),0),
              ROUND(ROUND(OFFSET($P184,0,AR$13),15-13*ORÇAMENTO!$AF$7)*OFFSET(ORÇAMENTO!$W$15,ROW(AR184)-ROW(AR$15),0),15-13*ORÇAMENTO!$AF$11)),
         0)</f>
        <v>794.95</v>
      </c>
      <c r="AS184" s="352" t="n">
        <f aca="true">IF(AND($D184="Serviço",AS$12&lt;&gt;0,$H184&gt;0,OR(AUTOEVENTO&lt;&gt;"manual",$M184&lt;&gt;$A$15)),
        IF(Import.TipoArredondamento&lt;&gt;"TransfereGOV",
              ROUND(OFFSET($P184,0,AS$13),15-13*ORÇAMENTO!$AF$7)/$H184*OFFSET(ORÇAMENTO!$X$15,ROW(AS184)-ROW(AS$15),0),
              ROUND(ROUND(OFFSET($P184,0,AS$13),15-13*ORÇAMENTO!$AF$7)*OFFSET(ORÇAMENTO!$W$15,ROW(AS184)-ROW(AS$15),0),15-13*ORÇAMENTO!$AF$11)),
         0)</f>
        <v>794.95</v>
      </c>
      <c r="AT184" s="352" t="n">
        <f aca="true">IF(AND($D184="Serviço",AT$12&lt;&gt;0,$H184&gt;0,OR(AUTOEVENTO&lt;&gt;"manual",$M184&lt;&gt;$A$15)),
        IF(Import.TipoArredondamento&lt;&gt;"TransfereGOV",
              ROUND(OFFSET($P184,0,AT$13),15-13*ORÇAMENTO!$AF$7)/$H184*OFFSET(ORÇAMENTO!$X$15,ROW(AT184)-ROW(AT$15),0),
              ROUND(ROUND(OFFSET($P184,0,AT$13),15-13*ORÇAMENTO!$AF$7)*OFFSET(ORÇAMENTO!$W$15,ROW(AT184)-ROW(AT$15),0),15-13*ORÇAMENTO!$AF$11)),
         0)</f>
        <v>794.95</v>
      </c>
      <c r="AU184" s="352" t="n">
        <f aca="true">IF(AND($D184="Serviço",AU$12&lt;&gt;0,$H184&gt;0,OR(AUTOEVENTO&lt;&gt;"manual",$M184&lt;&gt;$A$15)),
        IF(Import.TipoArredondamento&lt;&gt;"TransfereGOV",
              ROUND(OFFSET($P184,0,AU$13),15-13*ORÇAMENTO!$AF$7)/$H184*OFFSET(ORÇAMENTO!$X$15,ROW(AU184)-ROW(AU$15),0),
              ROUND(ROUND(OFFSET($P184,0,AU$13),15-13*ORÇAMENTO!$AF$7)*OFFSET(ORÇAMENTO!$W$15,ROW(AU184)-ROW(AU$15),0),15-13*ORÇAMENTO!$AF$11)),
         0)</f>
        <v>794.95</v>
      </c>
      <c r="AV184" s="352" t="n">
        <f aca="true">IF(AND($D184="Serviço",AV$12&lt;&gt;0,$H184&gt;0,OR(AUTOEVENTO&lt;&gt;"manual",$M184&lt;&gt;$A$15)),
        IF(Import.TipoArredondamento&lt;&gt;"TransfereGOV",
              ROUND(OFFSET($P184,0,AV$13),15-13*ORÇAMENTO!$AF$7)/$H184*OFFSET(ORÇAMENTO!$X$15,ROW(AV184)-ROW(AV$15),0),
              ROUND(ROUND(OFFSET($P184,0,AV$13),15-13*ORÇAMENTO!$AF$7)*OFFSET(ORÇAMENTO!$W$15,ROW(AV184)-ROW(AV$15),0),15-13*ORÇAMENTO!$AF$11)),
         0)</f>
        <v>794.95</v>
      </c>
      <c r="AW184" s="352" t="n">
        <f aca="true">IF(AND($D184="Serviço",AW$12&lt;&gt;0,$H184&gt;0,OR(AUTOEVENTO&lt;&gt;"manual",$M184&lt;&gt;$A$15)),
        IF(Import.TipoArredondamento&lt;&gt;"TransfereGOV",
              ROUND(OFFSET($P184,0,AW$13),15-13*ORÇAMENTO!$AF$7)/$H184*OFFSET(ORÇAMENTO!$X$15,ROW(AW184)-ROW(AW$15),0),
              ROUND(ROUND(OFFSET($P184,0,AW$13),15-13*ORÇAMENTO!$AF$7)*OFFSET(ORÇAMENTO!$W$15,ROW(AW184)-ROW(AW$15),0),15-13*ORÇAMENTO!$AF$11)),
         0)</f>
        <v>794.95</v>
      </c>
      <c r="AX184" s="352" t="n">
        <f aca="true">IF(AND($D184="Serviço",AX$12&lt;&gt;0,$H184&gt;0,OR(AUTOEVENTO&lt;&gt;"manual",$M184&lt;&gt;$A$15)),
        IF(Import.TipoArredondamento&lt;&gt;"TransfereGOV",
              ROUND(OFFSET($P184,0,AX$13),15-13*ORÇAMENTO!$AF$7)/$H184*OFFSET(ORÇAMENTO!$X$15,ROW(AX184)-ROW(AX$15),0),
              ROUND(ROUND(OFFSET($P184,0,AX$13),15-13*ORÇAMENTO!$AF$7)*OFFSET(ORÇAMENTO!$W$15,ROW(AX184)-ROW(AX$15),0),15-13*ORÇAMENTO!$AF$11)),
         0)</f>
        <v>794.95</v>
      </c>
      <c r="AY184" s="352" t="n">
        <f aca="true">IF(AND($D184="Serviço",AY$12&lt;&gt;0,$H184&gt;0,OR(AUTOEVENTO&lt;&gt;"manual",$M184&lt;&gt;$A$15)),
        IF(Import.TipoArredondamento&lt;&gt;"TransfereGOV",
              ROUND(OFFSET($P184,0,AY$13),15-13*ORÇAMENTO!$AF$7)/$H184*OFFSET(ORÇAMENTO!$X$15,ROW(AY184)-ROW(AY$15),0),
              ROUND(ROUND(OFFSET($P184,0,AY$13),15-13*ORÇAMENTO!$AF$7)*OFFSET(ORÇAMENTO!$W$15,ROW(AY184)-ROW(AY$15),0),15-13*ORÇAMENTO!$AF$11)),
         0)</f>
        <v>794.95</v>
      </c>
      <c r="AZ184" s="352" t="n">
        <f aca="true">IF(AND($D184="Serviço",AZ$12&lt;&gt;0,$H184&gt;0,OR(AUTOEVENTO&lt;&gt;"manual",$M184&lt;&gt;$A$15)),
        IF(Import.TipoArredondamento&lt;&gt;"TransfereGOV",
              ROUND(OFFSET($P184,0,AZ$13),15-13*ORÇAMENTO!$AF$7)/$H184*OFFSET(ORÇAMENTO!$X$15,ROW(AZ184)-ROW(AZ$15),0),
              ROUND(ROUND(OFFSET($P184,0,AZ$13),15-13*ORÇAMENTO!$AF$7)*OFFSET(ORÇAMENTO!$W$15,ROW(AZ184)-ROW(AZ$15),0),15-13*ORÇAMENTO!$AF$11)),
         0)</f>
        <v>794.95</v>
      </c>
      <c r="BA184" s="352" t="n">
        <f aca="true">IF(AND($D184="Serviço",BA$12&lt;&gt;0,$H184&gt;0,OR(AUTOEVENTO&lt;&gt;"manual",$M184&lt;&gt;$A$15)),
        IF(Import.TipoArredondamento&lt;&gt;"TransfereGOV",
              ROUND(OFFSET($P184,0,BA$13),15-13*ORÇAMENTO!$AF$7)/$H184*OFFSET(ORÇAMENTO!$X$15,ROW(BA184)-ROW(BA$15),0),
              ROUND(ROUND(OFFSET($P184,0,BA$13),15-13*ORÇAMENTO!$AF$7)*OFFSET(ORÇAMENTO!$W$15,ROW(BA184)-ROW(BA$15),0),15-13*ORÇAMENTO!$AF$11)),
         0)</f>
        <v>794.95</v>
      </c>
      <c r="BB184" s="352" t="n">
        <f aca="true">IF(AND($D184="Serviço",BB$12&lt;&gt;0,$H184&gt;0,OR(AUTOEVENTO&lt;&gt;"manual",$M184&lt;&gt;$A$15)),
        IF(Import.TipoArredondamento&lt;&gt;"TransfereGOV",
              ROUND(OFFSET($P184,0,BB$13),15-13*ORÇAMENTO!$AF$7)/$H184*OFFSET(ORÇAMENTO!$X$15,ROW(BB184)-ROW(BB$15),0),
              ROUND(ROUND(OFFSET($P184,0,BB$13),15-13*ORÇAMENTO!$AF$7)*OFFSET(ORÇAMENTO!$W$15,ROW(BB184)-ROW(BB$15),0),15-13*ORÇAMENTO!$AF$11)),
         0)</f>
        <v>794.95</v>
      </c>
      <c r="BC184" s="352" t="n">
        <f aca="true">IF(AND($D184="Serviço",BC$12&lt;&gt;0,$H184&gt;0,OR(AUTOEVENTO&lt;&gt;"manual",$M184&lt;&gt;$A$15)),
        IF(Import.TipoArredondamento&lt;&gt;"TransfereGOV",
              ROUND(OFFSET($P184,0,BC$13),15-13*ORÇAMENTO!$AF$7)/$H184*OFFSET(ORÇAMENTO!$X$15,ROW(BC184)-ROW(BC$15),0),
              ROUND(ROUND(OFFSET($P184,0,BC$13),15-13*ORÇAMENTO!$AF$7)*OFFSET(ORÇAMENTO!$W$15,ROW(BC184)-ROW(BC$15),0),15-13*ORÇAMENTO!$AF$11)),
         0)</f>
        <v>794.95</v>
      </c>
      <c r="BD184" s="352" t="n">
        <f aca="true">IF(AND($D184="Serviço",BD$12&lt;&gt;0,$H184&gt;0,OR(AUTOEVENTO&lt;&gt;"manual",$M184&lt;&gt;$A$15)),
        IF(Import.TipoArredondamento&lt;&gt;"TransfereGOV",
              ROUND(OFFSET($P184,0,BD$13),15-13*ORÇAMENTO!$AF$7)/$H184*OFFSET(ORÇAMENTO!$X$15,ROW(BD184)-ROW(BD$15),0),
              ROUND(ROUND(OFFSET($P184,0,BD$13),15-13*ORÇAMENTO!$AF$7)*OFFSET(ORÇAMENTO!$W$15,ROW(BD184)-ROW(BD$15),0),15-13*ORÇAMENTO!$AF$11)),
         0)</f>
        <v>794.95</v>
      </c>
      <c r="BE184" s="352" t="n">
        <f aca="true">IF(AND($D184="Serviço",BE$12&lt;&gt;0,$H184&gt;0,OR(AUTOEVENTO&lt;&gt;"manual",$M184&lt;&gt;$A$15)),
        IF(Import.TipoArredondamento&lt;&gt;"TransfereGOV",
              ROUND(OFFSET($P184,0,BE$13),15-13*ORÇAMENTO!$AF$7)/$H184*OFFSET(ORÇAMENTO!$X$15,ROW(BE184)-ROW(BE$15),0),
              ROUND(ROUND(OFFSET($P184,0,BE$13),15-13*ORÇAMENTO!$AF$7)*OFFSET(ORÇAMENTO!$W$15,ROW(BE184)-ROW(BE$15),0),15-13*ORÇAMENTO!$AF$11)),
         0)</f>
        <v>794.95</v>
      </c>
      <c r="BF184" s="352" t="n">
        <f aca="true">IF(AND($D184="Serviço",BF$12&lt;&gt;0,$H184&gt;0,OR(AUTOEVENTO&lt;&gt;"manual",$M184&lt;&gt;$A$15)),
        IF(Import.TipoArredondamento&lt;&gt;"TransfereGOV",
              ROUND(OFFSET($P184,0,BF$13),15-13*ORÇAMENTO!$AF$7)/$H184*OFFSET(ORÇAMENTO!$X$15,ROW(BF184)-ROW(BF$15),0),
              ROUND(ROUND(OFFSET($P184,0,BF$13),15-13*ORÇAMENTO!$AF$7)*OFFSET(ORÇAMENTO!$W$15,ROW(BF184)-ROW(BF$15),0),15-13*ORÇAMENTO!$AF$11)),
         0)</f>
        <v>794.95</v>
      </c>
      <c r="BG184" s="352" t="n">
        <f aca="true">IF(AND($D184="Serviço",BG$12&lt;&gt;0,$H184&gt;0,OR(AUTOEVENTO&lt;&gt;"manual",$M184&lt;&gt;$A$15)),
        IF(Import.TipoArredondamento&lt;&gt;"TransfereGOV",
              ROUND(OFFSET($P184,0,BG$13),15-13*ORÇAMENTO!$AF$7)/$H184*OFFSET(ORÇAMENTO!$X$15,ROW(BG184)-ROW(BG$15),0),
              ROUND(ROUND(OFFSET($P184,0,BG$13),15-13*ORÇAMENTO!$AF$7)*OFFSET(ORÇAMENTO!$W$15,ROW(BG184)-ROW(BG$15),0),15-13*ORÇAMENTO!$AF$11)),
         0)</f>
        <v>794.95</v>
      </c>
      <c r="BH184" s="352" t="n">
        <f aca="true">IF(AND($D184="Serviço",BH$12&lt;&gt;0,$H184&gt;0,OR(AUTOEVENTO&lt;&gt;"manual",$M184&lt;&gt;$A$15)),
        IF(Import.TipoArredondamento&lt;&gt;"TransfereGOV",
              ROUND(OFFSET($P184,0,BH$13),15-13*ORÇAMENTO!$AF$7)/$H184*OFFSET(ORÇAMENTO!$X$15,ROW(BH184)-ROW(BH$15),0),
              ROUND(ROUND(OFFSET($P184,0,BH$13),15-13*ORÇAMENTO!$AF$7)*OFFSET(ORÇAMENTO!$W$15,ROW(BH184)-ROW(BH$15),0),15-13*ORÇAMENTO!$AF$11)),
         0)</f>
        <v>794.95</v>
      </c>
      <c r="BI184" s="352" t="n">
        <f aca="true">IF(AND($D184="Serviço",BI$12&lt;&gt;0,$H184&gt;0,OR(AUTOEVENTO&lt;&gt;"manual",$M184&lt;&gt;$A$15)),
        IF(Import.TipoArredondamento&lt;&gt;"TransfereGOV",
              ROUND(OFFSET($P184,0,BI$13),15-13*ORÇAMENTO!$AF$7)/$H184*OFFSET(ORÇAMENTO!$X$15,ROW(BI184)-ROW(BI$15),0),
              ROUND(ROUND(OFFSET($P184,0,BI$13),15-13*ORÇAMENTO!$AF$7)*OFFSET(ORÇAMENTO!$W$15,ROW(BI184)-ROW(BI$15),0),15-13*ORÇAMENTO!$AF$11)),
         0)</f>
        <v>794.95</v>
      </c>
      <c r="BJ184" s="352" t="n">
        <f aca="true">IF(AND($D184="Serviço",BJ$12&lt;&gt;0,$H184&gt;0,OR(AUTOEVENTO&lt;&gt;"manual",$M184&lt;&gt;$A$15)),
        IF(Import.TipoArredondamento&lt;&gt;"TransfereGOV",
              ROUND(OFFSET($P184,0,BJ$13),15-13*ORÇAMENTO!$AF$7)/$H184*OFFSET(ORÇAMENTO!$X$15,ROW(BJ184)-ROW(BJ$15),0),
              ROUND(ROUND(OFFSET($P184,0,BJ$13),15-13*ORÇAMENTO!$AF$7)*OFFSET(ORÇAMENTO!$W$15,ROW(BJ184)-ROW(BJ$15),0),15-13*ORÇAMENTO!$AF$11)),
         0)</f>
        <v>794.95</v>
      </c>
      <c r="BK184" s="352" t="n">
        <f aca="true">IF(AND($D184="Serviço",BK$12&lt;&gt;0,$H184&gt;0,OR(AUTOEVENTO&lt;&gt;"manual",$M184&lt;&gt;$A$15)),
        IF(Import.TipoArredondamento&lt;&gt;"TransfereGOV",
              ROUND(OFFSET($P184,0,BK$13),15-13*ORÇAMENTO!$AF$7)/$H184*OFFSET(ORÇAMENTO!$X$15,ROW(BK184)-ROW(BK$15),0),
              ROUND(ROUND(OFFSET($P184,0,BK$13),15-13*ORÇAMENTO!$AF$7)*OFFSET(ORÇAMENTO!$W$15,ROW(BK184)-ROW(BK$15),0),15-13*ORÇAMENTO!$AF$11)),
         0)</f>
        <v>794.95</v>
      </c>
      <c r="BL184" s="352" t="n">
        <f aca="true">IF(AND($D184="Serviço",BL$12&lt;&gt;0,$H184&gt;0,OR(AUTOEVENTO&lt;&gt;"manual",$M184&lt;&gt;$A$15)),
        IF(Import.TipoArredondamento&lt;&gt;"TransfereGOV",
              ROUND(OFFSET($P184,0,BL$13),15-13*ORÇAMENTO!$AF$7)/$H184*OFFSET(ORÇAMENTO!$X$15,ROW(BL184)-ROW(BL$15),0),
              ROUND(ROUND(OFFSET($P184,0,BL$13),15-13*ORÇAMENTO!$AF$7)*OFFSET(ORÇAMENTO!$W$15,ROW(BL184)-ROW(BL$15),0),15-13*ORÇAMENTO!$AF$11)),
         0)</f>
        <v>794.95</v>
      </c>
      <c r="BM184" s="352" t="n">
        <f aca="true">IF(AND($D184="Serviço",BM$12&lt;&gt;0,$H184&gt;0,OR(AUTOEVENTO&lt;&gt;"manual",$M184&lt;&gt;$A$15)),
        IF(Import.TipoArredondamento&lt;&gt;"TransfereGOV",
              ROUND(OFFSET($P184,0,BM$13),15-13*ORÇAMENTO!$AF$7)/$H184*OFFSET(ORÇAMENTO!$X$15,ROW(BM184)-ROW(BM$15),0),
              ROUND(ROUND(OFFSET($P184,0,BM$13),15-13*ORÇAMENTO!$AF$7)*OFFSET(ORÇAMENTO!$W$15,ROW(BM184)-ROW(BM$15),0),15-13*ORÇAMENTO!$AF$11)),
         0)</f>
        <v>794.95</v>
      </c>
      <c r="BN184" s="352" t="n">
        <f aca="true">IF(AND($D184="Serviço",BN$12&lt;&gt;0,$H184&gt;0,OR(AUTOEVENTO&lt;&gt;"manual",$M184&lt;&gt;$A$15)),
        IF(Import.TipoArredondamento&lt;&gt;"TransfereGOV",
              ROUND(OFFSET($P184,0,BN$13),15-13*ORÇAMENTO!$AF$7)/$H184*OFFSET(ORÇAMENTO!$X$15,ROW(BN184)-ROW(BN$15),0),
              ROUND(ROUND(OFFSET($P184,0,BN$13),15-13*ORÇAMENTO!$AF$7)*OFFSET(ORÇAMENTO!$W$15,ROW(BN184)-ROW(BN$15),0),15-13*ORÇAMENTO!$AF$11)),
         0)</f>
        <v>794.95</v>
      </c>
      <c r="BO184" s="352" t="n">
        <f aca="true">IF(AND($D184="Serviço",BO$12&lt;&gt;0,$H184&gt;0,OR(AUTOEVENTO&lt;&gt;"manual",$M184&lt;&gt;$A$15)),
        IF(Import.TipoArredondamento&lt;&gt;"TransfereGOV",
              ROUND(OFFSET($P184,0,BO$13),15-13*ORÇAMENTO!$AF$7)/$H184*OFFSET(ORÇAMENTO!$X$15,ROW(BO184)-ROW(BO$15),0),
              ROUND(ROUND(OFFSET($P184,0,BO$13),15-13*ORÇAMENTO!$AF$7)*OFFSET(ORÇAMENTO!$W$15,ROW(BO184)-ROW(BO$15),0),15-13*ORÇAMENTO!$AF$11)),
         0)</f>
        <v>794.95</v>
      </c>
      <c r="BP184" s="352" t="n">
        <f aca="true">IF(AND($D184="Serviço",BP$12&lt;&gt;0,$H184&gt;0,OR(AUTOEVENTO&lt;&gt;"manual",$M184&lt;&gt;$A$15)),
        IF(Import.TipoArredondamento&lt;&gt;"TransfereGOV",
              ROUND(OFFSET($P184,0,BP$13),15-13*ORÇAMENTO!$AF$7)/$H184*OFFSET(ORÇAMENTO!$X$15,ROW(BP184)-ROW(BP$15),0),
              ROUND(ROUND(OFFSET($P184,0,BP$13),15-13*ORÇAMENTO!$AF$7)*OFFSET(ORÇAMENTO!$W$15,ROW(BP184)-ROW(BP$15),0),15-13*ORÇAMENTO!$AF$11)),
         0)</f>
        <v>794.95</v>
      </c>
      <c r="BQ184" s="352" t="n">
        <f aca="true">IF(AND($D184="Serviço",BQ$12&lt;&gt;0,$H184&gt;0,OR(AUTOEVENTO&lt;&gt;"manual",$M184&lt;&gt;$A$15)),
        IF(Import.TipoArredondamento&lt;&gt;"TransfereGOV",
              ROUND(OFFSET($P184,0,BQ$13),15-13*ORÇAMENTO!$AF$7)/$H184*OFFSET(ORÇAMENTO!$X$15,ROW(BQ184)-ROW(BQ$15),0),
              ROUND(ROUND(OFFSET($P184,0,BQ$13),15-13*ORÇAMENTO!$AF$7)*OFFSET(ORÇAMENTO!$W$15,ROW(BQ184)-ROW(BQ$15),0),15-13*ORÇAMENTO!$AF$11)),
         0)</f>
        <v>0</v>
      </c>
      <c r="BS184" s="353" t="n">
        <f aca="true">IF(OR($D184&lt;&gt;"Serviço",AND(AUTOEVENTO="Manual",$M184=$A$15)),0,
         IF(OFFSET(CRONOPLE!$F$15,$M184-$A$15,BS$13)=0,10^12,OFFSET(CRONOPLE!$F$15,$M184-$A$15,BS$13)))</f>
        <v>1</v>
      </c>
      <c r="BT184" s="353" t="n">
        <f aca="true">IF(OR($D184&lt;&gt;"Serviço",AND(AUTOEVENTO="Manual",$M184=$A$15)),0,
         IF(OFFSET(CRONOPLE!$F$15,$M184-$A$15,BT$13)=0,10^12,OFFSET(CRONOPLE!$F$15,$M184-$A$15,BT$13)))</f>
        <v>2</v>
      </c>
      <c r="BU184" s="353" t="n">
        <f aca="true">IF(OR($D184&lt;&gt;"Serviço",AND(AUTOEVENTO="Manual",$M184=$A$15)),0,
         IF(OFFSET(CRONOPLE!$F$15,$M184-$A$15,BU$13)=0,10^12,OFFSET(CRONOPLE!$F$15,$M184-$A$15,BU$13)))</f>
        <v>3</v>
      </c>
      <c r="BV184" s="353" t="n">
        <f aca="true">IF(OR($D184&lt;&gt;"Serviço",AND(AUTOEVENTO="Manual",$M184=$A$15)),0,
         IF(OFFSET(CRONOPLE!$F$15,$M184-$A$15,BV$13)=0,10^12,OFFSET(CRONOPLE!$F$15,$M184-$A$15,BV$13)))</f>
        <v>4</v>
      </c>
      <c r="BW184" s="353" t="n">
        <f aca="true">IF(OR($D184&lt;&gt;"Serviço",AND(AUTOEVENTO="Manual",$M184=$A$15)),0,
         IF(OFFSET(CRONOPLE!$F$15,$M184-$A$15,BW$13)=0,10^12,OFFSET(CRONOPLE!$F$15,$M184-$A$15,BW$13)))</f>
        <v>5</v>
      </c>
      <c r="BX184" s="353" t="n">
        <f aca="true">IF(OR($D184&lt;&gt;"Serviço",AND(AUTOEVENTO="Manual",$M184=$A$15)),0,
         IF(OFFSET(CRONOPLE!$F$15,$M184-$A$15,BX$13)=0,10^12,OFFSET(CRONOPLE!$F$15,$M184-$A$15,BX$13)))</f>
        <v>6</v>
      </c>
      <c r="BY184" s="353" t="n">
        <f aca="true">IF(OR($D184&lt;&gt;"Serviço",AND(AUTOEVENTO="Manual",$M184=$A$15)),0,
         IF(OFFSET(CRONOPLE!$F$15,$M184-$A$15,BY$13)=0,10^12,OFFSET(CRONOPLE!$F$15,$M184-$A$15,BY$13)))</f>
        <v>7</v>
      </c>
      <c r="BZ184" s="353" t="n">
        <f aca="true">IF(OR($D184&lt;&gt;"Serviço",AND(AUTOEVENTO="Manual",$M184=$A$15)),0,
         IF(OFFSET(CRONOPLE!$F$15,$M184-$A$15,BZ$13)=0,10^12,OFFSET(CRONOPLE!$F$15,$M184-$A$15,BZ$13)))</f>
        <v>8</v>
      </c>
      <c r="CA184" s="353" t="n">
        <f aca="true">IF(OR($D184&lt;&gt;"Serviço",AND(AUTOEVENTO="Manual",$M184=$A$15)),0,
         IF(OFFSET(CRONOPLE!$F$15,$M184-$A$15,CA$13)=0,10^12,OFFSET(CRONOPLE!$F$15,$M184-$A$15,CA$13)))</f>
        <v>9</v>
      </c>
      <c r="CB184" s="353" t="n">
        <f aca="true">IF(OR($D184&lt;&gt;"Serviço",AND(AUTOEVENTO="Manual",$M184=$A$15)),0,
         IF(OFFSET(CRONOPLE!$F$15,$M184-$A$15,CB$13)=0,10^12,OFFSET(CRONOPLE!$F$15,$M184-$A$15,CB$13)))</f>
        <v>10</v>
      </c>
      <c r="CC184" s="353" t="n">
        <f aca="true">IF(OR($D184&lt;&gt;"Serviço",AND(AUTOEVENTO="Manual",$M184=$A$15)),0,
         IF(OFFSET(CRONOPLE!$F$15,$M184-$A$15,CC$13)=0,10^12,OFFSET(CRONOPLE!$F$15,$M184-$A$15,CC$13)))</f>
        <v>11</v>
      </c>
      <c r="CD184" s="353" t="n">
        <f aca="true">IF(OR($D184&lt;&gt;"Serviço",AND(AUTOEVENTO="Manual",$M184=$A$15)),0,
         IF(OFFSET(CRONOPLE!$F$15,$M184-$A$15,CD$13)=0,10^12,OFFSET(CRONOPLE!$F$15,$M184-$A$15,CD$13)))</f>
        <v>12</v>
      </c>
      <c r="CE184" s="353" t="n">
        <f aca="true">IF(OR($D184&lt;&gt;"Serviço",AND(AUTOEVENTO="Manual",$M184=$A$15)),0,
         IF(OFFSET(CRONOPLE!$F$15,$M184-$A$15,CE$13)=0,10^12,OFFSET(CRONOPLE!$F$15,$M184-$A$15,CE$13)))</f>
        <v>13</v>
      </c>
      <c r="CF184" s="353" t="n">
        <f aca="true">IF(OR($D184&lt;&gt;"Serviço",AND(AUTOEVENTO="Manual",$M184=$A$15)),0,
         IF(OFFSET(CRONOPLE!$F$15,$M184-$A$15,CF$13)=0,10^12,OFFSET(CRONOPLE!$F$15,$M184-$A$15,CF$13)))</f>
        <v>14</v>
      </c>
      <c r="CG184" s="353" t="n">
        <f aca="true">IF(OR($D184&lt;&gt;"Serviço",AND(AUTOEVENTO="Manual",$M184=$A$15)),0,
         IF(OFFSET(CRONOPLE!$F$15,$M184-$A$15,CG$13)=0,10^12,OFFSET(CRONOPLE!$F$15,$M184-$A$15,CG$13)))</f>
        <v>15</v>
      </c>
      <c r="CH184" s="353" t="n">
        <f aca="true">IF(OR($D184&lt;&gt;"Serviço",AND(AUTOEVENTO="Manual",$M184=$A$15)),0,
         IF(OFFSET(CRONOPLE!$F$15,$M184-$A$15,CH$13)=0,10^12,OFFSET(CRONOPLE!$F$15,$M184-$A$15,CH$13)))</f>
        <v>16</v>
      </c>
      <c r="CI184" s="353" t="n">
        <f aca="true">IF(OR($D184&lt;&gt;"Serviço",AND(AUTOEVENTO="Manual",$M184=$A$15)),0,
         IF(OFFSET(CRONOPLE!$F$15,$M184-$A$15,CI$13)=0,10^12,OFFSET(CRONOPLE!$F$15,$M184-$A$15,CI$13)))</f>
        <v>17</v>
      </c>
      <c r="CJ184" s="353" t="n">
        <f aca="true">IF(OR($D184&lt;&gt;"Serviço",AND(AUTOEVENTO="Manual",$M184=$A$15)),0,
         IF(OFFSET(CRONOPLE!$F$15,$M184-$A$15,CJ$13)=0,10^12,OFFSET(CRONOPLE!$F$15,$M184-$A$15,CJ$13)))</f>
        <v>18</v>
      </c>
      <c r="CK184" s="353" t="n">
        <f aca="true">IF(OR($D184&lt;&gt;"Serviço",AND(AUTOEVENTO="Manual",$M184=$A$15)),0,
         IF(OFFSET(CRONOPLE!$F$15,$M184-$A$15,CK$13)=0,10^12,OFFSET(CRONOPLE!$F$15,$M184-$A$15,CK$13)))</f>
        <v>19</v>
      </c>
      <c r="CL184" s="353" t="n">
        <f aca="true">IF(OR($D184&lt;&gt;"Serviço",AND(AUTOEVENTO="Manual",$M184=$A$15)),0,
         IF(OFFSET(CRONOPLE!$F$15,$M184-$A$15,CL$13)=0,10^12,OFFSET(CRONOPLE!$F$15,$M184-$A$15,CL$13)))</f>
        <v>20</v>
      </c>
      <c r="CM184" s="353" t="n">
        <f aca="true">IF(OR($D184&lt;&gt;"Serviço",AND(AUTOEVENTO="Manual",$M184=$A$15)),0,
         IF(OFFSET(CRONOPLE!$F$15,$M184-$A$15,CM$13)=0,10^12,OFFSET(CRONOPLE!$F$15,$M184-$A$15,CM$13)))</f>
        <v>21</v>
      </c>
      <c r="CN184" s="353" t="n">
        <f aca="true">IF(OR($D184&lt;&gt;"Serviço",AND(AUTOEVENTO="Manual",$M184=$A$15)),0,
         IF(OFFSET(CRONOPLE!$F$15,$M184-$A$15,CN$13)=0,10^12,OFFSET(CRONOPLE!$F$15,$M184-$A$15,CN$13)))</f>
        <v>22</v>
      </c>
      <c r="CO184" s="353" t="n">
        <f aca="true">IF(OR($D184&lt;&gt;"Serviço",AND(AUTOEVENTO="Manual",$M184=$A$15)),0,
         IF(OFFSET(CRONOPLE!$F$15,$M184-$A$15,CO$13)=0,10^12,OFFSET(CRONOPLE!$F$15,$M184-$A$15,CO$13)))</f>
        <v>23</v>
      </c>
      <c r="CP184" s="353" t="n">
        <f aca="true">IF(OR($D184&lt;&gt;"Serviço",AND(AUTOEVENTO="Manual",$M184=$A$15)),0,
         IF(OFFSET(CRONOPLE!$F$15,$M184-$A$15,CP$13)=0,10^12,OFFSET(CRONOPLE!$F$15,$M184-$A$15,CP$13)))</f>
        <v>24</v>
      </c>
      <c r="CQ184" s="353" t="n">
        <f aca="true">IF(OR($D184&lt;&gt;"Serviço",AND(AUTOEVENTO="Manual",$M184=$A$15)),0,
         IF(OFFSET(CRONOPLE!$F$15,$M184-$A$15,CQ$13)=0,10^12,OFFSET(CRONOPLE!$F$15,$M184-$A$15,CQ$13)))</f>
        <v>25</v>
      </c>
      <c r="CR184" s="353" t="n">
        <f aca="true">IF(OR($D184&lt;&gt;"Serviço",AND(AUTOEVENTO="Manual",$M184=$A$15)),0,
         IF(OFFSET(CRONOPLE!$F$15,$M184-$A$15,CR$13)=0,10^12,OFFSET(CRONOPLE!$F$15,$M184-$A$15,CR$13)))</f>
        <v>1000000000000</v>
      </c>
      <c r="CT184" s="354" t="n">
        <f aca="true">IF(OR($D184&lt;&gt;"Serviço",AND(AUTOEVENTO="Manual",$M184=$A$15),$M184&gt;(ROW(PLE.lastrow)-ROW(PLE.firstrow))),0,
           IF(OFFSET(PLE!$G$15,$M184-$A$15,CT$13)="",10^12,OFFSET(PLE!$G$15,$M184-$A$15,CT$13)))</f>
        <v>1000000000000</v>
      </c>
      <c r="CU184" s="354" t="n">
        <f aca="true">IF(OR($D184&lt;&gt;"Serviço",AND(AUTOEVENTO="Manual",$M184=$A$15),$M184&gt;(ROW(PLE.lastrow)-ROW(PLE.firstrow))),0,
           IF(OFFSET(PLE!$G$15,$M184-$A$15,CU$13)="",10^12,OFFSET(PLE!$G$15,$M184-$A$15,CU$13)))</f>
        <v>1000000000000</v>
      </c>
      <c r="CV184" s="354" t="n">
        <f aca="true">IF(OR($D184&lt;&gt;"Serviço",AND(AUTOEVENTO="Manual",$M184=$A$15),$M184&gt;(ROW(PLE.lastrow)-ROW(PLE.firstrow))),0,
           IF(OFFSET(PLE!$G$15,$M184-$A$15,CV$13)="",10^12,OFFSET(PLE!$G$15,$M184-$A$15,CV$13)))</f>
        <v>1000000000000</v>
      </c>
      <c r="CW184" s="354" t="n">
        <f aca="true">IF(OR($D184&lt;&gt;"Serviço",AND(AUTOEVENTO="Manual",$M184=$A$15),$M184&gt;(ROW(PLE.lastrow)-ROW(PLE.firstrow))),0,
           IF(OFFSET(PLE!$G$15,$M184-$A$15,CW$13)="",10^12,OFFSET(PLE!$G$15,$M184-$A$15,CW$13)))</f>
        <v>1000000000000</v>
      </c>
      <c r="CX184" s="354" t="n">
        <f aca="true">IF(OR($D184&lt;&gt;"Serviço",AND(AUTOEVENTO="Manual",$M184=$A$15),$M184&gt;(ROW(PLE.lastrow)-ROW(PLE.firstrow))),0,
           IF(OFFSET(PLE!$G$15,$M184-$A$15,CX$13)="",10^12,OFFSET(PLE!$G$15,$M184-$A$15,CX$13)))</f>
        <v>1000000000000</v>
      </c>
      <c r="CY184" s="354" t="n">
        <f aca="true">IF(OR($D184&lt;&gt;"Serviço",AND(AUTOEVENTO="Manual",$M184=$A$15),$M184&gt;(ROW(PLE.lastrow)-ROW(PLE.firstrow))),0,
           IF(OFFSET(PLE!$G$15,$M184-$A$15,CY$13)="",10^12,OFFSET(PLE!$G$15,$M184-$A$15,CY$13)))</f>
        <v>1000000000000</v>
      </c>
      <c r="CZ184" s="354" t="n">
        <f aca="true">IF(OR($D184&lt;&gt;"Serviço",AND(AUTOEVENTO="Manual",$M184=$A$15),$M184&gt;(ROW(PLE.lastrow)-ROW(PLE.firstrow))),0,
           IF(OFFSET(PLE!$G$15,$M184-$A$15,CZ$13)="",10^12,OFFSET(PLE!$G$15,$M184-$A$15,CZ$13)))</f>
        <v>1000000000000</v>
      </c>
      <c r="DA184" s="354" t="n">
        <f aca="true">IF(OR($D184&lt;&gt;"Serviço",AND(AUTOEVENTO="Manual",$M184=$A$15),$M184&gt;(ROW(PLE.lastrow)-ROW(PLE.firstrow))),0,
           IF(OFFSET(PLE!$G$15,$M184-$A$15,DA$13)="",10^12,OFFSET(PLE!$G$15,$M184-$A$15,DA$13)))</f>
        <v>1000000000000</v>
      </c>
      <c r="DB184" s="354" t="n">
        <f aca="true">IF(OR($D184&lt;&gt;"Serviço",AND(AUTOEVENTO="Manual",$M184=$A$15),$M184&gt;(ROW(PLE.lastrow)-ROW(PLE.firstrow))),0,
           IF(OFFSET(PLE!$G$15,$M184-$A$15,DB$13)="",10^12,OFFSET(PLE!$G$15,$M184-$A$15,DB$13)))</f>
        <v>1000000000000</v>
      </c>
      <c r="DC184" s="354" t="n">
        <f aca="true">IF(OR($D184&lt;&gt;"Serviço",AND(AUTOEVENTO="Manual",$M184=$A$15),$M184&gt;(ROW(PLE.lastrow)-ROW(PLE.firstrow))),0,
           IF(OFFSET(PLE!$G$15,$M184-$A$15,DC$13)="",10^12,OFFSET(PLE!$G$15,$M184-$A$15,DC$13)))</f>
        <v>1000000000000</v>
      </c>
      <c r="DD184" s="354" t="n">
        <f aca="true">IF(OR($D184&lt;&gt;"Serviço",AND(AUTOEVENTO="Manual",$M184=$A$15),$M184&gt;(ROW(PLE.lastrow)-ROW(PLE.firstrow))),0,
           IF(OFFSET(PLE!$G$15,$M184-$A$15,DD$13)="",10^12,OFFSET(PLE!$G$15,$M184-$A$15,DD$13)))</f>
        <v>1000000000000</v>
      </c>
      <c r="DE184" s="354" t="n">
        <f aca="true">IF(OR($D184&lt;&gt;"Serviço",AND(AUTOEVENTO="Manual",$M184=$A$15),$M184&gt;(ROW(PLE.lastrow)-ROW(PLE.firstrow))),0,
           IF(OFFSET(PLE!$G$15,$M184-$A$15,DE$13)="",10^12,OFFSET(PLE!$G$15,$M184-$A$15,DE$13)))</f>
        <v>1000000000000</v>
      </c>
      <c r="DF184" s="354" t="n">
        <f aca="true">IF(OR($D184&lt;&gt;"Serviço",AND(AUTOEVENTO="Manual",$M184=$A$15),$M184&gt;(ROW(PLE.lastrow)-ROW(PLE.firstrow))),0,
           IF(OFFSET(PLE!$G$15,$M184-$A$15,DF$13)="",10^12,OFFSET(PLE!$G$15,$M184-$A$15,DF$13)))</f>
        <v>1000000000000</v>
      </c>
      <c r="DG184" s="354" t="n">
        <f aca="true">IF(OR($D184&lt;&gt;"Serviço",AND(AUTOEVENTO="Manual",$M184=$A$15),$M184&gt;(ROW(PLE.lastrow)-ROW(PLE.firstrow))),0,
           IF(OFFSET(PLE!$G$15,$M184-$A$15,DG$13)="",10^12,OFFSET(PLE!$G$15,$M184-$A$15,DG$13)))</f>
        <v>1000000000000</v>
      </c>
      <c r="DH184" s="354" t="n">
        <f aca="true">IF(OR($D184&lt;&gt;"Serviço",AND(AUTOEVENTO="Manual",$M184=$A$15),$M184&gt;(ROW(PLE.lastrow)-ROW(PLE.firstrow))),0,
           IF(OFFSET(PLE!$G$15,$M184-$A$15,DH$13)="",10^12,OFFSET(PLE!$G$15,$M184-$A$15,DH$13)))</f>
        <v>1000000000000</v>
      </c>
      <c r="DI184" s="354" t="n">
        <f aca="true">IF(OR($D184&lt;&gt;"Serviço",AND(AUTOEVENTO="Manual",$M184=$A$15),$M184&gt;(ROW(PLE.lastrow)-ROW(PLE.firstrow))),0,
           IF(OFFSET(PLE!$G$15,$M184-$A$15,DI$13)="",10^12,OFFSET(PLE!$G$15,$M184-$A$15,DI$13)))</f>
        <v>1000000000000</v>
      </c>
      <c r="DJ184" s="354" t="n">
        <f aca="true">IF(OR($D184&lt;&gt;"Serviço",AND(AUTOEVENTO="Manual",$M184=$A$15),$M184&gt;(ROW(PLE.lastrow)-ROW(PLE.firstrow))),0,
           IF(OFFSET(PLE!$G$15,$M184-$A$15,DJ$13)="",10^12,OFFSET(PLE!$G$15,$M184-$A$15,DJ$13)))</f>
        <v>1000000000000</v>
      </c>
      <c r="DK184" s="354" t="n">
        <f aca="true">IF(OR($D184&lt;&gt;"Serviço",AND(AUTOEVENTO="Manual",$M184=$A$15),$M184&gt;(ROW(PLE.lastrow)-ROW(PLE.firstrow))),0,
           IF(OFFSET(PLE!$G$15,$M184-$A$15,DK$13)="",10^12,OFFSET(PLE!$G$15,$M184-$A$15,DK$13)))</f>
        <v>1000000000000</v>
      </c>
      <c r="DL184" s="354" t="n">
        <f aca="true">IF(OR($D184&lt;&gt;"Serviço",AND(AUTOEVENTO="Manual",$M184=$A$15),$M184&gt;(ROW(PLE.lastrow)-ROW(PLE.firstrow))),0,
           IF(OFFSET(PLE!$G$15,$M184-$A$15,DL$13)="",10^12,OFFSET(PLE!$G$15,$M184-$A$15,DL$13)))</f>
        <v>1000000000000</v>
      </c>
      <c r="DM184" s="354" t="n">
        <f aca="true">IF(OR($D184&lt;&gt;"Serviço",AND(AUTOEVENTO="Manual",$M184=$A$15),$M184&gt;(ROW(PLE.lastrow)-ROW(PLE.firstrow))),0,
           IF(OFFSET(PLE!$G$15,$M184-$A$15,DM$13)="",10^12,OFFSET(PLE!$G$15,$M184-$A$15,DM$13)))</f>
        <v>1000000000000</v>
      </c>
      <c r="DN184" s="354" t="n">
        <f aca="true">IF(OR($D184&lt;&gt;"Serviço",AND(AUTOEVENTO="Manual",$M184=$A$15),$M184&gt;(ROW(PLE.lastrow)-ROW(PLE.firstrow))),0,
           IF(OFFSET(PLE!$G$15,$M184-$A$15,DN$13)="",10^12,OFFSET(PLE!$G$15,$M184-$A$15,DN$13)))</f>
        <v>1000000000000</v>
      </c>
      <c r="DO184" s="354" t="n">
        <f aca="true">IF(OR($D184&lt;&gt;"Serviço",AND(AUTOEVENTO="Manual",$M184=$A$15),$M184&gt;(ROW(PLE.lastrow)-ROW(PLE.firstrow))),0,
           IF(OFFSET(PLE!$G$15,$M184-$A$15,DO$13)="",10^12,OFFSET(PLE!$G$15,$M184-$A$15,DO$13)))</f>
        <v>1000000000000</v>
      </c>
      <c r="DP184" s="354" t="n">
        <f aca="true">IF(OR($D184&lt;&gt;"Serviço",AND(AUTOEVENTO="Manual",$M184=$A$15),$M184&gt;(ROW(PLE.lastrow)-ROW(PLE.firstrow))),0,
           IF(OFFSET(PLE!$G$15,$M184-$A$15,DP$13)="",10^12,OFFSET(PLE!$G$15,$M184-$A$15,DP$13)))</f>
        <v>1000000000000</v>
      </c>
      <c r="DQ184" s="354" t="n">
        <f aca="true">IF(OR($D184&lt;&gt;"Serviço",AND(AUTOEVENTO="Manual",$M184=$A$15),$M184&gt;(ROW(PLE.lastrow)-ROW(PLE.firstrow))),0,
           IF(OFFSET(PLE!$G$15,$M184-$A$15,DQ$13)="",10^12,OFFSET(PLE!$G$15,$M184-$A$15,DQ$13)))</f>
        <v>1000000000000</v>
      </c>
      <c r="DR184" s="354" t="n">
        <f aca="true">IF(OR($D184&lt;&gt;"Serviço",AND(AUTOEVENTO="Manual",$M184=$A$15),$M184&gt;(ROW(PLE.lastrow)-ROW(PLE.firstrow))),0,
           IF(OFFSET(PLE!$G$15,$M184-$A$15,DR$13)="",10^12,OFFSET(PLE!$G$15,$M184-$A$15,DR$13)))</f>
        <v>1000000000000</v>
      </c>
      <c r="DS184" s="354" t="n">
        <f aca="true">IF(OR($D184&lt;&gt;"Serviço",AND(AUTOEVENTO="Manual",$M184=$A$15),$M184&gt;(ROW(PLE.lastrow)-ROW(PLE.firstrow))),0,
           IF(OFFSET(PLE!$G$15,$M184-$A$15,DS$13)="",10^12,OFFSET(PLE!$G$15,$M184-$A$15,DS$13)))</f>
        <v>1000000000000</v>
      </c>
    </row>
    <row r="185" customFormat="false" ht="12.75" hidden="false" customHeight="false" outlineLevel="0" collapsed="false">
      <c r="A185" s="50" t="str">
        <f aca="true">IFERROR(IF(AUTOEVENTO="Manual",IF(K185&lt;&gt;"",MIN(VALUE(LEFT(K185,FIND(".",K185)-1)),COUNTA(EVENTOS.Lista)),0),IF(OR($B185&gt;AUTOEVENTO,$B185="S",$B185=0),SUBSTITUTE(OFFSET($A185,-1,0),IF($D185="Serviço",".",""),""),ROW(A185)-ROW($A$15)&amp;".")),0)</f>
        <v>170.</v>
      </c>
      <c r="B185" s="50" t="n">
        <f aca="true">OFFSET(ORÇAMENTO!C$15,ROW(B185)-ROW(B$15),0)</f>
        <v>2</v>
      </c>
      <c r="C185" s="50" t="str">
        <f aca="true">OFFSET(ORÇAMENTO!L$15,ROW(C185)-ROW(C$15),0)</f>
        <v>F</v>
      </c>
      <c r="D185" s="201" t="str">
        <f aca="true">OFFSET(ORÇAMENTO!N$15,ROW(D185)-ROW(D$15),0)</f>
        <v>Nível 2</v>
      </c>
      <c r="E185" s="202" t="str">
        <f aca="true">OFFSET(ORÇAMENTO!O$15,ROW(E185)-ROW(E$15),0)</f>
        <v>1.46.</v>
      </c>
      <c r="F185" s="341" t="str">
        <f aca="true">OFFSET(ORÇAMENTO!R$15,ROW(F185)-ROW(F$15),0)</f>
        <v>ACESSÓRIOS/CAIXAS</v>
      </c>
      <c r="G185" s="342" t="str">
        <f aca="true">IF($D185&lt;&gt;"Serviço","",OFFSET(ORÇAMENTO!S$15,ROW(G185)-ROW(G$15),0))</f>
        <v/>
      </c>
      <c r="H185" s="207" t="n">
        <f aca="true">IF($D185&lt;&gt;"Serviço",0,IF(ACOMPANHAMENTO="BM",ROUND(OFFSET(ORÇAMENTO!AJ$15,ROW(H185)-ROW(H$15),0),15-13*ORÇAMENTO!$AF$7),SUMPRODUCT(($Q$1:$AQ$1=1)*ROUND($Q185:$AQ185,15-13*ORÇAMENTO!$AF$7))))</f>
        <v>0</v>
      </c>
      <c r="I185" s="343"/>
      <c r="J185" s="344" t="str">
        <f aca="false">IF(OR(B185&lt;&gt;"S",CÁLCULO.FrentesPreenchidas=0),"",IF(AND(ACOMPANHAMENTO="PLE",AUTOEVENTO="Manual",OR(H185&gt;0,ORÇAMENTO!AC185="QUANT."),OR(K185="",M185=0,N185="")),"►",IF(AND(ACOMPANHAMENTO="PLE",ORÇAMENTO!AC185="QUANT."),"►►",IF(AND(COUNTIF($P$11:$AQ$11,"▼")=0,H185&gt;0,I185=""),"◄",""))))</f>
        <v/>
      </c>
      <c r="K185" s="345"/>
      <c r="L185" s="346" t="s">
        <v>876</v>
      </c>
      <c r="M185" s="347" t="str">
        <f aca="true">IF($D185&lt;&gt;"Serviço","",
          IF(AUTOEVENTO="manual",$A185,
                IF(ISERROR(MATCH($A185,$A$15:OFFSET($A185,-1,0),0)),MAX($M$15:OFFSET(M185,-1,0))+1,
                      INDEX($M$15:OFFSET(M185,-1,0),MATCH($A185,$A$15:OFFSET($A185,-1,0),0)))))</f>
        <v/>
      </c>
      <c r="N185" s="348" t="str">
        <f aca="true">IF($D185&lt;&gt;"Serviço","",
         IF(AUTOEVENTO="Manual",
                IF($A185=0,"&lt;-- defina o número do agrupador",
                       OFFSET(EVENTOS!$D$15,$A185-$A$15,0)),
                OFFSET($F$15,$A185,0)))</f>
        <v/>
      </c>
      <c r="O185" s="349"/>
      <c r="Q185" s="349"/>
      <c r="R185" s="350"/>
      <c r="S185" s="350"/>
      <c r="T185" s="350"/>
      <c r="U185" s="350"/>
      <c r="V185" s="350"/>
      <c r="W185" s="350"/>
      <c r="X185" s="350"/>
      <c r="Y185" s="350"/>
      <c r="Z185" s="351"/>
      <c r="AA185" s="350"/>
      <c r="AB185" s="350"/>
      <c r="AC185" s="350"/>
      <c r="AD185" s="350"/>
      <c r="AE185" s="350"/>
      <c r="AF185" s="350"/>
      <c r="AG185" s="350"/>
      <c r="AH185" s="351"/>
      <c r="AI185" s="350"/>
      <c r="AJ185" s="350"/>
      <c r="AK185" s="350"/>
      <c r="AL185" s="350"/>
      <c r="AM185" s="350"/>
      <c r="AN185" s="350"/>
      <c r="AO185" s="350"/>
      <c r="AP185" s="351"/>
      <c r="AR185" s="352" t="n">
        <f aca="true">IF(AND($D185="Serviço",AR$12&lt;&gt;0,$H185&gt;0,OR(AUTOEVENTO&lt;&gt;"manual",$M185&lt;&gt;$A$15)),
        IF(Import.TipoArredondamento&lt;&gt;"TransfereGOV",
              ROUND(OFFSET($P185,0,AR$13),15-13*ORÇAMENTO!$AF$7)/$H185*OFFSET(ORÇAMENTO!$X$15,ROW(AR185)-ROW(AR$15),0),
              ROUND(ROUND(OFFSET($P185,0,AR$13),15-13*ORÇAMENTO!$AF$7)*OFFSET(ORÇAMENTO!$W$15,ROW(AR185)-ROW(AR$15),0),15-13*ORÇAMENTO!$AF$11)),
         0)</f>
        <v>0</v>
      </c>
      <c r="AS185" s="352" t="n">
        <f aca="true">IF(AND($D185="Serviço",AS$12&lt;&gt;0,$H185&gt;0,OR(AUTOEVENTO&lt;&gt;"manual",$M185&lt;&gt;$A$15)),
        IF(Import.TipoArredondamento&lt;&gt;"TransfereGOV",
              ROUND(OFFSET($P185,0,AS$13),15-13*ORÇAMENTO!$AF$7)/$H185*OFFSET(ORÇAMENTO!$X$15,ROW(AS185)-ROW(AS$15),0),
              ROUND(ROUND(OFFSET($P185,0,AS$13),15-13*ORÇAMENTO!$AF$7)*OFFSET(ORÇAMENTO!$W$15,ROW(AS185)-ROW(AS$15),0),15-13*ORÇAMENTO!$AF$11)),
         0)</f>
        <v>0</v>
      </c>
      <c r="AT185" s="352" t="n">
        <f aca="true">IF(AND($D185="Serviço",AT$12&lt;&gt;0,$H185&gt;0,OR(AUTOEVENTO&lt;&gt;"manual",$M185&lt;&gt;$A$15)),
        IF(Import.TipoArredondamento&lt;&gt;"TransfereGOV",
              ROUND(OFFSET($P185,0,AT$13),15-13*ORÇAMENTO!$AF$7)/$H185*OFFSET(ORÇAMENTO!$X$15,ROW(AT185)-ROW(AT$15),0),
              ROUND(ROUND(OFFSET($P185,0,AT$13),15-13*ORÇAMENTO!$AF$7)*OFFSET(ORÇAMENTO!$W$15,ROW(AT185)-ROW(AT$15),0),15-13*ORÇAMENTO!$AF$11)),
         0)</f>
        <v>0</v>
      </c>
      <c r="AU185" s="352" t="n">
        <f aca="true">IF(AND($D185="Serviço",AU$12&lt;&gt;0,$H185&gt;0,OR(AUTOEVENTO&lt;&gt;"manual",$M185&lt;&gt;$A$15)),
        IF(Import.TipoArredondamento&lt;&gt;"TransfereGOV",
              ROUND(OFFSET($P185,0,AU$13),15-13*ORÇAMENTO!$AF$7)/$H185*OFFSET(ORÇAMENTO!$X$15,ROW(AU185)-ROW(AU$15),0),
              ROUND(ROUND(OFFSET($P185,0,AU$13),15-13*ORÇAMENTO!$AF$7)*OFFSET(ORÇAMENTO!$W$15,ROW(AU185)-ROW(AU$15),0),15-13*ORÇAMENTO!$AF$11)),
         0)</f>
        <v>0</v>
      </c>
      <c r="AV185" s="352" t="n">
        <f aca="true">IF(AND($D185="Serviço",AV$12&lt;&gt;0,$H185&gt;0,OR(AUTOEVENTO&lt;&gt;"manual",$M185&lt;&gt;$A$15)),
        IF(Import.TipoArredondamento&lt;&gt;"TransfereGOV",
              ROUND(OFFSET($P185,0,AV$13),15-13*ORÇAMENTO!$AF$7)/$H185*OFFSET(ORÇAMENTO!$X$15,ROW(AV185)-ROW(AV$15),0),
              ROUND(ROUND(OFFSET($P185,0,AV$13),15-13*ORÇAMENTO!$AF$7)*OFFSET(ORÇAMENTO!$W$15,ROW(AV185)-ROW(AV$15),0),15-13*ORÇAMENTO!$AF$11)),
         0)</f>
        <v>0</v>
      </c>
      <c r="AW185" s="352" t="n">
        <f aca="true">IF(AND($D185="Serviço",AW$12&lt;&gt;0,$H185&gt;0,OR(AUTOEVENTO&lt;&gt;"manual",$M185&lt;&gt;$A$15)),
        IF(Import.TipoArredondamento&lt;&gt;"TransfereGOV",
              ROUND(OFFSET($P185,0,AW$13),15-13*ORÇAMENTO!$AF$7)/$H185*OFFSET(ORÇAMENTO!$X$15,ROW(AW185)-ROW(AW$15),0),
              ROUND(ROUND(OFFSET($P185,0,AW$13),15-13*ORÇAMENTO!$AF$7)*OFFSET(ORÇAMENTO!$W$15,ROW(AW185)-ROW(AW$15),0),15-13*ORÇAMENTO!$AF$11)),
         0)</f>
        <v>0</v>
      </c>
      <c r="AX185" s="352" t="n">
        <f aca="true">IF(AND($D185="Serviço",AX$12&lt;&gt;0,$H185&gt;0,OR(AUTOEVENTO&lt;&gt;"manual",$M185&lt;&gt;$A$15)),
        IF(Import.TipoArredondamento&lt;&gt;"TransfereGOV",
              ROUND(OFFSET($P185,0,AX$13),15-13*ORÇAMENTO!$AF$7)/$H185*OFFSET(ORÇAMENTO!$X$15,ROW(AX185)-ROW(AX$15),0),
              ROUND(ROUND(OFFSET($P185,0,AX$13),15-13*ORÇAMENTO!$AF$7)*OFFSET(ORÇAMENTO!$W$15,ROW(AX185)-ROW(AX$15),0),15-13*ORÇAMENTO!$AF$11)),
         0)</f>
        <v>0</v>
      </c>
      <c r="AY185" s="352" t="n">
        <f aca="true">IF(AND($D185="Serviço",AY$12&lt;&gt;0,$H185&gt;0,OR(AUTOEVENTO&lt;&gt;"manual",$M185&lt;&gt;$A$15)),
        IF(Import.TipoArredondamento&lt;&gt;"TransfereGOV",
              ROUND(OFFSET($P185,0,AY$13),15-13*ORÇAMENTO!$AF$7)/$H185*OFFSET(ORÇAMENTO!$X$15,ROW(AY185)-ROW(AY$15),0),
              ROUND(ROUND(OFFSET($P185,0,AY$13),15-13*ORÇAMENTO!$AF$7)*OFFSET(ORÇAMENTO!$W$15,ROW(AY185)-ROW(AY$15),0),15-13*ORÇAMENTO!$AF$11)),
         0)</f>
        <v>0</v>
      </c>
      <c r="AZ185" s="352" t="n">
        <f aca="true">IF(AND($D185="Serviço",AZ$12&lt;&gt;0,$H185&gt;0,OR(AUTOEVENTO&lt;&gt;"manual",$M185&lt;&gt;$A$15)),
        IF(Import.TipoArredondamento&lt;&gt;"TransfereGOV",
              ROUND(OFFSET($P185,0,AZ$13),15-13*ORÇAMENTO!$AF$7)/$H185*OFFSET(ORÇAMENTO!$X$15,ROW(AZ185)-ROW(AZ$15),0),
              ROUND(ROUND(OFFSET($P185,0,AZ$13),15-13*ORÇAMENTO!$AF$7)*OFFSET(ORÇAMENTO!$W$15,ROW(AZ185)-ROW(AZ$15),0),15-13*ORÇAMENTO!$AF$11)),
         0)</f>
        <v>0</v>
      </c>
      <c r="BA185" s="352" t="n">
        <f aca="true">IF(AND($D185="Serviço",BA$12&lt;&gt;0,$H185&gt;0,OR(AUTOEVENTO&lt;&gt;"manual",$M185&lt;&gt;$A$15)),
        IF(Import.TipoArredondamento&lt;&gt;"TransfereGOV",
              ROUND(OFFSET($P185,0,BA$13),15-13*ORÇAMENTO!$AF$7)/$H185*OFFSET(ORÇAMENTO!$X$15,ROW(BA185)-ROW(BA$15),0),
              ROUND(ROUND(OFFSET($P185,0,BA$13),15-13*ORÇAMENTO!$AF$7)*OFFSET(ORÇAMENTO!$W$15,ROW(BA185)-ROW(BA$15),0),15-13*ORÇAMENTO!$AF$11)),
         0)</f>
        <v>0</v>
      </c>
      <c r="BB185" s="352" t="n">
        <f aca="true">IF(AND($D185="Serviço",BB$12&lt;&gt;0,$H185&gt;0,OR(AUTOEVENTO&lt;&gt;"manual",$M185&lt;&gt;$A$15)),
        IF(Import.TipoArredondamento&lt;&gt;"TransfereGOV",
              ROUND(OFFSET($P185,0,BB$13),15-13*ORÇAMENTO!$AF$7)/$H185*OFFSET(ORÇAMENTO!$X$15,ROW(BB185)-ROW(BB$15),0),
              ROUND(ROUND(OFFSET($P185,0,BB$13),15-13*ORÇAMENTO!$AF$7)*OFFSET(ORÇAMENTO!$W$15,ROW(BB185)-ROW(BB$15),0),15-13*ORÇAMENTO!$AF$11)),
         0)</f>
        <v>0</v>
      </c>
      <c r="BC185" s="352" t="n">
        <f aca="true">IF(AND($D185="Serviço",BC$12&lt;&gt;0,$H185&gt;0,OR(AUTOEVENTO&lt;&gt;"manual",$M185&lt;&gt;$A$15)),
        IF(Import.TipoArredondamento&lt;&gt;"TransfereGOV",
              ROUND(OFFSET($P185,0,BC$13),15-13*ORÇAMENTO!$AF$7)/$H185*OFFSET(ORÇAMENTO!$X$15,ROW(BC185)-ROW(BC$15),0),
              ROUND(ROUND(OFFSET($P185,0,BC$13),15-13*ORÇAMENTO!$AF$7)*OFFSET(ORÇAMENTO!$W$15,ROW(BC185)-ROW(BC$15),0),15-13*ORÇAMENTO!$AF$11)),
         0)</f>
        <v>0</v>
      </c>
      <c r="BD185" s="352" t="n">
        <f aca="true">IF(AND($D185="Serviço",BD$12&lt;&gt;0,$H185&gt;0,OR(AUTOEVENTO&lt;&gt;"manual",$M185&lt;&gt;$A$15)),
        IF(Import.TipoArredondamento&lt;&gt;"TransfereGOV",
              ROUND(OFFSET($P185,0,BD$13),15-13*ORÇAMENTO!$AF$7)/$H185*OFFSET(ORÇAMENTO!$X$15,ROW(BD185)-ROW(BD$15),0),
              ROUND(ROUND(OFFSET($P185,0,BD$13),15-13*ORÇAMENTO!$AF$7)*OFFSET(ORÇAMENTO!$W$15,ROW(BD185)-ROW(BD$15),0),15-13*ORÇAMENTO!$AF$11)),
         0)</f>
        <v>0</v>
      </c>
      <c r="BE185" s="352" t="n">
        <f aca="true">IF(AND($D185="Serviço",BE$12&lt;&gt;0,$H185&gt;0,OR(AUTOEVENTO&lt;&gt;"manual",$M185&lt;&gt;$A$15)),
        IF(Import.TipoArredondamento&lt;&gt;"TransfereGOV",
              ROUND(OFFSET($P185,0,BE$13),15-13*ORÇAMENTO!$AF$7)/$H185*OFFSET(ORÇAMENTO!$X$15,ROW(BE185)-ROW(BE$15),0),
              ROUND(ROUND(OFFSET($P185,0,BE$13),15-13*ORÇAMENTO!$AF$7)*OFFSET(ORÇAMENTO!$W$15,ROW(BE185)-ROW(BE$15),0),15-13*ORÇAMENTO!$AF$11)),
         0)</f>
        <v>0</v>
      </c>
      <c r="BF185" s="352" t="n">
        <f aca="true">IF(AND($D185="Serviço",BF$12&lt;&gt;0,$H185&gt;0,OR(AUTOEVENTO&lt;&gt;"manual",$M185&lt;&gt;$A$15)),
        IF(Import.TipoArredondamento&lt;&gt;"TransfereGOV",
              ROUND(OFFSET($P185,0,BF$13),15-13*ORÇAMENTO!$AF$7)/$H185*OFFSET(ORÇAMENTO!$X$15,ROW(BF185)-ROW(BF$15),0),
              ROUND(ROUND(OFFSET($P185,0,BF$13),15-13*ORÇAMENTO!$AF$7)*OFFSET(ORÇAMENTO!$W$15,ROW(BF185)-ROW(BF$15),0),15-13*ORÇAMENTO!$AF$11)),
         0)</f>
        <v>0</v>
      </c>
      <c r="BG185" s="352" t="n">
        <f aca="true">IF(AND($D185="Serviço",BG$12&lt;&gt;0,$H185&gt;0,OR(AUTOEVENTO&lt;&gt;"manual",$M185&lt;&gt;$A$15)),
        IF(Import.TipoArredondamento&lt;&gt;"TransfereGOV",
              ROUND(OFFSET($P185,0,BG$13),15-13*ORÇAMENTO!$AF$7)/$H185*OFFSET(ORÇAMENTO!$X$15,ROW(BG185)-ROW(BG$15),0),
              ROUND(ROUND(OFFSET($P185,0,BG$13),15-13*ORÇAMENTO!$AF$7)*OFFSET(ORÇAMENTO!$W$15,ROW(BG185)-ROW(BG$15),0),15-13*ORÇAMENTO!$AF$11)),
         0)</f>
        <v>0</v>
      </c>
      <c r="BH185" s="352" t="n">
        <f aca="true">IF(AND($D185="Serviço",BH$12&lt;&gt;0,$H185&gt;0,OR(AUTOEVENTO&lt;&gt;"manual",$M185&lt;&gt;$A$15)),
        IF(Import.TipoArredondamento&lt;&gt;"TransfereGOV",
              ROUND(OFFSET($P185,0,BH$13),15-13*ORÇAMENTO!$AF$7)/$H185*OFFSET(ORÇAMENTO!$X$15,ROW(BH185)-ROW(BH$15),0),
              ROUND(ROUND(OFFSET($P185,0,BH$13),15-13*ORÇAMENTO!$AF$7)*OFFSET(ORÇAMENTO!$W$15,ROW(BH185)-ROW(BH$15),0),15-13*ORÇAMENTO!$AF$11)),
         0)</f>
        <v>0</v>
      </c>
      <c r="BI185" s="352" t="n">
        <f aca="true">IF(AND($D185="Serviço",BI$12&lt;&gt;0,$H185&gt;0,OR(AUTOEVENTO&lt;&gt;"manual",$M185&lt;&gt;$A$15)),
        IF(Import.TipoArredondamento&lt;&gt;"TransfereGOV",
              ROUND(OFFSET($P185,0,BI$13),15-13*ORÇAMENTO!$AF$7)/$H185*OFFSET(ORÇAMENTO!$X$15,ROW(BI185)-ROW(BI$15),0),
              ROUND(ROUND(OFFSET($P185,0,BI$13),15-13*ORÇAMENTO!$AF$7)*OFFSET(ORÇAMENTO!$W$15,ROW(BI185)-ROW(BI$15),0),15-13*ORÇAMENTO!$AF$11)),
         0)</f>
        <v>0</v>
      </c>
      <c r="BJ185" s="352" t="n">
        <f aca="true">IF(AND($D185="Serviço",BJ$12&lt;&gt;0,$H185&gt;0,OR(AUTOEVENTO&lt;&gt;"manual",$M185&lt;&gt;$A$15)),
        IF(Import.TipoArredondamento&lt;&gt;"TransfereGOV",
              ROUND(OFFSET($P185,0,BJ$13),15-13*ORÇAMENTO!$AF$7)/$H185*OFFSET(ORÇAMENTO!$X$15,ROW(BJ185)-ROW(BJ$15),0),
              ROUND(ROUND(OFFSET($P185,0,BJ$13),15-13*ORÇAMENTO!$AF$7)*OFFSET(ORÇAMENTO!$W$15,ROW(BJ185)-ROW(BJ$15),0),15-13*ORÇAMENTO!$AF$11)),
         0)</f>
        <v>0</v>
      </c>
      <c r="BK185" s="352" t="n">
        <f aca="true">IF(AND($D185="Serviço",BK$12&lt;&gt;0,$H185&gt;0,OR(AUTOEVENTO&lt;&gt;"manual",$M185&lt;&gt;$A$15)),
        IF(Import.TipoArredondamento&lt;&gt;"TransfereGOV",
              ROUND(OFFSET($P185,0,BK$13),15-13*ORÇAMENTO!$AF$7)/$H185*OFFSET(ORÇAMENTO!$X$15,ROW(BK185)-ROW(BK$15),0),
              ROUND(ROUND(OFFSET($P185,0,BK$13),15-13*ORÇAMENTO!$AF$7)*OFFSET(ORÇAMENTO!$W$15,ROW(BK185)-ROW(BK$15),0),15-13*ORÇAMENTO!$AF$11)),
         0)</f>
        <v>0</v>
      </c>
      <c r="BL185" s="352" t="n">
        <f aca="true">IF(AND($D185="Serviço",BL$12&lt;&gt;0,$H185&gt;0,OR(AUTOEVENTO&lt;&gt;"manual",$M185&lt;&gt;$A$15)),
        IF(Import.TipoArredondamento&lt;&gt;"TransfereGOV",
              ROUND(OFFSET($P185,0,BL$13),15-13*ORÇAMENTO!$AF$7)/$H185*OFFSET(ORÇAMENTO!$X$15,ROW(BL185)-ROW(BL$15),0),
              ROUND(ROUND(OFFSET($P185,0,BL$13),15-13*ORÇAMENTO!$AF$7)*OFFSET(ORÇAMENTO!$W$15,ROW(BL185)-ROW(BL$15),0),15-13*ORÇAMENTO!$AF$11)),
         0)</f>
        <v>0</v>
      </c>
      <c r="BM185" s="352" t="n">
        <f aca="true">IF(AND($D185="Serviço",BM$12&lt;&gt;0,$H185&gt;0,OR(AUTOEVENTO&lt;&gt;"manual",$M185&lt;&gt;$A$15)),
        IF(Import.TipoArredondamento&lt;&gt;"TransfereGOV",
              ROUND(OFFSET($P185,0,BM$13),15-13*ORÇAMENTO!$AF$7)/$H185*OFFSET(ORÇAMENTO!$X$15,ROW(BM185)-ROW(BM$15),0),
              ROUND(ROUND(OFFSET($P185,0,BM$13),15-13*ORÇAMENTO!$AF$7)*OFFSET(ORÇAMENTO!$W$15,ROW(BM185)-ROW(BM$15),0),15-13*ORÇAMENTO!$AF$11)),
         0)</f>
        <v>0</v>
      </c>
      <c r="BN185" s="352" t="n">
        <f aca="true">IF(AND($D185="Serviço",BN$12&lt;&gt;0,$H185&gt;0,OR(AUTOEVENTO&lt;&gt;"manual",$M185&lt;&gt;$A$15)),
        IF(Import.TipoArredondamento&lt;&gt;"TransfereGOV",
              ROUND(OFFSET($P185,0,BN$13),15-13*ORÇAMENTO!$AF$7)/$H185*OFFSET(ORÇAMENTO!$X$15,ROW(BN185)-ROW(BN$15),0),
              ROUND(ROUND(OFFSET($P185,0,BN$13),15-13*ORÇAMENTO!$AF$7)*OFFSET(ORÇAMENTO!$W$15,ROW(BN185)-ROW(BN$15),0),15-13*ORÇAMENTO!$AF$11)),
         0)</f>
        <v>0</v>
      </c>
      <c r="BO185" s="352" t="n">
        <f aca="true">IF(AND($D185="Serviço",BO$12&lt;&gt;0,$H185&gt;0,OR(AUTOEVENTO&lt;&gt;"manual",$M185&lt;&gt;$A$15)),
        IF(Import.TipoArredondamento&lt;&gt;"TransfereGOV",
              ROUND(OFFSET($P185,0,BO$13),15-13*ORÇAMENTO!$AF$7)/$H185*OFFSET(ORÇAMENTO!$X$15,ROW(BO185)-ROW(BO$15),0),
              ROUND(ROUND(OFFSET($P185,0,BO$13),15-13*ORÇAMENTO!$AF$7)*OFFSET(ORÇAMENTO!$W$15,ROW(BO185)-ROW(BO$15),0),15-13*ORÇAMENTO!$AF$11)),
         0)</f>
        <v>0</v>
      </c>
      <c r="BP185" s="352" t="n">
        <f aca="true">IF(AND($D185="Serviço",BP$12&lt;&gt;0,$H185&gt;0,OR(AUTOEVENTO&lt;&gt;"manual",$M185&lt;&gt;$A$15)),
        IF(Import.TipoArredondamento&lt;&gt;"TransfereGOV",
              ROUND(OFFSET($P185,0,BP$13),15-13*ORÇAMENTO!$AF$7)/$H185*OFFSET(ORÇAMENTO!$X$15,ROW(BP185)-ROW(BP$15),0),
              ROUND(ROUND(OFFSET($P185,0,BP$13),15-13*ORÇAMENTO!$AF$7)*OFFSET(ORÇAMENTO!$W$15,ROW(BP185)-ROW(BP$15),0),15-13*ORÇAMENTO!$AF$11)),
         0)</f>
        <v>0</v>
      </c>
      <c r="BQ185" s="352" t="n">
        <f aca="true">IF(AND($D185="Serviço",BQ$12&lt;&gt;0,$H185&gt;0,OR(AUTOEVENTO&lt;&gt;"manual",$M185&lt;&gt;$A$15)),
        IF(Import.TipoArredondamento&lt;&gt;"TransfereGOV",
              ROUND(OFFSET($P185,0,BQ$13),15-13*ORÇAMENTO!$AF$7)/$H185*OFFSET(ORÇAMENTO!$X$15,ROW(BQ185)-ROW(BQ$15),0),
              ROUND(ROUND(OFFSET($P185,0,BQ$13),15-13*ORÇAMENTO!$AF$7)*OFFSET(ORÇAMENTO!$W$15,ROW(BQ185)-ROW(BQ$15),0),15-13*ORÇAMENTO!$AF$11)),
         0)</f>
        <v>0</v>
      </c>
      <c r="BS185" s="353" t="n">
        <f aca="true">IF(OR($D185&lt;&gt;"Serviço",AND(AUTOEVENTO="Manual",$M185=$A$15)),0,
         IF(OFFSET(CRONOPLE!$F$15,$M185-$A$15,BS$13)=0,10^12,OFFSET(CRONOPLE!$F$15,$M185-$A$15,BS$13)))</f>
        <v>0</v>
      </c>
      <c r="BT185" s="353" t="n">
        <f aca="true">IF(OR($D185&lt;&gt;"Serviço",AND(AUTOEVENTO="Manual",$M185=$A$15)),0,
         IF(OFFSET(CRONOPLE!$F$15,$M185-$A$15,BT$13)=0,10^12,OFFSET(CRONOPLE!$F$15,$M185-$A$15,BT$13)))</f>
        <v>0</v>
      </c>
      <c r="BU185" s="353" t="n">
        <f aca="true">IF(OR($D185&lt;&gt;"Serviço",AND(AUTOEVENTO="Manual",$M185=$A$15)),0,
         IF(OFFSET(CRONOPLE!$F$15,$M185-$A$15,BU$13)=0,10^12,OFFSET(CRONOPLE!$F$15,$M185-$A$15,BU$13)))</f>
        <v>0</v>
      </c>
      <c r="BV185" s="353" t="n">
        <f aca="true">IF(OR($D185&lt;&gt;"Serviço",AND(AUTOEVENTO="Manual",$M185=$A$15)),0,
         IF(OFFSET(CRONOPLE!$F$15,$M185-$A$15,BV$13)=0,10^12,OFFSET(CRONOPLE!$F$15,$M185-$A$15,BV$13)))</f>
        <v>0</v>
      </c>
      <c r="BW185" s="353" t="n">
        <f aca="true">IF(OR($D185&lt;&gt;"Serviço",AND(AUTOEVENTO="Manual",$M185=$A$15)),0,
         IF(OFFSET(CRONOPLE!$F$15,$M185-$A$15,BW$13)=0,10^12,OFFSET(CRONOPLE!$F$15,$M185-$A$15,BW$13)))</f>
        <v>0</v>
      </c>
      <c r="BX185" s="353" t="n">
        <f aca="true">IF(OR($D185&lt;&gt;"Serviço",AND(AUTOEVENTO="Manual",$M185=$A$15)),0,
         IF(OFFSET(CRONOPLE!$F$15,$M185-$A$15,BX$13)=0,10^12,OFFSET(CRONOPLE!$F$15,$M185-$A$15,BX$13)))</f>
        <v>0</v>
      </c>
      <c r="BY185" s="353" t="n">
        <f aca="true">IF(OR($D185&lt;&gt;"Serviço",AND(AUTOEVENTO="Manual",$M185=$A$15)),0,
         IF(OFFSET(CRONOPLE!$F$15,$M185-$A$15,BY$13)=0,10^12,OFFSET(CRONOPLE!$F$15,$M185-$A$15,BY$13)))</f>
        <v>0</v>
      </c>
      <c r="BZ185" s="353" t="n">
        <f aca="true">IF(OR($D185&lt;&gt;"Serviço",AND(AUTOEVENTO="Manual",$M185=$A$15)),0,
         IF(OFFSET(CRONOPLE!$F$15,$M185-$A$15,BZ$13)=0,10^12,OFFSET(CRONOPLE!$F$15,$M185-$A$15,BZ$13)))</f>
        <v>0</v>
      </c>
      <c r="CA185" s="353" t="n">
        <f aca="true">IF(OR($D185&lt;&gt;"Serviço",AND(AUTOEVENTO="Manual",$M185=$A$15)),0,
         IF(OFFSET(CRONOPLE!$F$15,$M185-$A$15,CA$13)=0,10^12,OFFSET(CRONOPLE!$F$15,$M185-$A$15,CA$13)))</f>
        <v>0</v>
      </c>
      <c r="CB185" s="353" t="n">
        <f aca="true">IF(OR($D185&lt;&gt;"Serviço",AND(AUTOEVENTO="Manual",$M185=$A$15)),0,
         IF(OFFSET(CRONOPLE!$F$15,$M185-$A$15,CB$13)=0,10^12,OFFSET(CRONOPLE!$F$15,$M185-$A$15,CB$13)))</f>
        <v>0</v>
      </c>
      <c r="CC185" s="353" t="n">
        <f aca="true">IF(OR($D185&lt;&gt;"Serviço",AND(AUTOEVENTO="Manual",$M185=$A$15)),0,
         IF(OFFSET(CRONOPLE!$F$15,$M185-$A$15,CC$13)=0,10^12,OFFSET(CRONOPLE!$F$15,$M185-$A$15,CC$13)))</f>
        <v>0</v>
      </c>
      <c r="CD185" s="353" t="n">
        <f aca="true">IF(OR($D185&lt;&gt;"Serviço",AND(AUTOEVENTO="Manual",$M185=$A$15)),0,
         IF(OFFSET(CRONOPLE!$F$15,$M185-$A$15,CD$13)=0,10^12,OFFSET(CRONOPLE!$F$15,$M185-$A$15,CD$13)))</f>
        <v>0</v>
      </c>
      <c r="CE185" s="353" t="n">
        <f aca="true">IF(OR($D185&lt;&gt;"Serviço",AND(AUTOEVENTO="Manual",$M185=$A$15)),0,
         IF(OFFSET(CRONOPLE!$F$15,$M185-$A$15,CE$13)=0,10^12,OFFSET(CRONOPLE!$F$15,$M185-$A$15,CE$13)))</f>
        <v>0</v>
      </c>
      <c r="CF185" s="353" t="n">
        <f aca="true">IF(OR($D185&lt;&gt;"Serviço",AND(AUTOEVENTO="Manual",$M185=$A$15)),0,
         IF(OFFSET(CRONOPLE!$F$15,$M185-$A$15,CF$13)=0,10^12,OFFSET(CRONOPLE!$F$15,$M185-$A$15,CF$13)))</f>
        <v>0</v>
      </c>
      <c r="CG185" s="353" t="n">
        <f aca="true">IF(OR($D185&lt;&gt;"Serviço",AND(AUTOEVENTO="Manual",$M185=$A$15)),0,
         IF(OFFSET(CRONOPLE!$F$15,$M185-$A$15,CG$13)=0,10^12,OFFSET(CRONOPLE!$F$15,$M185-$A$15,CG$13)))</f>
        <v>0</v>
      </c>
      <c r="CH185" s="353" t="n">
        <f aca="true">IF(OR($D185&lt;&gt;"Serviço",AND(AUTOEVENTO="Manual",$M185=$A$15)),0,
         IF(OFFSET(CRONOPLE!$F$15,$M185-$A$15,CH$13)=0,10^12,OFFSET(CRONOPLE!$F$15,$M185-$A$15,CH$13)))</f>
        <v>0</v>
      </c>
      <c r="CI185" s="353" t="n">
        <f aca="true">IF(OR($D185&lt;&gt;"Serviço",AND(AUTOEVENTO="Manual",$M185=$A$15)),0,
         IF(OFFSET(CRONOPLE!$F$15,$M185-$A$15,CI$13)=0,10^12,OFFSET(CRONOPLE!$F$15,$M185-$A$15,CI$13)))</f>
        <v>0</v>
      </c>
      <c r="CJ185" s="353" t="n">
        <f aca="true">IF(OR($D185&lt;&gt;"Serviço",AND(AUTOEVENTO="Manual",$M185=$A$15)),0,
         IF(OFFSET(CRONOPLE!$F$15,$M185-$A$15,CJ$13)=0,10^12,OFFSET(CRONOPLE!$F$15,$M185-$A$15,CJ$13)))</f>
        <v>0</v>
      </c>
      <c r="CK185" s="353" t="n">
        <f aca="true">IF(OR($D185&lt;&gt;"Serviço",AND(AUTOEVENTO="Manual",$M185=$A$15)),0,
         IF(OFFSET(CRONOPLE!$F$15,$M185-$A$15,CK$13)=0,10^12,OFFSET(CRONOPLE!$F$15,$M185-$A$15,CK$13)))</f>
        <v>0</v>
      </c>
      <c r="CL185" s="353" t="n">
        <f aca="true">IF(OR($D185&lt;&gt;"Serviço",AND(AUTOEVENTO="Manual",$M185=$A$15)),0,
         IF(OFFSET(CRONOPLE!$F$15,$M185-$A$15,CL$13)=0,10^12,OFFSET(CRONOPLE!$F$15,$M185-$A$15,CL$13)))</f>
        <v>0</v>
      </c>
      <c r="CM185" s="353" t="n">
        <f aca="true">IF(OR($D185&lt;&gt;"Serviço",AND(AUTOEVENTO="Manual",$M185=$A$15)),0,
         IF(OFFSET(CRONOPLE!$F$15,$M185-$A$15,CM$13)=0,10^12,OFFSET(CRONOPLE!$F$15,$M185-$A$15,CM$13)))</f>
        <v>0</v>
      </c>
      <c r="CN185" s="353" t="n">
        <f aca="true">IF(OR($D185&lt;&gt;"Serviço",AND(AUTOEVENTO="Manual",$M185=$A$15)),0,
         IF(OFFSET(CRONOPLE!$F$15,$M185-$A$15,CN$13)=0,10^12,OFFSET(CRONOPLE!$F$15,$M185-$A$15,CN$13)))</f>
        <v>0</v>
      </c>
      <c r="CO185" s="353" t="n">
        <f aca="true">IF(OR($D185&lt;&gt;"Serviço",AND(AUTOEVENTO="Manual",$M185=$A$15)),0,
         IF(OFFSET(CRONOPLE!$F$15,$M185-$A$15,CO$13)=0,10^12,OFFSET(CRONOPLE!$F$15,$M185-$A$15,CO$13)))</f>
        <v>0</v>
      </c>
      <c r="CP185" s="353" t="n">
        <f aca="true">IF(OR($D185&lt;&gt;"Serviço",AND(AUTOEVENTO="Manual",$M185=$A$15)),0,
         IF(OFFSET(CRONOPLE!$F$15,$M185-$A$15,CP$13)=0,10^12,OFFSET(CRONOPLE!$F$15,$M185-$A$15,CP$13)))</f>
        <v>0</v>
      </c>
      <c r="CQ185" s="353" t="n">
        <f aca="true">IF(OR($D185&lt;&gt;"Serviço",AND(AUTOEVENTO="Manual",$M185=$A$15)),0,
         IF(OFFSET(CRONOPLE!$F$15,$M185-$A$15,CQ$13)=0,10^12,OFFSET(CRONOPLE!$F$15,$M185-$A$15,CQ$13)))</f>
        <v>0</v>
      </c>
      <c r="CR185" s="353" t="n">
        <f aca="true">IF(OR($D185&lt;&gt;"Serviço",AND(AUTOEVENTO="Manual",$M185=$A$15)),0,
         IF(OFFSET(CRONOPLE!$F$15,$M185-$A$15,CR$13)=0,10^12,OFFSET(CRONOPLE!$F$15,$M185-$A$15,CR$13)))</f>
        <v>0</v>
      </c>
      <c r="CT185" s="354" t="n">
        <f aca="true">IF(OR($D185&lt;&gt;"Serviço",AND(AUTOEVENTO="Manual",$M185=$A$15),$M185&gt;(ROW(PLE.lastrow)-ROW(PLE.firstrow))),0,
           IF(OFFSET(PLE!$G$15,$M185-$A$15,CT$13)="",10^12,OFFSET(PLE!$G$15,$M185-$A$15,CT$13)))</f>
        <v>0</v>
      </c>
      <c r="CU185" s="354" t="n">
        <f aca="true">IF(OR($D185&lt;&gt;"Serviço",AND(AUTOEVENTO="Manual",$M185=$A$15),$M185&gt;(ROW(PLE.lastrow)-ROW(PLE.firstrow))),0,
           IF(OFFSET(PLE!$G$15,$M185-$A$15,CU$13)="",10^12,OFFSET(PLE!$G$15,$M185-$A$15,CU$13)))</f>
        <v>0</v>
      </c>
      <c r="CV185" s="354" t="n">
        <f aca="true">IF(OR($D185&lt;&gt;"Serviço",AND(AUTOEVENTO="Manual",$M185=$A$15),$M185&gt;(ROW(PLE.lastrow)-ROW(PLE.firstrow))),0,
           IF(OFFSET(PLE!$G$15,$M185-$A$15,CV$13)="",10^12,OFFSET(PLE!$G$15,$M185-$A$15,CV$13)))</f>
        <v>0</v>
      </c>
      <c r="CW185" s="354" t="n">
        <f aca="true">IF(OR($D185&lt;&gt;"Serviço",AND(AUTOEVENTO="Manual",$M185=$A$15),$M185&gt;(ROW(PLE.lastrow)-ROW(PLE.firstrow))),0,
           IF(OFFSET(PLE!$G$15,$M185-$A$15,CW$13)="",10^12,OFFSET(PLE!$G$15,$M185-$A$15,CW$13)))</f>
        <v>0</v>
      </c>
      <c r="CX185" s="354" t="n">
        <f aca="true">IF(OR($D185&lt;&gt;"Serviço",AND(AUTOEVENTO="Manual",$M185=$A$15),$M185&gt;(ROW(PLE.lastrow)-ROW(PLE.firstrow))),0,
           IF(OFFSET(PLE!$G$15,$M185-$A$15,CX$13)="",10^12,OFFSET(PLE!$G$15,$M185-$A$15,CX$13)))</f>
        <v>0</v>
      </c>
      <c r="CY185" s="354" t="n">
        <f aca="true">IF(OR($D185&lt;&gt;"Serviço",AND(AUTOEVENTO="Manual",$M185=$A$15),$M185&gt;(ROW(PLE.lastrow)-ROW(PLE.firstrow))),0,
           IF(OFFSET(PLE!$G$15,$M185-$A$15,CY$13)="",10^12,OFFSET(PLE!$G$15,$M185-$A$15,CY$13)))</f>
        <v>0</v>
      </c>
      <c r="CZ185" s="354" t="n">
        <f aca="true">IF(OR($D185&lt;&gt;"Serviço",AND(AUTOEVENTO="Manual",$M185=$A$15),$M185&gt;(ROW(PLE.lastrow)-ROW(PLE.firstrow))),0,
           IF(OFFSET(PLE!$G$15,$M185-$A$15,CZ$13)="",10^12,OFFSET(PLE!$G$15,$M185-$A$15,CZ$13)))</f>
        <v>0</v>
      </c>
      <c r="DA185" s="354" t="n">
        <f aca="true">IF(OR($D185&lt;&gt;"Serviço",AND(AUTOEVENTO="Manual",$M185=$A$15),$M185&gt;(ROW(PLE.lastrow)-ROW(PLE.firstrow))),0,
           IF(OFFSET(PLE!$G$15,$M185-$A$15,DA$13)="",10^12,OFFSET(PLE!$G$15,$M185-$A$15,DA$13)))</f>
        <v>0</v>
      </c>
      <c r="DB185" s="354" t="n">
        <f aca="true">IF(OR($D185&lt;&gt;"Serviço",AND(AUTOEVENTO="Manual",$M185=$A$15),$M185&gt;(ROW(PLE.lastrow)-ROW(PLE.firstrow))),0,
           IF(OFFSET(PLE!$G$15,$M185-$A$15,DB$13)="",10^12,OFFSET(PLE!$G$15,$M185-$A$15,DB$13)))</f>
        <v>0</v>
      </c>
      <c r="DC185" s="354" t="n">
        <f aca="true">IF(OR($D185&lt;&gt;"Serviço",AND(AUTOEVENTO="Manual",$M185=$A$15),$M185&gt;(ROW(PLE.lastrow)-ROW(PLE.firstrow))),0,
           IF(OFFSET(PLE!$G$15,$M185-$A$15,DC$13)="",10^12,OFFSET(PLE!$G$15,$M185-$A$15,DC$13)))</f>
        <v>0</v>
      </c>
      <c r="DD185" s="354" t="n">
        <f aca="true">IF(OR($D185&lt;&gt;"Serviço",AND(AUTOEVENTO="Manual",$M185=$A$15),$M185&gt;(ROW(PLE.lastrow)-ROW(PLE.firstrow))),0,
           IF(OFFSET(PLE!$G$15,$M185-$A$15,DD$13)="",10^12,OFFSET(PLE!$G$15,$M185-$A$15,DD$13)))</f>
        <v>0</v>
      </c>
      <c r="DE185" s="354" t="n">
        <f aca="true">IF(OR($D185&lt;&gt;"Serviço",AND(AUTOEVENTO="Manual",$M185=$A$15),$M185&gt;(ROW(PLE.lastrow)-ROW(PLE.firstrow))),0,
           IF(OFFSET(PLE!$G$15,$M185-$A$15,DE$13)="",10^12,OFFSET(PLE!$G$15,$M185-$A$15,DE$13)))</f>
        <v>0</v>
      </c>
      <c r="DF185" s="354" t="n">
        <f aca="true">IF(OR($D185&lt;&gt;"Serviço",AND(AUTOEVENTO="Manual",$M185=$A$15),$M185&gt;(ROW(PLE.lastrow)-ROW(PLE.firstrow))),0,
           IF(OFFSET(PLE!$G$15,$M185-$A$15,DF$13)="",10^12,OFFSET(PLE!$G$15,$M185-$A$15,DF$13)))</f>
        <v>0</v>
      </c>
      <c r="DG185" s="354" t="n">
        <f aca="true">IF(OR($D185&lt;&gt;"Serviço",AND(AUTOEVENTO="Manual",$M185=$A$15),$M185&gt;(ROW(PLE.lastrow)-ROW(PLE.firstrow))),0,
           IF(OFFSET(PLE!$G$15,$M185-$A$15,DG$13)="",10^12,OFFSET(PLE!$G$15,$M185-$A$15,DG$13)))</f>
        <v>0</v>
      </c>
      <c r="DH185" s="354" t="n">
        <f aca="true">IF(OR($D185&lt;&gt;"Serviço",AND(AUTOEVENTO="Manual",$M185=$A$15),$M185&gt;(ROW(PLE.lastrow)-ROW(PLE.firstrow))),0,
           IF(OFFSET(PLE!$G$15,$M185-$A$15,DH$13)="",10^12,OFFSET(PLE!$G$15,$M185-$A$15,DH$13)))</f>
        <v>0</v>
      </c>
      <c r="DI185" s="354" t="n">
        <f aca="true">IF(OR($D185&lt;&gt;"Serviço",AND(AUTOEVENTO="Manual",$M185=$A$15),$M185&gt;(ROW(PLE.lastrow)-ROW(PLE.firstrow))),0,
           IF(OFFSET(PLE!$G$15,$M185-$A$15,DI$13)="",10^12,OFFSET(PLE!$G$15,$M185-$A$15,DI$13)))</f>
        <v>0</v>
      </c>
      <c r="DJ185" s="354" t="n">
        <f aca="true">IF(OR($D185&lt;&gt;"Serviço",AND(AUTOEVENTO="Manual",$M185=$A$15),$M185&gt;(ROW(PLE.lastrow)-ROW(PLE.firstrow))),0,
           IF(OFFSET(PLE!$G$15,$M185-$A$15,DJ$13)="",10^12,OFFSET(PLE!$G$15,$M185-$A$15,DJ$13)))</f>
        <v>0</v>
      </c>
      <c r="DK185" s="354" t="n">
        <f aca="true">IF(OR($D185&lt;&gt;"Serviço",AND(AUTOEVENTO="Manual",$M185=$A$15),$M185&gt;(ROW(PLE.lastrow)-ROW(PLE.firstrow))),0,
           IF(OFFSET(PLE!$G$15,$M185-$A$15,DK$13)="",10^12,OFFSET(PLE!$G$15,$M185-$A$15,DK$13)))</f>
        <v>0</v>
      </c>
      <c r="DL185" s="354" t="n">
        <f aca="true">IF(OR($D185&lt;&gt;"Serviço",AND(AUTOEVENTO="Manual",$M185=$A$15),$M185&gt;(ROW(PLE.lastrow)-ROW(PLE.firstrow))),0,
           IF(OFFSET(PLE!$G$15,$M185-$A$15,DL$13)="",10^12,OFFSET(PLE!$G$15,$M185-$A$15,DL$13)))</f>
        <v>0</v>
      </c>
      <c r="DM185" s="354" t="n">
        <f aca="true">IF(OR($D185&lt;&gt;"Serviço",AND(AUTOEVENTO="Manual",$M185=$A$15),$M185&gt;(ROW(PLE.lastrow)-ROW(PLE.firstrow))),0,
           IF(OFFSET(PLE!$G$15,$M185-$A$15,DM$13)="",10^12,OFFSET(PLE!$G$15,$M185-$A$15,DM$13)))</f>
        <v>0</v>
      </c>
      <c r="DN185" s="354" t="n">
        <f aca="true">IF(OR($D185&lt;&gt;"Serviço",AND(AUTOEVENTO="Manual",$M185=$A$15),$M185&gt;(ROW(PLE.lastrow)-ROW(PLE.firstrow))),0,
           IF(OFFSET(PLE!$G$15,$M185-$A$15,DN$13)="",10^12,OFFSET(PLE!$G$15,$M185-$A$15,DN$13)))</f>
        <v>0</v>
      </c>
      <c r="DO185" s="354" t="n">
        <f aca="true">IF(OR($D185&lt;&gt;"Serviço",AND(AUTOEVENTO="Manual",$M185=$A$15),$M185&gt;(ROW(PLE.lastrow)-ROW(PLE.firstrow))),0,
           IF(OFFSET(PLE!$G$15,$M185-$A$15,DO$13)="",10^12,OFFSET(PLE!$G$15,$M185-$A$15,DO$13)))</f>
        <v>0</v>
      </c>
      <c r="DP185" s="354" t="n">
        <f aca="true">IF(OR($D185&lt;&gt;"Serviço",AND(AUTOEVENTO="Manual",$M185=$A$15),$M185&gt;(ROW(PLE.lastrow)-ROW(PLE.firstrow))),0,
           IF(OFFSET(PLE!$G$15,$M185-$A$15,DP$13)="",10^12,OFFSET(PLE!$G$15,$M185-$A$15,DP$13)))</f>
        <v>0</v>
      </c>
      <c r="DQ185" s="354" t="n">
        <f aca="true">IF(OR($D185&lt;&gt;"Serviço",AND(AUTOEVENTO="Manual",$M185=$A$15),$M185&gt;(ROW(PLE.lastrow)-ROW(PLE.firstrow))),0,
           IF(OFFSET(PLE!$G$15,$M185-$A$15,DQ$13)="",10^12,OFFSET(PLE!$G$15,$M185-$A$15,DQ$13)))</f>
        <v>0</v>
      </c>
      <c r="DR185" s="354" t="n">
        <f aca="true">IF(OR($D185&lt;&gt;"Serviço",AND(AUTOEVENTO="Manual",$M185=$A$15),$M185&gt;(ROW(PLE.lastrow)-ROW(PLE.firstrow))),0,
           IF(OFFSET(PLE!$G$15,$M185-$A$15,DR$13)="",10^12,OFFSET(PLE!$G$15,$M185-$A$15,DR$13)))</f>
        <v>0</v>
      </c>
      <c r="DS185" s="354" t="n">
        <f aca="true">IF(OR($D185&lt;&gt;"Serviço",AND(AUTOEVENTO="Manual",$M185=$A$15),$M185&gt;(ROW(PLE.lastrow)-ROW(PLE.firstrow))),0,
           IF(OFFSET(PLE!$G$15,$M185-$A$15,DS$13)="",10^12,OFFSET(PLE!$G$15,$M185-$A$15,DS$13)))</f>
        <v>0</v>
      </c>
    </row>
    <row r="186" customFormat="false" ht="35.05" hidden="false" customHeight="false" outlineLevel="0" collapsed="false">
      <c r="A186" s="50" t="str">
        <f aca="true">IFERROR(IF(AUTOEVENTO="Manual",IF(K186&lt;&gt;"",MIN(VALUE(LEFT(K186,FIND(".",K186)-1)),COUNTA(EVENTOS.Lista)),0),IF(OR($B186&gt;AUTOEVENTO,$B186="S",$B186=0),SUBSTITUTE(OFFSET($A186,-1,0),IF($D186="Serviço",".",""),""),ROW(A186)-ROW($A$15)&amp;".")),0)</f>
        <v>170</v>
      </c>
      <c r="B186" s="50" t="str">
        <f aca="true">OFFSET(ORÇAMENTO!C$15,ROW(B186)-ROW(B$15),0)</f>
        <v>S</v>
      </c>
      <c r="C186" s="50" t="str">
        <f aca="true">OFFSET(ORÇAMENTO!L$15,ROW(C186)-ROW(C$15),0)</f>
        <v>F</v>
      </c>
      <c r="D186" s="201" t="str">
        <f aca="true">OFFSET(ORÇAMENTO!N$15,ROW(D186)-ROW(D$15),0)</f>
        <v>Serviço</v>
      </c>
      <c r="E186" s="202" t="str">
        <f aca="true">OFFSET(ORÇAMENTO!O$15,ROW(E186)-ROW(E$15),0)</f>
        <v>1.46.1.</v>
      </c>
      <c r="F186" s="341" t="str">
        <f aca="true">OFFSET(ORÇAMENTO!R$15,ROW(F186)-ROW(F$15),0)</f>
        <v>CAIXA SIFONADA, PVC, DN 100 X 100 X 50 MM, JUNTA ELÁSTICA, FORNECIDA E INSTALADA EM RAMAL DE DESCARGA OU EM RAMAL DE ESGOTO SANITÁRIO. AF_08/2022</v>
      </c>
      <c r="G186" s="342" t="str">
        <f aca="true">IF($D186&lt;&gt;"Serviço","",OFFSET(ORÇAMENTO!S$15,ROW(G186)-ROW(G$15),0))</f>
        <v>UN</v>
      </c>
      <c r="H186" s="207" t="n">
        <f aca="true">IF($D186&lt;&gt;"Serviço",0,IF(ACOMPANHAMENTO="BM",ROUND(OFFSET(ORÇAMENTO!AJ$15,ROW(H186)-ROW(H$15),0),15-13*ORÇAMENTO!$AF$7),SUMPRODUCT(($Q$1:$AQ$1=1)*ROUND($Q186:$AQ186,15-13*ORÇAMENTO!$AF$7))))</f>
        <v>25</v>
      </c>
      <c r="I186" s="343" t="s">
        <v>969</v>
      </c>
      <c r="J186" s="344" t="e">
        <f aca="false">IF(OR(B186&lt;&gt;"S",CÁLCULO.FrentesPreenchidas=0),"",IF(AND(ACOMPANHAMENTO="PLE",AUTOEVENTO="Manual",OR(H186&gt;0,ORÇAMENTO!AC186="QUANT."),OR(K186="",M186=0,N186="")),"►",IF(AND(ACOMPANHAMENTO="PLE",ORÇAMENTO!AC186="QUANT."),"►►",IF(AND(COUNTIF($P$11:$AQ$11,"▼")=0,H186&gt;0,I186=""),"◄",""))))</f>
        <v>#NAME?</v>
      </c>
      <c r="K186" s="345"/>
      <c r="L186" s="346" t="s">
        <v>876</v>
      </c>
      <c r="M186" s="347" t="n">
        <f aca="true">IF($D186&lt;&gt;"Serviço","",
          IF(AUTOEVENTO="manual",$A186,
                IF(ISERROR(MATCH($A186,$A$15:OFFSET($A186,-1,0),0)),MAX($M$15:OFFSET(M186,-1,0))+1,
                      INDEX($M$15:OFFSET(M186,-1,0),MATCH($A186,$A$15:OFFSET($A186,-1,0),0)))))</f>
        <v>29</v>
      </c>
      <c r="N186" s="348" t="str">
        <f aca="true">IF($D186&lt;&gt;"Serviço","",
         IF(AUTOEVENTO="Manual",
                IF($A186=0,"&lt;-- defina o número do agrupador",
                       OFFSET(EVENTOS!$D$15,$A186-$A$15,0)),
                OFFSET($F$15,$A186,0)))</f>
        <v>ACESSÓRIOS/CAIXAS</v>
      </c>
      <c r="O186" s="349"/>
      <c r="Q186" s="349" t="n">
        <v>1</v>
      </c>
      <c r="R186" s="350" t="n">
        <v>1</v>
      </c>
      <c r="S186" s="350" t="n">
        <v>1</v>
      </c>
      <c r="T186" s="350" t="n">
        <v>1</v>
      </c>
      <c r="U186" s="350" t="n">
        <v>1</v>
      </c>
      <c r="V186" s="350" t="n">
        <v>1</v>
      </c>
      <c r="W186" s="350" t="n">
        <v>1</v>
      </c>
      <c r="X186" s="350" t="n">
        <v>1</v>
      </c>
      <c r="Y186" s="350" t="n">
        <v>1</v>
      </c>
      <c r="Z186" s="351" t="n">
        <v>1</v>
      </c>
      <c r="AA186" s="350" t="n">
        <v>1</v>
      </c>
      <c r="AB186" s="350" t="n">
        <v>1</v>
      </c>
      <c r="AC186" s="350" t="n">
        <v>1</v>
      </c>
      <c r="AD186" s="350" t="n">
        <v>1</v>
      </c>
      <c r="AE186" s="350" t="n">
        <v>1</v>
      </c>
      <c r="AF186" s="350" t="n">
        <v>1</v>
      </c>
      <c r="AG186" s="350" t="n">
        <v>1</v>
      </c>
      <c r="AH186" s="351" t="n">
        <v>1</v>
      </c>
      <c r="AI186" s="350" t="n">
        <v>1</v>
      </c>
      <c r="AJ186" s="350" t="n">
        <v>1</v>
      </c>
      <c r="AK186" s="350" t="n">
        <v>1</v>
      </c>
      <c r="AL186" s="350" t="n">
        <v>1</v>
      </c>
      <c r="AM186" s="350" t="n">
        <v>1</v>
      </c>
      <c r="AN186" s="350" t="n">
        <v>1</v>
      </c>
      <c r="AO186" s="350" t="n">
        <v>1</v>
      </c>
      <c r="AP186" s="351"/>
      <c r="AR186" s="352" t="n">
        <f aca="true">IF(AND($D186="Serviço",AR$12&lt;&gt;0,$H186&gt;0,OR(AUTOEVENTO&lt;&gt;"manual",$M186&lt;&gt;$A$15)),
        IF(Import.TipoArredondamento&lt;&gt;"TransfereGOV",
              ROUND(OFFSET($P186,0,AR$13),15-13*ORÇAMENTO!$AF$7)/$H186*OFFSET(ORÇAMENTO!$X$15,ROW(AR186)-ROW(AR$15),0),
              ROUND(ROUND(OFFSET($P186,0,AR$13),15-13*ORÇAMENTO!$AF$7)*OFFSET(ORÇAMENTO!$W$15,ROW(AR186)-ROW(AR$15),0),15-13*ORÇAMENTO!$AF$11)),
         0)</f>
        <v>60.02</v>
      </c>
      <c r="AS186" s="352" t="n">
        <f aca="true">IF(AND($D186="Serviço",AS$12&lt;&gt;0,$H186&gt;0,OR(AUTOEVENTO&lt;&gt;"manual",$M186&lt;&gt;$A$15)),
        IF(Import.TipoArredondamento&lt;&gt;"TransfereGOV",
              ROUND(OFFSET($P186,0,AS$13),15-13*ORÇAMENTO!$AF$7)/$H186*OFFSET(ORÇAMENTO!$X$15,ROW(AS186)-ROW(AS$15),0),
              ROUND(ROUND(OFFSET($P186,0,AS$13),15-13*ORÇAMENTO!$AF$7)*OFFSET(ORÇAMENTO!$W$15,ROW(AS186)-ROW(AS$15),0),15-13*ORÇAMENTO!$AF$11)),
         0)</f>
        <v>60.02</v>
      </c>
      <c r="AT186" s="352" t="n">
        <f aca="true">IF(AND($D186="Serviço",AT$12&lt;&gt;0,$H186&gt;0,OR(AUTOEVENTO&lt;&gt;"manual",$M186&lt;&gt;$A$15)),
        IF(Import.TipoArredondamento&lt;&gt;"TransfereGOV",
              ROUND(OFFSET($P186,0,AT$13),15-13*ORÇAMENTO!$AF$7)/$H186*OFFSET(ORÇAMENTO!$X$15,ROW(AT186)-ROW(AT$15),0),
              ROUND(ROUND(OFFSET($P186,0,AT$13),15-13*ORÇAMENTO!$AF$7)*OFFSET(ORÇAMENTO!$W$15,ROW(AT186)-ROW(AT$15),0),15-13*ORÇAMENTO!$AF$11)),
         0)</f>
        <v>60.02</v>
      </c>
      <c r="AU186" s="352" t="n">
        <f aca="true">IF(AND($D186="Serviço",AU$12&lt;&gt;0,$H186&gt;0,OR(AUTOEVENTO&lt;&gt;"manual",$M186&lt;&gt;$A$15)),
        IF(Import.TipoArredondamento&lt;&gt;"TransfereGOV",
              ROUND(OFFSET($P186,0,AU$13),15-13*ORÇAMENTO!$AF$7)/$H186*OFFSET(ORÇAMENTO!$X$15,ROW(AU186)-ROW(AU$15),0),
              ROUND(ROUND(OFFSET($P186,0,AU$13),15-13*ORÇAMENTO!$AF$7)*OFFSET(ORÇAMENTO!$W$15,ROW(AU186)-ROW(AU$15),0),15-13*ORÇAMENTO!$AF$11)),
         0)</f>
        <v>60.02</v>
      </c>
      <c r="AV186" s="352" t="n">
        <f aca="true">IF(AND($D186="Serviço",AV$12&lt;&gt;0,$H186&gt;0,OR(AUTOEVENTO&lt;&gt;"manual",$M186&lt;&gt;$A$15)),
        IF(Import.TipoArredondamento&lt;&gt;"TransfereGOV",
              ROUND(OFFSET($P186,0,AV$13),15-13*ORÇAMENTO!$AF$7)/$H186*OFFSET(ORÇAMENTO!$X$15,ROW(AV186)-ROW(AV$15),0),
              ROUND(ROUND(OFFSET($P186,0,AV$13),15-13*ORÇAMENTO!$AF$7)*OFFSET(ORÇAMENTO!$W$15,ROW(AV186)-ROW(AV$15),0),15-13*ORÇAMENTO!$AF$11)),
         0)</f>
        <v>60.02</v>
      </c>
      <c r="AW186" s="352" t="n">
        <f aca="true">IF(AND($D186="Serviço",AW$12&lt;&gt;0,$H186&gt;0,OR(AUTOEVENTO&lt;&gt;"manual",$M186&lt;&gt;$A$15)),
        IF(Import.TipoArredondamento&lt;&gt;"TransfereGOV",
              ROUND(OFFSET($P186,0,AW$13),15-13*ORÇAMENTO!$AF$7)/$H186*OFFSET(ORÇAMENTO!$X$15,ROW(AW186)-ROW(AW$15),0),
              ROUND(ROUND(OFFSET($P186,0,AW$13),15-13*ORÇAMENTO!$AF$7)*OFFSET(ORÇAMENTO!$W$15,ROW(AW186)-ROW(AW$15),0),15-13*ORÇAMENTO!$AF$11)),
         0)</f>
        <v>60.02</v>
      </c>
      <c r="AX186" s="352" t="n">
        <f aca="true">IF(AND($D186="Serviço",AX$12&lt;&gt;0,$H186&gt;0,OR(AUTOEVENTO&lt;&gt;"manual",$M186&lt;&gt;$A$15)),
        IF(Import.TipoArredondamento&lt;&gt;"TransfereGOV",
              ROUND(OFFSET($P186,0,AX$13),15-13*ORÇAMENTO!$AF$7)/$H186*OFFSET(ORÇAMENTO!$X$15,ROW(AX186)-ROW(AX$15),0),
              ROUND(ROUND(OFFSET($P186,0,AX$13),15-13*ORÇAMENTO!$AF$7)*OFFSET(ORÇAMENTO!$W$15,ROW(AX186)-ROW(AX$15),0),15-13*ORÇAMENTO!$AF$11)),
         0)</f>
        <v>60.02</v>
      </c>
      <c r="AY186" s="352" t="n">
        <f aca="true">IF(AND($D186="Serviço",AY$12&lt;&gt;0,$H186&gt;0,OR(AUTOEVENTO&lt;&gt;"manual",$M186&lt;&gt;$A$15)),
        IF(Import.TipoArredondamento&lt;&gt;"TransfereGOV",
              ROUND(OFFSET($P186,0,AY$13),15-13*ORÇAMENTO!$AF$7)/$H186*OFFSET(ORÇAMENTO!$X$15,ROW(AY186)-ROW(AY$15),0),
              ROUND(ROUND(OFFSET($P186,0,AY$13),15-13*ORÇAMENTO!$AF$7)*OFFSET(ORÇAMENTO!$W$15,ROW(AY186)-ROW(AY$15),0),15-13*ORÇAMENTO!$AF$11)),
         0)</f>
        <v>60.02</v>
      </c>
      <c r="AZ186" s="352" t="n">
        <f aca="true">IF(AND($D186="Serviço",AZ$12&lt;&gt;0,$H186&gt;0,OR(AUTOEVENTO&lt;&gt;"manual",$M186&lt;&gt;$A$15)),
        IF(Import.TipoArredondamento&lt;&gt;"TransfereGOV",
              ROUND(OFFSET($P186,0,AZ$13),15-13*ORÇAMENTO!$AF$7)/$H186*OFFSET(ORÇAMENTO!$X$15,ROW(AZ186)-ROW(AZ$15),0),
              ROUND(ROUND(OFFSET($P186,0,AZ$13),15-13*ORÇAMENTO!$AF$7)*OFFSET(ORÇAMENTO!$W$15,ROW(AZ186)-ROW(AZ$15),0),15-13*ORÇAMENTO!$AF$11)),
         0)</f>
        <v>60.02</v>
      </c>
      <c r="BA186" s="352" t="n">
        <f aca="true">IF(AND($D186="Serviço",BA$12&lt;&gt;0,$H186&gt;0,OR(AUTOEVENTO&lt;&gt;"manual",$M186&lt;&gt;$A$15)),
        IF(Import.TipoArredondamento&lt;&gt;"TransfereGOV",
              ROUND(OFFSET($P186,0,BA$13),15-13*ORÇAMENTO!$AF$7)/$H186*OFFSET(ORÇAMENTO!$X$15,ROW(BA186)-ROW(BA$15),0),
              ROUND(ROUND(OFFSET($P186,0,BA$13),15-13*ORÇAMENTO!$AF$7)*OFFSET(ORÇAMENTO!$W$15,ROW(BA186)-ROW(BA$15),0),15-13*ORÇAMENTO!$AF$11)),
         0)</f>
        <v>60.02</v>
      </c>
      <c r="BB186" s="352" t="n">
        <f aca="true">IF(AND($D186="Serviço",BB$12&lt;&gt;0,$H186&gt;0,OR(AUTOEVENTO&lt;&gt;"manual",$M186&lt;&gt;$A$15)),
        IF(Import.TipoArredondamento&lt;&gt;"TransfereGOV",
              ROUND(OFFSET($P186,0,BB$13),15-13*ORÇAMENTO!$AF$7)/$H186*OFFSET(ORÇAMENTO!$X$15,ROW(BB186)-ROW(BB$15),0),
              ROUND(ROUND(OFFSET($P186,0,BB$13),15-13*ORÇAMENTO!$AF$7)*OFFSET(ORÇAMENTO!$W$15,ROW(BB186)-ROW(BB$15),0),15-13*ORÇAMENTO!$AF$11)),
         0)</f>
        <v>60.02</v>
      </c>
      <c r="BC186" s="352" t="n">
        <f aca="true">IF(AND($D186="Serviço",BC$12&lt;&gt;0,$H186&gt;0,OR(AUTOEVENTO&lt;&gt;"manual",$M186&lt;&gt;$A$15)),
        IF(Import.TipoArredondamento&lt;&gt;"TransfereGOV",
              ROUND(OFFSET($P186,0,BC$13),15-13*ORÇAMENTO!$AF$7)/$H186*OFFSET(ORÇAMENTO!$X$15,ROW(BC186)-ROW(BC$15),0),
              ROUND(ROUND(OFFSET($P186,0,BC$13),15-13*ORÇAMENTO!$AF$7)*OFFSET(ORÇAMENTO!$W$15,ROW(BC186)-ROW(BC$15),0),15-13*ORÇAMENTO!$AF$11)),
         0)</f>
        <v>60.02</v>
      </c>
      <c r="BD186" s="352" t="n">
        <f aca="true">IF(AND($D186="Serviço",BD$12&lt;&gt;0,$H186&gt;0,OR(AUTOEVENTO&lt;&gt;"manual",$M186&lt;&gt;$A$15)),
        IF(Import.TipoArredondamento&lt;&gt;"TransfereGOV",
              ROUND(OFFSET($P186,0,BD$13),15-13*ORÇAMENTO!$AF$7)/$H186*OFFSET(ORÇAMENTO!$X$15,ROW(BD186)-ROW(BD$15),0),
              ROUND(ROUND(OFFSET($P186,0,BD$13),15-13*ORÇAMENTO!$AF$7)*OFFSET(ORÇAMENTO!$W$15,ROW(BD186)-ROW(BD$15),0),15-13*ORÇAMENTO!$AF$11)),
         0)</f>
        <v>60.02</v>
      </c>
      <c r="BE186" s="352" t="n">
        <f aca="true">IF(AND($D186="Serviço",BE$12&lt;&gt;0,$H186&gt;0,OR(AUTOEVENTO&lt;&gt;"manual",$M186&lt;&gt;$A$15)),
        IF(Import.TipoArredondamento&lt;&gt;"TransfereGOV",
              ROUND(OFFSET($P186,0,BE$13),15-13*ORÇAMENTO!$AF$7)/$H186*OFFSET(ORÇAMENTO!$X$15,ROW(BE186)-ROW(BE$15),0),
              ROUND(ROUND(OFFSET($P186,0,BE$13),15-13*ORÇAMENTO!$AF$7)*OFFSET(ORÇAMENTO!$W$15,ROW(BE186)-ROW(BE$15),0),15-13*ORÇAMENTO!$AF$11)),
         0)</f>
        <v>60.02</v>
      </c>
      <c r="BF186" s="352" t="n">
        <f aca="true">IF(AND($D186="Serviço",BF$12&lt;&gt;0,$H186&gt;0,OR(AUTOEVENTO&lt;&gt;"manual",$M186&lt;&gt;$A$15)),
        IF(Import.TipoArredondamento&lt;&gt;"TransfereGOV",
              ROUND(OFFSET($P186,0,BF$13),15-13*ORÇAMENTO!$AF$7)/$H186*OFFSET(ORÇAMENTO!$X$15,ROW(BF186)-ROW(BF$15),0),
              ROUND(ROUND(OFFSET($P186,0,BF$13),15-13*ORÇAMENTO!$AF$7)*OFFSET(ORÇAMENTO!$W$15,ROW(BF186)-ROW(BF$15),0),15-13*ORÇAMENTO!$AF$11)),
         0)</f>
        <v>60.02</v>
      </c>
      <c r="BG186" s="352" t="n">
        <f aca="true">IF(AND($D186="Serviço",BG$12&lt;&gt;0,$H186&gt;0,OR(AUTOEVENTO&lt;&gt;"manual",$M186&lt;&gt;$A$15)),
        IF(Import.TipoArredondamento&lt;&gt;"TransfereGOV",
              ROUND(OFFSET($P186,0,BG$13),15-13*ORÇAMENTO!$AF$7)/$H186*OFFSET(ORÇAMENTO!$X$15,ROW(BG186)-ROW(BG$15),0),
              ROUND(ROUND(OFFSET($P186,0,BG$13),15-13*ORÇAMENTO!$AF$7)*OFFSET(ORÇAMENTO!$W$15,ROW(BG186)-ROW(BG$15),0),15-13*ORÇAMENTO!$AF$11)),
         0)</f>
        <v>60.02</v>
      </c>
      <c r="BH186" s="352" t="n">
        <f aca="true">IF(AND($D186="Serviço",BH$12&lt;&gt;0,$H186&gt;0,OR(AUTOEVENTO&lt;&gt;"manual",$M186&lt;&gt;$A$15)),
        IF(Import.TipoArredondamento&lt;&gt;"TransfereGOV",
              ROUND(OFFSET($P186,0,BH$13),15-13*ORÇAMENTO!$AF$7)/$H186*OFFSET(ORÇAMENTO!$X$15,ROW(BH186)-ROW(BH$15),0),
              ROUND(ROUND(OFFSET($P186,0,BH$13),15-13*ORÇAMENTO!$AF$7)*OFFSET(ORÇAMENTO!$W$15,ROW(BH186)-ROW(BH$15),0),15-13*ORÇAMENTO!$AF$11)),
         0)</f>
        <v>60.02</v>
      </c>
      <c r="BI186" s="352" t="n">
        <f aca="true">IF(AND($D186="Serviço",BI$12&lt;&gt;0,$H186&gt;0,OR(AUTOEVENTO&lt;&gt;"manual",$M186&lt;&gt;$A$15)),
        IF(Import.TipoArredondamento&lt;&gt;"TransfereGOV",
              ROUND(OFFSET($P186,0,BI$13),15-13*ORÇAMENTO!$AF$7)/$H186*OFFSET(ORÇAMENTO!$X$15,ROW(BI186)-ROW(BI$15),0),
              ROUND(ROUND(OFFSET($P186,0,BI$13),15-13*ORÇAMENTO!$AF$7)*OFFSET(ORÇAMENTO!$W$15,ROW(BI186)-ROW(BI$15),0),15-13*ORÇAMENTO!$AF$11)),
         0)</f>
        <v>60.02</v>
      </c>
      <c r="BJ186" s="352" t="n">
        <f aca="true">IF(AND($D186="Serviço",BJ$12&lt;&gt;0,$H186&gt;0,OR(AUTOEVENTO&lt;&gt;"manual",$M186&lt;&gt;$A$15)),
        IF(Import.TipoArredondamento&lt;&gt;"TransfereGOV",
              ROUND(OFFSET($P186,0,BJ$13),15-13*ORÇAMENTO!$AF$7)/$H186*OFFSET(ORÇAMENTO!$X$15,ROW(BJ186)-ROW(BJ$15),0),
              ROUND(ROUND(OFFSET($P186,0,BJ$13),15-13*ORÇAMENTO!$AF$7)*OFFSET(ORÇAMENTO!$W$15,ROW(BJ186)-ROW(BJ$15),0),15-13*ORÇAMENTO!$AF$11)),
         0)</f>
        <v>60.02</v>
      </c>
      <c r="BK186" s="352" t="n">
        <f aca="true">IF(AND($D186="Serviço",BK$12&lt;&gt;0,$H186&gt;0,OR(AUTOEVENTO&lt;&gt;"manual",$M186&lt;&gt;$A$15)),
        IF(Import.TipoArredondamento&lt;&gt;"TransfereGOV",
              ROUND(OFFSET($P186,0,BK$13),15-13*ORÇAMENTO!$AF$7)/$H186*OFFSET(ORÇAMENTO!$X$15,ROW(BK186)-ROW(BK$15),0),
              ROUND(ROUND(OFFSET($P186,0,BK$13),15-13*ORÇAMENTO!$AF$7)*OFFSET(ORÇAMENTO!$W$15,ROW(BK186)-ROW(BK$15),0),15-13*ORÇAMENTO!$AF$11)),
         0)</f>
        <v>60.02</v>
      </c>
      <c r="BL186" s="352" t="n">
        <f aca="true">IF(AND($D186="Serviço",BL$12&lt;&gt;0,$H186&gt;0,OR(AUTOEVENTO&lt;&gt;"manual",$M186&lt;&gt;$A$15)),
        IF(Import.TipoArredondamento&lt;&gt;"TransfereGOV",
              ROUND(OFFSET($P186,0,BL$13),15-13*ORÇAMENTO!$AF$7)/$H186*OFFSET(ORÇAMENTO!$X$15,ROW(BL186)-ROW(BL$15),0),
              ROUND(ROUND(OFFSET($P186,0,BL$13),15-13*ORÇAMENTO!$AF$7)*OFFSET(ORÇAMENTO!$W$15,ROW(BL186)-ROW(BL$15),0),15-13*ORÇAMENTO!$AF$11)),
         0)</f>
        <v>60.02</v>
      </c>
      <c r="BM186" s="352" t="n">
        <f aca="true">IF(AND($D186="Serviço",BM$12&lt;&gt;0,$H186&gt;0,OR(AUTOEVENTO&lt;&gt;"manual",$M186&lt;&gt;$A$15)),
        IF(Import.TipoArredondamento&lt;&gt;"TransfereGOV",
              ROUND(OFFSET($P186,0,BM$13),15-13*ORÇAMENTO!$AF$7)/$H186*OFFSET(ORÇAMENTO!$X$15,ROW(BM186)-ROW(BM$15),0),
              ROUND(ROUND(OFFSET($P186,0,BM$13),15-13*ORÇAMENTO!$AF$7)*OFFSET(ORÇAMENTO!$W$15,ROW(BM186)-ROW(BM$15),0),15-13*ORÇAMENTO!$AF$11)),
         0)</f>
        <v>60.02</v>
      </c>
      <c r="BN186" s="352" t="n">
        <f aca="true">IF(AND($D186="Serviço",BN$12&lt;&gt;0,$H186&gt;0,OR(AUTOEVENTO&lt;&gt;"manual",$M186&lt;&gt;$A$15)),
        IF(Import.TipoArredondamento&lt;&gt;"TransfereGOV",
              ROUND(OFFSET($P186,0,BN$13),15-13*ORÇAMENTO!$AF$7)/$H186*OFFSET(ORÇAMENTO!$X$15,ROW(BN186)-ROW(BN$15),0),
              ROUND(ROUND(OFFSET($P186,0,BN$13),15-13*ORÇAMENTO!$AF$7)*OFFSET(ORÇAMENTO!$W$15,ROW(BN186)-ROW(BN$15),0),15-13*ORÇAMENTO!$AF$11)),
         0)</f>
        <v>60.02</v>
      </c>
      <c r="BO186" s="352" t="n">
        <f aca="true">IF(AND($D186="Serviço",BO$12&lt;&gt;0,$H186&gt;0,OR(AUTOEVENTO&lt;&gt;"manual",$M186&lt;&gt;$A$15)),
        IF(Import.TipoArredondamento&lt;&gt;"TransfereGOV",
              ROUND(OFFSET($P186,0,BO$13),15-13*ORÇAMENTO!$AF$7)/$H186*OFFSET(ORÇAMENTO!$X$15,ROW(BO186)-ROW(BO$15),0),
              ROUND(ROUND(OFFSET($P186,0,BO$13),15-13*ORÇAMENTO!$AF$7)*OFFSET(ORÇAMENTO!$W$15,ROW(BO186)-ROW(BO$15),0),15-13*ORÇAMENTO!$AF$11)),
         0)</f>
        <v>60.02</v>
      </c>
      <c r="BP186" s="352" t="n">
        <f aca="true">IF(AND($D186="Serviço",BP$12&lt;&gt;0,$H186&gt;0,OR(AUTOEVENTO&lt;&gt;"manual",$M186&lt;&gt;$A$15)),
        IF(Import.TipoArredondamento&lt;&gt;"TransfereGOV",
              ROUND(OFFSET($P186,0,BP$13),15-13*ORÇAMENTO!$AF$7)/$H186*OFFSET(ORÇAMENTO!$X$15,ROW(BP186)-ROW(BP$15),0),
              ROUND(ROUND(OFFSET($P186,0,BP$13),15-13*ORÇAMENTO!$AF$7)*OFFSET(ORÇAMENTO!$W$15,ROW(BP186)-ROW(BP$15),0),15-13*ORÇAMENTO!$AF$11)),
         0)</f>
        <v>60.02</v>
      </c>
      <c r="BQ186" s="352" t="n">
        <f aca="true">IF(AND($D186="Serviço",BQ$12&lt;&gt;0,$H186&gt;0,OR(AUTOEVENTO&lt;&gt;"manual",$M186&lt;&gt;$A$15)),
        IF(Import.TipoArredondamento&lt;&gt;"TransfereGOV",
              ROUND(OFFSET($P186,0,BQ$13),15-13*ORÇAMENTO!$AF$7)/$H186*OFFSET(ORÇAMENTO!$X$15,ROW(BQ186)-ROW(BQ$15),0),
              ROUND(ROUND(OFFSET($P186,0,BQ$13),15-13*ORÇAMENTO!$AF$7)*OFFSET(ORÇAMENTO!$W$15,ROW(BQ186)-ROW(BQ$15),0),15-13*ORÇAMENTO!$AF$11)),
         0)</f>
        <v>0</v>
      </c>
      <c r="BS186" s="353" t="n">
        <f aca="true">IF(OR($D186&lt;&gt;"Serviço",AND(AUTOEVENTO="Manual",$M186=$A$15)),0,
         IF(OFFSET(CRONOPLE!$F$15,$M186-$A$15,BS$13)=0,10^12,OFFSET(CRONOPLE!$F$15,$M186-$A$15,BS$13)))</f>
        <v>1</v>
      </c>
      <c r="BT186" s="353" t="n">
        <f aca="true">IF(OR($D186&lt;&gt;"Serviço",AND(AUTOEVENTO="Manual",$M186=$A$15)),0,
         IF(OFFSET(CRONOPLE!$F$15,$M186-$A$15,BT$13)=0,10^12,OFFSET(CRONOPLE!$F$15,$M186-$A$15,BT$13)))</f>
        <v>2</v>
      </c>
      <c r="BU186" s="353" t="n">
        <f aca="true">IF(OR($D186&lt;&gt;"Serviço",AND(AUTOEVENTO="Manual",$M186=$A$15)),0,
         IF(OFFSET(CRONOPLE!$F$15,$M186-$A$15,BU$13)=0,10^12,OFFSET(CRONOPLE!$F$15,$M186-$A$15,BU$13)))</f>
        <v>3</v>
      </c>
      <c r="BV186" s="353" t="n">
        <f aca="true">IF(OR($D186&lt;&gt;"Serviço",AND(AUTOEVENTO="Manual",$M186=$A$15)),0,
         IF(OFFSET(CRONOPLE!$F$15,$M186-$A$15,BV$13)=0,10^12,OFFSET(CRONOPLE!$F$15,$M186-$A$15,BV$13)))</f>
        <v>4</v>
      </c>
      <c r="BW186" s="353" t="n">
        <f aca="true">IF(OR($D186&lt;&gt;"Serviço",AND(AUTOEVENTO="Manual",$M186=$A$15)),0,
         IF(OFFSET(CRONOPLE!$F$15,$M186-$A$15,BW$13)=0,10^12,OFFSET(CRONOPLE!$F$15,$M186-$A$15,BW$13)))</f>
        <v>5</v>
      </c>
      <c r="BX186" s="353" t="n">
        <f aca="true">IF(OR($D186&lt;&gt;"Serviço",AND(AUTOEVENTO="Manual",$M186=$A$15)),0,
         IF(OFFSET(CRONOPLE!$F$15,$M186-$A$15,BX$13)=0,10^12,OFFSET(CRONOPLE!$F$15,$M186-$A$15,BX$13)))</f>
        <v>6</v>
      </c>
      <c r="BY186" s="353" t="n">
        <f aca="true">IF(OR($D186&lt;&gt;"Serviço",AND(AUTOEVENTO="Manual",$M186=$A$15)),0,
         IF(OFFSET(CRONOPLE!$F$15,$M186-$A$15,BY$13)=0,10^12,OFFSET(CRONOPLE!$F$15,$M186-$A$15,BY$13)))</f>
        <v>7</v>
      </c>
      <c r="BZ186" s="353" t="n">
        <f aca="true">IF(OR($D186&lt;&gt;"Serviço",AND(AUTOEVENTO="Manual",$M186=$A$15)),0,
         IF(OFFSET(CRONOPLE!$F$15,$M186-$A$15,BZ$13)=0,10^12,OFFSET(CRONOPLE!$F$15,$M186-$A$15,BZ$13)))</f>
        <v>8</v>
      </c>
      <c r="CA186" s="353" t="n">
        <f aca="true">IF(OR($D186&lt;&gt;"Serviço",AND(AUTOEVENTO="Manual",$M186=$A$15)),0,
         IF(OFFSET(CRONOPLE!$F$15,$M186-$A$15,CA$13)=0,10^12,OFFSET(CRONOPLE!$F$15,$M186-$A$15,CA$13)))</f>
        <v>9</v>
      </c>
      <c r="CB186" s="353" t="n">
        <f aca="true">IF(OR($D186&lt;&gt;"Serviço",AND(AUTOEVENTO="Manual",$M186=$A$15)),0,
         IF(OFFSET(CRONOPLE!$F$15,$M186-$A$15,CB$13)=0,10^12,OFFSET(CRONOPLE!$F$15,$M186-$A$15,CB$13)))</f>
        <v>10</v>
      </c>
      <c r="CC186" s="353" t="n">
        <f aca="true">IF(OR($D186&lt;&gt;"Serviço",AND(AUTOEVENTO="Manual",$M186=$A$15)),0,
         IF(OFFSET(CRONOPLE!$F$15,$M186-$A$15,CC$13)=0,10^12,OFFSET(CRONOPLE!$F$15,$M186-$A$15,CC$13)))</f>
        <v>11</v>
      </c>
      <c r="CD186" s="353" t="n">
        <f aca="true">IF(OR($D186&lt;&gt;"Serviço",AND(AUTOEVENTO="Manual",$M186=$A$15)),0,
         IF(OFFSET(CRONOPLE!$F$15,$M186-$A$15,CD$13)=0,10^12,OFFSET(CRONOPLE!$F$15,$M186-$A$15,CD$13)))</f>
        <v>12</v>
      </c>
      <c r="CE186" s="353" t="n">
        <f aca="true">IF(OR($D186&lt;&gt;"Serviço",AND(AUTOEVENTO="Manual",$M186=$A$15)),0,
         IF(OFFSET(CRONOPLE!$F$15,$M186-$A$15,CE$13)=0,10^12,OFFSET(CRONOPLE!$F$15,$M186-$A$15,CE$13)))</f>
        <v>13</v>
      </c>
      <c r="CF186" s="353" t="n">
        <f aca="true">IF(OR($D186&lt;&gt;"Serviço",AND(AUTOEVENTO="Manual",$M186=$A$15)),0,
         IF(OFFSET(CRONOPLE!$F$15,$M186-$A$15,CF$13)=0,10^12,OFFSET(CRONOPLE!$F$15,$M186-$A$15,CF$13)))</f>
        <v>14</v>
      </c>
      <c r="CG186" s="353" t="n">
        <f aca="true">IF(OR($D186&lt;&gt;"Serviço",AND(AUTOEVENTO="Manual",$M186=$A$15)),0,
         IF(OFFSET(CRONOPLE!$F$15,$M186-$A$15,CG$13)=0,10^12,OFFSET(CRONOPLE!$F$15,$M186-$A$15,CG$13)))</f>
        <v>15</v>
      </c>
      <c r="CH186" s="353" t="n">
        <f aca="true">IF(OR($D186&lt;&gt;"Serviço",AND(AUTOEVENTO="Manual",$M186=$A$15)),0,
         IF(OFFSET(CRONOPLE!$F$15,$M186-$A$15,CH$13)=0,10^12,OFFSET(CRONOPLE!$F$15,$M186-$A$15,CH$13)))</f>
        <v>16</v>
      </c>
      <c r="CI186" s="353" t="n">
        <f aca="true">IF(OR($D186&lt;&gt;"Serviço",AND(AUTOEVENTO="Manual",$M186=$A$15)),0,
         IF(OFFSET(CRONOPLE!$F$15,$M186-$A$15,CI$13)=0,10^12,OFFSET(CRONOPLE!$F$15,$M186-$A$15,CI$13)))</f>
        <v>17</v>
      </c>
      <c r="CJ186" s="353" t="n">
        <f aca="true">IF(OR($D186&lt;&gt;"Serviço",AND(AUTOEVENTO="Manual",$M186=$A$15)),0,
         IF(OFFSET(CRONOPLE!$F$15,$M186-$A$15,CJ$13)=0,10^12,OFFSET(CRONOPLE!$F$15,$M186-$A$15,CJ$13)))</f>
        <v>18</v>
      </c>
      <c r="CK186" s="353" t="n">
        <f aca="true">IF(OR($D186&lt;&gt;"Serviço",AND(AUTOEVENTO="Manual",$M186=$A$15)),0,
         IF(OFFSET(CRONOPLE!$F$15,$M186-$A$15,CK$13)=0,10^12,OFFSET(CRONOPLE!$F$15,$M186-$A$15,CK$13)))</f>
        <v>19</v>
      </c>
      <c r="CL186" s="353" t="n">
        <f aca="true">IF(OR($D186&lt;&gt;"Serviço",AND(AUTOEVENTO="Manual",$M186=$A$15)),0,
         IF(OFFSET(CRONOPLE!$F$15,$M186-$A$15,CL$13)=0,10^12,OFFSET(CRONOPLE!$F$15,$M186-$A$15,CL$13)))</f>
        <v>20</v>
      </c>
      <c r="CM186" s="353" t="n">
        <f aca="true">IF(OR($D186&lt;&gt;"Serviço",AND(AUTOEVENTO="Manual",$M186=$A$15)),0,
         IF(OFFSET(CRONOPLE!$F$15,$M186-$A$15,CM$13)=0,10^12,OFFSET(CRONOPLE!$F$15,$M186-$A$15,CM$13)))</f>
        <v>21</v>
      </c>
      <c r="CN186" s="353" t="n">
        <f aca="true">IF(OR($D186&lt;&gt;"Serviço",AND(AUTOEVENTO="Manual",$M186=$A$15)),0,
         IF(OFFSET(CRONOPLE!$F$15,$M186-$A$15,CN$13)=0,10^12,OFFSET(CRONOPLE!$F$15,$M186-$A$15,CN$13)))</f>
        <v>22</v>
      </c>
      <c r="CO186" s="353" t="n">
        <f aca="true">IF(OR($D186&lt;&gt;"Serviço",AND(AUTOEVENTO="Manual",$M186=$A$15)),0,
         IF(OFFSET(CRONOPLE!$F$15,$M186-$A$15,CO$13)=0,10^12,OFFSET(CRONOPLE!$F$15,$M186-$A$15,CO$13)))</f>
        <v>23</v>
      </c>
      <c r="CP186" s="353" t="n">
        <f aca="true">IF(OR($D186&lt;&gt;"Serviço",AND(AUTOEVENTO="Manual",$M186=$A$15)),0,
         IF(OFFSET(CRONOPLE!$F$15,$M186-$A$15,CP$13)=0,10^12,OFFSET(CRONOPLE!$F$15,$M186-$A$15,CP$13)))</f>
        <v>24</v>
      </c>
      <c r="CQ186" s="353" t="n">
        <f aca="true">IF(OR($D186&lt;&gt;"Serviço",AND(AUTOEVENTO="Manual",$M186=$A$15)),0,
         IF(OFFSET(CRONOPLE!$F$15,$M186-$A$15,CQ$13)=0,10^12,OFFSET(CRONOPLE!$F$15,$M186-$A$15,CQ$13)))</f>
        <v>25</v>
      </c>
      <c r="CR186" s="353" t="n">
        <f aca="true">IF(OR($D186&lt;&gt;"Serviço",AND(AUTOEVENTO="Manual",$M186=$A$15)),0,
         IF(OFFSET(CRONOPLE!$F$15,$M186-$A$15,CR$13)=0,10^12,OFFSET(CRONOPLE!$F$15,$M186-$A$15,CR$13)))</f>
        <v>1000000000000</v>
      </c>
      <c r="CT186" s="354" t="n">
        <f aca="true">IF(OR($D186&lt;&gt;"Serviço",AND(AUTOEVENTO="Manual",$M186=$A$15),$M186&gt;(ROW(PLE.lastrow)-ROW(PLE.firstrow))),0,
           IF(OFFSET(PLE!$G$15,$M186-$A$15,CT$13)="",10^12,OFFSET(PLE!$G$15,$M186-$A$15,CT$13)))</f>
        <v>1000000000000</v>
      </c>
      <c r="CU186" s="354" t="n">
        <f aca="true">IF(OR($D186&lt;&gt;"Serviço",AND(AUTOEVENTO="Manual",$M186=$A$15),$M186&gt;(ROW(PLE.lastrow)-ROW(PLE.firstrow))),0,
           IF(OFFSET(PLE!$G$15,$M186-$A$15,CU$13)="",10^12,OFFSET(PLE!$G$15,$M186-$A$15,CU$13)))</f>
        <v>1000000000000</v>
      </c>
      <c r="CV186" s="354" t="n">
        <f aca="true">IF(OR($D186&lt;&gt;"Serviço",AND(AUTOEVENTO="Manual",$M186=$A$15),$M186&gt;(ROW(PLE.lastrow)-ROW(PLE.firstrow))),0,
           IF(OFFSET(PLE!$G$15,$M186-$A$15,CV$13)="",10^12,OFFSET(PLE!$G$15,$M186-$A$15,CV$13)))</f>
        <v>1000000000000</v>
      </c>
      <c r="CW186" s="354" t="n">
        <f aca="true">IF(OR($D186&lt;&gt;"Serviço",AND(AUTOEVENTO="Manual",$M186=$A$15),$M186&gt;(ROW(PLE.lastrow)-ROW(PLE.firstrow))),0,
           IF(OFFSET(PLE!$G$15,$M186-$A$15,CW$13)="",10^12,OFFSET(PLE!$G$15,$M186-$A$15,CW$13)))</f>
        <v>1000000000000</v>
      </c>
      <c r="CX186" s="354" t="n">
        <f aca="true">IF(OR($D186&lt;&gt;"Serviço",AND(AUTOEVENTO="Manual",$M186=$A$15),$M186&gt;(ROW(PLE.lastrow)-ROW(PLE.firstrow))),0,
           IF(OFFSET(PLE!$G$15,$M186-$A$15,CX$13)="",10^12,OFFSET(PLE!$G$15,$M186-$A$15,CX$13)))</f>
        <v>1000000000000</v>
      </c>
      <c r="CY186" s="354" t="n">
        <f aca="true">IF(OR($D186&lt;&gt;"Serviço",AND(AUTOEVENTO="Manual",$M186=$A$15),$M186&gt;(ROW(PLE.lastrow)-ROW(PLE.firstrow))),0,
           IF(OFFSET(PLE!$G$15,$M186-$A$15,CY$13)="",10^12,OFFSET(PLE!$G$15,$M186-$A$15,CY$13)))</f>
        <v>1000000000000</v>
      </c>
      <c r="CZ186" s="354" t="n">
        <f aca="true">IF(OR($D186&lt;&gt;"Serviço",AND(AUTOEVENTO="Manual",$M186=$A$15),$M186&gt;(ROW(PLE.lastrow)-ROW(PLE.firstrow))),0,
           IF(OFFSET(PLE!$G$15,$M186-$A$15,CZ$13)="",10^12,OFFSET(PLE!$G$15,$M186-$A$15,CZ$13)))</f>
        <v>1000000000000</v>
      </c>
      <c r="DA186" s="354" t="n">
        <f aca="true">IF(OR($D186&lt;&gt;"Serviço",AND(AUTOEVENTO="Manual",$M186=$A$15),$M186&gt;(ROW(PLE.lastrow)-ROW(PLE.firstrow))),0,
           IF(OFFSET(PLE!$G$15,$M186-$A$15,DA$13)="",10^12,OFFSET(PLE!$G$15,$M186-$A$15,DA$13)))</f>
        <v>1000000000000</v>
      </c>
      <c r="DB186" s="354" t="n">
        <f aca="true">IF(OR($D186&lt;&gt;"Serviço",AND(AUTOEVENTO="Manual",$M186=$A$15),$M186&gt;(ROW(PLE.lastrow)-ROW(PLE.firstrow))),0,
           IF(OFFSET(PLE!$G$15,$M186-$A$15,DB$13)="",10^12,OFFSET(PLE!$G$15,$M186-$A$15,DB$13)))</f>
        <v>1000000000000</v>
      </c>
      <c r="DC186" s="354" t="n">
        <f aca="true">IF(OR($D186&lt;&gt;"Serviço",AND(AUTOEVENTO="Manual",$M186=$A$15),$M186&gt;(ROW(PLE.lastrow)-ROW(PLE.firstrow))),0,
           IF(OFFSET(PLE!$G$15,$M186-$A$15,DC$13)="",10^12,OFFSET(PLE!$G$15,$M186-$A$15,DC$13)))</f>
        <v>1000000000000</v>
      </c>
      <c r="DD186" s="354" t="n">
        <f aca="true">IF(OR($D186&lt;&gt;"Serviço",AND(AUTOEVENTO="Manual",$M186=$A$15),$M186&gt;(ROW(PLE.lastrow)-ROW(PLE.firstrow))),0,
           IF(OFFSET(PLE!$G$15,$M186-$A$15,DD$13)="",10^12,OFFSET(PLE!$G$15,$M186-$A$15,DD$13)))</f>
        <v>1000000000000</v>
      </c>
      <c r="DE186" s="354" t="n">
        <f aca="true">IF(OR($D186&lt;&gt;"Serviço",AND(AUTOEVENTO="Manual",$M186=$A$15),$M186&gt;(ROW(PLE.lastrow)-ROW(PLE.firstrow))),0,
           IF(OFFSET(PLE!$G$15,$M186-$A$15,DE$13)="",10^12,OFFSET(PLE!$G$15,$M186-$A$15,DE$13)))</f>
        <v>1000000000000</v>
      </c>
      <c r="DF186" s="354" t="n">
        <f aca="true">IF(OR($D186&lt;&gt;"Serviço",AND(AUTOEVENTO="Manual",$M186=$A$15),$M186&gt;(ROW(PLE.lastrow)-ROW(PLE.firstrow))),0,
           IF(OFFSET(PLE!$G$15,$M186-$A$15,DF$13)="",10^12,OFFSET(PLE!$G$15,$M186-$A$15,DF$13)))</f>
        <v>1000000000000</v>
      </c>
      <c r="DG186" s="354" t="n">
        <f aca="true">IF(OR($D186&lt;&gt;"Serviço",AND(AUTOEVENTO="Manual",$M186=$A$15),$M186&gt;(ROW(PLE.lastrow)-ROW(PLE.firstrow))),0,
           IF(OFFSET(PLE!$G$15,$M186-$A$15,DG$13)="",10^12,OFFSET(PLE!$G$15,$M186-$A$15,DG$13)))</f>
        <v>1000000000000</v>
      </c>
      <c r="DH186" s="354" t="n">
        <f aca="true">IF(OR($D186&lt;&gt;"Serviço",AND(AUTOEVENTO="Manual",$M186=$A$15),$M186&gt;(ROW(PLE.lastrow)-ROW(PLE.firstrow))),0,
           IF(OFFSET(PLE!$G$15,$M186-$A$15,DH$13)="",10^12,OFFSET(PLE!$G$15,$M186-$A$15,DH$13)))</f>
        <v>1000000000000</v>
      </c>
      <c r="DI186" s="354" t="n">
        <f aca="true">IF(OR($D186&lt;&gt;"Serviço",AND(AUTOEVENTO="Manual",$M186=$A$15),$M186&gt;(ROW(PLE.lastrow)-ROW(PLE.firstrow))),0,
           IF(OFFSET(PLE!$G$15,$M186-$A$15,DI$13)="",10^12,OFFSET(PLE!$G$15,$M186-$A$15,DI$13)))</f>
        <v>1000000000000</v>
      </c>
      <c r="DJ186" s="354" t="n">
        <f aca="true">IF(OR($D186&lt;&gt;"Serviço",AND(AUTOEVENTO="Manual",$M186=$A$15),$M186&gt;(ROW(PLE.lastrow)-ROW(PLE.firstrow))),0,
           IF(OFFSET(PLE!$G$15,$M186-$A$15,DJ$13)="",10^12,OFFSET(PLE!$G$15,$M186-$A$15,DJ$13)))</f>
        <v>1000000000000</v>
      </c>
      <c r="DK186" s="354" t="n">
        <f aca="true">IF(OR($D186&lt;&gt;"Serviço",AND(AUTOEVENTO="Manual",$M186=$A$15),$M186&gt;(ROW(PLE.lastrow)-ROW(PLE.firstrow))),0,
           IF(OFFSET(PLE!$G$15,$M186-$A$15,DK$13)="",10^12,OFFSET(PLE!$G$15,$M186-$A$15,DK$13)))</f>
        <v>1000000000000</v>
      </c>
      <c r="DL186" s="354" t="n">
        <f aca="true">IF(OR($D186&lt;&gt;"Serviço",AND(AUTOEVENTO="Manual",$M186=$A$15),$M186&gt;(ROW(PLE.lastrow)-ROW(PLE.firstrow))),0,
           IF(OFFSET(PLE!$G$15,$M186-$A$15,DL$13)="",10^12,OFFSET(PLE!$G$15,$M186-$A$15,DL$13)))</f>
        <v>1000000000000</v>
      </c>
      <c r="DM186" s="354" t="n">
        <f aca="true">IF(OR($D186&lt;&gt;"Serviço",AND(AUTOEVENTO="Manual",$M186=$A$15),$M186&gt;(ROW(PLE.lastrow)-ROW(PLE.firstrow))),0,
           IF(OFFSET(PLE!$G$15,$M186-$A$15,DM$13)="",10^12,OFFSET(PLE!$G$15,$M186-$A$15,DM$13)))</f>
        <v>1000000000000</v>
      </c>
      <c r="DN186" s="354" t="n">
        <f aca="true">IF(OR($D186&lt;&gt;"Serviço",AND(AUTOEVENTO="Manual",$M186=$A$15),$M186&gt;(ROW(PLE.lastrow)-ROW(PLE.firstrow))),0,
           IF(OFFSET(PLE!$G$15,$M186-$A$15,DN$13)="",10^12,OFFSET(PLE!$G$15,$M186-$A$15,DN$13)))</f>
        <v>1000000000000</v>
      </c>
      <c r="DO186" s="354" t="n">
        <f aca="true">IF(OR($D186&lt;&gt;"Serviço",AND(AUTOEVENTO="Manual",$M186=$A$15),$M186&gt;(ROW(PLE.lastrow)-ROW(PLE.firstrow))),0,
           IF(OFFSET(PLE!$G$15,$M186-$A$15,DO$13)="",10^12,OFFSET(PLE!$G$15,$M186-$A$15,DO$13)))</f>
        <v>1000000000000</v>
      </c>
      <c r="DP186" s="354" t="n">
        <f aca="true">IF(OR($D186&lt;&gt;"Serviço",AND(AUTOEVENTO="Manual",$M186=$A$15),$M186&gt;(ROW(PLE.lastrow)-ROW(PLE.firstrow))),0,
           IF(OFFSET(PLE!$G$15,$M186-$A$15,DP$13)="",10^12,OFFSET(PLE!$G$15,$M186-$A$15,DP$13)))</f>
        <v>1000000000000</v>
      </c>
      <c r="DQ186" s="354" t="n">
        <f aca="true">IF(OR($D186&lt;&gt;"Serviço",AND(AUTOEVENTO="Manual",$M186=$A$15),$M186&gt;(ROW(PLE.lastrow)-ROW(PLE.firstrow))),0,
           IF(OFFSET(PLE!$G$15,$M186-$A$15,DQ$13)="",10^12,OFFSET(PLE!$G$15,$M186-$A$15,DQ$13)))</f>
        <v>1000000000000</v>
      </c>
      <c r="DR186" s="354" t="n">
        <f aca="true">IF(OR($D186&lt;&gt;"Serviço",AND(AUTOEVENTO="Manual",$M186=$A$15),$M186&gt;(ROW(PLE.lastrow)-ROW(PLE.firstrow))),0,
           IF(OFFSET(PLE!$G$15,$M186-$A$15,DR$13)="",10^12,OFFSET(PLE!$G$15,$M186-$A$15,DR$13)))</f>
        <v>1000000000000</v>
      </c>
      <c r="DS186" s="354" t="n">
        <f aca="true">IF(OR($D186&lt;&gt;"Serviço",AND(AUTOEVENTO="Manual",$M186=$A$15),$M186&gt;(ROW(PLE.lastrow)-ROW(PLE.firstrow))),0,
           IF(OFFSET(PLE!$G$15,$M186-$A$15,DS$13)="",10^12,OFFSET(PLE!$G$15,$M186-$A$15,DS$13)))</f>
        <v>1000000000000</v>
      </c>
    </row>
    <row r="187" customFormat="false" ht="35.05" hidden="false" customHeight="false" outlineLevel="0" collapsed="false">
      <c r="A187" s="50" t="str">
        <f aca="true">IFERROR(IF(AUTOEVENTO="Manual",IF(K187&lt;&gt;"",MIN(VALUE(LEFT(K187,FIND(".",K187)-1)),COUNTA(EVENTOS.Lista)),0),IF(OR($B187&gt;AUTOEVENTO,$B187="S",$B187=0),SUBSTITUTE(OFFSET($A187,-1,0),IF($D187="Serviço",".",""),""),ROW(A187)-ROW($A$15)&amp;".")),0)</f>
        <v>170</v>
      </c>
      <c r="B187" s="50" t="str">
        <f aca="true">OFFSET(ORÇAMENTO!C$15,ROW(B187)-ROW(B$15),0)</f>
        <v>S</v>
      </c>
      <c r="C187" s="50" t="str">
        <f aca="true">OFFSET(ORÇAMENTO!L$15,ROW(C187)-ROW(C$15),0)</f>
        <v>F</v>
      </c>
      <c r="D187" s="201" t="str">
        <f aca="true">OFFSET(ORÇAMENTO!N$15,ROW(D187)-ROW(D$15),0)</f>
        <v>Serviço</v>
      </c>
      <c r="E187" s="202" t="str">
        <f aca="true">OFFSET(ORÇAMENTO!O$15,ROW(E187)-ROW(E$15),0)</f>
        <v>1.46.2.</v>
      </c>
      <c r="F187" s="341" t="str">
        <f aca="true">OFFSET(ORÇAMENTO!R$15,ROW(F187)-ROW(F$15),0)</f>
        <v>RALO SIFONADO REDONDO, PVC, DN 100 X 40 MM, JUNTA SOLDÁVEL, FORNECIDO E INSTALADO EM RAMAL DE DESCARGA OU EM RAMAL DE ESGOTO SANITÁRIO. AF_08/2022</v>
      </c>
      <c r="G187" s="342" t="str">
        <f aca="true">IF($D187&lt;&gt;"Serviço","",OFFSET(ORÇAMENTO!S$15,ROW(G187)-ROW(G$15),0))</f>
        <v>UN</v>
      </c>
      <c r="H187" s="207" t="n">
        <f aca="true">IF($D187&lt;&gt;"Serviço",0,IF(ACOMPANHAMENTO="BM",ROUND(OFFSET(ORÇAMENTO!AJ$15,ROW(H187)-ROW(H$15),0),15-13*ORÇAMENTO!$AF$7),SUMPRODUCT(($Q$1:$AQ$1=1)*ROUND($Q187:$AQ187,15-13*ORÇAMENTO!$AF$7))))</f>
        <v>25</v>
      </c>
      <c r="I187" s="343" t="s">
        <v>969</v>
      </c>
      <c r="J187" s="344" t="e">
        <f aca="false">IF(OR(B187&lt;&gt;"S",CÁLCULO.FrentesPreenchidas=0),"",IF(AND(ACOMPANHAMENTO="PLE",AUTOEVENTO="Manual",OR(H187&gt;0,ORÇAMENTO!AC187="QUANT."),OR(K187="",M187=0,N187="")),"►",IF(AND(ACOMPANHAMENTO="PLE",ORÇAMENTO!AC187="QUANT."),"►►",IF(AND(COUNTIF($P$11:$AQ$11,"▼")=0,H187&gt;0,I187=""),"◄",""))))</f>
        <v>#NAME?</v>
      </c>
      <c r="K187" s="345"/>
      <c r="L187" s="346" t="s">
        <v>876</v>
      </c>
      <c r="M187" s="347" t="n">
        <f aca="true">IF($D187&lt;&gt;"Serviço","",
          IF(AUTOEVENTO="manual",$A187,
                IF(ISERROR(MATCH($A187,$A$15:OFFSET($A187,-1,0),0)),MAX($M$15:OFFSET(M187,-1,0))+1,
                      INDEX($M$15:OFFSET(M187,-1,0),MATCH($A187,$A$15:OFFSET($A187,-1,0),0)))))</f>
        <v>29</v>
      </c>
      <c r="N187" s="348" t="str">
        <f aca="true">IF($D187&lt;&gt;"Serviço","",
         IF(AUTOEVENTO="Manual",
                IF($A187=0,"&lt;-- defina o número do agrupador",
                       OFFSET(EVENTOS!$D$15,$A187-$A$15,0)),
                OFFSET($F$15,$A187,0)))</f>
        <v>ACESSÓRIOS/CAIXAS</v>
      </c>
      <c r="O187" s="349"/>
      <c r="Q187" s="349" t="n">
        <v>1</v>
      </c>
      <c r="R187" s="350" t="n">
        <v>1</v>
      </c>
      <c r="S187" s="350" t="n">
        <v>1</v>
      </c>
      <c r="T187" s="350" t="n">
        <v>1</v>
      </c>
      <c r="U187" s="350" t="n">
        <v>1</v>
      </c>
      <c r="V187" s="350" t="n">
        <v>1</v>
      </c>
      <c r="W187" s="350" t="n">
        <v>1</v>
      </c>
      <c r="X187" s="350" t="n">
        <v>1</v>
      </c>
      <c r="Y187" s="350" t="n">
        <v>1</v>
      </c>
      <c r="Z187" s="351" t="n">
        <v>1</v>
      </c>
      <c r="AA187" s="350" t="n">
        <v>1</v>
      </c>
      <c r="AB187" s="350" t="n">
        <v>1</v>
      </c>
      <c r="AC187" s="350" t="n">
        <v>1</v>
      </c>
      <c r="AD187" s="350" t="n">
        <v>1</v>
      </c>
      <c r="AE187" s="350" t="n">
        <v>1</v>
      </c>
      <c r="AF187" s="350" t="n">
        <v>1</v>
      </c>
      <c r="AG187" s="350" t="n">
        <v>1</v>
      </c>
      <c r="AH187" s="351" t="n">
        <v>1</v>
      </c>
      <c r="AI187" s="350" t="n">
        <v>1</v>
      </c>
      <c r="AJ187" s="350" t="n">
        <v>1</v>
      </c>
      <c r="AK187" s="350" t="n">
        <v>1</v>
      </c>
      <c r="AL187" s="350" t="n">
        <v>1</v>
      </c>
      <c r="AM187" s="350" t="n">
        <v>1</v>
      </c>
      <c r="AN187" s="350" t="n">
        <v>1</v>
      </c>
      <c r="AO187" s="350" t="n">
        <v>1</v>
      </c>
      <c r="AP187" s="351"/>
      <c r="AR187" s="352" t="n">
        <f aca="true">IF(AND($D187="Serviço",AR$12&lt;&gt;0,$H187&gt;0,OR(AUTOEVENTO&lt;&gt;"manual",$M187&lt;&gt;$A$15)),
        IF(Import.TipoArredondamento&lt;&gt;"TransfereGOV",
              ROUND(OFFSET($P187,0,AR$13),15-13*ORÇAMENTO!$AF$7)/$H187*OFFSET(ORÇAMENTO!$X$15,ROW(AR187)-ROW(AR$15),0),
              ROUND(ROUND(OFFSET($P187,0,AR$13),15-13*ORÇAMENTO!$AF$7)*OFFSET(ORÇAMENTO!$W$15,ROW(AR187)-ROW(AR$15),0),15-13*ORÇAMENTO!$AF$11)),
         0)</f>
        <v>23.54</v>
      </c>
      <c r="AS187" s="352" t="n">
        <f aca="true">IF(AND($D187="Serviço",AS$12&lt;&gt;0,$H187&gt;0,OR(AUTOEVENTO&lt;&gt;"manual",$M187&lt;&gt;$A$15)),
        IF(Import.TipoArredondamento&lt;&gt;"TransfereGOV",
              ROUND(OFFSET($P187,0,AS$13),15-13*ORÇAMENTO!$AF$7)/$H187*OFFSET(ORÇAMENTO!$X$15,ROW(AS187)-ROW(AS$15),0),
              ROUND(ROUND(OFFSET($P187,0,AS$13),15-13*ORÇAMENTO!$AF$7)*OFFSET(ORÇAMENTO!$W$15,ROW(AS187)-ROW(AS$15),0),15-13*ORÇAMENTO!$AF$11)),
         0)</f>
        <v>23.54</v>
      </c>
      <c r="AT187" s="352" t="n">
        <f aca="true">IF(AND($D187="Serviço",AT$12&lt;&gt;0,$H187&gt;0,OR(AUTOEVENTO&lt;&gt;"manual",$M187&lt;&gt;$A$15)),
        IF(Import.TipoArredondamento&lt;&gt;"TransfereGOV",
              ROUND(OFFSET($P187,0,AT$13),15-13*ORÇAMENTO!$AF$7)/$H187*OFFSET(ORÇAMENTO!$X$15,ROW(AT187)-ROW(AT$15),0),
              ROUND(ROUND(OFFSET($P187,0,AT$13),15-13*ORÇAMENTO!$AF$7)*OFFSET(ORÇAMENTO!$W$15,ROW(AT187)-ROW(AT$15),0),15-13*ORÇAMENTO!$AF$11)),
         0)</f>
        <v>23.54</v>
      </c>
      <c r="AU187" s="352" t="n">
        <f aca="true">IF(AND($D187="Serviço",AU$12&lt;&gt;0,$H187&gt;0,OR(AUTOEVENTO&lt;&gt;"manual",$M187&lt;&gt;$A$15)),
        IF(Import.TipoArredondamento&lt;&gt;"TransfereGOV",
              ROUND(OFFSET($P187,0,AU$13),15-13*ORÇAMENTO!$AF$7)/$H187*OFFSET(ORÇAMENTO!$X$15,ROW(AU187)-ROW(AU$15),0),
              ROUND(ROUND(OFFSET($P187,0,AU$13),15-13*ORÇAMENTO!$AF$7)*OFFSET(ORÇAMENTO!$W$15,ROW(AU187)-ROW(AU$15),0),15-13*ORÇAMENTO!$AF$11)),
         0)</f>
        <v>23.54</v>
      </c>
      <c r="AV187" s="352" t="n">
        <f aca="true">IF(AND($D187="Serviço",AV$12&lt;&gt;0,$H187&gt;0,OR(AUTOEVENTO&lt;&gt;"manual",$M187&lt;&gt;$A$15)),
        IF(Import.TipoArredondamento&lt;&gt;"TransfereGOV",
              ROUND(OFFSET($P187,0,AV$13),15-13*ORÇAMENTO!$AF$7)/$H187*OFFSET(ORÇAMENTO!$X$15,ROW(AV187)-ROW(AV$15),0),
              ROUND(ROUND(OFFSET($P187,0,AV$13),15-13*ORÇAMENTO!$AF$7)*OFFSET(ORÇAMENTO!$W$15,ROW(AV187)-ROW(AV$15),0),15-13*ORÇAMENTO!$AF$11)),
         0)</f>
        <v>23.54</v>
      </c>
      <c r="AW187" s="352" t="n">
        <f aca="true">IF(AND($D187="Serviço",AW$12&lt;&gt;0,$H187&gt;0,OR(AUTOEVENTO&lt;&gt;"manual",$M187&lt;&gt;$A$15)),
        IF(Import.TipoArredondamento&lt;&gt;"TransfereGOV",
              ROUND(OFFSET($P187,0,AW$13),15-13*ORÇAMENTO!$AF$7)/$H187*OFFSET(ORÇAMENTO!$X$15,ROW(AW187)-ROW(AW$15),0),
              ROUND(ROUND(OFFSET($P187,0,AW$13),15-13*ORÇAMENTO!$AF$7)*OFFSET(ORÇAMENTO!$W$15,ROW(AW187)-ROW(AW$15),0),15-13*ORÇAMENTO!$AF$11)),
         0)</f>
        <v>23.54</v>
      </c>
      <c r="AX187" s="352" t="n">
        <f aca="true">IF(AND($D187="Serviço",AX$12&lt;&gt;0,$H187&gt;0,OR(AUTOEVENTO&lt;&gt;"manual",$M187&lt;&gt;$A$15)),
        IF(Import.TipoArredondamento&lt;&gt;"TransfereGOV",
              ROUND(OFFSET($P187,0,AX$13),15-13*ORÇAMENTO!$AF$7)/$H187*OFFSET(ORÇAMENTO!$X$15,ROW(AX187)-ROW(AX$15),0),
              ROUND(ROUND(OFFSET($P187,0,AX$13),15-13*ORÇAMENTO!$AF$7)*OFFSET(ORÇAMENTO!$W$15,ROW(AX187)-ROW(AX$15),0),15-13*ORÇAMENTO!$AF$11)),
         0)</f>
        <v>23.54</v>
      </c>
      <c r="AY187" s="352" t="n">
        <f aca="true">IF(AND($D187="Serviço",AY$12&lt;&gt;0,$H187&gt;0,OR(AUTOEVENTO&lt;&gt;"manual",$M187&lt;&gt;$A$15)),
        IF(Import.TipoArredondamento&lt;&gt;"TransfereGOV",
              ROUND(OFFSET($P187,0,AY$13),15-13*ORÇAMENTO!$AF$7)/$H187*OFFSET(ORÇAMENTO!$X$15,ROW(AY187)-ROW(AY$15),0),
              ROUND(ROUND(OFFSET($P187,0,AY$13),15-13*ORÇAMENTO!$AF$7)*OFFSET(ORÇAMENTO!$W$15,ROW(AY187)-ROW(AY$15),0),15-13*ORÇAMENTO!$AF$11)),
         0)</f>
        <v>23.54</v>
      </c>
      <c r="AZ187" s="352" t="n">
        <f aca="true">IF(AND($D187="Serviço",AZ$12&lt;&gt;0,$H187&gt;0,OR(AUTOEVENTO&lt;&gt;"manual",$M187&lt;&gt;$A$15)),
        IF(Import.TipoArredondamento&lt;&gt;"TransfereGOV",
              ROUND(OFFSET($P187,0,AZ$13),15-13*ORÇAMENTO!$AF$7)/$H187*OFFSET(ORÇAMENTO!$X$15,ROW(AZ187)-ROW(AZ$15),0),
              ROUND(ROUND(OFFSET($P187,0,AZ$13),15-13*ORÇAMENTO!$AF$7)*OFFSET(ORÇAMENTO!$W$15,ROW(AZ187)-ROW(AZ$15),0),15-13*ORÇAMENTO!$AF$11)),
         0)</f>
        <v>23.54</v>
      </c>
      <c r="BA187" s="352" t="n">
        <f aca="true">IF(AND($D187="Serviço",BA$12&lt;&gt;0,$H187&gt;0,OR(AUTOEVENTO&lt;&gt;"manual",$M187&lt;&gt;$A$15)),
        IF(Import.TipoArredondamento&lt;&gt;"TransfereGOV",
              ROUND(OFFSET($P187,0,BA$13),15-13*ORÇAMENTO!$AF$7)/$H187*OFFSET(ORÇAMENTO!$X$15,ROW(BA187)-ROW(BA$15),0),
              ROUND(ROUND(OFFSET($P187,0,BA$13),15-13*ORÇAMENTO!$AF$7)*OFFSET(ORÇAMENTO!$W$15,ROW(BA187)-ROW(BA$15),0),15-13*ORÇAMENTO!$AF$11)),
         0)</f>
        <v>23.54</v>
      </c>
      <c r="BB187" s="352" t="n">
        <f aca="true">IF(AND($D187="Serviço",BB$12&lt;&gt;0,$H187&gt;0,OR(AUTOEVENTO&lt;&gt;"manual",$M187&lt;&gt;$A$15)),
        IF(Import.TipoArredondamento&lt;&gt;"TransfereGOV",
              ROUND(OFFSET($P187,0,BB$13),15-13*ORÇAMENTO!$AF$7)/$H187*OFFSET(ORÇAMENTO!$X$15,ROW(BB187)-ROW(BB$15),0),
              ROUND(ROUND(OFFSET($P187,0,BB$13),15-13*ORÇAMENTO!$AF$7)*OFFSET(ORÇAMENTO!$W$15,ROW(BB187)-ROW(BB$15),0),15-13*ORÇAMENTO!$AF$11)),
         0)</f>
        <v>23.54</v>
      </c>
      <c r="BC187" s="352" t="n">
        <f aca="true">IF(AND($D187="Serviço",BC$12&lt;&gt;0,$H187&gt;0,OR(AUTOEVENTO&lt;&gt;"manual",$M187&lt;&gt;$A$15)),
        IF(Import.TipoArredondamento&lt;&gt;"TransfereGOV",
              ROUND(OFFSET($P187,0,BC$13),15-13*ORÇAMENTO!$AF$7)/$H187*OFFSET(ORÇAMENTO!$X$15,ROW(BC187)-ROW(BC$15),0),
              ROUND(ROUND(OFFSET($P187,0,BC$13),15-13*ORÇAMENTO!$AF$7)*OFFSET(ORÇAMENTO!$W$15,ROW(BC187)-ROW(BC$15),0),15-13*ORÇAMENTO!$AF$11)),
         0)</f>
        <v>23.54</v>
      </c>
      <c r="BD187" s="352" t="n">
        <f aca="true">IF(AND($D187="Serviço",BD$12&lt;&gt;0,$H187&gt;0,OR(AUTOEVENTO&lt;&gt;"manual",$M187&lt;&gt;$A$15)),
        IF(Import.TipoArredondamento&lt;&gt;"TransfereGOV",
              ROUND(OFFSET($P187,0,BD$13),15-13*ORÇAMENTO!$AF$7)/$H187*OFFSET(ORÇAMENTO!$X$15,ROW(BD187)-ROW(BD$15),0),
              ROUND(ROUND(OFFSET($P187,0,BD$13),15-13*ORÇAMENTO!$AF$7)*OFFSET(ORÇAMENTO!$W$15,ROW(BD187)-ROW(BD$15),0),15-13*ORÇAMENTO!$AF$11)),
         0)</f>
        <v>23.54</v>
      </c>
      <c r="BE187" s="352" t="n">
        <f aca="true">IF(AND($D187="Serviço",BE$12&lt;&gt;0,$H187&gt;0,OR(AUTOEVENTO&lt;&gt;"manual",$M187&lt;&gt;$A$15)),
        IF(Import.TipoArredondamento&lt;&gt;"TransfereGOV",
              ROUND(OFFSET($P187,0,BE$13),15-13*ORÇAMENTO!$AF$7)/$H187*OFFSET(ORÇAMENTO!$X$15,ROW(BE187)-ROW(BE$15),0),
              ROUND(ROUND(OFFSET($P187,0,BE$13),15-13*ORÇAMENTO!$AF$7)*OFFSET(ORÇAMENTO!$W$15,ROW(BE187)-ROW(BE$15),0),15-13*ORÇAMENTO!$AF$11)),
         0)</f>
        <v>23.54</v>
      </c>
      <c r="BF187" s="352" t="n">
        <f aca="true">IF(AND($D187="Serviço",BF$12&lt;&gt;0,$H187&gt;0,OR(AUTOEVENTO&lt;&gt;"manual",$M187&lt;&gt;$A$15)),
        IF(Import.TipoArredondamento&lt;&gt;"TransfereGOV",
              ROUND(OFFSET($P187,0,BF$13),15-13*ORÇAMENTO!$AF$7)/$H187*OFFSET(ORÇAMENTO!$X$15,ROW(BF187)-ROW(BF$15),0),
              ROUND(ROUND(OFFSET($P187,0,BF$13),15-13*ORÇAMENTO!$AF$7)*OFFSET(ORÇAMENTO!$W$15,ROW(BF187)-ROW(BF$15),0),15-13*ORÇAMENTO!$AF$11)),
         0)</f>
        <v>23.54</v>
      </c>
      <c r="BG187" s="352" t="n">
        <f aca="true">IF(AND($D187="Serviço",BG$12&lt;&gt;0,$H187&gt;0,OR(AUTOEVENTO&lt;&gt;"manual",$M187&lt;&gt;$A$15)),
        IF(Import.TipoArredondamento&lt;&gt;"TransfereGOV",
              ROUND(OFFSET($P187,0,BG$13),15-13*ORÇAMENTO!$AF$7)/$H187*OFFSET(ORÇAMENTO!$X$15,ROW(BG187)-ROW(BG$15),0),
              ROUND(ROUND(OFFSET($P187,0,BG$13),15-13*ORÇAMENTO!$AF$7)*OFFSET(ORÇAMENTO!$W$15,ROW(BG187)-ROW(BG$15),0),15-13*ORÇAMENTO!$AF$11)),
         0)</f>
        <v>23.54</v>
      </c>
      <c r="BH187" s="352" t="n">
        <f aca="true">IF(AND($D187="Serviço",BH$12&lt;&gt;0,$H187&gt;0,OR(AUTOEVENTO&lt;&gt;"manual",$M187&lt;&gt;$A$15)),
        IF(Import.TipoArredondamento&lt;&gt;"TransfereGOV",
              ROUND(OFFSET($P187,0,BH$13),15-13*ORÇAMENTO!$AF$7)/$H187*OFFSET(ORÇAMENTO!$X$15,ROW(BH187)-ROW(BH$15),0),
              ROUND(ROUND(OFFSET($P187,0,BH$13),15-13*ORÇAMENTO!$AF$7)*OFFSET(ORÇAMENTO!$W$15,ROW(BH187)-ROW(BH$15),0),15-13*ORÇAMENTO!$AF$11)),
         0)</f>
        <v>23.54</v>
      </c>
      <c r="BI187" s="352" t="n">
        <f aca="true">IF(AND($D187="Serviço",BI$12&lt;&gt;0,$H187&gt;0,OR(AUTOEVENTO&lt;&gt;"manual",$M187&lt;&gt;$A$15)),
        IF(Import.TipoArredondamento&lt;&gt;"TransfereGOV",
              ROUND(OFFSET($P187,0,BI$13),15-13*ORÇAMENTO!$AF$7)/$H187*OFFSET(ORÇAMENTO!$X$15,ROW(BI187)-ROW(BI$15),0),
              ROUND(ROUND(OFFSET($P187,0,BI$13),15-13*ORÇAMENTO!$AF$7)*OFFSET(ORÇAMENTO!$W$15,ROW(BI187)-ROW(BI$15),0),15-13*ORÇAMENTO!$AF$11)),
         0)</f>
        <v>23.54</v>
      </c>
      <c r="BJ187" s="352" t="n">
        <f aca="true">IF(AND($D187="Serviço",BJ$12&lt;&gt;0,$H187&gt;0,OR(AUTOEVENTO&lt;&gt;"manual",$M187&lt;&gt;$A$15)),
        IF(Import.TipoArredondamento&lt;&gt;"TransfereGOV",
              ROUND(OFFSET($P187,0,BJ$13),15-13*ORÇAMENTO!$AF$7)/$H187*OFFSET(ORÇAMENTO!$X$15,ROW(BJ187)-ROW(BJ$15),0),
              ROUND(ROUND(OFFSET($P187,0,BJ$13),15-13*ORÇAMENTO!$AF$7)*OFFSET(ORÇAMENTO!$W$15,ROW(BJ187)-ROW(BJ$15),0),15-13*ORÇAMENTO!$AF$11)),
         0)</f>
        <v>23.54</v>
      </c>
      <c r="BK187" s="352" t="n">
        <f aca="true">IF(AND($D187="Serviço",BK$12&lt;&gt;0,$H187&gt;0,OR(AUTOEVENTO&lt;&gt;"manual",$M187&lt;&gt;$A$15)),
        IF(Import.TipoArredondamento&lt;&gt;"TransfereGOV",
              ROUND(OFFSET($P187,0,BK$13),15-13*ORÇAMENTO!$AF$7)/$H187*OFFSET(ORÇAMENTO!$X$15,ROW(BK187)-ROW(BK$15),0),
              ROUND(ROUND(OFFSET($P187,0,BK$13),15-13*ORÇAMENTO!$AF$7)*OFFSET(ORÇAMENTO!$W$15,ROW(BK187)-ROW(BK$15),0),15-13*ORÇAMENTO!$AF$11)),
         0)</f>
        <v>23.54</v>
      </c>
      <c r="BL187" s="352" t="n">
        <f aca="true">IF(AND($D187="Serviço",BL$12&lt;&gt;0,$H187&gt;0,OR(AUTOEVENTO&lt;&gt;"manual",$M187&lt;&gt;$A$15)),
        IF(Import.TipoArredondamento&lt;&gt;"TransfereGOV",
              ROUND(OFFSET($P187,0,BL$13),15-13*ORÇAMENTO!$AF$7)/$H187*OFFSET(ORÇAMENTO!$X$15,ROW(BL187)-ROW(BL$15),0),
              ROUND(ROUND(OFFSET($P187,0,BL$13),15-13*ORÇAMENTO!$AF$7)*OFFSET(ORÇAMENTO!$W$15,ROW(BL187)-ROW(BL$15),0),15-13*ORÇAMENTO!$AF$11)),
         0)</f>
        <v>23.54</v>
      </c>
      <c r="BM187" s="352" t="n">
        <f aca="true">IF(AND($D187="Serviço",BM$12&lt;&gt;0,$H187&gt;0,OR(AUTOEVENTO&lt;&gt;"manual",$M187&lt;&gt;$A$15)),
        IF(Import.TipoArredondamento&lt;&gt;"TransfereGOV",
              ROUND(OFFSET($P187,0,BM$13),15-13*ORÇAMENTO!$AF$7)/$H187*OFFSET(ORÇAMENTO!$X$15,ROW(BM187)-ROW(BM$15),0),
              ROUND(ROUND(OFFSET($P187,0,BM$13),15-13*ORÇAMENTO!$AF$7)*OFFSET(ORÇAMENTO!$W$15,ROW(BM187)-ROW(BM$15),0),15-13*ORÇAMENTO!$AF$11)),
         0)</f>
        <v>23.54</v>
      </c>
      <c r="BN187" s="352" t="n">
        <f aca="true">IF(AND($D187="Serviço",BN$12&lt;&gt;0,$H187&gt;0,OR(AUTOEVENTO&lt;&gt;"manual",$M187&lt;&gt;$A$15)),
        IF(Import.TipoArredondamento&lt;&gt;"TransfereGOV",
              ROUND(OFFSET($P187,0,BN$13),15-13*ORÇAMENTO!$AF$7)/$H187*OFFSET(ORÇAMENTO!$X$15,ROW(BN187)-ROW(BN$15),0),
              ROUND(ROUND(OFFSET($P187,0,BN$13),15-13*ORÇAMENTO!$AF$7)*OFFSET(ORÇAMENTO!$W$15,ROW(BN187)-ROW(BN$15),0),15-13*ORÇAMENTO!$AF$11)),
         0)</f>
        <v>23.54</v>
      </c>
      <c r="BO187" s="352" t="n">
        <f aca="true">IF(AND($D187="Serviço",BO$12&lt;&gt;0,$H187&gt;0,OR(AUTOEVENTO&lt;&gt;"manual",$M187&lt;&gt;$A$15)),
        IF(Import.TipoArredondamento&lt;&gt;"TransfereGOV",
              ROUND(OFFSET($P187,0,BO$13),15-13*ORÇAMENTO!$AF$7)/$H187*OFFSET(ORÇAMENTO!$X$15,ROW(BO187)-ROW(BO$15),0),
              ROUND(ROUND(OFFSET($P187,0,BO$13),15-13*ORÇAMENTO!$AF$7)*OFFSET(ORÇAMENTO!$W$15,ROW(BO187)-ROW(BO$15),0),15-13*ORÇAMENTO!$AF$11)),
         0)</f>
        <v>23.54</v>
      </c>
      <c r="BP187" s="352" t="n">
        <f aca="true">IF(AND($D187="Serviço",BP$12&lt;&gt;0,$H187&gt;0,OR(AUTOEVENTO&lt;&gt;"manual",$M187&lt;&gt;$A$15)),
        IF(Import.TipoArredondamento&lt;&gt;"TransfereGOV",
              ROUND(OFFSET($P187,0,BP$13),15-13*ORÇAMENTO!$AF$7)/$H187*OFFSET(ORÇAMENTO!$X$15,ROW(BP187)-ROW(BP$15),0),
              ROUND(ROUND(OFFSET($P187,0,BP$13),15-13*ORÇAMENTO!$AF$7)*OFFSET(ORÇAMENTO!$W$15,ROW(BP187)-ROW(BP$15),0),15-13*ORÇAMENTO!$AF$11)),
         0)</f>
        <v>23.54</v>
      </c>
      <c r="BQ187" s="352" t="n">
        <f aca="true">IF(AND($D187="Serviço",BQ$12&lt;&gt;0,$H187&gt;0,OR(AUTOEVENTO&lt;&gt;"manual",$M187&lt;&gt;$A$15)),
        IF(Import.TipoArredondamento&lt;&gt;"TransfereGOV",
              ROUND(OFFSET($P187,0,BQ$13),15-13*ORÇAMENTO!$AF$7)/$H187*OFFSET(ORÇAMENTO!$X$15,ROW(BQ187)-ROW(BQ$15),0),
              ROUND(ROUND(OFFSET($P187,0,BQ$13),15-13*ORÇAMENTO!$AF$7)*OFFSET(ORÇAMENTO!$W$15,ROW(BQ187)-ROW(BQ$15),0),15-13*ORÇAMENTO!$AF$11)),
         0)</f>
        <v>0</v>
      </c>
      <c r="BS187" s="353" t="n">
        <f aca="true">IF(OR($D187&lt;&gt;"Serviço",AND(AUTOEVENTO="Manual",$M187=$A$15)),0,
         IF(OFFSET(CRONOPLE!$F$15,$M187-$A$15,BS$13)=0,10^12,OFFSET(CRONOPLE!$F$15,$M187-$A$15,BS$13)))</f>
        <v>1</v>
      </c>
      <c r="BT187" s="353" t="n">
        <f aca="true">IF(OR($D187&lt;&gt;"Serviço",AND(AUTOEVENTO="Manual",$M187=$A$15)),0,
         IF(OFFSET(CRONOPLE!$F$15,$M187-$A$15,BT$13)=0,10^12,OFFSET(CRONOPLE!$F$15,$M187-$A$15,BT$13)))</f>
        <v>2</v>
      </c>
      <c r="BU187" s="353" t="n">
        <f aca="true">IF(OR($D187&lt;&gt;"Serviço",AND(AUTOEVENTO="Manual",$M187=$A$15)),0,
         IF(OFFSET(CRONOPLE!$F$15,$M187-$A$15,BU$13)=0,10^12,OFFSET(CRONOPLE!$F$15,$M187-$A$15,BU$13)))</f>
        <v>3</v>
      </c>
      <c r="BV187" s="353" t="n">
        <f aca="true">IF(OR($D187&lt;&gt;"Serviço",AND(AUTOEVENTO="Manual",$M187=$A$15)),0,
         IF(OFFSET(CRONOPLE!$F$15,$M187-$A$15,BV$13)=0,10^12,OFFSET(CRONOPLE!$F$15,$M187-$A$15,BV$13)))</f>
        <v>4</v>
      </c>
      <c r="BW187" s="353" t="n">
        <f aca="true">IF(OR($D187&lt;&gt;"Serviço",AND(AUTOEVENTO="Manual",$M187=$A$15)),0,
         IF(OFFSET(CRONOPLE!$F$15,$M187-$A$15,BW$13)=0,10^12,OFFSET(CRONOPLE!$F$15,$M187-$A$15,BW$13)))</f>
        <v>5</v>
      </c>
      <c r="BX187" s="353" t="n">
        <f aca="true">IF(OR($D187&lt;&gt;"Serviço",AND(AUTOEVENTO="Manual",$M187=$A$15)),0,
         IF(OFFSET(CRONOPLE!$F$15,$M187-$A$15,BX$13)=0,10^12,OFFSET(CRONOPLE!$F$15,$M187-$A$15,BX$13)))</f>
        <v>6</v>
      </c>
      <c r="BY187" s="353" t="n">
        <f aca="true">IF(OR($D187&lt;&gt;"Serviço",AND(AUTOEVENTO="Manual",$M187=$A$15)),0,
         IF(OFFSET(CRONOPLE!$F$15,$M187-$A$15,BY$13)=0,10^12,OFFSET(CRONOPLE!$F$15,$M187-$A$15,BY$13)))</f>
        <v>7</v>
      </c>
      <c r="BZ187" s="353" t="n">
        <f aca="true">IF(OR($D187&lt;&gt;"Serviço",AND(AUTOEVENTO="Manual",$M187=$A$15)),0,
         IF(OFFSET(CRONOPLE!$F$15,$M187-$A$15,BZ$13)=0,10^12,OFFSET(CRONOPLE!$F$15,$M187-$A$15,BZ$13)))</f>
        <v>8</v>
      </c>
      <c r="CA187" s="353" t="n">
        <f aca="true">IF(OR($D187&lt;&gt;"Serviço",AND(AUTOEVENTO="Manual",$M187=$A$15)),0,
         IF(OFFSET(CRONOPLE!$F$15,$M187-$A$15,CA$13)=0,10^12,OFFSET(CRONOPLE!$F$15,$M187-$A$15,CA$13)))</f>
        <v>9</v>
      </c>
      <c r="CB187" s="353" t="n">
        <f aca="true">IF(OR($D187&lt;&gt;"Serviço",AND(AUTOEVENTO="Manual",$M187=$A$15)),0,
         IF(OFFSET(CRONOPLE!$F$15,$M187-$A$15,CB$13)=0,10^12,OFFSET(CRONOPLE!$F$15,$M187-$A$15,CB$13)))</f>
        <v>10</v>
      </c>
      <c r="CC187" s="353" t="n">
        <f aca="true">IF(OR($D187&lt;&gt;"Serviço",AND(AUTOEVENTO="Manual",$M187=$A$15)),0,
         IF(OFFSET(CRONOPLE!$F$15,$M187-$A$15,CC$13)=0,10^12,OFFSET(CRONOPLE!$F$15,$M187-$A$15,CC$13)))</f>
        <v>11</v>
      </c>
      <c r="CD187" s="353" t="n">
        <f aca="true">IF(OR($D187&lt;&gt;"Serviço",AND(AUTOEVENTO="Manual",$M187=$A$15)),0,
         IF(OFFSET(CRONOPLE!$F$15,$M187-$A$15,CD$13)=0,10^12,OFFSET(CRONOPLE!$F$15,$M187-$A$15,CD$13)))</f>
        <v>12</v>
      </c>
      <c r="CE187" s="353" t="n">
        <f aca="true">IF(OR($D187&lt;&gt;"Serviço",AND(AUTOEVENTO="Manual",$M187=$A$15)),0,
         IF(OFFSET(CRONOPLE!$F$15,$M187-$A$15,CE$13)=0,10^12,OFFSET(CRONOPLE!$F$15,$M187-$A$15,CE$13)))</f>
        <v>13</v>
      </c>
      <c r="CF187" s="353" t="n">
        <f aca="true">IF(OR($D187&lt;&gt;"Serviço",AND(AUTOEVENTO="Manual",$M187=$A$15)),0,
         IF(OFFSET(CRONOPLE!$F$15,$M187-$A$15,CF$13)=0,10^12,OFFSET(CRONOPLE!$F$15,$M187-$A$15,CF$13)))</f>
        <v>14</v>
      </c>
      <c r="CG187" s="353" t="n">
        <f aca="true">IF(OR($D187&lt;&gt;"Serviço",AND(AUTOEVENTO="Manual",$M187=$A$15)),0,
         IF(OFFSET(CRONOPLE!$F$15,$M187-$A$15,CG$13)=0,10^12,OFFSET(CRONOPLE!$F$15,$M187-$A$15,CG$13)))</f>
        <v>15</v>
      </c>
      <c r="CH187" s="353" t="n">
        <f aca="true">IF(OR($D187&lt;&gt;"Serviço",AND(AUTOEVENTO="Manual",$M187=$A$15)),0,
         IF(OFFSET(CRONOPLE!$F$15,$M187-$A$15,CH$13)=0,10^12,OFFSET(CRONOPLE!$F$15,$M187-$A$15,CH$13)))</f>
        <v>16</v>
      </c>
      <c r="CI187" s="353" t="n">
        <f aca="true">IF(OR($D187&lt;&gt;"Serviço",AND(AUTOEVENTO="Manual",$M187=$A$15)),0,
         IF(OFFSET(CRONOPLE!$F$15,$M187-$A$15,CI$13)=0,10^12,OFFSET(CRONOPLE!$F$15,$M187-$A$15,CI$13)))</f>
        <v>17</v>
      </c>
      <c r="CJ187" s="353" t="n">
        <f aca="true">IF(OR($D187&lt;&gt;"Serviço",AND(AUTOEVENTO="Manual",$M187=$A$15)),0,
         IF(OFFSET(CRONOPLE!$F$15,$M187-$A$15,CJ$13)=0,10^12,OFFSET(CRONOPLE!$F$15,$M187-$A$15,CJ$13)))</f>
        <v>18</v>
      </c>
      <c r="CK187" s="353" t="n">
        <f aca="true">IF(OR($D187&lt;&gt;"Serviço",AND(AUTOEVENTO="Manual",$M187=$A$15)),0,
         IF(OFFSET(CRONOPLE!$F$15,$M187-$A$15,CK$13)=0,10^12,OFFSET(CRONOPLE!$F$15,$M187-$A$15,CK$13)))</f>
        <v>19</v>
      </c>
      <c r="CL187" s="353" t="n">
        <f aca="true">IF(OR($D187&lt;&gt;"Serviço",AND(AUTOEVENTO="Manual",$M187=$A$15)),0,
         IF(OFFSET(CRONOPLE!$F$15,$M187-$A$15,CL$13)=0,10^12,OFFSET(CRONOPLE!$F$15,$M187-$A$15,CL$13)))</f>
        <v>20</v>
      </c>
      <c r="CM187" s="353" t="n">
        <f aca="true">IF(OR($D187&lt;&gt;"Serviço",AND(AUTOEVENTO="Manual",$M187=$A$15)),0,
         IF(OFFSET(CRONOPLE!$F$15,$M187-$A$15,CM$13)=0,10^12,OFFSET(CRONOPLE!$F$15,$M187-$A$15,CM$13)))</f>
        <v>21</v>
      </c>
      <c r="CN187" s="353" t="n">
        <f aca="true">IF(OR($D187&lt;&gt;"Serviço",AND(AUTOEVENTO="Manual",$M187=$A$15)),0,
         IF(OFFSET(CRONOPLE!$F$15,$M187-$A$15,CN$13)=0,10^12,OFFSET(CRONOPLE!$F$15,$M187-$A$15,CN$13)))</f>
        <v>22</v>
      </c>
      <c r="CO187" s="353" t="n">
        <f aca="true">IF(OR($D187&lt;&gt;"Serviço",AND(AUTOEVENTO="Manual",$M187=$A$15)),0,
         IF(OFFSET(CRONOPLE!$F$15,$M187-$A$15,CO$13)=0,10^12,OFFSET(CRONOPLE!$F$15,$M187-$A$15,CO$13)))</f>
        <v>23</v>
      </c>
      <c r="CP187" s="353" t="n">
        <f aca="true">IF(OR($D187&lt;&gt;"Serviço",AND(AUTOEVENTO="Manual",$M187=$A$15)),0,
         IF(OFFSET(CRONOPLE!$F$15,$M187-$A$15,CP$13)=0,10^12,OFFSET(CRONOPLE!$F$15,$M187-$A$15,CP$13)))</f>
        <v>24</v>
      </c>
      <c r="CQ187" s="353" t="n">
        <f aca="true">IF(OR($D187&lt;&gt;"Serviço",AND(AUTOEVENTO="Manual",$M187=$A$15)),0,
         IF(OFFSET(CRONOPLE!$F$15,$M187-$A$15,CQ$13)=0,10^12,OFFSET(CRONOPLE!$F$15,$M187-$A$15,CQ$13)))</f>
        <v>25</v>
      </c>
      <c r="CR187" s="353" t="n">
        <f aca="true">IF(OR($D187&lt;&gt;"Serviço",AND(AUTOEVENTO="Manual",$M187=$A$15)),0,
         IF(OFFSET(CRONOPLE!$F$15,$M187-$A$15,CR$13)=0,10^12,OFFSET(CRONOPLE!$F$15,$M187-$A$15,CR$13)))</f>
        <v>1000000000000</v>
      </c>
      <c r="CT187" s="354" t="n">
        <f aca="true">IF(OR($D187&lt;&gt;"Serviço",AND(AUTOEVENTO="Manual",$M187=$A$15),$M187&gt;(ROW(PLE.lastrow)-ROW(PLE.firstrow))),0,
           IF(OFFSET(PLE!$G$15,$M187-$A$15,CT$13)="",10^12,OFFSET(PLE!$G$15,$M187-$A$15,CT$13)))</f>
        <v>1000000000000</v>
      </c>
      <c r="CU187" s="354" t="n">
        <f aca="true">IF(OR($D187&lt;&gt;"Serviço",AND(AUTOEVENTO="Manual",$M187=$A$15),$M187&gt;(ROW(PLE.lastrow)-ROW(PLE.firstrow))),0,
           IF(OFFSET(PLE!$G$15,$M187-$A$15,CU$13)="",10^12,OFFSET(PLE!$G$15,$M187-$A$15,CU$13)))</f>
        <v>1000000000000</v>
      </c>
      <c r="CV187" s="354" t="n">
        <f aca="true">IF(OR($D187&lt;&gt;"Serviço",AND(AUTOEVENTO="Manual",$M187=$A$15),$M187&gt;(ROW(PLE.lastrow)-ROW(PLE.firstrow))),0,
           IF(OFFSET(PLE!$G$15,$M187-$A$15,CV$13)="",10^12,OFFSET(PLE!$G$15,$M187-$A$15,CV$13)))</f>
        <v>1000000000000</v>
      </c>
      <c r="CW187" s="354" t="n">
        <f aca="true">IF(OR($D187&lt;&gt;"Serviço",AND(AUTOEVENTO="Manual",$M187=$A$15),$M187&gt;(ROW(PLE.lastrow)-ROW(PLE.firstrow))),0,
           IF(OFFSET(PLE!$G$15,$M187-$A$15,CW$13)="",10^12,OFFSET(PLE!$G$15,$M187-$A$15,CW$13)))</f>
        <v>1000000000000</v>
      </c>
      <c r="CX187" s="354" t="n">
        <f aca="true">IF(OR($D187&lt;&gt;"Serviço",AND(AUTOEVENTO="Manual",$M187=$A$15),$M187&gt;(ROW(PLE.lastrow)-ROW(PLE.firstrow))),0,
           IF(OFFSET(PLE!$G$15,$M187-$A$15,CX$13)="",10^12,OFFSET(PLE!$G$15,$M187-$A$15,CX$13)))</f>
        <v>1000000000000</v>
      </c>
      <c r="CY187" s="354" t="n">
        <f aca="true">IF(OR($D187&lt;&gt;"Serviço",AND(AUTOEVENTO="Manual",$M187=$A$15),$M187&gt;(ROW(PLE.lastrow)-ROW(PLE.firstrow))),0,
           IF(OFFSET(PLE!$G$15,$M187-$A$15,CY$13)="",10^12,OFFSET(PLE!$G$15,$M187-$A$15,CY$13)))</f>
        <v>1000000000000</v>
      </c>
      <c r="CZ187" s="354" t="n">
        <f aca="true">IF(OR($D187&lt;&gt;"Serviço",AND(AUTOEVENTO="Manual",$M187=$A$15),$M187&gt;(ROW(PLE.lastrow)-ROW(PLE.firstrow))),0,
           IF(OFFSET(PLE!$G$15,$M187-$A$15,CZ$13)="",10^12,OFFSET(PLE!$G$15,$M187-$A$15,CZ$13)))</f>
        <v>1000000000000</v>
      </c>
      <c r="DA187" s="354" t="n">
        <f aca="true">IF(OR($D187&lt;&gt;"Serviço",AND(AUTOEVENTO="Manual",$M187=$A$15),$M187&gt;(ROW(PLE.lastrow)-ROW(PLE.firstrow))),0,
           IF(OFFSET(PLE!$G$15,$M187-$A$15,DA$13)="",10^12,OFFSET(PLE!$G$15,$M187-$A$15,DA$13)))</f>
        <v>1000000000000</v>
      </c>
      <c r="DB187" s="354" t="n">
        <f aca="true">IF(OR($D187&lt;&gt;"Serviço",AND(AUTOEVENTO="Manual",$M187=$A$15),$M187&gt;(ROW(PLE.lastrow)-ROW(PLE.firstrow))),0,
           IF(OFFSET(PLE!$G$15,$M187-$A$15,DB$13)="",10^12,OFFSET(PLE!$G$15,$M187-$A$15,DB$13)))</f>
        <v>1000000000000</v>
      </c>
      <c r="DC187" s="354" t="n">
        <f aca="true">IF(OR($D187&lt;&gt;"Serviço",AND(AUTOEVENTO="Manual",$M187=$A$15),$M187&gt;(ROW(PLE.lastrow)-ROW(PLE.firstrow))),0,
           IF(OFFSET(PLE!$G$15,$M187-$A$15,DC$13)="",10^12,OFFSET(PLE!$G$15,$M187-$A$15,DC$13)))</f>
        <v>1000000000000</v>
      </c>
      <c r="DD187" s="354" t="n">
        <f aca="true">IF(OR($D187&lt;&gt;"Serviço",AND(AUTOEVENTO="Manual",$M187=$A$15),$M187&gt;(ROW(PLE.lastrow)-ROW(PLE.firstrow))),0,
           IF(OFFSET(PLE!$G$15,$M187-$A$15,DD$13)="",10^12,OFFSET(PLE!$G$15,$M187-$A$15,DD$13)))</f>
        <v>1000000000000</v>
      </c>
      <c r="DE187" s="354" t="n">
        <f aca="true">IF(OR($D187&lt;&gt;"Serviço",AND(AUTOEVENTO="Manual",$M187=$A$15),$M187&gt;(ROW(PLE.lastrow)-ROW(PLE.firstrow))),0,
           IF(OFFSET(PLE!$G$15,$M187-$A$15,DE$13)="",10^12,OFFSET(PLE!$G$15,$M187-$A$15,DE$13)))</f>
        <v>1000000000000</v>
      </c>
      <c r="DF187" s="354" t="n">
        <f aca="true">IF(OR($D187&lt;&gt;"Serviço",AND(AUTOEVENTO="Manual",$M187=$A$15),$M187&gt;(ROW(PLE.lastrow)-ROW(PLE.firstrow))),0,
           IF(OFFSET(PLE!$G$15,$M187-$A$15,DF$13)="",10^12,OFFSET(PLE!$G$15,$M187-$A$15,DF$13)))</f>
        <v>1000000000000</v>
      </c>
      <c r="DG187" s="354" t="n">
        <f aca="true">IF(OR($D187&lt;&gt;"Serviço",AND(AUTOEVENTO="Manual",$M187=$A$15),$M187&gt;(ROW(PLE.lastrow)-ROW(PLE.firstrow))),0,
           IF(OFFSET(PLE!$G$15,$M187-$A$15,DG$13)="",10^12,OFFSET(PLE!$G$15,$M187-$A$15,DG$13)))</f>
        <v>1000000000000</v>
      </c>
      <c r="DH187" s="354" t="n">
        <f aca="true">IF(OR($D187&lt;&gt;"Serviço",AND(AUTOEVENTO="Manual",$M187=$A$15),$M187&gt;(ROW(PLE.lastrow)-ROW(PLE.firstrow))),0,
           IF(OFFSET(PLE!$G$15,$M187-$A$15,DH$13)="",10^12,OFFSET(PLE!$G$15,$M187-$A$15,DH$13)))</f>
        <v>1000000000000</v>
      </c>
      <c r="DI187" s="354" t="n">
        <f aca="true">IF(OR($D187&lt;&gt;"Serviço",AND(AUTOEVENTO="Manual",$M187=$A$15),$M187&gt;(ROW(PLE.lastrow)-ROW(PLE.firstrow))),0,
           IF(OFFSET(PLE!$G$15,$M187-$A$15,DI$13)="",10^12,OFFSET(PLE!$G$15,$M187-$A$15,DI$13)))</f>
        <v>1000000000000</v>
      </c>
      <c r="DJ187" s="354" t="n">
        <f aca="true">IF(OR($D187&lt;&gt;"Serviço",AND(AUTOEVENTO="Manual",$M187=$A$15),$M187&gt;(ROW(PLE.lastrow)-ROW(PLE.firstrow))),0,
           IF(OFFSET(PLE!$G$15,$M187-$A$15,DJ$13)="",10^12,OFFSET(PLE!$G$15,$M187-$A$15,DJ$13)))</f>
        <v>1000000000000</v>
      </c>
      <c r="DK187" s="354" t="n">
        <f aca="true">IF(OR($D187&lt;&gt;"Serviço",AND(AUTOEVENTO="Manual",$M187=$A$15),$M187&gt;(ROW(PLE.lastrow)-ROW(PLE.firstrow))),0,
           IF(OFFSET(PLE!$G$15,$M187-$A$15,DK$13)="",10^12,OFFSET(PLE!$G$15,$M187-$A$15,DK$13)))</f>
        <v>1000000000000</v>
      </c>
      <c r="DL187" s="354" t="n">
        <f aca="true">IF(OR($D187&lt;&gt;"Serviço",AND(AUTOEVENTO="Manual",$M187=$A$15),$M187&gt;(ROW(PLE.lastrow)-ROW(PLE.firstrow))),0,
           IF(OFFSET(PLE!$G$15,$M187-$A$15,DL$13)="",10^12,OFFSET(PLE!$G$15,$M187-$A$15,DL$13)))</f>
        <v>1000000000000</v>
      </c>
      <c r="DM187" s="354" t="n">
        <f aca="true">IF(OR($D187&lt;&gt;"Serviço",AND(AUTOEVENTO="Manual",$M187=$A$15),$M187&gt;(ROW(PLE.lastrow)-ROW(PLE.firstrow))),0,
           IF(OFFSET(PLE!$G$15,$M187-$A$15,DM$13)="",10^12,OFFSET(PLE!$G$15,$M187-$A$15,DM$13)))</f>
        <v>1000000000000</v>
      </c>
      <c r="DN187" s="354" t="n">
        <f aca="true">IF(OR($D187&lt;&gt;"Serviço",AND(AUTOEVENTO="Manual",$M187=$A$15),$M187&gt;(ROW(PLE.lastrow)-ROW(PLE.firstrow))),0,
           IF(OFFSET(PLE!$G$15,$M187-$A$15,DN$13)="",10^12,OFFSET(PLE!$G$15,$M187-$A$15,DN$13)))</f>
        <v>1000000000000</v>
      </c>
      <c r="DO187" s="354" t="n">
        <f aca="true">IF(OR($D187&lt;&gt;"Serviço",AND(AUTOEVENTO="Manual",$M187=$A$15),$M187&gt;(ROW(PLE.lastrow)-ROW(PLE.firstrow))),0,
           IF(OFFSET(PLE!$G$15,$M187-$A$15,DO$13)="",10^12,OFFSET(PLE!$G$15,$M187-$A$15,DO$13)))</f>
        <v>1000000000000</v>
      </c>
      <c r="DP187" s="354" t="n">
        <f aca="true">IF(OR($D187&lt;&gt;"Serviço",AND(AUTOEVENTO="Manual",$M187=$A$15),$M187&gt;(ROW(PLE.lastrow)-ROW(PLE.firstrow))),0,
           IF(OFFSET(PLE!$G$15,$M187-$A$15,DP$13)="",10^12,OFFSET(PLE!$G$15,$M187-$A$15,DP$13)))</f>
        <v>1000000000000</v>
      </c>
      <c r="DQ187" s="354" t="n">
        <f aca="true">IF(OR($D187&lt;&gt;"Serviço",AND(AUTOEVENTO="Manual",$M187=$A$15),$M187&gt;(ROW(PLE.lastrow)-ROW(PLE.firstrow))),0,
           IF(OFFSET(PLE!$G$15,$M187-$A$15,DQ$13)="",10^12,OFFSET(PLE!$G$15,$M187-$A$15,DQ$13)))</f>
        <v>1000000000000</v>
      </c>
      <c r="DR187" s="354" t="n">
        <f aca="true">IF(OR($D187&lt;&gt;"Serviço",AND(AUTOEVENTO="Manual",$M187=$A$15),$M187&gt;(ROW(PLE.lastrow)-ROW(PLE.firstrow))),0,
           IF(OFFSET(PLE!$G$15,$M187-$A$15,DR$13)="",10^12,OFFSET(PLE!$G$15,$M187-$A$15,DR$13)))</f>
        <v>1000000000000</v>
      </c>
      <c r="DS187" s="354" t="n">
        <f aca="true">IF(OR($D187&lt;&gt;"Serviço",AND(AUTOEVENTO="Manual",$M187=$A$15),$M187&gt;(ROW(PLE.lastrow)-ROW(PLE.firstrow))),0,
           IF(OFFSET(PLE!$G$15,$M187-$A$15,DS$13)="",10^12,OFFSET(PLE!$G$15,$M187-$A$15,DS$13)))</f>
        <v>1000000000000</v>
      </c>
    </row>
    <row r="188" customFormat="false" ht="35.05" hidden="false" customHeight="false" outlineLevel="0" collapsed="false">
      <c r="A188" s="50" t="str">
        <f aca="true">IFERROR(IF(AUTOEVENTO="Manual",IF(K188&lt;&gt;"",MIN(VALUE(LEFT(K188,FIND(".",K188)-1)),COUNTA(EVENTOS.Lista)),0),IF(OR($B188&gt;AUTOEVENTO,$B188="S",$B188=0),SUBSTITUTE(OFFSET($A188,-1,0),IF($D188="Serviço",".",""),""),ROW(A188)-ROW($A$15)&amp;".")),0)</f>
        <v>170</v>
      </c>
      <c r="B188" s="50" t="str">
        <f aca="true">OFFSET(ORÇAMENTO!C$15,ROW(B188)-ROW(B$15),0)</f>
        <v>S</v>
      </c>
      <c r="C188" s="50" t="str">
        <f aca="true">OFFSET(ORÇAMENTO!L$15,ROW(C188)-ROW(C$15),0)</f>
        <v>F</v>
      </c>
      <c r="D188" s="201" t="str">
        <f aca="true">OFFSET(ORÇAMENTO!N$15,ROW(D188)-ROW(D$15),0)</f>
        <v>Serviço</v>
      </c>
      <c r="E188" s="202" t="str">
        <f aca="true">OFFSET(ORÇAMENTO!O$15,ROW(E188)-ROW(E$15),0)</f>
        <v>1.46.3.</v>
      </c>
      <c r="F188" s="341" t="str">
        <f aca="true">OFFSET(ORÇAMENTO!R$15,ROW(F188)-ROW(F$15),0)</f>
        <v>CAIXA DE GORDURA SIMPLES (CAPACIDADE: 36L), RETANGULAR, EM ALVENARIA COM TIJOLOS CERÂMICOS MACIÇOS, DIMENSÕES INTERNAS = 0,2X0,4 M, ALTURA INTERNA = 0,8 M. AF_12/2020</v>
      </c>
      <c r="G188" s="342" t="str">
        <f aca="true">IF($D188&lt;&gt;"Serviço","",OFFSET(ORÇAMENTO!S$15,ROW(G188)-ROW(G$15),0))</f>
        <v>UN</v>
      </c>
      <c r="H188" s="207" t="n">
        <f aca="true">IF($D188&lt;&gt;"Serviço",0,IF(ACOMPANHAMENTO="BM",ROUND(OFFSET(ORÇAMENTO!AJ$15,ROW(H188)-ROW(H$15),0),15-13*ORÇAMENTO!$AF$7),SUMPRODUCT(($Q$1:$AQ$1=1)*ROUND($Q188:$AQ188,15-13*ORÇAMENTO!$AF$7))))</f>
        <v>25</v>
      </c>
      <c r="I188" s="343" t="s">
        <v>969</v>
      </c>
      <c r="J188" s="344" t="e">
        <f aca="false">IF(OR(B188&lt;&gt;"S",CÁLCULO.FrentesPreenchidas=0),"",IF(AND(ACOMPANHAMENTO="PLE",AUTOEVENTO="Manual",OR(H188&gt;0,ORÇAMENTO!AC188="QUANT."),OR(K188="",M188=0,N188="")),"►",IF(AND(ACOMPANHAMENTO="PLE",ORÇAMENTO!AC188="QUANT."),"►►",IF(AND(COUNTIF($P$11:$AQ$11,"▼")=0,H188&gt;0,I188=""),"◄",""))))</f>
        <v>#NAME?</v>
      </c>
      <c r="K188" s="345"/>
      <c r="L188" s="346" t="s">
        <v>876</v>
      </c>
      <c r="M188" s="347" t="n">
        <f aca="true">IF($D188&lt;&gt;"Serviço","",
          IF(AUTOEVENTO="manual",$A188,
                IF(ISERROR(MATCH($A188,$A$15:OFFSET($A188,-1,0),0)),MAX($M$15:OFFSET(M188,-1,0))+1,
                      INDEX($M$15:OFFSET(M188,-1,0),MATCH($A188,$A$15:OFFSET($A188,-1,0),0)))))</f>
        <v>29</v>
      </c>
      <c r="N188" s="348" t="str">
        <f aca="true">IF($D188&lt;&gt;"Serviço","",
         IF(AUTOEVENTO="Manual",
                IF($A188=0,"&lt;-- defina o número do agrupador",
                       OFFSET(EVENTOS!$D$15,$A188-$A$15,0)),
                OFFSET($F$15,$A188,0)))</f>
        <v>ACESSÓRIOS/CAIXAS</v>
      </c>
      <c r="O188" s="349"/>
      <c r="Q188" s="349" t="n">
        <v>1</v>
      </c>
      <c r="R188" s="350" t="n">
        <v>1</v>
      </c>
      <c r="S188" s="350" t="n">
        <v>1</v>
      </c>
      <c r="T188" s="350" t="n">
        <v>1</v>
      </c>
      <c r="U188" s="350" t="n">
        <v>1</v>
      </c>
      <c r="V188" s="350" t="n">
        <v>1</v>
      </c>
      <c r="W188" s="350" t="n">
        <v>1</v>
      </c>
      <c r="X188" s="350" t="n">
        <v>1</v>
      </c>
      <c r="Y188" s="350" t="n">
        <v>1</v>
      </c>
      <c r="Z188" s="351" t="n">
        <v>1</v>
      </c>
      <c r="AA188" s="350" t="n">
        <v>1</v>
      </c>
      <c r="AB188" s="350" t="n">
        <v>1</v>
      </c>
      <c r="AC188" s="350" t="n">
        <v>1</v>
      </c>
      <c r="AD188" s="350" t="n">
        <v>1</v>
      </c>
      <c r="AE188" s="350" t="n">
        <v>1</v>
      </c>
      <c r="AF188" s="350" t="n">
        <v>1</v>
      </c>
      <c r="AG188" s="350" t="n">
        <v>1</v>
      </c>
      <c r="AH188" s="351" t="n">
        <v>1</v>
      </c>
      <c r="AI188" s="350" t="n">
        <v>1</v>
      </c>
      <c r="AJ188" s="350" t="n">
        <v>1</v>
      </c>
      <c r="AK188" s="350" t="n">
        <v>1</v>
      </c>
      <c r="AL188" s="350" t="n">
        <v>1</v>
      </c>
      <c r="AM188" s="350" t="n">
        <v>1</v>
      </c>
      <c r="AN188" s="350" t="n">
        <v>1</v>
      </c>
      <c r="AO188" s="350" t="n">
        <v>1</v>
      </c>
      <c r="AP188" s="351"/>
      <c r="AR188" s="352" t="n">
        <f aca="true">IF(AND($D188="Serviço",AR$12&lt;&gt;0,$H188&gt;0,OR(AUTOEVENTO&lt;&gt;"manual",$M188&lt;&gt;$A$15)),
        IF(Import.TipoArredondamento&lt;&gt;"TransfereGOV",
              ROUND(OFFSET($P188,0,AR$13),15-13*ORÇAMENTO!$AF$7)/$H188*OFFSET(ORÇAMENTO!$X$15,ROW(AR188)-ROW(AR$15),0),
              ROUND(ROUND(OFFSET($P188,0,AR$13),15-13*ORÇAMENTO!$AF$7)*OFFSET(ORÇAMENTO!$W$15,ROW(AR188)-ROW(AR$15),0),15-13*ORÇAMENTO!$AF$11)),
         0)</f>
        <v>469.74</v>
      </c>
      <c r="AS188" s="352" t="n">
        <f aca="true">IF(AND($D188="Serviço",AS$12&lt;&gt;0,$H188&gt;0,OR(AUTOEVENTO&lt;&gt;"manual",$M188&lt;&gt;$A$15)),
        IF(Import.TipoArredondamento&lt;&gt;"TransfereGOV",
              ROUND(OFFSET($P188,0,AS$13),15-13*ORÇAMENTO!$AF$7)/$H188*OFFSET(ORÇAMENTO!$X$15,ROW(AS188)-ROW(AS$15),0),
              ROUND(ROUND(OFFSET($P188,0,AS$13),15-13*ORÇAMENTO!$AF$7)*OFFSET(ORÇAMENTO!$W$15,ROW(AS188)-ROW(AS$15),0),15-13*ORÇAMENTO!$AF$11)),
         0)</f>
        <v>469.74</v>
      </c>
      <c r="AT188" s="352" t="n">
        <f aca="true">IF(AND($D188="Serviço",AT$12&lt;&gt;0,$H188&gt;0,OR(AUTOEVENTO&lt;&gt;"manual",$M188&lt;&gt;$A$15)),
        IF(Import.TipoArredondamento&lt;&gt;"TransfereGOV",
              ROUND(OFFSET($P188,0,AT$13),15-13*ORÇAMENTO!$AF$7)/$H188*OFFSET(ORÇAMENTO!$X$15,ROW(AT188)-ROW(AT$15),0),
              ROUND(ROUND(OFFSET($P188,0,AT$13),15-13*ORÇAMENTO!$AF$7)*OFFSET(ORÇAMENTO!$W$15,ROW(AT188)-ROW(AT$15),0),15-13*ORÇAMENTO!$AF$11)),
         0)</f>
        <v>469.74</v>
      </c>
      <c r="AU188" s="352" t="n">
        <f aca="true">IF(AND($D188="Serviço",AU$12&lt;&gt;0,$H188&gt;0,OR(AUTOEVENTO&lt;&gt;"manual",$M188&lt;&gt;$A$15)),
        IF(Import.TipoArredondamento&lt;&gt;"TransfereGOV",
              ROUND(OFFSET($P188,0,AU$13),15-13*ORÇAMENTO!$AF$7)/$H188*OFFSET(ORÇAMENTO!$X$15,ROW(AU188)-ROW(AU$15),0),
              ROUND(ROUND(OFFSET($P188,0,AU$13),15-13*ORÇAMENTO!$AF$7)*OFFSET(ORÇAMENTO!$W$15,ROW(AU188)-ROW(AU$15),0),15-13*ORÇAMENTO!$AF$11)),
         0)</f>
        <v>469.74</v>
      </c>
      <c r="AV188" s="352" t="n">
        <f aca="true">IF(AND($D188="Serviço",AV$12&lt;&gt;0,$H188&gt;0,OR(AUTOEVENTO&lt;&gt;"manual",$M188&lt;&gt;$A$15)),
        IF(Import.TipoArredondamento&lt;&gt;"TransfereGOV",
              ROUND(OFFSET($P188,0,AV$13),15-13*ORÇAMENTO!$AF$7)/$H188*OFFSET(ORÇAMENTO!$X$15,ROW(AV188)-ROW(AV$15),0),
              ROUND(ROUND(OFFSET($P188,0,AV$13),15-13*ORÇAMENTO!$AF$7)*OFFSET(ORÇAMENTO!$W$15,ROW(AV188)-ROW(AV$15),0),15-13*ORÇAMENTO!$AF$11)),
         0)</f>
        <v>469.74</v>
      </c>
      <c r="AW188" s="352" t="n">
        <f aca="true">IF(AND($D188="Serviço",AW$12&lt;&gt;0,$H188&gt;0,OR(AUTOEVENTO&lt;&gt;"manual",$M188&lt;&gt;$A$15)),
        IF(Import.TipoArredondamento&lt;&gt;"TransfereGOV",
              ROUND(OFFSET($P188,0,AW$13),15-13*ORÇAMENTO!$AF$7)/$H188*OFFSET(ORÇAMENTO!$X$15,ROW(AW188)-ROW(AW$15),0),
              ROUND(ROUND(OFFSET($P188,0,AW$13),15-13*ORÇAMENTO!$AF$7)*OFFSET(ORÇAMENTO!$W$15,ROW(AW188)-ROW(AW$15),0),15-13*ORÇAMENTO!$AF$11)),
         0)</f>
        <v>469.74</v>
      </c>
      <c r="AX188" s="352" t="n">
        <f aca="true">IF(AND($D188="Serviço",AX$12&lt;&gt;0,$H188&gt;0,OR(AUTOEVENTO&lt;&gt;"manual",$M188&lt;&gt;$A$15)),
        IF(Import.TipoArredondamento&lt;&gt;"TransfereGOV",
              ROUND(OFFSET($P188,0,AX$13),15-13*ORÇAMENTO!$AF$7)/$H188*OFFSET(ORÇAMENTO!$X$15,ROW(AX188)-ROW(AX$15),0),
              ROUND(ROUND(OFFSET($P188,0,AX$13),15-13*ORÇAMENTO!$AF$7)*OFFSET(ORÇAMENTO!$W$15,ROW(AX188)-ROW(AX$15),0),15-13*ORÇAMENTO!$AF$11)),
         0)</f>
        <v>469.74</v>
      </c>
      <c r="AY188" s="352" t="n">
        <f aca="true">IF(AND($D188="Serviço",AY$12&lt;&gt;0,$H188&gt;0,OR(AUTOEVENTO&lt;&gt;"manual",$M188&lt;&gt;$A$15)),
        IF(Import.TipoArredondamento&lt;&gt;"TransfereGOV",
              ROUND(OFFSET($P188,0,AY$13),15-13*ORÇAMENTO!$AF$7)/$H188*OFFSET(ORÇAMENTO!$X$15,ROW(AY188)-ROW(AY$15),0),
              ROUND(ROUND(OFFSET($P188,0,AY$13),15-13*ORÇAMENTO!$AF$7)*OFFSET(ORÇAMENTO!$W$15,ROW(AY188)-ROW(AY$15),0),15-13*ORÇAMENTO!$AF$11)),
         0)</f>
        <v>469.74</v>
      </c>
      <c r="AZ188" s="352" t="n">
        <f aca="true">IF(AND($D188="Serviço",AZ$12&lt;&gt;0,$H188&gt;0,OR(AUTOEVENTO&lt;&gt;"manual",$M188&lt;&gt;$A$15)),
        IF(Import.TipoArredondamento&lt;&gt;"TransfereGOV",
              ROUND(OFFSET($P188,0,AZ$13),15-13*ORÇAMENTO!$AF$7)/$H188*OFFSET(ORÇAMENTO!$X$15,ROW(AZ188)-ROW(AZ$15),0),
              ROUND(ROUND(OFFSET($P188,0,AZ$13),15-13*ORÇAMENTO!$AF$7)*OFFSET(ORÇAMENTO!$W$15,ROW(AZ188)-ROW(AZ$15),0),15-13*ORÇAMENTO!$AF$11)),
         0)</f>
        <v>469.74</v>
      </c>
      <c r="BA188" s="352" t="n">
        <f aca="true">IF(AND($D188="Serviço",BA$12&lt;&gt;0,$H188&gt;0,OR(AUTOEVENTO&lt;&gt;"manual",$M188&lt;&gt;$A$15)),
        IF(Import.TipoArredondamento&lt;&gt;"TransfereGOV",
              ROUND(OFFSET($P188,0,BA$13),15-13*ORÇAMENTO!$AF$7)/$H188*OFFSET(ORÇAMENTO!$X$15,ROW(BA188)-ROW(BA$15),0),
              ROUND(ROUND(OFFSET($P188,0,BA$13),15-13*ORÇAMENTO!$AF$7)*OFFSET(ORÇAMENTO!$W$15,ROW(BA188)-ROW(BA$15),0),15-13*ORÇAMENTO!$AF$11)),
         0)</f>
        <v>469.74</v>
      </c>
      <c r="BB188" s="352" t="n">
        <f aca="true">IF(AND($D188="Serviço",BB$12&lt;&gt;0,$H188&gt;0,OR(AUTOEVENTO&lt;&gt;"manual",$M188&lt;&gt;$A$15)),
        IF(Import.TipoArredondamento&lt;&gt;"TransfereGOV",
              ROUND(OFFSET($P188,0,BB$13),15-13*ORÇAMENTO!$AF$7)/$H188*OFFSET(ORÇAMENTO!$X$15,ROW(BB188)-ROW(BB$15),0),
              ROUND(ROUND(OFFSET($P188,0,BB$13),15-13*ORÇAMENTO!$AF$7)*OFFSET(ORÇAMENTO!$W$15,ROW(BB188)-ROW(BB$15),0),15-13*ORÇAMENTO!$AF$11)),
         0)</f>
        <v>469.74</v>
      </c>
      <c r="BC188" s="352" t="n">
        <f aca="true">IF(AND($D188="Serviço",BC$12&lt;&gt;0,$H188&gt;0,OR(AUTOEVENTO&lt;&gt;"manual",$M188&lt;&gt;$A$15)),
        IF(Import.TipoArredondamento&lt;&gt;"TransfereGOV",
              ROUND(OFFSET($P188,0,BC$13),15-13*ORÇAMENTO!$AF$7)/$H188*OFFSET(ORÇAMENTO!$X$15,ROW(BC188)-ROW(BC$15),0),
              ROUND(ROUND(OFFSET($P188,0,BC$13),15-13*ORÇAMENTO!$AF$7)*OFFSET(ORÇAMENTO!$W$15,ROW(BC188)-ROW(BC$15),0),15-13*ORÇAMENTO!$AF$11)),
         0)</f>
        <v>469.74</v>
      </c>
      <c r="BD188" s="352" t="n">
        <f aca="true">IF(AND($D188="Serviço",BD$12&lt;&gt;0,$H188&gt;0,OR(AUTOEVENTO&lt;&gt;"manual",$M188&lt;&gt;$A$15)),
        IF(Import.TipoArredondamento&lt;&gt;"TransfereGOV",
              ROUND(OFFSET($P188,0,BD$13),15-13*ORÇAMENTO!$AF$7)/$H188*OFFSET(ORÇAMENTO!$X$15,ROW(BD188)-ROW(BD$15),0),
              ROUND(ROUND(OFFSET($P188,0,BD$13),15-13*ORÇAMENTO!$AF$7)*OFFSET(ORÇAMENTO!$W$15,ROW(BD188)-ROW(BD$15),0),15-13*ORÇAMENTO!$AF$11)),
         0)</f>
        <v>469.74</v>
      </c>
      <c r="BE188" s="352" t="n">
        <f aca="true">IF(AND($D188="Serviço",BE$12&lt;&gt;0,$H188&gt;0,OR(AUTOEVENTO&lt;&gt;"manual",$M188&lt;&gt;$A$15)),
        IF(Import.TipoArredondamento&lt;&gt;"TransfereGOV",
              ROUND(OFFSET($P188,0,BE$13),15-13*ORÇAMENTO!$AF$7)/$H188*OFFSET(ORÇAMENTO!$X$15,ROW(BE188)-ROW(BE$15),0),
              ROUND(ROUND(OFFSET($P188,0,BE$13),15-13*ORÇAMENTO!$AF$7)*OFFSET(ORÇAMENTO!$W$15,ROW(BE188)-ROW(BE$15),0),15-13*ORÇAMENTO!$AF$11)),
         0)</f>
        <v>469.74</v>
      </c>
      <c r="BF188" s="352" t="n">
        <f aca="true">IF(AND($D188="Serviço",BF$12&lt;&gt;0,$H188&gt;0,OR(AUTOEVENTO&lt;&gt;"manual",$M188&lt;&gt;$A$15)),
        IF(Import.TipoArredondamento&lt;&gt;"TransfereGOV",
              ROUND(OFFSET($P188,0,BF$13),15-13*ORÇAMENTO!$AF$7)/$H188*OFFSET(ORÇAMENTO!$X$15,ROW(BF188)-ROW(BF$15),0),
              ROUND(ROUND(OFFSET($P188,0,BF$13),15-13*ORÇAMENTO!$AF$7)*OFFSET(ORÇAMENTO!$W$15,ROW(BF188)-ROW(BF$15),0),15-13*ORÇAMENTO!$AF$11)),
         0)</f>
        <v>469.74</v>
      </c>
      <c r="BG188" s="352" t="n">
        <f aca="true">IF(AND($D188="Serviço",BG$12&lt;&gt;0,$H188&gt;0,OR(AUTOEVENTO&lt;&gt;"manual",$M188&lt;&gt;$A$15)),
        IF(Import.TipoArredondamento&lt;&gt;"TransfereGOV",
              ROUND(OFFSET($P188,0,BG$13),15-13*ORÇAMENTO!$AF$7)/$H188*OFFSET(ORÇAMENTO!$X$15,ROW(BG188)-ROW(BG$15),0),
              ROUND(ROUND(OFFSET($P188,0,BG$13),15-13*ORÇAMENTO!$AF$7)*OFFSET(ORÇAMENTO!$W$15,ROW(BG188)-ROW(BG$15),0),15-13*ORÇAMENTO!$AF$11)),
         0)</f>
        <v>469.74</v>
      </c>
      <c r="BH188" s="352" t="n">
        <f aca="true">IF(AND($D188="Serviço",BH$12&lt;&gt;0,$H188&gt;0,OR(AUTOEVENTO&lt;&gt;"manual",$M188&lt;&gt;$A$15)),
        IF(Import.TipoArredondamento&lt;&gt;"TransfereGOV",
              ROUND(OFFSET($P188,0,BH$13),15-13*ORÇAMENTO!$AF$7)/$H188*OFFSET(ORÇAMENTO!$X$15,ROW(BH188)-ROW(BH$15),0),
              ROUND(ROUND(OFFSET($P188,0,BH$13),15-13*ORÇAMENTO!$AF$7)*OFFSET(ORÇAMENTO!$W$15,ROW(BH188)-ROW(BH$15),0),15-13*ORÇAMENTO!$AF$11)),
         0)</f>
        <v>469.74</v>
      </c>
      <c r="BI188" s="352" t="n">
        <f aca="true">IF(AND($D188="Serviço",BI$12&lt;&gt;0,$H188&gt;0,OR(AUTOEVENTO&lt;&gt;"manual",$M188&lt;&gt;$A$15)),
        IF(Import.TipoArredondamento&lt;&gt;"TransfereGOV",
              ROUND(OFFSET($P188,0,BI$13),15-13*ORÇAMENTO!$AF$7)/$H188*OFFSET(ORÇAMENTO!$X$15,ROW(BI188)-ROW(BI$15),0),
              ROUND(ROUND(OFFSET($P188,0,BI$13),15-13*ORÇAMENTO!$AF$7)*OFFSET(ORÇAMENTO!$W$15,ROW(BI188)-ROW(BI$15),0),15-13*ORÇAMENTO!$AF$11)),
         0)</f>
        <v>469.74</v>
      </c>
      <c r="BJ188" s="352" t="n">
        <f aca="true">IF(AND($D188="Serviço",BJ$12&lt;&gt;0,$H188&gt;0,OR(AUTOEVENTO&lt;&gt;"manual",$M188&lt;&gt;$A$15)),
        IF(Import.TipoArredondamento&lt;&gt;"TransfereGOV",
              ROUND(OFFSET($P188,0,BJ$13),15-13*ORÇAMENTO!$AF$7)/$H188*OFFSET(ORÇAMENTO!$X$15,ROW(BJ188)-ROW(BJ$15),0),
              ROUND(ROUND(OFFSET($P188,0,BJ$13),15-13*ORÇAMENTO!$AF$7)*OFFSET(ORÇAMENTO!$W$15,ROW(BJ188)-ROW(BJ$15),0),15-13*ORÇAMENTO!$AF$11)),
         0)</f>
        <v>469.74</v>
      </c>
      <c r="BK188" s="352" t="n">
        <f aca="true">IF(AND($D188="Serviço",BK$12&lt;&gt;0,$H188&gt;0,OR(AUTOEVENTO&lt;&gt;"manual",$M188&lt;&gt;$A$15)),
        IF(Import.TipoArredondamento&lt;&gt;"TransfereGOV",
              ROUND(OFFSET($P188,0,BK$13),15-13*ORÇAMENTO!$AF$7)/$H188*OFFSET(ORÇAMENTO!$X$15,ROW(BK188)-ROW(BK$15),0),
              ROUND(ROUND(OFFSET($P188,0,BK$13),15-13*ORÇAMENTO!$AF$7)*OFFSET(ORÇAMENTO!$W$15,ROW(BK188)-ROW(BK$15),0),15-13*ORÇAMENTO!$AF$11)),
         0)</f>
        <v>469.74</v>
      </c>
      <c r="BL188" s="352" t="n">
        <f aca="true">IF(AND($D188="Serviço",BL$12&lt;&gt;0,$H188&gt;0,OR(AUTOEVENTO&lt;&gt;"manual",$M188&lt;&gt;$A$15)),
        IF(Import.TipoArredondamento&lt;&gt;"TransfereGOV",
              ROUND(OFFSET($P188,0,BL$13),15-13*ORÇAMENTO!$AF$7)/$H188*OFFSET(ORÇAMENTO!$X$15,ROW(BL188)-ROW(BL$15),0),
              ROUND(ROUND(OFFSET($P188,0,BL$13),15-13*ORÇAMENTO!$AF$7)*OFFSET(ORÇAMENTO!$W$15,ROW(BL188)-ROW(BL$15),0),15-13*ORÇAMENTO!$AF$11)),
         0)</f>
        <v>469.74</v>
      </c>
      <c r="BM188" s="352" t="n">
        <f aca="true">IF(AND($D188="Serviço",BM$12&lt;&gt;0,$H188&gt;0,OR(AUTOEVENTO&lt;&gt;"manual",$M188&lt;&gt;$A$15)),
        IF(Import.TipoArredondamento&lt;&gt;"TransfereGOV",
              ROUND(OFFSET($P188,0,BM$13),15-13*ORÇAMENTO!$AF$7)/$H188*OFFSET(ORÇAMENTO!$X$15,ROW(BM188)-ROW(BM$15),0),
              ROUND(ROUND(OFFSET($P188,0,BM$13),15-13*ORÇAMENTO!$AF$7)*OFFSET(ORÇAMENTO!$W$15,ROW(BM188)-ROW(BM$15),0),15-13*ORÇAMENTO!$AF$11)),
         0)</f>
        <v>469.74</v>
      </c>
      <c r="BN188" s="352" t="n">
        <f aca="true">IF(AND($D188="Serviço",BN$12&lt;&gt;0,$H188&gt;0,OR(AUTOEVENTO&lt;&gt;"manual",$M188&lt;&gt;$A$15)),
        IF(Import.TipoArredondamento&lt;&gt;"TransfereGOV",
              ROUND(OFFSET($P188,0,BN$13),15-13*ORÇAMENTO!$AF$7)/$H188*OFFSET(ORÇAMENTO!$X$15,ROW(BN188)-ROW(BN$15),0),
              ROUND(ROUND(OFFSET($P188,0,BN$13),15-13*ORÇAMENTO!$AF$7)*OFFSET(ORÇAMENTO!$W$15,ROW(BN188)-ROW(BN$15),0),15-13*ORÇAMENTO!$AF$11)),
         0)</f>
        <v>469.74</v>
      </c>
      <c r="BO188" s="352" t="n">
        <f aca="true">IF(AND($D188="Serviço",BO$12&lt;&gt;0,$H188&gt;0,OR(AUTOEVENTO&lt;&gt;"manual",$M188&lt;&gt;$A$15)),
        IF(Import.TipoArredondamento&lt;&gt;"TransfereGOV",
              ROUND(OFFSET($P188,0,BO$13),15-13*ORÇAMENTO!$AF$7)/$H188*OFFSET(ORÇAMENTO!$X$15,ROW(BO188)-ROW(BO$15),0),
              ROUND(ROUND(OFFSET($P188,0,BO$13),15-13*ORÇAMENTO!$AF$7)*OFFSET(ORÇAMENTO!$W$15,ROW(BO188)-ROW(BO$15),0),15-13*ORÇAMENTO!$AF$11)),
         0)</f>
        <v>469.74</v>
      </c>
      <c r="BP188" s="352" t="n">
        <f aca="true">IF(AND($D188="Serviço",BP$12&lt;&gt;0,$H188&gt;0,OR(AUTOEVENTO&lt;&gt;"manual",$M188&lt;&gt;$A$15)),
        IF(Import.TipoArredondamento&lt;&gt;"TransfereGOV",
              ROUND(OFFSET($P188,0,BP$13),15-13*ORÇAMENTO!$AF$7)/$H188*OFFSET(ORÇAMENTO!$X$15,ROW(BP188)-ROW(BP$15),0),
              ROUND(ROUND(OFFSET($P188,0,BP$13),15-13*ORÇAMENTO!$AF$7)*OFFSET(ORÇAMENTO!$W$15,ROW(BP188)-ROW(BP$15),0),15-13*ORÇAMENTO!$AF$11)),
         0)</f>
        <v>469.74</v>
      </c>
      <c r="BQ188" s="352" t="n">
        <f aca="true">IF(AND($D188="Serviço",BQ$12&lt;&gt;0,$H188&gt;0,OR(AUTOEVENTO&lt;&gt;"manual",$M188&lt;&gt;$A$15)),
        IF(Import.TipoArredondamento&lt;&gt;"TransfereGOV",
              ROUND(OFFSET($P188,0,BQ$13),15-13*ORÇAMENTO!$AF$7)/$H188*OFFSET(ORÇAMENTO!$X$15,ROW(BQ188)-ROW(BQ$15),0),
              ROUND(ROUND(OFFSET($P188,0,BQ$13),15-13*ORÇAMENTO!$AF$7)*OFFSET(ORÇAMENTO!$W$15,ROW(BQ188)-ROW(BQ$15),0),15-13*ORÇAMENTO!$AF$11)),
         0)</f>
        <v>0</v>
      </c>
      <c r="BS188" s="353" t="n">
        <f aca="true">IF(OR($D188&lt;&gt;"Serviço",AND(AUTOEVENTO="Manual",$M188=$A$15)),0,
         IF(OFFSET(CRONOPLE!$F$15,$M188-$A$15,BS$13)=0,10^12,OFFSET(CRONOPLE!$F$15,$M188-$A$15,BS$13)))</f>
        <v>1</v>
      </c>
      <c r="BT188" s="353" t="n">
        <f aca="true">IF(OR($D188&lt;&gt;"Serviço",AND(AUTOEVENTO="Manual",$M188=$A$15)),0,
         IF(OFFSET(CRONOPLE!$F$15,$M188-$A$15,BT$13)=0,10^12,OFFSET(CRONOPLE!$F$15,$M188-$A$15,BT$13)))</f>
        <v>2</v>
      </c>
      <c r="BU188" s="353" t="n">
        <f aca="true">IF(OR($D188&lt;&gt;"Serviço",AND(AUTOEVENTO="Manual",$M188=$A$15)),0,
         IF(OFFSET(CRONOPLE!$F$15,$M188-$A$15,BU$13)=0,10^12,OFFSET(CRONOPLE!$F$15,$M188-$A$15,BU$13)))</f>
        <v>3</v>
      </c>
      <c r="BV188" s="353" t="n">
        <f aca="true">IF(OR($D188&lt;&gt;"Serviço",AND(AUTOEVENTO="Manual",$M188=$A$15)),0,
         IF(OFFSET(CRONOPLE!$F$15,$M188-$A$15,BV$13)=0,10^12,OFFSET(CRONOPLE!$F$15,$M188-$A$15,BV$13)))</f>
        <v>4</v>
      </c>
      <c r="BW188" s="353" t="n">
        <f aca="true">IF(OR($D188&lt;&gt;"Serviço",AND(AUTOEVENTO="Manual",$M188=$A$15)),0,
         IF(OFFSET(CRONOPLE!$F$15,$M188-$A$15,BW$13)=0,10^12,OFFSET(CRONOPLE!$F$15,$M188-$A$15,BW$13)))</f>
        <v>5</v>
      </c>
      <c r="BX188" s="353" t="n">
        <f aca="true">IF(OR($D188&lt;&gt;"Serviço",AND(AUTOEVENTO="Manual",$M188=$A$15)),0,
         IF(OFFSET(CRONOPLE!$F$15,$M188-$A$15,BX$13)=0,10^12,OFFSET(CRONOPLE!$F$15,$M188-$A$15,BX$13)))</f>
        <v>6</v>
      </c>
      <c r="BY188" s="353" t="n">
        <f aca="true">IF(OR($D188&lt;&gt;"Serviço",AND(AUTOEVENTO="Manual",$M188=$A$15)),0,
         IF(OFFSET(CRONOPLE!$F$15,$M188-$A$15,BY$13)=0,10^12,OFFSET(CRONOPLE!$F$15,$M188-$A$15,BY$13)))</f>
        <v>7</v>
      </c>
      <c r="BZ188" s="353" t="n">
        <f aca="true">IF(OR($D188&lt;&gt;"Serviço",AND(AUTOEVENTO="Manual",$M188=$A$15)),0,
         IF(OFFSET(CRONOPLE!$F$15,$M188-$A$15,BZ$13)=0,10^12,OFFSET(CRONOPLE!$F$15,$M188-$A$15,BZ$13)))</f>
        <v>8</v>
      </c>
      <c r="CA188" s="353" t="n">
        <f aca="true">IF(OR($D188&lt;&gt;"Serviço",AND(AUTOEVENTO="Manual",$M188=$A$15)),0,
         IF(OFFSET(CRONOPLE!$F$15,$M188-$A$15,CA$13)=0,10^12,OFFSET(CRONOPLE!$F$15,$M188-$A$15,CA$13)))</f>
        <v>9</v>
      </c>
      <c r="CB188" s="353" t="n">
        <f aca="true">IF(OR($D188&lt;&gt;"Serviço",AND(AUTOEVENTO="Manual",$M188=$A$15)),0,
         IF(OFFSET(CRONOPLE!$F$15,$M188-$A$15,CB$13)=0,10^12,OFFSET(CRONOPLE!$F$15,$M188-$A$15,CB$13)))</f>
        <v>10</v>
      </c>
      <c r="CC188" s="353" t="n">
        <f aca="true">IF(OR($D188&lt;&gt;"Serviço",AND(AUTOEVENTO="Manual",$M188=$A$15)),0,
         IF(OFFSET(CRONOPLE!$F$15,$M188-$A$15,CC$13)=0,10^12,OFFSET(CRONOPLE!$F$15,$M188-$A$15,CC$13)))</f>
        <v>11</v>
      </c>
      <c r="CD188" s="353" t="n">
        <f aca="true">IF(OR($D188&lt;&gt;"Serviço",AND(AUTOEVENTO="Manual",$M188=$A$15)),0,
         IF(OFFSET(CRONOPLE!$F$15,$M188-$A$15,CD$13)=0,10^12,OFFSET(CRONOPLE!$F$15,$M188-$A$15,CD$13)))</f>
        <v>12</v>
      </c>
      <c r="CE188" s="353" t="n">
        <f aca="true">IF(OR($D188&lt;&gt;"Serviço",AND(AUTOEVENTO="Manual",$M188=$A$15)),0,
         IF(OFFSET(CRONOPLE!$F$15,$M188-$A$15,CE$13)=0,10^12,OFFSET(CRONOPLE!$F$15,$M188-$A$15,CE$13)))</f>
        <v>13</v>
      </c>
      <c r="CF188" s="353" t="n">
        <f aca="true">IF(OR($D188&lt;&gt;"Serviço",AND(AUTOEVENTO="Manual",$M188=$A$15)),0,
         IF(OFFSET(CRONOPLE!$F$15,$M188-$A$15,CF$13)=0,10^12,OFFSET(CRONOPLE!$F$15,$M188-$A$15,CF$13)))</f>
        <v>14</v>
      </c>
      <c r="CG188" s="353" t="n">
        <f aca="true">IF(OR($D188&lt;&gt;"Serviço",AND(AUTOEVENTO="Manual",$M188=$A$15)),0,
         IF(OFFSET(CRONOPLE!$F$15,$M188-$A$15,CG$13)=0,10^12,OFFSET(CRONOPLE!$F$15,$M188-$A$15,CG$13)))</f>
        <v>15</v>
      </c>
      <c r="CH188" s="353" t="n">
        <f aca="true">IF(OR($D188&lt;&gt;"Serviço",AND(AUTOEVENTO="Manual",$M188=$A$15)),0,
         IF(OFFSET(CRONOPLE!$F$15,$M188-$A$15,CH$13)=0,10^12,OFFSET(CRONOPLE!$F$15,$M188-$A$15,CH$13)))</f>
        <v>16</v>
      </c>
      <c r="CI188" s="353" t="n">
        <f aca="true">IF(OR($D188&lt;&gt;"Serviço",AND(AUTOEVENTO="Manual",$M188=$A$15)),0,
         IF(OFFSET(CRONOPLE!$F$15,$M188-$A$15,CI$13)=0,10^12,OFFSET(CRONOPLE!$F$15,$M188-$A$15,CI$13)))</f>
        <v>17</v>
      </c>
      <c r="CJ188" s="353" t="n">
        <f aca="true">IF(OR($D188&lt;&gt;"Serviço",AND(AUTOEVENTO="Manual",$M188=$A$15)),0,
         IF(OFFSET(CRONOPLE!$F$15,$M188-$A$15,CJ$13)=0,10^12,OFFSET(CRONOPLE!$F$15,$M188-$A$15,CJ$13)))</f>
        <v>18</v>
      </c>
      <c r="CK188" s="353" t="n">
        <f aca="true">IF(OR($D188&lt;&gt;"Serviço",AND(AUTOEVENTO="Manual",$M188=$A$15)),0,
         IF(OFFSET(CRONOPLE!$F$15,$M188-$A$15,CK$13)=0,10^12,OFFSET(CRONOPLE!$F$15,$M188-$A$15,CK$13)))</f>
        <v>19</v>
      </c>
      <c r="CL188" s="353" t="n">
        <f aca="true">IF(OR($D188&lt;&gt;"Serviço",AND(AUTOEVENTO="Manual",$M188=$A$15)),0,
         IF(OFFSET(CRONOPLE!$F$15,$M188-$A$15,CL$13)=0,10^12,OFFSET(CRONOPLE!$F$15,$M188-$A$15,CL$13)))</f>
        <v>20</v>
      </c>
      <c r="CM188" s="353" t="n">
        <f aca="true">IF(OR($D188&lt;&gt;"Serviço",AND(AUTOEVENTO="Manual",$M188=$A$15)),0,
         IF(OFFSET(CRONOPLE!$F$15,$M188-$A$15,CM$13)=0,10^12,OFFSET(CRONOPLE!$F$15,$M188-$A$15,CM$13)))</f>
        <v>21</v>
      </c>
      <c r="CN188" s="353" t="n">
        <f aca="true">IF(OR($D188&lt;&gt;"Serviço",AND(AUTOEVENTO="Manual",$M188=$A$15)),0,
         IF(OFFSET(CRONOPLE!$F$15,$M188-$A$15,CN$13)=0,10^12,OFFSET(CRONOPLE!$F$15,$M188-$A$15,CN$13)))</f>
        <v>22</v>
      </c>
      <c r="CO188" s="353" t="n">
        <f aca="true">IF(OR($D188&lt;&gt;"Serviço",AND(AUTOEVENTO="Manual",$M188=$A$15)),0,
         IF(OFFSET(CRONOPLE!$F$15,$M188-$A$15,CO$13)=0,10^12,OFFSET(CRONOPLE!$F$15,$M188-$A$15,CO$13)))</f>
        <v>23</v>
      </c>
      <c r="CP188" s="353" t="n">
        <f aca="true">IF(OR($D188&lt;&gt;"Serviço",AND(AUTOEVENTO="Manual",$M188=$A$15)),0,
         IF(OFFSET(CRONOPLE!$F$15,$M188-$A$15,CP$13)=0,10^12,OFFSET(CRONOPLE!$F$15,$M188-$A$15,CP$13)))</f>
        <v>24</v>
      </c>
      <c r="CQ188" s="353" t="n">
        <f aca="true">IF(OR($D188&lt;&gt;"Serviço",AND(AUTOEVENTO="Manual",$M188=$A$15)),0,
         IF(OFFSET(CRONOPLE!$F$15,$M188-$A$15,CQ$13)=0,10^12,OFFSET(CRONOPLE!$F$15,$M188-$A$15,CQ$13)))</f>
        <v>25</v>
      </c>
      <c r="CR188" s="353" t="n">
        <f aca="true">IF(OR($D188&lt;&gt;"Serviço",AND(AUTOEVENTO="Manual",$M188=$A$15)),0,
         IF(OFFSET(CRONOPLE!$F$15,$M188-$A$15,CR$13)=0,10^12,OFFSET(CRONOPLE!$F$15,$M188-$A$15,CR$13)))</f>
        <v>1000000000000</v>
      </c>
      <c r="CT188" s="354" t="n">
        <f aca="true">IF(OR($D188&lt;&gt;"Serviço",AND(AUTOEVENTO="Manual",$M188=$A$15),$M188&gt;(ROW(PLE.lastrow)-ROW(PLE.firstrow))),0,
           IF(OFFSET(PLE!$G$15,$M188-$A$15,CT$13)="",10^12,OFFSET(PLE!$G$15,$M188-$A$15,CT$13)))</f>
        <v>1000000000000</v>
      </c>
      <c r="CU188" s="354" t="n">
        <f aca="true">IF(OR($D188&lt;&gt;"Serviço",AND(AUTOEVENTO="Manual",$M188=$A$15),$M188&gt;(ROW(PLE.lastrow)-ROW(PLE.firstrow))),0,
           IF(OFFSET(PLE!$G$15,$M188-$A$15,CU$13)="",10^12,OFFSET(PLE!$G$15,$M188-$A$15,CU$13)))</f>
        <v>1000000000000</v>
      </c>
      <c r="CV188" s="354" t="n">
        <f aca="true">IF(OR($D188&lt;&gt;"Serviço",AND(AUTOEVENTO="Manual",$M188=$A$15),$M188&gt;(ROW(PLE.lastrow)-ROW(PLE.firstrow))),0,
           IF(OFFSET(PLE!$G$15,$M188-$A$15,CV$13)="",10^12,OFFSET(PLE!$G$15,$M188-$A$15,CV$13)))</f>
        <v>1000000000000</v>
      </c>
      <c r="CW188" s="354" t="n">
        <f aca="true">IF(OR($D188&lt;&gt;"Serviço",AND(AUTOEVENTO="Manual",$M188=$A$15),$M188&gt;(ROW(PLE.lastrow)-ROW(PLE.firstrow))),0,
           IF(OFFSET(PLE!$G$15,$M188-$A$15,CW$13)="",10^12,OFFSET(PLE!$G$15,$M188-$A$15,CW$13)))</f>
        <v>1000000000000</v>
      </c>
      <c r="CX188" s="354" t="n">
        <f aca="true">IF(OR($D188&lt;&gt;"Serviço",AND(AUTOEVENTO="Manual",$M188=$A$15),$M188&gt;(ROW(PLE.lastrow)-ROW(PLE.firstrow))),0,
           IF(OFFSET(PLE!$G$15,$M188-$A$15,CX$13)="",10^12,OFFSET(PLE!$G$15,$M188-$A$15,CX$13)))</f>
        <v>1000000000000</v>
      </c>
      <c r="CY188" s="354" t="n">
        <f aca="true">IF(OR($D188&lt;&gt;"Serviço",AND(AUTOEVENTO="Manual",$M188=$A$15),$M188&gt;(ROW(PLE.lastrow)-ROW(PLE.firstrow))),0,
           IF(OFFSET(PLE!$G$15,$M188-$A$15,CY$13)="",10^12,OFFSET(PLE!$G$15,$M188-$A$15,CY$13)))</f>
        <v>1000000000000</v>
      </c>
      <c r="CZ188" s="354" t="n">
        <f aca="true">IF(OR($D188&lt;&gt;"Serviço",AND(AUTOEVENTO="Manual",$M188=$A$15),$M188&gt;(ROW(PLE.lastrow)-ROW(PLE.firstrow))),0,
           IF(OFFSET(PLE!$G$15,$M188-$A$15,CZ$13)="",10^12,OFFSET(PLE!$G$15,$M188-$A$15,CZ$13)))</f>
        <v>1000000000000</v>
      </c>
      <c r="DA188" s="354" t="n">
        <f aca="true">IF(OR($D188&lt;&gt;"Serviço",AND(AUTOEVENTO="Manual",$M188=$A$15),$M188&gt;(ROW(PLE.lastrow)-ROW(PLE.firstrow))),0,
           IF(OFFSET(PLE!$G$15,$M188-$A$15,DA$13)="",10^12,OFFSET(PLE!$G$15,$M188-$A$15,DA$13)))</f>
        <v>1000000000000</v>
      </c>
      <c r="DB188" s="354" t="n">
        <f aca="true">IF(OR($D188&lt;&gt;"Serviço",AND(AUTOEVENTO="Manual",$M188=$A$15),$M188&gt;(ROW(PLE.lastrow)-ROW(PLE.firstrow))),0,
           IF(OFFSET(PLE!$G$15,$M188-$A$15,DB$13)="",10^12,OFFSET(PLE!$G$15,$M188-$A$15,DB$13)))</f>
        <v>1000000000000</v>
      </c>
      <c r="DC188" s="354" t="n">
        <f aca="true">IF(OR($D188&lt;&gt;"Serviço",AND(AUTOEVENTO="Manual",$M188=$A$15),$M188&gt;(ROW(PLE.lastrow)-ROW(PLE.firstrow))),0,
           IF(OFFSET(PLE!$G$15,$M188-$A$15,DC$13)="",10^12,OFFSET(PLE!$G$15,$M188-$A$15,DC$13)))</f>
        <v>1000000000000</v>
      </c>
      <c r="DD188" s="354" t="n">
        <f aca="true">IF(OR($D188&lt;&gt;"Serviço",AND(AUTOEVENTO="Manual",$M188=$A$15),$M188&gt;(ROW(PLE.lastrow)-ROW(PLE.firstrow))),0,
           IF(OFFSET(PLE!$G$15,$M188-$A$15,DD$13)="",10^12,OFFSET(PLE!$G$15,$M188-$A$15,DD$13)))</f>
        <v>1000000000000</v>
      </c>
      <c r="DE188" s="354" t="n">
        <f aca="true">IF(OR($D188&lt;&gt;"Serviço",AND(AUTOEVENTO="Manual",$M188=$A$15),$M188&gt;(ROW(PLE.lastrow)-ROW(PLE.firstrow))),0,
           IF(OFFSET(PLE!$G$15,$M188-$A$15,DE$13)="",10^12,OFFSET(PLE!$G$15,$M188-$A$15,DE$13)))</f>
        <v>1000000000000</v>
      </c>
      <c r="DF188" s="354" t="n">
        <f aca="true">IF(OR($D188&lt;&gt;"Serviço",AND(AUTOEVENTO="Manual",$M188=$A$15),$M188&gt;(ROW(PLE.lastrow)-ROW(PLE.firstrow))),0,
           IF(OFFSET(PLE!$G$15,$M188-$A$15,DF$13)="",10^12,OFFSET(PLE!$G$15,$M188-$A$15,DF$13)))</f>
        <v>1000000000000</v>
      </c>
      <c r="DG188" s="354" t="n">
        <f aca="true">IF(OR($D188&lt;&gt;"Serviço",AND(AUTOEVENTO="Manual",$M188=$A$15),$M188&gt;(ROW(PLE.lastrow)-ROW(PLE.firstrow))),0,
           IF(OFFSET(PLE!$G$15,$M188-$A$15,DG$13)="",10^12,OFFSET(PLE!$G$15,$M188-$A$15,DG$13)))</f>
        <v>1000000000000</v>
      </c>
      <c r="DH188" s="354" t="n">
        <f aca="true">IF(OR($D188&lt;&gt;"Serviço",AND(AUTOEVENTO="Manual",$M188=$A$15),$M188&gt;(ROW(PLE.lastrow)-ROW(PLE.firstrow))),0,
           IF(OFFSET(PLE!$G$15,$M188-$A$15,DH$13)="",10^12,OFFSET(PLE!$G$15,$M188-$A$15,DH$13)))</f>
        <v>1000000000000</v>
      </c>
      <c r="DI188" s="354" t="n">
        <f aca="true">IF(OR($D188&lt;&gt;"Serviço",AND(AUTOEVENTO="Manual",$M188=$A$15),$M188&gt;(ROW(PLE.lastrow)-ROW(PLE.firstrow))),0,
           IF(OFFSET(PLE!$G$15,$M188-$A$15,DI$13)="",10^12,OFFSET(PLE!$G$15,$M188-$A$15,DI$13)))</f>
        <v>1000000000000</v>
      </c>
      <c r="DJ188" s="354" t="n">
        <f aca="true">IF(OR($D188&lt;&gt;"Serviço",AND(AUTOEVENTO="Manual",$M188=$A$15),$M188&gt;(ROW(PLE.lastrow)-ROW(PLE.firstrow))),0,
           IF(OFFSET(PLE!$G$15,$M188-$A$15,DJ$13)="",10^12,OFFSET(PLE!$G$15,$M188-$A$15,DJ$13)))</f>
        <v>1000000000000</v>
      </c>
      <c r="DK188" s="354" t="n">
        <f aca="true">IF(OR($D188&lt;&gt;"Serviço",AND(AUTOEVENTO="Manual",$M188=$A$15),$M188&gt;(ROW(PLE.lastrow)-ROW(PLE.firstrow))),0,
           IF(OFFSET(PLE!$G$15,$M188-$A$15,DK$13)="",10^12,OFFSET(PLE!$G$15,$M188-$A$15,DK$13)))</f>
        <v>1000000000000</v>
      </c>
      <c r="DL188" s="354" t="n">
        <f aca="true">IF(OR($D188&lt;&gt;"Serviço",AND(AUTOEVENTO="Manual",$M188=$A$15),$M188&gt;(ROW(PLE.lastrow)-ROW(PLE.firstrow))),0,
           IF(OFFSET(PLE!$G$15,$M188-$A$15,DL$13)="",10^12,OFFSET(PLE!$G$15,$M188-$A$15,DL$13)))</f>
        <v>1000000000000</v>
      </c>
      <c r="DM188" s="354" t="n">
        <f aca="true">IF(OR($D188&lt;&gt;"Serviço",AND(AUTOEVENTO="Manual",$M188=$A$15),$M188&gt;(ROW(PLE.lastrow)-ROW(PLE.firstrow))),0,
           IF(OFFSET(PLE!$G$15,$M188-$A$15,DM$13)="",10^12,OFFSET(PLE!$G$15,$M188-$A$15,DM$13)))</f>
        <v>1000000000000</v>
      </c>
      <c r="DN188" s="354" t="n">
        <f aca="true">IF(OR($D188&lt;&gt;"Serviço",AND(AUTOEVENTO="Manual",$M188=$A$15),$M188&gt;(ROW(PLE.lastrow)-ROW(PLE.firstrow))),0,
           IF(OFFSET(PLE!$G$15,$M188-$A$15,DN$13)="",10^12,OFFSET(PLE!$G$15,$M188-$A$15,DN$13)))</f>
        <v>1000000000000</v>
      </c>
      <c r="DO188" s="354" t="n">
        <f aca="true">IF(OR($D188&lt;&gt;"Serviço",AND(AUTOEVENTO="Manual",$M188=$A$15),$M188&gt;(ROW(PLE.lastrow)-ROW(PLE.firstrow))),0,
           IF(OFFSET(PLE!$G$15,$M188-$A$15,DO$13)="",10^12,OFFSET(PLE!$G$15,$M188-$A$15,DO$13)))</f>
        <v>1000000000000</v>
      </c>
      <c r="DP188" s="354" t="n">
        <f aca="true">IF(OR($D188&lt;&gt;"Serviço",AND(AUTOEVENTO="Manual",$M188=$A$15),$M188&gt;(ROW(PLE.lastrow)-ROW(PLE.firstrow))),0,
           IF(OFFSET(PLE!$G$15,$M188-$A$15,DP$13)="",10^12,OFFSET(PLE!$G$15,$M188-$A$15,DP$13)))</f>
        <v>1000000000000</v>
      </c>
      <c r="DQ188" s="354" t="n">
        <f aca="true">IF(OR($D188&lt;&gt;"Serviço",AND(AUTOEVENTO="Manual",$M188=$A$15),$M188&gt;(ROW(PLE.lastrow)-ROW(PLE.firstrow))),0,
           IF(OFFSET(PLE!$G$15,$M188-$A$15,DQ$13)="",10^12,OFFSET(PLE!$G$15,$M188-$A$15,DQ$13)))</f>
        <v>1000000000000</v>
      </c>
      <c r="DR188" s="354" t="n">
        <f aca="true">IF(OR($D188&lt;&gt;"Serviço",AND(AUTOEVENTO="Manual",$M188=$A$15),$M188&gt;(ROW(PLE.lastrow)-ROW(PLE.firstrow))),0,
           IF(OFFSET(PLE!$G$15,$M188-$A$15,DR$13)="",10^12,OFFSET(PLE!$G$15,$M188-$A$15,DR$13)))</f>
        <v>1000000000000</v>
      </c>
      <c r="DS188" s="354" t="n">
        <f aca="true">IF(OR($D188&lt;&gt;"Serviço",AND(AUTOEVENTO="Manual",$M188=$A$15),$M188&gt;(ROW(PLE.lastrow)-ROW(PLE.firstrow))),0,
           IF(OFFSET(PLE!$G$15,$M188-$A$15,DS$13)="",10^12,OFFSET(PLE!$G$15,$M188-$A$15,DS$13)))</f>
        <v>1000000000000</v>
      </c>
    </row>
    <row r="189" customFormat="false" ht="12.75" hidden="false" customHeight="false" outlineLevel="0" collapsed="false">
      <c r="A189" s="50" t="str">
        <f aca="true">IFERROR(IF(AUTOEVENTO="Manual",IF(K189&lt;&gt;"",MIN(VALUE(LEFT(K189,FIND(".",K189)-1)),COUNTA(EVENTOS.Lista)),0),IF(OR($B189&gt;AUTOEVENTO,$B189="S",$B189=0),SUBSTITUTE(OFFSET($A189,-1,0),IF($D189="Serviço",".",""),""),ROW(A189)-ROW($A$15)&amp;".")),0)</f>
        <v>174.</v>
      </c>
      <c r="B189" s="50" t="n">
        <f aca="true">OFFSET(ORÇAMENTO!C$15,ROW(B189)-ROW(B$15),0)</f>
        <v>2</v>
      </c>
      <c r="C189" s="50" t="str">
        <f aca="true">OFFSET(ORÇAMENTO!L$15,ROW(C189)-ROW(C$15),0)</f>
        <v>F</v>
      </c>
      <c r="D189" s="201" t="str">
        <f aca="true">OFFSET(ORÇAMENTO!N$15,ROW(D189)-ROW(D$15),0)</f>
        <v>Nível 2</v>
      </c>
      <c r="E189" s="202" t="str">
        <f aca="true">OFFSET(ORÇAMENTO!O$15,ROW(E189)-ROW(E$15),0)</f>
        <v>1.47.</v>
      </c>
      <c r="F189" s="341" t="str">
        <f aca="true">OFFSET(ORÇAMENTO!R$15,ROW(F189)-ROW(F$15),0)</f>
        <v>APARELHOS, METAIS E BANCADAS</v>
      </c>
      <c r="G189" s="342" t="str">
        <f aca="true">IF($D189&lt;&gt;"Serviço","",OFFSET(ORÇAMENTO!S$15,ROW(G189)-ROW(G$15),0))</f>
        <v/>
      </c>
      <c r="H189" s="207" t="n">
        <f aca="true">IF($D189&lt;&gt;"Serviço",0,IF(ACOMPANHAMENTO="BM",ROUND(OFFSET(ORÇAMENTO!AJ$15,ROW(H189)-ROW(H$15),0),15-13*ORÇAMENTO!$AF$7),SUMPRODUCT(($Q$1:$AQ$1=1)*ROUND($Q189:$AQ189,15-13*ORÇAMENTO!$AF$7))))</f>
        <v>0</v>
      </c>
      <c r="I189" s="343"/>
      <c r="J189" s="344" t="str">
        <f aca="false">IF(OR(B189&lt;&gt;"S",CÁLCULO.FrentesPreenchidas=0),"",IF(AND(ACOMPANHAMENTO="PLE",AUTOEVENTO="Manual",OR(H189&gt;0,ORÇAMENTO!AC189="QUANT."),OR(K189="",M189=0,N189="")),"►",IF(AND(ACOMPANHAMENTO="PLE",ORÇAMENTO!AC189="QUANT."),"►►",IF(AND(COUNTIF($P$11:$AQ$11,"▼")=0,H189&gt;0,I189=""),"◄",""))))</f>
        <v/>
      </c>
      <c r="K189" s="345"/>
      <c r="L189" s="346" t="s">
        <v>876</v>
      </c>
      <c r="M189" s="347" t="str">
        <f aca="true">IF($D189&lt;&gt;"Serviço","",
          IF(AUTOEVENTO="manual",$A189,
                IF(ISERROR(MATCH($A189,$A$15:OFFSET($A189,-1,0),0)),MAX($M$15:OFFSET(M189,-1,0))+1,
                      INDEX($M$15:OFFSET(M189,-1,0),MATCH($A189,$A$15:OFFSET($A189,-1,0),0)))))</f>
        <v/>
      </c>
      <c r="N189" s="348" t="str">
        <f aca="true">IF($D189&lt;&gt;"Serviço","",
         IF(AUTOEVENTO="Manual",
                IF($A189=0,"&lt;-- defina o número do agrupador",
                       OFFSET(EVENTOS!$D$15,$A189-$A$15,0)),
                OFFSET($F$15,$A189,0)))</f>
        <v/>
      </c>
      <c r="O189" s="349"/>
      <c r="Q189" s="349"/>
      <c r="R189" s="350"/>
      <c r="S189" s="350"/>
      <c r="T189" s="350"/>
      <c r="U189" s="350"/>
      <c r="V189" s="350"/>
      <c r="W189" s="350"/>
      <c r="X189" s="350"/>
      <c r="Y189" s="350"/>
      <c r="Z189" s="351"/>
      <c r="AA189" s="350"/>
      <c r="AB189" s="350"/>
      <c r="AC189" s="350"/>
      <c r="AD189" s="350"/>
      <c r="AE189" s="350"/>
      <c r="AF189" s="350"/>
      <c r="AG189" s="350"/>
      <c r="AH189" s="351"/>
      <c r="AI189" s="350"/>
      <c r="AJ189" s="350"/>
      <c r="AK189" s="350"/>
      <c r="AL189" s="350"/>
      <c r="AM189" s="350"/>
      <c r="AN189" s="350"/>
      <c r="AO189" s="350"/>
      <c r="AP189" s="351"/>
      <c r="AR189" s="352" t="n">
        <f aca="true">IF(AND($D189="Serviço",AR$12&lt;&gt;0,$H189&gt;0,OR(AUTOEVENTO&lt;&gt;"manual",$M189&lt;&gt;$A$15)),
        IF(Import.TipoArredondamento&lt;&gt;"TransfereGOV",
              ROUND(OFFSET($P189,0,AR$13),15-13*ORÇAMENTO!$AF$7)/$H189*OFFSET(ORÇAMENTO!$X$15,ROW(AR189)-ROW(AR$15),0),
              ROUND(ROUND(OFFSET($P189,0,AR$13),15-13*ORÇAMENTO!$AF$7)*OFFSET(ORÇAMENTO!$W$15,ROW(AR189)-ROW(AR$15),0),15-13*ORÇAMENTO!$AF$11)),
         0)</f>
        <v>0</v>
      </c>
      <c r="AS189" s="352" t="n">
        <f aca="true">IF(AND($D189="Serviço",AS$12&lt;&gt;0,$H189&gt;0,OR(AUTOEVENTO&lt;&gt;"manual",$M189&lt;&gt;$A$15)),
        IF(Import.TipoArredondamento&lt;&gt;"TransfereGOV",
              ROUND(OFFSET($P189,0,AS$13),15-13*ORÇAMENTO!$AF$7)/$H189*OFFSET(ORÇAMENTO!$X$15,ROW(AS189)-ROW(AS$15),0),
              ROUND(ROUND(OFFSET($P189,0,AS$13),15-13*ORÇAMENTO!$AF$7)*OFFSET(ORÇAMENTO!$W$15,ROW(AS189)-ROW(AS$15),0),15-13*ORÇAMENTO!$AF$11)),
         0)</f>
        <v>0</v>
      </c>
      <c r="AT189" s="352" t="n">
        <f aca="true">IF(AND($D189="Serviço",AT$12&lt;&gt;0,$H189&gt;0,OR(AUTOEVENTO&lt;&gt;"manual",$M189&lt;&gt;$A$15)),
        IF(Import.TipoArredondamento&lt;&gt;"TransfereGOV",
              ROUND(OFFSET($P189,0,AT$13),15-13*ORÇAMENTO!$AF$7)/$H189*OFFSET(ORÇAMENTO!$X$15,ROW(AT189)-ROW(AT$15),0),
              ROUND(ROUND(OFFSET($P189,0,AT$13),15-13*ORÇAMENTO!$AF$7)*OFFSET(ORÇAMENTO!$W$15,ROW(AT189)-ROW(AT$15),0),15-13*ORÇAMENTO!$AF$11)),
         0)</f>
        <v>0</v>
      </c>
      <c r="AU189" s="352" t="n">
        <f aca="true">IF(AND($D189="Serviço",AU$12&lt;&gt;0,$H189&gt;0,OR(AUTOEVENTO&lt;&gt;"manual",$M189&lt;&gt;$A$15)),
        IF(Import.TipoArredondamento&lt;&gt;"TransfereGOV",
              ROUND(OFFSET($P189,0,AU$13),15-13*ORÇAMENTO!$AF$7)/$H189*OFFSET(ORÇAMENTO!$X$15,ROW(AU189)-ROW(AU$15),0),
              ROUND(ROUND(OFFSET($P189,0,AU$13),15-13*ORÇAMENTO!$AF$7)*OFFSET(ORÇAMENTO!$W$15,ROW(AU189)-ROW(AU$15),0),15-13*ORÇAMENTO!$AF$11)),
         0)</f>
        <v>0</v>
      </c>
      <c r="AV189" s="352" t="n">
        <f aca="true">IF(AND($D189="Serviço",AV$12&lt;&gt;0,$H189&gt;0,OR(AUTOEVENTO&lt;&gt;"manual",$M189&lt;&gt;$A$15)),
        IF(Import.TipoArredondamento&lt;&gt;"TransfereGOV",
              ROUND(OFFSET($P189,0,AV$13),15-13*ORÇAMENTO!$AF$7)/$H189*OFFSET(ORÇAMENTO!$X$15,ROW(AV189)-ROW(AV$15),0),
              ROUND(ROUND(OFFSET($P189,0,AV$13),15-13*ORÇAMENTO!$AF$7)*OFFSET(ORÇAMENTO!$W$15,ROW(AV189)-ROW(AV$15),0),15-13*ORÇAMENTO!$AF$11)),
         0)</f>
        <v>0</v>
      </c>
      <c r="AW189" s="352" t="n">
        <f aca="true">IF(AND($D189="Serviço",AW$12&lt;&gt;0,$H189&gt;0,OR(AUTOEVENTO&lt;&gt;"manual",$M189&lt;&gt;$A$15)),
        IF(Import.TipoArredondamento&lt;&gt;"TransfereGOV",
              ROUND(OFFSET($P189,0,AW$13),15-13*ORÇAMENTO!$AF$7)/$H189*OFFSET(ORÇAMENTO!$X$15,ROW(AW189)-ROW(AW$15),0),
              ROUND(ROUND(OFFSET($P189,0,AW$13),15-13*ORÇAMENTO!$AF$7)*OFFSET(ORÇAMENTO!$W$15,ROW(AW189)-ROW(AW$15),0),15-13*ORÇAMENTO!$AF$11)),
         0)</f>
        <v>0</v>
      </c>
      <c r="AX189" s="352" t="n">
        <f aca="true">IF(AND($D189="Serviço",AX$12&lt;&gt;0,$H189&gt;0,OR(AUTOEVENTO&lt;&gt;"manual",$M189&lt;&gt;$A$15)),
        IF(Import.TipoArredondamento&lt;&gt;"TransfereGOV",
              ROUND(OFFSET($P189,0,AX$13),15-13*ORÇAMENTO!$AF$7)/$H189*OFFSET(ORÇAMENTO!$X$15,ROW(AX189)-ROW(AX$15),0),
              ROUND(ROUND(OFFSET($P189,0,AX$13),15-13*ORÇAMENTO!$AF$7)*OFFSET(ORÇAMENTO!$W$15,ROW(AX189)-ROW(AX$15),0),15-13*ORÇAMENTO!$AF$11)),
         0)</f>
        <v>0</v>
      </c>
      <c r="AY189" s="352" t="n">
        <f aca="true">IF(AND($D189="Serviço",AY$12&lt;&gt;0,$H189&gt;0,OR(AUTOEVENTO&lt;&gt;"manual",$M189&lt;&gt;$A$15)),
        IF(Import.TipoArredondamento&lt;&gt;"TransfereGOV",
              ROUND(OFFSET($P189,0,AY$13),15-13*ORÇAMENTO!$AF$7)/$H189*OFFSET(ORÇAMENTO!$X$15,ROW(AY189)-ROW(AY$15),0),
              ROUND(ROUND(OFFSET($P189,0,AY$13),15-13*ORÇAMENTO!$AF$7)*OFFSET(ORÇAMENTO!$W$15,ROW(AY189)-ROW(AY$15),0),15-13*ORÇAMENTO!$AF$11)),
         0)</f>
        <v>0</v>
      </c>
      <c r="AZ189" s="352" t="n">
        <f aca="true">IF(AND($D189="Serviço",AZ$12&lt;&gt;0,$H189&gt;0,OR(AUTOEVENTO&lt;&gt;"manual",$M189&lt;&gt;$A$15)),
        IF(Import.TipoArredondamento&lt;&gt;"TransfereGOV",
              ROUND(OFFSET($P189,0,AZ$13),15-13*ORÇAMENTO!$AF$7)/$H189*OFFSET(ORÇAMENTO!$X$15,ROW(AZ189)-ROW(AZ$15),0),
              ROUND(ROUND(OFFSET($P189,0,AZ$13),15-13*ORÇAMENTO!$AF$7)*OFFSET(ORÇAMENTO!$W$15,ROW(AZ189)-ROW(AZ$15),0),15-13*ORÇAMENTO!$AF$11)),
         0)</f>
        <v>0</v>
      </c>
      <c r="BA189" s="352" t="n">
        <f aca="true">IF(AND($D189="Serviço",BA$12&lt;&gt;0,$H189&gt;0,OR(AUTOEVENTO&lt;&gt;"manual",$M189&lt;&gt;$A$15)),
        IF(Import.TipoArredondamento&lt;&gt;"TransfereGOV",
              ROUND(OFFSET($P189,0,BA$13),15-13*ORÇAMENTO!$AF$7)/$H189*OFFSET(ORÇAMENTO!$X$15,ROW(BA189)-ROW(BA$15),0),
              ROUND(ROUND(OFFSET($P189,0,BA$13),15-13*ORÇAMENTO!$AF$7)*OFFSET(ORÇAMENTO!$W$15,ROW(BA189)-ROW(BA$15),0),15-13*ORÇAMENTO!$AF$11)),
         0)</f>
        <v>0</v>
      </c>
      <c r="BB189" s="352" t="n">
        <f aca="true">IF(AND($D189="Serviço",BB$12&lt;&gt;0,$H189&gt;0,OR(AUTOEVENTO&lt;&gt;"manual",$M189&lt;&gt;$A$15)),
        IF(Import.TipoArredondamento&lt;&gt;"TransfereGOV",
              ROUND(OFFSET($P189,0,BB$13),15-13*ORÇAMENTO!$AF$7)/$H189*OFFSET(ORÇAMENTO!$X$15,ROW(BB189)-ROW(BB$15),0),
              ROUND(ROUND(OFFSET($P189,0,BB$13),15-13*ORÇAMENTO!$AF$7)*OFFSET(ORÇAMENTO!$W$15,ROW(BB189)-ROW(BB$15),0),15-13*ORÇAMENTO!$AF$11)),
         0)</f>
        <v>0</v>
      </c>
      <c r="BC189" s="352" t="n">
        <f aca="true">IF(AND($D189="Serviço",BC$12&lt;&gt;0,$H189&gt;0,OR(AUTOEVENTO&lt;&gt;"manual",$M189&lt;&gt;$A$15)),
        IF(Import.TipoArredondamento&lt;&gt;"TransfereGOV",
              ROUND(OFFSET($P189,0,BC$13),15-13*ORÇAMENTO!$AF$7)/$H189*OFFSET(ORÇAMENTO!$X$15,ROW(BC189)-ROW(BC$15),0),
              ROUND(ROUND(OFFSET($P189,0,BC$13),15-13*ORÇAMENTO!$AF$7)*OFFSET(ORÇAMENTO!$W$15,ROW(BC189)-ROW(BC$15),0),15-13*ORÇAMENTO!$AF$11)),
         0)</f>
        <v>0</v>
      </c>
      <c r="BD189" s="352" t="n">
        <f aca="true">IF(AND($D189="Serviço",BD$12&lt;&gt;0,$H189&gt;0,OR(AUTOEVENTO&lt;&gt;"manual",$M189&lt;&gt;$A$15)),
        IF(Import.TipoArredondamento&lt;&gt;"TransfereGOV",
              ROUND(OFFSET($P189,0,BD$13),15-13*ORÇAMENTO!$AF$7)/$H189*OFFSET(ORÇAMENTO!$X$15,ROW(BD189)-ROW(BD$15),0),
              ROUND(ROUND(OFFSET($P189,0,BD$13),15-13*ORÇAMENTO!$AF$7)*OFFSET(ORÇAMENTO!$W$15,ROW(BD189)-ROW(BD$15),0),15-13*ORÇAMENTO!$AF$11)),
         0)</f>
        <v>0</v>
      </c>
      <c r="BE189" s="352" t="n">
        <f aca="true">IF(AND($D189="Serviço",BE$12&lt;&gt;0,$H189&gt;0,OR(AUTOEVENTO&lt;&gt;"manual",$M189&lt;&gt;$A$15)),
        IF(Import.TipoArredondamento&lt;&gt;"TransfereGOV",
              ROUND(OFFSET($P189,0,BE$13),15-13*ORÇAMENTO!$AF$7)/$H189*OFFSET(ORÇAMENTO!$X$15,ROW(BE189)-ROW(BE$15),0),
              ROUND(ROUND(OFFSET($P189,0,BE$13),15-13*ORÇAMENTO!$AF$7)*OFFSET(ORÇAMENTO!$W$15,ROW(BE189)-ROW(BE$15),0),15-13*ORÇAMENTO!$AF$11)),
         0)</f>
        <v>0</v>
      </c>
      <c r="BF189" s="352" t="n">
        <f aca="true">IF(AND($D189="Serviço",BF$12&lt;&gt;0,$H189&gt;0,OR(AUTOEVENTO&lt;&gt;"manual",$M189&lt;&gt;$A$15)),
        IF(Import.TipoArredondamento&lt;&gt;"TransfereGOV",
              ROUND(OFFSET($P189,0,BF$13),15-13*ORÇAMENTO!$AF$7)/$H189*OFFSET(ORÇAMENTO!$X$15,ROW(BF189)-ROW(BF$15),0),
              ROUND(ROUND(OFFSET($P189,0,BF$13),15-13*ORÇAMENTO!$AF$7)*OFFSET(ORÇAMENTO!$W$15,ROW(BF189)-ROW(BF$15),0),15-13*ORÇAMENTO!$AF$11)),
         0)</f>
        <v>0</v>
      </c>
      <c r="BG189" s="352" t="n">
        <f aca="true">IF(AND($D189="Serviço",BG$12&lt;&gt;0,$H189&gt;0,OR(AUTOEVENTO&lt;&gt;"manual",$M189&lt;&gt;$A$15)),
        IF(Import.TipoArredondamento&lt;&gt;"TransfereGOV",
              ROUND(OFFSET($P189,0,BG$13),15-13*ORÇAMENTO!$AF$7)/$H189*OFFSET(ORÇAMENTO!$X$15,ROW(BG189)-ROW(BG$15),0),
              ROUND(ROUND(OFFSET($P189,0,BG$13),15-13*ORÇAMENTO!$AF$7)*OFFSET(ORÇAMENTO!$W$15,ROW(BG189)-ROW(BG$15),0),15-13*ORÇAMENTO!$AF$11)),
         0)</f>
        <v>0</v>
      </c>
      <c r="BH189" s="352" t="n">
        <f aca="true">IF(AND($D189="Serviço",BH$12&lt;&gt;0,$H189&gt;0,OR(AUTOEVENTO&lt;&gt;"manual",$M189&lt;&gt;$A$15)),
        IF(Import.TipoArredondamento&lt;&gt;"TransfereGOV",
              ROUND(OFFSET($P189,0,BH$13),15-13*ORÇAMENTO!$AF$7)/$H189*OFFSET(ORÇAMENTO!$X$15,ROW(BH189)-ROW(BH$15),0),
              ROUND(ROUND(OFFSET($P189,0,BH$13),15-13*ORÇAMENTO!$AF$7)*OFFSET(ORÇAMENTO!$W$15,ROW(BH189)-ROW(BH$15),0),15-13*ORÇAMENTO!$AF$11)),
         0)</f>
        <v>0</v>
      </c>
      <c r="BI189" s="352" t="n">
        <f aca="true">IF(AND($D189="Serviço",BI$12&lt;&gt;0,$H189&gt;0,OR(AUTOEVENTO&lt;&gt;"manual",$M189&lt;&gt;$A$15)),
        IF(Import.TipoArredondamento&lt;&gt;"TransfereGOV",
              ROUND(OFFSET($P189,0,BI$13),15-13*ORÇAMENTO!$AF$7)/$H189*OFFSET(ORÇAMENTO!$X$15,ROW(BI189)-ROW(BI$15),0),
              ROUND(ROUND(OFFSET($P189,0,BI$13),15-13*ORÇAMENTO!$AF$7)*OFFSET(ORÇAMENTO!$W$15,ROW(BI189)-ROW(BI$15),0),15-13*ORÇAMENTO!$AF$11)),
         0)</f>
        <v>0</v>
      </c>
      <c r="BJ189" s="352" t="n">
        <f aca="true">IF(AND($D189="Serviço",BJ$12&lt;&gt;0,$H189&gt;0,OR(AUTOEVENTO&lt;&gt;"manual",$M189&lt;&gt;$A$15)),
        IF(Import.TipoArredondamento&lt;&gt;"TransfereGOV",
              ROUND(OFFSET($P189,0,BJ$13),15-13*ORÇAMENTO!$AF$7)/$H189*OFFSET(ORÇAMENTO!$X$15,ROW(BJ189)-ROW(BJ$15),0),
              ROUND(ROUND(OFFSET($P189,0,BJ$13),15-13*ORÇAMENTO!$AF$7)*OFFSET(ORÇAMENTO!$W$15,ROW(BJ189)-ROW(BJ$15),0),15-13*ORÇAMENTO!$AF$11)),
         0)</f>
        <v>0</v>
      </c>
      <c r="BK189" s="352" t="n">
        <f aca="true">IF(AND($D189="Serviço",BK$12&lt;&gt;0,$H189&gt;0,OR(AUTOEVENTO&lt;&gt;"manual",$M189&lt;&gt;$A$15)),
        IF(Import.TipoArredondamento&lt;&gt;"TransfereGOV",
              ROUND(OFFSET($P189,0,BK$13),15-13*ORÇAMENTO!$AF$7)/$H189*OFFSET(ORÇAMENTO!$X$15,ROW(BK189)-ROW(BK$15),0),
              ROUND(ROUND(OFFSET($P189,0,BK$13),15-13*ORÇAMENTO!$AF$7)*OFFSET(ORÇAMENTO!$W$15,ROW(BK189)-ROW(BK$15),0),15-13*ORÇAMENTO!$AF$11)),
         0)</f>
        <v>0</v>
      </c>
      <c r="BL189" s="352" t="n">
        <f aca="true">IF(AND($D189="Serviço",BL$12&lt;&gt;0,$H189&gt;0,OR(AUTOEVENTO&lt;&gt;"manual",$M189&lt;&gt;$A$15)),
        IF(Import.TipoArredondamento&lt;&gt;"TransfereGOV",
              ROUND(OFFSET($P189,0,BL$13),15-13*ORÇAMENTO!$AF$7)/$H189*OFFSET(ORÇAMENTO!$X$15,ROW(BL189)-ROW(BL$15),0),
              ROUND(ROUND(OFFSET($P189,0,BL$13),15-13*ORÇAMENTO!$AF$7)*OFFSET(ORÇAMENTO!$W$15,ROW(BL189)-ROW(BL$15),0),15-13*ORÇAMENTO!$AF$11)),
         0)</f>
        <v>0</v>
      </c>
      <c r="BM189" s="352" t="n">
        <f aca="true">IF(AND($D189="Serviço",BM$12&lt;&gt;0,$H189&gt;0,OR(AUTOEVENTO&lt;&gt;"manual",$M189&lt;&gt;$A$15)),
        IF(Import.TipoArredondamento&lt;&gt;"TransfereGOV",
              ROUND(OFFSET($P189,0,BM$13),15-13*ORÇAMENTO!$AF$7)/$H189*OFFSET(ORÇAMENTO!$X$15,ROW(BM189)-ROW(BM$15),0),
              ROUND(ROUND(OFFSET($P189,0,BM$13),15-13*ORÇAMENTO!$AF$7)*OFFSET(ORÇAMENTO!$W$15,ROW(BM189)-ROW(BM$15),0),15-13*ORÇAMENTO!$AF$11)),
         0)</f>
        <v>0</v>
      </c>
      <c r="BN189" s="352" t="n">
        <f aca="true">IF(AND($D189="Serviço",BN$12&lt;&gt;0,$H189&gt;0,OR(AUTOEVENTO&lt;&gt;"manual",$M189&lt;&gt;$A$15)),
        IF(Import.TipoArredondamento&lt;&gt;"TransfereGOV",
              ROUND(OFFSET($P189,0,BN$13),15-13*ORÇAMENTO!$AF$7)/$H189*OFFSET(ORÇAMENTO!$X$15,ROW(BN189)-ROW(BN$15),0),
              ROUND(ROUND(OFFSET($P189,0,BN$13),15-13*ORÇAMENTO!$AF$7)*OFFSET(ORÇAMENTO!$W$15,ROW(BN189)-ROW(BN$15),0),15-13*ORÇAMENTO!$AF$11)),
         0)</f>
        <v>0</v>
      </c>
      <c r="BO189" s="352" t="n">
        <f aca="true">IF(AND($D189="Serviço",BO$12&lt;&gt;0,$H189&gt;0,OR(AUTOEVENTO&lt;&gt;"manual",$M189&lt;&gt;$A$15)),
        IF(Import.TipoArredondamento&lt;&gt;"TransfereGOV",
              ROUND(OFFSET($P189,0,BO$13),15-13*ORÇAMENTO!$AF$7)/$H189*OFFSET(ORÇAMENTO!$X$15,ROW(BO189)-ROW(BO$15),0),
              ROUND(ROUND(OFFSET($P189,0,BO$13),15-13*ORÇAMENTO!$AF$7)*OFFSET(ORÇAMENTO!$W$15,ROW(BO189)-ROW(BO$15),0),15-13*ORÇAMENTO!$AF$11)),
         0)</f>
        <v>0</v>
      </c>
      <c r="BP189" s="352" t="n">
        <f aca="true">IF(AND($D189="Serviço",BP$12&lt;&gt;0,$H189&gt;0,OR(AUTOEVENTO&lt;&gt;"manual",$M189&lt;&gt;$A$15)),
        IF(Import.TipoArredondamento&lt;&gt;"TransfereGOV",
              ROUND(OFFSET($P189,0,BP$13),15-13*ORÇAMENTO!$AF$7)/$H189*OFFSET(ORÇAMENTO!$X$15,ROW(BP189)-ROW(BP$15),0),
              ROUND(ROUND(OFFSET($P189,0,BP$13),15-13*ORÇAMENTO!$AF$7)*OFFSET(ORÇAMENTO!$W$15,ROW(BP189)-ROW(BP$15),0),15-13*ORÇAMENTO!$AF$11)),
         0)</f>
        <v>0</v>
      </c>
      <c r="BQ189" s="352" t="n">
        <f aca="true">IF(AND($D189="Serviço",BQ$12&lt;&gt;0,$H189&gt;0,OR(AUTOEVENTO&lt;&gt;"manual",$M189&lt;&gt;$A$15)),
        IF(Import.TipoArredondamento&lt;&gt;"TransfereGOV",
              ROUND(OFFSET($P189,0,BQ$13),15-13*ORÇAMENTO!$AF$7)/$H189*OFFSET(ORÇAMENTO!$X$15,ROW(BQ189)-ROW(BQ$15),0),
              ROUND(ROUND(OFFSET($P189,0,BQ$13),15-13*ORÇAMENTO!$AF$7)*OFFSET(ORÇAMENTO!$W$15,ROW(BQ189)-ROW(BQ$15),0),15-13*ORÇAMENTO!$AF$11)),
         0)</f>
        <v>0</v>
      </c>
      <c r="BS189" s="353" t="n">
        <f aca="true">IF(OR($D189&lt;&gt;"Serviço",AND(AUTOEVENTO="Manual",$M189=$A$15)),0,
         IF(OFFSET(CRONOPLE!$F$15,$M189-$A$15,BS$13)=0,10^12,OFFSET(CRONOPLE!$F$15,$M189-$A$15,BS$13)))</f>
        <v>0</v>
      </c>
      <c r="BT189" s="353" t="n">
        <f aca="true">IF(OR($D189&lt;&gt;"Serviço",AND(AUTOEVENTO="Manual",$M189=$A$15)),0,
         IF(OFFSET(CRONOPLE!$F$15,$M189-$A$15,BT$13)=0,10^12,OFFSET(CRONOPLE!$F$15,$M189-$A$15,BT$13)))</f>
        <v>0</v>
      </c>
      <c r="BU189" s="353" t="n">
        <f aca="true">IF(OR($D189&lt;&gt;"Serviço",AND(AUTOEVENTO="Manual",$M189=$A$15)),0,
         IF(OFFSET(CRONOPLE!$F$15,$M189-$A$15,BU$13)=0,10^12,OFFSET(CRONOPLE!$F$15,$M189-$A$15,BU$13)))</f>
        <v>0</v>
      </c>
      <c r="BV189" s="353" t="n">
        <f aca="true">IF(OR($D189&lt;&gt;"Serviço",AND(AUTOEVENTO="Manual",$M189=$A$15)),0,
         IF(OFFSET(CRONOPLE!$F$15,$M189-$A$15,BV$13)=0,10^12,OFFSET(CRONOPLE!$F$15,$M189-$A$15,BV$13)))</f>
        <v>0</v>
      </c>
      <c r="BW189" s="353" t="n">
        <f aca="true">IF(OR($D189&lt;&gt;"Serviço",AND(AUTOEVENTO="Manual",$M189=$A$15)),0,
         IF(OFFSET(CRONOPLE!$F$15,$M189-$A$15,BW$13)=0,10^12,OFFSET(CRONOPLE!$F$15,$M189-$A$15,BW$13)))</f>
        <v>0</v>
      </c>
      <c r="BX189" s="353" t="n">
        <f aca="true">IF(OR($D189&lt;&gt;"Serviço",AND(AUTOEVENTO="Manual",$M189=$A$15)),0,
         IF(OFFSET(CRONOPLE!$F$15,$M189-$A$15,BX$13)=0,10^12,OFFSET(CRONOPLE!$F$15,$M189-$A$15,BX$13)))</f>
        <v>0</v>
      </c>
      <c r="BY189" s="353" t="n">
        <f aca="true">IF(OR($D189&lt;&gt;"Serviço",AND(AUTOEVENTO="Manual",$M189=$A$15)),0,
         IF(OFFSET(CRONOPLE!$F$15,$M189-$A$15,BY$13)=0,10^12,OFFSET(CRONOPLE!$F$15,$M189-$A$15,BY$13)))</f>
        <v>0</v>
      </c>
      <c r="BZ189" s="353" t="n">
        <f aca="true">IF(OR($D189&lt;&gt;"Serviço",AND(AUTOEVENTO="Manual",$M189=$A$15)),0,
         IF(OFFSET(CRONOPLE!$F$15,$M189-$A$15,BZ$13)=0,10^12,OFFSET(CRONOPLE!$F$15,$M189-$A$15,BZ$13)))</f>
        <v>0</v>
      </c>
      <c r="CA189" s="353" t="n">
        <f aca="true">IF(OR($D189&lt;&gt;"Serviço",AND(AUTOEVENTO="Manual",$M189=$A$15)),0,
         IF(OFFSET(CRONOPLE!$F$15,$M189-$A$15,CA$13)=0,10^12,OFFSET(CRONOPLE!$F$15,$M189-$A$15,CA$13)))</f>
        <v>0</v>
      </c>
      <c r="CB189" s="353" t="n">
        <f aca="true">IF(OR($D189&lt;&gt;"Serviço",AND(AUTOEVENTO="Manual",$M189=$A$15)),0,
         IF(OFFSET(CRONOPLE!$F$15,$M189-$A$15,CB$13)=0,10^12,OFFSET(CRONOPLE!$F$15,$M189-$A$15,CB$13)))</f>
        <v>0</v>
      </c>
      <c r="CC189" s="353" t="n">
        <f aca="true">IF(OR($D189&lt;&gt;"Serviço",AND(AUTOEVENTO="Manual",$M189=$A$15)),0,
         IF(OFFSET(CRONOPLE!$F$15,$M189-$A$15,CC$13)=0,10^12,OFFSET(CRONOPLE!$F$15,$M189-$A$15,CC$13)))</f>
        <v>0</v>
      </c>
      <c r="CD189" s="353" t="n">
        <f aca="true">IF(OR($D189&lt;&gt;"Serviço",AND(AUTOEVENTO="Manual",$M189=$A$15)),0,
         IF(OFFSET(CRONOPLE!$F$15,$M189-$A$15,CD$13)=0,10^12,OFFSET(CRONOPLE!$F$15,$M189-$A$15,CD$13)))</f>
        <v>0</v>
      </c>
      <c r="CE189" s="353" t="n">
        <f aca="true">IF(OR($D189&lt;&gt;"Serviço",AND(AUTOEVENTO="Manual",$M189=$A$15)),0,
         IF(OFFSET(CRONOPLE!$F$15,$M189-$A$15,CE$13)=0,10^12,OFFSET(CRONOPLE!$F$15,$M189-$A$15,CE$13)))</f>
        <v>0</v>
      </c>
      <c r="CF189" s="353" t="n">
        <f aca="true">IF(OR($D189&lt;&gt;"Serviço",AND(AUTOEVENTO="Manual",$M189=$A$15)),0,
         IF(OFFSET(CRONOPLE!$F$15,$M189-$A$15,CF$13)=0,10^12,OFFSET(CRONOPLE!$F$15,$M189-$A$15,CF$13)))</f>
        <v>0</v>
      </c>
      <c r="CG189" s="353" t="n">
        <f aca="true">IF(OR($D189&lt;&gt;"Serviço",AND(AUTOEVENTO="Manual",$M189=$A$15)),0,
         IF(OFFSET(CRONOPLE!$F$15,$M189-$A$15,CG$13)=0,10^12,OFFSET(CRONOPLE!$F$15,$M189-$A$15,CG$13)))</f>
        <v>0</v>
      </c>
      <c r="CH189" s="353" t="n">
        <f aca="true">IF(OR($D189&lt;&gt;"Serviço",AND(AUTOEVENTO="Manual",$M189=$A$15)),0,
         IF(OFFSET(CRONOPLE!$F$15,$M189-$A$15,CH$13)=0,10^12,OFFSET(CRONOPLE!$F$15,$M189-$A$15,CH$13)))</f>
        <v>0</v>
      </c>
      <c r="CI189" s="353" t="n">
        <f aca="true">IF(OR($D189&lt;&gt;"Serviço",AND(AUTOEVENTO="Manual",$M189=$A$15)),0,
         IF(OFFSET(CRONOPLE!$F$15,$M189-$A$15,CI$13)=0,10^12,OFFSET(CRONOPLE!$F$15,$M189-$A$15,CI$13)))</f>
        <v>0</v>
      </c>
      <c r="CJ189" s="353" t="n">
        <f aca="true">IF(OR($D189&lt;&gt;"Serviço",AND(AUTOEVENTO="Manual",$M189=$A$15)),0,
         IF(OFFSET(CRONOPLE!$F$15,$M189-$A$15,CJ$13)=0,10^12,OFFSET(CRONOPLE!$F$15,$M189-$A$15,CJ$13)))</f>
        <v>0</v>
      </c>
      <c r="CK189" s="353" t="n">
        <f aca="true">IF(OR($D189&lt;&gt;"Serviço",AND(AUTOEVENTO="Manual",$M189=$A$15)),0,
         IF(OFFSET(CRONOPLE!$F$15,$M189-$A$15,CK$13)=0,10^12,OFFSET(CRONOPLE!$F$15,$M189-$A$15,CK$13)))</f>
        <v>0</v>
      </c>
      <c r="CL189" s="353" t="n">
        <f aca="true">IF(OR($D189&lt;&gt;"Serviço",AND(AUTOEVENTO="Manual",$M189=$A$15)),0,
         IF(OFFSET(CRONOPLE!$F$15,$M189-$A$15,CL$13)=0,10^12,OFFSET(CRONOPLE!$F$15,$M189-$A$15,CL$13)))</f>
        <v>0</v>
      </c>
      <c r="CM189" s="353" t="n">
        <f aca="true">IF(OR($D189&lt;&gt;"Serviço",AND(AUTOEVENTO="Manual",$M189=$A$15)),0,
         IF(OFFSET(CRONOPLE!$F$15,$M189-$A$15,CM$13)=0,10^12,OFFSET(CRONOPLE!$F$15,$M189-$A$15,CM$13)))</f>
        <v>0</v>
      </c>
      <c r="CN189" s="353" t="n">
        <f aca="true">IF(OR($D189&lt;&gt;"Serviço",AND(AUTOEVENTO="Manual",$M189=$A$15)),0,
         IF(OFFSET(CRONOPLE!$F$15,$M189-$A$15,CN$13)=0,10^12,OFFSET(CRONOPLE!$F$15,$M189-$A$15,CN$13)))</f>
        <v>0</v>
      </c>
      <c r="CO189" s="353" t="n">
        <f aca="true">IF(OR($D189&lt;&gt;"Serviço",AND(AUTOEVENTO="Manual",$M189=$A$15)),0,
         IF(OFFSET(CRONOPLE!$F$15,$M189-$A$15,CO$13)=0,10^12,OFFSET(CRONOPLE!$F$15,$M189-$A$15,CO$13)))</f>
        <v>0</v>
      </c>
      <c r="CP189" s="353" t="n">
        <f aca="true">IF(OR($D189&lt;&gt;"Serviço",AND(AUTOEVENTO="Manual",$M189=$A$15)),0,
         IF(OFFSET(CRONOPLE!$F$15,$M189-$A$15,CP$13)=0,10^12,OFFSET(CRONOPLE!$F$15,$M189-$A$15,CP$13)))</f>
        <v>0</v>
      </c>
      <c r="CQ189" s="353" t="n">
        <f aca="true">IF(OR($D189&lt;&gt;"Serviço",AND(AUTOEVENTO="Manual",$M189=$A$15)),0,
         IF(OFFSET(CRONOPLE!$F$15,$M189-$A$15,CQ$13)=0,10^12,OFFSET(CRONOPLE!$F$15,$M189-$A$15,CQ$13)))</f>
        <v>0</v>
      </c>
      <c r="CR189" s="353" t="n">
        <f aca="true">IF(OR($D189&lt;&gt;"Serviço",AND(AUTOEVENTO="Manual",$M189=$A$15)),0,
         IF(OFFSET(CRONOPLE!$F$15,$M189-$A$15,CR$13)=0,10^12,OFFSET(CRONOPLE!$F$15,$M189-$A$15,CR$13)))</f>
        <v>0</v>
      </c>
      <c r="CT189" s="354" t="n">
        <f aca="true">IF(OR($D189&lt;&gt;"Serviço",AND(AUTOEVENTO="Manual",$M189=$A$15),$M189&gt;(ROW(PLE.lastrow)-ROW(PLE.firstrow))),0,
           IF(OFFSET(PLE!$G$15,$M189-$A$15,CT$13)="",10^12,OFFSET(PLE!$G$15,$M189-$A$15,CT$13)))</f>
        <v>0</v>
      </c>
      <c r="CU189" s="354" t="n">
        <f aca="true">IF(OR($D189&lt;&gt;"Serviço",AND(AUTOEVENTO="Manual",$M189=$A$15),$M189&gt;(ROW(PLE.lastrow)-ROW(PLE.firstrow))),0,
           IF(OFFSET(PLE!$G$15,$M189-$A$15,CU$13)="",10^12,OFFSET(PLE!$G$15,$M189-$A$15,CU$13)))</f>
        <v>0</v>
      </c>
      <c r="CV189" s="354" t="n">
        <f aca="true">IF(OR($D189&lt;&gt;"Serviço",AND(AUTOEVENTO="Manual",$M189=$A$15),$M189&gt;(ROW(PLE.lastrow)-ROW(PLE.firstrow))),0,
           IF(OFFSET(PLE!$G$15,$M189-$A$15,CV$13)="",10^12,OFFSET(PLE!$G$15,$M189-$A$15,CV$13)))</f>
        <v>0</v>
      </c>
      <c r="CW189" s="354" t="n">
        <f aca="true">IF(OR($D189&lt;&gt;"Serviço",AND(AUTOEVENTO="Manual",$M189=$A$15),$M189&gt;(ROW(PLE.lastrow)-ROW(PLE.firstrow))),0,
           IF(OFFSET(PLE!$G$15,$M189-$A$15,CW$13)="",10^12,OFFSET(PLE!$G$15,$M189-$A$15,CW$13)))</f>
        <v>0</v>
      </c>
      <c r="CX189" s="354" t="n">
        <f aca="true">IF(OR($D189&lt;&gt;"Serviço",AND(AUTOEVENTO="Manual",$M189=$A$15),$M189&gt;(ROW(PLE.lastrow)-ROW(PLE.firstrow))),0,
           IF(OFFSET(PLE!$G$15,$M189-$A$15,CX$13)="",10^12,OFFSET(PLE!$G$15,$M189-$A$15,CX$13)))</f>
        <v>0</v>
      </c>
      <c r="CY189" s="354" t="n">
        <f aca="true">IF(OR($D189&lt;&gt;"Serviço",AND(AUTOEVENTO="Manual",$M189=$A$15),$M189&gt;(ROW(PLE.lastrow)-ROW(PLE.firstrow))),0,
           IF(OFFSET(PLE!$G$15,$M189-$A$15,CY$13)="",10^12,OFFSET(PLE!$G$15,$M189-$A$15,CY$13)))</f>
        <v>0</v>
      </c>
      <c r="CZ189" s="354" t="n">
        <f aca="true">IF(OR($D189&lt;&gt;"Serviço",AND(AUTOEVENTO="Manual",$M189=$A$15),$M189&gt;(ROW(PLE.lastrow)-ROW(PLE.firstrow))),0,
           IF(OFFSET(PLE!$G$15,$M189-$A$15,CZ$13)="",10^12,OFFSET(PLE!$G$15,$M189-$A$15,CZ$13)))</f>
        <v>0</v>
      </c>
      <c r="DA189" s="354" t="n">
        <f aca="true">IF(OR($D189&lt;&gt;"Serviço",AND(AUTOEVENTO="Manual",$M189=$A$15),$M189&gt;(ROW(PLE.lastrow)-ROW(PLE.firstrow))),0,
           IF(OFFSET(PLE!$G$15,$M189-$A$15,DA$13)="",10^12,OFFSET(PLE!$G$15,$M189-$A$15,DA$13)))</f>
        <v>0</v>
      </c>
      <c r="DB189" s="354" t="n">
        <f aca="true">IF(OR($D189&lt;&gt;"Serviço",AND(AUTOEVENTO="Manual",$M189=$A$15),$M189&gt;(ROW(PLE.lastrow)-ROW(PLE.firstrow))),0,
           IF(OFFSET(PLE!$G$15,$M189-$A$15,DB$13)="",10^12,OFFSET(PLE!$G$15,$M189-$A$15,DB$13)))</f>
        <v>0</v>
      </c>
      <c r="DC189" s="354" t="n">
        <f aca="true">IF(OR($D189&lt;&gt;"Serviço",AND(AUTOEVENTO="Manual",$M189=$A$15),$M189&gt;(ROW(PLE.lastrow)-ROW(PLE.firstrow))),0,
           IF(OFFSET(PLE!$G$15,$M189-$A$15,DC$13)="",10^12,OFFSET(PLE!$G$15,$M189-$A$15,DC$13)))</f>
        <v>0</v>
      </c>
      <c r="DD189" s="354" t="n">
        <f aca="true">IF(OR($D189&lt;&gt;"Serviço",AND(AUTOEVENTO="Manual",$M189=$A$15),$M189&gt;(ROW(PLE.lastrow)-ROW(PLE.firstrow))),0,
           IF(OFFSET(PLE!$G$15,$M189-$A$15,DD$13)="",10^12,OFFSET(PLE!$G$15,$M189-$A$15,DD$13)))</f>
        <v>0</v>
      </c>
      <c r="DE189" s="354" t="n">
        <f aca="true">IF(OR($D189&lt;&gt;"Serviço",AND(AUTOEVENTO="Manual",$M189=$A$15),$M189&gt;(ROW(PLE.lastrow)-ROW(PLE.firstrow))),0,
           IF(OFFSET(PLE!$G$15,$M189-$A$15,DE$13)="",10^12,OFFSET(PLE!$G$15,$M189-$A$15,DE$13)))</f>
        <v>0</v>
      </c>
      <c r="DF189" s="354" t="n">
        <f aca="true">IF(OR($D189&lt;&gt;"Serviço",AND(AUTOEVENTO="Manual",$M189=$A$15),$M189&gt;(ROW(PLE.lastrow)-ROW(PLE.firstrow))),0,
           IF(OFFSET(PLE!$G$15,$M189-$A$15,DF$13)="",10^12,OFFSET(PLE!$G$15,$M189-$A$15,DF$13)))</f>
        <v>0</v>
      </c>
      <c r="DG189" s="354" t="n">
        <f aca="true">IF(OR($D189&lt;&gt;"Serviço",AND(AUTOEVENTO="Manual",$M189=$A$15),$M189&gt;(ROW(PLE.lastrow)-ROW(PLE.firstrow))),0,
           IF(OFFSET(PLE!$G$15,$M189-$A$15,DG$13)="",10^12,OFFSET(PLE!$G$15,$M189-$A$15,DG$13)))</f>
        <v>0</v>
      </c>
      <c r="DH189" s="354" t="n">
        <f aca="true">IF(OR($D189&lt;&gt;"Serviço",AND(AUTOEVENTO="Manual",$M189=$A$15),$M189&gt;(ROW(PLE.lastrow)-ROW(PLE.firstrow))),0,
           IF(OFFSET(PLE!$G$15,$M189-$A$15,DH$13)="",10^12,OFFSET(PLE!$G$15,$M189-$A$15,DH$13)))</f>
        <v>0</v>
      </c>
      <c r="DI189" s="354" t="n">
        <f aca="true">IF(OR($D189&lt;&gt;"Serviço",AND(AUTOEVENTO="Manual",$M189=$A$15),$M189&gt;(ROW(PLE.lastrow)-ROW(PLE.firstrow))),0,
           IF(OFFSET(PLE!$G$15,$M189-$A$15,DI$13)="",10^12,OFFSET(PLE!$G$15,$M189-$A$15,DI$13)))</f>
        <v>0</v>
      </c>
      <c r="DJ189" s="354" t="n">
        <f aca="true">IF(OR($D189&lt;&gt;"Serviço",AND(AUTOEVENTO="Manual",$M189=$A$15),$M189&gt;(ROW(PLE.lastrow)-ROW(PLE.firstrow))),0,
           IF(OFFSET(PLE!$G$15,$M189-$A$15,DJ$13)="",10^12,OFFSET(PLE!$G$15,$M189-$A$15,DJ$13)))</f>
        <v>0</v>
      </c>
      <c r="DK189" s="354" t="n">
        <f aca="true">IF(OR($D189&lt;&gt;"Serviço",AND(AUTOEVENTO="Manual",$M189=$A$15),$M189&gt;(ROW(PLE.lastrow)-ROW(PLE.firstrow))),0,
           IF(OFFSET(PLE!$G$15,$M189-$A$15,DK$13)="",10^12,OFFSET(PLE!$G$15,$M189-$A$15,DK$13)))</f>
        <v>0</v>
      </c>
      <c r="DL189" s="354" t="n">
        <f aca="true">IF(OR($D189&lt;&gt;"Serviço",AND(AUTOEVENTO="Manual",$M189=$A$15),$M189&gt;(ROW(PLE.lastrow)-ROW(PLE.firstrow))),0,
           IF(OFFSET(PLE!$G$15,$M189-$A$15,DL$13)="",10^12,OFFSET(PLE!$G$15,$M189-$A$15,DL$13)))</f>
        <v>0</v>
      </c>
      <c r="DM189" s="354" t="n">
        <f aca="true">IF(OR($D189&lt;&gt;"Serviço",AND(AUTOEVENTO="Manual",$M189=$A$15),$M189&gt;(ROW(PLE.lastrow)-ROW(PLE.firstrow))),0,
           IF(OFFSET(PLE!$G$15,$M189-$A$15,DM$13)="",10^12,OFFSET(PLE!$G$15,$M189-$A$15,DM$13)))</f>
        <v>0</v>
      </c>
      <c r="DN189" s="354" t="n">
        <f aca="true">IF(OR($D189&lt;&gt;"Serviço",AND(AUTOEVENTO="Manual",$M189=$A$15),$M189&gt;(ROW(PLE.lastrow)-ROW(PLE.firstrow))),0,
           IF(OFFSET(PLE!$G$15,$M189-$A$15,DN$13)="",10^12,OFFSET(PLE!$G$15,$M189-$A$15,DN$13)))</f>
        <v>0</v>
      </c>
      <c r="DO189" s="354" t="n">
        <f aca="true">IF(OR($D189&lt;&gt;"Serviço",AND(AUTOEVENTO="Manual",$M189=$A$15),$M189&gt;(ROW(PLE.lastrow)-ROW(PLE.firstrow))),0,
           IF(OFFSET(PLE!$G$15,$M189-$A$15,DO$13)="",10^12,OFFSET(PLE!$G$15,$M189-$A$15,DO$13)))</f>
        <v>0</v>
      </c>
      <c r="DP189" s="354" t="n">
        <f aca="true">IF(OR($D189&lt;&gt;"Serviço",AND(AUTOEVENTO="Manual",$M189=$A$15),$M189&gt;(ROW(PLE.lastrow)-ROW(PLE.firstrow))),0,
           IF(OFFSET(PLE!$G$15,$M189-$A$15,DP$13)="",10^12,OFFSET(PLE!$G$15,$M189-$A$15,DP$13)))</f>
        <v>0</v>
      </c>
      <c r="DQ189" s="354" t="n">
        <f aca="true">IF(OR($D189&lt;&gt;"Serviço",AND(AUTOEVENTO="Manual",$M189=$A$15),$M189&gt;(ROW(PLE.lastrow)-ROW(PLE.firstrow))),0,
           IF(OFFSET(PLE!$G$15,$M189-$A$15,DQ$13)="",10^12,OFFSET(PLE!$G$15,$M189-$A$15,DQ$13)))</f>
        <v>0</v>
      </c>
      <c r="DR189" s="354" t="n">
        <f aca="true">IF(OR($D189&lt;&gt;"Serviço",AND(AUTOEVENTO="Manual",$M189=$A$15),$M189&gt;(ROW(PLE.lastrow)-ROW(PLE.firstrow))),0,
           IF(OFFSET(PLE!$G$15,$M189-$A$15,DR$13)="",10^12,OFFSET(PLE!$G$15,$M189-$A$15,DR$13)))</f>
        <v>0</v>
      </c>
      <c r="DS189" s="354" t="n">
        <f aca="true">IF(OR($D189&lt;&gt;"Serviço",AND(AUTOEVENTO="Manual",$M189=$A$15),$M189&gt;(ROW(PLE.lastrow)-ROW(PLE.firstrow))),0,
           IF(OFFSET(PLE!$G$15,$M189-$A$15,DS$13)="",10^12,OFFSET(PLE!$G$15,$M189-$A$15,DS$13)))</f>
        <v>0</v>
      </c>
    </row>
    <row r="190" customFormat="false" ht="35.05" hidden="false" customHeight="false" outlineLevel="0" collapsed="false">
      <c r="A190" s="50" t="str">
        <f aca="true">IFERROR(IF(AUTOEVENTO="Manual",IF(K190&lt;&gt;"",MIN(VALUE(LEFT(K190,FIND(".",K190)-1)),COUNTA(EVENTOS.Lista)),0),IF(OR($B190&gt;AUTOEVENTO,$B190="S",$B190=0),SUBSTITUTE(OFFSET($A190,-1,0),IF($D190="Serviço",".",""),""),ROW(A190)-ROW($A$15)&amp;".")),0)</f>
        <v>174</v>
      </c>
      <c r="B190" s="50" t="str">
        <f aca="true">OFFSET(ORÇAMENTO!C$15,ROW(B190)-ROW(B$15),0)</f>
        <v>S</v>
      </c>
      <c r="C190" s="50" t="str">
        <f aca="true">OFFSET(ORÇAMENTO!L$15,ROW(C190)-ROW(C$15),0)</f>
        <v>F</v>
      </c>
      <c r="D190" s="201" t="str">
        <f aca="true">OFFSET(ORÇAMENTO!N$15,ROW(D190)-ROW(D$15),0)</f>
        <v>Serviço</v>
      </c>
      <c r="E190" s="202" t="str">
        <f aca="true">OFFSET(ORÇAMENTO!O$15,ROW(E190)-ROW(E$15),0)</f>
        <v>1.47.1.</v>
      </c>
      <c r="F190" s="341" t="str">
        <f aca="true">OFFSET(ORÇAMENTO!R$15,ROW(F190)-ROW(F$15),0)</f>
        <v>VASO SANITÁRIO SIFONADO COM CAIXA ACOPLADA LOUÇA BRANCA, INCLUSO ENGATE FLEXÍVEL EM PLÁSTICO BRANCO, 1/2 X 40CM - FORNECIMENTO E INSTALAÇÃO. AF_01/2020</v>
      </c>
      <c r="G190" s="342" t="str">
        <f aca="true">IF($D190&lt;&gt;"Serviço","",OFFSET(ORÇAMENTO!S$15,ROW(G190)-ROW(G$15),0))</f>
        <v>UN</v>
      </c>
      <c r="H190" s="207" t="n">
        <f aca="true">IF($D190&lt;&gt;"Serviço",0,IF(ACOMPANHAMENTO="BM",ROUND(OFFSET(ORÇAMENTO!AJ$15,ROW(H190)-ROW(H$15),0),15-13*ORÇAMENTO!$AF$7),SUMPRODUCT(($Q$1:$AQ$1=1)*ROUND($Q190:$AQ190,15-13*ORÇAMENTO!$AF$7))))</f>
        <v>25</v>
      </c>
      <c r="I190" s="343" t="s">
        <v>969</v>
      </c>
      <c r="J190" s="344" t="e">
        <f aca="false">IF(OR(B190&lt;&gt;"S",CÁLCULO.FrentesPreenchidas=0),"",IF(AND(ACOMPANHAMENTO="PLE",AUTOEVENTO="Manual",OR(H190&gt;0,ORÇAMENTO!AC190="QUANT."),OR(K190="",M190=0,N190="")),"►",IF(AND(ACOMPANHAMENTO="PLE",ORÇAMENTO!AC190="QUANT."),"►►",IF(AND(COUNTIF($P$11:$AQ$11,"▼")=0,H190&gt;0,I190=""),"◄",""))))</f>
        <v>#NAME?</v>
      </c>
      <c r="K190" s="345"/>
      <c r="L190" s="346" t="s">
        <v>876</v>
      </c>
      <c r="M190" s="347" t="n">
        <f aca="true">IF($D190&lt;&gt;"Serviço","",
          IF(AUTOEVENTO="manual",$A190,
                IF(ISERROR(MATCH($A190,$A$15:OFFSET($A190,-1,0),0)),MAX($M$15:OFFSET(M190,-1,0))+1,
                      INDEX($M$15:OFFSET(M190,-1,0),MATCH($A190,$A$15:OFFSET($A190,-1,0),0)))))</f>
        <v>30</v>
      </c>
      <c r="N190" s="348" t="str">
        <f aca="true">IF($D190&lt;&gt;"Serviço","",
         IF(AUTOEVENTO="Manual",
                IF($A190=0,"&lt;-- defina o número do agrupador",
                       OFFSET(EVENTOS!$D$15,$A190-$A$15,0)),
                OFFSET($F$15,$A190,0)))</f>
        <v>APARELHOS, METAIS E BANCADAS</v>
      </c>
      <c r="O190" s="349"/>
      <c r="Q190" s="349" t="n">
        <v>1</v>
      </c>
      <c r="R190" s="350" t="n">
        <v>1</v>
      </c>
      <c r="S190" s="350" t="n">
        <v>1</v>
      </c>
      <c r="T190" s="350" t="n">
        <v>1</v>
      </c>
      <c r="U190" s="350" t="n">
        <v>1</v>
      </c>
      <c r="V190" s="350" t="n">
        <v>1</v>
      </c>
      <c r="W190" s="350" t="n">
        <v>1</v>
      </c>
      <c r="X190" s="350" t="n">
        <v>1</v>
      </c>
      <c r="Y190" s="350" t="n">
        <v>1</v>
      </c>
      <c r="Z190" s="351" t="n">
        <v>1</v>
      </c>
      <c r="AA190" s="350" t="n">
        <v>1</v>
      </c>
      <c r="AB190" s="350" t="n">
        <v>1</v>
      </c>
      <c r="AC190" s="350" t="n">
        <v>1</v>
      </c>
      <c r="AD190" s="350" t="n">
        <v>1</v>
      </c>
      <c r="AE190" s="350" t="n">
        <v>1</v>
      </c>
      <c r="AF190" s="350" t="n">
        <v>1</v>
      </c>
      <c r="AG190" s="350" t="n">
        <v>1</v>
      </c>
      <c r="AH190" s="351" t="n">
        <v>1</v>
      </c>
      <c r="AI190" s="350" t="n">
        <v>1</v>
      </c>
      <c r="AJ190" s="350" t="n">
        <v>1</v>
      </c>
      <c r="AK190" s="350" t="n">
        <v>1</v>
      </c>
      <c r="AL190" s="350" t="n">
        <v>1</v>
      </c>
      <c r="AM190" s="350" t="n">
        <v>1</v>
      </c>
      <c r="AN190" s="350" t="n">
        <v>1</v>
      </c>
      <c r="AO190" s="350" t="n">
        <v>1</v>
      </c>
      <c r="AP190" s="351"/>
      <c r="AR190" s="352" t="n">
        <f aca="true">IF(AND($D190="Serviço",AR$12&lt;&gt;0,$H190&gt;0,OR(AUTOEVENTO&lt;&gt;"manual",$M190&lt;&gt;$A$15)),
        IF(Import.TipoArredondamento&lt;&gt;"TransfereGOV",
              ROUND(OFFSET($P190,0,AR$13),15-13*ORÇAMENTO!$AF$7)/$H190*OFFSET(ORÇAMENTO!$X$15,ROW(AR190)-ROW(AR$15),0),
              ROUND(ROUND(OFFSET($P190,0,AR$13),15-13*ORÇAMENTO!$AF$7)*OFFSET(ORÇAMENTO!$W$15,ROW(AR190)-ROW(AR$15),0),15-13*ORÇAMENTO!$AF$11)),
         0)</f>
        <v>727.91</v>
      </c>
      <c r="AS190" s="352" t="n">
        <f aca="true">IF(AND($D190="Serviço",AS$12&lt;&gt;0,$H190&gt;0,OR(AUTOEVENTO&lt;&gt;"manual",$M190&lt;&gt;$A$15)),
        IF(Import.TipoArredondamento&lt;&gt;"TransfereGOV",
              ROUND(OFFSET($P190,0,AS$13),15-13*ORÇAMENTO!$AF$7)/$H190*OFFSET(ORÇAMENTO!$X$15,ROW(AS190)-ROW(AS$15),0),
              ROUND(ROUND(OFFSET($P190,0,AS$13),15-13*ORÇAMENTO!$AF$7)*OFFSET(ORÇAMENTO!$W$15,ROW(AS190)-ROW(AS$15),0),15-13*ORÇAMENTO!$AF$11)),
         0)</f>
        <v>727.91</v>
      </c>
      <c r="AT190" s="352" t="n">
        <f aca="true">IF(AND($D190="Serviço",AT$12&lt;&gt;0,$H190&gt;0,OR(AUTOEVENTO&lt;&gt;"manual",$M190&lt;&gt;$A$15)),
        IF(Import.TipoArredondamento&lt;&gt;"TransfereGOV",
              ROUND(OFFSET($P190,0,AT$13),15-13*ORÇAMENTO!$AF$7)/$H190*OFFSET(ORÇAMENTO!$X$15,ROW(AT190)-ROW(AT$15),0),
              ROUND(ROUND(OFFSET($P190,0,AT$13),15-13*ORÇAMENTO!$AF$7)*OFFSET(ORÇAMENTO!$W$15,ROW(AT190)-ROW(AT$15),0),15-13*ORÇAMENTO!$AF$11)),
         0)</f>
        <v>727.91</v>
      </c>
      <c r="AU190" s="352" t="n">
        <f aca="true">IF(AND($D190="Serviço",AU$12&lt;&gt;0,$H190&gt;0,OR(AUTOEVENTO&lt;&gt;"manual",$M190&lt;&gt;$A$15)),
        IF(Import.TipoArredondamento&lt;&gt;"TransfereGOV",
              ROUND(OFFSET($P190,0,AU$13),15-13*ORÇAMENTO!$AF$7)/$H190*OFFSET(ORÇAMENTO!$X$15,ROW(AU190)-ROW(AU$15),0),
              ROUND(ROUND(OFFSET($P190,0,AU$13),15-13*ORÇAMENTO!$AF$7)*OFFSET(ORÇAMENTO!$W$15,ROW(AU190)-ROW(AU$15),0),15-13*ORÇAMENTO!$AF$11)),
         0)</f>
        <v>727.91</v>
      </c>
      <c r="AV190" s="352" t="n">
        <f aca="true">IF(AND($D190="Serviço",AV$12&lt;&gt;0,$H190&gt;0,OR(AUTOEVENTO&lt;&gt;"manual",$M190&lt;&gt;$A$15)),
        IF(Import.TipoArredondamento&lt;&gt;"TransfereGOV",
              ROUND(OFFSET($P190,0,AV$13),15-13*ORÇAMENTO!$AF$7)/$H190*OFFSET(ORÇAMENTO!$X$15,ROW(AV190)-ROW(AV$15),0),
              ROUND(ROUND(OFFSET($P190,0,AV$13),15-13*ORÇAMENTO!$AF$7)*OFFSET(ORÇAMENTO!$W$15,ROW(AV190)-ROW(AV$15),0),15-13*ORÇAMENTO!$AF$11)),
         0)</f>
        <v>727.91</v>
      </c>
      <c r="AW190" s="352" t="n">
        <f aca="true">IF(AND($D190="Serviço",AW$12&lt;&gt;0,$H190&gt;0,OR(AUTOEVENTO&lt;&gt;"manual",$M190&lt;&gt;$A$15)),
        IF(Import.TipoArredondamento&lt;&gt;"TransfereGOV",
              ROUND(OFFSET($P190,0,AW$13),15-13*ORÇAMENTO!$AF$7)/$H190*OFFSET(ORÇAMENTO!$X$15,ROW(AW190)-ROW(AW$15),0),
              ROUND(ROUND(OFFSET($P190,0,AW$13),15-13*ORÇAMENTO!$AF$7)*OFFSET(ORÇAMENTO!$W$15,ROW(AW190)-ROW(AW$15),0),15-13*ORÇAMENTO!$AF$11)),
         0)</f>
        <v>727.91</v>
      </c>
      <c r="AX190" s="352" t="n">
        <f aca="true">IF(AND($D190="Serviço",AX$12&lt;&gt;0,$H190&gt;0,OR(AUTOEVENTO&lt;&gt;"manual",$M190&lt;&gt;$A$15)),
        IF(Import.TipoArredondamento&lt;&gt;"TransfereGOV",
              ROUND(OFFSET($P190,0,AX$13),15-13*ORÇAMENTO!$AF$7)/$H190*OFFSET(ORÇAMENTO!$X$15,ROW(AX190)-ROW(AX$15),0),
              ROUND(ROUND(OFFSET($P190,0,AX$13),15-13*ORÇAMENTO!$AF$7)*OFFSET(ORÇAMENTO!$W$15,ROW(AX190)-ROW(AX$15),0),15-13*ORÇAMENTO!$AF$11)),
         0)</f>
        <v>727.91</v>
      </c>
      <c r="AY190" s="352" t="n">
        <f aca="true">IF(AND($D190="Serviço",AY$12&lt;&gt;0,$H190&gt;0,OR(AUTOEVENTO&lt;&gt;"manual",$M190&lt;&gt;$A$15)),
        IF(Import.TipoArredondamento&lt;&gt;"TransfereGOV",
              ROUND(OFFSET($P190,0,AY$13),15-13*ORÇAMENTO!$AF$7)/$H190*OFFSET(ORÇAMENTO!$X$15,ROW(AY190)-ROW(AY$15),0),
              ROUND(ROUND(OFFSET($P190,0,AY$13),15-13*ORÇAMENTO!$AF$7)*OFFSET(ORÇAMENTO!$W$15,ROW(AY190)-ROW(AY$15),0),15-13*ORÇAMENTO!$AF$11)),
         0)</f>
        <v>727.91</v>
      </c>
      <c r="AZ190" s="352" t="n">
        <f aca="true">IF(AND($D190="Serviço",AZ$12&lt;&gt;0,$H190&gt;0,OR(AUTOEVENTO&lt;&gt;"manual",$M190&lt;&gt;$A$15)),
        IF(Import.TipoArredondamento&lt;&gt;"TransfereGOV",
              ROUND(OFFSET($P190,0,AZ$13),15-13*ORÇAMENTO!$AF$7)/$H190*OFFSET(ORÇAMENTO!$X$15,ROW(AZ190)-ROW(AZ$15),0),
              ROUND(ROUND(OFFSET($P190,0,AZ$13),15-13*ORÇAMENTO!$AF$7)*OFFSET(ORÇAMENTO!$W$15,ROW(AZ190)-ROW(AZ$15),0),15-13*ORÇAMENTO!$AF$11)),
         0)</f>
        <v>727.91</v>
      </c>
      <c r="BA190" s="352" t="n">
        <f aca="true">IF(AND($D190="Serviço",BA$12&lt;&gt;0,$H190&gt;0,OR(AUTOEVENTO&lt;&gt;"manual",$M190&lt;&gt;$A$15)),
        IF(Import.TipoArredondamento&lt;&gt;"TransfereGOV",
              ROUND(OFFSET($P190,0,BA$13),15-13*ORÇAMENTO!$AF$7)/$H190*OFFSET(ORÇAMENTO!$X$15,ROW(BA190)-ROW(BA$15),0),
              ROUND(ROUND(OFFSET($P190,0,BA$13),15-13*ORÇAMENTO!$AF$7)*OFFSET(ORÇAMENTO!$W$15,ROW(BA190)-ROW(BA$15),0),15-13*ORÇAMENTO!$AF$11)),
         0)</f>
        <v>727.91</v>
      </c>
      <c r="BB190" s="352" t="n">
        <f aca="true">IF(AND($D190="Serviço",BB$12&lt;&gt;0,$H190&gt;0,OR(AUTOEVENTO&lt;&gt;"manual",$M190&lt;&gt;$A$15)),
        IF(Import.TipoArredondamento&lt;&gt;"TransfereGOV",
              ROUND(OFFSET($P190,0,BB$13),15-13*ORÇAMENTO!$AF$7)/$H190*OFFSET(ORÇAMENTO!$X$15,ROW(BB190)-ROW(BB$15),0),
              ROUND(ROUND(OFFSET($P190,0,BB$13),15-13*ORÇAMENTO!$AF$7)*OFFSET(ORÇAMENTO!$W$15,ROW(BB190)-ROW(BB$15),0),15-13*ORÇAMENTO!$AF$11)),
         0)</f>
        <v>727.91</v>
      </c>
      <c r="BC190" s="352" t="n">
        <f aca="true">IF(AND($D190="Serviço",BC$12&lt;&gt;0,$H190&gt;0,OR(AUTOEVENTO&lt;&gt;"manual",$M190&lt;&gt;$A$15)),
        IF(Import.TipoArredondamento&lt;&gt;"TransfereGOV",
              ROUND(OFFSET($P190,0,BC$13),15-13*ORÇAMENTO!$AF$7)/$H190*OFFSET(ORÇAMENTO!$X$15,ROW(BC190)-ROW(BC$15),0),
              ROUND(ROUND(OFFSET($P190,0,BC$13),15-13*ORÇAMENTO!$AF$7)*OFFSET(ORÇAMENTO!$W$15,ROW(BC190)-ROW(BC$15),0),15-13*ORÇAMENTO!$AF$11)),
         0)</f>
        <v>727.91</v>
      </c>
      <c r="BD190" s="352" t="n">
        <f aca="true">IF(AND($D190="Serviço",BD$12&lt;&gt;0,$H190&gt;0,OR(AUTOEVENTO&lt;&gt;"manual",$M190&lt;&gt;$A$15)),
        IF(Import.TipoArredondamento&lt;&gt;"TransfereGOV",
              ROUND(OFFSET($P190,0,BD$13),15-13*ORÇAMENTO!$AF$7)/$H190*OFFSET(ORÇAMENTO!$X$15,ROW(BD190)-ROW(BD$15),0),
              ROUND(ROUND(OFFSET($P190,0,BD$13),15-13*ORÇAMENTO!$AF$7)*OFFSET(ORÇAMENTO!$W$15,ROW(BD190)-ROW(BD$15),0),15-13*ORÇAMENTO!$AF$11)),
         0)</f>
        <v>727.91</v>
      </c>
      <c r="BE190" s="352" t="n">
        <f aca="true">IF(AND($D190="Serviço",BE$12&lt;&gt;0,$H190&gt;0,OR(AUTOEVENTO&lt;&gt;"manual",$M190&lt;&gt;$A$15)),
        IF(Import.TipoArredondamento&lt;&gt;"TransfereGOV",
              ROUND(OFFSET($P190,0,BE$13),15-13*ORÇAMENTO!$AF$7)/$H190*OFFSET(ORÇAMENTO!$X$15,ROW(BE190)-ROW(BE$15),0),
              ROUND(ROUND(OFFSET($P190,0,BE$13),15-13*ORÇAMENTO!$AF$7)*OFFSET(ORÇAMENTO!$W$15,ROW(BE190)-ROW(BE$15),0),15-13*ORÇAMENTO!$AF$11)),
         0)</f>
        <v>727.91</v>
      </c>
      <c r="BF190" s="352" t="n">
        <f aca="true">IF(AND($D190="Serviço",BF$12&lt;&gt;0,$H190&gt;0,OR(AUTOEVENTO&lt;&gt;"manual",$M190&lt;&gt;$A$15)),
        IF(Import.TipoArredondamento&lt;&gt;"TransfereGOV",
              ROUND(OFFSET($P190,0,BF$13),15-13*ORÇAMENTO!$AF$7)/$H190*OFFSET(ORÇAMENTO!$X$15,ROW(BF190)-ROW(BF$15),0),
              ROUND(ROUND(OFFSET($P190,0,BF$13),15-13*ORÇAMENTO!$AF$7)*OFFSET(ORÇAMENTO!$W$15,ROW(BF190)-ROW(BF$15),0),15-13*ORÇAMENTO!$AF$11)),
         0)</f>
        <v>727.91</v>
      </c>
      <c r="BG190" s="352" t="n">
        <f aca="true">IF(AND($D190="Serviço",BG$12&lt;&gt;0,$H190&gt;0,OR(AUTOEVENTO&lt;&gt;"manual",$M190&lt;&gt;$A$15)),
        IF(Import.TipoArredondamento&lt;&gt;"TransfereGOV",
              ROUND(OFFSET($P190,0,BG$13),15-13*ORÇAMENTO!$AF$7)/$H190*OFFSET(ORÇAMENTO!$X$15,ROW(BG190)-ROW(BG$15),0),
              ROUND(ROUND(OFFSET($P190,0,BG$13),15-13*ORÇAMENTO!$AF$7)*OFFSET(ORÇAMENTO!$W$15,ROW(BG190)-ROW(BG$15),0),15-13*ORÇAMENTO!$AF$11)),
         0)</f>
        <v>727.91</v>
      </c>
      <c r="BH190" s="352" t="n">
        <f aca="true">IF(AND($D190="Serviço",BH$12&lt;&gt;0,$H190&gt;0,OR(AUTOEVENTO&lt;&gt;"manual",$M190&lt;&gt;$A$15)),
        IF(Import.TipoArredondamento&lt;&gt;"TransfereGOV",
              ROUND(OFFSET($P190,0,BH$13),15-13*ORÇAMENTO!$AF$7)/$H190*OFFSET(ORÇAMENTO!$X$15,ROW(BH190)-ROW(BH$15),0),
              ROUND(ROUND(OFFSET($P190,0,BH$13),15-13*ORÇAMENTO!$AF$7)*OFFSET(ORÇAMENTO!$W$15,ROW(BH190)-ROW(BH$15),0),15-13*ORÇAMENTO!$AF$11)),
         0)</f>
        <v>727.91</v>
      </c>
      <c r="BI190" s="352" t="n">
        <f aca="true">IF(AND($D190="Serviço",BI$12&lt;&gt;0,$H190&gt;0,OR(AUTOEVENTO&lt;&gt;"manual",$M190&lt;&gt;$A$15)),
        IF(Import.TipoArredondamento&lt;&gt;"TransfereGOV",
              ROUND(OFFSET($P190,0,BI$13),15-13*ORÇAMENTO!$AF$7)/$H190*OFFSET(ORÇAMENTO!$X$15,ROW(BI190)-ROW(BI$15),0),
              ROUND(ROUND(OFFSET($P190,0,BI$13),15-13*ORÇAMENTO!$AF$7)*OFFSET(ORÇAMENTO!$W$15,ROW(BI190)-ROW(BI$15),0),15-13*ORÇAMENTO!$AF$11)),
         0)</f>
        <v>727.91</v>
      </c>
      <c r="BJ190" s="352" t="n">
        <f aca="true">IF(AND($D190="Serviço",BJ$12&lt;&gt;0,$H190&gt;0,OR(AUTOEVENTO&lt;&gt;"manual",$M190&lt;&gt;$A$15)),
        IF(Import.TipoArredondamento&lt;&gt;"TransfereGOV",
              ROUND(OFFSET($P190,0,BJ$13),15-13*ORÇAMENTO!$AF$7)/$H190*OFFSET(ORÇAMENTO!$X$15,ROW(BJ190)-ROW(BJ$15),0),
              ROUND(ROUND(OFFSET($P190,0,BJ$13),15-13*ORÇAMENTO!$AF$7)*OFFSET(ORÇAMENTO!$W$15,ROW(BJ190)-ROW(BJ$15),0),15-13*ORÇAMENTO!$AF$11)),
         0)</f>
        <v>727.91</v>
      </c>
      <c r="BK190" s="352" t="n">
        <f aca="true">IF(AND($D190="Serviço",BK$12&lt;&gt;0,$H190&gt;0,OR(AUTOEVENTO&lt;&gt;"manual",$M190&lt;&gt;$A$15)),
        IF(Import.TipoArredondamento&lt;&gt;"TransfereGOV",
              ROUND(OFFSET($P190,0,BK$13),15-13*ORÇAMENTO!$AF$7)/$H190*OFFSET(ORÇAMENTO!$X$15,ROW(BK190)-ROW(BK$15),0),
              ROUND(ROUND(OFFSET($P190,0,BK$13),15-13*ORÇAMENTO!$AF$7)*OFFSET(ORÇAMENTO!$W$15,ROW(BK190)-ROW(BK$15),0),15-13*ORÇAMENTO!$AF$11)),
         0)</f>
        <v>727.91</v>
      </c>
      <c r="BL190" s="352" t="n">
        <f aca="true">IF(AND($D190="Serviço",BL$12&lt;&gt;0,$H190&gt;0,OR(AUTOEVENTO&lt;&gt;"manual",$M190&lt;&gt;$A$15)),
        IF(Import.TipoArredondamento&lt;&gt;"TransfereGOV",
              ROUND(OFFSET($P190,0,BL$13),15-13*ORÇAMENTO!$AF$7)/$H190*OFFSET(ORÇAMENTO!$X$15,ROW(BL190)-ROW(BL$15),0),
              ROUND(ROUND(OFFSET($P190,0,BL$13),15-13*ORÇAMENTO!$AF$7)*OFFSET(ORÇAMENTO!$W$15,ROW(BL190)-ROW(BL$15),0),15-13*ORÇAMENTO!$AF$11)),
         0)</f>
        <v>727.91</v>
      </c>
      <c r="BM190" s="352" t="n">
        <f aca="true">IF(AND($D190="Serviço",BM$12&lt;&gt;0,$H190&gt;0,OR(AUTOEVENTO&lt;&gt;"manual",$M190&lt;&gt;$A$15)),
        IF(Import.TipoArredondamento&lt;&gt;"TransfereGOV",
              ROUND(OFFSET($P190,0,BM$13),15-13*ORÇAMENTO!$AF$7)/$H190*OFFSET(ORÇAMENTO!$X$15,ROW(BM190)-ROW(BM$15),0),
              ROUND(ROUND(OFFSET($P190,0,BM$13),15-13*ORÇAMENTO!$AF$7)*OFFSET(ORÇAMENTO!$W$15,ROW(BM190)-ROW(BM$15),0),15-13*ORÇAMENTO!$AF$11)),
         0)</f>
        <v>727.91</v>
      </c>
      <c r="BN190" s="352" t="n">
        <f aca="true">IF(AND($D190="Serviço",BN$12&lt;&gt;0,$H190&gt;0,OR(AUTOEVENTO&lt;&gt;"manual",$M190&lt;&gt;$A$15)),
        IF(Import.TipoArredondamento&lt;&gt;"TransfereGOV",
              ROUND(OFFSET($P190,0,BN$13),15-13*ORÇAMENTO!$AF$7)/$H190*OFFSET(ORÇAMENTO!$X$15,ROW(BN190)-ROW(BN$15),0),
              ROUND(ROUND(OFFSET($P190,0,BN$13),15-13*ORÇAMENTO!$AF$7)*OFFSET(ORÇAMENTO!$W$15,ROW(BN190)-ROW(BN$15),0),15-13*ORÇAMENTO!$AF$11)),
         0)</f>
        <v>727.91</v>
      </c>
      <c r="BO190" s="352" t="n">
        <f aca="true">IF(AND($D190="Serviço",BO$12&lt;&gt;0,$H190&gt;0,OR(AUTOEVENTO&lt;&gt;"manual",$M190&lt;&gt;$A$15)),
        IF(Import.TipoArredondamento&lt;&gt;"TransfereGOV",
              ROUND(OFFSET($P190,0,BO$13),15-13*ORÇAMENTO!$AF$7)/$H190*OFFSET(ORÇAMENTO!$X$15,ROW(BO190)-ROW(BO$15),0),
              ROUND(ROUND(OFFSET($P190,0,BO$13),15-13*ORÇAMENTO!$AF$7)*OFFSET(ORÇAMENTO!$W$15,ROW(BO190)-ROW(BO$15),0),15-13*ORÇAMENTO!$AF$11)),
         0)</f>
        <v>727.91</v>
      </c>
      <c r="BP190" s="352" t="n">
        <f aca="true">IF(AND($D190="Serviço",BP$12&lt;&gt;0,$H190&gt;0,OR(AUTOEVENTO&lt;&gt;"manual",$M190&lt;&gt;$A$15)),
        IF(Import.TipoArredondamento&lt;&gt;"TransfereGOV",
              ROUND(OFFSET($P190,0,BP$13),15-13*ORÇAMENTO!$AF$7)/$H190*OFFSET(ORÇAMENTO!$X$15,ROW(BP190)-ROW(BP$15),0),
              ROUND(ROUND(OFFSET($P190,0,BP$13),15-13*ORÇAMENTO!$AF$7)*OFFSET(ORÇAMENTO!$W$15,ROW(BP190)-ROW(BP$15),0),15-13*ORÇAMENTO!$AF$11)),
         0)</f>
        <v>727.91</v>
      </c>
      <c r="BQ190" s="352" t="n">
        <f aca="true">IF(AND($D190="Serviço",BQ$12&lt;&gt;0,$H190&gt;0,OR(AUTOEVENTO&lt;&gt;"manual",$M190&lt;&gt;$A$15)),
        IF(Import.TipoArredondamento&lt;&gt;"TransfereGOV",
              ROUND(OFFSET($P190,0,BQ$13),15-13*ORÇAMENTO!$AF$7)/$H190*OFFSET(ORÇAMENTO!$X$15,ROW(BQ190)-ROW(BQ$15),0),
              ROUND(ROUND(OFFSET($P190,0,BQ$13),15-13*ORÇAMENTO!$AF$7)*OFFSET(ORÇAMENTO!$W$15,ROW(BQ190)-ROW(BQ$15),0),15-13*ORÇAMENTO!$AF$11)),
         0)</f>
        <v>0</v>
      </c>
      <c r="BS190" s="353" t="n">
        <f aca="true">IF(OR($D190&lt;&gt;"Serviço",AND(AUTOEVENTO="Manual",$M190=$A$15)),0,
         IF(OFFSET(CRONOPLE!$F$15,$M190-$A$15,BS$13)=0,10^12,OFFSET(CRONOPLE!$F$15,$M190-$A$15,BS$13)))</f>
        <v>1</v>
      </c>
      <c r="BT190" s="353" t="n">
        <f aca="true">IF(OR($D190&lt;&gt;"Serviço",AND(AUTOEVENTO="Manual",$M190=$A$15)),0,
         IF(OFFSET(CRONOPLE!$F$15,$M190-$A$15,BT$13)=0,10^12,OFFSET(CRONOPLE!$F$15,$M190-$A$15,BT$13)))</f>
        <v>2</v>
      </c>
      <c r="BU190" s="353" t="n">
        <f aca="true">IF(OR($D190&lt;&gt;"Serviço",AND(AUTOEVENTO="Manual",$M190=$A$15)),0,
         IF(OFFSET(CRONOPLE!$F$15,$M190-$A$15,BU$13)=0,10^12,OFFSET(CRONOPLE!$F$15,$M190-$A$15,BU$13)))</f>
        <v>3</v>
      </c>
      <c r="BV190" s="353" t="n">
        <f aca="true">IF(OR($D190&lt;&gt;"Serviço",AND(AUTOEVENTO="Manual",$M190=$A$15)),0,
         IF(OFFSET(CRONOPLE!$F$15,$M190-$A$15,BV$13)=0,10^12,OFFSET(CRONOPLE!$F$15,$M190-$A$15,BV$13)))</f>
        <v>4</v>
      </c>
      <c r="BW190" s="353" t="n">
        <f aca="true">IF(OR($D190&lt;&gt;"Serviço",AND(AUTOEVENTO="Manual",$M190=$A$15)),0,
         IF(OFFSET(CRONOPLE!$F$15,$M190-$A$15,BW$13)=0,10^12,OFFSET(CRONOPLE!$F$15,$M190-$A$15,BW$13)))</f>
        <v>5</v>
      </c>
      <c r="BX190" s="353" t="n">
        <f aca="true">IF(OR($D190&lt;&gt;"Serviço",AND(AUTOEVENTO="Manual",$M190=$A$15)),0,
         IF(OFFSET(CRONOPLE!$F$15,$M190-$A$15,BX$13)=0,10^12,OFFSET(CRONOPLE!$F$15,$M190-$A$15,BX$13)))</f>
        <v>6</v>
      </c>
      <c r="BY190" s="353" t="n">
        <f aca="true">IF(OR($D190&lt;&gt;"Serviço",AND(AUTOEVENTO="Manual",$M190=$A$15)),0,
         IF(OFFSET(CRONOPLE!$F$15,$M190-$A$15,BY$13)=0,10^12,OFFSET(CRONOPLE!$F$15,$M190-$A$15,BY$13)))</f>
        <v>7</v>
      </c>
      <c r="BZ190" s="353" t="n">
        <f aca="true">IF(OR($D190&lt;&gt;"Serviço",AND(AUTOEVENTO="Manual",$M190=$A$15)),0,
         IF(OFFSET(CRONOPLE!$F$15,$M190-$A$15,BZ$13)=0,10^12,OFFSET(CRONOPLE!$F$15,$M190-$A$15,BZ$13)))</f>
        <v>8</v>
      </c>
      <c r="CA190" s="353" t="n">
        <f aca="true">IF(OR($D190&lt;&gt;"Serviço",AND(AUTOEVENTO="Manual",$M190=$A$15)),0,
         IF(OFFSET(CRONOPLE!$F$15,$M190-$A$15,CA$13)=0,10^12,OFFSET(CRONOPLE!$F$15,$M190-$A$15,CA$13)))</f>
        <v>9</v>
      </c>
      <c r="CB190" s="353" t="n">
        <f aca="true">IF(OR($D190&lt;&gt;"Serviço",AND(AUTOEVENTO="Manual",$M190=$A$15)),0,
         IF(OFFSET(CRONOPLE!$F$15,$M190-$A$15,CB$13)=0,10^12,OFFSET(CRONOPLE!$F$15,$M190-$A$15,CB$13)))</f>
        <v>10</v>
      </c>
      <c r="CC190" s="353" t="n">
        <f aca="true">IF(OR($D190&lt;&gt;"Serviço",AND(AUTOEVENTO="Manual",$M190=$A$15)),0,
         IF(OFFSET(CRONOPLE!$F$15,$M190-$A$15,CC$13)=0,10^12,OFFSET(CRONOPLE!$F$15,$M190-$A$15,CC$13)))</f>
        <v>11</v>
      </c>
      <c r="CD190" s="353" t="n">
        <f aca="true">IF(OR($D190&lt;&gt;"Serviço",AND(AUTOEVENTO="Manual",$M190=$A$15)),0,
         IF(OFFSET(CRONOPLE!$F$15,$M190-$A$15,CD$13)=0,10^12,OFFSET(CRONOPLE!$F$15,$M190-$A$15,CD$13)))</f>
        <v>12</v>
      </c>
      <c r="CE190" s="353" t="n">
        <f aca="true">IF(OR($D190&lt;&gt;"Serviço",AND(AUTOEVENTO="Manual",$M190=$A$15)),0,
         IF(OFFSET(CRONOPLE!$F$15,$M190-$A$15,CE$13)=0,10^12,OFFSET(CRONOPLE!$F$15,$M190-$A$15,CE$13)))</f>
        <v>13</v>
      </c>
      <c r="CF190" s="353" t="n">
        <f aca="true">IF(OR($D190&lt;&gt;"Serviço",AND(AUTOEVENTO="Manual",$M190=$A$15)),0,
         IF(OFFSET(CRONOPLE!$F$15,$M190-$A$15,CF$13)=0,10^12,OFFSET(CRONOPLE!$F$15,$M190-$A$15,CF$13)))</f>
        <v>14</v>
      </c>
      <c r="CG190" s="353" t="n">
        <f aca="true">IF(OR($D190&lt;&gt;"Serviço",AND(AUTOEVENTO="Manual",$M190=$A$15)),0,
         IF(OFFSET(CRONOPLE!$F$15,$M190-$A$15,CG$13)=0,10^12,OFFSET(CRONOPLE!$F$15,$M190-$A$15,CG$13)))</f>
        <v>15</v>
      </c>
      <c r="CH190" s="353" t="n">
        <f aca="true">IF(OR($D190&lt;&gt;"Serviço",AND(AUTOEVENTO="Manual",$M190=$A$15)),0,
         IF(OFFSET(CRONOPLE!$F$15,$M190-$A$15,CH$13)=0,10^12,OFFSET(CRONOPLE!$F$15,$M190-$A$15,CH$13)))</f>
        <v>16</v>
      </c>
      <c r="CI190" s="353" t="n">
        <f aca="true">IF(OR($D190&lt;&gt;"Serviço",AND(AUTOEVENTO="Manual",$M190=$A$15)),0,
         IF(OFFSET(CRONOPLE!$F$15,$M190-$A$15,CI$13)=0,10^12,OFFSET(CRONOPLE!$F$15,$M190-$A$15,CI$13)))</f>
        <v>17</v>
      </c>
      <c r="CJ190" s="353" t="n">
        <f aca="true">IF(OR($D190&lt;&gt;"Serviço",AND(AUTOEVENTO="Manual",$M190=$A$15)),0,
         IF(OFFSET(CRONOPLE!$F$15,$M190-$A$15,CJ$13)=0,10^12,OFFSET(CRONOPLE!$F$15,$M190-$A$15,CJ$13)))</f>
        <v>18</v>
      </c>
      <c r="CK190" s="353" t="n">
        <f aca="true">IF(OR($D190&lt;&gt;"Serviço",AND(AUTOEVENTO="Manual",$M190=$A$15)),0,
         IF(OFFSET(CRONOPLE!$F$15,$M190-$A$15,CK$13)=0,10^12,OFFSET(CRONOPLE!$F$15,$M190-$A$15,CK$13)))</f>
        <v>19</v>
      </c>
      <c r="CL190" s="353" t="n">
        <f aca="true">IF(OR($D190&lt;&gt;"Serviço",AND(AUTOEVENTO="Manual",$M190=$A$15)),0,
         IF(OFFSET(CRONOPLE!$F$15,$M190-$A$15,CL$13)=0,10^12,OFFSET(CRONOPLE!$F$15,$M190-$A$15,CL$13)))</f>
        <v>20</v>
      </c>
      <c r="CM190" s="353" t="n">
        <f aca="true">IF(OR($D190&lt;&gt;"Serviço",AND(AUTOEVENTO="Manual",$M190=$A$15)),0,
         IF(OFFSET(CRONOPLE!$F$15,$M190-$A$15,CM$13)=0,10^12,OFFSET(CRONOPLE!$F$15,$M190-$A$15,CM$13)))</f>
        <v>21</v>
      </c>
      <c r="CN190" s="353" t="n">
        <f aca="true">IF(OR($D190&lt;&gt;"Serviço",AND(AUTOEVENTO="Manual",$M190=$A$15)),0,
         IF(OFFSET(CRONOPLE!$F$15,$M190-$A$15,CN$13)=0,10^12,OFFSET(CRONOPLE!$F$15,$M190-$A$15,CN$13)))</f>
        <v>22</v>
      </c>
      <c r="CO190" s="353" t="n">
        <f aca="true">IF(OR($D190&lt;&gt;"Serviço",AND(AUTOEVENTO="Manual",$M190=$A$15)),0,
         IF(OFFSET(CRONOPLE!$F$15,$M190-$A$15,CO$13)=0,10^12,OFFSET(CRONOPLE!$F$15,$M190-$A$15,CO$13)))</f>
        <v>23</v>
      </c>
      <c r="CP190" s="353" t="n">
        <f aca="true">IF(OR($D190&lt;&gt;"Serviço",AND(AUTOEVENTO="Manual",$M190=$A$15)),0,
         IF(OFFSET(CRONOPLE!$F$15,$M190-$A$15,CP$13)=0,10^12,OFFSET(CRONOPLE!$F$15,$M190-$A$15,CP$13)))</f>
        <v>24</v>
      </c>
      <c r="CQ190" s="353" t="n">
        <f aca="true">IF(OR($D190&lt;&gt;"Serviço",AND(AUTOEVENTO="Manual",$M190=$A$15)),0,
         IF(OFFSET(CRONOPLE!$F$15,$M190-$A$15,CQ$13)=0,10^12,OFFSET(CRONOPLE!$F$15,$M190-$A$15,CQ$13)))</f>
        <v>25</v>
      </c>
      <c r="CR190" s="353" t="n">
        <f aca="true">IF(OR($D190&lt;&gt;"Serviço",AND(AUTOEVENTO="Manual",$M190=$A$15)),0,
         IF(OFFSET(CRONOPLE!$F$15,$M190-$A$15,CR$13)=0,10^12,OFFSET(CRONOPLE!$F$15,$M190-$A$15,CR$13)))</f>
        <v>1000000000000</v>
      </c>
      <c r="CT190" s="354" t="n">
        <f aca="true">IF(OR($D190&lt;&gt;"Serviço",AND(AUTOEVENTO="Manual",$M190=$A$15),$M190&gt;(ROW(PLE.lastrow)-ROW(PLE.firstrow))),0,
           IF(OFFSET(PLE!$G$15,$M190-$A$15,CT$13)="",10^12,OFFSET(PLE!$G$15,$M190-$A$15,CT$13)))</f>
        <v>1000000000000</v>
      </c>
      <c r="CU190" s="354" t="n">
        <f aca="true">IF(OR($D190&lt;&gt;"Serviço",AND(AUTOEVENTO="Manual",$M190=$A$15),$M190&gt;(ROW(PLE.lastrow)-ROW(PLE.firstrow))),0,
           IF(OFFSET(PLE!$G$15,$M190-$A$15,CU$13)="",10^12,OFFSET(PLE!$G$15,$M190-$A$15,CU$13)))</f>
        <v>1000000000000</v>
      </c>
      <c r="CV190" s="354" t="n">
        <f aca="true">IF(OR($D190&lt;&gt;"Serviço",AND(AUTOEVENTO="Manual",$M190=$A$15),$M190&gt;(ROW(PLE.lastrow)-ROW(PLE.firstrow))),0,
           IF(OFFSET(PLE!$G$15,$M190-$A$15,CV$13)="",10^12,OFFSET(PLE!$G$15,$M190-$A$15,CV$13)))</f>
        <v>1000000000000</v>
      </c>
      <c r="CW190" s="354" t="n">
        <f aca="true">IF(OR($D190&lt;&gt;"Serviço",AND(AUTOEVENTO="Manual",$M190=$A$15),$M190&gt;(ROW(PLE.lastrow)-ROW(PLE.firstrow))),0,
           IF(OFFSET(PLE!$G$15,$M190-$A$15,CW$13)="",10^12,OFFSET(PLE!$G$15,$M190-$A$15,CW$13)))</f>
        <v>1000000000000</v>
      </c>
      <c r="CX190" s="354" t="n">
        <f aca="true">IF(OR($D190&lt;&gt;"Serviço",AND(AUTOEVENTO="Manual",$M190=$A$15),$M190&gt;(ROW(PLE.lastrow)-ROW(PLE.firstrow))),0,
           IF(OFFSET(PLE!$G$15,$M190-$A$15,CX$13)="",10^12,OFFSET(PLE!$G$15,$M190-$A$15,CX$13)))</f>
        <v>1000000000000</v>
      </c>
      <c r="CY190" s="354" t="n">
        <f aca="true">IF(OR($D190&lt;&gt;"Serviço",AND(AUTOEVENTO="Manual",$M190=$A$15),$M190&gt;(ROW(PLE.lastrow)-ROW(PLE.firstrow))),0,
           IF(OFFSET(PLE!$G$15,$M190-$A$15,CY$13)="",10^12,OFFSET(PLE!$G$15,$M190-$A$15,CY$13)))</f>
        <v>1000000000000</v>
      </c>
      <c r="CZ190" s="354" t="n">
        <f aca="true">IF(OR($D190&lt;&gt;"Serviço",AND(AUTOEVENTO="Manual",$M190=$A$15),$M190&gt;(ROW(PLE.lastrow)-ROW(PLE.firstrow))),0,
           IF(OFFSET(PLE!$G$15,$M190-$A$15,CZ$13)="",10^12,OFFSET(PLE!$G$15,$M190-$A$15,CZ$13)))</f>
        <v>1000000000000</v>
      </c>
      <c r="DA190" s="354" t="n">
        <f aca="true">IF(OR($D190&lt;&gt;"Serviço",AND(AUTOEVENTO="Manual",$M190=$A$15),$M190&gt;(ROW(PLE.lastrow)-ROW(PLE.firstrow))),0,
           IF(OFFSET(PLE!$G$15,$M190-$A$15,DA$13)="",10^12,OFFSET(PLE!$G$15,$M190-$A$15,DA$13)))</f>
        <v>1000000000000</v>
      </c>
      <c r="DB190" s="354" t="n">
        <f aca="true">IF(OR($D190&lt;&gt;"Serviço",AND(AUTOEVENTO="Manual",$M190=$A$15),$M190&gt;(ROW(PLE.lastrow)-ROW(PLE.firstrow))),0,
           IF(OFFSET(PLE!$G$15,$M190-$A$15,DB$13)="",10^12,OFFSET(PLE!$G$15,$M190-$A$15,DB$13)))</f>
        <v>1000000000000</v>
      </c>
      <c r="DC190" s="354" t="n">
        <f aca="true">IF(OR($D190&lt;&gt;"Serviço",AND(AUTOEVENTO="Manual",$M190=$A$15),$M190&gt;(ROW(PLE.lastrow)-ROW(PLE.firstrow))),0,
           IF(OFFSET(PLE!$G$15,$M190-$A$15,DC$13)="",10^12,OFFSET(PLE!$G$15,$M190-$A$15,DC$13)))</f>
        <v>1000000000000</v>
      </c>
      <c r="DD190" s="354" t="n">
        <f aca="true">IF(OR($D190&lt;&gt;"Serviço",AND(AUTOEVENTO="Manual",$M190=$A$15),$M190&gt;(ROW(PLE.lastrow)-ROW(PLE.firstrow))),0,
           IF(OFFSET(PLE!$G$15,$M190-$A$15,DD$13)="",10^12,OFFSET(PLE!$G$15,$M190-$A$15,DD$13)))</f>
        <v>1000000000000</v>
      </c>
      <c r="DE190" s="354" t="n">
        <f aca="true">IF(OR($D190&lt;&gt;"Serviço",AND(AUTOEVENTO="Manual",$M190=$A$15),$M190&gt;(ROW(PLE.lastrow)-ROW(PLE.firstrow))),0,
           IF(OFFSET(PLE!$G$15,$M190-$A$15,DE$13)="",10^12,OFFSET(PLE!$G$15,$M190-$A$15,DE$13)))</f>
        <v>1000000000000</v>
      </c>
      <c r="DF190" s="354" t="n">
        <f aca="true">IF(OR($D190&lt;&gt;"Serviço",AND(AUTOEVENTO="Manual",$M190=$A$15),$M190&gt;(ROW(PLE.lastrow)-ROW(PLE.firstrow))),0,
           IF(OFFSET(PLE!$G$15,$M190-$A$15,DF$13)="",10^12,OFFSET(PLE!$G$15,$M190-$A$15,DF$13)))</f>
        <v>1000000000000</v>
      </c>
      <c r="DG190" s="354" t="n">
        <f aca="true">IF(OR($D190&lt;&gt;"Serviço",AND(AUTOEVENTO="Manual",$M190=$A$15),$M190&gt;(ROW(PLE.lastrow)-ROW(PLE.firstrow))),0,
           IF(OFFSET(PLE!$G$15,$M190-$A$15,DG$13)="",10^12,OFFSET(PLE!$G$15,$M190-$A$15,DG$13)))</f>
        <v>1000000000000</v>
      </c>
      <c r="DH190" s="354" t="n">
        <f aca="true">IF(OR($D190&lt;&gt;"Serviço",AND(AUTOEVENTO="Manual",$M190=$A$15),$M190&gt;(ROW(PLE.lastrow)-ROW(PLE.firstrow))),0,
           IF(OFFSET(PLE!$G$15,$M190-$A$15,DH$13)="",10^12,OFFSET(PLE!$G$15,$M190-$A$15,DH$13)))</f>
        <v>1000000000000</v>
      </c>
      <c r="DI190" s="354" t="n">
        <f aca="true">IF(OR($D190&lt;&gt;"Serviço",AND(AUTOEVENTO="Manual",$M190=$A$15),$M190&gt;(ROW(PLE.lastrow)-ROW(PLE.firstrow))),0,
           IF(OFFSET(PLE!$G$15,$M190-$A$15,DI$13)="",10^12,OFFSET(PLE!$G$15,$M190-$A$15,DI$13)))</f>
        <v>1000000000000</v>
      </c>
      <c r="DJ190" s="354" t="n">
        <f aca="true">IF(OR($D190&lt;&gt;"Serviço",AND(AUTOEVENTO="Manual",$M190=$A$15),$M190&gt;(ROW(PLE.lastrow)-ROW(PLE.firstrow))),0,
           IF(OFFSET(PLE!$G$15,$M190-$A$15,DJ$13)="",10^12,OFFSET(PLE!$G$15,$M190-$A$15,DJ$13)))</f>
        <v>1000000000000</v>
      </c>
      <c r="DK190" s="354" t="n">
        <f aca="true">IF(OR($D190&lt;&gt;"Serviço",AND(AUTOEVENTO="Manual",$M190=$A$15),$M190&gt;(ROW(PLE.lastrow)-ROW(PLE.firstrow))),0,
           IF(OFFSET(PLE!$G$15,$M190-$A$15,DK$13)="",10^12,OFFSET(PLE!$G$15,$M190-$A$15,DK$13)))</f>
        <v>1000000000000</v>
      </c>
      <c r="DL190" s="354" t="n">
        <f aca="true">IF(OR($D190&lt;&gt;"Serviço",AND(AUTOEVENTO="Manual",$M190=$A$15),$M190&gt;(ROW(PLE.lastrow)-ROW(PLE.firstrow))),0,
           IF(OFFSET(PLE!$G$15,$M190-$A$15,DL$13)="",10^12,OFFSET(PLE!$G$15,$M190-$A$15,DL$13)))</f>
        <v>1000000000000</v>
      </c>
      <c r="DM190" s="354" t="n">
        <f aca="true">IF(OR($D190&lt;&gt;"Serviço",AND(AUTOEVENTO="Manual",$M190=$A$15),$M190&gt;(ROW(PLE.lastrow)-ROW(PLE.firstrow))),0,
           IF(OFFSET(PLE!$G$15,$M190-$A$15,DM$13)="",10^12,OFFSET(PLE!$G$15,$M190-$A$15,DM$13)))</f>
        <v>1000000000000</v>
      </c>
      <c r="DN190" s="354" t="n">
        <f aca="true">IF(OR($D190&lt;&gt;"Serviço",AND(AUTOEVENTO="Manual",$M190=$A$15),$M190&gt;(ROW(PLE.lastrow)-ROW(PLE.firstrow))),0,
           IF(OFFSET(PLE!$G$15,$M190-$A$15,DN$13)="",10^12,OFFSET(PLE!$G$15,$M190-$A$15,DN$13)))</f>
        <v>1000000000000</v>
      </c>
      <c r="DO190" s="354" t="n">
        <f aca="true">IF(OR($D190&lt;&gt;"Serviço",AND(AUTOEVENTO="Manual",$M190=$A$15),$M190&gt;(ROW(PLE.lastrow)-ROW(PLE.firstrow))),0,
           IF(OFFSET(PLE!$G$15,$M190-$A$15,DO$13)="",10^12,OFFSET(PLE!$G$15,$M190-$A$15,DO$13)))</f>
        <v>1000000000000</v>
      </c>
      <c r="DP190" s="354" t="n">
        <f aca="true">IF(OR($D190&lt;&gt;"Serviço",AND(AUTOEVENTO="Manual",$M190=$A$15),$M190&gt;(ROW(PLE.lastrow)-ROW(PLE.firstrow))),0,
           IF(OFFSET(PLE!$G$15,$M190-$A$15,DP$13)="",10^12,OFFSET(PLE!$G$15,$M190-$A$15,DP$13)))</f>
        <v>1000000000000</v>
      </c>
      <c r="DQ190" s="354" t="n">
        <f aca="true">IF(OR($D190&lt;&gt;"Serviço",AND(AUTOEVENTO="Manual",$M190=$A$15),$M190&gt;(ROW(PLE.lastrow)-ROW(PLE.firstrow))),0,
           IF(OFFSET(PLE!$G$15,$M190-$A$15,DQ$13)="",10^12,OFFSET(PLE!$G$15,$M190-$A$15,DQ$13)))</f>
        <v>1000000000000</v>
      </c>
      <c r="DR190" s="354" t="n">
        <f aca="true">IF(OR($D190&lt;&gt;"Serviço",AND(AUTOEVENTO="Manual",$M190=$A$15),$M190&gt;(ROW(PLE.lastrow)-ROW(PLE.firstrow))),0,
           IF(OFFSET(PLE!$G$15,$M190-$A$15,DR$13)="",10^12,OFFSET(PLE!$G$15,$M190-$A$15,DR$13)))</f>
        <v>1000000000000</v>
      </c>
      <c r="DS190" s="354" t="n">
        <f aca="true">IF(OR($D190&lt;&gt;"Serviço",AND(AUTOEVENTO="Manual",$M190=$A$15),$M190&gt;(ROW(PLE.lastrow)-ROW(PLE.firstrow))),0,
           IF(OFFSET(PLE!$G$15,$M190-$A$15,DS$13)="",10^12,OFFSET(PLE!$G$15,$M190-$A$15,DS$13)))</f>
        <v>1000000000000</v>
      </c>
    </row>
    <row r="191" customFormat="false" ht="46.25" hidden="false" customHeight="false" outlineLevel="0" collapsed="false">
      <c r="A191" s="50" t="str">
        <f aca="true">IFERROR(IF(AUTOEVENTO="Manual",IF(K191&lt;&gt;"",MIN(VALUE(LEFT(K191,FIND(".",K191)-1)),COUNTA(EVENTOS.Lista)),0),IF(OR($B191&gt;AUTOEVENTO,$B191="S",$B191=0),SUBSTITUTE(OFFSET($A191,-1,0),IF($D191="Serviço",".",""),""),ROW(A191)-ROW($A$15)&amp;".")),0)</f>
        <v>174</v>
      </c>
      <c r="B191" s="50" t="str">
        <f aca="true">OFFSET(ORÇAMENTO!C$15,ROW(B191)-ROW(B$15),0)</f>
        <v>S</v>
      </c>
      <c r="C191" s="50" t="str">
        <f aca="true">OFFSET(ORÇAMENTO!L$15,ROW(C191)-ROW(C$15),0)</f>
        <v>F</v>
      </c>
      <c r="D191" s="201" t="str">
        <f aca="true">OFFSET(ORÇAMENTO!N$15,ROW(D191)-ROW(D$15),0)</f>
        <v>Serviço</v>
      </c>
      <c r="E191" s="202" t="str">
        <f aca="true">OFFSET(ORÇAMENTO!O$15,ROW(E191)-ROW(E$15),0)</f>
        <v>1.47.2.</v>
      </c>
      <c r="F191" s="341" t="str">
        <f aca="true">OFFSET(ORÇAMENTO!R$15,ROW(F191)-ROW(F$15),0)</f>
        <v>LAVATÓRIO LOUÇA BRANCA SUSPENSO, 29,5 X 39CM OU EQUIVALENTE, PADRÃO POPULAR, INCLUSO SIFÃO FLEXÍVEL EM PVC, VÁLVULA E ENGATE FLEXÍVEL 30CM EM PLÁSTICO E TORNEIRA CROMADA DE MESA, PADRÃO POPULAR - FORNECIMENTO E INSTALAÇÃO. AF_01/2020</v>
      </c>
      <c r="G191" s="342" t="str">
        <f aca="true">IF($D191&lt;&gt;"Serviço","",OFFSET(ORÇAMENTO!S$15,ROW(G191)-ROW(G$15),0))</f>
        <v>UM</v>
      </c>
      <c r="H191" s="207" t="n">
        <f aca="true">IF($D191&lt;&gt;"Serviço",0,IF(ACOMPANHAMENTO="BM",ROUND(OFFSET(ORÇAMENTO!AJ$15,ROW(H191)-ROW(H$15),0),15-13*ORÇAMENTO!$AF$7),SUMPRODUCT(($Q$1:$AQ$1=1)*ROUND($Q191:$AQ191,15-13*ORÇAMENTO!$AF$7))))</f>
        <v>25</v>
      </c>
      <c r="I191" s="343" t="s">
        <v>969</v>
      </c>
      <c r="J191" s="344" t="e">
        <f aca="false">IF(OR(B191&lt;&gt;"S",CÁLCULO.FrentesPreenchidas=0),"",IF(AND(ACOMPANHAMENTO="PLE",AUTOEVENTO="Manual",OR(H191&gt;0,ORÇAMENTO!AC191="QUANT."),OR(K191="",M191=0,N191="")),"►",IF(AND(ACOMPANHAMENTO="PLE",ORÇAMENTO!AC191="QUANT."),"►►",IF(AND(COUNTIF($P$11:$AQ$11,"▼")=0,H191&gt;0,I191=""),"◄",""))))</f>
        <v>#NAME?</v>
      </c>
      <c r="K191" s="345"/>
      <c r="L191" s="346" t="s">
        <v>876</v>
      </c>
      <c r="M191" s="347" t="n">
        <f aca="true">IF($D191&lt;&gt;"Serviço","",
          IF(AUTOEVENTO="manual",$A191,
                IF(ISERROR(MATCH($A191,$A$15:OFFSET($A191,-1,0),0)),MAX($M$15:OFFSET(M191,-1,0))+1,
                      INDEX($M$15:OFFSET(M191,-1,0),MATCH($A191,$A$15:OFFSET($A191,-1,0),0)))))</f>
        <v>30</v>
      </c>
      <c r="N191" s="348" t="str">
        <f aca="true">IF($D191&lt;&gt;"Serviço","",
         IF(AUTOEVENTO="Manual",
                IF($A191=0,"&lt;-- defina o número do agrupador",
                       OFFSET(EVENTOS!$D$15,$A191-$A$15,0)),
                OFFSET($F$15,$A191,0)))</f>
        <v>APARELHOS, METAIS E BANCADAS</v>
      </c>
      <c r="O191" s="349"/>
      <c r="Q191" s="349" t="n">
        <v>1</v>
      </c>
      <c r="R191" s="350" t="n">
        <v>1</v>
      </c>
      <c r="S191" s="350" t="n">
        <v>1</v>
      </c>
      <c r="T191" s="350" t="n">
        <v>1</v>
      </c>
      <c r="U191" s="350" t="n">
        <v>1</v>
      </c>
      <c r="V191" s="350" t="n">
        <v>1</v>
      </c>
      <c r="W191" s="350" t="n">
        <v>1</v>
      </c>
      <c r="X191" s="350" t="n">
        <v>1</v>
      </c>
      <c r="Y191" s="350" t="n">
        <v>1</v>
      </c>
      <c r="Z191" s="351" t="n">
        <v>1</v>
      </c>
      <c r="AA191" s="350" t="n">
        <v>1</v>
      </c>
      <c r="AB191" s="350" t="n">
        <v>1</v>
      </c>
      <c r="AC191" s="350" t="n">
        <v>1</v>
      </c>
      <c r="AD191" s="350" t="n">
        <v>1</v>
      </c>
      <c r="AE191" s="350" t="n">
        <v>1</v>
      </c>
      <c r="AF191" s="350" t="n">
        <v>1</v>
      </c>
      <c r="AG191" s="350" t="n">
        <v>1</v>
      </c>
      <c r="AH191" s="351" t="n">
        <v>1</v>
      </c>
      <c r="AI191" s="350" t="n">
        <v>1</v>
      </c>
      <c r="AJ191" s="350" t="n">
        <v>1</v>
      </c>
      <c r="AK191" s="350" t="n">
        <v>1</v>
      </c>
      <c r="AL191" s="350" t="n">
        <v>1</v>
      </c>
      <c r="AM191" s="350" t="n">
        <v>1</v>
      </c>
      <c r="AN191" s="350" t="n">
        <v>1</v>
      </c>
      <c r="AO191" s="350" t="n">
        <v>1</v>
      </c>
      <c r="AP191" s="351"/>
      <c r="AR191" s="352" t="n">
        <f aca="true">IF(AND($D191="Serviço",AR$12&lt;&gt;0,$H191&gt;0,OR(AUTOEVENTO&lt;&gt;"manual",$M191&lt;&gt;$A$15)),
        IF(Import.TipoArredondamento&lt;&gt;"TransfereGOV",
              ROUND(OFFSET($P191,0,AR$13),15-13*ORÇAMENTO!$AF$7)/$H191*OFFSET(ORÇAMENTO!$X$15,ROW(AR191)-ROW(AR$15),0),
              ROUND(ROUND(OFFSET($P191,0,AR$13),15-13*ORÇAMENTO!$AF$7)*OFFSET(ORÇAMENTO!$W$15,ROW(AR191)-ROW(AR$15),0),15-13*ORÇAMENTO!$AF$11)),
         0)</f>
        <v>356.81</v>
      </c>
      <c r="AS191" s="352" t="n">
        <f aca="true">IF(AND($D191="Serviço",AS$12&lt;&gt;0,$H191&gt;0,OR(AUTOEVENTO&lt;&gt;"manual",$M191&lt;&gt;$A$15)),
        IF(Import.TipoArredondamento&lt;&gt;"TransfereGOV",
              ROUND(OFFSET($P191,0,AS$13),15-13*ORÇAMENTO!$AF$7)/$H191*OFFSET(ORÇAMENTO!$X$15,ROW(AS191)-ROW(AS$15),0),
              ROUND(ROUND(OFFSET($P191,0,AS$13),15-13*ORÇAMENTO!$AF$7)*OFFSET(ORÇAMENTO!$W$15,ROW(AS191)-ROW(AS$15),0),15-13*ORÇAMENTO!$AF$11)),
         0)</f>
        <v>356.81</v>
      </c>
      <c r="AT191" s="352" t="n">
        <f aca="true">IF(AND($D191="Serviço",AT$12&lt;&gt;0,$H191&gt;0,OR(AUTOEVENTO&lt;&gt;"manual",$M191&lt;&gt;$A$15)),
        IF(Import.TipoArredondamento&lt;&gt;"TransfereGOV",
              ROUND(OFFSET($P191,0,AT$13),15-13*ORÇAMENTO!$AF$7)/$H191*OFFSET(ORÇAMENTO!$X$15,ROW(AT191)-ROW(AT$15),0),
              ROUND(ROUND(OFFSET($P191,0,AT$13),15-13*ORÇAMENTO!$AF$7)*OFFSET(ORÇAMENTO!$W$15,ROW(AT191)-ROW(AT$15),0),15-13*ORÇAMENTO!$AF$11)),
         0)</f>
        <v>356.81</v>
      </c>
      <c r="AU191" s="352" t="n">
        <f aca="true">IF(AND($D191="Serviço",AU$12&lt;&gt;0,$H191&gt;0,OR(AUTOEVENTO&lt;&gt;"manual",$M191&lt;&gt;$A$15)),
        IF(Import.TipoArredondamento&lt;&gt;"TransfereGOV",
              ROUND(OFFSET($P191,0,AU$13),15-13*ORÇAMENTO!$AF$7)/$H191*OFFSET(ORÇAMENTO!$X$15,ROW(AU191)-ROW(AU$15),0),
              ROUND(ROUND(OFFSET($P191,0,AU$13),15-13*ORÇAMENTO!$AF$7)*OFFSET(ORÇAMENTO!$W$15,ROW(AU191)-ROW(AU$15),0),15-13*ORÇAMENTO!$AF$11)),
         0)</f>
        <v>356.81</v>
      </c>
      <c r="AV191" s="352" t="n">
        <f aca="true">IF(AND($D191="Serviço",AV$12&lt;&gt;0,$H191&gt;0,OR(AUTOEVENTO&lt;&gt;"manual",$M191&lt;&gt;$A$15)),
        IF(Import.TipoArredondamento&lt;&gt;"TransfereGOV",
              ROUND(OFFSET($P191,0,AV$13),15-13*ORÇAMENTO!$AF$7)/$H191*OFFSET(ORÇAMENTO!$X$15,ROW(AV191)-ROW(AV$15),0),
              ROUND(ROUND(OFFSET($P191,0,AV$13),15-13*ORÇAMENTO!$AF$7)*OFFSET(ORÇAMENTO!$W$15,ROW(AV191)-ROW(AV$15),0),15-13*ORÇAMENTO!$AF$11)),
         0)</f>
        <v>356.81</v>
      </c>
      <c r="AW191" s="352" t="n">
        <f aca="true">IF(AND($D191="Serviço",AW$12&lt;&gt;0,$H191&gt;0,OR(AUTOEVENTO&lt;&gt;"manual",$M191&lt;&gt;$A$15)),
        IF(Import.TipoArredondamento&lt;&gt;"TransfereGOV",
              ROUND(OFFSET($P191,0,AW$13),15-13*ORÇAMENTO!$AF$7)/$H191*OFFSET(ORÇAMENTO!$X$15,ROW(AW191)-ROW(AW$15),0),
              ROUND(ROUND(OFFSET($P191,0,AW$13),15-13*ORÇAMENTO!$AF$7)*OFFSET(ORÇAMENTO!$W$15,ROW(AW191)-ROW(AW$15),0),15-13*ORÇAMENTO!$AF$11)),
         0)</f>
        <v>356.81</v>
      </c>
      <c r="AX191" s="352" t="n">
        <f aca="true">IF(AND($D191="Serviço",AX$12&lt;&gt;0,$H191&gt;0,OR(AUTOEVENTO&lt;&gt;"manual",$M191&lt;&gt;$A$15)),
        IF(Import.TipoArredondamento&lt;&gt;"TransfereGOV",
              ROUND(OFFSET($P191,0,AX$13),15-13*ORÇAMENTO!$AF$7)/$H191*OFFSET(ORÇAMENTO!$X$15,ROW(AX191)-ROW(AX$15),0),
              ROUND(ROUND(OFFSET($P191,0,AX$13),15-13*ORÇAMENTO!$AF$7)*OFFSET(ORÇAMENTO!$W$15,ROW(AX191)-ROW(AX$15),0),15-13*ORÇAMENTO!$AF$11)),
         0)</f>
        <v>356.81</v>
      </c>
      <c r="AY191" s="352" t="n">
        <f aca="true">IF(AND($D191="Serviço",AY$12&lt;&gt;0,$H191&gt;0,OR(AUTOEVENTO&lt;&gt;"manual",$M191&lt;&gt;$A$15)),
        IF(Import.TipoArredondamento&lt;&gt;"TransfereGOV",
              ROUND(OFFSET($P191,0,AY$13),15-13*ORÇAMENTO!$AF$7)/$H191*OFFSET(ORÇAMENTO!$X$15,ROW(AY191)-ROW(AY$15),0),
              ROUND(ROUND(OFFSET($P191,0,AY$13),15-13*ORÇAMENTO!$AF$7)*OFFSET(ORÇAMENTO!$W$15,ROW(AY191)-ROW(AY$15),0),15-13*ORÇAMENTO!$AF$11)),
         0)</f>
        <v>356.81</v>
      </c>
      <c r="AZ191" s="352" t="n">
        <f aca="true">IF(AND($D191="Serviço",AZ$12&lt;&gt;0,$H191&gt;0,OR(AUTOEVENTO&lt;&gt;"manual",$M191&lt;&gt;$A$15)),
        IF(Import.TipoArredondamento&lt;&gt;"TransfereGOV",
              ROUND(OFFSET($P191,0,AZ$13),15-13*ORÇAMENTO!$AF$7)/$H191*OFFSET(ORÇAMENTO!$X$15,ROW(AZ191)-ROW(AZ$15),0),
              ROUND(ROUND(OFFSET($P191,0,AZ$13),15-13*ORÇAMENTO!$AF$7)*OFFSET(ORÇAMENTO!$W$15,ROW(AZ191)-ROW(AZ$15),0),15-13*ORÇAMENTO!$AF$11)),
         0)</f>
        <v>356.81</v>
      </c>
      <c r="BA191" s="352" t="n">
        <f aca="true">IF(AND($D191="Serviço",BA$12&lt;&gt;0,$H191&gt;0,OR(AUTOEVENTO&lt;&gt;"manual",$M191&lt;&gt;$A$15)),
        IF(Import.TipoArredondamento&lt;&gt;"TransfereGOV",
              ROUND(OFFSET($P191,0,BA$13),15-13*ORÇAMENTO!$AF$7)/$H191*OFFSET(ORÇAMENTO!$X$15,ROW(BA191)-ROW(BA$15),0),
              ROUND(ROUND(OFFSET($P191,0,BA$13),15-13*ORÇAMENTO!$AF$7)*OFFSET(ORÇAMENTO!$W$15,ROW(BA191)-ROW(BA$15),0),15-13*ORÇAMENTO!$AF$11)),
         0)</f>
        <v>356.81</v>
      </c>
      <c r="BB191" s="352" t="n">
        <f aca="true">IF(AND($D191="Serviço",BB$12&lt;&gt;0,$H191&gt;0,OR(AUTOEVENTO&lt;&gt;"manual",$M191&lt;&gt;$A$15)),
        IF(Import.TipoArredondamento&lt;&gt;"TransfereGOV",
              ROUND(OFFSET($P191,0,BB$13),15-13*ORÇAMENTO!$AF$7)/$H191*OFFSET(ORÇAMENTO!$X$15,ROW(BB191)-ROW(BB$15),0),
              ROUND(ROUND(OFFSET($P191,0,BB$13),15-13*ORÇAMENTO!$AF$7)*OFFSET(ORÇAMENTO!$W$15,ROW(BB191)-ROW(BB$15),0),15-13*ORÇAMENTO!$AF$11)),
         0)</f>
        <v>356.81</v>
      </c>
      <c r="BC191" s="352" t="n">
        <f aca="true">IF(AND($D191="Serviço",BC$12&lt;&gt;0,$H191&gt;0,OR(AUTOEVENTO&lt;&gt;"manual",$M191&lt;&gt;$A$15)),
        IF(Import.TipoArredondamento&lt;&gt;"TransfereGOV",
              ROUND(OFFSET($P191,0,BC$13),15-13*ORÇAMENTO!$AF$7)/$H191*OFFSET(ORÇAMENTO!$X$15,ROW(BC191)-ROW(BC$15),0),
              ROUND(ROUND(OFFSET($P191,0,BC$13),15-13*ORÇAMENTO!$AF$7)*OFFSET(ORÇAMENTO!$W$15,ROW(BC191)-ROW(BC$15),0),15-13*ORÇAMENTO!$AF$11)),
         0)</f>
        <v>356.81</v>
      </c>
      <c r="BD191" s="352" t="n">
        <f aca="true">IF(AND($D191="Serviço",BD$12&lt;&gt;0,$H191&gt;0,OR(AUTOEVENTO&lt;&gt;"manual",$M191&lt;&gt;$A$15)),
        IF(Import.TipoArredondamento&lt;&gt;"TransfereGOV",
              ROUND(OFFSET($P191,0,BD$13),15-13*ORÇAMENTO!$AF$7)/$H191*OFFSET(ORÇAMENTO!$X$15,ROW(BD191)-ROW(BD$15),0),
              ROUND(ROUND(OFFSET($P191,0,BD$13),15-13*ORÇAMENTO!$AF$7)*OFFSET(ORÇAMENTO!$W$15,ROW(BD191)-ROW(BD$15),0),15-13*ORÇAMENTO!$AF$11)),
         0)</f>
        <v>356.81</v>
      </c>
      <c r="BE191" s="352" t="n">
        <f aca="true">IF(AND($D191="Serviço",BE$12&lt;&gt;0,$H191&gt;0,OR(AUTOEVENTO&lt;&gt;"manual",$M191&lt;&gt;$A$15)),
        IF(Import.TipoArredondamento&lt;&gt;"TransfereGOV",
              ROUND(OFFSET($P191,0,BE$13),15-13*ORÇAMENTO!$AF$7)/$H191*OFFSET(ORÇAMENTO!$X$15,ROW(BE191)-ROW(BE$15),0),
              ROUND(ROUND(OFFSET($P191,0,BE$13),15-13*ORÇAMENTO!$AF$7)*OFFSET(ORÇAMENTO!$W$15,ROW(BE191)-ROW(BE$15),0),15-13*ORÇAMENTO!$AF$11)),
         0)</f>
        <v>356.81</v>
      </c>
      <c r="BF191" s="352" t="n">
        <f aca="true">IF(AND($D191="Serviço",BF$12&lt;&gt;0,$H191&gt;0,OR(AUTOEVENTO&lt;&gt;"manual",$M191&lt;&gt;$A$15)),
        IF(Import.TipoArredondamento&lt;&gt;"TransfereGOV",
              ROUND(OFFSET($P191,0,BF$13),15-13*ORÇAMENTO!$AF$7)/$H191*OFFSET(ORÇAMENTO!$X$15,ROW(BF191)-ROW(BF$15),0),
              ROUND(ROUND(OFFSET($P191,0,BF$13),15-13*ORÇAMENTO!$AF$7)*OFFSET(ORÇAMENTO!$W$15,ROW(BF191)-ROW(BF$15),0),15-13*ORÇAMENTO!$AF$11)),
         0)</f>
        <v>356.81</v>
      </c>
      <c r="BG191" s="352" t="n">
        <f aca="true">IF(AND($D191="Serviço",BG$12&lt;&gt;0,$H191&gt;0,OR(AUTOEVENTO&lt;&gt;"manual",$M191&lt;&gt;$A$15)),
        IF(Import.TipoArredondamento&lt;&gt;"TransfereGOV",
              ROUND(OFFSET($P191,0,BG$13),15-13*ORÇAMENTO!$AF$7)/$H191*OFFSET(ORÇAMENTO!$X$15,ROW(BG191)-ROW(BG$15),0),
              ROUND(ROUND(OFFSET($P191,0,BG$13),15-13*ORÇAMENTO!$AF$7)*OFFSET(ORÇAMENTO!$W$15,ROW(BG191)-ROW(BG$15),0),15-13*ORÇAMENTO!$AF$11)),
         0)</f>
        <v>356.81</v>
      </c>
      <c r="BH191" s="352" t="n">
        <f aca="true">IF(AND($D191="Serviço",BH$12&lt;&gt;0,$H191&gt;0,OR(AUTOEVENTO&lt;&gt;"manual",$M191&lt;&gt;$A$15)),
        IF(Import.TipoArredondamento&lt;&gt;"TransfereGOV",
              ROUND(OFFSET($P191,0,BH$13),15-13*ORÇAMENTO!$AF$7)/$H191*OFFSET(ORÇAMENTO!$X$15,ROW(BH191)-ROW(BH$15),0),
              ROUND(ROUND(OFFSET($P191,0,BH$13),15-13*ORÇAMENTO!$AF$7)*OFFSET(ORÇAMENTO!$W$15,ROW(BH191)-ROW(BH$15),0),15-13*ORÇAMENTO!$AF$11)),
         0)</f>
        <v>356.81</v>
      </c>
      <c r="BI191" s="352" t="n">
        <f aca="true">IF(AND($D191="Serviço",BI$12&lt;&gt;0,$H191&gt;0,OR(AUTOEVENTO&lt;&gt;"manual",$M191&lt;&gt;$A$15)),
        IF(Import.TipoArredondamento&lt;&gt;"TransfereGOV",
              ROUND(OFFSET($P191,0,BI$13),15-13*ORÇAMENTO!$AF$7)/$H191*OFFSET(ORÇAMENTO!$X$15,ROW(BI191)-ROW(BI$15),0),
              ROUND(ROUND(OFFSET($P191,0,BI$13),15-13*ORÇAMENTO!$AF$7)*OFFSET(ORÇAMENTO!$W$15,ROW(BI191)-ROW(BI$15),0),15-13*ORÇAMENTO!$AF$11)),
         0)</f>
        <v>356.81</v>
      </c>
      <c r="BJ191" s="352" t="n">
        <f aca="true">IF(AND($D191="Serviço",BJ$12&lt;&gt;0,$H191&gt;0,OR(AUTOEVENTO&lt;&gt;"manual",$M191&lt;&gt;$A$15)),
        IF(Import.TipoArredondamento&lt;&gt;"TransfereGOV",
              ROUND(OFFSET($P191,0,BJ$13),15-13*ORÇAMENTO!$AF$7)/$H191*OFFSET(ORÇAMENTO!$X$15,ROW(BJ191)-ROW(BJ$15),0),
              ROUND(ROUND(OFFSET($P191,0,BJ$13),15-13*ORÇAMENTO!$AF$7)*OFFSET(ORÇAMENTO!$W$15,ROW(BJ191)-ROW(BJ$15),0),15-13*ORÇAMENTO!$AF$11)),
         0)</f>
        <v>356.81</v>
      </c>
      <c r="BK191" s="352" t="n">
        <f aca="true">IF(AND($D191="Serviço",BK$12&lt;&gt;0,$H191&gt;0,OR(AUTOEVENTO&lt;&gt;"manual",$M191&lt;&gt;$A$15)),
        IF(Import.TipoArredondamento&lt;&gt;"TransfereGOV",
              ROUND(OFFSET($P191,0,BK$13),15-13*ORÇAMENTO!$AF$7)/$H191*OFFSET(ORÇAMENTO!$X$15,ROW(BK191)-ROW(BK$15),0),
              ROUND(ROUND(OFFSET($P191,0,BK$13),15-13*ORÇAMENTO!$AF$7)*OFFSET(ORÇAMENTO!$W$15,ROW(BK191)-ROW(BK$15),0),15-13*ORÇAMENTO!$AF$11)),
         0)</f>
        <v>356.81</v>
      </c>
      <c r="BL191" s="352" t="n">
        <f aca="true">IF(AND($D191="Serviço",BL$12&lt;&gt;0,$H191&gt;0,OR(AUTOEVENTO&lt;&gt;"manual",$M191&lt;&gt;$A$15)),
        IF(Import.TipoArredondamento&lt;&gt;"TransfereGOV",
              ROUND(OFFSET($P191,0,BL$13),15-13*ORÇAMENTO!$AF$7)/$H191*OFFSET(ORÇAMENTO!$X$15,ROW(BL191)-ROW(BL$15),0),
              ROUND(ROUND(OFFSET($P191,0,BL$13),15-13*ORÇAMENTO!$AF$7)*OFFSET(ORÇAMENTO!$W$15,ROW(BL191)-ROW(BL$15),0),15-13*ORÇAMENTO!$AF$11)),
         0)</f>
        <v>356.81</v>
      </c>
      <c r="BM191" s="352" t="n">
        <f aca="true">IF(AND($D191="Serviço",BM$12&lt;&gt;0,$H191&gt;0,OR(AUTOEVENTO&lt;&gt;"manual",$M191&lt;&gt;$A$15)),
        IF(Import.TipoArredondamento&lt;&gt;"TransfereGOV",
              ROUND(OFFSET($P191,0,BM$13),15-13*ORÇAMENTO!$AF$7)/$H191*OFFSET(ORÇAMENTO!$X$15,ROW(BM191)-ROW(BM$15),0),
              ROUND(ROUND(OFFSET($P191,0,BM$13),15-13*ORÇAMENTO!$AF$7)*OFFSET(ORÇAMENTO!$W$15,ROW(BM191)-ROW(BM$15),0),15-13*ORÇAMENTO!$AF$11)),
         0)</f>
        <v>356.81</v>
      </c>
      <c r="BN191" s="352" t="n">
        <f aca="true">IF(AND($D191="Serviço",BN$12&lt;&gt;0,$H191&gt;0,OR(AUTOEVENTO&lt;&gt;"manual",$M191&lt;&gt;$A$15)),
        IF(Import.TipoArredondamento&lt;&gt;"TransfereGOV",
              ROUND(OFFSET($P191,0,BN$13),15-13*ORÇAMENTO!$AF$7)/$H191*OFFSET(ORÇAMENTO!$X$15,ROW(BN191)-ROW(BN$15),0),
              ROUND(ROUND(OFFSET($P191,0,BN$13),15-13*ORÇAMENTO!$AF$7)*OFFSET(ORÇAMENTO!$W$15,ROW(BN191)-ROW(BN$15),0),15-13*ORÇAMENTO!$AF$11)),
         0)</f>
        <v>356.81</v>
      </c>
      <c r="BO191" s="352" t="n">
        <f aca="true">IF(AND($D191="Serviço",BO$12&lt;&gt;0,$H191&gt;0,OR(AUTOEVENTO&lt;&gt;"manual",$M191&lt;&gt;$A$15)),
        IF(Import.TipoArredondamento&lt;&gt;"TransfereGOV",
              ROUND(OFFSET($P191,0,BO$13),15-13*ORÇAMENTO!$AF$7)/$H191*OFFSET(ORÇAMENTO!$X$15,ROW(BO191)-ROW(BO$15),0),
              ROUND(ROUND(OFFSET($P191,0,BO$13),15-13*ORÇAMENTO!$AF$7)*OFFSET(ORÇAMENTO!$W$15,ROW(BO191)-ROW(BO$15),0),15-13*ORÇAMENTO!$AF$11)),
         0)</f>
        <v>356.81</v>
      </c>
      <c r="BP191" s="352" t="n">
        <f aca="true">IF(AND($D191="Serviço",BP$12&lt;&gt;0,$H191&gt;0,OR(AUTOEVENTO&lt;&gt;"manual",$M191&lt;&gt;$A$15)),
        IF(Import.TipoArredondamento&lt;&gt;"TransfereGOV",
              ROUND(OFFSET($P191,0,BP$13),15-13*ORÇAMENTO!$AF$7)/$H191*OFFSET(ORÇAMENTO!$X$15,ROW(BP191)-ROW(BP$15),0),
              ROUND(ROUND(OFFSET($P191,0,BP$13),15-13*ORÇAMENTO!$AF$7)*OFFSET(ORÇAMENTO!$W$15,ROW(BP191)-ROW(BP$15),0),15-13*ORÇAMENTO!$AF$11)),
         0)</f>
        <v>356.81</v>
      </c>
      <c r="BQ191" s="352" t="n">
        <f aca="true">IF(AND($D191="Serviço",BQ$12&lt;&gt;0,$H191&gt;0,OR(AUTOEVENTO&lt;&gt;"manual",$M191&lt;&gt;$A$15)),
        IF(Import.TipoArredondamento&lt;&gt;"TransfereGOV",
              ROUND(OFFSET($P191,0,BQ$13),15-13*ORÇAMENTO!$AF$7)/$H191*OFFSET(ORÇAMENTO!$X$15,ROW(BQ191)-ROW(BQ$15),0),
              ROUND(ROUND(OFFSET($P191,0,BQ$13),15-13*ORÇAMENTO!$AF$7)*OFFSET(ORÇAMENTO!$W$15,ROW(BQ191)-ROW(BQ$15),0),15-13*ORÇAMENTO!$AF$11)),
         0)</f>
        <v>0</v>
      </c>
      <c r="BS191" s="353" t="n">
        <f aca="true">IF(OR($D191&lt;&gt;"Serviço",AND(AUTOEVENTO="Manual",$M191=$A$15)),0,
         IF(OFFSET(CRONOPLE!$F$15,$M191-$A$15,BS$13)=0,10^12,OFFSET(CRONOPLE!$F$15,$M191-$A$15,BS$13)))</f>
        <v>1</v>
      </c>
      <c r="BT191" s="353" t="n">
        <f aca="true">IF(OR($D191&lt;&gt;"Serviço",AND(AUTOEVENTO="Manual",$M191=$A$15)),0,
         IF(OFFSET(CRONOPLE!$F$15,$M191-$A$15,BT$13)=0,10^12,OFFSET(CRONOPLE!$F$15,$M191-$A$15,BT$13)))</f>
        <v>2</v>
      </c>
      <c r="BU191" s="353" t="n">
        <f aca="true">IF(OR($D191&lt;&gt;"Serviço",AND(AUTOEVENTO="Manual",$M191=$A$15)),0,
         IF(OFFSET(CRONOPLE!$F$15,$M191-$A$15,BU$13)=0,10^12,OFFSET(CRONOPLE!$F$15,$M191-$A$15,BU$13)))</f>
        <v>3</v>
      </c>
      <c r="BV191" s="353" t="n">
        <f aca="true">IF(OR($D191&lt;&gt;"Serviço",AND(AUTOEVENTO="Manual",$M191=$A$15)),0,
         IF(OFFSET(CRONOPLE!$F$15,$M191-$A$15,BV$13)=0,10^12,OFFSET(CRONOPLE!$F$15,$M191-$A$15,BV$13)))</f>
        <v>4</v>
      </c>
      <c r="BW191" s="353" t="n">
        <f aca="true">IF(OR($D191&lt;&gt;"Serviço",AND(AUTOEVENTO="Manual",$M191=$A$15)),0,
         IF(OFFSET(CRONOPLE!$F$15,$M191-$A$15,BW$13)=0,10^12,OFFSET(CRONOPLE!$F$15,$M191-$A$15,BW$13)))</f>
        <v>5</v>
      </c>
      <c r="BX191" s="353" t="n">
        <f aca="true">IF(OR($D191&lt;&gt;"Serviço",AND(AUTOEVENTO="Manual",$M191=$A$15)),0,
         IF(OFFSET(CRONOPLE!$F$15,$M191-$A$15,BX$13)=0,10^12,OFFSET(CRONOPLE!$F$15,$M191-$A$15,BX$13)))</f>
        <v>6</v>
      </c>
      <c r="BY191" s="353" t="n">
        <f aca="true">IF(OR($D191&lt;&gt;"Serviço",AND(AUTOEVENTO="Manual",$M191=$A$15)),0,
         IF(OFFSET(CRONOPLE!$F$15,$M191-$A$15,BY$13)=0,10^12,OFFSET(CRONOPLE!$F$15,$M191-$A$15,BY$13)))</f>
        <v>7</v>
      </c>
      <c r="BZ191" s="353" t="n">
        <f aca="true">IF(OR($D191&lt;&gt;"Serviço",AND(AUTOEVENTO="Manual",$M191=$A$15)),0,
         IF(OFFSET(CRONOPLE!$F$15,$M191-$A$15,BZ$13)=0,10^12,OFFSET(CRONOPLE!$F$15,$M191-$A$15,BZ$13)))</f>
        <v>8</v>
      </c>
      <c r="CA191" s="353" t="n">
        <f aca="true">IF(OR($D191&lt;&gt;"Serviço",AND(AUTOEVENTO="Manual",$M191=$A$15)),0,
         IF(OFFSET(CRONOPLE!$F$15,$M191-$A$15,CA$13)=0,10^12,OFFSET(CRONOPLE!$F$15,$M191-$A$15,CA$13)))</f>
        <v>9</v>
      </c>
      <c r="CB191" s="353" t="n">
        <f aca="true">IF(OR($D191&lt;&gt;"Serviço",AND(AUTOEVENTO="Manual",$M191=$A$15)),0,
         IF(OFFSET(CRONOPLE!$F$15,$M191-$A$15,CB$13)=0,10^12,OFFSET(CRONOPLE!$F$15,$M191-$A$15,CB$13)))</f>
        <v>10</v>
      </c>
      <c r="CC191" s="353" t="n">
        <f aca="true">IF(OR($D191&lt;&gt;"Serviço",AND(AUTOEVENTO="Manual",$M191=$A$15)),0,
         IF(OFFSET(CRONOPLE!$F$15,$M191-$A$15,CC$13)=0,10^12,OFFSET(CRONOPLE!$F$15,$M191-$A$15,CC$13)))</f>
        <v>11</v>
      </c>
      <c r="CD191" s="353" t="n">
        <f aca="true">IF(OR($D191&lt;&gt;"Serviço",AND(AUTOEVENTO="Manual",$M191=$A$15)),0,
         IF(OFFSET(CRONOPLE!$F$15,$M191-$A$15,CD$13)=0,10^12,OFFSET(CRONOPLE!$F$15,$M191-$A$15,CD$13)))</f>
        <v>12</v>
      </c>
      <c r="CE191" s="353" t="n">
        <f aca="true">IF(OR($D191&lt;&gt;"Serviço",AND(AUTOEVENTO="Manual",$M191=$A$15)),0,
         IF(OFFSET(CRONOPLE!$F$15,$M191-$A$15,CE$13)=0,10^12,OFFSET(CRONOPLE!$F$15,$M191-$A$15,CE$13)))</f>
        <v>13</v>
      </c>
      <c r="CF191" s="353" t="n">
        <f aca="true">IF(OR($D191&lt;&gt;"Serviço",AND(AUTOEVENTO="Manual",$M191=$A$15)),0,
         IF(OFFSET(CRONOPLE!$F$15,$M191-$A$15,CF$13)=0,10^12,OFFSET(CRONOPLE!$F$15,$M191-$A$15,CF$13)))</f>
        <v>14</v>
      </c>
      <c r="CG191" s="353" t="n">
        <f aca="true">IF(OR($D191&lt;&gt;"Serviço",AND(AUTOEVENTO="Manual",$M191=$A$15)),0,
         IF(OFFSET(CRONOPLE!$F$15,$M191-$A$15,CG$13)=0,10^12,OFFSET(CRONOPLE!$F$15,$M191-$A$15,CG$13)))</f>
        <v>15</v>
      </c>
      <c r="CH191" s="353" t="n">
        <f aca="true">IF(OR($D191&lt;&gt;"Serviço",AND(AUTOEVENTO="Manual",$M191=$A$15)),0,
         IF(OFFSET(CRONOPLE!$F$15,$M191-$A$15,CH$13)=0,10^12,OFFSET(CRONOPLE!$F$15,$M191-$A$15,CH$13)))</f>
        <v>16</v>
      </c>
      <c r="CI191" s="353" t="n">
        <f aca="true">IF(OR($D191&lt;&gt;"Serviço",AND(AUTOEVENTO="Manual",$M191=$A$15)),0,
         IF(OFFSET(CRONOPLE!$F$15,$M191-$A$15,CI$13)=0,10^12,OFFSET(CRONOPLE!$F$15,$M191-$A$15,CI$13)))</f>
        <v>17</v>
      </c>
      <c r="CJ191" s="353" t="n">
        <f aca="true">IF(OR($D191&lt;&gt;"Serviço",AND(AUTOEVENTO="Manual",$M191=$A$15)),0,
         IF(OFFSET(CRONOPLE!$F$15,$M191-$A$15,CJ$13)=0,10^12,OFFSET(CRONOPLE!$F$15,$M191-$A$15,CJ$13)))</f>
        <v>18</v>
      </c>
      <c r="CK191" s="353" t="n">
        <f aca="true">IF(OR($D191&lt;&gt;"Serviço",AND(AUTOEVENTO="Manual",$M191=$A$15)),0,
         IF(OFFSET(CRONOPLE!$F$15,$M191-$A$15,CK$13)=0,10^12,OFFSET(CRONOPLE!$F$15,$M191-$A$15,CK$13)))</f>
        <v>19</v>
      </c>
      <c r="CL191" s="353" t="n">
        <f aca="true">IF(OR($D191&lt;&gt;"Serviço",AND(AUTOEVENTO="Manual",$M191=$A$15)),0,
         IF(OFFSET(CRONOPLE!$F$15,$M191-$A$15,CL$13)=0,10^12,OFFSET(CRONOPLE!$F$15,$M191-$A$15,CL$13)))</f>
        <v>20</v>
      </c>
      <c r="CM191" s="353" t="n">
        <f aca="true">IF(OR($D191&lt;&gt;"Serviço",AND(AUTOEVENTO="Manual",$M191=$A$15)),0,
         IF(OFFSET(CRONOPLE!$F$15,$M191-$A$15,CM$13)=0,10^12,OFFSET(CRONOPLE!$F$15,$M191-$A$15,CM$13)))</f>
        <v>21</v>
      </c>
      <c r="CN191" s="353" t="n">
        <f aca="true">IF(OR($D191&lt;&gt;"Serviço",AND(AUTOEVENTO="Manual",$M191=$A$15)),0,
         IF(OFFSET(CRONOPLE!$F$15,$M191-$A$15,CN$13)=0,10^12,OFFSET(CRONOPLE!$F$15,$M191-$A$15,CN$13)))</f>
        <v>22</v>
      </c>
      <c r="CO191" s="353" t="n">
        <f aca="true">IF(OR($D191&lt;&gt;"Serviço",AND(AUTOEVENTO="Manual",$M191=$A$15)),0,
         IF(OFFSET(CRONOPLE!$F$15,$M191-$A$15,CO$13)=0,10^12,OFFSET(CRONOPLE!$F$15,$M191-$A$15,CO$13)))</f>
        <v>23</v>
      </c>
      <c r="CP191" s="353" t="n">
        <f aca="true">IF(OR($D191&lt;&gt;"Serviço",AND(AUTOEVENTO="Manual",$M191=$A$15)),0,
         IF(OFFSET(CRONOPLE!$F$15,$M191-$A$15,CP$13)=0,10^12,OFFSET(CRONOPLE!$F$15,$M191-$A$15,CP$13)))</f>
        <v>24</v>
      </c>
      <c r="CQ191" s="353" t="n">
        <f aca="true">IF(OR($D191&lt;&gt;"Serviço",AND(AUTOEVENTO="Manual",$M191=$A$15)),0,
         IF(OFFSET(CRONOPLE!$F$15,$M191-$A$15,CQ$13)=0,10^12,OFFSET(CRONOPLE!$F$15,$M191-$A$15,CQ$13)))</f>
        <v>25</v>
      </c>
      <c r="CR191" s="353" t="n">
        <f aca="true">IF(OR($D191&lt;&gt;"Serviço",AND(AUTOEVENTO="Manual",$M191=$A$15)),0,
         IF(OFFSET(CRONOPLE!$F$15,$M191-$A$15,CR$13)=0,10^12,OFFSET(CRONOPLE!$F$15,$M191-$A$15,CR$13)))</f>
        <v>1000000000000</v>
      </c>
      <c r="CT191" s="354" t="n">
        <f aca="true">IF(OR($D191&lt;&gt;"Serviço",AND(AUTOEVENTO="Manual",$M191=$A$15),$M191&gt;(ROW(PLE.lastrow)-ROW(PLE.firstrow))),0,
           IF(OFFSET(PLE!$G$15,$M191-$A$15,CT$13)="",10^12,OFFSET(PLE!$G$15,$M191-$A$15,CT$13)))</f>
        <v>1000000000000</v>
      </c>
      <c r="CU191" s="354" t="n">
        <f aca="true">IF(OR($D191&lt;&gt;"Serviço",AND(AUTOEVENTO="Manual",$M191=$A$15),$M191&gt;(ROW(PLE.lastrow)-ROW(PLE.firstrow))),0,
           IF(OFFSET(PLE!$G$15,$M191-$A$15,CU$13)="",10^12,OFFSET(PLE!$G$15,$M191-$A$15,CU$13)))</f>
        <v>1000000000000</v>
      </c>
      <c r="CV191" s="354" t="n">
        <f aca="true">IF(OR($D191&lt;&gt;"Serviço",AND(AUTOEVENTO="Manual",$M191=$A$15),$M191&gt;(ROW(PLE.lastrow)-ROW(PLE.firstrow))),0,
           IF(OFFSET(PLE!$G$15,$M191-$A$15,CV$13)="",10^12,OFFSET(PLE!$G$15,$M191-$A$15,CV$13)))</f>
        <v>1000000000000</v>
      </c>
      <c r="CW191" s="354" t="n">
        <f aca="true">IF(OR($D191&lt;&gt;"Serviço",AND(AUTOEVENTO="Manual",$M191=$A$15),$M191&gt;(ROW(PLE.lastrow)-ROW(PLE.firstrow))),0,
           IF(OFFSET(PLE!$G$15,$M191-$A$15,CW$13)="",10^12,OFFSET(PLE!$G$15,$M191-$A$15,CW$13)))</f>
        <v>1000000000000</v>
      </c>
      <c r="CX191" s="354" t="n">
        <f aca="true">IF(OR($D191&lt;&gt;"Serviço",AND(AUTOEVENTO="Manual",$M191=$A$15),$M191&gt;(ROW(PLE.lastrow)-ROW(PLE.firstrow))),0,
           IF(OFFSET(PLE!$G$15,$M191-$A$15,CX$13)="",10^12,OFFSET(PLE!$G$15,$M191-$A$15,CX$13)))</f>
        <v>1000000000000</v>
      </c>
      <c r="CY191" s="354" t="n">
        <f aca="true">IF(OR($D191&lt;&gt;"Serviço",AND(AUTOEVENTO="Manual",$M191=$A$15),$M191&gt;(ROW(PLE.lastrow)-ROW(PLE.firstrow))),0,
           IF(OFFSET(PLE!$G$15,$M191-$A$15,CY$13)="",10^12,OFFSET(PLE!$G$15,$M191-$A$15,CY$13)))</f>
        <v>1000000000000</v>
      </c>
      <c r="CZ191" s="354" t="n">
        <f aca="true">IF(OR($D191&lt;&gt;"Serviço",AND(AUTOEVENTO="Manual",$M191=$A$15),$M191&gt;(ROW(PLE.lastrow)-ROW(PLE.firstrow))),0,
           IF(OFFSET(PLE!$G$15,$M191-$A$15,CZ$13)="",10^12,OFFSET(PLE!$G$15,$M191-$A$15,CZ$13)))</f>
        <v>1000000000000</v>
      </c>
      <c r="DA191" s="354" t="n">
        <f aca="true">IF(OR($D191&lt;&gt;"Serviço",AND(AUTOEVENTO="Manual",$M191=$A$15),$M191&gt;(ROW(PLE.lastrow)-ROW(PLE.firstrow))),0,
           IF(OFFSET(PLE!$G$15,$M191-$A$15,DA$13)="",10^12,OFFSET(PLE!$G$15,$M191-$A$15,DA$13)))</f>
        <v>1000000000000</v>
      </c>
      <c r="DB191" s="354" t="n">
        <f aca="true">IF(OR($D191&lt;&gt;"Serviço",AND(AUTOEVENTO="Manual",$M191=$A$15),$M191&gt;(ROW(PLE.lastrow)-ROW(PLE.firstrow))),0,
           IF(OFFSET(PLE!$G$15,$M191-$A$15,DB$13)="",10^12,OFFSET(PLE!$G$15,$M191-$A$15,DB$13)))</f>
        <v>1000000000000</v>
      </c>
      <c r="DC191" s="354" t="n">
        <f aca="true">IF(OR($D191&lt;&gt;"Serviço",AND(AUTOEVENTO="Manual",$M191=$A$15),$M191&gt;(ROW(PLE.lastrow)-ROW(PLE.firstrow))),0,
           IF(OFFSET(PLE!$G$15,$M191-$A$15,DC$13)="",10^12,OFFSET(PLE!$G$15,$M191-$A$15,DC$13)))</f>
        <v>1000000000000</v>
      </c>
      <c r="DD191" s="354" t="n">
        <f aca="true">IF(OR($D191&lt;&gt;"Serviço",AND(AUTOEVENTO="Manual",$M191=$A$15),$M191&gt;(ROW(PLE.lastrow)-ROW(PLE.firstrow))),0,
           IF(OFFSET(PLE!$G$15,$M191-$A$15,DD$13)="",10^12,OFFSET(PLE!$G$15,$M191-$A$15,DD$13)))</f>
        <v>1000000000000</v>
      </c>
      <c r="DE191" s="354" t="n">
        <f aca="true">IF(OR($D191&lt;&gt;"Serviço",AND(AUTOEVENTO="Manual",$M191=$A$15),$M191&gt;(ROW(PLE.lastrow)-ROW(PLE.firstrow))),0,
           IF(OFFSET(PLE!$G$15,$M191-$A$15,DE$13)="",10^12,OFFSET(PLE!$G$15,$M191-$A$15,DE$13)))</f>
        <v>1000000000000</v>
      </c>
      <c r="DF191" s="354" t="n">
        <f aca="true">IF(OR($D191&lt;&gt;"Serviço",AND(AUTOEVENTO="Manual",$M191=$A$15),$M191&gt;(ROW(PLE.lastrow)-ROW(PLE.firstrow))),0,
           IF(OFFSET(PLE!$G$15,$M191-$A$15,DF$13)="",10^12,OFFSET(PLE!$G$15,$M191-$A$15,DF$13)))</f>
        <v>1000000000000</v>
      </c>
      <c r="DG191" s="354" t="n">
        <f aca="true">IF(OR($D191&lt;&gt;"Serviço",AND(AUTOEVENTO="Manual",$M191=$A$15),$M191&gt;(ROW(PLE.lastrow)-ROW(PLE.firstrow))),0,
           IF(OFFSET(PLE!$G$15,$M191-$A$15,DG$13)="",10^12,OFFSET(PLE!$G$15,$M191-$A$15,DG$13)))</f>
        <v>1000000000000</v>
      </c>
      <c r="DH191" s="354" t="n">
        <f aca="true">IF(OR($D191&lt;&gt;"Serviço",AND(AUTOEVENTO="Manual",$M191=$A$15),$M191&gt;(ROW(PLE.lastrow)-ROW(PLE.firstrow))),0,
           IF(OFFSET(PLE!$G$15,$M191-$A$15,DH$13)="",10^12,OFFSET(PLE!$G$15,$M191-$A$15,DH$13)))</f>
        <v>1000000000000</v>
      </c>
      <c r="DI191" s="354" t="n">
        <f aca="true">IF(OR($D191&lt;&gt;"Serviço",AND(AUTOEVENTO="Manual",$M191=$A$15),$M191&gt;(ROW(PLE.lastrow)-ROW(PLE.firstrow))),0,
           IF(OFFSET(PLE!$G$15,$M191-$A$15,DI$13)="",10^12,OFFSET(PLE!$G$15,$M191-$A$15,DI$13)))</f>
        <v>1000000000000</v>
      </c>
      <c r="DJ191" s="354" t="n">
        <f aca="true">IF(OR($D191&lt;&gt;"Serviço",AND(AUTOEVENTO="Manual",$M191=$A$15),$M191&gt;(ROW(PLE.lastrow)-ROW(PLE.firstrow))),0,
           IF(OFFSET(PLE!$G$15,$M191-$A$15,DJ$13)="",10^12,OFFSET(PLE!$G$15,$M191-$A$15,DJ$13)))</f>
        <v>1000000000000</v>
      </c>
      <c r="DK191" s="354" t="n">
        <f aca="true">IF(OR($D191&lt;&gt;"Serviço",AND(AUTOEVENTO="Manual",$M191=$A$15),$M191&gt;(ROW(PLE.lastrow)-ROW(PLE.firstrow))),0,
           IF(OFFSET(PLE!$G$15,$M191-$A$15,DK$13)="",10^12,OFFSET(PLE!$G$15,$M191-$A$15,DK$13)))</f>
        <v>1000000000000</v>
      </c>
      <c r="DL191" s="354" t="n">
        <f aca="true">IF(OR($D191&lt;&gt;"Serviço",AND(AUTOEVENTO="Manual",$M191=$A$15),$M191&gt;(ROW(PLE.lastrow)-ROW(PLE.firstrow))),0,
           IF(OFFSET(PLE!$G$15,$M191-$A$15,DL$13)="",10^12,OFFSET(PLE!$G$15,$M191-$A$15,DL$13)))</f>
        <v>1000000000000</v>
      </c>
      <c r="DM191" s="354" t="n">
        <f aca="true">IF(OR($D191&lt;&gt;"Serviço",AND(AUTOEVENTO="Manual",$M191=$A$15),$M191&gt;(ROW(PLE.lastrow)-ROW(PLE.firstrow))),0,
           IF(OFFSET(PLE!$G$15,$M191-$A$15,DM$13)="",10^12,OFFSET(PLE!$G$15,$M191-$A$15,DM$13)))</f>
        <v>1000000000000</v>
      </c>
      <c r="DN191" s="354" t="n">
        <f aca="true">IF(OR($D191&lt;&gt;"Serviço",AND(AUTOEVENTO="Manual",$M191=$A$15),$M191&gt;(ROW(PLE.lastrow)-ROW(PLE.firstrow))),0,
           IF(OFFSET(PLE!$G$15,$M191-$A$15,DN$13)="",10^12,OFFSET(PLE!$G$15,$M191-$A$15,DN$13)))</f>
        <v>1000000000000</v>
      </c>
      <c r="DO191" s="354" t="n">
        <f aca="true">IF(OR($D191&lt;&gt;"Serviço",AND(AUTOEVENTO="Manual",$M191=$A$15),$M191&gt;(ROW(PLE.lastrow)-ROW(PLE.firstrow))),0,
           IF(OFFSET(PLE!$G$15,$M191-$A$15,DO$13)="",10^12,OFFSET(PLE!$G$15,$M191-$A$15,DO$13)))</f>
        <v>1000000000000</v>
      </c>
      <c r="DP191" s="354" t="n">
        <f aca="true">IF(OR($D191&lt;&gt;"Serviço",AND(AUTOEVENTO="Manual",$M191=$A$15),$M191&gt;(ROW(PLE.lastrow)-ROW(PLE.firstrow))),0,
           IF(OFFSET(PLE!$G$15,$M191-$A$15,DP$13)="",10^12,OFFSET(PLE!$G$15,$M191-$A$15,DP$13)))</f>
        <v>1000000000000</v>
      </c>
      <c r="DQ191" s="354" t="n">
        <f aca="true">IF(OR($D191&lt;&gt;"Serviço",AND(AUTOEVENTO="Manual",$M191=$A$15),$M191&gt;(ROW(PLE.lastrow)-ROW(PLE.firstrow))),0,
           IF(OFFSET(PLE!$G$15,$M191-$A$15,DQ$13)="",10^12,OFFSET(PLE!$G$15,$M191-$A$15,DQ$13)))</f>
        <v>1000000000000</v>
      </c>
      <c r="DR191" s="354" t="n">
        <f aca="true">IF(OR($D191&lt;&gt;"Serviço",AND(AUTOEVENTO="Manual",$M191=$A$15),$M191&gt;(ROW(PLE.lastrow)-ROW(PLE.firstrow))),0,
           IF(OFFSET(PLE!$G$15,$M191-$A$15,DR$13)="",10^12,OFFSET(PLE!$G$15,$M191-$A$15,DR$13)))</f>
        <v>1000000000000</v>
      </c>
      <c r="DS191" s="354" t="n">
        <f aca="true">IF(OR($D191&lt;&gt;"Serviço",AND(AUTOEVENTO="Manual",$M191=$A$15),$M191&gt;(ROW(PLE.lastrow)-ROW(PLE.firstrow))),0,
           IF(OFFSET(PLE!$G$15,$M191-$A$15,DS$13)="",10^12,OFFSET(PLE!$G$15,$M191-$A$15,DS$13)))</f>
        <v>1000000000000</v>
      </c>
    </row>
    <row r="192" customFormat="false" ht="57.45" hidden="false" customHeight="false" outlineLevel="0" collapsed="false">
      <c r="A192" s="50" t="str">
        <f aca="true">IFERROR(IF(AUTOEVENTO="Manual",IF(K192&lt;&gt;"",MIN(VALUE(LEFT(K192,FIND(".",K192)-1)),COUNTA(EVENTOS.Lista)),0),IF(OR($B192&gt;AUTOEVENTO,$B192="S",$B192=0),SUBSTITUTE(OFFSET($A192,-1,0),IF($D192="Serviço",".",""),""),ROW(A192)-ROW($A$15)&amp;".")),0)</f>
        <v>174</v>
      </c>
      <c r="B192" s="50" t="str">
        <f aca="true">OFFSET(ORÇAMENTO!C$15,ROW(B192)-ROW(B$15),0)</f>
        <v>S</v>
      </c>
      <c r="C192" s="50" t="str">
        <f aca="true">OFFSET(ORÇAMENTO!L$15,ROW(C192)-ROW(C$15),0)</f>
        <v>F</v>
      </c>
      <c r="D192" s="201" t="str">
        <f aca="true">OFFSET(ORÇAMENTO!N$15,ROW(D192)-ROW(D$15),0)</f>
        <v>Serviço</v>
      </c>
      <c r="E192" s="202" t="str">
        <f aca="true">OFFSET(ORÇAMENTO!O$15,ROW(E192)-ROW(E$15),0)</f>
        <v>1.47.3.</v>
      </c>
      <c r="F192" s="341" t="str">
        <f aca="true">OFFSET(ORÇAMENTO!R$15,ROW(F192)-ROW(F$15),0)</f>
        <v>BANCADA DE MÁRMORE SINTÉTICO 120 X 60CM, COM CUBA INTEGRADA, INCLUSO SIFÃO TIPO FLEXÍVEL EM PVC, VÁLVULA EM PLÁSTICO CROMADO TIPO AMERICANA E TORNEIRA CROMADA LONGA, DE PAREDE, PADRÃO POPULAR - FORNECIMENTO E INSTALAÇÃO. AF_01/2020</v>
      </c>
      <c r="G192" s="342" t="str">
        <f aca="true">IF($D192&lt;&gt;"Serviço","",OFFSET(ORÇAMENTO!S$15,ROW(G192)-ROW(G$15),0))</f>
        <v>UN</v>
      </c>
      <c r="H192" s="207" t="n">
        <f aca="true">IF($D192&lt;&gt;"Serviço",0,IF(ACOMPANHAMENTO="BM",ROUND(OFFSET(ORÇAMENTO!AJ$15,ROW(H192)-ROW(H$15),0),15-13*ORÇAMENTO!$AF$7),SUMPRODUCT(($Q$1:$AQ$1=1)*ROUND($Q192:$AQ192,15-13*ORÇAMENTO!$AF$7))))</f>
        <v>25</v>
      </c>
      <c r="I192" s="343" t="s">
        <v>969</v>
      </c>
      <c r="J192" s="344" t="e">
        <f aca="false">IF(OR(B192&lt;&gt;"S",CÁLCULO.FrentesPreenchidas=0),"",IF(AND(ACOMPANHAMENTO="PLE",AUTOEVENTO="Manual",OR(H192&gt;0,ORÇAMENTO!AC192="QUANT."),OR(K192="",M192=0,N192="")),"►",IF(AND(ACOMPANHAMENTO="PLE",ORÇAMENTO!AC192="QUANT."),"►►",IF(AND(COUNTIF($P$11:$AQ$11,"▼")=0,H192&gt;0,I192=""),"◄",""))))</f>
        <v>#NAME?</v>
      </c>
      <c r="K192" s="345"/>
      <c r="L192" s="346" t="s">
        <v>876</v>
      </c>
      <c r="M192" s="347" t="n">
        <f aca="true">IF($D192&lt;&gt;"Serviço","",
          IF(AUTOEVENTO="manual",$A192,
                IF(ISERROR(MATCH($A192,$A$15:OFFSET($A192,-1,0),0)),MAX($M$15:OFFSET(M192,-1,0))+1,
                      INDEX($M$15:OFFSET(M192,-1,0),MATCH($A192,$A$15:OFFSET($A192,-1,0),0)))))</f>
        <v>30</v>
      </c>
      <c r="N192" s="348" t="str">
        <f aca="true">IF($D192&lt;&gt;"Serviço","",
         IF(AUTOEVENTO="Manual",
                IF($A192=0,"&lt;-- defina o número do agrupador",
                       OFFSET(EVENTOS!$D$15,$A192-$A$15,0)),
                OFFSET($F$15,$A192,0)))</f>
        <v>APARELHOS, METAIS E BANCADAS</v>
      </c>
      <c r="O192" s="349"/>
      <c r="Q192" s="349" t="n">
        <v>1</v>
      </c>
      <c r="R192" s="350" t="n">
        <v>1</v>
      </c>
      <c r="S192" s="350" t="n">
        <v>1</v>
      </c>
      <c r="T192" s="350" t="n">
        <v>1</v>
      </c>
      <c r="U192" s="350" t="n">
        <v>1</v>
      </c>
      <c r="V192" s="350" t="n">
        <v>1</v>
      </c>
      <c r="W192" s="350" t="n">
        <v>1</v>
      </c>
      <c r="X192" s="350" t="n">
        <v>1</v>
      </c>
      <c r="Y192" s="350" t="n">
        <v>1</v>
      </c>
      <c r="Z192" s="351" t="n">
        <v>1</v>
      </c>
      <c r="AA192" s="350" t="n">
        <v>1</v>
      </c>
      <c r="AB192" s="350" t="n">
        <v>1</v>
      </c>
      <c r="AC192" s="350" t="n">
        <v>1</v>
      </c>
      <c r="AD192" s="350" t="n">
        <v>1</v>
      </c>
      <c r="AE192" s="350" t="n">
        <v>1</v>
      </c>
      <c r="AF192" s="350" t="n">
        <v>1</v>
      </c>
      <c r="AG192" s="350" t="n">
        <v>1</v>
      </c>
      <c r="AH192" s="351" t="n">
        <v>1</v>
      </c>
      <c r="AI192" s="350" t="n">
        <v>1</v>
      </c>
      <c r="AJ192" s="350" t="n">
        <v>1</v>
      </c>
      <c r="AK192" s="350" t="n">
        <v>1</v>
      </c>
      <c r="AL192" s="350" t="n">
        <v>1</v>
      </c>
      <c r="AM192" s="350" t="n">
        <v>1</v>
      </c>
      <c r="AN192" s="350" t="n">
        <v>1</v>
      </c>
      <c r="AO192" s="350" t="n">
        <v>1</v>
      </c>
      <c r="AP192" s="351"/>
      <c r="AR192" s="352" t="n">
        <f aca="true">IF(AND($D192="Serviço",AR$12&lt;&gt;0,$H192&gt;0,OR(AUTOEVENTO&lt;&gt;"manual",$M192&lt;&gt;$A$15)),
        IF(Import.TipoArredondamento&lt;&gt;"TransfereGOV",
              ROUND(OFFSET($P192,0,AR$13),15-13*ORÇAMENTO!$AF$7)/$H192*OFFSET(ORÇAMENTO!$X$15,ROW(AR192)-ROW(AR$15),0),
              ROUND(ROUND(OFFSET($P192,0,AR$13),15-13*ORÇAMENTO!$AF$7)*OFFSET(ORÇAMENTO!$W$15,ROW(AR192)-ROW(AR$15),0),15-13*ORÇAMENTO!$AF$11)),
         0)</f>
        <v>572.16</v>
      </c>
      <c r="AS192" s="352" t="n">
        <f aca="true">IF(AND($D192="Serviço",AS$12&lt;&gt;0,$H192&gt;0,OR(AUTOEVENTO&lt;&gt;"manual",$M192&lt;&gt;$A$15)),
        IF(Import.TipoArredondamento&lt;&gt;"TransfereGOV",
              ROUND(OFFSET($P192,0,AS$13),15-13*ORÇAMENTO!$AF$7)/$H192*OFFSET(ORÇAMENTO!$X$15,ROW(AS192)-ROW(AS$15),0),
              ROUND(ROUND(OFFSET($P192,0,AS$13),15-13*ORÇAMENTO!$AF$7)*OFFSET(ORÇAMENTO!$W$15,ROW(AS192)-ROW(AS$15),0),15-13*ORÇAMENTO!$AF$11)),
         0)</f>
        <v>572.16</v>
      </c>
      <c r="AT192" s="352" t="n">
        <f aca="true">IF(AND($D192="Serviço",AT$12&lt;&gt;0,$H192&gt;0,OR(AUTOEVENTO&lt;&gt;"manual",$M192&lt;&gt;$A$15)),
        IF(Import.TipoArredondamento&lt;&gt;"TransfereGOV",
              ROUND(OFFSET($P192,0,AT$13),15-13*ORÇAMENTO!$AF$7)/$H192*OFFSET(ORÇAMENTO!$X$15,ROW(AT192)-ROW(AT$15),0),
              ROUND(ROUND(OFFSET($P192,0,AT$13),15-13*ORÇAMENTO!$AF$7)*OFFSET(ORÇAMENTO!$W$15,ROW(AT192)-ROW(AT$15),0),15-13*ORÇAMENTO!$AF$11)),
         0)</f>
        <v>572.16</v>
      </c>
      <c r="AU192" s="352" t="n">
        <f aca="true">IF(AND($D192="Serviço",AU$12&lt;&gt;0,$H192&gt;0,OR(AUTOEVENTO&lt;&gt;"manual",$M192&lt;&gt;$A$15)),
        IF(Import.TipoArredondamento&lt;&gt;"TransfereGOV",
              ROUND(OFFSET($P192,0,AU$13),15-13*ORÇAMENTO!$AF$7)/$H192*OFFSET(ORÇAMENTO!$X$15,ROW(AU192)-ROW(AU$15),0),
              ROUND(ROUND(OFFSET($P192,0,AU$13),15-13*ORÇAMENTO!$AF$7)*OFFSET(ORÇAMENTO!$W$15,ROW(AU192)-ROW(AU$15),0),15-13*ORÇAMENTO!$AF$11)),
         0)</f>
        <v>572.16</v>
      </c>
      <c r="AV192" s="352" t="n">
        <f aca="true">IF(AND($D192="Serviço",AV$12&lt;&gt;0,$H192&gt;0,OR(AUTOEVENTO&lt;&gt;"manual",$M192&lt;&gt;$A$15)),
        IF(Import.TipoArredondamento&lt;&gt;"TransfereGOV",
              ROUND(OFFSET($P192,0,AV$13),15-13*ORÇAMENTO!$AF$7)/$H192*OFFSET(ORÇAMENTO!$X$15,ROW(AV192)-ROW(AV$15),0),
              ROUND(ROUND(OFFSET($P192,0,AV$13),15-13*ORÇAMENTO!$AF$7)*OFFSET(ORÇAMENTO!$W$15,ROW(AV192)-ROW(AV$15),0),15-13*ORÇAMENTO!$AF$11)),
         0)</f>
        <v>572.16</v>
      </c>
      <c r="AW192" s="352" t="n">
        <f aca="true">IF(AND($D192="Serviço",AW$12&lt;&gt;0,$H192&gt;0,OR(AUTOEVENTO&lt;&gt;"manual",$M192&lt;&gt;$A$15)),
        IF(Import.TipoArredondamento&lt;&gt;"TransfereGOV",
              ROUND(OFFSET($P192,0,AW$13),15-13*ORÇAMENTO!$AF$7)/$H192*OFFSET(ORÇAMENTO!$X$15,ROW(AW192)-ROW(AW$15),0),
              ROUND(ROUND(OFFSET($P192,0,AW$13),15-13*ORÇAMENTO!$AF$7)*OFFSET(ORÇAMENTO!$W$15,ROW(AW192)-ROW(AW$15),0),15-13*ORÇAMENTO!$AF$11)),
         0)</f>
        <v>572.16</v>
      </c>
      <c r="AX192" s="352" t="n">
        <f aca="true">IF(AND($D192="Serviço",AX$12&lt;&gt;0,$H192&gt;0,OR(AUTOEVENTO&lt;&gt;"manual",$M192&lt;&gt;$A$15)),
        IF(Import.TipoArredondamento&lt;&gt;"TransfereGOV",
              ROUND(OFFSET($P192,0,AX$13),15-13*ORÇAMENTO!$AF$7)/$H192*OFFSET(ORÇAMENTO!$X$15,ROW(AX192)-ROW(AX$15),0),
              ROUND(ROUND(OFFSET($P192,0,AX$13),15-13*ORÇAMENTO!$AF$7)*OFFSET(ORÇAMENTO!$W$15,ROW(AX192)-ROW(AX$15),0),15-13*ORÇAMENTO!$AF$11)),
         0)</f>
        <v>572.16</v>
      </c>
      <c r="AY192" s="352" t="n">
        <f aca="true">IF(AND($D192="Serviço",AY$12&lt;&gt;0,$H192&gt;0,OR(AUTOEVENTO&lt;&gt;"manual",$M192&lt;&gt;$A$15)),
        IF(Import.TipoArredondamento&lt;&gt;"TransfereGOV",
              ROUND(OFFSET($P192,0,AY$13),15-13*ORÇAMENTO!$AF$7)/$H192*OFFSET(ORÇAMENTO!$X$15,ROW(AY192)-ROW(AY$15),0),
              ROUND(ROUND(OFFSET($P192,0,AY$13),15-13*ORÇAMENTO!$AF$7)*OFFSET(ORÇAMENTO!$W$15,ROW(AY192)-ROW(AY$15),0),15-13*ORÇAMENTO!$AF$11)),
         0)</f>
        <v>572.16</v>
      </c>
      <c r="AZ192" s="352" t="n">
        <f aca="true">IF(AND($D192="Serviço",AZ$12&lt;&gt;0,$H192&gt;0,OR(AUTOEVENTO&lt;&gt;"manual",$M192&lt;&gt;$A$15)),
        IF(Import.TipoArredondamento&lt;&gt;"TransfereGOV",
              ROUND(OFFSET($P192,0,AZ$13),15-13*ORÇAMENTO!$AF$7)/$H192*OFFSET(ORÇAMENTO!$X$15,ROW(AZ192)-ROW(AZ$15),0),
              ROUND(ROUND(OFFSET($P192,0,AZ$13),15-13*ORÇAMENTO!$AF$7)*OFFSET(ORÇAMENTO!$W$15,ROW(AZ192)-ROW(AZ$15),0),15-13*ORÇAMENTO!$AF$11)),
         0)</f>
        <v>572.16</v>
      </c>
      <c r="BA192" s="352" t="n">
        <f aca="true">IF(AND($D192="Serviço",BA$12&lt;&gt;0,$H192&gt;0,OR(AUTOEVENTO&lt;&gt;"manual",$M192&lt;&gt;$A$15)),
        IF(Import.TipoArredondamento&lt;&gt;"TransfereGOV",
              ROUND(OFFSET($P192,0,BA$13),15-13*ORÇAMENTO!$AF$7)/$H192*OFFSET(ORÇAMENTO!$X$15,ROW(BA192)-ROW(BA$15),0),
              ROUND(ROUND(OFFSET($P192,0,BA$13),15-13*ORÇAMENTO!$AF$7)*OFFSET(ORÇAMENTO!$W$15,ROW(BA192)-ROW(BA$15),0),15-13*ORÇAMENTO!$AF$11)),
         0)</f>
        <v>572.16</v>
      </c>
      <c r="BB192" s="352" t="n">
        <f aca="true">IF(AND($D192="Serviço",BB$12&lt;&gt;0,$H192&gt;0,OR(AUTOEVENTO&lt;&gt;"manual",$M192&lt;&gt;$A$15)),
        IF(Import.TipoArredondamento&lt;&gt;"TransfereGOV",
              ROUND(OFFSET($P192,0,BB$13),15-13*ORÇAMENTO!$AF$7)/$H192*OFFSET(ORÇAMENTO!$X$15,ROW(BB192)-ROW(BB$15),0),
              ROUND(ROUND(OFFSET($P192,0,BB$13),15-13*ORÇAMENTO!$AF$7)*OFFSET(ORÇAMENTO!$W$15,ROW(BB192)-ROW(BB$15),0),15-13*ORÇAMENTO!$AF$11)),
         0)</f>
        <v>572.16</v>
      </c>
      <c r="BC192" s="352" t="n">
        <f aca="true">IF(AND($D192="Serviço",BC$12&lt;&gt;0,$H192&gt;0,OR(AUTOEVENTO&lt;&gt;"manual",$M192&lt;&gt;$A$15)),
        IF(Import.TipoArredondamento&lt;&gt;"TransfereGOV",
              ROUND(OFFSET($P192,0,BC$13),15-13*ORÇAMENTO!$AF$7)/$H192*OFFSET(ORÇAMENTO!$X$15,ROW(BC192)-ROW(BC$15),0),
              ROUND(ROUND(OFFSET($P192,0,BC$13),15-13*ORÇAMENTO!$AF$7)*OFFSET(ORÇAMENTO!$W$15,ROW(BC192)-ROW(BC$15),0),15-13*ORÇAMENTO!$AF$11)),
         0)</f>
        <v>572.16</v>
      </c>
      <c r="BD192" s="352" t="n">
        <f aca="true">IF(AND($D192="Serviço",BD$12&lt;&gt;0,$H192&gt;0,OR(AUTOEVENTO&lt;&gt;"manual",$M192&lt;&gt;$A$15)),
        IF(Import.TipoArredondamento&lt;&gt;"TransfereGOV",
              ROUND(OFFSET($P192,0,BD$13),15-13*ORÇAMENTO!$AF$7)/$H192*OFFSET(ORÇAMENTO!$X$15,ROW(BD192)-ROW(BD$15),0),
              ROUND(ROUND(OFFSET($P192,0,BD$13),15-13*ORÇAMENTO!$AF$7)*OFFSET(ORÇAMENTO!$W$15,ROW(BD192)-ROW(BD$15),0),15-13*ORÇAMENTO!$AF$11)),
         0)</f>
        <v>572.16</v>
      </c>
      <c r="BE192" s="352" t="n">
        <f aca="true">IF(AND($D192="Serviço",BE$12&lt;&gt;0,$H192&gt;0,OR(AUTOEVENTO&lt;&gt;"manual",$M192&lt;&gt;$A$15)),
        IF(Import.TipoArredondamento&lt;&gt;"TransfereGOV",
              ROUND(OFFSET($P192,0,BE$13),15-13*ORÇAMENTO!$AF$7)/$H192*OFFSET(ORÇAMENTO!$X$15,ROW(BE192)-ROW(BE$15),0),
              ROUND(ROUND(OFFSET($P192,0,BE$13),15-13*ORÇAMENTO!$AF$7)*OFFSET(ORÇAMENTO!$W$15,ROW(BE192)-ROW(BE$15),0),15-13*ORÇAMENTO!$AF$11)),
         0)</f>
        <v>572.16</v>
      </c>
      <c r="BF192" s="352" t="n">
        <f aca="true">IF(AND($D192="Serviço",BF$12&lt;&gt;0,$H192&gt;0,OR(AUTOEVENTO&lt;&gt;"manual",$M192&lt;&gt;$A$15)),
        IF(Import.TipoArredondamento&lt;&gt;"TransfereGOV",
              ROUND(OFFSET($P192,0,BF$13),15-13*ORÇAMENTO!$AF$7)/$H192*OFFSET(ORÇAMENTO!$X$15,ROW(BF192)-ROW(BF$15),0),
              ROUND(ROUND(OFFSET($P192,0,BF$13),15-13*ORÇAMENTO!$AF$7)*OFFSET(ORÇAMENTO!$W$15,ROW(BF192)-ROW(BF$15),0),15-13*ORÇAMENTO!$AF$11)),
         0)</f>
        <v>572.16</v>
      </c>
      <c r="BG192" s="352" t="n">
        <f aca="true">IF(AND($D192="Serviço",BG$12&lt;&gt;0,$H192&gt;0,OR(AUTOEVENTO&lt;&gt;"manual",$M192&lt;&gt;$A$15)),
        IF(Import.TipoArredondamento&lt;&gt;"TransfereGOV",
              ROUND(OFFSET($P192,0,BG$13),15-13*ORÇAMENTO!$AF$7)/$H192*OFFSET(ORÇAMENTO!$X$15,ROW(BG192)-ROW(BG$15),0),
              ROUND(ROUND(OFFSET($P192,0,BG$13),15-13*ORÇAMENTO!$AF$7)*OFFSET(ORÇAMENTO!$W$15,ROW(BG192)-ROW(BG$15),0),15-13*ORÇAMENTO!$AF$11)),
         0)</f>
        <v>572.16</v>
      </c>
      <c r="BH192" s="352" t="n">
        <f aca="true">IF(AND($D192="Serviço",BH$12&lt;&gt;0,$H192&gt;0,OR(AUTOEVENTO&lt;&gt;"manual",$M192&lt;&gt;$A$15)),
        IF(Import.TipoArredondamento&lt;&gt;"TransfereGOV",
              ROUND(OFFSET($P192,0,BH$13),15-13*ORÇAMENTO!$AF$7)/$H192*OFFSET(ORÇAMENTO!$X$15,ROW(BH192)-ROW(BH$15),0),
              ROUND(ROUND(OFFSET($P192,0,BH$13),15-13*ORÇAMENTO!$AF$7)*OFFSET(ORÇAMENTO!$W$15,ROW(BH192)-ROW(BH$15),0),15-13*ORÇAMENTO!$AF$11)),
         0)</f>
        <v>572.16</v>
      </c>
      <c r="BI192" s="352" t="n">
        <f aca="true">IF(AND($D192="Serviço",BI$12&lt;&gt;0,$H192&gt;0,OR(AUTOEVENTO&lt;&gt;"manual",$M192&lt;&gt;$A$15)),
        IF(Import.TipoArredondamento&lt;&gt;"TransfereGOV",
              ROUND(OFFSET($P192,0,BI$13),15-13*ORÇAMENTO!$AF$7)/$H192*OFFSET(ORÇAMENTO!$X$15,ROW(BI192)-ROW(BI$15),0),
              ROUND(ROUND(OFFSET($P192,0,BI$13),15-13*ORÇAMENTO!$AF$7)*OFFSET(ORÇAMENTO!$W$15,ROW(BI192)-ROW(BI$15),0),15-13*ORÇAMENTO!$AF$11)),
         0)</f>
        <v>572.16</v>
      </c>
      <c r="BJ192" s="352" t="n">
        <f aca="true">IF(AND($D192="Serviço",BJ$12&lt;&gt;0,$H192&gt;0,OR(AUTOEVENTO&lt;&gt;"manual",$M192&lt;&gt;$A$15)),
        IF(Import.TipoArredondamento&lt;&gt;"TransfereGOV",
              ROUND(OFFSET($P192,0,BJ$13),15-13*ORÇAMENTO!$AF$7)/$H192*OFFSET(ORÇAMENTO!$X$15,ROW(BJ192)-ROW(BJ$15),0),
              ROUND(ROUND(OFFSET($P192,0,BJ$13),15-13*ORÇAMENTO!$AF$7)*OFFSET(ORÇAMENTO!$W$15,ROW(BJ192)-ROW(BJ$15),0),15-13*ORÇAMENTO!$AF$11)),
         0)</f>
        <v>572.16</v>
      </c>
      <c r="BK192" s="352" t="n">
        <f aca="true">IF(AND($D192="Serviço",BK$12&lt;&gt;0,$H192&gt;0,OR(AUTOEVENTO&lt;&gt;"manual",$M192&lt;&gt;$A$15)),
        IF(Import.TipoArredondamento&lt;&gt;"TransfereGOV",
              ROUND(OFFSET($P192,0,BK$13),15-13*ORÇAMENTO!$AF$7)/$H192*OFFSET(ORÇAMENTO!$X$15,ROW(BK192)-ROW(BK$15),0),
              ROUND(ROUND(OFFSET($P192,0,BK$13),15-13*ORÇAMENTO!$AF$7)*OFFSET(ORÇAMENTO!$W$15,ROW(BK192)-ROW(BK$15),0),15-13*ORÇAMENTO!$AF$11)),
         0)</f>
        <v>572.16</v>
      </c>
      <c r="BL192" s="352" t="n">
        <f aca="true">IF(AND($D192="Serviço",BL$12&lt;&gt;0,$H192&gt;0,OR(AUTOEVENTO&lt;&gt;"manual",$M192&lt;&gt;$A$15)),
        IF(Import.TipoArredondamento&lt;&gt;"TransfereGOV",
              ROUND(OFFSET($P192,0,BL$13),15-13*ORÇAMENTO!$AF$7)/$H192*OFFSET(ORÇAMENTO!$X$15,ROW(BL192)-ROW(BL$15),0),
              ROUND(ROUND(OFFSET($P192,0,BL$13),15-13*ORÇAMENTO!$AF$7)*OFFSET(ORÇAMENTO!$W$15,ROW(BL192)-ROW(BL$15),0),15-13*ORÇAMENTO!$AF$11)),
         0)</f>
        <v>572.16</v>
      </c>
      <c r="BM192" s="352" t="n">
        <f aca="true">IF(AND($D192="Serviço",BM$12&lt;&gt;0,$H192&gt;0,OR(AUTOEVENTO&lt;&gt;"manual",$M192&lt;&gt;$A$15)),
        IF(Import.TipoArredondamento&lt;&gt;"TransfereGOV",
              ROUND(OFFSET($P192,0,BM$13),15-13*ORÇAMENTO!$AF$7)/$H192*OFFSET(ORÇAMENTO!$X$15,ROW(BM192)-ROW(BM$15),0),
              ROUND(ROUND(OFFSET($P192,0,BM$13),15-13*ORÇAMENTO!$AF$7)*OFFSET(ORÇAMENTO!$W$15,ROW(BM192)-ROW(BM$15),0),15-13*ORÇAMENTO!$AF$11)),
         0)</f>
        <v>572.16</v>
      </c>
      <c r="BN192" s="352" t="n">
        <f aca="true">IF(AND($D192="Serviço",BN$12&lt;&gt;0,$H192&gt;0,OR(AUTOEVENTO&lt;&gt;"manual",$M192&lt;&gt;$A$15)),
        IF(Import.TipoArredondamento&lt;&gt;"TransfereGOV",
              ROUND(OFFSET($P192,0,BN$13),15-13*ORÇAMENTO!$AF$7)/$H192*OFFSET(ORÇAMENTO!$X$15,ROW(BN192)-ROW(BN$15),0),
              ROUND(ROUND(OFFSET($P192,0,BN$13),15-13*ORÇAMENTO!$AF$7)*OFFSET(ORÇAMENTO!$W$15,ROW(BN192)-ROW(BN$15),0),15-13*ORÇAMENTO!$AF$11)),
         0)</f>
        <v>572.16</v>
      </c>
      <c r="BO192" s="352" t="n">
        <f aca="true">IF(AND($D192="Serviço",BO$12&lt;&gt;0,$H192&gt;0,OR(AUTOEVENTO&lt;&gt;"manual",$M192&lt;&gt;$A$15)),
        IF(Import.TipoArredondamento&lt;&gt;"TransfereGOV",
              ROUND(OFFSET($P192,0,BO$13),15-13*ORÇAMENTO!$AF$7)/$H192*OFFSET(ORÇAMENTO!$X$15,ROW(BO192)-ROW(BO$15),0),
              ROUND(ROUND(OFFSET($P192,0,BO$13),15-13*ORÇAMENTO!$AF$7)*OFFSET(ORÇAMENTO!$W$15,ROW(BO192)-ROW(BO$15),0),15-13*ORÇAMENTO!$AF$11)),
         0)</f>
        <v>572.16</v>
      </c>
      <c r="BP192" s="352" t="n">
        <f aca="true">IF(AND($D192="Serviço",BP$12&lt;&gt;0,$H192&gt;0,OR(AUTOEVENTO&lt;&gt;"manual",$M192&lt;&gt;$A$15)),
        IF(Import.TipoArredondamento&lt;&gt;"TransfereGOV",
              ROUND(OFFSET($P192,0,BP$13),15-13*ORÇAMENTO!$AF$7)/$H192*OFFSET(ORÇAMENTO!$X$15,ROW(BP192)-ROW(BP$15),0),
              ROUND(ROUND(OFFSET($P192,0,BP$13),15-13*ORÇAMENTO!$AF$7)*OFFSET(ORÇAMENTO!$W$15,ROW(BP192)-ROW(BP$15),0),15-13*ORÇAMENTO!$AF$11)),
         0)</f>
        <v>572.16</v>
      </c>
      <c r="BQ192" s="352" t="n">
        <f aca="true">IF(AND($D192="Serviço",BQ$12&lt;&gt;0,$H192&gt;0,OR(AUTOEVENTO&lt;&gt;"manual",$M192&lt;&gt;$A$15)),
        IF(Import.TipoArredondamento&lt;&gt;"TransfereGOV",
              ROUND(OFFSET($P192,0,BQ$13),15-13*ORÇAMENTO!$AF$7)/$H192*OFFSET(ORÇAMENTO!$X$15,ROW(BQ192)-ROW(BQ$15),0),
              ROUND(ROUND(OFFSET($P192,0,BQ$13),15-13*ORÇAMENTO!$AF$7)*OFFSET(ORÇAMENTO!$W$15,ROW(BQ192)-ROW(BQ$15),0),15-13*ORÇAMENTO!$AF$11)),
         0)</f>
        <v>0</v>
      </c>
      <c r="BS192" s="353" t="n">
        <f aca="true">IF(OR($D192&lt;&gt;"Serviço",AND(AUTOEVENTO="Manual",$M192=$A$15)),0,
         IF(OFFSET(CRONOPLE!$F$15,$M192-$A$15,BS$13)=0,10^12,OFFSET(CRONOPLE!$F$15,$M192-$A$15,BS$13)))</f>
        <v>1</v>
      </c>
      <c r="BT192" s="353" t="n">
        <f aca="true">IF(OR($D192&lt;&gt;"Serviço",AND(AUTOEVENTO="Manual",$M192=$A$15)),0,
         IF(OFFSET(CRONOPLE!$F$15,$M192-$A$15,BT$13)=0,10^12,OFFSET(CRONOPLE!$F$15,$M192-$A$15,BT$13)))</f>
        <v>2</v>
      </c>
      <c r="BU192" s="353" t="n">
        <f aca="true">IF(OR($D192&lt;&gt;"Serviço",AND(AUTOEVENTO="Manual",$M192=$A$15)),0,
         IF(OFFSET(CRONOPLE!$F$15,$M192-$A$15,BU$13)=0,10^12,OFFSET(CRONOPLE!$F$15,$M192-$A$15,BU$13)))</f>
        <v>3</v>
      </c>
      <c r="BV192" s="353" t="n">
        <f aca="true">IF(OR($D192&lt;&gt;"Serviço",AND(AUTOEVENTO="Manual",$M192=$A$15)),0,
         IF(OFFSET(CRONOPLE!$F$15,$M192-$A$15,BV$13)=0,10^12,OFFSET(CRONOPLE!$F$15,$M192-$A$15,BV$13)))</f>
        <v>4</v>
      </c>
      <c r="BW192" s="353" t="n">
        <f aca="true">IF(OR($D192&lt;&gt;"Serviço",AND(AUTOEVENTO="Manual",$M192=$A$15)),0,
         IF(OFFSET(CRONOPLE!$F$15,$M192-$A$15,BW$13)=0,10^12,OFFSET(CRONOPLE!$F$15,$M192-$A$15,BW$13)))</f>
        <v>5</v>
      </c>
      <c r="BX192" s="353" t="n">
        <f aca="true">IF(OR($D192&lt;&gt;"Serviço",AND(AUTOEVENTO="Manual",$M192=$A$15)),0,
         IF(OFFSET(CRONOPLE!$F$15,$M192-$A$15,BX$13)=0,10^12,OFFSET(CRONOPLE!$F$15,$M192-$A$15,BX$13)))</f>
        <v>6</v>
      </c>
      <c r="BY192" s="353" t="n">
        <f aca="true">IF(OR($D192&lt;&gt;"Serviço",AND(AUTOEVENTO="Manual",$M192=$A$15)),0,
         IF(OFFSET(CRONOPLE!$F$15,$M192-$A$15,BY$13)=0,10^12,OFFSET(CRONOPLE!$F$15,$M192-$A$15,BY$13)))</f>
        <v>7</v>
      </c>
      <c r="BZ192" s="353" t="n">
        <f aca="true">IF(OR($D192&lt;&gt;"Serviço",AND(AUTOEVENTO="Manual",$M192=$A$15)),0,
         IF(OFFSET(CRONOPLE!$F$15,$M192-$A$15,BZ$13)=0,10^12,OFFSET(CRONOPLE!$F$15,$M192-$A$15,BZ$13)))</f>
        <v>8</v>
      </c>
      <c r="CA192" s="353" t="n">
        <f aca="true">IF(OR($D192&lt;&gt;"Serviço",AND(AUTOEVENTO="Manual",$M192=$A$15)),0,
         IF(OFFSET(CRONOPLE!$F$15,$M192-$A$15,CA$13)=0,10^12,OFFSET(CRONOPLE!$F$15,$M192-$A$15,CA$13)))</f>
        <v>9</v>
      </c>
      <c r="CB192" s="353" t="n">
        <f aca="true">IF(OR($D192&lt;&gt;"Serviço",AND(AUTOEVENTO="Manual",$M192=$A$15)),0,
         IF(OFFSET(CRONOPLE!$F$15,$M192-$A$15,CB$13)=0,10^12,OFFSET(CRONOPLE!$F$15,$M192-$A$15,CB$13)))</f>
        <v>10</v>
      </c>
      <c r="CC192" s="353" t="n">
        <f aca="true">IF(OR($D192&lt;&gt;"Serviço",AND(AUTOEVENTO="Manual",$M192=$A$15)),0,
         IF(OFFSET(CRONOPLE!$F$15,$M192-$A$15,CC$13)=0,10^12,OFFSET(CRONOPLE!$F$15,$M192-$A$15,CC$13)))</f>
        <v>11</v>
      </c>
      <c r="CD192" s="353" t="n">
        <f aca="true">IF(OR($D192&lt;&gt;"Serviço",AND(AUTOEVENTO="Manual",$M192=$A$15)),0,
         IF(OFFSET(CRONOPLE!$F$15,$M192-$A$15,CD$13)=0,10^12,OFFSET(CRONOPLE!$F$15,$M192-$A$15,CD$13)))</f>
        <v>12</v>
      </c>
      <c r="CE192" s="353" t="n">
        <f aca="true">IF(OR($D192&lt;&gt;"Serviço",AND(AUTOEVENTO="Manual",$M192=$A$15)),0,
         IF(OFFSET(CRONOPLE!$F$15,$M192-$A$15,CE$13)=0,10^12,OFFSET(CRONOPLE!$F$15,$M192-$A$15,CE$13)))</f>
        <v>13</v>
      </c>
      <c r="CF192" s="353" t="n">
        <f aca="true">IF(OR($D192&lt;&gt;"Serviço",AND(AUTOEVENTO="Manual",$M192=$A$15)),0,
         IF(OFFSET(CRONOPLE!$F$15,$M192-$A$15,CF$13)=0,10^12,OFFSET(CRONOPLE!$F$15,$M192-$A$15,CF$13)))</f>
        <v>14</v>
      </c>
      <c r="CG192" s="353" t="n">
        <f aca="true">IF(OR($D192&lt;&gt;"Serviço",AND(AUTOEVENTO="Manual",$M192=$A$15)),0,
         IF(OFFSET(CRONOPLE!$F$15,$M192-$A$15,CG$13)=0,10^12,OFFSET(CRONOPLE!$F$15,$M192-$A$15,CG$13)))</f>
        <v>15</v>
      </c>
      <c r="CH192" s="353" t="n">
        <f aca="true">IF(OR($D192&lt;&gt;"Serviço",AND(AUTOEVENTO="Manual",$M192=$A$15)),0,
         IF(OFFSET(CRONOPLE!$F$15,$M192-$A$15,CH$13)=0,10^12,OFFSET(CRONOPLE!$F$15,$M192-$A$15,CH$13)))</f>
        <v>16</v>
      </c>
      <c r="CI192" s="353" t="n">
        <f aca="true">IF(OR($D192&lt;&gt;"Serviço",AND(AUTOEVENTO="Manual",$M192=$A$15)),0,
         IF(OFFSET(CRONOPLE!$F$15,$M192-$A$15,CI$13)=0,10^12,OFFSET(CRONOPLE!$F$15,$M192-$A$15,CI$13)))</f>
        <v>17</v>
      </c>
      <c r="CJ192" s="353" t="n">
        <f aca="true">IF(OR($D192&lt;&gt;"Serviço",AND(AUTOEVENTO="Manual",$M192=$A$15)),0,
         IF(OFFSET(CRONOPLE!$F$15,$M192-$A$15,CJ$13)=0,10^12,OFFSET(CRONOPLE!$F$15,$M192-$A$15,CJ$13)))</f>
        <v>18</v>
      </c>
      <c r="CK192" s="353" t="n">
        <f aca="true">IF(OR($D192&lt;&gt;"Serviço",AND(AUTOEVENTO="Manual",$M192=$A$15)),0,
         IF(OFFSET(CRONOPLE!$F$15,$M192-$A$15,CK$13)=0,10^12,OFFSET(CRONOPLE!$F$15,$M192-$A$15,CK$13)))</f>
        <v>19</v>
      </c>
      <c r="CL192" s="353" t="n">
        <f aca="true">IF(OR($D192&lt;&gt;"Serviço",AND(AUTOEVENTO="Manual",$M192=$A$15)),0,
         IF(OFFSET(CRONOPLE!$F$15,$M192-$A$15,CL$13)=0,10^12,OFFSET(CRONOPLE!$F$15,$M192-$A$15,CL$13)))</f>
        <v>20</v>
      </c>
      <c r="CM192" s="353" t="n">
        <f aca="true">IF(OR($D192&lt;&gt;"Serviço",AND(AUTOEVENTO="Manual",$M192=$A$15)),0,
         IF(OFFSET(CRONOPLE!$F$15,$M192-$A$15,CM$13)=0,10^12,OFFSET(CRONOPLE!$F$15,$M192-$A$15,CM$13)))</f>
        <v>21</v>
      </c>
      <c r="CN192" s="353" t="n">
        <f aca="true">IF(OR($D192&lt;&gt;"Serviço",AND(AUTOEVENTO="Manual",$M192=$A$15)),0,
         IF(OFFSET(CRONOPLE!$F$15,$M192-$A$15,CN$13)=0,10^12,OFFSET(CRONOPLE!$F$15,$M192-$A$15,CN$13)))</f>
        <v>22</v>
      </c>
      <c r="CO192" s="353" t="n">
        <f aca="true">IF(OR($D192&lt;&gt;"Serviço",AND(AUTOEVENTO="Manual",$M192=$A$15)),0,
         IF(OFFSET(CRONOPLE!$F$15,$M192-$A$15,CO$13)=0,10^12,OFFSET(CRONOPLE!$F$15,$M192-$A$15,CO$13)))</f>
        <v>23</v>
      </c>
      <c r="CP192" s="353" t="n">
        <f aca="true">IF(OR($D192&lt;&gt;"Serviço",AND(AUTOEVENTO="Manual",$M192=$A$15)),0,
         IF(OFFSET(CRONOPLE!$F$15,$M192-$A$15,CP$13)=0,10^12,OFFSET(CRONOPLE!$F$15,$M192-$A$15,CP$13)))</f>
        <v>24</v>
      </c>
      <c r="CQ192" s="353" t="n">
        <f aca="true">IF(OR($D192&lt;&gt;"Serviço",AND(AUTOEVENTO="Manual",$M192=$A$15)),0,
         IF(OFFSET(CRONOPLE!$F$15,$M192-$A$15,CQ$13)=0,10^12,OFFSET(CRONOPLE!$F$15,$M192-$A$15,CQ$13)))</f>
        <v>25</v>
      </c>
      <c r="CR192" s="353" t="n">
        <f aca="true">IF(OR($D192&lt;&gt;"Serviço",AND(AUTOEVENTO="Manual",$M192=$A$15)),0,
         IF(OFFSET(CRONOPLE!$F$15,$M192-$A$15,CR$13)=0,10^12,OFFSET(CRONOPLE!$F$15,$M192-$A$15,CR$13)))</f>
        <v>1000000000000</v>
      </c>
      <c r="CT192" s="354" t="n">
        <f aca="true">IF(OR($D192&lt;&gt;"Serviço",AND(AUTOEVENTO="Manual",$M192=$A$15),$M192&gt;(ROW(PLE.lastrow)-ROW(PLE.firstrow))),0,
           IF(OFFSET(PLE!$G$15,$M192-$A$15,CT$13)="",10^12,OFFSET(PLE!$G$15,$M192-$A$15,CT$13)))</f>
        <v>1000000000000</v>
      </c>
      <c r="CU192" s="354" t="n">
        <f aca="true">IF(OR($D192&lt;&gt;"Serviço",AND(AUTOEVENTO="Manual",$M192=$A$15),$M192&gt;(ROW(PLE.lastrow)-ROW(PLE.firstrow))),0,
           IF(OFFSET(PLE!$G$15,$M192-$A$15,CU$13)="",10^12,OFFSET(PLE!$G$15,$M192-$A$15,CU$13)))</f>
        <v>1000000000000</v>
      </c>
      <c r="CV192" s="354" t="n">
        <f aca="true">IF(OR($D192&lt;&gt;"Serviço",AND(AUTOEVENTO="Manual",$M192=$A$15),$M192&gt;(ROW(PLE.lastrow)-ROW(PLE.firstrow))),0,
           IF(OFFSET(PLE!$G$15,$M192-$A$15,CV$13)="",10^12,OFFSET(PLE!$G$15,$M192-$A$15,CV$13)))</f>
        <v>1000000000000</v>
      </c>
      <c r="CW192" s="354" t="n">
        <f aca="true">IF(OR($D192&lt;&gt;"Serviço",AND(AUTOEVENTO="Manual",$M192=$A$15),$M192&gt;(ROW(PLE.lastrow)-ROW(PLE.firstrow))),0,
           IF(OFFSET(PLE!$G$15,$M192-$A$15,CW$13)="",10^12,OFFSET(PLE!$G$15,$M192-$A$15,CW$13)))</f>
        <v>1000000000000</v>
      </c>
      <c r="CX192" s="354" t="n">
        <f aca="true">IF(OR($D192&lt;&gt;"Serviço",AND(AUTOEVENTO="Manual",$M192=$A$15),$M192&gt;(ROW(PLE.lastrow)-ROW(PLE.firstrow))),0,
           IF(OFFSET(PLE!$G$15,$M192-$A$15,CX$13)="",10^12,OFFSET(PLE!$G$15,$M192-$A$15,CX$13)))</f>
        <v>1000000000000</v>
      </c>
      <c r="CY192" s="354" t="n">
        <f aca="true">IF(OR($D192&lt;&gt;"Serviço",AND(AUTOEVENTO="Manual",$M192=$A$15),$M192&gt;(ROW(PLE.lastrow)-ROW(PLE.firstrow))),0,
           IF(OFFSET(PLE!$G$15,$M192-$A$15,CY$13)="",10^12,OFFSET(PLE!$G$15,$M192-$A$15,CY$13)))</f>
        <v>1000000000000</v>
      </c>
      <c r="CZ192" s="354" t="n">
        <f aca="true">IF(OR($D192&lt;&gt;"Serviço",AND(AUTOEVENTO="Manual",$M192=$A$15),$M192&gt;(ROW(PLE.lastrow)-ROW(PLE.firstrow))),0,
           IF(OFFSET(PLE!$G$15,$M192-$A$15,CZ$13)="",10^12,OFFSET(PLE!$G$15,$M192-$A$15,CZ$13)))</f>
        <v>1000000000000</v>
      </c>
      <c r="DA192" s="354" t="n">
        <f aca="true">IF(OR($D192&lt;&gt;"Serviço",AND(AUTOEVENTO="Manual",$M192=$A$15),$M192&gt;(ROW(PLE.lastrow)-ROW(PLE.firstrow))),0,
           IF(OFFSET(PLE!$G$15,$M192-$A$15,DA$13)="",10^12,OFFSET(PLE!$G$15,$M192-$A$15,DA$13)))</f>
        <v>1000000000000</v>
      </c>
      <c r="DB192" s="354" t="n">
        <f aca="true">IF(OR($D192&lt;&gt;"Serviço",AND(AUTOEVENTO="Manual",$M192=$A$15),$M192&gt;(ROW(PLE.lastrow)-ROW(PLE.firstrow))),0,
           IF(OFFSET(PLE!$G$15,$M192-$A$15,DB$13)="",10^12,OFFSET(PLE!$G$15,$M192-$A$15,DB$13)))</f>
        <v>1000000000000</v>
      </c>
      <c r="DC192" s="354" t="n">
        <f aca="true">IF(OR($D192&lt;&gt;"Serviço",AND(AUTOEVENTO="Manual",$M192=$A$15),$M192&gt;(ROW(PLE.lastrow)-ROW(PLE.firstrow))),0,
           IF(OFFSET(PLE!$G$15,$M192-$A$15,DC$13)="",10^12,OFFSET(PLE!$G$15,$M192-$A$15,DC$13)))</f>
        <v>1000000000000</v>
      </c>
      <c r="DD192" s="354" t="n">
        <f aca="true">IF(OR($D192&lt;&gt;"Serviço",AND(AUTOEVENTO="Manual",$M192=$A$15),$M192&gt;(ROW(PLE.lastrow)-ROW(PLE.firstrow))),0,
           IF(OFFSET(PLE!$G$15,$M192-$A$15,DD$13)="",10^12,OFFSET(PLE!$G$15,$M192-$A$15,DD$13)))</f>
        <v>1000000000000</v>
      </c>
      <c r="DE192" s="354" t="n">
        <f aca="true">IF(OR($D192&lt;&gt;"Serviço",AND(AUTOEVENTO="Manual",$M192=$A$15),$M192&gt;(ROW(PLE.lastrow)-ROW(PLE.firstrow))),0,
           IF(OFFSET(PLE!$G$15,$M192-$A$15,DE$13)="",10^12,OFFSET(PLE!$G$15,$M192-$A$15,DE$13)))</f>
        <v>1000000000000</v>
      </c>
      <c r="DF192" s="354" t="n">
        <f aca="true">IF(OR($D192&lt;&gt;"Serviço",AND(AUTOEVENTO="Manual",$M192=$A$15),$M192&gt;(ROW(PLE.lastrow)-ROW(PLE.firstrow))),0,
           IF(OFFSET(PLE!$G$15,$M192-$A$15,DF$13)="",10^12,OFFSET(PLE!$G$15,$M192-$A$15,DF$13)))</f>
        <v>1000000000000</v>
      </c>
      <c r="DG192" s="354" t="n">
        <f aca="true">IF(OR($D192&lt;&gt;"Serviço",AND(AUTOEVENTO="Manual",$M192=$A$15),$M192&gt;(ROW(PLE.lastrow)-ROW(PLE.firstrow))),0,
           IF(OFFSET(PLE!$G$15,$M192-$A$15,DG$13)="",10^12,OFFSET(PLE!$G$15,$M192-$A$15,DG$13)))</f>
        <v>1000000000000</v>
      </c>
      <c r="DH192" s="354" t="n">
        <f aca="true">IF(OR($D192&lt;&gt;"Serviço",AND(AUTOEVENTO="Manual",$M192=$A$15),$M192&gt;(ROW(PLE.lastrow)-ROW(PLE.firstrow))),0,
           IF(OFFSET(PLE!$G$15,$M192-$A$15,DH$13)="",10^12,OFFSET(PLE!$G$15,$M192-$A$15,DH$13)))</f>
        <v>1000000000000</v>
      </c>
      <c r="DI192" s="354" t="n">
        <f aca="true">IF(OR($D192&lt;&gt;"Serviço",AND(AUTOEVENTO="Manual",$M192=$A$15),$M192&gt;(ROW(PLE.lastrow)-ROW(PLE.firstrow))),0,
           IF(OFFSET(PLE!$G$15,$M192-$A$15,DI$13)="",10^12,OFFSET(PLE!$G$15,$M192-$A$15,DI$13)))</f>
        <v>1000000000000</v>
      </c>
      <c r="DJ192" s="354" t="n">
        <f aca="true">IF(OR($D192&lt;&gt;"Serviço",AND(AUTOEVENTO="Manual",$M192=$A$15),$M192&gt;(ROW(PLE.lastrow)-ROW(PLE.firstrow))),0,
           IF(OFFSET(PLE!$G$15,$M192-$A$15,DJ$13)="",10^12,OFFSET(PLE!$G$15,$M192-$A$15,DJ$13)))</f>
        <v>1000000000000</v>
      </c>
      <c r="DK192" s="354" t="n">
        <f aca="true">IF(OR($D192&lt;&gt;"Serviço",AND(AUTOEVENTO="Manual",$M192=$A$15),$M192&gt;(ROW(PLE.lastrow)-ROW(PLE.firstrow))),0,
           IF(OFFSET(PLE!$G$15,$M192-$A$15,DK$13)="",10^12,OFFSET(PLE!$G$15,$M192-$A$15,DK$13)))</f>
        <v>1000000000000</v>
      </c>
      <c r="DL192" s="354" t="n">
        <f aca="true">IF(OR($D192&lt;&gt;"Serviço",AND(AUTOEVENTO="Manual",$M192=$A$15),$M192&gt;(ROW(PLE.lastrow)-ROW(PLE.firstrow))),0,
           IF(OFFSET(PLE!$G$15,$M192-$A$15,DL$13)="",10^12,OFFSET(PLE!$G$15,$M192-$A$15,DL$13)))</f>
        <v>1000000000000</v>
      </c>
      <c r="DM192" s="354" t="n">
        <f aca="true">IF(OR($D192&lt;&gt;"Serviço",AND(AUTOEVENTO="Manual",$M192=$A$15),$M192&gt;(ROW(PLE.lastrow)-ROW(PLE.firstrow))),0,
           IF(OFFSET(PLE!$G$15,$M192-$A$15,DM$13)="",10^12,OFFSET(PLE!$G$15,$M192-$A$15,DM$13)))</f>
        <v>1000000000000</v>
      </c>
      <c r="DN192" s="354" t="n">
        <f aca="true">IF(OR($D192&lt;&gt;"Serviço",AND(AUTOEVENTO="Manual",$M192=$A$15),$M192&gt;(ROW(PLE.lastrow)-ROW(PLE.firstrow))),0,
           IF(OFFSET(PLE!$G$15,$M192-$A$15,DN$13)="",10^12,OFFSET(PLE!$G$15,$M192-$A$15,DN$13)))</f>
        <v>1000000000000</v>
      </c>
      <c r="DO192" s="354" t="n">
        <f aca="true">IF(OR($D192&lt;&gt;"Serviço",AND(AUTOEVENTO="Manual",$M192=$A$15),$M192&gt;(ROW(PLE.lastrow)-ROW(PLE.firstrow))),0,
           IF(OFFSET(PLE!$G$15,$M192-$A$15,DO$13)="",10^12,OFFSET(PLE!$G$15,$M192-$A$15,DO$13)))</f>
        <v>1000000000000</v>
      </c>
      <c r="DP192" s="354" t="n">
        <f aca="true">IF(OR($D192&lt;&gt;"Serviço",AND(AUTOEVENTO="Manual",$M192=$A$15),$M192&gt;(ROW(PLE.lastrow)-ROW(PLE.firstrow))),0,
           IF(OFFSET(PLE!$G$15,$M192-$A$15,DP$13)="",10^12,OFFSET(PLE!$G$15,$M192-$A$15,DP$13)))</f>
        <v>1000000000000</v>
      </c>
      <c r="DQ192" s="354" t="n">
        <f aca="true">IF(OR($D192&lt;&gt;"Serviço",AND(AUTOEVENTO="Manual",$M192=$A$15),$M192&gt;(ROW(PLE.lastrow)-ROW(PLE.firstrow))),0,
           IF(OFFSET(PLE!$G$15,$M192-$A$15,DQ$13)="",10^12,OFFSET(PLE!$G$15,$M192-$A$15,DQ$13)))</f>
        <v>1000000000000</v>
      </c>
      <c r="DR192" s="354" t="n">
        <f aca="true">IF(OR($D192&lt;&gt;"Serviço",AND(AUTOEVENTO="Manual",$M192=$A$15),$M192&gt;(ROW(PLE.lastrow)-ROW(PLE.firstrow))),0,
           IF(OFFSET(PLE!$G$15,$M192-$A$15,DR$13)="",10^12,OFFSET(PLE!$G$15,$M192-$A$15,DR$13)))</f>
        <v>1000000000000</v>
      </c>
      <c r="DS192" s="354" t="n">
        <f aca="true">IF(OR($D192&lt;&gt;"Serviço",AND(AUTOEVENTO="Manual",$M192=$A$15),$M192&gt;(ROW(PLE.lastrow)-ROW(PLE.firstrow))),0,
           IF(OFFSET(PLE!$G$15,$M192-$A$15,DS$13)="",10^12,OFFSET(PLE!$G$15,$M192-$A$15,DS$13)))</f>
        <v>1000000000000</v>
      </c>
    </row>
    <row r="193" customFormat="false" ht="46.25" hidden="false" customHeight="false" outlineLevel="0" collapsed="false">
      <c r="A193" s="50" t="str">
        <f aca="true">IFERROR(IF(AUTOEVENTO="Manual",IF(K193&lt;&gt;"",MIN(VALUE(LEFT(K193,FIND(".",K193)-1)),COUNTA(EVENTOS.Lista)),0),IF(OR($B193&gt;AUTOEVENTO,$B193="S",$B193=0),SUBSTITUTE(OFFSET($A193,-1,0),IF($D193="Serviço",".",""),""),ROW(A193)-ROW($A$15)&amp;".")),0)</f>
        <v>174</v>
      </c>
      <c r="B193" s="50" t="str">
        <f aca="true">OFFSET(ORÇAMENTO!C$15,ROW(B193)-ROW(B$15),0)</f>
        <v>S</v>
      </c>
      <c r="C193" s="50" t="str">
        <f aca="true">OFFSET(ORÇAMENTO!L$15,ROW(C193)-ROW(C$15),0)</f>
        <v>F</v>
      </c>
      <c r="D193" s="201" t="str">
        <f aca="true">OFFSET(ORÇAMENTO!N$15,ROW(D193)-ROW(D$15),0)</f>
        <v>Serviço</v>
      </c>
      <c r="E193" s="202" t="str">
        <f aca="true">OFFSET(ORÇAMENTO!O$15,ROW(E193)-ROW(E$15),0)</f>
        <v>1.47.4.</v>
      </c>
      <c r="F193" s="341" t="str">
        <f aca="true">OFFSET(ORÇAMENTO!R$15,ROW(F193)-ROW(F$15),0)</f>
        <v>TANQUE DE MÁRMORE SINTÉTICO COM COLUNA, 22L OU EQUIVALENTE, INCLUSO SIFÃO FLEXÍVEL EM PVC, VÁLVULA PLÁSTICA E TORNEIRA DE METAL CROMADO PADRÃO POPULAR - FORNECIMENTO E INSTALAÇÃO. AF_01/2020</v>
      </c>
      <c r="G193" s="342" t="str">
        <f aca="true">IF($D193&lt;&gt;"Serviço","",OFFSET(ORÇAMENTO!S$15,ROW(G193)-ROW(G$15),0))</f>
        <v>UN</v>
      </c>
      <c r="H193" s="207" t="n">
        <f aca="true">IF($D193&lt;&gt;"Serviço",0,IF(ACOMPANHAMENTO="BM",ROUND(OFFSET(ORÇAMENTO!AJ$15,ROW(H193)-ROW(H$15),0),15-13*ORÇAMENTO!$AF$7),SUMPRODUCT(($Q$1:$AQ$1=1)*ROUND($Q193:$AQ193,15-13*ORÇAMENTO!$AF$7))))</f>
        <v>25</v>
      </c>
      <c r="I193" s="343" t="s">
        <v>969</v>
      </c>
      <c r="J193" s="344" t="e">
        <f aca="false">IF(OR(B193&lt;&gt;"S",CÁLCULO.FrentesPreenchidas=0),"",IF(AND(ACOMPANHAMENTO="PLE",AUTOEVENTO="Manual",OR(H193&gt;0,ORÇAMENTO!AC193="QUANT."),OR(K193="",M193=0,N193="")),"►",IF(AND(ACOMPANHAMENTO="PLE",ORÇAMENTO!AC193="QUANT."),"►►",IF(AND(COUNTIF($P$11:$AQ$11,"▼")=0,H193&gt;0,I193=""),"◄",""))))</f>
        <v>#NAME?</v>
      </c>
      <c r="K193" s="345"/>
      <c r="L193" s="346" t="s">
        <v>876</v>
      </c>
      <c r="M193" s="347" t="n">
        <f aca="true">IF($D193&lt;&gt;"Serviço","",
          IF(AUTOEVENTO="manual",$A193,
                IF(ISERROR(MATCH($A193,$A$15:OFFSET($A193,-1,0),0)),MAX($M$15:OFFSET(M193,-1,0))+1,
                      INDEX($M$15:OFFSET(M193,-1,0),MATCH($A193,$A$15:OFFSET($A193,-1,0),0)))))</f>
        <v>30</v>
      </c>
      <c r="N193" s="348" t="str">
        <f aca="true">IF($D193&lt;&gt;"Serviço","",
         IF(AUTOEVENTO="Manual",
                IF($A193=0,"&lt;-- defina o número do agrupador",
                       OFFSET(EVENTOS!$D$15,$A193-$A$15,0)),
                OFFSET($F$15,$A193,0)))</f>
        <v>APARELHOS, METAIS E BANCADAS</v>
      </c>
      <c r="O193" s="349"/>
      <c r="Q193" s="349" t="n">
        <v>1</v>
      </c>
      <c r="R193" s="350" t="n">
        <v>1</v>
      </c>
      <c r="S193" s="350" t="n">
        <v>1</v>
      </c>
      <c r="T193" s="350" t="n">
        <v>1</v>
      </c>
      <c r="U193" s="350" t="n">
        <v>1</v>
      </c>
      <c r="V193" s="350" t="n">
        <v>1</v>
      </c>
      <c r="W193" s="350" t="n">
        <v>1</v>
      </c>
      <c r="X193" s="350" t="n">
        <v>1</v>
      </c>
      <c r="Y193" s="350" t="n">
        <v>1</v>
      </c>
      <c r="Z193" s="351" t="n">
        <v>1</v>
      </c>
      <c r="AA193" s="350" t="n">
        <v>1</v>
      </c>
      <c r="AB193" s="350" t="n">
        <v>1</v>
      </c>
      <c r="AC193" s="350" t="n">
        <v>1</v>
      </c>
      <c r="AD193" s="350" t="n">
        <v>1</v>
      </c>
      <c r="AE193" s="350" t="n">
        <v>1</v>
      </c>
      <c r="AF193" s="350" t="n">
        <v>1</v>
      </c>
      <c r="AG193" s="350" t="n">
        <v>1</v>
      </c>
      <c r="AH193" s="351" t="n">
        <v>1</v>
      </c>
      <c r="AI193" s="350" t="n">
        <v>1</v>
      </c>
      <c r="AJ193" s="350" t="n">
        <v>1</v>
      </c>
      <c r="AK193" s="350" t="n">
        <v>1</v>
      </c>
      <c r="AL193" s="350" t="n">
        <v>1</v>
      </c>
      <c r="AM193" s="350" t="n">
        <v>1</v>
      </c>
      <c r="AN193" s="350" t="n">
        <v>1</v>
      </c>
      <c r="AO193" s="350" t="n">
        <v>1</v>
      </c>
      <c r="AP193" s="351"/>
      <c r="AR193" s="352" t="n">
        <f aca="true">IF(AND($D193="Serviço",AR$12&lt;&gt;0,$H193&gt;0,OR(AUTOEVENTO&lt;&gt;"manual",$M193&lt;&gt;$A$15)),
        IF(Import.TipoArredondamento&lt;&gt;"TransfereGOV",
              ROUND(OFFSET($P193,0,AR$13),15-13*ORÇAMENTO!$AF$7)/$H193*OFFSET(ORÇAMENTO!$X$15,ROW(AR193)-ROW(AR$15),0),
              ROUND(ROUND(OFFSET($P193,0,AR$13),15-13*ORÇAMENTO!$AF$7)*OFFSET(ORÇAMENTO!$W$15,ROW(AR193)-ROW(AR$15),0),15-13*ORÇAMENTO!$AF$11)),
         0)</f>
        <v>860.71</v>
      </c>
      <c r="AS193" s="352" t="n">
        <f aca="true">IF(AND($D193="Serviço",AS$12&lt;&gt;0,$H193&gt;0,OR(AUTOEVENTO&lt;&gt;"manual",$M193&lt;&gt;$A$15)),
        IF(Import.TipoArredondamento&lt;&gt;"TransfereGOV",
              ROUND(OFFSET($P193,0,AS$13),15-13*ORÇAMENTO!$AF$7)/$H193*OFFSET(ORÇAMENTO!$X$15,ROW(AS193)-ROW(AS$15),0),
              ROUND(ROUND(OFFSET($P193,0,AS$13),15-13*ORÇAMENTO!$AF$7)*OFFSET(ORÇAMENTO!$W$15,ROW(AS193)-ROW(AS$15),0),15-13*ORÇAMENTO!$AF$11)),
         0)</f>
        <v>860.71</v>
      </c>
      <c r="AT193" s="352" t="n">
        <f aca="true">IF(AND($D193="Serviço",AT$12&lt;&gt;0,$H193&gt;0,OR(AUTOEVENTO&lt;&gt;"manual",$M193&lt;&gt;$A$15)),
        IF(Import.TipoArredondamento&lt;&gt;"TransfereGOV",
              ROUND(OFFSET($P193,0,AT$13),15-13*ORÇAMENTO!$AF$7)/$H193*OFFSET(ORÇAMENTO!$X$15,ROW(AT193)-ROW(AT$15),0),
              ROUND(ROUND(OFFSET($P193,0,AT$13),15-13*ORÇAMENTO!$AF$7)*OFFSET(ORÇAMENTO!$W$15,ROW(AT193)-ROW(AT$15),0),15-13*ORÇAMENTO!$AF$11)),
         0)</f>
        <v>860.71</v>
      </c>
      <c r="AU193" s="352" t="n">
        <f aca="true">IF(AND($D193="Serviço",AU$12&lt;&gt;0,$H193&gt;0,OR(AUTOEVENTO&lt;&gt;"manual",$M193&lt;&gt;$A$15)),
        IF(Import.TipoArredondamento&lt;&gt;"TransfereGOV",
              ROUND(OFFSET($P193,0,AU$13),15-13*ORÇAMENTO!$AF$7)/$H193*OFFSET(ORÇAMENTO!$X$15,ROW(AU193)-ROW(AU$15),0),
              ROUND(ROUND(OFFSET($P193,0,AU$13),15-13*ORÇAMENTO!$AF$7)*OFFSET(ORÇAMENTO!$W$15,ROW(AU193)-ROW(AU$15),0),15-13*ORÇAMENTO!$AF$11)),
         0)</f>
        <v>860.71</v>
      </c>
      <c r="AV193" s="352" t="n">
        <f aca="true">IF(AND($D193="Serviço",AV$12&lt;&gt;0,$H193&gt;0,OR(AUTOEVENTO&lt;&gt;"manual",$M193&lt;&gt;$A$15)),
        IF(Import.TipoArredondamento&lt;&gt;"TransfereGOV",
              ROUND(OFFSET($P193,0,AV$13),15-13*ORÇAMENTO!$AF$7)/$H193*OFFSET(ORÇAMENTO!$X$15,ROW(AV193)-ROW(AV$15),0),
              ROUND(ROUND(OFFSET($P193,0,AV$13),15-13*ORÇAMENTO!$AF$7)*OFFSET(ORÇAMENTO!$W$15,ROW(AV193)-ROW(AV$15),0),15-13*ORÇAMENTO!$AF$11)),
         0)</f>
        <v>860.71</v>
      </c>
      <c r="AW193" s="352" t="n">
        <f aca="true">IF(AND($D193="Serviço",AW$12&lt;&gt;0,$H193&gt;0,OR(AUTOEVENTO&lt;&gt;"manual",$M193&lt;&gt;$A$15)),
        IF(Import.TipoArredondamento&lt;&gt;"TransfereGOV",
              ROUND(OFFSET($P193,0,AW$13),15-13*ORÇAMENTO!$AF$7)/$H193*OFFSET(ORÇAMENTO!$X$15,ROW(AW193)-ROW(AW$15),0),
              ROUND(ROUND(OFFSET($P193,0,AW$13),15-13*ORÇAMENTO!$AF$7)*OFFSET(ORÇAMENTO!$W$15,ROW(AW193)-ROW(AW$15),0),15-13*ORÇAMENTO!$AF$11)),
         0)</f>
        <v>860.71</v>
      </c>
      <c r="AX193" s="352" t="n">
        <f aca="true">IF(AND($D193="Serviço",AX$12&lt;&gt;0,$H193&gt;0,OR(AUTOEVENTO&lt;&gt;"manual",$M193&lt;&gt;$A$15)),
        IF(Import.TipoArredondamento&lt;&gt;"TransfereGOV",
              ROUND(OFFSET($P193,0,AX$13),15-13*ORÇAMENTO!$AF$7)/$H193*OFFSET(ORÇAMENTO!$X$15,ROW(AX193)-ROW(AX$15),0),
              ROUND(ROUND(OFFSET($P193,0,AX$13),15-13*ORÇAMENTO!$AF$7)*OFFSET(ORÇAMENTO!$W$15,ROW(AX193)-ROW(AX$15),0),15-13*ORÇAMENTO!$AF$11)),
         0)</f>
        <v>860.71</v>
      </c>
      <c r="AY193" s="352" t="n">
        <f aca="true">IF(AND($D193="Serviço",AY$12&lt;&gt;0,$H193&gt;0,OR(AUTOEVENTO&lt;&gt;"manual",$M193&lt;&gt;$A$15)),
        IF(Import.TipoArredondamento&lt;&gt;"TransfereGOV",
              ROUND(OFFSET($P193,0,AY$13),15-13*ORÇAMENTO!$AF$7)/$H193*OFFSET(ORÇAMENTO!$X$15,ROW(AY193)-ROW(AY$15),0),
              ROUND(ROUND(OFFSET($P193,0,AY$13),15-13*ORÇAMENTO!$AF$7)*OFFSET(ORÇAMENTO!$W$15,ROW(AY193)-ROW(AY$15),0),15-13*ORÇAMENTO!$AF$11)),
         0)</f>
        <v>860.71</v>
      </c>
      <c r="AZ193" s="352" t="n">
        <f aca="true">IF(AND($D193="Serviço",AZ$12&lt;&gt;0,$H193&gt;0,OR(AUTOEVENTO&lt;&gt;"manual",$M193&lt;&gt;$A$15)),
        IF(Import.TipoArredondamento&lt;&gt;"TransfereGOV",
              ROUND(OFFSET($P193,0,AZ$13),15-13*ORÇAMENTO!$AF$7)/$H193*OFFSET(ORÇAMENTO!$X$15,ROW(AZ193)-ROW(AZ$15),0),
              ROUND(ROUND(OFFSET($P193,0,AZ$13),15-13*ORÇAMENTO!$AF$7)*OFFSET(ORÇAMENTO!$W$15,ROW(AZ193)-ROW(AZ$15),0),15-13*ORÇAMENTO!$AF$11)),
         0)</f>
        <v>860.71</v>
      </c>
      <c r="BA193" s="352" t="n">
        <f aca="true">IF(AND($D193="Serviço",BA$12&lt;&gt;0,$H193&gt;0,OR(AUTOEVENTO&lt;&gt;"manual",$M193&lt;&gt;$A$15)),
        IF(Import.TipoArredondamento&lt;&gt;"TransfereGOV",
              ROUND(OFFSET($P193,0,BA$13),15-13*ORÇAMENTO!$AF$7)/$H193*OFFSET(ORÇAMENTO!$X$15,ROW(BA193)-ROW(BA$15),0),
              ROUND(ROUND(OFFSET($P193,0,BA$13),15-13*ORÇAMENTO!$AF$7)*OFFSET(ORÇAMENTO!$W$15,ROW(BA193)-ROW(BA$15),0),15-13*ORÇAMENTO!$AF$11)),
         0)</f>
        <v>860.71</v>
      </c>
      <c r="BB193" s="352" t="n">
        <f aca="true">IF(AND($D193="Serviço",BB$12&lt;&gt;0,$H193&gt;0,OR(AUTOEVENTO&lt;&gt;"manual",$M193&lt;&gt;$A$15)),
        IF(Import.TipoArredondamento&lt;&gt;"TransfereGOV",
              ROUND(OFFSET($P193,0,BB$13),15-13*ORÇAMENTO!$AF$7)/$H193*OFFSET(ORÇAMENTO!$X$15,ROW(BB193)-ROW(BB$15),0),
              ROUND(ROUND(OFFSET($P193,0,BB$13),15-13*ORÇAMENTO!$AF$7)*OFFSET(ORÇAMENTO!$W$15,ROW(BB193)-ROW(BB$15),0),15-13*ORÇAMENTO!$AF$11)),
         0)</f>
        <v>860.71</v>
      </c>
      <c r="BC193" s="352" t="n">
        <f aca="true">IF(AND($D193="Serviço",BC$12&lt;&gt;0,$H193&gt;0,OR(AUTOEVENTO&lt;&gt;"manual",$M193&lt;&gt;$A$15)),
        IF(Import.TipoArredondamento&lt;&gt;"TransfereGOV",
              ROUND(OFFSET($P193,0,BC$13),15-13*ORÇAMENTO!$AF$7)/$H193*OFFSET(ORÇAMENTO!$X$15,ROW(BC193)-ROW(BC$15),0),
              ROUND(ROUND(OFFSET($P193,0,BC$13),15-13*ORÇAMENTO!$AF$7)*OFFSET(ORÇAMENTO!$W$15,ROW(BC193)-ROW(BC$15),0),15-13*ORÇAMENTO!$AF$11)),
         0)</f>
        <v>860.71</v>
      </c>
      <c r="BD193" s="352" t="n">
        <f aca="true">IF(AND($D193="Serviço",BD$12&lt;&gt;0,$H193&gt;0,OR(AUTOEVENTO&lt;&gt;"manual",$M193&lt;&gt;$A$15)),
        IF(Import.TipoArredondamento&lt;&gt;"TransfereGOV",
              ROUND(OFFSET($P193,0,BD$13),15-13*ORÇAMENTO!$AF$7)/$H193*OFFSET(ORÇAMENTO!$X$15,ROW(BD193)-ROW(BD$15),0),
              ROUND(ROUND(OFFSET($P193,0,BD$13),15-13*ORÇAMENTO!$AF$7)*OFFSET(ORÇAMENTO!$W$15,ROW(BD193)-ROW(BD$15),0),15-13*ORÇAMENTO!$AF$11)),
         0)</f>
        <v>860.71</v>
      </c>
      <c r="BE193" s="352" t="n">
        <f aca="true">IF(AND($D193="Serviço",BE$12&lt;&gt;0,$H193&gt;0,OR(AUTOEVENTO&lt;&gt;"manual",$M193&lt;&gt;$A$15)),
        IF(Import.TipoArredondamento&lt;&gt;"TransfereGOV",
              ROUND(OFFSET($P193,0,BE$13),15-13*ORÇAMENTO!$AF$7)/$H193*OFFSET(ORÇAMENTO!$X$15,ROW(BE193)-ROW(BE$15),0),
              ROUND(ROUND(OFFSET($P193,0,BE$13),15-13*ORÇAMENTO!$AF$7)*OFFSET(ORÇAMENTO!$W$15,ROW(BE193)-ROW(BE$15),0),15-13*ORÇAMENTO!$AF$11)),
         0)</f>
        <v>860.71</v>
      </c>
      <c r="BF193" s="352" t="n">
        <f aca="true">IF(AND($D193="Serviço",BF$12&lt;&gt;0,$H193&gt;0,OR(AUTOEVENTO&lt;&gt;"manual",$M193&lt;&gt;$A$15)),
        IF(Import.TipoArredondamento&lt;&gt;"TransfereGOV",
              ROUND(OFFSET($P193,0,BF$13),15-13*ORÇAMENTO!$AF$7)/$H193*OFFSET(ORÇAMENTO!$X$15,ROW(BF193)-ROW(BF$15),0),
              ROUND(ROUND(OFFSET($P193,0,BF$13),15-13*ORÇAMENTO!$AF$7)*OFFSET(ORÇAMENTO!$W$15,ROW(BF193)-ROW(BF$15),0),15-13*ORÇAMENTO!$AF$11)),
         0)</f>
        <v>860.71</v>
      </c>
      <c r="BG193" s="352" t="n">
        <f aca="true">IF(AND($D193="Serviço",BG$12&lt;&gt;0,$H193&gt;0,OR(AUTOEVENTO&lt;&gt;"manual",$M193&lt;&gt;$A$15)),
        IF(Import.TipoArredondamento&lt;&gt;"TransfereGOV",
              ROUND(OFFSET($P193,0,BG$13),15-13*ORÇAMENTO!$AF$7)/$H193*OFFSET(ORÇAMENTO!$X$15,ROW(BG193)-ROW(BG$15),0),
              ROUND(ROUND(OFFSET($P193,0,BG$13),15-13*ORÇAMENTO!$AF$7)*OFFSET(ORÇAMENTO!$W$15,ROW(BG193)-ROW(BG$15),0),15-13*ORÇAMENTO!$AF$11)),
         0)</f>
        <v>860.71</v>
      </c>
      <c r="BH193" s="352" t="n">
        <f aca="true">IF(AND($D193="Serviço",BH$12&lt;&gt;0,$H193&gt;0,OR(AUTOEVENTO&lt;&gt;"manual",$M193&lt;&gt;$A$15)),
        IF(Import.TipoArredondamento&lt;&gt;"TransfereGOV",
              ROUND(OFFSET($P193,0,BH$13),15-13*ORÇAMENTO!$AF$7)/$H193*OFFSET(ORÇAMENTO!$X$15,ROW(BH193)-ROW(BH$15),0),
              ROUND(ROUND(OFFSET($P193,0,BH$13),15-13*ORÇAMENTO!$AF$7)*OFFSET(ORÇAMENTO!$W$15,ROW(BH193)-ROW(BH$15),0),15-13*ORÇAMENTO!$AF$11)),
         0)</f>
        <v>860.71</v>
      </c>
      <c r="BI193" s="352" t="n">
        <f aca="true">IF(AND($D193="Serviço",BI$12&lt;&gt;0,$H193&gt;0,OR(AUTOEVENTO&lt;&gt;"manual",$M193&lt;&gt;$A$15)),
        IF(Import.TipoArredondamento&lt;&gt;"TransfereGOV",
              ROUND(OFFSET($P193,0,BI$13),15-13*ORÇAMENTO!$AF$7)/$H193*OFFSET(ORÇAMENTO!$X$15,ROW(BI193)-ROW(BI$15),0),
              ROUND(ROUND(OFFSET($P193,0,BI$13),15-13*ORÇAMENTO!$AF$7)*OFFSET(ORÇAMENTO!$W$15,ROW(BI193)-ROW(BI$15),0),15-13*ORÇAMENTO!$AF$11)),
         0)</f>
        <v>860.71</v>
      </c>
      <c r="BJ193" s="352" t="n">
        <f aca="true">IF(AND($D193="Serviço",BJ$12&lt;&gt;0,$H193&gt;0,OR(AUTOEVENTO&lt;&gt;"manual",$M193&lt;&gt;$A$15)),
        IF(Import.TipoArredondamento&lt;&gt;"TransfereGOV",
              ROUND(OFFSET($P193,0,BJ$13),15-13*ORÇAMENTO!$AF$7)/$H193*OFFSET(ORÇAMENTO!$X$15,ROW(BJ193)-ROW(BJ$15),0),
              ROUND(ROUND(OFFSET($P193,0,BJ$13),15-13*ORÇAMENTO!$AF$7)*OFFSET(ORÇAMENTO!$W$15,ROW(BJ193)-ROW(BJ$15),0),15-13*ORÇAMENTO!$AF$11)),
         0)</f>
        <v>860.71</v>
      </c>
      <c r="BK193" s="352" t="n">
        <f aca="true">IF(AND($D193="Serviço",BK$12&lt;&gt;0,$H193&gt;0,OR(AUTOEVENTO&lt;&gt;"manual",$M193&lt;&gt;$A$15)),
        IF(Import.TipoArredondamento&lt;&gt;"TransfereGOV",
              ROUND(OFFSET($P193,0,BK$13),15-13*ORÇAMENTO!$AF$7)/$H193*OFFSET(ORÇAMENTO!$X$15,ROW(BK193)-ROW(BK$15),0),
              ROUND(ROUND(OFFSET($P193,0,BK$13),15-13*ORÇAMENTO!$AF$7)*OFFSET(ORÇAMENTO!$W$15,ROW(BK193)-ROW(BK$15),0),15-13*ORÇAMENTO!$AF$11)),
         0)</f>
        <v>860.71</v>
      </c>
      <c r="BL193" s="352" t="n">
        <f aca="true">IF(AND($D193="Serviço",BL$12&lt;&gt;0,$H193&gt;0,OR(AUTOEVENTO&lt;&gt;"manual",$M193&lt;&gt;$A$15)),
        IF(Import.TipoArredondamento&lt;&gt;"TransfereGOV",
              ROUND(OFFSET($P193,0,BL$13),15-13*ORÇAMENTO!$AF$7)/$H193*OFFSET(ORÇAMENTO!$X$15,ROW(BL193)-ROW(BL$15),0),
              ROUND(ROUND(OFFSET($P193,0,BL$13),15-13*ORÇAMENTO!$AF$7)*OFFSET(ORÇAMENTO!$W$15,ROW(BL193)-ROW(BL$15),0),15-13*ORÇAMENTO!$AF$11)),
         0)</f>
        <v>860.71</v>
      </c>
      <c r="BM193" s="352" t="n">
        <f aca="true">IF(AND($D193="Serviço",BM$12&lt;&gt;0,$H193&gt;0,OR(AUTOEVENTO&lt;&gt;"manual",$M193&lt;&gt;$A$15)),
        IF(Import.TipoArredondamento&lt;&gt;"TransfereGOV",
              ROUND(OFFSET($P193,0,BM$13),15-13*ORÇAMENTO!$AF$7)/$H193*OFFSET(ORÇAMENTO!$X$15,ROW(BM193)-ROW(BM$15),0),
              ROUND(ROUND(OFFSET($P193,0,BM$13),15-13*ORÇAMENTO!$AF$7)*OFFSET(ORÇAMENTO!$W$15,ROW(BM193)-ROW(BM$15),0),15-13*ORÇAMENTO!$AF$11)),
         0)</f>
        <v>860.71</v>
      </c>
      <c r="BN193" s="352" t="n">
        <f aca="true">IF(AND($D193="Serviço",BN$12&lt;&gt;0,$H193&gt;0,OR(AUTOEVENTO&lt;&gt;"manual",$M193&lt;&gt;$A$15)),
        IF(Import.TipoArredondamento&lt;&gt;"TransfereGOV",
              ROUND(OFFSET($P193,0,BN$13),15-13*ORÇAMENTO!$AF$7)/$H193*OFFSET(ORÇAMENTO!$X$15,ROW(BN193)-ROW(BN$15),0),
              ROUND(ROUND(OFFSET($P193,0,BN$13),15-13*ORÇAMENTO!$AF$7)*OFFSET(ORÇAMENTO!$W$15,ROW(BN193)-ROW(BN$15),0),15-13*ORÇAMENTO!$AF$11)),
         0)</f>
        <v>860.71</v>
      </c>
      <c r="BO193" s="352" t="n">
        <f aca="true">IF(AND($D193="Serviço",BO$12&lt;&gt;0,$H193&gt;0,OR(AUTOEVENTO&lt;&gt;"manual",$M193&lt;&gt;$A$15)),
        IF(Import.TipoArredondamento&lt;&gt;"TransfereGOV",
              ROUND(OFFSET($P193,0,BO$13),15-13*ORÇAMENTO!$AF$7)/$H193*OFFSET(ORÇAMENTO!$X$15,ROW(BO193)-ROW(BO$15),0),
              ROUND(ROUND(OFFSET($P193,0,BO$13),15-13*ORÇAMENTO!$AF$7)*OFFSET(ORÇAMENTO!$W$15,ROW(BO193)-ROW(BO$15),0),15-13*ORÇAMENTO!$AF$11)),
         0)</f>
        <v>860.71</v>
      </c>
      <c r="BP193" s="352" t="n">
        <f aca="true">IF(AND($D193="Serviço",BP$12&lt;&gt;0,$H193&gt;0,OR(AUTOEVENTO&lt;&gt;"manual",$M193&lt;&gt;$A$15)),
        IF(Import.TipoArredondamento&lt;&gt;"TransfereGOV",
              ROUND(OFFSET($P193,0,BP$13),15-13*ORÇAMENTO!$AF$7)/$H193*OFFSET(ORÇAMENTO!$X$15,ROW(BP193)-ROW(BP$15),0),
              ROUND(ROUND(OFFSET($P193,0,BP$13),15-13*ORÇAMENTO!$AF$7)*OFFSET(ORÇAMENTO!$W$15,ROW(BP193)-ROW(BP$15),0),15-13*ORÇAMENTO!$AF$11)),
         0)</f>
        <v>860.71</v>
      </c>
      <c r="BQ193" s="352" t="n">
        <f aca="true">IF(AND($D193="Serviço",BQ$12&lt;&gt;0,$H193&gt;0,OR(AUTOEVENTO&lt;&gt;"manual",$M193&lt;&gt;$A$15)),
        IF(Import.TipoArredondamento&lt;&gt;"TransfereGOV",
              ROUND(OFFSET($P193,0,BQ$13),15-13*ORÇAMENTO!$AF$7)/$H193*OFFSET(ORÇAMENTO!$X$15,ROW(BQ193)-ROW(BQ$15),0),
              ROUND(ROUND(OFFSET($P193,0,BQ$13),15-13*ORÇAMENTO!$AF$7)*OFFSET(ORÇAMENTO!$W$15,ROW(BQ193)-ROW(BQ$15),0),15-13*ORÇAMENTO!$AF$11)),
         0)</f>
        <v>0</v>
      </c>
      <c r="BS193" s="353" t="n">
        <f aca="true">IF(OR($D193&lt;&gt;"Serviço",AND(AUTOEVENTO="Manual",$M193=$A$15)),0,
         IF(OFFSET(CRONOPLE!$F$15,$M193-$A$15,BS$13)=0,10^12,OFFSET(CRONOPLE!$F$15,$M193-$A$15,BS$13)))</f>
        <v>1</v>
      </c>
      <c r="BT193" s="353" t="n">
        <f aca="true">IF(OR($D193&lt;&gt;"Serviço",AND(AUTOEVENTO="Manual",$M193=$A$15)),0,
         IF(OFFSET(CRONOPLE!$F$15,$M193-$A$15,BT$13)=0,10^12,OFFSET(CRONOPLE!$F$15,$M193-$A$15,BT$13)))</f>
        <v>2</v>
      </c>
      <c r="BU193" s="353" t="n">
        <f aca="true">IF(OR($D193&lt;&gt;"Serviço",AND(AUTOEVENTO="Manual",$M193=$A$15)),0,
         IF(OFFSET(CRONOPLE!$F$15,$M193-$A$15,BU$13)=0,10^12,OFFSET(CRONOPLE!$F$15,$M193-$A$15,BU$13)))</f>
        <v>3</v>
      </c>
      <c r="BV193" s="353" t="n">
        <f aca="true">IF(OR($D193&lt;&gt;"Serviço",AND(AUTOEVENTO="Manual",$M193=$A$15)),0,
         IF(OFFSET(CRONOPLE!$F$15,$M193-$A$15,BV$13)=0,10^12,OFFSET(CRONOPLE!$F$15,$M193-$A$15,BV$13)))</f>
        <v>4</v>
      </c>
      <c r="BW193" s="353" t="n">
        <f aca="true">IF(OR($D193&lt;&gt;"Serviço",AND(AUTOEVENTO="Manual",$M193=$A$15)),0,
         IF(OFFSET(CRONOPLE!$F$15,$M193-$A$15,BW$13)=0,10^12,OFFSET(CRONOPLE!$F$15,$M193-$A$15,BW$13)))</f>
        <v>5</v>
      </c>
      <c r="BX193" s="353" t="n">
        <f aca="true">IF(OR($D193&lt;&gt;"Serviço",AND(AUTOEVENTO="Manual",$M193=$A$15)),0,
         IF(OFFSET(CRONOPLE!$F$15,$M193-$A$15,BX$13)=0,10^12,OFFSET(CRONOPLE!$F$15,$M193-$A$15,BX$13)))</f>
        <v>6</v>
      </c>
      <c r="BY193" s="353" t="n">
        <f aca="true">IF(OR($D193&lt;&gt;"Serviço",AND(AUTOEVENTO="Manual",$M193=$A$15)),0,
         IF(OFFSET(CRONOPLE!$F$15,$M193-$A$15,BY$13)=0,10^12,OFFSET(CRONOPLE!$F$15,$M193-$A$15,BY$13)))</f>
        <v>7</v>
      </c>
      <c r="BZ193" s="353" t="n">
        <f aca="true">IF(OR($D193&lt;&gt;"Serviço",AND(AUTOEVENTO="Manual",$M193=$A$15)),0,
         IF(OFFSET(CRONOPLE!$F$15,$M193-$A$15,BZ$13)=0,10^12,OFFSET(CRONOPLE!$F$15,$M193-$A$15,BZ$13)))</f>
        <v>8</v>
      </c>
      <c r="CA193" s="353" t="n">
        <f aca="true">IF(OR($D193&lt;&gt;"Serviço",AND(AUTOEVENTO="Manual",$M193=$A$15)),0,
         IF(OFFSET(CRONOPLE!$F$15,$M193-$A$15,CA$13)=0,10^12,OFFSET(CRONOPLE!$F$15,$M193-$A$15,CA$13)))</f>
        <v>9</v>
      </c>
      <c r="CB193" s="353" t="n">
        <f aca="true">IF(OR($D193&lt;&gt;"Serviço",AND(AUTOEVENTO="Manual",$M193=$A$15)),0,
         IF(OFFSET(CRONOPLE!$F$15,$M193-$A$15,CB$13)=0,10^12,OFFSET(CRONOPLE!$F$15,$M193-$A$15,CB$13)))</f>
        <v>10</v>
      </c>
      <c r="CC193" s="353" t="n">
        <f aca="true">IF(OR($D193&lt;&gt;"Serviço",AND(AUTOEVENTO="Manual",$M193=$A$15)),0,
         IF(OFFSET(CRONOPLE!$F$15,$M193-$A$15,CC$13)=0,10^12,OFFSET(CRONOPLE!$F$15,$M193-$A$15,CC$13)))</f>
        <v>11</v>
      </c>
      <c r="CD193" s="353" t="n">
        <f aca="true">IF(OR($D193&lt;&gt;"Serviço",AND(AUTOEVENTO="Manual",$M193=$A$15)),0,
         IF(OFFSET(CRONOPLE!$F$15,$M193-$A$15,CD$13)=0,10^12,OFFSET(CRONOPLE!$F$15,$M193-$A$15,CD$13)))</f>
        <v>12</v>
      </c>
      <c r="CE193" s="353" t="n">
        <f aca="true">IF(OR($D193&lt;&gt;"Serviço",AND(AUTOEVENTO="Manual",$M193=$A$15)),0,
         IF(OFFSET(CRONOPLE!$F$15,$M193-$A$15,CE$13)=0,10^12,OFFSET(CRONOPLE!$F$15,$M193-$A$15,CE$13)))</f>
        <v>13</v>
      </c>
      <c r="CF193" s="353" t="n">
        <f aca="true">IF(OR($D193&lt;&gt;"Serviço",AND(AUTOEVENTO="Manual",$M193=$A$15)),0,
         IF(OFFSET(CRONOPLE!$F$15,$M193-$A$15,CF$13)=0,10^12,OFFSET(CRONOPLE!$F$15,$M193-$A$15,CF$13)))</f>
        <v>14</v>
      </c>
      <c r="CG193" s="353" t="n">
        <f aca="true">IF(OR($D193&lt;&gt;"Serviço",AND(AUTOEVENTO="Manual",$M193=$A$15)),0,
         IF(OFFSET(CRONOPLE!$F$15,$M193-$A$15,CG$13)=0,10^12,OFFSET(CRONOPLE!$F$15,$M193-$A$15,CG$13)))</f>
        <v>15</v>
      </c>
      <c r="CH193" s="353" t="n">
        <f aca="true">IF(OR($D193&lt;&gt;"Serviço",AND(AUTOEVENTO="Manual",$M193=$A$15)),0,
         IF(OFFSET(CRONOPLE!$F$15,$M193-$A$15,CH$13)=0,10^12,OFFSET(CRONOPLE!$F$15,$M193-$A$15,CH$13)))</f>
        <v>16</v>
      </c>
      <c r="CI193" s="353" t="n">
        <f aca="true">IF(OR($D193&lt;&gt;"Serviço",AND(AUTOEVENTO="Manual",$M193=$A$15)),0,
         IF(OFFSET(CRONOPLE!$F$15,$M193-$A$15,CI$13)=0,10^12,OFFSET(CRONOPLE!$F$15,$M193-$A$15,CI$13)))</f>
        <v>17</v>
      </c>
      <c r="CJ193" s="353" t="n">
        <f aca="true">IF(OR($D193&lt;&gt;"Serviço",AND(AUTOEVENTO="Manual",$M193=$A$15)),0,
         IF(OFFSET(CRONOPLE!$F$15,$M193-$A$15,CJ$13)=0,10^12,OFFSET(CRONOPLE!$F$15,$M193-$A$15,CJ$13)))</f>
        <v>18</v>
      </c>
      <c r="CK193" s="353" t="n">
        <f aca="true">IF(OR($D193&lt;&gt;"Serviço",AND(AUTOEVENTO="Manual",$M193=$A$15)),0,
         IF(OFFSET(CRONOPLE!$F$15,$M193-$A$15,CK$13)=0,10^12,OFFSET(CRONOPLE!$F$15,$M193-$A$15,CK$13)))</f>
        <v>19</v>
      </c>
      <c r="CL193" s="353" t="n">
        <f aca="true">IF(OR($D193&lt;&gt;"Serviço",AND(AUTOEVENTO="Manual",$M193=$A$15)),0,
         IF(OFFSET(CRONOPLE!$F$15,$M193-$A$15,CL$13)=0,10^12,OFFSET(CRONOPLE!$F$15,$M193-$A$15,CL$13)))</f>
        <v>20</v>
      </c>
      <c r="CM193" s="353" t="n">
        <f aca="true">IF(OR($D193&lt;&gt;"Serviço",AND(AUTOEVENTO="Manual",$M193=$A$15)),0,
         IF(OFFSET(CRONOPLE!$F$15,$M193-$A$15,CM$13)=0,10^12,OFFSET(CRONOPLE!$F$15,$M193-$A$15,CM$13)))</f>
        <v>21</v>
      </c>
      <c r="CN193" s="353" t="n">
        <f aca="true">IF(OR($D193&lt;&gt;"Serviço",AND(AUTOEVENTO="Manual",$M193=$A$15)),0,
         IF(OFFSET(CRONOPLE!$F$15,$M193-$A$15,CN$13)=0,10^12,OFFSET(CRONOPLE!$F$15,$M193-$A$15,CN$13)))</f>
        <v>22</v>
      </c>
      <c r="CO193" s="353" t="n">
        <f aca="true">IF(OR($D193&lt;&gt;"Serviço",AND(AUTOEVENTO="Manual",$M193=$A$15)),0,
         IF(OFFSET(CRONOPLE!$F$15,$M193-$A$15,CO$13)=0,10^12,OFFSET(CRONOPLE!$F$15,$M193-$A$15,CO$13)))</f>
        <v>23</v>
      </c>
      <c r="CP193" s="353" t="n">
        <f aca="true">IF(OR($D193&lt;&gt;"Serviço",AND(AUTOEVENTO="Manual",$M193=$A$15)),0,
         IF(OFFSET(CRONOPLE!$F$15,$M193-$A$15,CP$13)=0,10^12,OFFSET(CRONOPLE!$F$15,$M193-$A$15,CP$13)))</f>
        <v>24</v>
      </c>
      <c r="CQ193" s="353" t="n">
        <f aca="true">IF(OR($D193&lt;&gt;"Serviço",AND(AUTOEVENTO="Manual",$M193=$A$15)),0,
         IF(OFFSET(CRONOPLE!$F$15,$M193-$A$15,CQ$13)=0,10^12,OFFSET(CRONOPLE!$F$15,$M193-$A$15,CQ$13)))</f>
        <v>25</v>
      </c>
      <c r="CR193" s="353" t="n">
        <f aca="true">IF(OR($D193&lt;&gt;"Serviço",AND(AUTOEVENTO="Manual",$M193=$A$15)),0,
         IF(OFFSET(CRONOPLE!$F$15,$M193-$A$15,CR$13)=0,10^12,OFFSET(CRONOPLE!$F$15,$M193-$A$15,CR$13)))</f>
        <v>1000000000000</v>
      </c>
      <c r="CT193" s="354" t="n">
        <f aca="true">IF(OR($D193&lt;&gt;"Serviço",AND(AUTOEVENTO="Manual",$M193=$A$15),$M193&gt;(ROW(PLE.lastrow)-ROW(PLE.firstrow))),0,
           IF(OFFSET(PLE!$G$15,$M193-$A$15,CT$13)="",10^12,OFFSET(PLE!$G$15,$M193-$A$15,CT$13)))</f>
        <v>1000000000000</v>
      </c>
      <c r="CU193" s="354" t="n">
        <f aca="true">IF(OR($D193&lt;&gt;"Serviço",AND(AUTOEVENTO="Manual",$M193=$A$15),$M193&gt;(ROW(PLE.lastrow)-ROW(PLE.firstrow))),0,
           IF(OFFSET(PLE!$G$15,$M193-$A$15,CU$13)="",10^12,OFFSET(PLE!$G$15,$M193-$A$15,CU$13)))</f>
        <v>1000000000000</v>
      </c>
      <c r="CV193" s="354" t="n">
        <f aca="true">IF(OR($D193&lt;&gt;"Serviço",AND(AUTOEVENTO="Manual",$M193=$A$15),$M193&gt;(ROW(PLE.lastrow)-ROW(PLE.firstrow))),0,
           IF(OFFSET(PLE!$G$15,$M193-$A$15,CV$13)="",10^12,OFFSET(PLE!$G$15,$M193-$A$15,CV$13)))</f>
        <v>1000000000000</v>
      </c>
      <c r="CW193" s="354" t="n">
        <f aca="true">IF(OR($D193&lt;&gt;"Serviço",AND(AUTOEVENTO="Manual",$M193=$A$15),$M193&gt;(ROW(PLE.lastrow)-ROW(PLE.firstrow))),0,
           IF(OFFSET(PLE!$G$15,$M193-$A$15,CW$13)="",10^12,OFFSET(PLE!$G$15,$M193-$A$15,CW$13)))</f>
        <v>1000000000000</v>
      </c>
      <c r="CX193" s="354" t="n">
        <f aca="true">IF(OR($D193&lt;&gt;"Serviço",AND(AUTOEVENTO="Manual",$M193=$A$15),$M193&gt;(ROW(PLE.lastrow)-ROW(PLE.firstrow))),0,
           IF(OFFSET(PLE!$G$15,$M193-$A$15,CX$13)="",10^12,OFFSET(PLE!$G$15,$M193-$A$15,CX$13)))</f>
        <v>1000000000000</v>
      </c>
      <c r="CY193" s="354" t="n">
        <f aca="true">IF(OR($D193&lt;&gt;"Serviço",AND(AUTOEVENTO="Manual",$M193=$A$15),$M193&gt;(ROW(PLE.lastrow)-ROW(PLE.firstrow))),0,
           IF(OFFSET(PLE!$G$15,$M193-$A$15,CY$13)="",10^12,OFFSET(PLE!$G$15,$M193-$A$15,CY$13)))</f>
        <v>1000000000000</v>
      </c>
      <c r="CZ193" s="354" t="n">
        <f aca="true">IF(OR($D193&lt;&gt;"Serviço",AND(AUTOEVENTO="Manual",$M193=$A$15),$M193&gt;(ROW(PLE.lastrow)-ROW(PLE.firstrow))),0,
           IF(OFFSET(PLE!$G$15,$M193-$A$15,CZ$13)="",10^12,OFFSET(PLE!$G$15,$M193-$A$15,CZ$13)))</f>
        <v>1000000000000</v>
      </c>
      <c r="DA193" s="354" t="n">
        <f aca="true">IF(OR($D193&lt;&gt;"Serviço",AND(AUTOEVENTO="Manual",$M193=$A$15),$M193&gt;(ROW(PLE.lastrow)-ROW(PLE.firstrow))),0,
           IF(OFFSET(PLE!$G$15,$M193-$A$15,DA$13)="",10^12,OFFSET(PLE!$G$15,$M193-$A$15,DA$13)))</f>
        <v>1000000000000</v>
      </c>
      <c r="DB193" s="354" t="n">
        <f aca="true">IF(OR($D193&lt;&gt;"Serviço",AND(AUTOEVENTO="Manual",$M193=$A$15),$M193&gt;(ROW(PLE.lastrow)-ROW(PLE.firstrow))),0,
           IF(OFFSET(PLE!$G$15,$M193-$A$15,DB$13)="",10^12,OFFSET(PLE!$G$15,$M193-$A$15,DB$13)))</f>
        <v>1000000000000</v>
      </c>
      <c r="DC193" s="354" t="n">
        <f aca="true">IF(OR($D193&lt;&gt;"Serviço",AND(AUTOEVENTO="Manual",$M193=$A$15),$M193&gt;(ROW(PLE.lastrow)-ROW(PLE.firstrow))),0,
           IF(OFFSET(PLE!$G$15,$M193-$A$15,DC$13)="",10^12,OFFSET(PLE!$G$15,$M193-$A$15,DC$13)))</f>
        <v>1000000000000</v>
      </c>
      <c r="DD193" s="354" t="n">
        <f aca="true">IF(OR($D193&lt;&gt;"Serviço",AND(AUTOEVENTO="Manual",$M193=$A$15),$M193&gt;(ROW(PLE.lastrow)-ROW(PLE.firstrow))),0,
           IF(OFFSET(PLE!$G$15,$M193-$A$15,DD$13)="",10^12,OFFSET(PLE!$G$15,$M193-$A$15,DD$13)))</f>
        <v>1000000000000</v>
      </c>
      <c r="DE193" s="354" t="n">
        <f aca="true">IF(OR($D193&lt;&gt;"Serviço",AND(AUTOEVENTO="Manual",$M193=$A$15),$M193&gt;(ROW(PLE.lastrow)-ROW(PLE.firstrow))),0,
           IF(OFFSET(PLE!$G$15,$M193-$A$15,DE$13)="",10^12,OFFSET(PLE!$G$15,$M193-$A$15,DE$13)))</f>
        <v>1000000000000</v>
      </c>
      <c r="DF193" s="354" t="n">
        <f aca="true">IF(OR($D193&lt;&gt;"Serviço",AND(AUTOEVENTO="Manual",$M193=$A$15),$M193&gt;(ROW(PLE.lastrow)-ROW(PLE.firstrow))),0,
           IF(OFFSET(PLE!$G$15,$M193-$A$15,DF$13)="",10^12,OFFSET(PLE!$G$15,$M193-$A$15,DF$13)))</f>
        <v>1000000000000</v>
      </c>
      <c r="DG193" s="354" t="n">
        <f aca="true">IF(OR($D193&lt;&gt;"Serviço",AND(AUTOEVENTO="Manual",$M193=$A$15),$M193&gt;(ROW(PLE.lastrow)-ROW(PLE.firstrow))),0,
           IF(OFFSET(PLE!$G$15,$M193-$A$15,DG$13)="",10^12,OFFSET(PLE!$G$15,$M193-$A$15,DG$13)))</f>
        <v>1000000000000</v>
      </c>
      <c r="DH193" s="354" t="n">
        <f aca="true">IF(OR($D193&lt;&gt;"Serviço",AND(AUTOEVENTO="Manual",$M193=$A$15),$M193&gt;(ROW(PLE.lastrow)-ROW(PLE.firstrow))),0,
           IF(OFFSET(PLE!$G$15,$M193-$A$15,DH$13)="",10^12,OFFSET(PLE!$G$15,$M193-$A$15,DH$13)))</f>
        <v>1000000000000</v>
      </c>
      <c r="DI193" s="354" t="n">
        <f aca="true">IF(OR($D193&lt;&gt;"Serviço",AND(AUTOEVENTO="Manual",$M193=$A$15),$M193&gt;(ROW(PLE.lastrow)-ROW(PLE.firstrow))),0,
           IF(OFFSET(PLE!$G$15,$M193-$A$15,DI$13)="",10^12,OFFSET(PLE!$G$15,$M193-$A$15,DI$13)))</f>
        <v>1000000000000</v>
      </c>
      <c r="DJ193" s="354" t="n">
        <f aca="true">IF(OR($D193&lt;&gt;"Serviço",AND(AUTOEVENTO="Manual",$M193=$A$15),$M193&gt;(ROW(PLE.lastrow)-ROW(PLE.firstrow))),0,
           IF(OFFSET(PLE!$G$15,$M193-$A$15,DJ$13)="",10^12,OFFSET(PLE!$G$15,$M193-$A$15,DJ$13)))</f>
        <v>1000000000000</v>
      </c>
      <c r="DK193" s="354" t="n">
        <f aca="true">IF(OR($D193&lt;&gt;"Serviço",AND(AUTOEVENTO="Manual",$M193=$A$15),$M193&gt;(ROW(PLE.lastrow)-ROW(PLE.firstrow))),0,
           IF(OFFSET(PLE!$G$15,$M193-$A$15,DK$13)="",10^12,OFFSET(PLE!$G$15,$M193-$A$15,DK$13)))</f>
        <v>1000000000000</v>
      </c>
      <c r="DL193" s="354" t="n">
        <f aca="true">IF(OR($D193&lt;&gt;"Serviço",AND(AUTOEVENTO="Manual",$M193=$A$15),$M193&gt;(ROW(PLE.lastrow)-ROW(PLE.firstrow))),0,
           IF(OFFSET(PLE!$G$15,$M193-$A$15,DL$13)="",10^12,OFFSET(PLE!$G$15,$M193-$A$15,DL$13)))</f>
        <v>1000000000000</v>
      </c>
      <c r="DM193" s="354" t="n">
        <f aca="true">IF(OR($D193&lt;&gt;"Serviço",AND(AUTOEVENTO="Manual",$M193=$A$15),$M193&gt;(ROW(PLE.lastrow)-ROW(PLE.firstrow))),0,
           IF(OFFSET(PLE!$G$15,$M193-$A$15,DM$13)="",10^12,OFFSET(PLE!$G$15,$M193-$A$15,DM$13)))</f>
        <v>1000000000000</v>
      </c>
      <c r="DN193" s="354" t="n">
        <f aca="true">IF(OR($D193&lt;&gt;"Serviço",AND(AUTOEVENTO="Manual",$M193=$A$15),$M193&gt;(ROW(PLE.lastrow)-ROW(PLE.firstrow))),0,
           IF(OFFSET(PLE!$G$15,$M193-$A$15,DN$13)="",10^12,OFFSET(PLE!$G$15,$M193-$A$15,DN$13)))</f>
        <v>1000000000000</v>
      </c>
      <c r="DO193" s="354" t="n">
        <f aca="true">IF(OR($D193&lt;&gt;"Serviço",AND(AUTOEVENTO="Manual",$M193=$A$15),$M193&gt;(ROW(PLE.lastrow)-ROW(PLE.firstrow))),0,
           IF(OFFSET(PLE!$G$15,$M193-$A$15,DO$13)="",10^12,OFFSET(PLE!$G$15,$M193-$A$15,DO$13)))</f>
        <v>1000000000000</v>
      </c>
      <c r="DP193" s="354" t="n">
        <f aca="true">IF(OR($D193&lt;&gt;"Serviço",AND(AUTOEVENTO="Manual",$M193=$A$15),$M193&gt;(ROW(PLE.lastrow)-ROW(PLE.firstrow))),0,
           IF(OFFSET(PLE!$G$15,$M193-$A$15,DP$13)="",10^12,OFFSET(PLE!$G$15,$M193-$A$15,DP$13)))</f>
        <v>1000000000000</v>
      </c>
      <c r="DQ193" s="354" t="n">
        <f aca="true">IF(OR($D193&lt;&gt;"Serviço",AND(AUTOEVENTO="Manual",$M193=$A$15),$M193&gt;(ROW(PLE.lastrow)-ROW(PLE.firstrow))),0,
           IF(OFFSET(PLE!$G$15,$M193-$A$15,DQ$13)="",10^12,OFFSET(PLE!$G$15,$M193-$A$15,DQ$13)))</f>
        <v>1000000000000</v>
      </c>
      <c r="DR193" s="354" t="n">
        <f aca="true">IF(OR($D193&lt;&gt;"Serviço",AND(AUTOEVENTO="Manual",$M193=$A$15),$M193&gt;(ROW(PLE.lastrow)-ROW(PLE.firstrow))),0,
           IF(OFFSET(PLE!$G$15,$M193-$A$15,DR$13)="",10^12,OFFSET(PLE!$G$15,$M193-$A$15,DR$13)))</f>
        <v>1000000000000</v>
      </c>
      <c r="DS193" s="354" t="n">
        <f aca="true">IF(OR($D193&lt;&gt;"Serviço",AND(AUTOEVENTO="Manual",$M193=$A$15),$M193&gt;(ROW(PLE.lastrow)-ROW(PLE.firstrow))),0,
           IF(OFFSET(PLE!$G$15,$M193-$A$15,DS$13)="",10^12,OFFSET(PLE!$G$15,$M193-$A$15,DS$13)))</f>
        <v>1000000000000</v>
      </c>
    </row>
    <row r="194" customFormat="false" ht="23.85" hidden="false" customHeight="false" outlineLevel="0" collapsed="false">
      <c r="A194" s="50" t="str">
        <f aca="true">IFERROR(IF(AUTOEVENTO="Manual",IF(K194&lt;&gt;"",MIN(VALUE(LEFT(K194,FIND(".",K194)-1)),COUNTA(EVENTOS.Lista)),0),IF(OR($B194&gt;AUTOEVENTO,$B194="S",$B194=0),SUBSTITUTE(OFFSET($A194,-1,0),IF($D194="Serviço",".",""),""),ROW(A194)-ROW($A$15)&amp;".")),0)</f>
        <v>174</v>
      </c>
      <c r="B194" s="50" t="str">
        <f aca="true">OFFSET(ORÇAMENTO!C$15,ROW(B194)-ROW(B$15),0)</f>
        <v>S</v>
      </c>
      <c r="C194" s="50" t="str">
        <f aca="true">OFFSET(ORÇAMENTO!L$15,ROW(C194)-ROW(C$15),0)</f>
        <v>F</v>
      </c>
      <c r="D194" s="201" t="str">
        <f aca="true">OFFSET(ORÇAMENTO!N$15,ROW(D194)-ROW(D$15),0)</f>
        <v>Serviço</v>
      </c>
      <c r="E194" s="202" t="str">
        <f aca="true">OFFSET(ORÇAMENTO!O$15,ROW(E194)-ROW(E$15),0)</f>
        <v>1.47.5.</v>
      </c>
      <c r="F194" s="341" t="str">
        <f aca="true">OFFSET(ORÇAMENTO!R$15,ROW(F194)-ROW(F$15),0)</f>
        <v>CHUVEIRO ELÉTRICO COMUM CORPO PLÁSTICO, TIPO DUCHA - FORNECIMENTO E INSTALAÇÃO. AF_01/2020</v>
      </c>
      <c r="G194" s="342" t="str">
        <f aca="true">IF($D194&lt;&gt;"Serviço","",OFFSET(ORÇAMENTO!S$15,ROW(G194)-ROW(G$15),0))</f>
        <v>UN</v>
      </c>
      <c r="H194" s="207" t="n">
        <f aca="true">IF($D194&lt;&gt;"Serviço",0,IF(ACOMPANHAMENTO="BM",ROUND(OFFSET(ORÇAMENTO!AJ$15,ROW(H194)-ROW(H$15),0),15-13*ORÇAMENTO!$AF$7),SUMPRODUCT(($Q$1:$AQ$1=1)*ROUND($Q194:$AQ194,15-13*ORÇAMENTO!$AF$7))))</f>
        <v>25</v>
      </c>
      <c r="I194" s="343" t="s">
        <v>969</v>
      </c>
      <c r="J194" s="344" t="e">
        <f aca="false">IF(OR(B194&lt;&gt;"S",CÁLCULO.FrentesPreenchidas=0),"",IF(AND(ACOMPANHAMENTO="PLE",AUTOEVENTO="Manual",OR(H194&gt;0,ORÇAMENTO!AC194="QUANT."),OR(K194="",M194=0,N194="")),"►",IF(AND(ACOMPANHAMENTO="PLE",ORÇAMENTO!AC194="QUANT."),"►►",IF(AND(COUNTIF($P$11:$AQ$11,"▼")=0,H194&gt;0,I194=""),"◄",""))))</f>
        <v>#NAME?</v>
      </c>
      <c r="K194" s="345"/>
      <c r="L194" s="346" t="s">
        <v>876</v>
      </c>
      <c r="M194" s="347" t="n">
        <f aca="true">IF($D194&lt;&gt;"Serviço","",
          IF(AUTOEVENTO="manual",$A194,
                IF(ISERROR(MATCH($A194,$A$15:OFFSET($A194,-1,0),0)),MAX($M$15:OFFSET(M194,-1,0))+1,
                      INDEX($M$15:OFFSET(M194,-1,0),MATCH($A194,$A$15:OFFSET($A194,-1,0),0)))))</f>
        <v>30</v>
      </c>
      <c r="N194" s="348" t="str">
        <f aca="true">IF($D194&lt;&gt;"Serviço","",
         IF(AUTOEVENTO="Manual",
                IF($A194=0,"&lt;-- defina o número do agrupador",
                       OFFSET(EVENTOS!$D$15,$A194-$A$15,0)),
                OFFSET($F$15,$A194,0)))</f>
        <v>APARELHOS, METAIS E BANCADAS</v>
      </c>
      <c r="O194" s="349"/>
      <c r="Q194" s="349" t="n">
        <v>1</v>
      </c>
      <c r="R194" s="350" t="n">
        <v>1</v>
      </c>
      <c r="S194" s="350" t="n">
        <v>1</v>
      </c>
      <c r="T194" s="350" t="n">
        <v>1</v>
      </c>
      <c r="U194" s="350" t="n">
        <v>1</v>
      </c>
      <c r="V194" s="350" t="n">
        <v>1</v>
      </c>
      <c r="W194" s="350" t="n">
        <v>1</v>
      </c>
      <c r="X194" s="350" t="n">
        <v>1</v>
      </c>
      <c r="Y194" s="350" t="n">
        <v>1</v>
      </c>
      <c r="Z194" s="351" t="n">
        <v>1</v>
      </c>
      <c r="AA194" s="350" t="n">
        <v>1</v>
      </c>
      <c r="AB194" s="350" t="n">
        <v>1</v>
      </c>
      <c r="AC194" s="350" t="n">
        <v>1</v>
      </c>
      <c r="AD194" s="350" t="n">
        <v>1</v>
      </c>
      <c r="AE194" s="350" t="n">
        <v>1</v>
      </c>
      <c r="AF194" s="350" t="n">
        <v>1</v>
      </c>
      <c r="AG194" s="350" t="n">
        <v>1</v>
      </c>
      <c r="AH194" s="351" t="n">
        <v>1</v>
      </c>
      <c r="AI194" s="350" t="n">
        <v>1</v>
      </c>
      <c r="AJ194" s="350" t="n">
        <v>1</v>
      </c>
      <c r="AK194" s="350" t="n">
        <v>1</v>
      </c>
      <c r="AL194" s="350" t="n">
        <v>1</v>
      </c>
      <c r="AM194" s="350" t="n">
        <v>1</v>
      </c>
      <c r="AN194" s="350" t="n">
        <v>1</v>
      </c>
      <c r="AO194" s="350" t="n">
        <v>1</v>
      </c>
      <c r="AP194" s="351"/>
      <c r="AR194" s="352" t="n">
        <f aca="true">IF(AND($D194="Serviço",AR$12&lt;&gt;0,$H194&gt;0,OR(AUTOEVENTO&lt;&gt;"manual",$M194&lt;&gt;$A$15)),
        IF(Import.TipoArredondamento&lt;&gt;"TransfereGOV",
              ROUND(OFFSET($P194,0,AR$13),15-13*ORÇAMENTO!$AF$7)/$H194*OFFSET(ORÇAMENTO!$X$15,ROW(AR194)-ROW(AR$15),0),
              ROUND(ROUND(OFFSET($P194,0,AR$13),15-13*ORÇAMENTO!$AF$7)*OFFSET(ORÇAMENTO!$W$15,ROW(AR194)-ROW(AR$15),0),15-13*ORÇAMENTO!$AF$11)),
         0)</f>
        <v>134.81</v>
      </c>
      <c r="AS194" s="352" t="n">
        <f aca="true">IF(AND($D194="Serviço",AS$12&lt;&gt;0,$H194&gt;0,OR(AUTOEVENTO&lt;&gt;"manual",$M194&lt;&gt;$A$15)),
        IF(Import.TipoArredondamento&lt;&gt;"TransfereGOV",
              ROUND(OFFSET($P194,0,AS$13),15-13*ORÇAMENTO!$AF$7)/$H194*OFFSET(ORÇAMENTO!$X$15,ROW(AS194)-ROW(AS$15),0),
              ROUND(ROUND(OFFSET($P194,0,AS$13),15-13*ORÇAMENTO!$AF$7)*OFFSET(ORÇAMENTO!$W$15,ROW(AS194)-ROW(AS$15),0),15-13*ORÇAMENTO!$AF$11)),
         0)</f>
        <v>134.81</v>
      </c>
      <c r="AT194" s="352" t="n">
        <f aca="true">IF(AND($D194="Serviço",AT$12&lt;&gt;0,$H194&gt;0,OR(AUTOEVENTO&lt;&gt;"manual",$M194&lt;&gt;$A$15)),
        IF(Import.TipoArredondamento&lt;&gt;"TransfereGOV",
              ROUND(OFFSET($P194,0,AT$13),15-13*ORÇAMENTO!$AF$7)/$H194*OFFSET(ORÇAMENTO!$X$15,ROW(AT194)-ROW(AT$15),0),
              ROUND(ROUND(OFFSET($P194,0,AT$13),15-13*ORÇAMENTO!$AF$7)*OFFSET(ORÇAMENTO!$W$15,ROW(AT194)-ROW(AT$15),0),15-13*ORÇAMENTO!$AF$11)),
         0)</f>
        <v>134.81</v>
      </c>
      <c r="AU194" s="352" t="n">
        <f aca="true">IF(AND($D194="Serviço",AU$12&lt;&gt;0,$H194&gt;0,OR(AUTOEVENTO&lt;&gt;"manual",$M194&lt;&gt;$A$15)),
        IF(Import.TipoArredondamento&lt;&gt;"TransfereGOV",
              ROUND(OFFSET($P194,0,AU$13),15-13*ORÇAMENTO!$AF$7)/$H194*OFFSET(ORÇAMENTO!$X$15,ROW(AU194)-ROW(AU$15),0),
              ROUND(ROUND(OFFSET($P194,0,AU$13),15-13*ORÇAMENTO!$AF$7)*OFFSET(ORÇAMENTO!$W$15,ROW(AU194)-ROW(AU$15),0),15-13*ORÇAMENTO!$AF$11)),
         0)</f>
        <v>134.81</v>
      </c>
      <c r="AV194" s="352" t="n">
        <f aca="true">IF(AND($D194="Serviço",AV$12&lt;&gt;0,$H194&gt;0,OR(AUTOEVENTO&lt;&gt;"manual",$M194&lt;&gt;$A$15)),
        IF(Import.TipoArredondamento&lt;&gt;"TransfereGOV",
              ROUND(OFFSET($P194,0,AV$13),15-13*ORÇAMENTO!$AF$7)/$H194*OFFSET(ORÇAMENTO!$X$15,ROW(AV194)-ROW(AV$15),0),
              ROUND(ROUND(OFFSET($P194,0,AV$13),15-13*ORÇAMENTO!$AF$7)*OFFSET(ORÇAMENTO!$W$15,ROW(AV194)-ROW(AV$15),0),15-13*ORÇAMENTO!$AF$11)),
         0)</f>
        <v>134.81</v>
      </c>
      <c r="AW194" s="352" t="n">
        <f aca="true">IF(AND($D194="Serviço",AW$12&lt;&gt;0,$H194&gt;0,OR(AUTOEVENTO&lt;&gt;"manual",$M194&lt;&gt;$A$15)),
        IF(Import.TipoArredondamento&lt;&gt;"TransfereGOV",
              ROUND(OFFSET($P194,0,AW$13),15-13*ORÇAMENTO!$AF$7)/$H194*OFFSET(ORÇAMENTO!$X$15,ROW(AW194)-ROW(AW$15),0),
              ROUND(ROUND(OFFSET($P194,0,AW$13),15-13*ORÇAMENTO!$AF$7)*OFFSET(ORÇAMENTO!$W$15,ROW(AW194)-ROW(AW$15),0),15-13*ORÇAMENTO!$AF$11)),
         0)</f>
        <v>134.81</v>
      </c>
      <c r="AX194" s="352" t="n">
        <f aca="true">IF(AND($D194="Serviço",AX$12&lt;&gt;0,$H194&gt;0,OR(AUTOEVENTO&lt;&gt;"manual",$M194&lt;&gt;$A$15)),
        IF(Import.TipoArredondamento&lt;&gt;"TransfereGOV",
              ROUND(OFFSET($P194,0,AX$13),15-13*ORÇAMENTO!$AF$7)/$H194*OFFSET(ORÇAMENTO!$X$15,ROW(AX194)-ROW(AX$15),0),
              ROUND(ROUND(OFFSET($P194,0,AX$13),15-13*ORÇAMENTO!$AF$7)*OFFSET(ORÇAMENTO!$W$15,ROW(AX194)-ROW(AX$15),0),15-13*ORÇAMENTO!$AF$11)),
         0)</f>
        <v>134.81</v>
      </c>
      <c r="AY194" s="352" t="n">
        <f aca="true">IF(AND($D194="Serviço",AY$12&lt;&gt;0,$H194&gt;0,OR(AUTOEVENTO&lt;&gt;"manual",$M194&lt;&gt;$A$15)),
        IF(Import.TipoArredondamento&lt;&gt;"TransfereGOV",
              ROUND(OFFSET($P194,0,AY$13),15-13*ORÇAMENTO!$AF$7)/$H194*OFFSET(ORÇAMENTO!$X$15,ROW(AY194)-ROW(AY$15),0),
              ROUND(ROUND(OFFSET($P194,0,AY$13),15-13*ORÇAMENTO!$AF$7)*OFFSET(ORÇAMENTO!$W$15,ROW(AY194)-ROW(AY$15),0),15-13*ORÇAMENTO!$AF$11)),
         0)</f>
        <v>134.81</v>
      </c>
      <c r="AZ194" s="352" t="n">
        <f aca="true">IF(AND($D194="Serviço",AZ$12&lt;&gt;0,$H194&gt;0,OR(AUTOEVENTO&lt;&gt;"manual",$M194&lt;&gt;$A$15)),
        IF(Import.TipoArredondamento&lt;&gt;"TransfereGOV",
              ROUND(OFFSET($P194,0,AZ$13),15-13*ORÇAMENTO!$AF$7)/$H194*OFFSET(ORÇAMENTO!$X$15,ROW(AZ194)-ROW(AZ$15),0),
              ROUND(ROUND(OFFSET($P194,0,AZ$13),15-13*ORÇAMENTO!$AF$7)*OFFSET(ORÇAMENTO!$W$15,ROW(AZ194)-ROW(AZ$15),0),15-13*ORÇAMENTO!$AF$11)),
         0)</f>
        <v>134.81</v>
      </c>
      <c r="BA194" s="352" t="n">
        <f aca="true">IF(AND($D194="Serviço",BA$12&lt;&gt;0,$H194&gt;0,OR(AUTOEVENTO&lt;&gt;"manual",$M194&lt;&gt;$A$15)),
        IF(Import.TipoArredondamento&lt;&gt;"TransfereGOV",
              ROUND(OFFSET($P194,0,BA$13),15-13*ORÇAMENTO!$AF$7)/$H194*OFFSET(ORÇAMENTO!$X$15,ROW(BA194)-ROW(BA$15),0),
              ROUND(ROUND(OFFSET($P194,0,BA$13),15-13*ORÇAMENTO!$AF$7)*OFFSET(ORÇAMENTO!$W$15,ROW(BA194)-ROW(BA$15),0),15-13*ORÇAMENTO!$AF$11)),
         0)</f>
        <v>134.81</v>
      </c>
      <c r="BB194" s="352" t="n">
        <f aca="true">IF(AND($D194="Serviço",BB$12&lt;&gt;0,$H194&gt;0,OR(AUTOEVENTO&lt;&gt;"manual",$M194&lt;&gt;$A$15)),
        IF(Import.TipoArredondamento&lt;&gt;"TransfereGOV",
              ROUND(OFFSET($P194,0,BB$13),15-13*ORÇAMENTO!$AF$7)/$H194*OFFSET(ORÇAMENTO!$X$15,ROW(BB194)-ROW(BB$15),0),
              ROUND(ROUND(OFFSET($P194,0,BB$13),15-13*ORÇAMENTO!$AF$7)*OFFSET(ORÇAMENTO!$W$15,ROW(BB194)-ROW(BB$15),0),15-13*ORÇAMENTO!$AF$11)),
         0)</f>
        <v>134.81</v>
      </c>
      <c r="BC194" s="352" t="n">
        <f aca="true">IF(AND($D194="Serviço",BC$12&lt;&gt;0,$H194&gt;0,OR(AUTOEVENTO&lt;&gt;"manual",$M194&lt;&gt;$A$15)),
        IF(Import.TipoArredondamento&lt;&gt;"TransfereGOV",
              ROUND(OFFSET($P194,0,BC$13),15-13*ORÇAMENTO!$AF$7)/$H194*OFFSET(ORÇAMENTO!$X$15,ROW(BC194)-ROW(BC$15),0),
              ROUND(ROUND(OFFSET($P194,0,BC$13),15-13*ORÇAMENTO!$AF$7)*OFFSET(ORÇAMENTO!$W$15,ROW(BC194)-ROW(BC$15),0),15-13*ORÇAMENTO!$AF$11)),
         0)</f>
        <v>134.81</v>
      </c>
      <c r="BD194" s="352" t="n">
        <f aca="true">IF(AND($D194="Serviço",BD$12&lt;&gt;0,$H194&gt;0,OR(AUTOEVENTO&lt;&gt;"manual",$M194&lt;&gt;$A$15)),
        IF(Import.TipoArredondamento&lt;&gt;"TransfereGOV",
              ROUND(OFFSET($P194,0,BD$13),15-13*ORÇAMENTO!$AF$7)/$H194*OFFSET(ORÇAMENTO!$X$15,ROW(BD194)-ROW(BD$15),0),
              ROUND(ROUND(OFFSET($P194,0,BD$13),15-13*ORÇAMENTO!$AF$7)*OFFSET(ORÇAMENTO!$W$15,ROW(BD194)-ROW(BD$15),0),15-13*ORÇAMENTO!$AF$11)),
         0)</f>
        <v>134.81</v>
      </c>
      <c r="BE194" s="352" t="n">
        <f aca="true">IF(AND($D194="Serviço",BE$12&lt;&gt;0,$H194&gt;0,OR(AUTOEVENTO&lt;&gt;"manual",$M194&lt;&gt;$A$15)),
        IF(Import.TipoArredondamento&lt;&gt;"TransfereGOV",
              ROUND(OFFSET($P194,0,BE$13),15-13*ORÇAMENTO!$AF$7)/$H194*OFFSET(ORÇAMENTO!$X$15,ROW(BE194)-ROW(BE$15),0),
              ROUND(ROUND(OFFSET($P194,0,BE$13),15-13*ORÇAMENTO!$AF$7)*OFFSET(ORÇAMENTO!$W$15,ROW(BE194)-ROW(BE$15),0),15-13*ORÇAMENTO!$AF$11)),
         0)</f>
        <v>134.81</v>
      </c>
      <c r="BF194" s="352" t="n">
        <f aca="true">IF(AND($D194="Serviço",BF$12&lt;&gt;0,$H194&gt;0,OR(AUTOEVENTO&lt;&gt;"manual",$M194&lt;&gt;$A$15)),
        IF(Import.TipoArredondamento&lt;&gt;"TransfereGOV",
              ROUND(OFFSET($P194,0,BF$13),15-13*ORÇAMENTO!$AF$7)/$H194*OFFSET(ORÇAMENTO!$X$15,ROW(BF194)-ROW(BF$15),0),
              ROUND(ROUND(OFFSET($P194,0,BF$13),15-13*ORÇAMENTO!$AF$7)*OFFSET(ORÇAMENTO!$W$15,ROW(BF194)-ROW(BF$15),0),15-13*ORÇAMENTO!$AF$11)),
         0)</f>
        <v>134.81</v>
      </c>
      <c r="BG194" s="352" t="n">
        <f aca="true">IF(AND($D194="Serviço",BG$12&lt;&gt;0,$H194&gt;0,OR(AUTOEVENTO&lt;&gt;"manual",$M194&lt;&gt;$A$15)),
        IF(Import.TipoArredondamento&lt;&gt;"TransfereGOV",
              ROUND(OFFSET($P194,0,BG$13),15-13*ORÇAMENTO!$AF$7)/$H194*OFFSET(ORÇAMENTO!$X$15,ROW(BG194)-ROW(BG$15),0),
              ROUND(ROUND(OFFSET($P194,0,BG$13),15-13*ORÇAMENTO!$AF$7)*OFFSET(ORÇAMENTO!$W$15,ROW(BG194)-ROW(BG$15),0),15-13*ORÇAMENTO!$AF$11)),
         0)</f>
        <v>134.81</v>
      </c>
      <c r="BH194" s="352" t="n">
        <f aca="true">IF(AND($D194="Serviço",BH$12&lt;&gt;0,$H194&gt;0,OR(AUTOEVENTO&lt;&gt;"manual",$M194&lt;&gt;$A$15)),
        IF(Import.TipoArredondamento&lt;&gt;"TransfereGOV",
              ROUND(OFFSET($P194,0,BH$13),15-13*ORÇAMENTO!$AF$7)/$H194*OFFSET(ORÇAMENTO!$X$15,ROW(BH194)-ROW(BH$15),0),
              ROUND(ROUND(OFFSET($P194,0,BH$13),15-13*ORÇAMENTO!$AF$7)*OFFSET(ORÇAMENTO!$W$15,ROW(BH194)-ROW(BH$15),0),15-13*ORÇAMENTO!$AF$11)),
         0)</f>
        <v>134.81</v>
      </c>
      <c r="BI194" s="352" t="n">
        <f aca="true">IF(AND($D194="Serviço",BI$12&lt;&gt;0,$H194&gt;0,OR(AUTOEVENTO&lt;&gt;"manual",$M194&lt;&gt;$A$15)),
        IF(Import.TipoArredondamento&lt;&gt;"TransfereGOV",
              ROUND(OFFSET($P194,0,BI$13),15-13*ORÇAMENTO!$AF$7)/$H194*OFFSET(ORÇAMENTO!$X$15,ROW(BI194)-ROW(BI$15),0),
              ROUND(ROUND(OFFSET($P194,0,BI$13),15-13*ORÇAMENTO!$AF$7)*OFFSET(ORÇAMENTO!$W$15,ROW(BI194)-ROW(BI$15),0),15-13*ORÇAMENTO!$AF$11)),
         0)</f>
        <v>134.81</v>
      </c>
      <c r="BJ194" s="352" t="n">
        <f aca="true">IF(AND($D194="Serviço",BJ$12&lt;&gt;0,$H194&gt;0,OR(AUTOEVENTO&lt;&gt;"manual",$M194&lt;&gt;$A$15)),
        IF(Import.TipoArredondamento&lt;&gt;"TransfereGOV",
              ROUND(OFFSET($P194,0,BJ$13),15-13*ORÇAMENTO!$AF$7)/$H194*OFFSET(ORÇAMENTO!$X$15,ROW(BJ194)-ROW(BJ$15),0),
              ROUND(ROUND(OFFSET($P194,0,BJ$13),15-13*ORÇAMENTO!$AF$7)*OFFSET(ORÇAMENTO!$W$15,ROW(BJ194)-ROW(BJ$15),0),15-13*ORÇAMENTO!$AF$11)),
         0)</f>
        <v>134.81</v>
      </c>
      <c r="BK194" s="352" t="n">
        <f aca="true">IF(AND($D194="Serviço",BK$12&lt;&gt;0,$H194&gt;0,OR(AUTOEVENTO&lt;&gt;"manual",$M194&lt;&gt;$A$15)),
        IF(Import.TipoArredondamento&lt;&gt;"TransfereGOV",
              ROUND(OFFSET($P194,0,BK$13),15-13*ORÇAMENTO!$AF$7)/$H194*OFFSET(ORÇAMENTO!$X$15,ROW(BK194)-ROW(BK$15),0),
              ROUND(ROUND(OFFSET($P194,0,BK$13),15-13*ORÇAMENTO!$AF$7)*OFFSET(ORÇAMENTO!$W$15,ROW(BK194)-ROW(BK$15),0),15-13*ORÇAMENTO!$AF$11)),
         0)</f>
        <v>134.81</v>
      </c>
      <c r="BL194" s="352" t="n">
        <f aca="true">IF(AND($D194="Serviço",BL$12&lt;&gt;0,$H194&gt;0,OR(AUTOEVENTO&lt;&gt;"manual",$M194&lt;&gt;$A$15)),
        IF(Import.TipoArredondamento&lt;&gt;"TransfereGOV",
              ROUND(OFFSET($P194,0,BL$13),15-13*ORÇAMENTO!$AF$7)/$H194*OFFSET(ORÇAMENTO!$X$15,ROW(BL194)-ROW(BL$15),0),
              ROUND(ROUND(OFFSET($P194,0,BL$13),15-13*ORÇAMENTO!$AF$7)*OFFSET(ORÇAMENTO!$W$15,ROW(BL194)-ROW(BL$15),0),15-13*ORÇAMENTO!$AF$11)),
         0)</f>
        <v>134.81</v>
      </c>
      <c r="BM194" s="352" t="n">
        <f aca="true">IF(AND($D194="Serviço",BM$12&lt;&gt;0,$H194&gt;0,OR(AUTOEVENTO&lt;&gt;"manual",$M194&lt;&gt;$A$15)),
        IF(Import.TipoArredondamento&lt;&gt;"TransfereGOV",
              ROUND(OFFSET($P194,0,BM$13),15-13*ORÇAMENTO!$AF$7)/$H194*OFFSET(ORÇAMENTO!$X$15,ROW(BM194)-ROW(BM$15),0),
              ROUND(ROUND(OFFSET($P194,0,BM$13),15-13*ORÇAMENTO!$AF$7)*OFFSET(ORÇAMENTO!$W$15,ROW(BM194)-ROW(BM$15),0),15-13*ORÇAMENTO!$AF$11)),
         0)</f>
        <v>134.81</v>
      </c>
      <c r="BN194" s="352" t="n">
        <f aca="true">IF(AND($D194="Serviço",BN$12&lt;&gt;0,$H194&gt;0,OR(AUTOEVENTO&lt;&gt;"manual",$M194&lt;&gt;$A$15)),
        IF(Import.TipoArredondamento&lt;&gt;"TransfereGOV",
              ROUND(OFFSET($P194,0,BN$13),15-13*ORÇAMENTO!$AF$7)/$H194*OFFSET(ORÇAMENTO!$X$15,ROW(BN194)-ROW(BN$15),0),
              ROUND(ROUND(OFFSET($P194,0,BN$13),15-13*ORÇAMENTO!$AF$7)*OFFSET(ORÇAMENTO!$W$15,ROW(BN194)-ROW(BN$15),0),15-13*ORÇAMENTO!$AF$11)),
         0)</f>
        <v>134.81</v>
      </c>
      <c r="BO194" s="352" t="n">
        <f aca="true">IF(AND($D194="Serviço",BO$12&lt;&gt;0,$H194&gt;0,OR(AUTOEVENTO&lt;&gt;"manual",$M194&lt;&gt;$A$15)),
        IF(Import.TipoArredondamento&lt;&gt;"TransfereGOV",
              ROUND(OFFSET($P194,0,BO$13),15-13*ORÇAMENTO!$AF$7)/$H194*OFFSET(ORÇAMENTO!$X$15,ROW(BO194)-ROW(BO$15),0),
              ROUND(ROUND(OFFSET($P194,0,BO$13),15-13*ORÇAMENTO!$AF$7)*OFFSET(ORÇAMENTO!$W$15,ROW(BO194)-ROW(BO$15),0),15-13*ORÇAMENTO!$AF$11)),
         0)</f>
        <v>134.81</v>
      </c>
      <c r="BP194" s="352" t="n">
        <f aca="true">IF(AND($D194="Serviço",BP$12&lt;&gt;0,$H194&gt;0,OR(AUTOEVENTO&lt;&gt;"manual",$M194&lt;&gt;$A$15)),
        IF(Import.TipoArredondamento&lt;&gt;"TransfereGOV",
              ROUND(OFFSET($P194,0,BP$13),15-13*ORÇAMENTO!$AF$7)/$H194*OFFSET(ORÇAMENTO!$X$15,ROW(BP194)-ROW(BP$15),0),
              ROUND(ROUND(OFFSET($P194,0,BP$13),15-13*ORÇAMENTO!$AF$7)*OFFSET(ORÇAMENTO!$W$15,ROW(BP194)-ROW(BP$15),0),15-13*ORÇAMENTO!$AF$11)),
         0)</f>
        <v>134.81</v>
      </c>
      <c r="BQ194" s="352" t="n">
        <f aca="true">IF(AND($D194="Serviço",BQ$12&lt;&gt;0,$H194&gt;0,OR(AUTOEVENTO&lt;&gt;"manual",$M194&lt;&gt;$A$15)),
        IF(Import.TipoArredondamento&lt;&gt;"TransfereGOV",
              ROUND(OFFSET($P194,0,BQ$13),15-13*ORÇAMENTO!$AF$7)/$H194*OFFSET(ORÇAMENTO!$X$15,ROW(BQ194)-ROW(BQ$15),0),
              ROUND(ROUND(OFFSET($P194,0,BQ$13),15-13*ORÇAMENTO!$AF$7)*OFFSET(ORÇAMENTO!$W$15,ROW(BQ194)-ROW(BQ$15),0),15-13*ORÇAMENTO!$AF$11)),
         0)</f>
        <v>0</v>
      </c>
      <c r="BS194" s="353" t="n">
        <f aca="true">IF(OR($D194&lt;&gt;"Serviço",AND(AUTOEVENTO="Manual",$M194=$A$15)),0,
         IF(OFFSET(CRONOPLE!$F$15,$M194-$A$15,BS$13)=0,10^12,OFFSET(CRONOPLE!$F$15,$M194-$A$15,BS$13)))</f>
        <v>1</v>
      </c>
      <c r="BT194" s="353" t="n">
        <f aca="true">IF(OR($D194&lt;&gt;"Serviço",AND(AUTOEVENTO="Manual",$M194=$A$15)),0,
         IF(OFFSET(CRONOPLE!$F$15,$M194-$A$15,BT$13)=0,10^12,OFFSET(CRONOPLE!$F$15,$M194-$A$15,BT$13)))</f>
        <v>2</v>
      </c>
      <c r="BU194" s="353" t="n">
        <f aca="true">IF(OR($D194&lt;&gt;"Serviço",AND(AUTOEVENTO="Manual",$M194=$A$15)),0,
         IF(OFFSET(CRONOPLE!$F$15,$M194-$A$15,BU$13)=0,10^12,OFFSET(CRONOPLE!$F$15,$M194-$A$15,BU$13)))</f>
        <v>3</v>
      </c>
      <c r="BV194" s="353" t="n">
        <f aca="true">IF(OR($D194&lt;&gt;"Serviço",AND(AUTOEVENTO="Manual",$M194=$A$15)),0,
         IF(OFFSET(CRONOPLE!$F$15,$M194-$A$15,BV$13)=0,10^12,OFFSET(CRONOPLE!$F$15,$M194-$A$15,BV$13)))</f>
        <v>4</v>
      </c>
      <c r="BW194" s="353" t="n">
        <f aca="true">IF(OR($D194&lt;&gt;"Serviço",AND(AUTOEVENTO="Manual",$M194=$A$15)),0,
         IF(OFFSET(CRONOPLE!$F$15,$M194-$A$15,BW$13)=0,10^12,OFFSET(CRONOPLE!$F$15,$M194-$A$15,BW$13)))</f>
        <v>5</v>
      </c>
      <c r="BX194" s="353" t="n">
        <f aca="true">IF(OR($D194&lt;&gt;"Serviço",AND(AUTOEVENTO="Manual",$M194=$A$15)),0,
         IF(OFFSET(CRONOPLE!$F$15,$M194-$A$15,BX$13)=0,10^12,OFFSET(CRONOPLE!$F$15,$M194-$A$15,BX$13)))</f>
        <v>6</v>
      </c>
      <c r="BY194" s="353" t="n">
        <f aca="true">IF(OR($D194&lt;&gt;"Serviço",AND(AUTOEVENTO="Manual",$M194=$A$15)),0,
         IF(OFFSET(CRONOPLE!$F$15,$M194-$A$15,BY$13)=0,10^12,OFFSET(CRONOPLE!$F$15,$M194-$A$15,BY$13)))</f>
        <v>7</v>
      </c>
      <c r="BZ194" s="353" t="n">
        <f aca="true">IF(OR($D194&lt;&gt;"Serviço",AND(AUTOEVENTO="Manual",$M194=$A$15)),0,
         IF(OFFSET(CRONOPLE!$F$15,$M194-$A$15,BZ$13)=0,10^12,OFFSET(CRONOPLE!$F$15,$M194-$A$15,BZ$13)))</f>
        <v>8</v>
      </c>
      <c r="CA194" s="353" t="n">
        <f aca="true">IF(OR($D194&lt;&gt;"Serviço",AND(AUTOEVENTO="Manual",$M194=$A$15)),0,
         IF(OFFSET(CRONOPLE!$F$15,$M194-$A$15,CA$13)=0,10^12,OFFSET(CRONOPLE!$F$15,$M194-$A$15,CA$13)))</f>
        <v>9</v>
      </c>
      <c r="CB194" s="353" t="n">
        <f aca="true">IF(OR($D194&lt;&gt;"Serviço",AND(AUTOEVENTO="Manual",$M194=$A$15)),0,
         IF(OFFSET(CRONOPLE!$F$15,$M194-$A$15,CB$13)=0,10^12,OFFSET(CRONOPLE!$F$15,$M194-$A$15,CB$13)))</f>
        <v>10</v>
      </c>
      <c r="CC194" s="353" t="n">
        <f aca="true">IF(OR($D194&lt;&gt;"Serviço",AND(AUTOEVENTO="Manual",$M194=$A$15)),0,
         IF(OFFSET(CRONOPLE!$F$15,$M194-$A$15,CC$13)=0,10^12,OFFSET(CRONOPLE!$F$15,$M194-$A$15,CC$13)))</f>
        <v>11</v>
      </c>
      <c r="CD194" s="353" t="n">
        <f aca="true">IF(OR($D194&lt;&gt;"Serviço",AND(AUTOEVENTO="Manual",$M194=$A$15)),0,
         IF(OFFSET(CRONOPLE!$F$15,$M194-$A$15,CD$13)=0,10^12,OFFSET(CRONOPLE!$F$15,$M194-$A$15,CD$13)))</f>
        <v>12</v>
      </c>
      <c r="CE194" s="353" t="n">
        <f aca="true">IF(OR($D194&lt;&gt;"Serviço",AND(AUTOEVENTO="Manual",$M194=$A$15)),0,
         IF(OFFSET(CRONOPLE!$F$15,$M194-$A$15,CE$13)=0,10^12,OFFSET(CRONOPLE!$F$15,$M194-$A$15,CE$13)))</f>
        <v>13</v>
      </c>
      <c r="CF194" s="353" t="n">
        <f aca="true">IF(OR($D194&lt;&gt;"Serviço",AND(AUTOEVENTO="Manual",$M194=$A$15)),0,
         IF(OFFSET(CRONOPLE!$F$15,$M194-$A$15,CF$13)=0,10^12,OFFSET(CRONOPLE!$F$15,$M194-$A$15,CF$13)))</f>
        <v>14</v>
      </c>
      <c r="CG194" s="353" t="n">
        <f aca="true">IF(OR($D194&lt;&gt;"Serviço",AND(AUTOEVENTO="Manual",$M194=$A$15)),0,
         IF(OFFSET(CRONOPLE!$F$15,$M194-$A$15,CG$13)=0,10^12,OFFSET(CRONOPLE!$F$15,$M194-$A$15,CG$13)))</f>
        <v>15</v>
      </c>
      <c r="CH194" s="353" t="n">
        <f aca="true">IF(OR($D194&lt;&gt;"Serviço",AND(AUTOEVENTO="Manual",$M194=$A$15)),0,
         IF(OFFSET(CRONOPLE!$F$15,$M194-$A$15,CH$13)=0,10^12,OFFSET(CRONOPLE!$F$15,$M194-$A$15,CH$13)))</f>
        <v>16</v>
      </c>
      <c r="CI194" s="353" t="n">
        <f aca="true">IF(OR($D194&lt;&gt;"Serviço",AND(AUTOEVENTO="Manual",$M194=$A$15)),0,
         IF(OFFSET(CRONOPLE!$F$15,$M194-$A$15,CI$13)=0,10^12,OFFSET(CRONOPLE!$F$15,$M194-$A$15,CI$13)))</f>
        <v>17</v>
      </c>
      <c r="CJ194" s="353" t="n">
        <f aca="true">IF(OR($D194&lt;&gt;"Serviço",AND(AUTOEVENTO="Manual",$M194=$A$15)),0,
         IF(OFFSET(CRONOPLE!$F$15,$M194-$A$15,CJ$13)=0,10^12,OFFSET(CRONOPLE!$F$15,$M194-$A$15,CJ$13)))</f>
        <v>18</v>
      </c>
      <c r="CK194" s="353" t="n">
        <f aca="true">IF(OR($D194&lt;&gt;"Serviço",AND(AUTOEVENTO="Manual",$M194=$A$15)),0,
         IF(OFFSET(CRONOPLE!$F$15,$M194-$A$15,CK$13)=0,10^12,OFFSET(CRONOPLE!$F$15,$M194-$A$15,CK$13)))</f>
        <v>19</v>
      </c>
      <c r="CL194" s="353" t="n">
        <f aca="true">IF(OR($D194&lt;&gt;"Serviço",AND(AUTOEVENTO="Manual",$M194=$A$15)),0,
         IF(OFFSET(CRONOPLE!$F$15,$M194-$A$15,CL$13)=0,10^12,OFFSET(CRONOPLE!$F$15,$M194-$A$15,CL$13)))</f>
        <v>20</v>
      </c>
      <c r="CM194" s="353" t="n">
        <f aca="true">IF(OR($D194&lt;&gt;"Serviço",AND(AUTOEVENTO="Manual",$M194=$A$15)),0,
         IF(OFFSET(CRONOPLE!$F$15,$M194-$A$15,CM$13)=0,10^12,OFFSET(CRONOPLE!$F$15,$M194-$A$15,CM$13)))</f>
        <v>21</v>
      </c>
      <c r="CN194" s="353" t="n">
        <f aca="true">IF(OR($D194&lt;&gt;"Serviço",AND(AUTOEVENTO="Manual",$M194=$A$15)),0,
         IF(OFFSET(CRONOPLE!$F$15,$M194-$A$15,CN$13)=0,10^12,OFFSET(CRONOPLE!$F$15,$M194-$A$15,CN$13)))</f>
        <v>22</v>
      </c>
      <c r="CO194" s="353" t="n">
        <f aca="true">IF(OR($D194&lt;&gt;"Serviço",AND(AUTOEVENTO="Manual",$M194=$A$15)),0,
         IF(OFFSET(CRONOPLE!$F$15,$M194-$A$15,CO$13)=0,10^12,OFFSET(CRONOPLE!$F$15,$M194-$A$15,CO$13)))</f>
        <v>23</v>
      </c>
      <c r="CP194" s="353" t="n">
        <f aca="true">IF(OR($D194&lt;&gt;"Serviço",AND(AUTOEVENTO="Manual",$M194=$A$15)),0,
         IF(OFFSET(CRONOPLE!$F$15,$M194-$A$15,CP$13)=0,10^12,OFFSET(CRONOPLE!$F$15,$M194-$A$15,CP$13)))</f>
        <v>24</v>
      </c>
      <c r="CQ194" s="353" t="n">
        <f aca="true">IF(OR($D194&lt;&gt;"Serviço",AND(AUTOEVENTO="Manual",$M194=$A$15)),0,
         IF(OFFSET(CRONOPLE!$F$15,$M194-$A$15,CQ$13)=0,10^12,OFFSET(CRONOPLE!$F$15,$M194-$A$15,CQ$13)))</f>
        <v>25</v>
      </c>
      <c r="CR194" s="353" t="n">
        <f aca="true">IF(OR($D194&lt;&gt;"Serviço",AND(AUTOEVENTO="Manual",$M194=$A$15)),0,
         IF(OFFSET(CRONOPLE!$F$15,$M194-$A$15,CR$13)=0,10^12,OFFSET(CRONOPLE!$F$15,$M194-$A$15,CR$13)))</f>
        <v>1000000000000</v>
      </c>
      <c r="CT194" s="354" t="n">
        <f aca="true">IF(OR($D194&lt;&gt;"Serviço",AND(AUTOEVENTO="Manual",$M194=$A$15),$M194&gt;(ROW(PLE.lastrow)-ROW(PLE.firstrow))),0,
           IF(OFFSET(PLE!$G$15,$M194-$A$15,CT$13)="",10^12,OFFSET(PLE!$G$15,$M194-$A$15,CT$13)))</f>
        <v>1000000000000</v>
      </c>
      <c r="CU194" s="354" t="n">
        <f aca="true">IF(OR($D194&lt;&gt;"Serviço",AND(AUTOEVENTO="Manual",$M194=$A$15),$M194&gt;(ROW(PLE.lastrow)-ROW(PLE.firstrow))),0,
           IF(OFFSET(PLE!$G$15,$M194-$A$15,CU$13)="",10^12,OFFSET(PLE!$G$15,$M194-$A$15,CU$13)))</f>
        <v>1000000000000</v>
      </c>
      <c r="CV194" s="354" t="n">
        <f aca="true">IF(OR($D194&lt;&gt;"Serviço",AND(AUTOEVENTO="Manual",$M194=$A$15),$M194&gt;(ROW(PLE.lastrow)-ROW(PLE.firstrow))),0,
           IF(OFFSET(PLE!$G$15,$M194-$A$15,CV$13)="",10^12,OFFSET(PLE!$G$15,$M194-$A$15,CV$13)))</f>
        <v>1000000000000</v>
      </c>
      <c r="CW194" s="354" t="n">
        <f aca="true">IF(OR($D194&lt;&gt;"Serviço",AND(AUTOEVENTO="Manual",$M194=$A$15),$M194&gt;(ROW(PLE.lastrow)-ROW(PLE.firstrow))),0,
           IF(OFFSET(PLE!$G$15,$M194-$A$15,CW$13)="",10^12,OFFSET(PLE!$G$15,$M194-$A$15,CW$13)))</f>
        <v>1000000000000</v>
      </c>
      <c r="CX194" s="354" t="n">
        <f aca="true">IF(OR($D194&lt;&gt;"Serviço",AND(AUTOEVENTO="Manual",$M194=$A$15),$M194&gt;(ROW(PLE.lastrow)-ROW(PLE.firstrow))),0,
           IF(OFFSET(PLE!$G$15,$M194-$A$15,CX$13)="",10^12,OFFSET(PLE!$G$15,$M194-$A$15,CX$13)))</f>
        <v>1000000000000</v>
      </c>
      <c r="CY194" s="354" t="n">
        <f aca="true">IF(OR($D194&lt;&gt;"Serviço",AND(AUTOEVENTO="Manual",$M194=$A$15),$M194&gt;(ROW(PLE.lastrow)-ROW(PLE.firstrow))),0,
           IF(OFFSET(PLE!$G$15,$M194-$A$15,CY$13)="",10^12,OFFSET(PLE!$G$15,$M194-$A$15,CY$13)))</f>
        <v>1000000000000</v>
      </c>
      <c r="CZ194" s="354" t="n">
        <f aca="true">IF(OR($D194&lt;&gt;"Serviço",AND(AUTOEVENTO="Manual",$M194=$A$15),$M194&gt;(ROW(PLE.lastrow)-ROW(PLE.firstrow))),0,
           IF(OFFSET(PLE!$G$15,$M194-$A$15,CZ$13)="",10^12,OFFSET(PLE!$G$15,$M194-$A$15,CZ$13)))</f>
        <v>1000000000000</v>
      </c>
      <c r="DA194" s="354" t="n">
        <f aca="true">IF(OR($D194&lt;&gt;"Serviço",AND(AUTOEVENTO="Manual",$M194=$A$15),$M194&gt;(ROW(PLE.lastrow)-ROW(PLE.firstrow))),0,
           IF(OFFSET(PLE!$G$15,$M194-$A$15,DA$13)="",10^12,OFFSET(PLE!$G$15,$M194-$A$15,DA$13)))</f>
        <v>1000000000000</v>
      </c>
      <c r="DB194" s="354" t="n">
        <f aca="true">IF(OR($D194&lt;&gt;"Serviço",AND(AUTOEVENTO="Manual",$M194=$A$15),$M194&gt;(ROW(PLE.lastrow)-ROW(PLE.firstrow))),0,
           IF(OFFSET(PLE!$G$15,$M194-$A$15,DB$13)="",10^12,OFFSET(PLE!$G$15,$M194-$A$15,DB$13)))</f>
        <v>1000000000000</v>
      </c>
      <c r="DC194" s="354" t="n">
        <f aca="true">IF(OR($D194&lt;&gt;"Serviço",AND(AUTOEVENTO="Manual",$M194=$A$15),$M194&gt;(ROW(PLE.lastrow)-ROW(PLE.firstrow))),0,
           IF(OFFSET(PLE!$G$15,$M194-$A$15,DC$13)="",10^12,OFFSET(PLE!$G$15,$M194-$A$15,DC$13)))</f>
        <v>1000000000000</v>
      </c>
      <c r="DD194" s="354" t="n">
        <f aca="true">IF(OR($D194&lt;&gt;"Serviço",AND(AUTOEVENTO="Manual",$M194=$A$15),$M194&gt;(ROW(PLE.lastrow)-ROW(PLE.firstrow))),0,
           IF(OFFSET(PLE!$G$15,$M194-$A$15,DD$13)="",10^12,OFFSET(PLE!$G$15,$M194-$A$15,DD$13)))</f>
        <v>1000000000000</v>
      </c>
      <c r="DE194" s="354" t="n">
        <f aca="true">IF(OR($D194&lt;&gt;"Serviço",AND(AUTOEVENTO="Manual",$M194=$A$15),$M194&gt;(ROW(PLE.lastrow)-ROW(PLE.firstrow))),0,
           IF(OFFSET(PLE!$G$15,$M194-$A$15,DE$13)="",10^12,OFFSET(PLE!$G$15,$M194-$A$15,DE$13)))</f>
        <v>1000000000000</v>
      </c>
      <c r="DF194" s="354" t="n">
        <f aca="true">IF(OR($D194&lt;&gt;"Serviço",AND(AUTOEVENTO="Manual",$M194=$A$15),$M194&gt;(ROW(PLE.lastrow)-ROW(PLE.firstrow))),0,
           IF(OFFSET(PLE!$G$15,$M194-$A$15,DF$13)="",10^12,OFFSET(PLE!$G$15,$M194-$A$15,DF$13)))</f>
        <v>1000000000000</v>
      </c>
      <c r="DG194" s="354" t="n">
        <f aca="true">IF(OR($D194&lt;&gt;"Serviço",AND(AUTOEVENTO="Manual",$M194=$A$15),$M194&gt;(ROW(PLE.lastrow)-ROW(PLE.firstrow))),0,
           IF(OFFSET(PLE!$G$15,$M194-$A$15,DG$13)="",10^12,OFFSET(PLE!$G$15,$M194-$A$15,DG$13)))</f>
        <v>1000000000000</v>
      </c>
      <c r="DH194" s="354" t="n">
        <f aca="true">IF(OR($D194&lt;&gt;"Serviço",AND(AUTOEVENTO="Manual",$M194=$A$15),$M194&gt;(ROW(PLE.lastrow)-ROW(PLE.firstrow))),0,
           IF(OFFSET(PLE!$G$15,$M194-$A$15,DH$13)="",10^12,OFFSET(PLE!$G$15,$M194-$A$15,DH$13)))</f>
        <v>1000000000000</v>
      </c>
      <c r="DI194" s="354" t="n">
        <f aca="true">IF(OR($D194&lt;&gt;"Serviço",AND(AUTOEVENTO="Manual",$M194=$A$15),$M194&gt;(ROW(PLE.lastrow)-ROW(PLE.firstrow))),0,
           IF(OFFSET(PLE!$G$15,$M194-$A$15,DI$13)="",10^12,OFFSET(PLE!$G$15,$M194-$A$15,DI$13)))</f>
        <v>1000000000000</v>
      </c>
      <c r="DJ194" s="354" t="n">
        <f aca="true">IF(OR($D194&lt;&gt;"Serviço",AND(AUTOEVENTO="Manual",$M194=$A$15),$M194&gt;(ROW(PLE.lastrow)-ROW(PLE.firstrow))),0,
           IF(OFFSET(PLE!$G$15,$M194-$A$15,DJ$13)="",10^12,OFFSET(PLE!$G$15,$M194-$A$15,DJ$13)))</f>
        <v>1000000000000</v>
      </c>
      <c r="DK194" s="354" t="n">
        <f aca="true">IF(OR($D194&lt;&gt;"Serviço",AND(AUTOEVENTO="Manual",$M194=$A$15),$M194&gt;(ROW(PLE.lastrow)-ROW(PLE.firstrow))),0,
           IF(OFFSET(PLE!$G$15,$M194-$A$15,DK$13)="",10^12,OFFSET(PLE!$G$15,$M194-$A$15,DK$13)))</f>
        <v>1000000000000</v>
      </c>
      <c r="DL194" s="354" t="n">
        <f aca="true">IF(OR($D194&lt;&gt;"Serviço",AND(AUTOEVENTO="Manual",$M194=$A$15),$M194&gt;(ROW(PLE.lastrow)-ROW(PLE.firstrow))),0,
           IF(OFFSET(PLE!$G$15,$M194-$A$15,DL$13)="",10^12,OFFSET(PLE!$G$15,$M194-$A$15,DL$13)))</f>
        <v>1000000000000</v>
      </c>
      <c r="DM194" s="354" t="n">
        <f aca="true">IF(OR($D194&lt;&gt;"Serviço",AND(AUTOEVENTO="Manual",$M194=$A$15),$M194&gt;(ROW(PLE.lastrow)-ROW(PLE.firstrow))),0,
           IF(OFFSET(PLE!$G$15,$M194-$A$15,DM$13)="",10^12,OFFSET(PLE!$G$15,$M194-$A$15,DM$13)))</f>
        <v>1000000000000</v>
      </c>
      <c r="DN194" s="354" t="n">
        <f aca="true">IF(OR($D194&lt;&gt;"Serviço",AND(AUTOEVENTO="Manual",$M194=$A$15),$M194&gt;(ROW(PLE.lastrow)-ROW(PLE.firstrow))),0,
           IF(OFFSET(PLE!$G$15,$M194-$A$15,DN$13)="",10^12,OFFSET(PLE!$G$15,$M194-$A$15,DN$13)))</f>
        <v>1000000000000</v>
      </c>
      <c r="DO194" s="354" t="n">
        <f aca="true">IF(OR($D194&lt;&gt;"Serviço",AND(AUTOEVENTO="Manual",$M194=$A$15),$M194&gt;(ROW(PLE.lastrow)-ROW(PLE.firstrow))),0,
           IF(OFFSET(PLE!$G$15,$M194-$A$15,DO$13)="",10^12,OFFSET(PLE!$G$15,$M194-$A$15,DO$13)))</f>
        <v>1000000000000</v>
      </c>
      <c r="DP194" s="354" t="n">
        <f aca="true">IF(OR($D194&lt;&gt;"Serviço",AND(AUTOEVENTO="Manual",$M194=$A$15),$M194&gt;(ROW(PLE.lastrow)-ROW(PLE.firstrow))),0,
           IF(OFFSET(PLE!$G$15,$M194-$A$15,DP$13)="",10^12,OFFSET(PLE!$G$15,$M194-$A$15,DP$13)))</f>
        <v>1000000000000</v>
      </c>
      <c r="DQ194" s="354" t="n">
        <f aca="true">IF(OR($D194&lt;&gt;"Serviço",AND(AUTOEVENTO="Manual",$M194=$A$15),$M194&gt;(ROW(PLE.lastrow)-ROW(PLE.firstrow))),0,
           IF(OFFSET(PLE!$G$15,$M194-$A$15,DQ$13)="",10^12,OFFSET(PLE!$G$15,$M194-$A$15,DQ$13)))</f>
        <v>1000000000000</v>
      </c>
      <c r="DR194" s="354" t="n">
        <f aca="true">IF(OR($D194&lt;&gt;"Serviço",AND(AUTOEVENTO="Manual",$M194=$A$15),$M194&gt;(ROW(PLE.lastrow)-ROW(PLE.firstrow))),0,
           IF(OFFSET(PLE!$G$15,$M194-$A$15,DR$13)="",10^12,OFFSET(PLE!$G$15,$M194-$A$15,DR$13)))</f>
        <v>1000000000000</v>
      </c>
      <c r="DS194" s="354" t="n">
        <f aca="true">IF(OR($D194&lt;&gt;"Serviço",AND(AUTOEVENTO="Manual",$M194=$A$15),$M194&gt;(ROW(PLE.lastrow)-ROW(PLE.firstrow))),0,
           IF(OFFSET(PLE!$G$15,$M194-$A$15,DS$13)="",10^12,OFFSET(PLE!$G$15,$M194-$A$15,DS$13)))</f>
        <v>1000000000000</v>
      </c>
    </row>
    <row r="195" customFormat="false" ht="23.85" hidden="false" customHeight="false" outlineLevel="0" collapsed="false">
      <c r="A195" s="50" t="str">
        <f aca="true">IFERROR(IF(AUTOEVENTO="Manual",IF(K195&lt;&gt;"",MIN(VALUE(LEFT(K195,FIND(".",K195)-1)),COUNTA(EVENTOS.Lista)),0),IF(OR($B195&gt;AUTOEVENTO,$B195="S",$B195=0),SUBSTITUTE(OFFSET($A195,-1,0),IF($D195="Serviço",".",""),""),ROW(A195)-ROW($A$15)&amp;".")),0)</f>
        <v>174</v>
      </c>
      <c r="B195" s="50" t="str">
        <f aca="true">OFFSET(ORÇAMENTO!C$15,ROW(B195)-ROW(B$15),0)</f>
        <v>S</v>
      </c>
      <c r="C195" s="50" t="str">
        <f aca="true">OFFSET(ORÇAMENTO!L$15,ROW(C195)-ROW(C$15),0)</f>
        <v>F</v>
      </c>
      <c r="D195" s="201" t="str">
        <f aca="true">OFFSET(ORÇAMENTO!N$15,ROW(D195)-ROW(D$15),0)</f>
        <v>Serviço</v>
      </c>
      <c r="E195" s="202" t="str">
        <f aca="true">OFFSET(ORÇAMENTO!O$15,ROW(E195)-ROW(E$15),0)</f>
        <v>1.47.6.</v>
      </c>
      <c r="F195" s="341" t="str">
        <f aca="true">OFFSET(ORÇAMENTO!R$15,ROW(F195)-ROW(F$15),0)</f>
        <v>KIT DE ACESSORIOS PARA BANHEIRO EM METAL CROMADO, 5 PECAS, INCLUSO FIXAÇÃO. AF_01/2020</v>
      </c>
      <c r="G195" s="342" t="str">
        <f aca="true">IF($D195&lt;&gt;"Serviço","",OFFSET(ORÇAMENTO!S$15,ROW(G195)-ROW(G$15),0))</f>
        <v>UN</v>
      </c>
      <c r="H195" s="207" t="n">
        <f aca="true">IF($D195&lt;&gt;"Serviço",0,IF(ACOMPANHAMENTO="BM",ROUND(OFFSET(ORÇAMENTO!AJ$15,ROW(H195)-ROW(H$15),0),15-13*ORÇAMENTO!$AF$7),SUMPRODUCT(($Q$1:$AQ$1=1)*ROUND($Q195:$AQ195,15-13*ORÇAMENTO!$AF$7))))</f>
        <v>25</v>
      </c>
      <c r="I195" s="343" t="s">
        <v>969</v>
      </c>
      <c r="J195" s="344" t="e">
        <f aca="false">IF(OR(B195&lt;&gt;"S",CÁLCULO.FrentesPreenchidas=0),"",IF(AND(ACOMPANHAMENTO="PLE",AUTOEVENTO="Manual",OR(H195&gt;0,ORÇAMENTO!AC195="QUANT."),OR(K195="",M195=0,N195="")),"►",IF(AND(ACOMPANHAMENTO="PLE",ORÇAMENTO!AC195="QUANT."),"►►",IF(AND(COUNTIF($P$11:$AQ$11,"▼")=0,H195&gt;0,I195=""),"◄",""))))</f>
        <v>#NAME?</v>
      </c>
      <c r="K195" s="345"/>
      <c r="L195" s="346" t="s">
        <v>876</v>
      </c>
      <c r="M195" s="347" t="n">
        <f aca="true">IF($D195&lt;&gt;"Serviço","",
          IF(AUTOEVENTO="manual",$A195,
                IF(ISERROR(MATCH($A195,$A$15:OFFSET($A195,-1,0),0)),MAX($M$15:OFFSET(M195,-1,0))+1,
                      INDEX($M$15:OFFSET(M195,-1,0),MATCH($A195,$A$15:OFFSET($A195,-1,0),0)))))</f>
        <v>30</v>
      </c>
      <c r="N195" s="348" t="str">
        <f aca="true">IF($D195&lt;&gt;"Serviço","",
         IF(AUTOEVENTO="Manual",
                IF($A195=0,"&lt;-- defina o número do agrupador",
                       OFFSET(EVENTOS!$D$15,$A195-$A$15,0)),
                OFFSET($F$15,$A195,0)))</f>
        <v>APARELHOS, METAIS E BANCADAS</v>
      </c>
      <c r="O195" s="349"/>
      <c r="Q195" s="349" t="n">
        <v>1</v>
      </c>
      <c r="R195" s="350" t="n">
        <v>1</v>
      </c>
      <c r="S195" s="350" t="n">
        <v>1</v>
      </c>
      <c r="T195" s="350" t="n">
        <v>1</v>
      </c>
      <c r="U195" s="350" t="n">
        <v>1</v>
      </c>
      <c r="V195" s="350" t="n">
        <v>1</v>
      </c>
      <c r="W195" s="350" t="n">
        <v>1</v>
      </c>
      <c r="X195" s="350" t="n">
        <v>1</v>
      </c>
      <c r="Y195" s="350" t="n">
        <v>1</v>
      </c>
      <c r="Z195" s="351" t="n">
        <v>1</v>
      </c>
      <c r="AA195" s="350" t="n">
        <v>1</v>
      </c>
      <c r="AB195" s="350" t="n">
        <v>1</v>
      </c>
      <c r="AC195" s="350" t="n">
        <v>1</v>
      </c>
      <c r="AD195" s="350" t="n">
        <v>1</v>
      </c>
      <c r="AE195" s="350" t="n">
        <v>1</v>
      </c>
      <c r="AF195" s="350" t="n">
        <v>1</v>
      </c>
      <c r="AG195" s="350" t="n">
        <v>1</v>
      </c>
      <c r="AH195" s="351" t="n">
        <v>1</v>
      </c>
      <c r="AI195" s="350" t="n">
        <v>1</v>
      </c>
      <c r="AJ195" s="350" t="n">
        <v>1</v>
      </c>
      <c r="AK195" s="350" t="n">
        <v>1</v>
      </c>
      <c r="AL195" s="350" t="n">
        <v>1</v>
      </c>
      <c r="AM195" s="350" t="n">
        <v>1</v>
      </c>
      <c r="AN195" s="350" t="n">
        <v>1</v>
      </c>
      <c r="AO195" s="350" t="n">
        <v>1</v>
      </c>
      <c r="AP195" s="351"/>
      <c r="AR195" s="352" t="n">
        <f aca="true">IF(AND($D195="Serviço",AR$12&lt;&gt;0,$H195&gt;0,OR(AUTOEVENTO&lt;&gt;"manual",$M195&lt;&gt;$A$15)),
        IF(Import.TipoArredondamento&lt;&gt;"TransfereGOV",
              ROUND(OFFSET($P195,0,AR$13),15-13*ORÇAMENTO!$AF$7)/$H195*OFFSET(ORÇAMENTO!$X$15,ROW(AR195)-ROW(AR$15),0),
              ROUND(ROUND(OFFSET($P195,0,AR$13),15-13*ORÇAMENTO!$AF$7)*OFFSET(ORÇAMENTO!$W$15,ROW(AR195)-ROW(AR$15),0),15-13*ORÇAMENTO!$AF$11)),
         0)</f>
        <v>186.42</v>
      </c>
      <c r="AS195" s="352" t="n">
        <f aca="true">IF(AND($D195="Serviço",AS$12&lt;&gt;0,$H195&gt;0,OR(AUTOEVENTO&lt;&gt;"manual",$M195&lt;&gt;$A$15)),
        IF(Import.TipoArredondamento&lt;&gt;"TransfereGOV",
              ROUND(OFFSET($P195,0,AS$13),15-13*ORÇAMENTO!$AF$7)/$H195*OFFSET(ORÇAMENTO!$X$15,ROW(AS195)-ROW(AS$15),0),
              ROUND(ROUND(OFFSET($P195,0,AS$13),15-13*ORÇAMENTO!$AF$7)*OFFSET(ORÇAMENTO!$W$15,ROW(AS195)-ROW(AS$15),0),15-13*ORÇAMENTO!$AF$11)),
         0)</f>
        <v>186.42</v>
      </c>
      <c r="AT195" s="352" t="n">
        <f aca="true">IF(AND($D195="Serviço",AT$12&lt;&gt;0,$H195&gt;0,OR(AUTOEVENTO&lt;&gt;"manual",$M195&lt;&gt;$A$15)),
        IF(Import.TipoArredondamento&lt;&gt;"TransfereGOV",
              ROUND(OFFSET($P195,0,AT$13),15-13*ORÇAMENTO!$AF$7)/$H195*OFFSET(ORÇAMENTO!$X$15,ROW(AT195)-ROW(AT$15),0),
              ROUND(ROUND(OFFSET($P195,0,AT$13),15-13*ORÇAMENTO!$AF$7)*OFFSET(ORÇAMENTO!$W$15,ROW(AT195)-ROW(AT$15),0),15-13*ORÇAMENTO!$AF$11)),
         0)</f>
        <v>186.42</v>
      </c>
      <c r="AU195" s="352" t="n">
        <f aca="true">IF(AND($D195="Serviço",AU$12&lt;&gt;0,$H195&gt;0,OR(AUTOEVENTO&lt;&gt;"manual",$M195&lt;&gt;$A$15)),
        IF(Import.TipoArredondamento&lt;&gt;"TransfereGOV",
              ROUND(OFFSET($P195,0,AU$13),15-13*ORÇAMENTO!$AF$7)/$H195*OFFSET(ORÇAMENTO!$X$15,ROW(AU195)-ROW(AU$15),0),
              ROUND(ROUND(OFFSET($P195,0,AU$13),15-13*ORÇAMENTO!$AF$7)*OFFSET(ORÇAMENTO!$W$15,ROW(AU195)-ROW(AU$15),0),15-13*ORÇAMENTO!$AF$11)),
         0)</f>
        <v>186.42</v>
      </c>
      <c r="AV195" s="352" t="n">
        <f aca="true">IF(AND($D195="Serviço",AV$12&lt;&gt;0,$H195&gt;0,OR(AUTOEVENTO&lt;&gt;"manual",$M195&lt;&gt;$A$15)),
        IF(Import.TipoArredondamento&lt;&gt;"TransfereGOV",
              ROUND(OFFSET($P195,0,AV$13),15-13*ORÇAMENTO!$AF$7)/$H195*OFFSET(ORÇAMENTO!$X$15,ROW(AV195)-ROW(AV$15),0),
              ROUND(ROUND(OFFSET($P195,0,AV$13),15-13*ORÇAMENTO!$AF$7)*OFFSET(ORÇAMENTO!$W$15,ROW(AV195)-ROW(AV$15),0),15-13*ORÇAMENTO!$AF$11)),
         0)</f>
        <v>186.42</v>
      </c>
      <c r="AW195" s="352" t="n">
        <f aca="true">IF(AND($D195="Serviço",AW$12&lt;&gt;0,$H195&gt;0,OR(AUTOEVENTO&lt;&gt;"manual",$M195&lt;&gt;$A$15)),
        IF(Import.TipoArredondamento&lt;&gt;"TransfereGOV",
              ROUND(OFFSET($P195,0,AW$13),15-13*ORÇAMENTO!$AF$7)/$H195*OFFSET(ORÇAMENTO!$X$15,ROW(AW195)-ROW(AW$15),0),
              ROUND(ROUND(OFFSET($P195,0,AW$13),15-13*ORÇAMENTO!$AF$7)*OFFSET(ORÇAMENTO!$W$15,ROW(AW195)-ROW(AW$15),0),15-13*ORÇAMENTO!$AF$11)),
         0)</f>
        <v>186.42</v>
      </c>
      <c r="AX195" s="352" t="n">
        <f aca="true">IF(AND($D195="Serviço",AX$12&lt;&gt;0,$H195&gt;0,OR(AUTOEVENTO&lt;&gt;"manual",$M195&lt;&gt;$A$15)),
        IF(Import.TipoArredondamento&lt;&gt;"TransfereGOV",
              ROUND(OFFSET($P195,0,AX$13),15-13*ORÇAMENTO!$AF$7)/$H195*OFFSET(ORÇAMENTO!$X$15,ROW(AX195)-ROW(AX$15),0),
              ROUND(ROUND(OFFSET($P195,0,AX$13),15-13*ORÇAMENTO!$AF$7)*OFFSET(ORÇAMENTO!$W$15,ROW(AX195)-ROW(AX$15),0),15-13*ORÇAMENTO!$AF$11)),
         0)</f>
        <v>186.42</v>
      </c>
      <c r="AY195" s="352" t="n">
        <f aca="true">IF(AND($D195="Serviço",AY$12&lt;&gt;0,$H195&gt;0,OR(AUTOEVENTO&lt;&gt;"manual",$M195&lt;&gt;$A$15)),
        IF(Import.TipoArredondamento&lt;&gt;"TransfereGOV",
              ROUND(OFFSET($P195,0,AY$13),15-13*ORÇAMENTO!$AF$7)/$H195*OFFSET(ORÇAMENTO!$X$15,ROW(AY195)-ROW(AY$15),0),
              ROUND(ROUND(OFFSET($P195,0,AY$13),15-13*ORÇAMENTO!$AF$7)*OFFSET(ORÇAMENTO!$W$15,ROW(AY195)-ROW(AY$15),0),15-13*ORÇAMENTO!$AF$11)),
         0)</f>
        <v>186.42</v>
      </c>
      <c r="AZ195" s="352" t="n">
        <f aca="true">IF(AND($D195="Serviço",AZ$12&lt;&gt;0,$H195&gt;0,OR(AUTOEVENTO&lt;&gt;"manual",$M195&lt;&gt;$A$15)),
        IF(Import.TipoArredondamento&lt;&gt;"TransfereGOV",
              ROUND(OFFSET($P195,0,AZ$13),15-13*ORÇAMENTO!$AF$7)/$H195*OFFSET(ORÇAMENTO!$X$15,ROW(AZ195)-ROW(AZ$15),0),
              ROUND(ROUND(OFFSET($P195,0,AZ$13),15-13*ORÇAMENTO!$AF$7)*OFFSET(ORÇAMENTO!$W$15,ROW(AZ195)-ROW(AZ$15),0),15-13*ORÇAMENTO!$AF$11)),
         0)</f>
        <v>186.42</v>
      </c>
      <c r="BA195" s="352" t="n">
        <f aca="true">IF(AND($D195="Serviço",BA$12&lt;&gt;0,$H195&gt;0,OR(AUTOEVENTO&lt;&gt;"manual",$M195&lt;&gt;$A$15)),
        IF(Import.TipoArredondamento&lt;&gt;"TransfereGOV",
              ROUND(OFFSET($P195,0,BA$13),15-13*ORÇAMENTO!$AF$7)/$H195*OFFSET(ORÇAMENTO!$X$15,ROW(BA195)-ROW(BA$15),0),
              ROUND(ROUND(OFFSET($P195,0,BA$13),15-13*ORÇAMENTO!$AF$7)*OFFSET(ORÇAMENTO!$W$15,ROW(BA195)-ROW(BA$15),0),15-13*ORÇAMENTO!$AF$11)),
         0)</f>
        <v>186.42</v>
      </c>
      <c r="BB195" s="352" t="n">
        <f aca="true">IF(AND($D195="Serviço",BB$12&lt;&gt;0,$H195&gt;0,OR(AUTOEVENTO&lt;&gt;"manual",$M195&lt;&gt;$A$15)),
        IF(Import.TipoArredondamento&lt;&gt;"TransfereGOV",
              ROUND(OFFSET($P195,0,BB$13),15-13*ORÇAMENTO!$AF$7)/$H195*OFFSET(ORÇAMENTO!$X$15,ROW(BB195)-ROW(BB$15),0),
              ROUND(ROUND(OFFSET($P195,0,BB$13),15-13*ORÇAMENTO!$AF$7)*OFFSET(ORÇAMENTO!$W$15,ROW(BB195)-ROW(BB$15),0),15-13*ORÇAMENTO!$AF$11)),
         0)</f>
        <v>186.42</v>
      </c>
      <c r="BC195" s="352" t="n">
        <f aca="true">IF(AND($D195="Serviço",BC$12&lt;&gt;0,$H195&gt;0,OR(AUTOEVENTO&lt;&gt;"manual",$M195&lt;&gt;$A$15)),
        IF(Import.TipoArredondamento&lt;&gt;"TransfereGOV",
              ROUND(OFFSET($P195,0,BC$13),15-13*ORÇAMENTO!$AF$7)/$H195*OFFSET(ORÇAMENTO!$X$15,ROW(BC195)-ROW(BC$15),0),
              ROUND(ROUND(OFFSET($P195,0,BC$13),15-13*ORÇAMENTO!$AF$7)*OFFSET(ORÇAMENTO!$W$15,ROW(BC195)-ROW(BC$15),0),15-13*ORÇAMENTO!$AF$11)),
         0)</f>
        <v>186.42</v>
      </c>
      <c r="BD195" s="352" t="n">
        <f aca="true">IF(AND($D195="Serviço",BD$12&lt;&gt;0,$H195&gt;0,OR(AUTOEVENTO&lt;&gt;"manual",$M195&lt;&gt;$A$15)),
        IF(Import.TipoArredondamento&lt;&gt;"TransfereGOV",
              ROUND(OFFSET($P195,0,BD$13),15-13*ORÇAMENTO!$AF$7)/$H195*OFFSET(ORÇAMENTO!$X$15,ROW(BD195)-ROW(BD$15),0),
              ROUND(ROUND(OFFSET($P195,0,BD$13),15-13*ORÇAMENTO!$AF$7)*OFFSET(ORÇAMENTO!$W$15,ROW(BD195)-ROW(BD$15),0),15-13*ORÇAMENTO!$AF$11)),
         0)</f>
        <v>186.42</v>
      </c>
      <c r="BE195" s="352" t="n">
        <f aca="true">IF(AND($D195="Serviço",BE$12&lt;&gt;0,$H195&gt;0,OR(AUTOEVENTO&lt;&gt;"manual",$M195&lt;&gt;$A$15)),
        IF(Import.TipoArredondamento&lt;&gt;"TransfereGOV",
              ROUND(OFFSET($P195,0,BE$13),15-13*ORÇAMENTO!$AF$7)/$H195*OFFSET(ORÇAMENTO!$X$15,ROW(BE195)-ROW(BE$15),0),
              ROUND(ROUND(OFFSET($P195,0,BE$13),15-13*ORÇAMENTO!$AF$7)*OFFSET(ORÇAMENTO!$W$15,ROW(BE195)-ROW(BE$15),0),15-13*ORÇAMENTO!$AF$11)),
         0)</f>
        <v>186.42</v>
      </c>
      <c r="BF195" s="352" t="n">
        <f aca="true">IF(AND($D195="Serviço",BF$12&lt;&gt;0,$H195&gt;0,OR(AUTOEVENTO&lt;&gt;"manual",$M195&lt;&gt;$A$15)),
        IF(Import.TipoArredondamento&lt;&gt;"TransfereGOV",
              ROUND(OFFSET($P195,0,BF$13),15-13*ORÇAMENTO!$AF$7)/$H195*OFFSET(ORÇAMENTO!$X$15,ROW(BF195)-ROW(BF$15),0),
              ROUND(ROUND(OFFSET($P195,0,BF$13),15-13*ORÇAMENTO!$AF$7)*OFFSET(ORÇAMENTO!$W$15,ROW(BF195)-ROW(BF$15),0),15-13*ORÇAMENTO!$AF$11)),
         0)</f>
        <v>186.42</v>
      </c>
      <c r="BG195" s="352" t="n">
        <f aca="true">IF(AND($D195="Serviço",BG$12&lt;&gt;0,$H195&gt;0,OR(AUTOEVENTO&lt;&gt;"manual",$M195&lt;&gt;$A$15)),
        IF(Import.TipoArredondamento&lt;&gt;"TransfereGOV",
              ROUND(OFFSET($P195,0,BG$13),15-13*ORÇAMENTO!$AF$7)/$H195*OFFSET(ORÇAMENTO!$X$15,ROW(BG195)-ROW(BG$15),0),
              ROUND(ROUND(OFFSET($P195,0,BG$13),15-13*ORÇAMENTO!$AF$7)*OFFSET(ORÇAMENTO!$W$15,ROW(BG195)-ROW(BG$15),0),15-13*ORÇAMENTO!$AF$11)),
         0)</f>
        <v>186.42</v>
      </c>
      <c r="BH195" s="352" t="n">
        <f aca="true">IF(AND($D195="Serviço",BH$12&lt;&gt;0,$H195&gt;0,OR(AUTOEVENTO&lt;&gt;"manual",$M195&lt;&gt;$A$15)),
        IF(Import.TipoArredondamento&lt;&gt;"TransfereGOV",
              ROUND(OFFSET($P195,0,BH$13),15-13*ORÇAMENTO!$AF$7)/$H195*OFFSET(ORÇAMENTO!$X$15,ROW(BH195)-ROW(BH$15),0),
              ROUND(ROUND(OFFSET($P195,0,BH$13),15-13*ORÇAMENTO!$AF$7)*OFFSET(ORÇAMENTO!$W$15,ROW(BH195)-ROW(BH$15),0),15-13*ORÇAMENTO!$AF$11)),
         0)</f>
        <v>186.42</v>
      </c>
      <c r="BI195" s="352" t="n">
        <f aca="true">IF(AND($D195="Serviço",BI$12&lt;&gt;0,$H195&gt;0,OR(AUTOEVENTO&lt;&gt;"manual",$M195&lt;&gt;$A$15)),
        IF(Import.TipoArredondamento&lt;&gt;"TransfereGOV",
              ROUND(OFFSET($P195,0,BI$13),15-13*ORÇAMENTO!$AF$7)/$H195*OFFSET(ORÇAMENTO!$X$15,ROW(BI195)-ROW(BI$15),0),
              ROUND(ROUND(OFFSET($P195,0,BI$13),15-13*ORÇAMENTO!$AF$7)*OFFSET(ORÇAMENTO!$W$15,ROW(BI195)-ROW(BI$15),0),15-13*ORÇAMENTO!$AF$11)),
         0)</f>
        <v>186.42</v>
      </c>
      <c r="BJ195" s="352" t="n">
        <f aca="true">IF(AND($D195="Serviço",BJ$12&lt;&gt;0,$H195&gt;0,OR(AUTOEVENTO&lt;&gt;"manual",$M195&lt;&gt;$A$15)),
        IF(Import.TipoArredondamento&lt;&gt;"TransfereGOV",
              ROUND(OFFSET($P195,0,BJ$13),15-13*ORÇAMENTO!$AF$7)/$H195*OFFSET(ORÇAMENTO!$X$15,ROW(BJ195)-ROW(BJ$15),0),
              ROUND(ROUND(OFFSET($P195,0,BJ$13),15-13*ORÇAMENTO!$AF$7)*OFFSET(ORÇAMENTO!$W$15,ROW(BJ195)-ROW(BJ$15),0),15-13*ORÇAMENTO!$AF$11)),
         0)</f>
        <v>186.42</v>
      </c>
      <c r="BK195" s="352" t="n">
        <f aca="true">IF(AND($D195="Serviço",BK$12&lt;&gt;0,$H195&gt;0,OR(AUTOEVENTO&lt;&gt;"manual",$M195&lt;&gt;$A$15)),
        IF(Import.TipoArredondamento&lt;&gt;"TransfereGOV",
              ROUND(OFFSET($P195,0,BK$13),15-13*ORÇAMENTO!$AF$7)/$H195*OFFSET(ORÇAMENTO!$X$15,ROW(BK195)-ROW(BK$15),0),
              ROUND(ROUND(OFFSET($P195,0,BK$13),15-13*ORÇAMENTO!$AF$7)*OFFSET(ORÇAMENTO!$W$15,ROW(BK195)-ROW(BK$15),0),15-13*ORÇAMENTO!$AF$11)),
         0)</f>
        <v>186.42</v>
      </c>
      <c r="BL195" s="352" t="n">
        <f aca="true">IF(AND($D195="Serviço",BL$12&lt;&gt;0,$H195&gt;0,OR(AUTOEVENTO&lt;&gt;"manual",$M195&lt;&gt;$A$15)),
        IF(Import.TipoArredondamento&lt;&gt;"TransfereGOV",
              ROUND(OFFSET($P195,0,BL$13),15-13*ORÇAMENTO!$AF$7)/$H195*OFFSET(ORÇAMENTO!$X$15,ROW(BL195)-ROW(BL$15),0),
              ROUND(ROUND(OFFSET($P195,0,BL$13),15-13*ORÇAMENTO!$AF$7)*OFFSET(ORÇAMENTO!$W$15,ROW(BL195)-ROW(BL$15),0),15-13*ORÇAMENTO!$AF$11)),
         0)</f>
        <v>186.42</v>
      </c>
      <c r="BM195" s="352" t="n">
        <f aca="true">IF(AND($D195="Serviço",BM$12&lt;&gt;0,$H195&gt;0,OR(AUTOEVENTO&lt;&gt;"manual",$M195&lt;&gt;$A$15)),
        IF(Import.TipoArredondamento&lt;&gt;"TransfereGOV",
              ROUND(OFFSET($P195,0,BM$13),15-13*ORÇAMENTO!$AF$7)/$H195*OFFSET(ORÇAMENTO!$X$15,ROW(BM195)-ROW(BM$15),0),
              ROUND(ROUND(OFFSET($P195,0,BM$13),15-13*ORÇAMENTO!$AF$7)*OFFSET(ORÇAMENTO!$W$15,ROW(BM195)-ROW(BM$15),0),15-13*ORÇAMENTO!$AF$11)),
         0)</f>
        <v>186.42</v>
      </c>
      <c r="BN195" s="352" t="n">
        <f aca="true">IF(AND($D195="Serviço",BN$12&lt;&gt;0,$H195&gt;0,OR(AUTOEVENTO&lt;&gt;"manual",$M195&lt;&gt;$A$15)),
        IF(Import.TipoArredondamento&lt;&gt;"TransfereGOV",
              ROUND(OFFSET($P195,0,BN$13),15-13*ORÇAMENTO!$AF$7)/$H195*OFFSET(ORÇAMENTO!$X$15,ROW(BN195)-ROW(BN$15),0),
              ROUND(ROUND(OFFSET($P195,0,BN$13),15-13*ORÇAMENTO!$AF$7)*OFFSET(ORÇAMENTO!$W$15,ROW(BN195)-ROW(BN$15),0),15-13*ORÇAMENTO!$AF$11)),
         0)</f>
        <v>186.42</v>
      </c>
      <c r="BO195" s="352" t="n">
        <f aca="true">IF(AND($D195="Serviço",BO$12&lt;&gt;0,$H195&gt;0,OR(AUTOEVENTO&lt;&gt;"manual",$M195&lt;&gt;$A$15)),
        IF(Import.TipoArredondamento&lt;&gt;"TransfereGOV",
              ROUND(OFFSET($P195,0,BO$13),15-13*ORÇAMENTO!$AF$7)/$H195*OFFSET(ORÇAMENTO!$X$15,ROW(BO195)-ROW(BO$15),0),
              ROUND(ROUND(OFFSET($P195,0,BO$13),15-13*ORÇAMENTO!$AF$7)*OFFSET(ORÇAMENTO!$W$15,ROW(BO195)-ROW(BO$15),0),15-13*ORÇAMENTO!$AF$11)),
         0)</f>
        <v>186.42</v>
      </c>
      <c r="BP195" s="352" t="n">
        <f aca="true">IF(AND($D195="Serviço",BP$12&lt;&gt;0,$H195&gt;0,OR(AUTOEVENTO&lt;&gt;"manual",$M195&lt;&gt;$A$15)),
        IF(Import.TipoArredondamento&lt;&gt;"TransfereGOV",
              ROUND(OFFSET($P195,0,BP$13),15-13*ORÇAMENTO!$AF$7)/$H195*OFFSET(ORÇAMENTO!$X$15,ROW(BP195)-ROW(BP$15),0),
              ROUND(ROUND(OFFSET($P195,0,BP$13),15-13*ORÇAMENTO!$AF$7)*OFFSET(ORÇAMENTO!$W$15,ROW(BP195)-ROW(BP$15),0),15-13*ORÇAMENTO!$AF$11)),
         0)</f>
        <v>186.42</v>
      </c>
      <c r="BQ195" s="352" t="n">
        <f aca="true">IF(AND($D195="Serviço",BQ$12&lt;&gt;0,$H195&gt;0,OR(AUTOEVENTO&lt;&gt;"manual",$M195&lt;&gt;$A$15)),
        IF(Import.TipoArredondamento&lt;&gt;"TransfereGOV",
              ROUND(OFFSET($P195,0,BQ$13),15-13*ORÇAMENTO!$AF$7)/$H195*OFFSET(ORÇAMENTO!$X$15,ROW(BQ195)-ROW(BQ$15),0),
              ROUND(ROUND(OFFSET($P195,0,BQ$13),15-13*ORÇAMENTO!$AF$7)*OFFSET(ORÇAMENTO!$W$15,ROW(BQ195)-ROW(BQ$15),0),15-13*ORÇAMENTO!$AF$11)),
         0)</f>
        <v>0</v>
      </c>
      <c r="BS195" s="353" t="n">
        <f aca="true">IF(OR($D195&lt;&gt;"Serviço",AND(AUTOEVENTO="Manual",$M195=$A$15)),0,
         IF(OFFSET(CRONOPLE!$F$15,$M195-$A$15,BS$13)=0,10^12,OFFSET(CRONOPLE!$F$15,$M195-$A$15,BS$13)))</f>
        <v>1</v>
      </c>
      <c r="BT195" s="353" t="n">
        <f aca="true">IF(OR($D195&lt;&gt;"Serviço",AND(AUTOEVENTO="Manual",$M195=$A$15)),0,
         IF(OFFSET(CRONOPLE!$F$15,$M195-$A$15,BT$13)=0,10^12,OFFSET(CRONOPLE!$F$15,$M195-$A$15,BT$13)))</f>
        <v>2</v>
      </c>
      <c r="BU195" s="353" t="n">
        <f aca="true">IF(OR($D195&lt;&gt;"Serviço",AND(AUTOEVENTO="Manual",$M195=$A$15)),0,
         IF(OFFSET(CRONOPLE!$F$15,$M195-$A$15,BU$13)=0,10^12,OFFSET(CRONOPLE!$F$15,$M195-$A$15,BU$13)))</f>
        <v>3</v>
      </c>
      <c r="BV195" s="353" t="n">
        <f aca="true">IF(OR($D195&lt;&gt;"Serviço",AND(AUTOEVENTO="Manual",$M195=$A$15)),0,
         IF(OFFSET(CRONOPLE!$F$15,$M195-$A$15,BV$13)=0,10^12,OFFSET(CRONOPLE!$F$15,$M195-$A$15,BV$13)))</f>
        <v>4</v>
      </c>
      <c r="BW195" s="353" t="n">
        <f aca="true">IF(OR($D195&lt;&gt;"Serviço",AND(AUTOEVENTO="Manual",$M195=$A$15)),0,
         IF(OFFSET(CRONOPLE!$F$15,$M195-$A$15,BW$13)=0,10^12,OFFSET(CRONOPLE!$F$15,$M195-$A$15,BW$13)))</f>
        <v>5</v>
      </c>
      <c r="BX195" s="353" t="n">
        <f aca="true">IF(OR($D195&lt;&gt;"Serviço",AND(AUTOEVENTO="Manual",$M195=$A$15)),0,
         IF(OFFSET(CRONOPLE!$F$15,$M195-$A$15,BX$13)=0,10^12,OFFSET(CRONOPLE!$F$15,$M195-$A$15,BX$13)))</f>
        <v>6</v>
      </c>
      <c r="BY195" s="353" t="n">
        <f aca="true">IF(OR($D195&lt;&gt;"Serviço",AND(AUTOEVENTO="Manual",$M195=$A$15)),0,
         IF(OFFSET(CRONOPLE!$F$15,$M195-$A$15,BY$13)=0,10^12,OFFSET(CRONOPLE!$F$15,$M195-$A$15,BY$13)))</f>
        <v>7</v>
      </c>
      <c r="BZ195" s="353" t="n">
        <f aca="true">IF(OR($D195&lt;&gt;"Serviço",AND(AUTOEVENTO="Manual",$M195=$A$15)),0,
         IF(OFFSET(CRONOPLE!$F$15,$M195-$A$15,BZ$13)=0,10^12,OFFSET(CRONOPLE!$F$15,$M195-$A$15,BZ$13)))</f>
        <v>8</v>
      </c>
      <c r="CA195" s="353" t="n">
        <f aca="true">IF(OR($D195&lt;&gt;"Serviço",AND(AUTOEVENTO="Manual",$M195=$A$15)),0,
         IF(OFFSET(CRONOPLE!$F$15,$M195-$A$15,CA$13)=0,10^12,OFFSET(CRONOPLE!$F$15,$M195-$A$15,CA$13)))</f>
        <v>9</v>
      </c>
      <c r="CB195" s="353" t="n">
        <f aca="true">IF(OR($D195&lt;&gt;"Serviço",AND(AUTOEVENTO="Manual",$M195=$A$15)),0,
         IF(OFFSET(CRONOPLE!$F$15,$M195-$A$15,CB$13)=0,10^12,OFFSET(CRONOPLE!$F$15,$M195-$A$15,CB$13)))</f>
        <v>10</v>
      </c>
      <c r="CC195" s="353" t="n">
        <f aca="true">IF(OR($D195&lt;&gt;"Serviço",AND(AUTOEVENTO="Manual",$M195=$A$15)),0,
         IF(OFFSET(CRONOPLE!$F$15,$M195-$A$15,CC$13)=0,10^12,OFFSET(CRONOPLE!$F$15,$M195-$A$15,CC$13)))</f>
        <v>11</v>
      </c>
      <c r="CD195" s="353" t="n">
        <f aca="true">IF(OR($D195&lt;&gt;"Serviço",AND(AUTOEVENTO="Manual",$M195=$A$15)),0,
         IF(OFFSET(CRONOPLE!$F$15,$M195-$A$15,CD$13)=0,10^12,OFFSET(CRONOPLE!$F$15,$M195-$A$15,CD$13)))</f>
        <v>12</v>
      </c>
      <c r="CE195" s="353" t="n">
        <f aca="true">IF(OR($D195&lt;&gt;"Serviço",AND(AUTOEVENTO="Manual",$M195=$A$15)),0,
         IF(OFFSET(CRONOPLE!$F$15,$M195-$A$15,CE$13)=0,10^12,OFFSET(CRONOPLE!$F$15,$M195-$A$15,CE$13)))</f>
        <v>13</v>
      </c>
      <c r="CF195" s="353" t="n">
        <f aca="true">IF(OR($D195&lt;&gt;"Serviço",AND(AUTOEVENTO="Manual",$M195=$A$15)),0,
         IF(OFFSET(CRONOPLE!$F$15,$M195-$A$15,CF$13)=0,10^12,OFFSET(CRONOPLE!$F$15,$M195-$A$15,CF$13)))</f>
        <v>14</v>
      </c>
      <c r="CG195" s="353" t="n">
        <f aca="true">IF(OR($D195&lt;&gt;"Serviço",AND(AUTOEVENTO="Manual",$M195=$A$15)),0,
         IF(OFFSET(CRONOPLE!$F$15,$M195-$A$15,CG$13)=0,10^12,OFFSET(CRONOPLE!$F$15,$M195-$A$15,CG$13)))</f>
        <v>15</v>
      </c>
      <c r="CH195" s="353" t="n">
        <f aca="true">IF(OR($D195&lt;&gt;"Serviço",AND(AUTOEVENTO="Manual",$M195=$A$15)),0,
         IF(OFFSET(CRONOPLE!$F$15,$M195-$A$15,CH$13)=0,10^12,OFFSET(CRONOPLE!$F$15,$M195-$A$15,CH$13)))</f>
        <v>16</v>
      </c>
      <c r="CI195" s="353" t="n">
        <f aca="true">IF(OR($D195&lt;&gt;"Serviço",AND(AUTOEVENTO="Manual",$M195=$A$15)),0,
         IF(OFFSET(CRONOPLE!$F$15,$M195-$A$15,CI$13)=0,10^12,OFFSET(CRONOPLE!$F$15,$M195-$A$15,CI$13)))</f>
        <v>17</v>
      </c>
      <c r="CJ195" s="353" t="n">
        <f aca="true">IF(OR($D195&lt;&gt;"Serviço",AND(AUTOEVENTO="Manual",$M195=$A$15)),0,
         IF(OFFSET(CRONOPLE!$F$15,$M195-$A$15,CJ$13)=0,10^12,OFFSET(CRONOPLE!$F$15,$M195-$A$15,CJ$13)))</f>
        <v>18</v>
      </c>
      <c r="CK195" s="353" t="n">
        <f aca="true">IF(OR($D195&lt;&gt;"Serviço",AND(AUTOEVENTO="Manual",$M195=$A$15)),0,
         IF(OFFSET(CRONOPLE!$F$15,$M195-$A$15,CK$13)=0,10^12,OFFSET(CRONOPLE!$F$15,$M195-$A$15,CK$13)))</f>
        <v>19</v>
      </c>
      <c r="CL195" s="353" t="n">
        <f aca="true">IF(OR($D195&lt;&gt;"Serviço",AND(AUTOEVENTO="Manual",$M195=$A$15)),0,
         IF(OFFSET(CRONOPLE!$F$15,$M195-$A$15,CL$13)=0,10^12,OFFSET(CRONOPLE!$F$15,$M195-$A$15,CL$13)))</f>
        <v>20</v>
      </c>
      <c r="CM195" s="353" t="n">
        <f aca="true">IF(OR($D195&lt;&gt;"Serviço",AND(AUTOEVENTO="Manual",$M195=$A$15)),0,
         IF(OFFSET(CRONOPLE!$F$15,$M195-$A$15,CM$13)=0,10^12,OFFSET(CRONOPLE!$F$15,$M195-$A$15,CM$13)))</f>
        <v>21</v>
      </c>
      <c r="CN195" s="353" t="n">
        <f aca="true">IF(OR($D195&lt;&gt;"Serviço",AND(AUTOEVENTO="Manual",$M195=$A$15)),0,
         IF(OFFSET(CRONOPLE!$F$15,$M195-$A$15,CN$13)=0,10^12,OFFSET(CRONOPLE!$F$15,$M195-$A$15,CN$13)))</f>
        <v>22</v>
      </c>
      <c r="CO195" s="353" t="n">
        <f aca="true">IF(OR($D195&lt;&gt;"Serviço",AND(AUTOEVENTO="Manual",$M195=$A$15)),0,
         IF(OFFSET(CRONOPLE!$F$15,$M195-$A$15,CO$13)=0,10^12,OFFSET(CRONOPLE!$F$15,$M195-$A$15,CO$13)))</f>
        <v>23</v>
      </c>
      <c r="CP195" s="353" t="n">
        <f aca="true">IF(OR($D195&lt;&gt;"Serviço",AND(AUTOEVENTO="Manual",$M195=$A$15)),0,
         IF(OFFSET(CRONOPLE!$F$15,$M195-$A$15,CP$13)=0,10^12,OFFSET(CRONOPLE!$F$15,$M195-$A$15,CP$13)))</f>
        <v>24</v>
      </c>
      <c r="CQ195" s="353" t="n">
        <f aca="true">IF(OR($D195&lt;&gt;"Serviço",AND(AUTOEVENTO="Manual",$M195=$A$15)),0,
         IF(OFFSET(CRONOPLE!$F$15,$M195-$A$15,CQ$13)=0,10^12,OFFSET(CRONOPLE!$F$15,$M195-$A$15,CQ$13)))</f>
        <v>25</v>
      </c>
      <c r="CR195" s="353" t="n">
        <f aca="true">IF(OR($D195&lt;&gt;"Serviço",AND(AUTOEVENTO="Manual",$M195=$A$15)),0,
         IF(OFFSET(CRONOPLE!$F$15,$M195-$A$15,CR$13)=0,10^12,OFFSET(CRONOPLE!$F$15,$M195-$A$15,CR$13)))</f>
        <v>1000000000000</v>
      </c>
      <c r="CT195" s="354" t="n">
        <f aca="true">IF(OR($D195&lt;&gt;"Serviço",AND(AUTOEVENTO="Manual",$M195=$A$15),$M195&gt;(ROW(PLE.lastrow)-ROW(PLE.firstrow))),0,
           IF(OFFSET(PLE!$G$15,$M195-$A$15,CT$13)="",10^12,OFFSET(PLE!$G$15,$M195-$A$15,CT$13)))</f>
        <v>1000000000000</v>
      </c>
      <c r="CU195" s="354" t="n">
        <f aca="true">IF(OR($D195&lt;&gt;"Serviço",AND(AUTOEVENTO="Manual",$M195=$A$15),$M195&gt;(ROW(PLE.lastrow)-ROW(PLE.firstrow))),0,
           IF(OFFSET(PLE!$G$15,$M195-$A$15,CU$13)="",10^12,OFFSET(PLE!$G$15,$M195-$A$15,CU$13)))</f>
        <v>1000000000000</v>
      </c>
      <c r="CV195" s="354" t="n">
        <f aca="true">IF(OR($D195&lt;&gt;"Serviço",AND(AUTOEVENTO="Manual",$M195=$A$15),$M195&gt;(ROW(PLE.lastrow)-ROW(PLE.firstrow))),0,
           IF(OFFSET(PLE!$G$15,$M195-$A$15,CV$13)="",10^12,OFFSET(PLE!$G$15,$M195-$A$15,CV$13)))</f>
        <v>1000000000000</v>
      </c>
      <c r="CW195" s="354" t="n">
        <f aca="true">IF(OR($D195&lt;&gt;"Serviço",AND(AUTOEVENTO="Manual",$M195=$A$15),$M195&gt;(ROW(PLE.lastrow)-ROW(PLE.firstrow))),0,
           IF(OFFSET(PLE!$G$15,$M195-$A$15,CW$13)="",10^12,OFFSET(PLE!$G$15,$M195-$A$15,CW$13)))</f>
        <v>1000000000000</v>
      </c>
      <c r="CX195" s="354" t="n">
        <f aca="true">IF(OR($D195&lt;&gt;"Serviço",AND(AUTOEVENTO="Manual",$M195=$A$15),$M195&gt;(ROW(PLE.lastrow)-ROW(PLE.firstrow))),0,
           IF(OFFSET(PLE!$G$15,$M195-$A$15,CX$13)="",10^12,OFFSET(PLE!$G$15,$M195-$A$15,CX$13)))</f>
        <v>1000000000000</v>
      </c>
      <c r="CY195" s="354" t="n">
        <f aca="true">IF(OR($D195&lt;&gt;"Serviço",AND(AUTOEVENTO="Manual",$M195=$A$15),$M195&gt;(ROW(PLE.lastrow)-ROW(PLE.firstrow))),0,
           IF(OFFSET(PLE!$G$15,$M195-$A$15,CY$13)="",10^12,OFFSET(PLE!$G$15,$M195-$A$15,CY$13)))</f>
        <v>1000000000000</v>
      </c>
      <c r="CZ195" s="354" t="n">
        <f aca="true">IF(OR($D195&lt;&gt;"Serviço",AND(AUTOEVENTO="Manual",$M195=$A$15),$M195&gt;(ROW(PLE.lastrow)-ROW(PLE.firstrow))),0,
           IF(OFFSET(PLE!$G$15,$M195-$A$15,CZ$13)="",10^12,OFFSET(PLE!$G$15,$M195-$A$15,CZ$13)))</f>
        <v>1000000000000</v>
      </c>
      <c r="DA195" s="354" t="n">
        <f aca="true">IF(OR($D195&lt;&gt;"Serviço",AND(AUTOEVENTO="Manual",$M195=$A$15),$M195&gt;(ROW(PLE.lastrow)-ROW(PLE.firstrow))),0,
           IF(OFFSET(PLE!$G$15,$M195-$A$15,DA$13)="",10^12,OFFSET(PLE!$G$15,$M195-$A$15,DA$13)))</f>
        <v>1000000000000</v>
      </c>
      <c r="DB195" s="354" t="n">
        <f aca="true">IF(OR($D195&lt;&gt;"Serviço",AND(AUTOEVENTO="Manual",$M195=$A$15),$M195&gt;(ROW(PLE.lastrow)-ROW(PLE.firstrow))),0,
           IF(OFFSET(PLE!$G$15,$M195-$A$15,DB$13)="",10^12,OFFSET(PLE!$G$15,$M195-$A$15,DB$13)))</f>
        <v>1000000000000</v>
      </c>
      <c r="DC195" s="354" t="n">
        <f aca="true">IF(OR($D195&lt;&gt;"Serviço",AND(AUTOEVENTO="Manual",$M195=$A$15),$M195&gt;(ROW(PLE.lastrow)-ROW(PLE.firstrow))),0,
           IF(OFFSET(PLE!$G$15,$M195-$A$15,DC$13)="",10^12,OFFSET(PLE!$G$15,$M195-$A$15,DC$13)))</f>
        <v>1000000000000</v>
      </c>
      <c r="DD195" s="354" t="n">
        <f aca="true">IF(OR($D195&lt;&gt;"Serviço",AND(AUTOEVENTO="Manual",$M195=$A$15),$M195&gt;(ROW(PLE.lastrow)-ROW(PLE.firstrow))),0,
           IF(OFFSET(PLE!$G$15,$M195-$A$15,DD$13)="",10^12,OFFSET(PLE!$G$15,$M195-$A$15,DD$13)))</f>
        <v>1000000000000</v>
      </c>
      <c r="DE195" s="354" t="n">
        <f aca="true">IF(OR($D195&lt;&gt;"Serviço",AND(AUTOEVENTO="Manual",$M195=$A$15),$M195&gt;(ROW(PLE.lastrow)-ROW(PLE.firstrow))),0,
           IF(OFFSET(PLE!$G$15,$M195-$A$15,DE$13)="",10^12,OFFSET(PLE!$G$15,$M195-$A$15,DE$13)))</f>
        <v>1000000000000</v>
      </c>
      <c r="DF195" s="354" t="n">
        <f aca="true">IF(OR($D195&lt;&gt;"Serviço",AND(AUTOEVENTO="Manual",$M195=$A$15),$M195&gt;(ROW(PLE.lastrow)-ROW(PLE.firstrow))),0,
           IF(OFFSET(PLE!$G$15,$M195-$A$15,DF$13)="",10^12,OFFSET(PLE!$G$15,$M195-$A$15,DF$13)))</f>
        <v>1000000000000</v>
      </c>
      <c r="DG195" s="354" t="n">
        <f aca="true">IF(OR($D195&lt;&gt;"Serviço",AND(AUTOEVENTO="Manual",$M195=$A$15),$M195&gt;(ROW(PLE.lastrow)-ROW(PLE.firstrow))),0,
           IF(OFFSET(PLE!$G$15,$M195-$A$15,DG$13)="",10^12,OFFSET(PLE!$G$15,$M195-$A$15,DG$13)))</f>
        <v>1000000000000</v>
      </c>
      <c r="DH195" s="354" t="n">
        <f aca="true">IF(OR($D195&lt;&gt;"Serviço",AND(AUTOEVENTO="Manual",$M195=$A$15),$M195&gt;(ROW(PLE.lastrow)-ROW(PLE.firstrow))),0,
           IF(OFFSET(PLE!$G$15,$M195-$A$15,DH$13)="",10^12,OFFSET(PLE!$G$15,$M195-$A$15,DH$13)))</f>
        <v>1000000000000</v>
      </c>
      <c r="DI195" s="354" t="n">
        <f aca="true">IF(OR($D195&lt;&gt;"Serviço",AND(AUTOEVENTO="Manual",$M195=$A$15),$M195&gt;(ROW(PLE.lastrow)-ROW(PLE.firstrow))),0,
           IF(OFFSET(PLE!$G$15,$M195-$A$15,DI$13)="",10^12,OFFSET(PLE!$G$15,$M195-$A$15,DI$13)))</f>
        <v>1000000000000</v>
      </c>
      <c r="DJ195" s="354" t="n">
        <f aca="true">IF(OR($D195&lt;&gt;"Serviço",AND(AUTOEVENTO="Manual",$M195=$A$15),$M195&gt;(ROW(PLE.lastrow)-ROW(PLE.firstrow))),0,
           IF(OFFSET(PLE!$G$15,$M195-$A$15,DJ$13)="",10^12,OFFSET(PLE!$G$15,$M195-$A$15,DJ$13)))</f>
        <v>1000000000000</v>
      </c>
      <c r="DK195" s="354" t="n">
        <f aca="true">IF(OR($D195&lt;&gt;"Serviço",AND(AUTOEVENTO="Manual",$M195=$A$15),$M195&gt;(ROW(PLE.lastrow)-ROW(PLE.firstrow))),0,
           IF(OFFSET(PLE!$G$15,$M195-$A$15,DK$13)="",10^12,OFFSET(PLE!$G$15,$M195-$A$15,DK$13)))</f>
        <v>1000000000000</v>
      </c>
      <c r="DL195" s="354" t="n">
        <f aca="true">IF(OR($D195&lt;&gt;"Serviço",AND(AUTOEVENTO="Manual",$M195=$A$15),$M195&gt;(ROW(PLE.lastrow)-ROW(PLE.firstrow))),0,
           IF(OFFSET(PLE!$G$15,$M195-$A$15,DL$13)="",10^12,OFFSET(PLE!$G$15,$M195-$A$15,DL$13)))</f>
        <v>1000000000000</v>
      </c>
      <c r="DM195" s="354" t="n">
        <f aca="true">IF(OR($D195&lt;&gt;"Serviço",AND(AUTOEVENTO="Manual",$M195=$A$15),$M195&gt;(ROW(PLE.lastrow)-ROW(PLE.firstrow))),0,
           IF(OFFSET(PLE!$G$15,$M195-$A$15,DM$13)="",10^12,OFFSET(PLE!$G$15,$M195-$A$15,DM$13)))</f>
        <v>1000000000000</v>
      </c>
      <c r="DN195" s="354" t="n">
        <f aca="true">IF(OR($D195&lt;&gt;"Serviço",AND(AUTOEVENTO="Manual",$M195=$A$15),$M195&gt;(ROW(PLE.lastrow)-ROW(PLE.firstrow))),0,
           IF(OFFSET(PLE!$G$15,$M195-$A$15,DN$13)="",10^12,OFFSET(PLE!$G$15,$M195-$A$15,DN$13)))</f>
        <v>1000000000000</v>
      </c>
      <c r="DO195" s="354" t="n">
        <f aca="true">IF(OR($D195&lt;&gt;"Serviço",AND(AUTOEVENTO="Manual",$M195=$A$15),$M195&gt;(ROW(PLE.lastrow)-ROW(PLE.firstrow))),0,
           IF(OFFSET(PLE!$G$15,$M195-$A$15,DO$13)="",10^12,OFFSET(PLE!$G$15,$M195-$A$15,DO$13)))</f>
        <v>1000000000000</v>
      </c>
      <c r="DP195" s="354" t="n">
        <f aca="true">IF(OR($D195&lt;&gt;"Serviço",AND(AUTOEVENTO="Manual",$M195=$A$15),$M195&gt;(ROW(PLE.lastrow)-ROW(PLE.firstrow))),0,
           IF(OFFSET(PLE!$G$15,$M195-$A$15,DP$13)="",10^12,OFFSET(PLE!$G$15,$M195-$A$15,DP$13)))</f>
        <v>1000000000000</v>
      </c>
      <c r="DQ195" s="354" t="n">
        <f aca="true">IF(OR($D195&lt;&gt;"Serviço",AND(AUTOEVENTO="Manual",$M195=$A$15),$M195&gt;(ROW(PLE.lastrow)-ROW(PLE.firstrow))),0,
           IF(OFFSET(PLE!$G$15,$M195-$A$15,DQ$13)="",10^12,OFFSET(PLE!$G$15,$M195-$A$15,DQ$13)))</f>
        <v>1000000000000</v>
      </c>
      <c r="DR195" s="354" t="n">
        <f aca="true">IF(OR($D195&lt;&gt;"Serviço",AND(AUTOEVENTO="Manual",$M195=$A$15),$M195&gt;(ROW(PLE.lastrow)-ROW(PLE.firstrow))),0,
           IF(OFFSET(PLE!$G$15,$M195-$A$15,DR$13)="",10^12,OFFSET(PLE!$G$15,$M195-$A$15,DR$13)))</f>
        <v>1000000000000</v>
      </c>
      <c r="DS195" s="354" t="n">
        <f aca="true">IF(OR($D195&lt;&gt;"Serviço",AND(AUTOEVENTO="Manual",$M195=$A$15),$M195&gt;(ROW(PLE.lastrow)-ROW(PLE.firstrow))),0,
           IF(OFFSET(PLE!$G$15,$M195-$A$15,DS$13)="",10^12,OFFSET(PLE!$G$15,$M195-$A$15,DS$13)))</f>
        <v>1000000000000</v>
      </c>
    </row>
    <row r="196" customFormat="false" ht="12.75" hidden="false" customHeight="false" outlineLevel="0" collapsed="false">
      <c r="A196" s="50" t="str">
        <f aca="true">IFERROR(IF(AUTOEVENTO="Manual",IF(K196&lt;&gt;"",MIN(VALUE(LEFT(K196,FIND(".",K196)-1)),COUNTA(EVENTOS.Lista)),0),IF(OR($B196&gt;AUTOEVENTO,$B196="S",$B196=0),SUBSTITUTE(OFFSET($A196,-1,0),IF($D196="Serviço",".",""),""),ROW(A196)-ROW($A$15)&amp;".")),0)</f>
        <v>181.</v>
      </c>
      <c r="B196" s="50" t="n">
        <f aca="true">OFFSET(ORÇAMENTO!C$15,ROW(B196)-ROW(B$15),0)</f>
        <v>2</v>
      </c>
      <c r="C196" s="50" t="str">
        <f aca="true">OFFSET(ORÇAMENTO!L$15,ROW(C196)-ROW(C$15),0)</f>
        <v>F</v>
      </c>
      <c r="D196" s="201" t="str">
        <f aca="true">OFFSET(ORÇAMENTO!N$15,ROW(D196)-ROW(D$15),0)</f>
        <v>Nível 2</v>
      </c>
      <c r="E196" s="202" t="str">
        <f aca="true">OFFSET(ORÇAMENTO!O$15,ROW(E196)-ROW(E$15),0)</f>
        <v>1.48.</v>
      </c>
      <c r="F196" s="341" t="str">
        <f aca="true">OFFSET(ORÇAMENTO!R$15,ROW(F196)-ROW(F$15),0)</f>
        <v>ELEVADORES / BOMBAS</v>
      </c>
      <c r="G196" s="342" t="str">
        <f aca="true">IF($D196&lt;&gt;"Serviço","",OFFSET(ORÇAMENTO!S$15,ROW(G196)-ROW(G$15),0))</f>
        <v/>
      </c>
      <c r="H196" s="207" t="n">
        <f aca="true">IF($D196&lt;&gt;"Serviço",0,IF(ACOMPANHAMENTO="BM",ROUND(OFFSET(ORÇAMENTO!AJ$15,ROW(H196)-ROW(H$15),0),15-13*ORÇAMENTO!$AF$7),SUMPRODUCT(($Q$1:$AQ$1=1)*ROUND($Q196:$AQ196,15-13*ORÇAMENTO!$AF$7))))</f>
        <v>0</v>
      </c>
      <c r="I196" s="343"/>
      <c r="J196" s="344" t="str">
        <f aca="false">IF(OR(B196&lt;&gt;"S",CÁLCULO.FrentesPreenchidas=0),"",IF(AND(ACOMPANHAMENTO="PLE",AUTOEVENTO="Manual",OR(H196&gt;0,ORÇAMENTO!AC196="QUANT."),OR(K196="",M196=0,N196="")),"►",IF(AND(ACOMPANHAMENTO="PLE",ORÇAMENTO!AC196="QUANT."),"►►",IF(AND(COUNTIF($P$11:$AQ$11,"▼")=0,H196&gt;0,I196=""),"◄",""))))</f>
        <v/>
      </c>
      <c r="K196" s="345"/>
      <c r="L196" s="346" t="s">
        <v>876</v>
      </c>
      <c r="M196" s="347" t="str">
        <f aca="true">IF($D196&lt;&gt;"Serviço","",
          IF(AUTOEVENTO="manual",$A196,
                IF(ISERROR(MATCH($A196,$A$15:OFFSET($A196,-1,0),0)),MAX($M$15:OFFSET(M196,-1,0))+1,
                      INDEX($M$15:OFFSET(M196,-1,0),MATCH($A196,$A$15:OFFSET($A196,-1,0),0)))))</f>
        <v/>
      </c>
      <c r="N196" s="348" t="str">
        <f aca="true">IF($D196&lt;&gt;"Serviço","",
         IF(AUTOEVENTO="Manual",
                IF($A196=0,"&lt;-- defina o número do agrupador",
                       OFFSET(EVENTOS!$D$15,$A196-$A$15,0)),
                OFFSET($F$15,$A196,0)))</f>
        <v/>
      </c>
      <c r="O196" s="349"/>
      <c r="Q196" s="349"/>
      <c r="R196" s="350"/>
      <c r="S196" s="350"/>
      <c r="T196" s="350"/>
      <c r="U196" s="350"/>
      <c r="V196" s="350"/>
      <c r="W196" s="350"/>
      <c r="X196" s="350"/>
      <c r="Y196" s="350"/>
      <c r="Z196" s="351"/>
      <c r="AA196" s="350"/>
      <c r="AB196" s="350"/>
      <c r="AC196" s="350"/>
      <c r="AD196" s="350"/>
      <c r="AE196" s="350"/>
      <c r="AF196" s="350"/>
      <c r="AG196" s="350"/>
      <c r="AH196" s="351"/>
      <c r="AI196" s="350"/>
      <c r="AJ196" s="350"/>
      <c r="AK196" s="350"/>
      <c r="AL196" s="350"/>
      <c r="AM196" s="350"/>
      <c r="AN196" s="350"/>
      <c r="AO196" s="350"/>
      <c r="AP196" s="351"/>
      <c r="AR196" s="352" t="n">
        <f aca="true">IF(AND($D196="Serviço",AR$12&lt;&gt;0,$H196&gt;0,OR(AUTOEVENTO&lt;&gt;"manual",$M196&lt;&gt;$A$15)),
        IF(Import.TipoArredondamento&lt;&gt;"TransfereGOV",
              ROUND(OFFSET($P196,0,AR$13),15-13*ORÇAMENTO!$AF$7)/$H196*OFFSET(ORÇAMENTO!$X$15,ROW(AR196)-ROW(AR$15),0),
              ROUND(ROUND(OFFSET($P196,0,AR$13),15-13*ORÇAMENTO!$AF$7)*OFFSET(ORÇAMENTO!$W$15,ROW(AR196)-ROW(AR$15),0),15-13*ORÇAMENTO!$AF$11)),
         0)</f>
        <v>0</v>
      </c>
      <c r="AS196" s="352" t="n">
        <f aca="true">IF(AND($D196="Serviço",AS$12&lt;&gt;0,$H196&gt;0,OR(AUTOEVENTO&lt;&gt;"manual",$M196&lt;&gt;$A$15)),
        IF(Import.TipoArredondamento&lt;&gt;"TransfereGOV",
              ROUND(OFFSET($P196,0,AS$13),15-13*ORÇAMENTO!$AF$7)/$H196*OFFSET(ORÇAMENTO!$X$15,ROW(AS196)-ROW(AS$15),0),
              ROUND(ROUND(OFFSET($P196,0,AS$13),15-13*ORÇAMENTO!$AF$7)*OFFSET(ORÇAMENTO!$W$15,ROW(AS196)-ROW(AS$15),0),15-13*ORÇAMENTO!$AF$11)),
         0)</f>
        <v>0</v>
      </c>
      <c r="AT196" s="352" t="n">
        <f aca="true">IF(AND($D196="Serviço",AT$12&lt;&gt;0,$H196&gt;0,OR(AUTOEVENTO&lt;&gt;"manual",$M196&lt;&gt;$A$15)),
        IF(Import.TipoArredondamento&lt;&gt;"TransfereGOV",
              ROUND(OFFSET($P196,0,AT$13),15-13*ORÇAMENTO!$AF$7)/$H196*OFFSET(ORÇAMENTO!$X$15,ROW(AT196)-ROW(AT$15),0),
              ROUND(ROUND(OFFSET($P196,0,AT$13),15-13*ORÇAMENTO!$AF$7)*OFFSET(ORÇAMENTO!$W$15,ROW(AT196)-ROW(AT$15),0),15-13*ORÇAMENTO!$AF$11)),
         0)</f>
        <v>0</v>
      </c>
      <c r="AU196" s="352" t="n">
        <f aca="true">IF(AND($D196="Serviço",AU$12&lt;&gt;0,$H196&gt;0,OR(AUTOEVENTO&lt;&gt;"manual",$M196&lt;&gt;$A$15)),
        IF(Import.TipoArredondamento&lt;&gt;"TransfereGOV",
              ROUND(OFFSET($P196,0,AU$13),15-13*ORÇAMENTO!$AF$7)/$H196*OFFSET(ORÇAMENTO!$X$15,ROW(AU196)-ROW(AU$15),0),
              ROUND(ROUND(OFFSET($P196,0,AU$13),15-13*ORÇAMENTO!$AF$7)*OFFSET(ORÇAMENTO!$W$15,ROW(AU196)-ROW(AU$15),0),15-13*ORÇAMENTO!$AF$11)),
         0)</f>
        <v>0</v>
      </c>
      <c r="AV196" s="352" t="n">
        <f aca="true">IF(AND($D196="Serviço",AV$12&lt;&gt;0,$H196&gt;0,OR(AUTOEVENTO&lt;&gt;"manual",$M196&lt;&gt;$A$15)),
        IF(Import.TipoArredondamento&lt;&gt;"TransfereGOV",
              ROUND(OFFSET($P196,0,AV$13),15-13*ORÇAMENTO!$AF$7)/$H196*OFFSET(ORÇAMENTO!$X$15,ROW(AV196)-ROW(AV$15),0),
              ROUND(ROUND(OFFSET($P196,0,AV$13),15-13*ORÇAMENTO!$AF$7)*OFFSET(ORÇAMENTO!$W$15,ROW(AV196)-ROW(AV$15),0),15-13*ORÇAMENTO!$AF$11)),
         0)</f>
        <v>0</v>
      </c>
      <c r="AW196" s="352" t="n">
        <f aca="true">IF(AND($D196="Serviço",AW$12&lt;&gt;0,$H196&gt;0,OR(AUTOEVENTO&lt;&gt;"manual",$M196&lt;&gt;$A$15)),
        IF(Import.TipoArredondamento&lt;&gt;"TransfereGOV",
              ROUND(OFFSET($P196,0,AW$13),15-13*ORÇAMENTO!$AF$7)/$H196*OFFSET(ORÇAMENTO!$X$15,ROW(AW196)-ROW(AW$15),0),
              ROUND(ROUND(OFFSET($P196,0,AW$13),15-13*ORÇAMENTO!$AF$7)*OFFSET(ORÇAMENTO!$W$15,ROW(AW196)-ROW(AW$15),0),15-13*ORÇAMENTO!$AF$11)),
         0)</f>
        <v>0</v>
      </c>
      <c r="AX196" s="352" t="n">
        <f aca="true">IF(AND($D196="Serviço",AX$12&lt;&gt;0,$H196&gt;0,OR(AUTOEVENTO&lt;&gt;"manual",$M196&lt;&gt;$A$15)),
        IF(Import.TipoArredondamento&lt;&gt;"TransfereGOV",
              ROUND(OFFSET($P196,0,AX$13),15-13*ORÇAMENTO!$AF$7)/$H196*OFFSET(ORÇAMENTO!$X$15,ROW(AX196)-ROW(AX$15),0),
              ROUND(ROUND(OFFSET($P196,0,AX$13),15-13*ORÇAMENTO!$AF$7)*OFFSET(ORÇAMENTO!$W$15,ROW(AX196)-ROW(AX$15),0),15-13*ORÇAMENTO!$AF$11)),
         0)</f>
        <v>0</v>
      </c>
      <c r="AY196" s="352" t="n">
        <f aca="true">IF(AND($D196="Serviço",AY$12&lt;&gt;0,$H196&gt;0,OR(AUTOEVENTO&lt;&gt;"manual",$M196&lt;&gt;$A$15)),
        IF(Import.TipoArredondamento&lt;&gt;"TransfereGOV",
              ROUND(OFFSET($P196,0,AY$13),15-13*ORÇAMENTO!$AF$7)/$H196*OFFSET(ORÇAMENTO!$X$15,ROW(AY196)-ROW(AY$15),0),
              ROUND(ROUND(OFFSET($P196,0,AY$13),15-13*ORÇAMENTO!$AF$7)*OFFSET(ORÇAMENTO!$W$15,ROW(AY196)-ROW(AY$15),0),15-13*ORÇAMENTO!$AF$11)),
         0)</f>
        <v>0</v>
      </c>
      <c r="AZ196" s="352" t="n">
        <f aca="true">IF(AND($D196="Serviço",AZ$12&lt;&gt;0,$H196&gt;0,OR(AUTOEVENTO&lt;&gt;"manual",$M196&lt;&gt;$A$15)),
        IF(Import.TipoArredondamento&lt;&gt;"TransfereGOV",
              ROUND(OFFSET($P196,0,AZ$13),15-13*ORÇAMENTO!$AF$7)/$H196*OFFSET(ORÇAMENTO!$X$15,ROW(AZ196)-ROW(AZ$15),0),
              ROUND(ROUND(OFFSET($P196,0,AZ$13),15-13*ORÇAMENTO!$AF$7)*OFFSET(ORÇAMENTO!$W$15,ROW(AZ196)-ROW(AZ$15),0),15-13*ORÇAMENTO!$AF$11)),
         0)</f>
        <v>0</v>
      </c>
      <c r="BA196" s="352" t="n">
        <f aca="true">IF(AND($D196="Serviço",BA$12&lt;&gt;0,$H196&gt;0,OR(AUTOEVENTO&lt;&gt;"manual",$M196&lt;&gt;$A$15)),
        IF(Import.TipoArredondamento&lt;&gt;"TransfereGOV",
              ROUND(OFFSET($P196,0,BA$13),15-13*ORÇAMENTO!$AF$7)/$H196*OFFSET(ORÇAMENTO!$X$15,ROW(BA196)-ROW(BA$15),0),
              ROUND(ROUND(OFFSET($P196,0,BA$13),15-13*ORÇAMENTO!$AF$7)*OFFSET(ORÇAMENTO!$W$15,ROW(BA196)-ROW(BA$15),0),15-13*ORÇAMENTO!$AF$11)),
         0)</f>
        <v>0</v>
      </c>
      <c r="BB196" s="352" t="n">
        <f aca="true">IF(AND($D196="Serviço",BB$12&lt;&gt;0,$H196&gt;0,OR(AUTOEVENTO&lt;&gt;"manual",$M196&lt;&gt;$A$15)),
        IF(Import.TipoArredondamento&lt;&gt;"TransfereGOV",
              ROUND(OFFSET($P196,0,BB$13),15-13*ORÇAMENTO!$AF$7)/$H196*OFFSET(ORÇAMENTO!$X$15,ROW(BB196)-ROW(BB$15),0),
              ROUND(ROUND(OFFSET($P196,0,BB$13),15-13*ORÇAMENTO!$AF$7)*OFFSET(ORÇAMENTO!$W$15,ROW(BB196)-ROW(BB$15),0),15-13*ORÇAMENTO!$AF$11)),
         0)</f>
        <v>0</v>
      </c>
      <c r="BC196" s="352" t="n">
        <f aca="true">IF(AND($D196="Serviço",BC$12&lt;&gt;0,$H196&gt;0,OR(AUTOEVENTO&lt;&gt;"manual",$M196&lt;&gt;$A$15)),
        IF(Import.TipoArredondamento&lt;&gt;"TransfereGOV",
              ROUND(OFFSET($P196,0,BC$13),15-13*ORÇAMENTO!$AF$7)/$H196*OFFSET(ORÇAMENTO!$X$15,ROW(BC196)-ROW(BC$15),0),
              ROUND(ROUND(OFFSET($P196,0,BC$13),15-13*ORÇAMENTO!$AF$7)*OFFSET(ORÇAMENTO!$W$15,ROW(BC196)-ROW(BC$15),0),15-13*ORÇAMENTO!$AF$11)),
         0)</f>
        <v>0</v>
      </c>
      <c r="BD196" s="352" t="n">
        <f aca="true">IF(AND($D196="Serviço",BD$12&lt;&gt;0,$H196&gt;0,OR(AUTOEVENTO&lt;&gt;"manual",$M196&lt;&gt;$A$15)),
        IF(Import.TipoArredondamento&lt;&gt;"TransfereGOV",
              ROUND(OFFSET($P196,0,BD$13),15-13*ORÇAMENTO!$AF$7)/$H196*OFFSET(ORÇAMENTO!$X$15,ROW(BD196)-ROW(BD$15),0),
              ROUND(ROUND(OFFSET($P196,0,BD$13),15-13*ORÇAMENTO!$AF$7)*OFFSET(ORÇAMENTO!$W$15,ROW(BD196)-ROW(BD$15),0),15-13*ORÇAMENTO!$AF$11)),
         0)</f>
        <v>0</v>
      </c>
      <c r="BE196" s="352" t="n">
        <f aca="true">IF(AND($D196="Serviço",BE$12&lt;&gt;0,$H196&gt;0,OR(AUTOEVENTO&lt;&gt;"manual",$M196&lt;&gt;$A$15)),
        IF(Import.TipoArredondamento&lt;&gt;"TransfereGOV",
              ROUND(OFFSET($P196,0,BE$13),15-13*ORÇAMENTO!$AF$7)/$H196*OFFSET(ORÇAMENTO!$X$15,ROW(BE196)-ROW(BE$15),0),
              ROUND(ROUND(OFFSET($P196,0,BE$13),15-13*ORÇAMENTO!$AF$7)*OFFSET(ORÇAMENTO!$W$15,ROW(BE196)-ROW(BE$15),0),15-13*ORÇAMENTO!$AF$11)),
         0)</f>
        <v>0</v>
      </c>
      <c r="BF196" s="352" t="n">
        <f aca="true">IF(AND($D196="Serviço",BF$12&lt;&gt;0,$H196&gt;0,OR(AUTOEVENTO&lt;&gt;"manual",$M196&lt;&gt;$A$15)),
        IF(Import.TipoArredondamento&lt;&gt;"TransfereGOV",
              ROUND(OFFSET($P196,0,BF$13),15-13*ORÇAMENTO!$AF$7)/$H196*OFFSET(ORÇAMENTO!$X$15,ROW(BF196)-ROW(BF$15),0),
              ROUND(ROUND(OFFSET($P196,0,BF$13),15-13*ORÇAMENTO!$AF$7)*OFFSET(ORÇAMENTO!$W$15,ROW(BF196)-ROW(BF$15),0),15-13*ORÇAMENTO!$AF$11)),
         0)</f>
        <v>0</v>
      </c>
      <c r="BG196" s="352" t="n">
        <f aca="true">IF(AND($D196="Serviço",BG$12&lt;&gt;0,$H196&gt;0,OR(AUTOEVENTO&lt;&gt;"manual",$M196&lt;&gt;$A$15)),
        IF(Import.TipoArredondamento&lt;&gt;"TransfereGOV",
              ROUND(OFFSET($P196,0,BG$13),15-13*ORÇAMENTO!$AF$7)/$H196*OFFSET(ORÇAMENTO!$X$15,ROW(BG196)-ROW(BG$15),0),
              ROUND(ROUND(OFFSET($P196,0,BG$13),15-13*ORÇAMENTO!$AF$7)*OFFSET(ORÇAMENTO!$W$15,ROW(BG196)-ROW(BG$15),0),15-13*ORÇAMENTO!$AF$11)),
         0)</f>
        <v>0</v>
      </c>
      <c r="BH196" s="352" t="n">
        <f aca="true">IF(AND($D196="Serviço",BH$12&lt;&gt;0,$H196&gt;0,OR(AUTOEVENTO&lt;&gt;"manual",$M196&lt;&gt;$A$15)),
        IF(Import.TipoArredondamento&lt;&gt;"TransfereGOV",
              ROUND(OFFSET($P196,0,BH$13),15-13*ORÇAMENTO!$AF$7)/$H196*OFFSET(ORÇAMENTO!$X$15,ROW(BH196)-ROW(BH$15),0),
              ROUND(ROUND(OFFSET($P196,0,BH$13),15-13*ORÇAMENTO!$AF$7)*OFFSET(ORÇAMENTO!$W$15,ROW(BH196)-ROW(BH$15),0),15-13*ORÇAMENTO!$AF$11)),
         0)</f>
        <v>0</v>
      </c>
      <c r="BI196" s="352" t="n">
        <f aca="true">IF(AND($D196="Serviço",BI$12&lt;&gt;0,$H196&gt;0,OR(AUTOEVENTO&lt;&gt;"manual",$M196&lt;&gt;$A$15)),
        IF(Import.TipoArredondamento&lt;&gt;"TransfereGOV",
              ROUND(OFFSET($P196,0,BI$13),15-13*ORÇAMENTO!$AF$7)/$H196*OFFSET(ORÇAMENTO!$X$15,ROW(BI196)-ROW(BI$15),0),
              ROUND(ROUND(OFFSET($P196,0,BI$13),15-13*ORÇAMENTO!$AF$7)*OFFSET(ORÇAMENTO!$W$15,ROW(BI196)-ROW(BI$15),0),15-13*ORÇAMENTO!$AF$11)),
         0)</f>
        <v>0</v>
      </c>
      <c r="BJ196" s="352" t="n">
        <f aca="true">IF(AND($D196="Serviço",BJ$12&lt;&gt;0,$H196&gt;0,OR(AUTOEVENTO&lt;&gt;"manual",$M196&lt;&gt;$A$15)),
        IF(Import.TipoArredondamento&lt;&gt;"TransfereGOV",
              ROUND(OFFSET($P196,0,BJ$13),15-13*ORÇAMENTO!$AF$7)/$H196*OFFSET(ORÇAMENTO!$X$15,ROW(BJ196)-ROW(BJ$15),0),
              ROUND(ROUND(OFFSET($P196,0,BJ$13),15-13*ORÇAMENTO!$AF$7)*OFFSET(ORÇAMENTO!$W$15,ROW(BJ196)-ROW(BJ$15),0),15-13*ORÇAMENTO!$AF$11)),
         0)</f>
        <v>0</v>
      </c>
      <c r="BK196" s="352" t="n">
        <f aca="true">IF(AND($D196="Serviço",BK$12&lt;&gt;0,$H196&gt;0,OR(AUTOEVENTO&lt;&gt;"manual",$M196&lt;&gt;$A$15)),
        IF(Import.TipoArredondamento&lt;&gt;"TransfereGOV",
              ROUND(OFFSET($P196,0,BK$13),15-13*ORÇAMENTO!$AF$7)/$H196*OFFSET(ORÇAMENTO!$X$15,ROW(BK196)-ROW(BK$15),0),
              ROUND(ROUND(OFFSET($P196,0,BK$13),15-13*ORÇAMENTO!$AF$7)*OFFSET(ORÇAMENTO!$W$15,ROW(BK196)-ROW(BK$15),0),15-13*ORÇAMENTO!$AF$11)),
         0)</f>
        <v>0</v>
      </c>
      <c r="BL196" s="352" t="n">
        <f aca="true">IF(AND($D196="Serviço",BL$12&lt;&gt;0,$H196&gt;0,OR(AUTOEVENTO&lt;&gt;"manual",$M196&lt;&gt;$A$15)),
        IF(Import.TipoArredondamento&lt;&gt;"TransfereGOV",
              ROUND(OFFSET($P196,0,BL$13),15-13*ORÇAMENTO!$AF$7)/$H196*OFFSET(ORÇAMENTO!$X$15,ROW(BL196)-ROW(BL$15),0),
              ROUND(ROUND(OFFSET($P196,0,BL$13),15-13*ORÇAMENTO!$AF$7)*OFFSET(ORÇAMENTO!$W$15,ROW(BL196)-ROW(BL$15),0),15-13*ORÇAMENTO!$AF$11)),
         0)</f>
        <v>0</v>
      </c>
      <c r="BM196" s="352" t="n">
        <f aca="true">IF(AND($D196="Serviço",BM$12&lt;&gt;0,$H196&gt;0,OR(AUTOEVENTO&lt;&gt;"manual",$M196&lt;&gt;$A$15)),
        IF(Import.TipoArredondamento&lt;&gt;"TransfereGOV",
              ROUND(OFFSET($P196,0,BM$13),15-13*ORÇAMENTO!$AF$7)/$H196*OFFSET(ORÇAMENTO!$X$15,ROW(BM196)-ROW(BM$15),0),
              ROUND(ROUND(OFFSET($P196,0,BM$13),15-13*ORÇAMENTO!$AF$7)*OFFSET(ORÇAMENTO!$W$15,ROW(BM196)-ROW(BM$15),0),15-13*ORÇAMENTO!$AF$11)),
         0)</f>
        <v>0</v>
      </c>
      <c r="BN196" s="352" t="n">
        <f aca="true">IF(AND($D196="Serviço",BN$12&lt;&gt;0,$H196&gt;0,OR(AUTOEVENTO&lt;&gt;"manual",$M196&lt;&gt;$A$15)),
        IF(Import.TipoArredondamento&lt;&gt;"TransfereGOV",
              ROUND(OFFSET($P196,0,BN$13),15-13*ORÇAMENTO!$AF$7)/$H196*OFFSET(ORÇAMENTO!$X$15,ROW(BN196)-ROW(BN$15),0),
              ROUND(ROUND(OFFSET($P196,0,BN$13),15-13*ORÇAMENTO!$AF$7)*OFFSET(ORÇAMENTO!$W$15,ROW(BN196)-ROW(BN$15),0),15-13*ORÇAMENTO!$AF$11)),
         0)</f>
        <v>0</v>
      </c>
      <c r="BO196" s="352" t="n">
        <f aca="true">IF(AND($D196="Serviço",BO$12&lt;&gt;0,$H196&gt;0,OR(AUTOEVENTO&lt;&gt;"manual",$M196&lt;&gt;$A$15)),
        IF(Import.TipoArredondamento&lt;&gt;"TransfereGOV",
              ROUND(OFFSET($P196,0,BO$13),15-13*ORÇAMENTO!$AF$7)/$H196*OFFSET(ORÇAMENTO!$X$15,ROW(BO196)-ROW(BO$15),0),
              ROUND(ROUND(OFFSET($P196,0,BO$13),15-13*ORÇAMENTO!$AF$7)*OFFSET(ORÇAMENTO!$W$15,ROW(BO196)-ROW(BO$15),0),15-13*ORÇAMENTO!$AF$11)),
         0)</f>
        <v>0</v>
      </c>
      <c r="BP196" s="352" t="n">
        <f aca="true">IF(AND($D196="Serviço",BP$12&lt;&gt;0,$H196&gt;0,OR(AUTOEVENTO&lt;&gt;"manual",$M196&lt;&gt;$A$15)),
        IF(Import.TipoArredondamento&lt;&gt;"TransfereGOV",
              ROUND(OFFSET($P196,0,BP$13),15-13*ORÇAMENTO!$AF$7)/$H196*OFFSET(ORÇAMENTO!$X$15,ROW(BP196)-ROW(BP$15),0),
              ROUND(ROUND(OFFSET($P196,0,BP$13),15-13*ORÇAMENTO!$AF$7)*OFFSET(ORÇAMENTO!$W$15,ROW(BP196)-ROW(BP$15),0),15-13*ORÇAMENTO!$AF$11)),
         0)</f>
        <v>0</v>
      </c>
      <c r="BQ196" s="352" t="n">
        <f aca="true">IF(AND($D196="Serviço",BQ$12&lt;&gt;0,$H196&gt;0,OR(AUTOEVENTO&lt;&gt;"manual",$M196&lt;&gt;$A$15)),
        IF(Import.TipoArredondamento&lt;&gt;"TransfereGOV",
              ROUND(OFFSET($P196,0,BQ$13),15-13*ORÇAMENTO!$AF$7)/$H196*OFFSET(ORÇAMENTO!$X$15,ROW(BQ196)-ROW(BQ$15),0),
              ROUND(ROUND(OFFSET($P196,0,BQ$13),15-13*ORÇAMENTO!$AF$7)*OFFSET(ORÇAMENTO!$W$15,ROW(BQ196)-ROW(BQ$15),0),15-13*ORÇAMENTO!$AF$11)),
         0)</f>
        <v>0</v>
      </c>
      <c r="BS196" s="353" t="n">
        <f aca="true">IF(OR($D196&lt;&gt;"Serviço",AND(AUTOEVENTO="Manual",$M196=$A$15)),0,
         IF(OFFSET(CRONOPLE!$F$15,$M196-$A$15,BS$13)=0,10^12,OFFSET(CRONOPLE!$F$15,$M196-$A$15,BS$13)))</f>
        <v>0</v>
      </c>
      <c r="BT196" s="353" t="n">
        <f aca="true">IF(OR($D196&lt;&gt;"Serviço",AND(AUTOEVENTO="Manual",$M196=$A$15)),0,
         IF(OFFSET(CRONOPLE!$F$15,$M196-$A$15,BT$13)=0,10^12,OFFSET(CRONOPLE!$F$15,$M196-$A$15,BT$13)))</f>
        <v>0</v>
      </c>
      <c r="BU196" s="353" t="n">
        <f aca="true">IF(OR($D196&lt;&gt;"Serviço",AND(AUTOEVENTO="Manual",$M196=$A$15)),0,
         IF(OFFSET(CRONOPLE!$F$15,$M196-$A$15,BU$13)=0,10^12,OFFSET(CRONOPLE!$F$15,$M196-$A$15,BU$13)))</f>
        <v>0</v>
      </c>
      <c r="BV196" s="353" t="n">
        <f aca="true">IF(OR($D196&lt;&gt;"Serviço",AND(AUTOEVENTO="Manual",$M196=$A$15)),0,
         IF(OFFSET(CRONOPLE!$F$15,$M196-$A$15,BV$13)=0,10^12,OFFSET(CRONOPLE!$F$15,$M196-$A$15,BV$13)))</f>
        <v>0</v>
      </c>
      <c r="BW196" s="353" t="n">
        <f aca="true">IF(OR($D196&lt;&gt;"Serviço",AND(AUTOEVENTO="Manual",$M196=$A$15)),0,
         IF(OFFSET(CRONOPLE!$F$15,$M196-$A$15,BW$13)=0,10^12,OFFSET(CRONOPLE!$F$15,$M196-$A$15,BW$13)))</f>
        <v>0</v>
      </c>
      <c r="BX196" s="353" t="n">
        <f aca="true">IF(OR($D196&lt;&gt;"Serviço",AND(AUTOEVENTO="Manual",$M196=$A$15)),0,
         IF(OFFSET(CRONOPLE!$F$15,$M196-$A$15,BX$13)=0,10^12,OFFSET(CRONOPLE!$F$15,$M196-$A$15,BX$13)))</f>
        <v>0</v>
      </c>
      <c r="BY196" s="353" t="n">
        <f aca="true">IF(OR($D196&lt;&gt;"Serviço",AND(AUTOEVENTO="Manual",$M196=$A$15)),0,
         IF(OFFSET(CRONOPLE!$F$15,$M196-$A$15,BY$13)=0,10^12,OFFSET(CRONOPLE!$F$15,$M196-$A$15,BY$13)))</f>
        <v>0</v>
      </c>
      <c r="BZ196" s="353" t="n">
        <f aca="true">IF(OR($D196&lt;&gt;"Serviço",AND(AUTOEVENTO="Manual",$M196=$A$15)),0,
         IF(OFFSET(CRONOPLE!$F$15,$M196-$A$15,BZ$13)=0,10^12,OFFSET(CRONOPLE!$F$15,$M196-$A$15,BZ$13)))</f>
        <v>0</v>
      </c>
      <c r="CA196" s="353" t="n">
        <f aca="true">IF(OR($D196&lt;&gt;"Serviço",AND(AUTOEVENTO="Manual",$M196=$A$15)),0,
         IF(OFFSET(CRONOPLE!$F$15,$M196-$A$15,CA$13)=0,10^12,OFFSET(CRONOPLE!$F$15,$M196-$A$15,CA$13)))</f>
        <v>0</v>
      </c>
      <c r="CB196" s="353" t="n">
        <f aca="true">IF(OR($D196&lt;&gt;"Serviço",AND(AUTOEVENTO="Manual",$M196=$A$15)),0,
         IF(OFFSET(CRONOPLE!$F$15,$M196-$A$15,CB$13)=0,10^12,OFFSET(CRONOPLE!$F$15,$M196-$A$15,CB$13)))</f>
        <v>0</v>
      </c>
      <c r="CC196" s="353" t="n">
        <f aca="true">IF(OR($D196&lt;&gt;"Serviço",AND(AUTOEVENTO="Manual",$M196=$A$15)),0,
         IF(OFFSET(CRONOPLE!$F$15,$M196-$A$15,CC$13)=0,10^12,OFFSET(CRONOPLE!$F$15,$M196-$A$15,CC$13)))</f>
        <v>0</v>
      </c>
      <c r="CD196" s="353" t="n">
        <f aca="true">IF(OR($D196&lt;&gt;"Serviço",AND(AUTOEVENTO="Manual",$M196=$A$15)),0,
         IF(OFFSET(CRONOPLE!$F$15,$M196-$A$15,CD$13)=0,10^12,OFFSET(CRONOPLE!$F$15,$M196-$A$15,CD$13)))</f>
        <v>0</v>
      </c>
      <c r="CE196" s="353" t="n">
        <f aca="true">IF(OR($D196&lt;&gt;"Serviço",AND(AUTOEVENTO="Manual",$M196=$A$15)),0,
         IF(OFFSET(CRONOPLE!$F$15,$M196-$A$15,CE$13)=0,10^12,OFFSET(CRONOPLE!$F$15,$M196-$A$15,CE$13)))</f>
        <v>0</v>
      </c>
      <c r="CF196" s="353" t="n">
        <f aca="true">IF(OR($D196&lt;&gt;"Serviço",AND(AUTOEVENTO="Manual",$M196=$A$15)),0,
         IF(OFFSET(CRONOPLE!$F$15,$M196-$A$15,CF$13)=0,10^12,OFFSET(CRONOPLE!$F$15,$M196-$A$15,CF$13)))</f>
        <v>0</v>
      </c>
      <c r="CG196" s="353" t="n">
        <f aca="true">IF(OR($D196&lt;&gt;"Serviço",AND(AUTOEVENTO="Manual",$M196=$A$15)),0,
         IF(OFFSET(CRONOPLE!$F$15,$M196-$A$15,CG$13)=0,10^12,OFFSET(CRONOPLE!$F$15,$M196-$A$15,CG$13)))</f>
        <v>0</v>
      </c>
      <c r="CH196" s="353" t="n">
        <f aca="true">IF(OR($D196&lt;&gt;"Serviço",AND(AUTOEVENTO="Manual",$M196=$A$15)),0,
         IF(OFFSET(CRONOPLE!$F$15,$M196-$A$15,CH$13)=0,10^12,OFFSET(CRONOPLE!$F$15,$M196-$A$15,CH$13)))</f>
        <v>0</v>
      </c>
      <c r="CI196" s="353" t="n">
        <f aca="true">IF(OR($D196&lt;&gt;"Serviço",AND(AUTOEVENTO="Manual",$M196=$A$15)),0,
         IF(OFFSET(CRONOPLE!$F$15,$M196-$A$15,CI$13)=0,10^12,OFFSET(CRONOPLE!$F$15,$M196-$A$15,CI$13)))</f>
        <v>0</v>
      </c>
      <c r="CJ196" s="353" t="n">
        <f aca="true">IF(OR($D196&lt;&gt;"Serviço",AND(AUTOEVENTO="Manual",$M196=$A$15)),0,
         IF(OFFSET(CRONOPLE!$F$15,$M196-$A$15,CJ$13)=0,10^12,OFFSET(CRONOPLE!$F$15,$M196-$A$15,CJ$13)))</f>
        <v>0</v>
      </c>
      <c r="CK196" s="353" t="n">
        <f aca="true">IF(OR($D196&lt;&gt;"Serviço",AND(AUTOEVENTO="Manual",$M196=$A$15)),0,
         IF(OFFSET(CRONOPLE!$F$15,$M196-$A$15,CK$13)=0,10^12,OFFSET(CRONOPLE!$F$15,$M196-$A$15,CK$13)))</f>
        <v>0</v>
      </c>
      <c r="CL196" s="353" t="n">
        <f aca="true">IF(OR($D196&lt;&gt;"Serviço",AND(AUTOEVENTO="Manual",$M196=$A$15)),0,
         IF(OFFSET(CRONOPLE!$F$15,$M196-$A$15,CL$13)=0,10^12,OFFSET(CRONOPLE!$F$15,$M196-$A$15,CL$13)))</f>
        <v>0</v>
      </c>
      <c r="CM196" s="353" t="n">
        <f aca="true">IF(OR($D196&lt;&gt;"Serviço",AND(AUTOEVENTO="Manual",$M196=$A$15)),0,
         IF(OFFSET(CRONOPLE!$F$15,$M196-$A$15,CM$13)=0,10^12,OFFSET(CRONOPLE!$F$15,$M196-$A$15,CM$13)))</f>
        <v>0</v>
      </c>
      <c r="CN196" s="353" t="n">
        <f aca="true">IF(OR($D196&lt;&gt;"Serviço",AND(AUTOEVENTO="Manual",$M196=$A$15)),0,
         IF(OFFSET(CRONOPLE!$F$15,$M196-$A$15,CN$13)=0,10^12,OFFSET(CRONOPLE!$F$15,$M196-$A$15,CN$13)))</f>
        <v>0</v>
      </c>
      <c r="CO196" s="353" t="n">
        <f aca="true">IF(OR($D196&lt;&gt;"Serviço",AND(AUTOEVENTO="Manual",$M196=$A$15)),0,
         IF(OFFSET(CRONOPLE!$F$15,$M196-$A$15,CO$13)=0,10^12,OFFSET(CRONOPLE!$F$15,$M196-$A$15,CO$13)))</f>
        <v>0</v>
      </c>
      <c r="CP196" s="353" t="n">
        <f aca="true">IF(OR($D196&lt;&gt;"Serviço",AND(AUTOEVENTO="Manual",$M196=$A$15)),0,
         IF(OFFSET(CRONOPLE!$F$15,$M196-$A$15,CP$13)=0,10^12,OFFSET(CRONOPLE!$F$15,$M196-$A$15,CP$13)))</f>
        <v>0</v>
      </c>
      <c r="CQ196" s="353" t="n">
        <f aca="true">IF(OR($D196&lt;&gt;"Serviço",AND(AUTOEVENTO="Manual",$M196=$A$15)),0,
         IF(OFFSET(CRONOPLE!$F$15,$M196-$A$15,CQ$13)=0,10^12,OFFSET(CRONOPLE!$F$15,$M196-$A$15,CQ$13)))</f>
        <v>0</v>
      </c>
      <c r="CR196" s="353" t="n">
        <f aca="true">IF(OR($D196&lt;&gt;"Serviço",AND(AUTOEVENTO="Manual",$M196=$A$15)),0,
         IF(OFFSET(CRONOPLE!$F$15,$M196-$A$15,CR$13)=0,10^12,OFFSET(CRONOPLE!$F$15,$M196-$A$15,CR$13)))</f>
        <v>0</v>
      </c>
      <c r="CT196" s="354" t="n">
        <f aca="true">IF(OR($D196&lt;&gt;"Serviço",AND(AUTOEVENTO="Manual",$M196=$A$15),$M196&gt;(ROW(PLE.lastrow)-ROW(PLE.firstrow))),0,
           IF(OFFSET(PLE!$G$15,$M196-$A$15,CT$13)="",10^12,OFFSET(PLE!$G$15,$M196-$A$15,CT$13)))</f>
        <v>0</v>
      </c>
      <c r="CU196" s="354" t="n">
        <f aca="true">IF(OR($D196&lt;&gt;"Serviço",AND(AUTOEVENTO="Manual",$M196=$A$15),$M196&gt;(ROW(PLE.lastrow)-ROW(PLE.firstrow))),0,
           IF(OFFSET(PLE!$G$15,$M196-$A$15,CU$13)="",10^12,OFFSET(PLE!$G$15,$M196-$A$15,CU$13)))</f>
        <v>0</v>
      </c>
      <c r="CV196" s="354" t="n">
        <f aca="true">IF(OR($D196&lt;&gt;"Serviço",AND(AUTOEVENTO="Manual",$M196=$A$15),$M196&gt;(ROW(PLE.lastrow)-ROW(PLE.firstrow))),0,
           IF(OFFSET(PLE!$G$15,$M196-$A$15,CV$13)="",10^12,OFFSET(PLE!$G$15,$M196-$A$15,CV$13)))</f>
        <v>0</v>
      </c>
      <c r="CW196" s="354" t="n">
        <f aca="true">IF(OR($D196&lt;&gt;"Serviço",AND(AUTOEVENTO="Manual",$M196=$A$15),$M196&gt;(ROW(PLE.lastrow)-ROW(PLE.firstrow))),0,
           IF(OFFSET(PLE!$G$15,$M196-$A$15,CW$13)="",10^12,OFFSET(PLE!$G$15,$M196-$A$15,CW$13)))</f>
        <v>0</v>
      </c>
      <c r="CX196" s="354" t="n">
        <f aca="true">IF(OR($D196&lt;&gt;"Serviço",AND(AUTOEVENTO="Manual",$M196=$A$15),$M196&gt;(ROW(PLE.lastrow)-ROW(PLE.firstrow))),0,
           IF(OFFSET(PLE!$G$15,$M196-$A$15,CX$13)="",10^12,OFFSET(PLE!$G$15,$M196-$A$15,CX$13)))</f>
        <v>0</v>
      </c>
      <c r="CY196" s="354" t="n">
        <f aca="true">IF(OR($D196&lt;&gt;"Serviço",AND(AUTOEVENTO="Manual",$M196=$A$15),$M196&gt;(ROW(PLE.lastrow)-ROW(PLE.firstrow))),0,
           IF(OFFSET(PLE!$G$15,$M196-$A$15,CY$13)="",10^12,OFFSET(PLE!$G$15,$M196-$A$15,CY$13)))</f>
        <v>0</v>
      </c>
      <c r="CZ196" s="354" t="n">
        <f aca="true">IF(OR($D196&lt;&gt;"Serviço",AND(AUTOEVENTO="Manual",$M196=$A$15),$M196&gt;(ROW(PLE.lastrow)-ROW(PLE.firstrow))),0,
           IF(OFFSET(PLE!$G$15,$M196-$A$15,CZ$13)="",10^12,OFFSET(PLE!$G$15,$M196-$A$15,CZ$13)))</f>
        <v>0</v>
      </c>
      <c r="DA196" s="354" t="n">
        <f aca="true">IF(OR($D196&lt;&gt;"Serviço",AND(AUTOEVENTO="Manual",$M196=$A$15),$M196&gt;(ROW(PLE.lastrow)-ROW(PLE.firstrow))),0,
           IF(OFFSET(PLE!$G$15,$M196-$A$15,DA$13)="",10^12,OFFSET(PLE!$G$15,$M196-$A$15,DA$13)))</f>
        <v>0</v>
      </c>
      <c r="DB196" s="354" t="n">
        <f aca="true">IF(OR($D196&lt;&gt;"Serviço",AND(AUTOEVENTO="Manual",$M196=$A$15),$M196&gt;(ROW(PLE.lastrow)-ROW(PLE.firstrow))),0,
           IF(OFFSET(PLE!$G$15,$M196-$A$15,DB$13)="",10^12,OFFSET(PLE!$G$15,$M196-$A$15,DB$13)))</f>
        <v>0</v>
      </c>
      <c r="DC196" s="354" t="n">
        <f aca="true">IF(OR($D196&lt;&gt;"Serviço",AND(AUTOEVENTO="Manual",$M196=$A$15),$M196&gt;(ROW(PLE.lastrow)-ROW(PLE.firstrow))),0,
           IF(OFFSET(PLE!$G$15,$M196-$A$15,DC$13)="",10^12,OFFSET(PLE!$G$15,$M196-$A$15,DC$13)))</f>
        <v>0</v>
      </c>
      <c r="DD196" s="354" t="n">
        <f aca="true">IF(OR($D196&lt;&gt;"Serviço",AND(AUTOEVENTO="Manual",$M196=$A$15),$M196&gt;(ROW(PLE.lastrow)-ROW(PLE.firstrow))),0,
           IF(OFFSET(PLE!$G$15,$M196-$A$15,DD$13)="",10^12,OFFSET(PLE!$G$15,$M196-$A$15,DD$13)))</f>
        <v>0</v>
      </c>
      <c r="DE196" s="354" t="n">
        <f aca="true">IF(OR($D196&lt;&gt;"Serviço",AND(AUTOEVENTO="Manual",$M196=$A$15),$M196&gt;(ROW(PLE.lastrow)-ROW(PLE.firstrow))),0,
           IF(OFFSET(PLE!$G$15,$M196-$A$15,DE$13)="",10^12,OFFSET(PLE!$G$15,$M196-$A$15,DE$13)))</f>
        <v>0</v>
      </c>
      <c r="DF196" s="354" t="n">
        <f aca="true">IF(OR($D196&lt;&gt;"Serviço",AND(AUTOEVENTO="Manual",$M196=$A$15),$M196&gt;(ROW(PLE.lastrow)-ROW(PLE.firstrow))),0,
           IF(OFFSET(PLE!$G$15,$M196-$A$15,DF$13)="",10^12,OFFSET(PLE!$G$15,$M196-$A$15,DF$13)))</f>
        <v>0</v>
      </c>
      <c r="DG196" s="354" t="n">
        <f aca="true">IF(OR($D196&lt;&gt;"Serviço",AND(AUTOEVENTO="Manual",$M196=$A$15),$M196&gt;(ROW(PLE.lastrow)-ROW(PLE.firstrow))),0,
           IF(OFFSET(PLE!$G$15,$M196-$A$15,DG$13)="",10^12,OFFSET(PLE!$G$15,$M196-$A$15,DG$13)))</f>
        <v>0</v>
      </c>
      <c r="DH196" s="354" t="n">
        <f aca="true">IF(OR($D196&lt;&gt;"Serviço",AND(AUTOEVENTO="Manual",$M196=$A$15),$M196&gt;(ROW(PLE.lastrow)-ROW(PLE.firstrow))),0,
           IF(OFFSET(PLE!$G$15,$M196-$A$15,DH$13)="",10^12,OFFSET(PLE!$G$15,$M196-$A$15,DH$13)))</f>
        <v>0</v>
      </c>
      <c r="DI196" s="354" t="n">
        <f aca="true">IF(OR($D196&lt;&gt;"Serviço",AND(AUTOEVENTO="Manual",$M196=$A$15),$M196&gt;(ROW(PLE.lastrow)-ROW(PLE.firstrow))),0,
           IF(OFFSET(PLE!$G$15,$M196-$A$15,DI$13)="",10^12,OFFSET(PLE!$G$15,$M196-$A$15,DI$13)))</f>
        <v>0</v>
      </c>
      <c r="DJ196" s="354" t="n">
        <f aca="true">IF(OR($D196&lt;&gt;"Serviço",AND(AUTOEVENTO="Manual",$M196=$A$15),$M196&gt;(ROW(PLE.lastrow)-ROW(PLE.firstrow))),0,
           IF(OFFSET(PLE!$G$15,$M196-$A$15,DJ$13)="",10^12,OFFSET(PLE!$G$15,$M196-$A$15,DJ$13)))</f>
        <v>0</v>
      </c>
      <c r="DK196" s="354" t="n">
        <f aca="true">IF(OR($D196&lt;&gt;"Serviço",AND(AUTOEVENTO="Manual",$M196=$A$15),$M196&gt;(ROW(PLE.lastrow)-ROW(PLE.firstrow))),0,
           IF(OFFSET(PLE!$G$15,$M196-$A$15,DK$13)="",10^12,OFFSET(PLE!$G$15,$M196-$A$15,DK$13)))</f>
        <v>0</v>
      </c>
      <c r="DL196" s="354" t="n">
        <f aca="true">IF(OR($D196&lt;&gt;"Serviço",AND(AUTOEVENTO="Manual",$M196=$A$15),$M196&gt;(ROW(PLE.lastrow)-ROW(PLE.firstrow))),0,
           IF(OFFSET(PLE!$G$15,$M196-$A$15,DL$13)="",10^12,OFFSET(PLE!$G$15,$M196-$A$15,DL$13)))</f>
        <v>0</v>
      </c>
      <c r="DM196" s="354" t="n">
        <f aca="true">IF(OR($D196&lt;&gt;"Serviço",AND(AUTOEVENTO="Manual",$M196=$A$15),$M196&gt;(ROW(PLE.lastrow)-ROW(PLE.firstrow))),0,
           IF(OFFSET(PLE!$G$15,$M196-$A$15,DM$13)="",10^12,OFFSET(PLE!$G$15,$M196-$A$15,DM$13)))</f>
        <v>0</v>
      </c>
      <c r="DN196" s="354" t="n">
        <f aca="true">IF(OR($D196&lt;&gt;"Serviço",AND(AUTOEVENTO="Manual",$M196=$A$15),$M196&gt;(ROW(PLE.lastrow)-ROW(PLE.firstrow))),0,
           IF(OFFSET(PLE!$G$15,$M196-$A$15,DN$13)="",10^12,OFFSET(PLE!$G$15,$M196-$A$15,DN$13)))</f>
        <v>0</v>
      </c>
      <c r="DO196" s="354" t="n">
        <f aca="true">IF(OR($D196&lt;&gt;"Serviço",AND(AUTOEVENTO="Manual",$M196=$A$15),$M196&gt;(ROW(PLE.lastrow)-ROW(PLE.firstrow))),0,
           IF(OFFSET(PLE!$G$15,$M196-$A$15,DO$13)="",10^12,OFFSET(PLE!$G$15,$M196-$A$15,DO$13)))</f>
        <v>0</v>
      </c>
      <c r="DP196" s="354" t="n">
        <f aca="true">IF(OR($D196&lt;&gt;"Serviço",AND(AUTOEVENTO="Manual",$M196=$A$15),$M196&gt;(ROW(PLE.lastrow)-ROW(PLE.firstrow))),0,
           IF(OFFSET(PLE!$G$15,$M196-$A$15,DP$13)="",10^12,OFFSET(PLE!$G$15,$M196-$A$15,DP$13)))</f>
        <v>0</v>
      </c>
      <c r="DQ196" s="354" t="n">
        <f aca="true">IF(OR($D196&lt;&gt;"Serviço",AND(AUTOEVENTO="Manual",$M196=$A$15),$M196&gt;(ROW(PLE.lastrow)-ROW(PLE.firstrow))),0,
           IF(OFFSET(PLE!$G$15,$M196-$A$15,DQ$13)="",10^12,OFFSET(PLE!$G$15,$M196-$A$15,DQ$13)))</f>
        <v>0</v>
      </c>
      <c r="DR196" s="354" t="n">
        <f aca="true">IF(OR($D196&lt;&gt;"Serviço",AND(AUTOEVENTO="Manual",$M196=$A$15),$M196&gt;(ROW(PLE.lastrow)-ROW(PLE.firstrow))),0,
           IF(OFFSET(PLE!$G$15,$M196-$A$15,DR$13)="",10^12,OFFSET(PLE!$G$15,$M196-$A$15,DR$13)))</f>
        <v>0</v>
      </c>
      <c r="DS196" s="354" t="n">
        <f aca="true">IF(OR($D196&lt;&gt;"Serviço",AND(AUTOEVENTO="Manual",$M196=$A$15),$M196&gt;(ROW(PLE.lastrow)-ROW(PLE.firstrow))),0,
           IF(OFFSET(PLE!$G$15,$M196-$A$15,DS$13)="",10^12,OFFSET(PLE!$G$15,$M196-$A$15,DS$13)))</f>
        <v>0</v>
      </c>
    </row>
    <row r="197" customFormat="false" ht="12.75" hidden="false" customHeight="false" outlineLevel="0" collapsed="false">
      <c r="A197" s="50" t="str">
        <f aca="true">IFERROR(IF(AUTOEVENTO="Manual",IF(K197&lt;&gt;"",MIN(VALUE(LEFT(K197,FIND(".",K197)-1)),COUNTA(EVENTOS.Lista)),0),IF(OR($B197&gt;AUTOEVENTO,$B197="S",$B197=0),SUBSTITUTE(OFFSET($A197,-1,0),IF($D197="Serviço",".",""),""),ROW(A197)-ROW($A$15)&amp;".")),0)</f>
        <v>182.</v>
      </c>
      <c r="B197" s="50" t="n">
        <f aca="true">OFFSET(ORÇAMENTO!C$15,ROW(B197)-ROW(B$15),0)</f>
        <v>2</v>
      </c>
      <c r="C197" s="50" t="str">
        <f aca="true">OFFSET(ORÇAMENTO!L$15,ROW(C197)-ROW(C$15),0)</f>
        <v>F</v>
      </c>
      <c r="D197" s="201" t="str">
        <f aca="true">OFFSET(ORÇAMENTO!N$15,ROW(D197)-ROW(D$15),0)</f>
        <v>Nível 2</v>
      </c>
      <c r="E197" s="202" t="str">
        <f aca="true">OFFSET(ORÇAMENTO!O$15,ROW(E197)-ROW(E$15),0)</f>
        <v>1.49.</v>
      </c>
      <c r="F197" s="341" t="str">
        <f aca="true">OFFSET(ORÇAMENTO!R$15,ROW(F197)-ROW(F$15),0)</f>
        <v>CLIMATIZAÇÃO</v>
      </c>
      <c r="G197" s="342" t="str">
        <f aca="true">IF($D197&lt;&gt;"Serviço","",OFFSET(ORÇAMENTO!S$15,ROW(G197)-ROW(G$15),0))</f>
        <v/>
      </c>
      <c r="H197" s="207" t="n">
        <f aca="true">IF($D197&lt;&gt;"Serviço",0,IF(ACOMPANHAMENTO="BM",ROUND(OFFSET(ORÇAMENTO!AJ$15,ROW(H197)-ROW(H$15),0),15-13*ORÇAMENTO!$AF$7),SUMPRODUCT(($Q$1:$AQ$1=1)*ROUND($Q197:$AQ197,15-13*ORÇAMENTO!$AF$7))))</f>
        <v>0</v>
      </c>
      <c r="I197" s="343"/>
      <c r="J197" s="344" t="str">
        <f aca="false">IF(OR(B197&lt;&gt;"S",CÁLCULO.FrentesPreenchidas=0),"",IF(AND(ACOMPANHAMENTO="PLE",AUTOEVENTO="Manual",OR(H197&gt;0,ORÇAMENTO!AC197="QUANT."),OR(K197="",M197=0,N197="")),"►",IF(AND(ACOMPANHAMENTO="PLE",ORÇAMENTO!AC197="QUANT."),"►►",IF(AND(COUNTIF($P$11:$AQ$11,"▼")=0,H197&gt;0,I197=""),"◄",""))))</f>
        <v/>
      </c>
      <c r="K197" s="345"/>
      <c r="L197" s="346" t="s">
        <v>876</v>
      </c>
      <c r="M197" s="347" t="str">
        <f aca="true">IF($D197&lt;&gt;"Serviço","",
          IF(AUTOEVENTO="manual",$A197,
                IF(ISERROR(MATCH($A197,$A$15:OFFSET($A197,-1,0),0)),MAX($M$15:OFFSET(M197,-1,0))+1,
                      INDEX($M$15:OFFSET(M197,-1,0),MATCH($A197,$A$15:OFFSET($A197,-1,0),0)))))</f>
        <v/>
      </c>
      <c r="N197" s="348" t="str">
        <f aca="true">IF($D197&lt;&gt;"Serviço","",
         IF(AUTOEVENTO="Manual",
                IF($A197=0,"&lt;-- defina o número do agrupador",
                       OFFSET(EVENTOS!$D$15,$A197-$A$15,0)),
                OFFSET($F$15,$A197,0)))</f>
        <v/>
      </c>
      <c r="O197" s="349"/>
      <c r="Q197" s="349"/>
      <c r="R197" s="350"/>
      <c r="S197" s="350"/>
      <c r="T197" s="350"/>
      <c r="U197" s="350"/>
      <c r="V197" s="350"/>
      <c r="W197" s="350"/>
      <c r="X197" s="350"/>
      <c r="Y197" s="350"/>
      <c r="Z197" s="351"/>
      <c r="AA197" s="350"/>
      <c r="AB197" s="350"/>
      <c r="AC197" s="350"/>
      <c r="AD197" s="350"/>
      <c r="AE197" s="350"/>
      <c r="AF197" s="350"/>
      <c r="AG197" s="350"/>
      <c r="AH197" s="351"/>
      <c r="AI197" s="350"/>
      <c r="AJ197" s="350"/>
      <c r="AK197" s="350"/>
      <c r="AL197" s="350"/>
      <c r="AM197" s="350"/>
      <c r="AN197" s="350"/>
      <c r="AO197" s="350"/>
      <c r="AP197" s="351"/>
      <c r="AR197" s="352" t="n">
        <f aca="true">IF(AND($D197="Serviço",AR$12&lt;&gt;0,$H197&gt;0,OR(AUTOEVENTO&lt;&gt;"manual",$M197&lt;&gt;$A$15)),
        IF(Import.TipoArredondamento&lt;&gt;"TransfereGOV",
              ROUND(OFFSET($P197,0,AR$13),15-13*ORÇAMENTO!$AF$7)/$H197*OFFSET(ORÇAMENTO!$X$15,ROW(AR197)-ROW(AR$15),0),
              ROUND(ROUND(OFFSET($P197,0,AR$13),15-13*ORÇAMENTO!$AF$7)*OFFSET(ORÇAMENTO!$W$15,ROW(AR197)-ROW(AR$15),0),15-13*ORÇAMENTO!$AF$11)),
         0)</f>
        <v>0</v>
      </c>
      <c r="AS197" s="352" t="n">
        <f aca="true">IF(AND($D197="Serviço",AS$12&lt;&gt;0,$H197&gt;0,OR(AUTOEVENTO&lt;&gt;"manual",$M197&lt;&gt;$A$15)),
        IF(Import.TipoArredondamento&lt;&gt;"TransfereGOV",
              ROUND(OFFSET($P197,0,AS$13),15-13*ORÇAMENTO!$AF$7)/$H197*OFFSET(ORÇAMENTO!$X$15,ROW(AS197)-ROW(AS$15),0),
              ROUND(ROUND(OFFSET($P197,0,AS$13),15-13*ORÇAMENTO!$AF$7)*OFFSET(ORÇAMENTO!$W$15,ROW(AS197)-ROW(AS$15),0),15-13*ORÇAMENTO!$AF$11)),
         0)</f>
        <v>0</v>
      </c>
      <c r="AT197" s="352" t="n">
        <f aca="true">IF(AND($D197="Serviço",AT$12&lt;&gt;0,$H197&gt;0,OR(AUTOEVENTO&lt;&gt;"manual",$M197&lt;&gt;$A$15)),
        IF(Import.TipoArredondamento&lt;&gt;"TransfereGOV",
              ROUND(OFFSET($P197,0,AT$13),15-13*ORÇAMENTO!$AF$7)/$H197*OFFSET(ORÇAMENTO!$X$15,ROW(AT197)-ROW(AT$15),0),
              ROUND(ROUND(OFFSET($P197,0,AT$13),15-13*ORÇAMENTO!$AF$7)*OFFSET(ORÇAMENTO!$W$15,ROW(AT197)-ROW(AT$15),0),15-13*ORÇAMENTO!$AF$11)),
         0)</f>
        <v>0</v>
      </c>
      <c r="AU197" s="352" t="n">
        <f aca="true">IF(AND($D197="Serviço",AU$12&lt;&gt;0,$H197&gt;0,OR(AUTOEVENTO&lt;&gt;"manual",$M197&lt;&gt;$A$15)),
        IF(Import.TipoArredondamento&lt;&gt;"TransfereGOV",
              ROUND(OFFSET($P197,0,AU$13),15-13*ORÇAMENTO!$AF$7)/$H197*OFFSET(ORÇAMENTO!$X$15,ROW(AU197)-ROW(AU$15),0),
              ROUND(ROUND(OFFSET($P197,0,AU$13),15-13*ORÇAMENTO!$AF$7)*OFFSET(ORÇAMENTO!$W$15,ROW(AU197)-ROW(AU$15),0),15-13*ORÇAMENTO!$AF$11)),
         0)</f>
        <v>0</v>
      </c>
      <c r="AV197" s="352" t="n">
        <f aca="true">IF(AND($D197="Serviço",AV$12&lt;&gt;0,$H197&gt;0,OR(AUTOEVENTO&lt;&gt;"manual",$M197&lt;&gt;$A$15)),
        IF(Import.TipoArredondamento&lt;&gt;"TransfereGOV",
              ROUND(OFFSET($P197,0,AV$13),15-13*ORÇAMENTO!$AF$7)/$H197*OFFSET(ORÇAMENTO!$X$15,ROW(AV197)-ROW(AV$15),0),
              ROUND(ROUND(OFFSET($P197,0,AV$13),15-13*ORÇAMENTO!$AF$7)*OFFSET(ORÇAMENTO!$W$15,ROW(AV197)-ROW(AV$15),0),15-13*ORÇAMENTO!$AF$11)),
         0)</f>
        <v>0</v>
      </c>
      <c r="AW197" s="352" t="n">
        <f aca="true">IF(AND($D197="Serviço",AW$12&lt;&gt;0,$H197&gt;0,OR(AUTOEVENTO&lt;&gt;"manual",$M197&lt;&gt;$A$15)),
        IF(Import.TipoArredondamento&lt;&gt;"TransfereGOV",
              ROUND(OFFSET($P197,0,AW$13),15-13*ORÇAMENTO!$AF$7)/$H197*OFFSET(ORÇAMENTO!$X$15,ROW(AW197)-ROW(AW$15),0),
              ROUND(ROUND(OFFSET($P197,0,AW$13),15-13*ORÇAMENTO!$AF$7)*OFFSET(ORÇAMENTO!$W$15,ROW(AW197)-ROW(AW$15),0),15-13*ORÇAMENTO!$AF$11)),
         0)</f>
        <v>0</v>
      </c>
      <c r="AX197" s="352" t="n">
        <f aca="true">IF(AND($D197="Serviço",AX$12&lt;&gt;0,$H197&gt;0,OR(AUTOEVENTO&lt;&gt;"manual",$M197&lt;&gt;$A$15)),
        IF(Import.TipoArredondamento&lt;&gt;"TransfereGOV",
              ROUND(OFFSET($P197,0,AX$13),15-13*ORÇAMENTO!$AF$7)/$H197*OFFSET(ORÇAMENTO!$X$15,ROW(AX197)-ROW(AX$15),0),
              ROUND(ROUND(OFFSET($P197,0,AX$13),15-13*ORÇAMENTO!$AF$7)*OFFSET(ORÇAMENTO!$W$15,ROW(AX197)-ROW(AX$15),0),15-13*ORÇAMENTO!$AF$11)),
         0)</f>
        <v>0</v>
      </c>
      <c r="AY197" s="352" t="n">
        <f aca="true">IF(AND($D197="Serviço",AY$12&lt;&gt;0,$H197&gt;0,OR(AUTOEVENTO&lt;&gt;"manual",$M197&lt;&gt;$A$15)),
        IF(Import.TipoArredondamento&lt;&gt;"TransfereGOV",
              ROUND(OFFSET($P197,0,AY$13),15-13*ORÇAMENTO!$AF$7)/$H197*OFFSET(ORÇAMENTO!$X$15,ROW(AY197)-ROW(AY$15),0),
              ROUND(ROUND(OFFSET($P197,0,AY$13),15-13*ORÇAMENTO!$AF$7)*OFFSET(ORÇAMENTO!$W$15,ROW(AY197)-ROW(AY$15),0),15-13*ORÇAMENTO!$AF$11)),
         0)</f>
        <v>0</v>
      </c>
      <c r="AZ197" s="352" t="n">
        <f aca="true">IF(AND($D197="Serviço",AZ$12&lt;&gt;0,$H197&gt;0,OR(AUTOEVENTO&lt;&gt;"manual",$M197&lt;&gt;$A$15)),
        IF(Import.TipoArredondamento&lt;&gt;"TransfereGOV",
              ROUND(OFFSET($P197,0,AZ$13),15-13*ORÇAMENTO!$AF$7)/$H197*OFFSET(ORÇAMENTO!$X$15,ROW(AZ197)-ROW(AZ$15),0),
              ROUND(ROUND(OFFSET($P197,0,AZ$13),15-13*ORÇAMENTO!$AF$7)*OFFSET(ORÇAMENTO!$W$15,ROW(AZ197)-ROW(AZ$15),0),15-13*ORÇAMENTO!$AF$11)),
         0)</f>
        <v>0</v>
      </c>
      <c r="BA197" s="352" t="n">
        <f aca="true">IF(AND($D197="Serviço",BA$12&lt;&gt;0,$H197&gt;0,OR(AUTOEVENTO&lt;&gt;"manual",$M197&lt;&gt;$A$15)),
        IF(Import.TipoArredondamento&lt;&gt;"TransfereGOV",
              ROUND(OFFSET($P197,0,BA$13),15-13*ORÇAMENTO!$AF$7)/$H197*OFFSET(ORÇAMENTO!$X$15,ROW(BA197)-ROW(BA$15),0),
              ROUND(ROUND(OFFSET($P197,0,BA$13),15-13*ORÇAMENTO!$AF$7)*OFFSET(ORÇAMENTO!$W$15,ROW(BA197)-ROW(BA$15),0),15-13*ORÇAMENTO!$AF$11)),
         0)</f>
        <v>0</v>
      </c>
      <c r="BB197" s="352" t="n">
        <f aca="true">IF(AND($D197="Serviço",BB$12&lt;&gt;0,$H197&gt;0,OR(AUTOEVENTO&lt;&gt;"manual",$M197&lt;&gt;$A$15)),
        IF(Import.TipoArredondamento&lt;&gt;"TransfereGOV",
              ROUND(OFFSET($P197,0,BB$13),15-13*ORÇAMENTO!$AF$7)/$H197*OFFSET(ORÇAMENTO!$X$15,ROW(BB197)-ROW(BB$15),0),
              ROUND(ROUND(OFFSET($P197,0,BB$13),15-13*ORÇAMENTO!$AF$7)*OFFSET(ORÇAMENTO!$W$15,ROW(BB197)-ROW(BB$15),0),15-13*ORÇAMENTO!$AF$11)),
         0)</f>
        <v>0</v>
      </c>
      <c r="BC197" s="352" t="n">
        <f aca="true">IF(AND($D197="Serviço",BC$12&lt;&gt;0,$H197&gt;0,OR(AUTOEVENTO&lt;&gt;"manual",$M197&lt;&gt;$A$15)),
        IF(Import.TipoArredondamento&lt;&gt;"TransfereGOV",
              ROUND(OFFSET($P197,0,BC$13),15-13*ORÇAMENTO!$AF$7)/$H197*OFFSET(ORÇAMENTO!$X$15,ROW(BC197)-ROW(BC$15),0),
              ROUND(ROUND(OFFSET($P197,0,BC$13),15-13*ORÇAMENTO!$AF$7)*OFFSET(ORÇAMENTO!$W$15,ROW(BC197)-ROW(BC$15),0),15-13*ORÇAMENTO!$AF$11)),
         0)</f>
        <v>0</v>
      </c>
      <c r="BD197" s="352" t="n">
        <f aca="true">IF(AND($D197="Serviço",BD$12&lt;&gt;0,$H197&gt;0,OR(AUTOEVENTO&lt;&gt;"manual",$M197&lt;&gt;$A$15)),
        IF(Import.TipoArredondamento&lt;&gt;"TransfereGOV",
              ROUND(OFFSET($P197,0,BD$13),15-13*ORÇAMENTO!$AF$7)/$H197*OFFSET(ORÇAMENTO!$X$15,ROW(BD197)-ROW(BD$15),0),
              ROUND(ROUND(OFFSET($P197,0,BD$13),15-13*ORÇAMENTO!$AF$7)*OFFSET(ORÇAMENTO!$W$15,ROW(BD197)-ROW(BD$15),0),15-13*ORÇAMENTO!$AF$11)),
         0)</f>
        <v>0</v>
      </c>
      <c r="BE197" s="352" t="n">
        <f aca="true">IF(AND($D197="Serviço",BE$12&lt;&gt;0,$H197&gt;0,OR(AUTOEVENTO&lt;&gt;"manual",$M197&lt;&gt;$A$15)),
        IF(Import.TipoArredondamento&lt;&gt;"TransfereGOV",
              ROUND(OFFSET($P197,0,BE$13),15-13*ORÇAMENTO!$AF$7)/$H197*OFFSET(ORÇAMENTO!$X$15,ROW(BE197)-ROW(BE$15),0),
              ROUND(ROUND(OFFSET($P197,0,BE$13),15-13*ORÇAMENTO!$AF$7)*OFFSET(ORÇAMENTO!$W$15,ROW(BE197)-ROW(BE$15),0),15-13*ORÇAMENTO!$AF$11)),
         0)</f>
        <v>0</v>
      </c>
      <c r="BF197" s="352" t="n">
        <f aca="true">IF(AND($D197="Serviço",BF$12&lt;&gt;0,$H197&gt;0,OR(AUTOEVENTO&lt;&gt;"manual",$M197&lt;&gt;$A$15)),
        IF(Import.TipoArredondamento&lt;&gt;"TransfereGOV",
              ROUND(OFFSET($P197,0,BF$13),15-13*ORÇAMENTO!$AF$7)/$H197*OFFSET(ORÇAMENTO!$X$15,ROW(BF197)-ROW(BF$15),0),
              ROUND(ROUND(OFFSET($P197,0,BF$13),15-13*ORÇAMENTO!$AF$7)*OFFSET(ORÇAMENTO!$W$15,ROW(BF197)-ROW(BF$15),0),15-13*ORÇAMENTO!$AF$11)),
         0)</f>
        <v>0</v>
      </c>
      <c r="BG197" s="352" t="n">
        <f aca="true">IF(AND($D197="Serviço",BG$12&lt;&gt;0,$H197&gt;0,OR(AUTOEVENTO&lt;&gt;"manual",$M197&lt;&gt;$A$15)),
        IF(Import.TipoArredondamento&lt;&gt;"TransfereGOV",
              ROUND(OFFSET($P197,0,BG$13),15-13*ORÇAMENTO!$AF$7)/$H197*OFFSET(ORÇAMENTO!$X$15,ROW(BG197)-ROW(BG$15),0),
              ROUND(ROUND(OFFSET($P197,0,BG$13),15-13*ORÇAMENTO!$AF$7)*OFFSET(ORÇAMENTO!$W$15,ROW(BG197)-ROW(BG$15),0),15-13*ORÇAMENTO!$AF$11)),
         0)</f>
        <v>0</v>
      </c>
      <c r="BH197" s="352" t="n">
        <f aca="true">IF(AND($D197="Serviço",BH$12&lt;&gt;0,$H197&gt;0,OR(AUTOEVENTO&lt;&gt;"manual",$M197&lt;&gt;$A$15)),
        IF(Import.TipoArredondamento&lt;&gt;"TransfereGOV",
              ROUND(OFFSET($P197,0,BH$13),15-13*ORÇAMENTO!$AF$7)/$H197*OFFSET(ORÇAMENTO!$X$15,ROW(BH197)-ROW(BH$15),0),
              ROUND(ROUND(OFFSET($P197,0,BH$13),15-13*ORÇAMENTO!$AF$7)*OFFSET(ORÇAMENTO!$W$15,ROW(BH197)-ROW(BH$15),0),15-13*ORÇAMENTO!$AF$11)),
         0)</f>
        <v>0</v>
      </c>
      <c r="BI197" s="352" t="n">
        <f aca="true">IF(AND($D197="Serviço",BI$12&lt;&gt;0,$H197&gt;0,OR(AUTOEVENTO&lt;&gt;"manual",$M197&lt;&gt;$A$15)),
        IF(Import.TipoArredondamento&lt;&gt;"TransfereGOV",
              ROUND(OFFSET($P197,0,BI$13),15-13*ORÇAMENTO!$AF$7)/$H197*OFFSET(ORÇAMENTO!$X$15,ROW(BI197)-ROW(BI$15),0),
              ROUND(ROUND(OFFSET($P197,0,BI$13),15-13*ORÇAMENTO!$AF$7)*OFFSET(ORÇAMENTO!$W$15,ROW(BI197)-ROW(BI$15),0),15-13*ORÇAMENTO!$AF$11)),
         0)</f>
        <v>0</v>
      </c>
      <c r="BJ197" s="352" t="n">
        <f aca="true">IF(AND($D197="Serviço",BJ$12&lt;&gt;0,$H197&gt;0,OR(AUTOEVENTO&lt;&gt;"manual",$M197&lt;&gt;$A$15)),
        IF(Import.TipoArredondamento&lt;&gt;"TransfereGOV",
              ROUND(OFFSET($P197,0,BJ$13),15-13*ORÇAMENTO!$AF$7)/$H197*OFFSET(ORÇAMENTO!$X$15,ROW(BJ197)-ROW(BJ$15),0),
              ROUND(ROUND(OFFSET($P197,0,BJ$13),15-13*ORÇAMENTO!$AF$7)*OFFSET(ORÇAMENTO!$W$15,ROW(BJ197)-ROW(BJ$15),0),15-13*ORÇAMENTO!$AF$11)),
         0)</f>
        <v>0</v>
      </c>
      <c r="BK197" s="352" t="n">
        <f aca="true">IF(AND($D197="Serviço",BK$12&lt;&gt;0,$H197&gt;0,OR(AUTOEVENTO&lt;&gt;"manual",$M197&lt;&gt;$A$15)),
        IF(Import.TipoArredondamento&lt;&gt;"TransfereGOV",
              ROUND(OFFSET($P197,0,BK$13),15-13*ORÇAMENTO!$AF$7)/$H197*OFFSET(ORÇAMENTO!$X$15,ROW(BK197)-ROW(BK$15),0),
              ROUND(ROUND(OFFSET($P197,0,BK$13),15-13*ORÇAMENTO!$AF$7)*OFFSET(ORÇAMENTO!$W$15,ROW(BK197)-ROW(BK$15),0),15-13*ORÇAMENTO!$AF$11)),
         0)</f>
        <v>0</v>
      </c>
      <c r="BL197" s="352" t="n">
        <f aca="true">IF(AND($D197="Serviço",BL$12&lt;&gt;0,$H197&gt;0,OR(AUTOEVENTO&lt;&gt;"manual",$M197&lt;&gt;$A$15)),
        IF(Import.TipoArredondamento&lt;&gt;"TransfereGOV",
              ROUND(OFFSET($P197,0,BL$13),15-13*ORÇAMENTO!$AF$7)/$H197*OFFSET(ORÇAMENTO!$X$15,ROW(BL197)-ROW(BL$15),0),
              ROUND(ROUND(OFFSET($P197,0,BL$13),15-13*ORÇAMENTO!$AF$7)*OFFSET(ORÇAMENTO!$W$15,ROW(BL197)-ROW(BL$15),0),15-13*ORÇAMENTO!$AF$11)),
         0)</f>
        <v>0</v>
      </c>
      <c r="BM197" s="352" t="n">
        <f aca="true">IF(AND($D197="Serviço",BM$12&lt;&gt;0,$H197&gt;0,OR(AUTOEVENTO&lt;&gt;"manual",$M197&lt;&gt;$A$15)),
        IF(Import.TipoArredondamento&lt;&gt;"TransfereGOV",
              ROUND(OFFSET($P197,0,BM$13),15-13*ORÇAMENTO!$AF$7)/$H197*OFFSET(ORÇAMENTO!$X$15,ROW(BM197)-ROW(BM$15),0),
              ROUND(ROUND(OFFSET($P197,0,BM$13),15-13*ORÇAMENTO!$AF$7)*OFFSET(ORÇAMENTO!$W$15,ROW(BM197)-ROW(BM$15),0),15-13*ORÇAMENTO!$AF$11)),
         0)</f>
        <v>0</v>
      </c>
      <c r="BN197" s="352" t="n">
        <f aca="true">IF(AND($D197="Serviço",BN$12&lt;&gt;0,$H197&gt;0,OR(AUTOEVENTO&lt;&gt;"manual",$M197&lt;&gt;$A$15)),
        IF(Import.TipoArredondamento&lt;&gt;"TransfereGOV",
              ROUND(OFFSET($P197,0,BN$13),15-13*ORÇAMENTO!$AF$7)/$H197*OFFSET(ORÇAMENTO!$X$15,ROW(BN197)-ROW(BN$15),0),
              ROUND(ROUND(OFFSET($P197,0,BN$13),15-13*ORÇAMENTO!$AF$7)*OFFSET(ORÇAMENTO!$W$15,ROW(BN197)-ROW(BN$15),0),15-13*ORÇAMENTO!$AF$11)),
         0)</f>
        <v>0</v>
      </c>
      <c r="BO197" s="352" t="n">
        <f aca="true">IF(AND($D197="Serviço",BO$12&lt;&gt;0,$H197&gt;0,OR(AUTOEVENTO&lt;&gt;"manual",$M197&lt;&gt;$A$15)),
        IF(Import.TipoArredondamento&lt;&gt;"TransfereGOV",
              ROUND(OFFSET($P197,0,BO$13),15-13*ORÇAMENTO!$AF$7)/$H197*OFFSET(ORÇAMENTO!$X$15,ROW(BO197)-ROW(BO$15),0),
              ROUND(ROUND(OFFSET($P197,0,BO$13),15-13*ORÇAMENTO!$AF$7)*OFFSET(ORÇAMENTO!$W$15,ROW(BO197)-ROW(BO$15),0),15-13*ORÇAMENTO!$AF$11)),
         0)</f>
        <v>0</v>
      </c>
      <c r="BP197" s="352" t="n">
        <f aca="true">IF(AND($D197="Serviço",BP$12&lt;&gt;0,$H197&gt;0,OR(AUTOEVENTO&lt;&gt;"manual",$M197&lt;&gt;$A$15)),
        IF(Import.TipoArredondamento&lt;&gt;"TransfereGOV",
              ROUND(OFFSET($P197,0,BP$13),15-13*ORÇAMENTO!$AF$7)/$H197*OFFSET(ORÇAMENTO!$X$15,ROW(BP197)-ROW(BP$15),0),
              ROUND(ROUND(OFFSET($P197,0,BP$13),15-13*ORÇAMENTO!$AF$7)*OFFSET(ORÇAMENTO!$W$15,ROW(BP197)-ROW(BP$15),0),15-13*ORÇAMENTO!$AF$11)),
         0)</f>
        <v>0</v>
      </c>
      <c r="BQ197" s="352" t="n">
        <f aca="true">IF(AND($D197="Serviço",BQ$12&lt;&gt;0,$H197&gt;0,OR(AUTOEVENTO&lt;&gt;"manual",$M197&lt;&gt;$A$15)),
        IF(Import.TipoArredondamento&lt;&gt;"TransfereGOV",
              ROUND(OFFSET($P197,0,BQ$13),15-13*ORÇAMENTO!$AF$7)/$H197*OFFSET(ORÇAMENTO!$X$15,ROW(BQ197)-ROW(BQ$15),0),
              ROUND(ROUND(OFFSET($P197,0,BQ$13),15-13*ORÇAMENTO!$AF$7)*OFFSET(ORÇAMENTO!$W$15,ROW(BQ197)-ROW(BQ$15),0),15-13*ORÇAMENTO!$AF$11)),
         0)</f>
        <v>0</v>
      </c>
      <c r="BS197" s="353" t="n">
        <f aca="true">IF(OR($D197&lt;&gt;"Serviço",AND(AUTOEVENTO="Manual",$M197=$A$15)),0,
         IF(OFFSET(CRONOPLE!$F$15,$M197-$A$15,BS$13)=0,10^12,OFFSET(CRONOPLE!$F$15,$M197-$A$15,BS$13)))</f>
        <v>0</v>
      </c>
      <c r="BT197" s="353" t="n">
        <f aca="true">IF(OR($D197&lt;&gt;"Serviço",AND(AUTOEVENTO="Manual",$M197=$A$15)),0,
         IF(OFFSET(CRONOPLE!$F$15,$M197-$A$15,BT$13)=0,10^12,OFFSET(CRONOPLE!$F$15,$M197-$A$15,BT$13)))</f>
        <v>0</v>
      </c>
      <c r="BU197" s="353" t="n">
        <f aca="true">IF(OR($D197&lt;&gt;"Serviço",AND(AUTOEVENTO="Manual",$M197=$A$15)),0,
         IF(OFFSET(CRONOPLE!$F$15,$M197-$A$15,BU$13)=0,10^12,OFFSET(CRONOPLE!$F$15,$M197-$A$15,BU$13)))</f>
        <v>0</v>
      </c>
      <c r="BV197" s="353" t="n">
        <f aca="true">IF(OR($D197&lt;&gt;"Serviço",AND(AUTOEVENTO="Manual",$M197=$A$15)),0,
         IF(OFFSET(CRONOPLE!$F$15,$M197-$A$15,BV$13)=0,10^12,OFFSET(CRONOPLE!$F$15,$M197-$A$15,BV$13)))</f>
        <v>0</v>
      </c>
      <c r="BW197" s="353" t="n">
        <f aca="true">IF(OR($D197&lt;&gt;"Serviço",AND(AUTOEVENTO="Manual",$M197=$A$15)),0,
         IF(OFFSET(CRONOPLE!$F$15,$M197-$A$15,BW$13)=0,10^12,OFFSET(CRONOPLE!$F$15,$M197-$A$15,BW$13)))</f>
        <v>0</v>
      </c>
      <c r="BX197" s="353" t="n">
        <f aca="true">IF(OR($D197&lt;&gt;"Serviço",AND(AUTOEVENTO="Manual",$M197=$A$15)),0,
         IF(OFFSET(CRONOPLE!$F$15,$M197-$A$15,BX$13)=0,10^12,OFFSET(CRONOPLE!$F$15,$M197-$A$15,BX$13)))</f>
        <v>0</v>
      </c>
      <c r="BY197" s="353" t="n">
        <f aca="true">IF(OR($D197&lt;&gt;"Serviço",AND(AUTOEVENTO="Manual",$M197=$A$15)),0,
         IF(OFFSET(CRONOPLE!$F$15,$M197-$A$15,BY$13)=0,10^12,OFFSET(CRONOPLE!$F$15,$M197-$A$15,BY$13)))</f>
        <v>0</v>
      </c>
      <c r="BZ197" s="353" t="n">
        <f aca="true">IF(OR($D197&lt;&gt;"Serviço",AND(AUTOEVENTO="Manual",$M197=$A$15)),0,
         IF(OFFSET(CRONOPLE!$F$15,$M197-$A$15,BZ$13)=0,10^12,OFFSET(CRONOPLE!$F$15,$M197-$A$15,BZ$13)))</f>
        <v>0</v>
      </c>
      <c r="CA197" s="353" t="n">
        <f aca="true">IF(OR($D197&lt;&gt;"Serviço",AND(AUTOEVENTO="Manual",$M197=$A$15)),0,
         IF(OFFSET(CRONOPLE!$F$15,$M197-$A$15,CA$13)=0,10^12,OFFSET(CRONOPLE!$F$15,$M197-$A$15,CA$13)))</f>
        <v>0</v>
      </c>
      <c r="CB197" s="353" t="n">
        <f aca="true">IF(OR($D197&lt;&gt;"Serviço",AND(AUTOEVENTO="Manual",$M197=$A$15)),0,
         IF(OFFSET(CRONOPLE!$F$15,$M197-$A$15,CB$13)=0,10^12,OFFSET(CRONOPLE!$F$15,$M197-$A$15,CB$13)))</f>
        <v>0</v>
      </c>
      <c r="CC197" s="353" t="n">
        <f aca="true">IF(OR($D197&lt;&gt;"Serviço",AND(AUTOEVENTO="Manual",$M197=$A$15)),0,
         IF(OFFSET(CRONOPLE!$F$15,$M197-$A$15,CC$13)=0,10^12,OFFSET(CRONOPLE!$F$15,$M197-$A$15,CC$13)))</f>
        <v>0</v>
      </c>
      <c r="CD197" s="353" t="n">
        <f aca="true">IF(OR($D197&lt;&gt;"Serviço",AND(AUTOEVENTO="Manual",$M197=$A$15)),0,
         IF(OFFSET(CRONOPLE!$F$15,$M197-$A$15,CD$13)=0,10^12,OFFSET(CRONOPLE!$F$15,$M197-$A$15,CD$13)))</f>
        <v>0</v>
      </c>
      <c r="CE197" s="353" t="n">
        <f aca="true">IF(OR($D197&lt;&gt;"Serviço",AND(AUTOEVENTO="Manual",$M197=$A$15)),0,
         IF(OFFSET(CRONOPLE!$F$15,$M197-$A$15,CE$13)=0,10^12,OFFSET(CRONOPLE!$F$15,$M197-$A$15,CE$13)))</f>
        <v>0</v>
      </c>
      <c r="CF197" s="353" t="n">
        <f aca="true">IF(OR($D197&lt;&gt;"Serviço",AND(AUTOEVENTO="Manual",$M197=$A$15)),0,
         IF(OFFSET(CRONOPLE!$F$15,$M197-$A$15,CF$13)=0,10^12,OFFSET(CRONOPLE!$F$15,$M197-$A$15,CF$13)))</f>
        <v>0</v>
      </c>
      <c r="CG197" s="353" t="n">
        <f aca="true">IF(OR($D197&lt;&gt;"Serviço",AND(AUTOEVENTO="Manual",$M197=$A$15)),0,
         IF(OFFSET(CRONOPLE!$F$15,$M197-$A$15,CG$13)=0,10^12,OFFSET(CRONOPLE!$F$15,$M197-$A$15,CG$13)))</f>
        <v>0</v>
      </c>
      <c r="CH197" s="353" t="n">
        <f aca="true">IF(OR($D197&lt;&gt;"Serviço",AND(AUTOEVENTO="Manual",$M197=$A$15)),0,
         IF(OFFSET(CRONOPLE!$F$15,$M197-$A$15,CH$13)=0,10^12,OFFSET(CRONOPLE!$F$15,$M197-$A$15,CH$13)))</f>
        <v>0</v>
      </c>
      <c r="CI197" s="353" t="n">
        <f aca="true">IF(OR($D197&lt;&gt;"Serviço",AND(AUTOEVENTO="Manual",$M197=$A$15)),0,
         IF(OFFSET(CRONOPLE!$F$15,$M197-$A$15,CI$13)=0,10^12,OFFSET(CRONOPLE!$F$15,$M197-$A$15,CI$13)))</f>
        <v>0</v>
      </c>
      <c r="CJ197" s="353" t="n">
        <f aca="true">IF(OR($D197&lt;&gt;"Serviço",AND(AUTOEVENTO="Manual",$M197=$A$15)),0,
         IF(OFFSET(CRONOPLE!$F$15,$M197-$A$15,CJ$13)=0,10^12,OFFSET(CRONOPLE!$F$15,$M197-$A$15,CJ$13)))</f>
        <v>0</v>
      </c>
      <c r="CK197" s="353" t="n">
        <f aca="true">IF(OR($D197&lt;&gt;"Serviço",AND(AUTOEVENTO="Manual",$M197=$A$15)),0,
         IF(OFFSET(CRONOPLE!$F$15,$M197-$A$15,CK$13)=0,10^12,OFFSET(CRONOPLE!$F$15,$M197-$A$15,CK$13)))</f>
        <v>0</v>
      </c>
      <c r="CL197" s="353" t="n">
        <f aca="true">IF(OR($D197&lt;&gt;"Serviço",AND(AUTOEVENTO="Manual",$M197=$A$15)),0,
         IF(OFFSET(CRONOPLE!$F$15,$M197-$A$15,CL$13)=0,10^12,OFFSET(CRONOPLE!$F$15,$M197-$A$15,CL$13)))</f>
        <v>0</v>
      </c>
      <c r="CM197" s="353" t="n">
        <f aca="true">IF(OR($D197&lt;&gt;"Serviço",AND(AUTOEVENTO="Manual",$M197=$A$15)),0,
         IF(OFFSET(CRONOPLE!$F$15,$M197-$A$15,CM$13)=0,10^12,OFFSET(CRONOPLE!$F$15,$M197-$A$15,CM$13)))</f>
        <v>0</v>
      </c>
      <c r="CN197" s="353" t="n">
        <f aca="true">IF(OR($D197&lt;&gt;"Serviço",AND(AUTOEVENTO="Manual",$M197=$A$15)),0,
         IF(OFFSET(CRONOPLE!$F$15,$M197-$A$15,CN$13)=0,10^12,OFFSET(CRONOPLE!$F$15,$M197-$A$15,CN$13)))</f>
        <v>0</v>
      </c>
      <c r="CO197" s="353" t="n">
        <f aca="true">IF(OR($D197&lt;&gt;"Serviço",AND(AUTOEVENTO="Manual",$M197=$A$15)),0,
         IF(OFFSET(CRONOPLE!$F$15,$M197-$A$15,CO$13)=0,10^12,OFFSET(CRONOPLE!$F$15,$M197-$A$15,CO$13)))</f>
        <v>0</v>
      </c>
      <c r="CP197" s="353" t="n">
        <f aca="true">IF(OR($D197&lt;&gt;"Serviço",AND(AUTOEVENTO="Manual",$M197=$A$15)),0,
         IF(OFFSET(CRONOPLE!$F$15,$M197-$A$15,CP$13)=0,10^12,OFFSET(CRONOPLE!$F$15,$M197-$A$15,CP$13)))</f>
        <v>0</v>
      </c>
      <c r="CQ197" s="353" t="n">
        <f aca="true">IF(OR($D197&lt;&gt;"Serviço",AND(AUTOEVENTO="Manual",$M197=$A$15)),0,
         IF(OFFSET(CRONOPLE!$F$15,$M197-$A$15,CQ$13)=0,10^12,OFFSET(CRONOPLE!$F$15,$M197-$A$15,CQ$13)))</f>
        <v>0</v>
      </c>
      <c r="CR197" s="353" t="n">
        <f aca="true">IF(OR($D197&lt;&gt;"Serviço",AND(AUTOEVENTO="Manual",$M197=$A$15)),0,
         IF(OFFSET(CRONOPLE!$F$15,$M197-$A$15,CR$13)=0,10^12,OFFSET(CRONOPLE!$F$15,$M197-$A$15,CR$13)))</f>
        <v>0</v>
      </c>
      <c r="CT197" s="354" t="n">
        <f aca="true">IF(OR($D197&lt;&gt;"Serviço",AND(AUTOEVENTO="Manual",$M197=$A$15),$M197&gt;(ROW(PLE.lastrow)-ROW(PLE.firstrow))),0,
           IF(OFFSET(PLE!$G$15,$M197-$A$15,CT$13)="",10^12,OFFSET(PLE!$G$15,$M197-$A$15,CT$13)))</f>
        <v>0</v>
      </c>
      <c r="CU197" s="354" t="n">
        <f aca="true">IF(OR($D197&lt;&gt;"Serviço",AND(AUTOEVENTO="Manual",$M197=$A$15),$M197&gt;(ROW(PLE.lastrow)-ROW(PLE.firstrow))),0,
           IF(OFFSET(PLE!$G$15,$M197-$A$15,CU$13)="",10^12,OFFSET(PLE!$G$15,$M197-$A$15,CU$13)))</f>
        <v>0</v>
      </c>
      <c r="CV197" s="354" t="n">
        <f aca="true">IF(OR($D197&lt;&gt;"Serviço",AND(AUTOEVENTO="Manual",$M197=$A$15),$M197&gt;(ROW(PLE.lastrow)-ROW(PLE.firstrow))),0,
           IF(OFFSET(PLE!$G$15,$M197-$A$15,CV$13)="",10^12,OFFSET(PLE!$G$15,$M197-$A$15,CV$13)))</f>
        <v>0</v>
      </c>
      <c r="CW197" s="354" t="n">
        <f aca="true">IF(OR($D197&lt;&gt;"Serviço",AND(AUTOEVENTO="Manual",$M197=$A$15),$M197&gt;(ROW(PLE.lastrow)-ROW(PLE.firstrow))),0,
           IF(OFFSET(PLE!$G$15,$M197-$A$15,CW$13)="",10^12,OFFSET(PLE!$G$15,$M197-$A$15,CW$13)))</f>
        <v>0</v>
      </c>
      <c r="CX197" s="354" t="n">
        <f aca="true">IF(OR($D197&lt;&gt;"Serviço",AND(AUTOEVENTO="Manual",$M197=$A$15),$M197&gt;(ROW(PLE.lastrow)-ROW(PLE.firstrow))),0,
           IF(OFFSET(PLE!$G$15,$M197-$A$15,CX$13)="",10^12,OFFSET(PLE!$G$15,$M197-$A$15,CX$13)))</f>
        <v>0</v>
      </c>
      <c r="CY197" s="354" t="n">
        <f aca="true">IF(OR($D197&lt;&gt;"Serviço",AND(AUTOEVENTO="Manual",$M197=$A$15),$M197&gt;(ROW(PLE.lastrow)-ROW(PLE.firstrow))),0,
           IF(OFFSET(PLE!$G$15,$M197-$A$15,CY$13)="",10^12,OFFSET(PLE!$G$15,$M197-$A$15,CY$13)))</f>
        <v>0</v>
      </c>
      <c r="CZ197" s="354" t="n">
        <f aca="true">IF(OR($D197&lt;&gt;"Serviço",AND(AUTOEVENTO="Manual",$M197=$A$15),$M197&gt;(ROW(PLE.lastrow)-ROW(PLE.firstrow))),0,
           IF(OFFSET(PLE!$G$15,$M197-$A$15,CZ$13)="",10^12,OFFSET(PLE!$G$15,$M197-$A$15,CZ$13)))</f>
        <v>0</v>
      </c>
      <c r="DA197" s="354" t="n">
        <f aca="true">IF(OR($D197&lt;&gt;"Serviço",AND(AUTOEVENTO="Manual",$M197=$A$15),$M197&gt;(ROW(PLE.lastrow)-ROW(PLE.firstrow))),0,
           IF(OFFSET(PLE!$G$15,$M197-$A$15,DA$13)="",10^12,OFFSET(PLE!$G$15,$M197-$A$15,DA$13)))</f>
        <v>0</v>
      </c>
      <c r="DB197" s="354" t="n">
        <f aca="true">IF(OR($D197&lt;&gt;"Serviço",AND(AUTOEVENTO="Manual",$M197=$A$15),$M197&gt;(ROW(PLE.lastrow)-ROW(PLE.firstrow))),0,
           IF(OFFSET(PLE!$G$15,$M197-$A$15,DB$13)="",10^12,OFFSET(PLE!$G$15,$M197-$A$15,DB$13)))</f>
        <v>0</v>
      </c>
      <c r="DC197" s="354" t="n">
        <f aca="true">IF(OR($D197&lt;&gt;"Serviço",AND(AUTOEVENTO="Manual",$M197=$A$15),$M197&gt;(ROW(PLE.lastrow)-ROW(PLE.firstrow))),0,
           IF(OFFSET(PLE!$G$15,$M197-$A$15,DC$13)="",10^12,OFFSET(PLE!$G$15,$M197-$A$15,DC$13)))</f>
        <v>0</v>
      </c>
      <c r="DD197" s="354" t="n">
        <f aca="true">IF(OR($D197&lt;&gt;"Serviço",AND(AUTOEVENTO="Manual",$M197=$A$15),$M197&gt;(ROW(PLE.lastrow)-ROW(PLE.firstrow))),0,
           IF(OFFSET(PLE!$G$15,$M197-$A$15,DD$13)="",10^12,OFFSET(PLE!$G$15,$M197-$A$15,DD$13)))</f>
        <v>0</v>
      </c>
      <c r="DE197" s="354" t="n">
        <f aca="true">IF(OR($D197&lt;&gt;"Serviço",AND(AUTOEVENTO="Manual",$M197=$A$15),$M197&gt;(ROW(PLE.lastrow)-ROW(PLE.firstrow))),0,
           IF(OFFSET(PLE!$G$15,$M197-$A$15,DE$13)="",10^12,OFFSET(PLE!$G$15,$M197-$A$15,DE$13)))</f>
        <v>0</v>
      </c>
      <c r="DF197" s="354" t="n">
        <f aca="true">IF(OR($D197&lt;&gt;"Serviço",AND(AUTOEVENTO="Manual",$M197=$A$15),$M197&gt;(ROW(PLE.lastrow)-ROW(PLE.firstrow))),0,
           IF(OFFSET(PLE!$G$15,$M197-$A$15,DF$13)="",10^12,OFFSET(PLE!$G$15,$M197-$A$15,DF$13)))</f>
        <v>0</v>
      </c>
      <c r="DG197" s="354" t="n">
        <f aca="true">IF(OR($D197&lt;&gt;"Serviço",AND(AUTOEVENTO="Manual",$M197=$A$15),$M197&gt;(ROW(PLE.lastrow)-ROW(PLE.firstrow))),0,
           IF(OFFSET(PLE!$G$15,$M197-$A$15,DG$13)="",10^12,OFFSET(PLE!$G$15,$M197-$A$15,DG$13)))</f>
        <v>0</v>
      </c>
      <c r="DH197" s="354" t="n">
        <f aca="true">IF(OR($D197&lt;&gt;"Serviço",AND(AUTOEVENTO="Manual",$M197=$A$15),$M197&gt;(ROW(PLE.lastrow)-ROW(PLE.firstrow))),0,
           IF(OFFSET(PLE!$G$15,$M197-$A$15,DH$13)="",10^12,OFFSET(PLE!$G$15,$M197-$A$15,DH$13)))</f>
        <v>0</v>
      </c>
      <c r="DI197" s="354" t="n">
        <f aca="true">IF(OR($D197&lt;&gt;"Serviço",AND(AUTOEVENTO="Manual",$M197=$A$15),$M197&gt;(ROW(PLE.lastrow)-ROW(PLE.firstrow))),0,
           IF(OFFSET(PLE!$G$15,$M197-$A$15,DI$13)="",10^12,OFFSET(PLE!$G$15,$M197-$A$15,DI$13)))</f>
        <v>0</v>
      </c>
      <c r="DJ197" s="354" t="n">
        <f aca="true">IF(OR($D197&lt;&gt;"Serviço",AND(AUTOEVENTO="Manual",$M197=$A$15),$M197&gt;(ROW(PLE.lastrow)-ROW(PLE.firstrow))),0,
           IF(OFFSET(PLE!$G$15,$M197-$A$15,DJ$13)="",10^12,OFFSET(PLE!$G$15,$M197-$A$15,DJ$13)))</f>
        <v>0</v>
      </c>
      <c r="DK197" s="354" t="n">
        <f aca="true">IF(OR($D197&lt;&gt;"Serviço",AND(AUTOEVENTO="Manual",$M197=$A$15),$M197&gt;(ROW(PLE.lastrow)-ROW(PLE.firstrow))),0,
           IF(OFFSET(PLE!$G$15,$M197-$A$15,DK$13)="",10^12,OFFSET(PLE!$G$15,$M197-$A$15,DK$13)))</f>
        <v>0</v>
      </c>
      <c r="DL197" s="354" t="n">
        <f aca="true">IF(OR($D197&lt;&gt;"Serviço",AND(AUTOEVENTO="Manual",$M197=$A$15),$M197&gt;(ROW(PLE.lastrow)-ROW(PLE.firstrow))),0,
           IF(OFFSET(PLE!$G$15,$M197-$A$15,DL$13)="",10^12,OFFSET(PLE!$G$15,$M197-$A$15,DL$13)))</f>
        <v>0</v>
      </c>
      <c r="DM197" s="354" t="n">
        <f aca="true">IF(OR($D197&lt;&gt;"Serviço",AND(AUTOEVENTO="Manual",$M197=$A$15),$M197&gt;(ROW(PLE.lastrow)-ROW(PLE.firstrow))),0,
           IF(OFFSET(PLE!$G$15,$M197-$A$15,DM$13)="",10^12,OFFSET(PLE!$G$15,$M197-$A$15,DM$13)))</f>
        <v>0</v>
      </c>
      <c r="DN197" s="354" t="n">
        <f aca="true">IF(OR($D197&lt;&gt;"Serviço",AND(AUTOEVENTO="Manual",$M197=$A$15),$M197&gt;(ROW(PLE.lastrow)-ROW(PLE.firstrow))),0,
           IF(OFFSET(PLE!$G$15,$M197-$A$15,DN$13)="",10^12,OFFSET(PLE!$G$15,$M197-$A$15,DN$13)))</f>
        <v>0</v>
      </c>
      <c r="DO197" s="354" t="n">
        <f aca="true">IF(OR($D197&lt;&gt;"Serviço",AND(AUTOEVENTO="Manual",$M197=$A$15),$M197&gt;(ROW(PLE.lastrow)-ROW(PLE.firstrow))),0,
           IF(OFFSET(PLE!$G$15,$M197-$A$15,DO$13)="",10^12,OFFSET(PLE!$G$15,$M197-$A$15,DO$13)))</f>
        <v>0</v>
      </c>
      <c r="DP197" s="354" t="n">
        <f aca="true">IF(OR($D197&lt;&gt;"Serviço",AND(AUTOEVENTO="Manual",$M197=$A$15),$M197&gt;(ROW(PLE.lastrow)-ROW(PLE.firstrow))),0,
           IF(OFFSET(PLE!$G$15,$M197-$A$15,DP$13)="",10^12,OFFSET(PLE!$G$15,$M197-$A$15,DP$13)))</f>
        <v>0</v>
      </c>
      <c r="DQ197" s="354" t="n">
        <f aca="true">IF(OR($D197&lt;&gt;"Serviço",AND(AUTOEVENTO="Manual",$M197=$A$15),$M197&gt;(ROW(PLE.lastrow)-ROW(PLE.firstrow))),0,
           IF(OFFSET(PLE!$G$15,$M197-$A$15,DQ$13)="",10^12,OFFSET(PLE!$G$15,$M197-$A$15,DQ$13)))</f>
        <v>0</v>
      </c>
      <c r="DR197" s="354" t="n">
        <f aca="true">IF(OR($D197&lt;&gt;"Serviço",AND(AUTOEVENTO="Manual",$M197=$A$15),$M197&gt;(ROW(PLE.lastrow)-ROW(PLE.firstrow))),0,
           IF(OFFSET(PLE!$G$15,$M197-$A$15,DR$13)="",10^12,OFFSET(PLE!$G$15,$M197-$A$15,DR$13)))</f>
        <v>0</v>
      </c>
      <c r="DS197" s="354" t="n">
        <f aca="true">IF(OR($D197&lt;&gt;"Serviço",AND(AUTOEVENTO="Manual",$M197=$A$15),$M197&gt;(ROW(PLE.lastrow)-ROW(PLE.firstrow))),0,
           IF(OFFSET(PLE!$G$15,$M197-$A$15,DS$13)="",10^12,OFFSET(PLE!$G$15,$M197-$A$15,DS$13)))</f>
        <v>0</v>
      </c>
    </row>
    <row r="198" customFormat="false" ht="12.75" hidden="false" customHeight="false" outlineLevel="0" collapsed="false">
      <c r="A198" s="50" t="str">
        <f aca="true">IFERROR(IF(AUTOEVENTO="Manual",IF(K198&lt;&gt;"",MIN(VALUE(LEFT(K198,FIND(".",K198)-1)),COUNTA(EVENTOS.Lista)),0),IF(OR($B198&gt;AUTOEVENTO,$B198="S",$B198=0),SUBSTITUTE(OFFSET($A198,-1,0),IF($D198="Serviço",".",""),""),ROW(A198)-ROW($A$15)&amp;".")),0)</f>
        <v>183.</v>
      </c>
      <c r="B198" s="50" t="n">
        <f aca="true">OFFSET(ORÇAMENTO!C$15,ROW(B198)-ROW(B$15),0)</f>
        <v>2</v>
      </c>
      <c r="C198" s="50" t="str">
        <f aca="true">OFFSET(ORÇAMENTO!L$15,ROW(C198)-ROW(C$15),0)</f>
        <v>F</v>
      </c>
      <c r="D198" s="201" t="str">
        <f aca="true">OFFSET(ORÇAMENTO!N$15,ROW(D198)-ROW(D$15),0)</f>
        <v>Nível 2</v>
      </c>
      <c r="E198" s="202" t="str">
        <f aca="true">OFFSET(ORÇAMENTO!O$15,ROW(E198)-ROW(E$15),0)</f>
        <v>1.50.</v>
      </c>
      <c r="F198" s="341" t="str">
        <f aca="true">OFFSET(ORÇAMENTO!R$15,ROW(F198)-ROW(F$15),0)</f>
        <v>LÓGICA</v>
      </c>
      <c r="G198" s="342" t="str">
        <f aca="true">IF($D198&lt;&gt;"Serviço","",OFFSET(ORÇAMENTO!S$15,ROW(G198)-ROW(G$15),0))</f>
        <v/>
      </c>
      <c r="H198" s="207" t="n">
        <f aca="true">IF($D198&lt;&gt;"Serviço",0,IF(ACOMPANHAMENTO="BM",ROUND(OFFSET(ORÇAMENTO!AJ$15,ROW(H198)-ROW(H$15),0),15-13*ORÇAMENTO!$AF$7),SUMPRODUCT(($Q$1:$AQ$1=1)*ROUND($Q198:$AQ198,15-13*ORÇAMENTO!$AF$7))))</f>
        <v>0</v>
      </c>
      <c r="I198" s="343"/>
      <c r="J198" s="344" t="str">
        <f aca="false">IF(OR(B198&lt;&gt;"S",CÁLCULO.FrentesPreenchidas=0),"",IF(AND(ACOMPANHAMENTO="PLE",AUTOEVENTO="Manual",OR(H198&gt;0,ORÇAMENTO!AC198="QUANT."),OR(K198="",M198=0,N198="")),"►",IF(AND(ACOMPANHAMENTO="PLE",ORÇAMENTO!AC198="QUANT."),"►►",IF(AND(COUNTIF($P$11:$AQ$11,"▼")=0,H198&gt;0,I198=""),"◄",""))))</f>
        <v/>
      </c>
      <c r="K198" s="345"/>
      <c r="L198" s="346" t="s">
        <v>876</v>
      </c>
      <c r="M198" s="347" t="str">
        <f aca="true">IF($D198&lt;&gt;"Serviço","",
          IF(AUTOEVENTO="manual",$A198,
                IF(ISERROR(MATCH($A198,$A$15:OFFSET($A198,-1,0),0)),MAX($M$15:OFFSET(M198,-1,0))+1,
                      INDEX($M$15:OFFSET(M198,-1,0),MATCH($A198,$A$15:OFFSET($A198,-1,0),0)))))</f>
        <v/>
      </c>
      <c r="N198" s="348" t="str">
        <f aca="true">IF($D198&lt;&gt;"Serviço","",
         IF(AUTOEVENTO="Manual",
                IF($A198=0,"&lt;-- defina o número do agrupador",
                       OFFSET(EVENTOS!$D$15,$A198-$A$15,0)),
                OFFSET($F$15,$A198,0)))</f>
        <v/>
      </c>
      <c r="O198" s="349"/>
      <c r="Q198" s="349"/>
      <c r="R198" s="350"/>
      <c r="S198" s="350"/>
      <c r="T198" s="350"/>
      <c r="U198" s="350"/>
      <c r="V198" s="350"/>
      <c r="W198" s="350"/>
      <c r="X198" s="350"/>
      <c r="Y198" s="350"/>
      <c r="Z198" s="351"/>
      <c r="AA198" s="350"/>
      <c r="AB198" s="350"/>
      <c r="AC198" s="350"/>
      <c r="AD198" s="350"/>
      <c r="AE198" s="350"/>
      <c r="AF198" s="350"/>
      <c r="AG198" s="350"/>
      <c r="AH198" s="351"/>
      <c r="AI198" s="350"/>
      <c r="AJ198" s="350"/>
      <c r="AK198" s="350"/>
      <c r="AL198" s="350"/>
      <c r="AM198" s="350"/>
      <c r="AN198" s="350"/>
      <c r="AO198" s="350"/>
      <c r="AP198" s="351"/>
      <c r="AR198" s="352" t="n">
        <f aca="true">IF(AND($D198="Serviço",AR$12&lt;&gt;0,$H198&gt;0,OR(AUTOEVENTO&lt;&gt;"manual",$M198&lt;&gt;$A$15)),
        IF(Import.TipoArredondamento&lt;&gt;"TransfereGOV",
              ROUND(OFFSET($P198,0,AR$13),15-13*ORÇAMENTO!$AF$7)/$H198*OFFSET(ORÇAMENTO!$X$15,ROW(AR198)-ROW(AR$15),0),
              ROUND(ROUND(OFFSET($P198,0,AR$13),15-13*ORÇAMENTO!$AF$7)*OFFSET(ORÇAMENTO!$W$15,ROW(AR198)-ROW(AR$15),0),15-13*ORÇAMENTO!$AF$11)),
         0)</f>
        <v>0</v>
      </c>
      <c r="AS198" s="352" t="n">
        <f aca="true">IF(AND($D198="Serviço",AS$12&lt;&gt;0,$H198&gt;0,OR(AUTOEVENTO&lt;&gt;"manual",$M198&lt;&gt;$A$15)),
        IF(Import.TipoArredondamento&lt;&gt;"TransfereGOV",
              ROUND(OFFSET($P198,0,AS$13),15-13*ORÇAMENTO!$AF$7)/$H198*OFFSET(ORÇAMENTO!$X$15,ROW(AS198)-ROW(AS$15),0),
              ROUND(ROUND(OFFSET($P198,0,AS$13),15-13*ORÇAMENTO!$AF$7)*OFFSET(ORÇAMENTO!$W$15,ROW(AS198)-ROW(AS$15),0),15-13*ORÇAMENTO!$AF$11)),
         0)</f>
        <v>0</v>
      </c>
      <c r="AT198" s="352" t="n">
        <f aca="true">IF(AND($D198="Serviço",AT$12&lt;&gt;0,$H198&gt;0,OR(AUTOEVENTO&lt;&gt;"manual",$M198&lt;&gt;$A$15)),
        IF(Import.TipoArredondamento&lt;&gt;"TransfereGOV",
              ROUND(OFFSET($P198,0,AT$13),15-13*ORÇAMENTO!$AF$7)/$H198*OFFSET(ORÇAMENTO!$X$15,ROW(AT198)-ROW(AT$15),0),
              ROUND(ROUND(OFFSET($P198,0,AT$13),15-13*ORÇAMENTO!$AF$7)*OFFSET(ORÇAMENTO!$W$15,ROW(AT198)-ROW(AT$15),0),15-13*ORÇAMENTO!$AF$11)),
         0)</f>
        <v>0</v>
      </c>
      <c r="AU198" s="352" t="n">
        <f aca="true">IF(AND($D198="Serviço",AU$12&lt;&gt;0,$H198&gt;0,OR(AUTOEVENTO&lt;&gt;"manual",$M198&lt;&gt;$A$15)),
        IF(Import.TipoArredondamento&lt;&gt;"TransfereGOV",
              ROUND(OFFSET($P198,0,AU$13),15-13*ORÇAMENTO!$AF$7)/$H198*OFFSET(ORÇAMENTO!$X$15,ROW(AU198)-ROW(AU$15),0),
              ROUND(ROUND(OFFSET($P198,0,AU$13),15-13*ORÇAMENTO!$AF$7)*OFFSET(ORÇAMENTO!$W$15,ROW(AU198)-ROW(AU$15),0),15-13*ORÇAMENTO!$AF$11)),
         0)</f>
        <v>0</v>
      </c>
      <c r="AV198" s="352" t="n">
        <f aca="true">IF(AND($D198="Serviço",AV$12&lt;&gt;0,$H198&gt;0,OR(AUTOEVENTO&lt;&gt;"manual",$M198&lt;&gt;$A$15)),
        IF(Import.TipoArredondamento&lt;&gt;"TransfereGOV",
              ROUND(OFFSET($P198,0,AV$13),15-13*ORÇAMENTO!$AF$7)/$H198*OFFSET(ORÇAMENTO!$X$15,ROW(AV198)-ROW(AV$15),0),
              ROUND(ROUND(OFFSET($P198,0,AV$13),15-13*ORÇAMENTO!$AF$7)*OFFSET(ORÇAMENTO!$W$15,ROW(AV198)-ROW(AV$15),0),15-13*ORÇAMENTO!$AF$11)),
         0)</f>
        <v>0</v>
      </c>
      <c r="AW198" s="352" t="n">
        <f aca="true">IF(AND($D198="Serviço",AW$12&lt;&gt;0,$H198&gt;0,OR(AUTOEVENTO&lt;&gt;"manual",$M198&lt;&gt;$A$15)),
        IF(Import.TipoArredondamento&lt;&gt;"TransfereGOV",
              ROUND(OFFSET($P198,0,AW$13),15-13*ORÇAMENTO!$AF$7)/$H198*OFFSET(ORÇAMENTO!$X$15,ROW(AW198)-ROW(AW$15),0),
              ROUND(ROUND(OFFSET($P198,0,AW$13),15-13*ORÇAMENTO!$AF$7)*OFFSET(ORÇAMENTO!$W$15,ROW(AW198)-ROW(AW$15),0),15-13*ORÇAMENTO!$AF$11)),
         0)</f>
        <v>0</v>
      </c>
      <c r="AX198" s="352" t="n">
        <f aca="true">IF(AND($D198="Serviço",AX$12&lt;&gt;0,$H198&gt;0,OR(AUTOEVENTO&lt;&gt;"manual",$M198&lt;&gt;$A$15)),
        IF(Import.TipoArredondamento&lt;&gt;"TransfereGOV",
              ROUND(OFFSET($P198,0,AX$13),15-13*ORÇAMENTO!$AF$7)/$H198*OFFSET(ORÇAMENTO!$X$15,ROW(AX198)-ROW(AX$15),0),
              ROUND(ROUND(OFFSET($P198,0,AX$13),15-13*ORÇAMENTO!$AF$7)*OFFSET(ORÇAMENTO!$W$15,ROW(AX198)-ROW(AX$15),0),15-13*ORÇAMENTO!$AF$11)),
         0)</f>
        <v>0</v>
      </c>
      <c r="AY198" s="352" t="n">
        <f aca="true">IF(AND($D198="Serviço",AY$12&lt;&gt;0,$H198&gt;0,OR(AUTOEVENTO&lt;&gt;"manual",$M198&lt;&gt;$A$15)),
        IF(Import.TipoArredondamento&lt;&gt;"TransfereGOV",
              ROUND(OFFSET($P198,0,AY$13),15-13*ORÇAMENTO!$AF$7)/$H198*OFFSET(ORÇAMENTO!$X$15,ROW(AY198)-ROW(AY$15),0),
              ROUND(ROUND(OFFSET($P198,0,AY$13),15-13*ORÇAMENTO!$AF$7)*OFFSET(ORÇAMENTO!$W$15,ROW(AY198)-ROW(AY$15),0),15-13*ORÇAMENTO!$AF$11)),
         0)</f>
        <v>0</v>
      </c>
      <c r="AZ198" s="352" t="n">
        <f aca="true">IF(AND($D198="Serviço",AZ$12&lt;&gt;0,$H198&gt;0,OR(AUTOEVENTO&lt;&gt;"manual",$M198&lt;&gt;$A$15)),
        IF(Import.TipoArredondamento&lt;&gt;"TransfereGOV",
              ROUND(OFFSET($P198,0,AZ$13),15-13*ORÇAMENTO!$AF$7)/$H198*OFFSET(ORÇAMENTO!$X$15,ROW(AZ198)-ROW(AZ$15),0),
              ROUND(ROUND(OFFSET($P198,0,AZ$13),15-13*ORÇAMENTO!$AF$7)*OFFSET(ORÇAMENTO!$W$15,ROW(AZ198)-ROW(AZ$15),0),15-13*ORÇAMENTO!$AF$11)),
         0)</f>
        <v>0</v>
      </c>
      <c r="BA198" s="352" t="n">
        <f aca="true">IF(AND($D198="Serviço",BA$12&lt;&gt;0,$H198&gt;0,OR(AUTOEVENTO&lt;&gt;"manual",$M198&lt;&gt;$A$15)),
        IF(Import.TipoArredondamento&lt;&gt;"TransfereGOV",
              ROUND(OFFSET($P198,0,BA$13),15-13*ORÇAMENTO!$AF$7)/$H198*OFFSET(ORÇAMENTO!$X$15,ROW(BA198)-ROW(BA$15),0),
              ROUND(ROUND(OFFSET($P198,0,BA$13),15-13*ORÇAMENTO!$AF$7)*OFFSET(ORÇAMENTO!$W$15,ROW(BA198)-ROW(BA$15),0),15-13*ORÇAMENTO!$AF$11)),
         0)</f>
        <v>0</v>
      </c>
      <c r="BB198" s="352" t="n">
        <f aca="true">IF(AND($D198="Serviço",BB$12&lt;&gt;0,$H198&gt;0,OR(AUTOEVENTO&lt;&gt;"manual",$M198&lt;&gt;$A$15)),
        IF(Import.TipoArredondamento&lt;&gt;"TransfereGOV",
              ROUND(OFFSET($P198,0,BB$13),15-13*ORÇAMENTO!$AF$7)/$H198*OFFSET(ORÇAMENTO!$X$15,ROW(BB198)-ROW(BB$15),0),
              ROUND(ROUND(OFFSET($P198,0,BB$13),15-13*ORÇAMENTO!$AF$7)*OFFSET(ORÇAMENTO!$W$15,ROW(BB198)-ROW(BB$15),0),15-13*ORÇAMENTO!$AF$11)),
         0)</f>
        <v>0</v>
      </c>
      <c r="BC198" s="352" t="n">
        <f aca="true">IF(AND($D198="Serviço",BC$12&lt;&gt;0,$H198&gt;0,OR(AUTOEVENTO&lt;&gt;"manual",$M198&lt;&gt;$A$15)),
        IF(Import.TipoArredondamento&lt;&gt;"TransfereGOV",
              ROUND(OFFSET($P198,0,BC$13),15-13*ORÇAMENTO!$AF$7)/$H198*OFFSET(ORÇAMENTO!$X$15,ROW(BC198)-ROW(BC$15),0),
              ROUND(ROUND(OFFSET($P198,0,BC$13),15-13*ORÇAMENTO!$AF$7)*OFFSET(ORÇAMENTO!$W$15,ROW(BC198)-ROW(BC$15),0),15-13*ORÇAMENTO!$AF$11)),
         0)</f>
        <v>0</v>
      </c>
      <c r="BD198" s="352" t="n">
        <f aca="true">IF(AND($D198="Serviço",BD$12&lt;&gt;0,$H198&gt;0,OR(AUTOEVENTO&lt;&gt;"manual",$M198&lt;&gt;$A$15)),
        IF(Import.TipoArredondamento&lt;&gt;"TransfereGOV",
              ROUND(OFFSET($P198,0,BD$13),15-13*ORÇAMENTO!$AF$7)/$H198*OFFSET(ORÇAMENTO!$X$15,ROW(BD198)-ROW(BD$15),0),
              ROUND(ROUND(OFFSET($P198,0,BD$13),15-13*ORÇAMENTO!$AF$7)*OFFSET(ORÇAMENTO!$W$15,ROW(BD198)-ROW(BD$15),0),15-13*ORÇAMENTO!$AF$11)),
         0)</f>
        <v>0</v>
      </c>
      <c r="BE198" s="352" t="n">
        <f aca="true">IF(AND($D198="Serviço",BE$12&lt;&gt;0,$H198&gt;0,OR(AUTOEVENTO&lt;&gt;"manual",$M198&lt;&gt;$A$15)),
        IF(Import.TipoArredondamento&lt;&gt;"TransfereGOV",
              ROUND(OFFSET($P198,0,BE$13),15-13*ORÇAMENTO!$AF$7)/$H198*OFFSET(ORÇAMENTO!$X$15,ROW(BE198)-ROW(BE$15),0),
              ROUND(ROUND(OFFSET($P198,0,BE$13),15-13*ORÇAMENTO!$AF$7)*OFFSET(ORÇAMENTO!$W$15,ROW(BE198)-ROW(BE$15),0),15-13*ORÇAMENTO!$AF$11)),
         0)</f>
        <v>0</v>
      </c>
      <c r="BF198" s="352" t="n">
        <f aca="true">IF(AND($D198="Serviço",BF$12&lt;&gt;0,$H198&gt;0,OR(AUTOEVENTO&lt;&gt;"manual",$M198&lt;&gt;$A$15)),
        IF(Import.TipoArredondamento&lt;&gt;"TransfereGOV",
              ROUND(OFFSET($P198,0,BF$13),15-13*ORÇAMENTO!$AF$7)/$H198*OFFSET(ORÇAMENTO!$X$15,ROW(BF198)-ROW(BF$15),0),
              ROUND(ROUND(OFFSET($P198,0,BF$13),15-13*ORÇAMENTO!$AF$7)*OFFSET(ORÇAMENTO!$W$15,ROW(BF198)-ROW(BF$15),0),15-13*ORÇAMENTO!$AF$11)),
         0)</f>
        <v>0</v>
      </c>
      <c r="BG198" s="352" t="n">
        <f aca="true">IF(AND($D198="Serviço",BG$12&lt;&gt;0,$H198&gt;0,OR(AUTOEVENTO&lt;&gt;"manual",$M198&lt;&gt;$A$15)),
        IF(Import.TipoArredondamento&lt;&gt;"TransfereGOV",
              ROUND(OFFSET($P198,0,BG$13),15-13*ORÇAMENTO!$AF$7)/$H198*OFFSET(ORÇAMENTO!$X$15,ROW(BG198)-ROW(BG$15),0),
              ROUND(ROUND(OFFSET($P198,0,BG$13),15-13*ORÇAMENTO!$AF$7)*OFFSET(ORÇAMENTO!$W$15,ROW(BG198)-ROW(BG$15),0),15-13*ORÇAMENTO!$AF$11)),
         0)</f>
        <v>0</v>
      </c>
      <c r="BH198" s="352" t="n">
        <f aca="true">IF(AND($D198="Serviço",BH$12&lt;&gt;0,$H198&gt;0,OR(AUTOEVENTO&lt;&gt;"manual",$M198&lt;&gt;$A$15)),
        IF(Import.TipoArredondamento&lt;&gt;"TransfereGOV",
              ROUND(OFFSET($P198,0,BH$13),15-13*ORÇAMENTO!$AF$7)/$H198*OFFSET(ORÇAMENTO!$X$15,ROW(BH198)-ROW(BH$15),0),
              ROUND(ROUND(OFFSET($P198,0,BH$13),15-13*ORÇAMENTO!$AF$7)*OFFSET(ORÇAMENTO!$W$15,ROW(BH198)-ROW(BH$15),0),15-13*ORÇAMENTO!$AF$11)),
         0)</f>
        <v>0</v>
      </c>
      <c r="BI198" s="352" t="n">
        <f aca="true">IF(AND($D198="Serviço",BI$12&lt;&gt;0,$H198&gt;0,OR(AUTOEVENTO&lt;&gt;"manual",$M198&lt;&gt;$A$15)),
        IF(Import.TipoArredondamento&lt;&gt;"TransfereGOV",
              ROUND(OFFSET($P198,0,BI$13),15-13*ORÇAMENTO!$AF$7)/$H198*OFFSET(ORÇAMENTO!$X$15,ROW(BI198)-ROW(BI$15),0),
              ROUND(ROUND(OFFSET($P198,0,BI$13),15-13*ORÇAMENTO!$AF$7)*OFFSET(ORÇAMENTO!$W$15,ROW(BI198)-ROW(BI$15),0),15-13*ORÇAMENTO!$AF$11)),
         0)</f>
        <v>0</v>
      </c>
      <c r="BJ198" s="352" t="n">
        <f aca="true">IF(AND($D198="Serviço",BJ$12&lt;&gt;0,$H198&gt;0,OR(AUTOEVENTO&lt;&gt;"manual",$M198&lt;&gt;$A$15)),
        IF(Import.TipoArredondamento&lt;&gt;"TransfereGOV",
              ROUND(OFFSET($P198,0,BJ$13),15-13*ORÇAMENTO!$AF$7)/$H198*OFFSET(ORÇAMENTO!$X$15,ROW(BJ198)-ROW(BJ$15),0),
              ROUND(ROUND(OFFSET($P198,0,BJ$13),15-13*ORÇAMENTO!$AF$7)*OFFSET(ORÇAMENTO!$W$15,ROW(BJ198)-ROW(BJ$15),0),15-13*ORÇAMENTO!$AF$11)),
         0)</f>
        <v>0</v>
      </c>
      <c r="BK198" s="352" t="n">
        <f aca="true">IF(AND($D198="Serviço",BK$12&lt;&gt;0,$H198&gt;0,OR(AUTOEVENTO&lt;&gt;"manual",$M198&lt;&gt;$A$15)),
        IF(Import.TipoArredondamento&lt;&gt;"TransfereGOV",
              ROUND(OFFSET($P198,0,BK$13),15-13*ORÇAMENTO!$AF$7)/$H198*OFFSET(ORÇAMENTO!$X$15,ROW(BK198)-ROW(BK$15),0),
              ROUND(ROUND(OFFSET($P198,0,BK$13),15-13*ORÇAMENTO!$AF$7)*OFFSET(ORÇAMENTO!$W$15,ROW(BK198)-ROW(BK$15),0),15-13*ORÇAMENTO!$AF$11)),
         0)</f>
        <v>0</v>
      </c>
      <c r="BL198" s="352" t="n">
        <f aca="true">IF(AND($D198="Serviço",BL$12&lt;&gt;0,$H198&gt;0,OR(AUTOEVENTO&lt;&gt;"manual",$M198&lt;&gt;$A$15)),
        IF(Import.TipoArredondamento&lt;&gt;"TransfereGOV",
              ROUND(OFFSET($P198,0,BL$13),15-13*ORÇAMENTO!$AF$7)/$H198*OFFSET(ORÇAMENTO!$X$15,ROW(BL198)-ROW(BL$15),0),
              ROUND(ROUND(OFFSET($P198,0,BL$13),15-13*ORÇAMENTO!$AF$7)*OFFSET(ORÇAMENTO!$W$15,ROW(BL198)-ROW(BL$15),0),15-13*ORÇAMENTO!$AF$11)),
         0)</f>
        <v>0</v>
      </c>
      <c r="BM198" s="352" t="n">
        <f aca="true">IF(AND($D198="Serviço",BM$12&lt;&gt;0,$H198&gt;0,OR(AUTOEVENTO&lt;&gt;"manual",$M198&lt;&gt;$A$15)),
        IF(Import.TipoArredondamento&lt;&gt;"TransfereGOV",
              ROUND(OFFSET($P198,0,BM$13),15-13*ORÇAMENTO!$AF$7)/$H198*OFFSET(ORÇAMENTO!$X$15,ROW(BM198)-ROW(BM$15),0),
              ROUND(ROUND(OFFSET($P198,0,BM$13),15-13*ORÇAMENTO!$AF$7)*OFFSET(ORÇAMENTO!$W$15,ROW(BM198)-ROW(BM$15),0),15-13*ORÇAMENTO!$AF$11)),
         0)</f>
        <v>0</v>
      </c>
      <c r="BN198" s="352" t="n">
        <f aca="true">IF(AND($D198="Serviço",BN$12&lt;&gt;0,$H198&gt;0,OR(AUTOEVENTO&lt;&gt;"manual",$M198&lt;&gt;$A$15)),
        IF(Import.TipoArredondamento&lt;&gt;"TransfereGOV",
              ROUND(OFFSET($P198,0,BN$13),15-13*ORÇAMENTO!$AF$7)/$H198*OFFSET(ORÇAMENTO!$X$15,ROW(BN198)-ROW(BN$15),0),
              ROUND(ROUND(OFFSET($P198,0,BN$13),15-13*ORÇAMENTO!$AF$7)*OFFSET(ORÇAMENTO!$W$15,ROW(BN198)-ROW(BN$15),0),15-13*ORÇAMENTO!$AF$11)),
         0)</f>
        <v>0</v>
      </c>
      <c r="BO198" s="352" t="n">
        <f aca="true">IF(AND($D198="Serviço",BO$12&lt;&gt;0,$H198&gt;0,OR(AUTOEVENTO&lt;&gt;"manual",$M198&lt;&gt;$A$15)),
        IF(Import.TipoArredondamento&lt;&gt;"TransfereGOV",
              ROUND(OFFSET($P198,0,BO$13),15-13*ORÇAMENTO!$AF$7)/$H198*OFFSET(ORÇAMENTO!$X$15,ROW(BO198)-ROW(BO$15),0),
              ROUND(ROUND(OFFSET($P198,0,BO$13),15-13*ORÇAMENTO!$AF$7)*OFFSET(ORÇAMENTO!$W$15,ROW(BO198)-ROW(BO$15),0),15-13*ORÇAMENTO!$AF$11)),
         0)</f>
        <v>0</v>
      </c>
      <c r="BP198" s="352" t="n">
        <f aca="true">IF(AND($D198="Serviço",BP$12&lt;&gt;0,$H198&gt;0,OR(AUTOEVENTO&lt;&gt;"manual",$M198&lt;&gt;$A$15)),
        IF(Import.TipoArredondamento&lt;&gt;"TransfereGOV",
              ROUND(OFFSET($P198,0,BP$13),15-13*ORÇAMENTO!$AF$7)/$H198*OFFSET(ORÇAMENTO!$X$15,ROW(BP198)-ROW(BP$15),0),
              ROUND(ROUND(OFFSET($P198,0,BP$13),15-13*ORÇAMENTO!$AF$7)*OFFSET(ORÇAMENTO!$W$15,ROW(BP198)-ROW(BP$15),0),15-13*ORÇAMENTO!$AF$11)),
         0)</f>
        <v>0</v>
      </c>
      <c r="BQ198" s="352" t="n">
        <f aca="true">IF(AND($D198="Serviço",BQ$12&lt;&gt;0,$H198&gt;0,OR(AUTOEVENTO&lt;&gt;"manual",$M198&lt;&gt;$A$15)),
        IF(Import.TipoArredondamento&lt;&gt;"TransfereGOV",
              ROUND(OFFSET($P198,0,BQ$13),15-13*ORÇAMENTO!$AF$7)/$H198*OFFSET(ORÇAMENTO!$X$15,ROW(BQ198)-ROW(BQ$15),0),
              ROUND(ROUND(OFFSET($P198,0,BQ$13),15-13*ORÇAMENTO!$AF$7)*OFFSET(ORÇAMENTO!$W$15,ROW(BQ198)-ROW(BQ$15),0),15-13*ORÇAMENTO!$AF$11)),
         0)</f>
        <v>0</v>
      </c>
      <c r="BS198" s="353" t="n">
        <f aca="true">IF(OR($D198&lt;&gt;"Serviço",AND(AUTOEVENTO="Manual",$M198=$A$15)),0,
         IF(OFFSET(CRONOPLE!$F$15,$M198-$A$15,BS$13)=0,10^12,OFFSET(CRONOPLE!$F$15,$M198-$A$15,BS$13)))</f>
        <v>0</v>
      </c>
      <c r="BT198" s="353" t="n">
        <f aca="true">IF(OR($D198&lt;&gt;"Serviço",AND(AUTOEVENTO="Manual",$M198=$A$15)),0,
         IF(OFFSET(CRONOPLE!$F$15,$M198-$A$15,BT$13)=0,10^12,OFFSET(CRONOPLE!$F$15,$M198-$A$15,BT$13)))</f>
        <v>0</v>
      </c>
      <c r="BU198" s="353" t="n">
        <f aca="true">IF(OR($D198&lt;&gt;"Serviço",AND(AUTOEVENTO="Manual",$M198=$A$15)),0,
         IF(OFFSET(CRONOPLE!$F$15,$M198-$A$15,BU$13)=0,10^12,OFFSET(CRONOPLE!$F$15,$M198-$A$15,BU$13)))</f>
        <v>0</v>
      </c>
      <c r="BV198" s="353" t="n">
        <f aca="true">IF(OR($D198&lt;&gt;"Serviço",AND(AUTOEVENTO="Manual",$M198=$A$15)),0,
         IF(OFFSET(CRONOPLE!$F$15,$M198-$A$15,BV$13)=0,10^12,OFFSET(CRONOPLE!$F$15,$M198-$A$15,BV$13)))</f>
        <v>0</v>
      </c>
      <c r="BW198" s="353" t="n">
        <f aca="true">IF(OR($D198&lt;&gt;"Serviço",AND(AUTOEVENTO="Manual",$M198=$A$15)),0,
         IF(OFFSET(CRONOPLE!$F$15,$M198-$A$15,BW$13)=0,10^12,OFFSET(CRONOPLE!$F$15,$M198-$A$15,BW$13)))</f>
        <v>0</v>
      </c>
      <c r="BX198" s="353" t="n">
        <f aca="true">IF(OR($D198&lt;&gt;"Serviço",AND(AUTOEVENTO="Manual",$M198=$A$15)),0,
         IF(OFFSET(CRONOPLE!$F$15,$M198-$A$15,BX$13)=0,10^12,OFFSET(CRONOPLE!$F$15,$M198-$A$15,BX$13)))</f>
        <v>0</v>
      </c>
      <c r="BY198" s="353" t="n">
        <f aca="true">IF(OR($D198&lt;&gt;"Serviço",AND(AUTOEVENTO="Manual",$M198=$A$15)),0,
         IF(OFFSET(CRONOPLE!$F$15,$M198-$A$15,BY$13)=0,10^12,OFFSET(CRONOPLE!$F$15,$M198-$A$15,BY$13)))</f>
        <v>0</v>
      </c>
      <c r="BZ198" s="353" t="n">
        <f aca="true">IF(OR($D198&lt;&gt;"Serviço",AND(AUTOEVENTO="Manual",$M198=$A$15)),0,
         IF(OFFSET(CRONOPLE!$F$15,$M198-$A$15,BZ$13)=0,10^12,OFFSET(CRONOPLE!$F$15,$M198-$A$15,BZ$13)))</f>
        <v>0</v>
      </c>
      <c r="CA198" s="353" t="n">
        <f aca="true">IF(OR($D198&lt;&gt;"Serviço",AND(AUTOEVENTO="Manual",$M198=$A$15)),0,
         IF(OFFSET(CRONOPLE!$F$15,$M198-$A$15,CA$13)=0,10^12,OFFSET(CRONOPLE!$F$15,$M198-$A$15,CA$13)))</f>
        <v>0</v>
      </c>
      <c r="CB198" s="353" t="n">
        <f aca="true">IF(OR($D198&lt;&gt;"Serviço",AND(AUTOEVENTO="Manual",$M198=$A$15)),0,
         IF(OFFSET(CRONOPLE!$F$15,$M198-$A$15,CB$13)=0,10^12,OFFSET(CRONOPLE!$F$15,$M198-$A$15,CB$13)))</f>
        <v>0</v>
      </c>
      <c r="CC198" s="353" t="n">
        <f aca="true">IF(OR($D198&lt;&gt;"Serviço",AND(AUTOEVENTO="Manual",$M198=$A$15)),0,
         IF(OFFSET(CRONOPLE!$F$15,$M198-$A$15,CC$13)=0,10^12,OFFSET(CRONOPLE!$F$15,$M198-$A$15,CC$13)))</f>
        <v>0</v>
      </c>
      <c r="CD198" s="353" t="n">
        <f aca="true">IF(OR($D198&lt;&gt;"Serviço",AND(AUTOEVENTO="Manual",$M198=$A$15)),0,
         IF(OFFSET(CRONOPLE!$F$15,$M198-$A$15,CD$13)=0,10^12,OFFSET(CRONOPLE!$F$15,$M198-$A$15,CD$13)))</f>
        <v>0</v>
      </c>
      <c r="CE198" s="353" t="n">
        <f aca="true">IF(OR($D198&lt;&gt;"Serviço",AND(AUTOEVENTO="Manual",$M198=$A$15)),0,
         IF(OFFSET(CRONOPLE!$F$15,$M198-$A$15,CE$13)=0,10^12,OFFSET(CRONOPLE!$F$15,$M198-$A$15,CE$13)))</f>
        <v>0</v>
      </c>
      <c r="CF198" s="353" t="n">
        <f aca="true">IF(OR($D198&lt;&gt;"Serviço",AND(AUTOEVENTO="Manual",$M198=$A$15)),0,
         IF(OFFSET(CRONOPLE!$F$15,$M198-$A$15,CF$13)=0,10^12,OFFSET(CRONOPLE!$F$15,$M198-$A$15,CF$13)))</f>
        <v>0</v>
      </c>
      <c r="CG198" s="353" t="n">
        <f aca="true">IF(OR($D198&lt;&gt;"Serviço",AND(AUTOEVENTO="Manual",$M198=$A$15)),0,
         IF(OFFSET(CRONOPLE!$F$15,$M198-$A$15,CG$13)=0,10^12,OFFSET(CRONOPLE!$F$15,$M198-$A$15,CG$13)))</f>
        <v>0</v>
      </c>
      <c r="CH198" s="353" t="n">
        <f aca="true">IF(OR($D198&lt;&gt;"Serviço",AND(AUTOEVENTO="Manual",$M198=$A$15)),0,
         IF(OFFSET(CRONOPLE!$F$15,$M198-$A$15,CH$13)=0,10^12,OFFSET(CRONOPLE!$F$15,$M198-$A$15,CH$13)))</f>
        <v>0</v>
      </c>
      <c r="CI198" s="353" t="n">
        <f aca="true">IF(OR($D198&lt;&gt;"Serviço",AND(AUTOEVENTO="Manual",$M198=$A$15)),0,
         IF(OFFSET(CRONOPLE!$F$15,$M198-$A$15,CI$13)=0,10^12,OFFSET(CRONOPLE!$F$15,$M198-$A$15,CI$13)))</f>
        <v>0</v>
      </c>
      <c r="CJ198" s="353" t="n">
        <f aca="true">IF(OR($D198&lt;&gt;"Serviço",AND(AUTOEVENTO="Manual",$M198=$A$15)),0,
         IF(OFFSET(CRONOPLE!$F$15,$M198-$A$15,CJ$13)=0,10^12,OFFSET(CRONOPLE!$F$15,$M198-$A$15,CJ$13)))</f>
        <v>0</v>
      </c>
      <c r="CK198" s="353" t="n">
        <f aca="true">IF(OR($D198&lt;&gt;"Serviço",AND(AUTOEVENTO="Manual",$M198=$A$15)),0,
         IF(OFFSET(CRONOPLE!$F$15,$M198-$A$15,CK$13)=0,10^12,OFFSET(CRONOPLE!$F$15,$M198-$A$15,CK$13)))</f>
        <v>0</v>
      </c>
      <c r="CL198" s="353" t="n">
        <f aca="true">IF(OR($D198&lt;&gt;"Serviço",AND(AUTOEVENTO="Manual",$M198=$A$15)),0,
         IF(OFFSET(CRONOPLE!$F$15,$M198-$A$15,CL$13)=0,10^12,OFFSET(CRONOPLE!$F$15,$M198-$A$15,CL$13)))</f>
        <v>0</v>
      </c>
      <c r="CM198" s="353" t="n">
        <f aca="true">IF(OR($D198&lt;&gt;"Serviço",AND(AUTOEVENTO="Manual",$M198=$A$15)),0,
         IF(OFFSET(CRONOPLE!$F$15,$M198-$A$15,CM$13)=0,10^12,OFFSET(CRONOPLE!$F$15,$M198-$A$15,CM$13)))</f>
        <v>0</v>
      </c>
      <c r="CN198" s="353" t="n">
        <f aca="true">IF(OR($D198&lt;&gt;"Serviço",AND(AUTOEVENTO="Manual",$M198=$A$15)),0,
         IF(OFFSET(CRONOPLE!$F$15,$M198-$A$15,CN$13)=0,10^12,OFFSET(CRONOPLE!$F$15,$M198-$A$15,CN$13)))</f>
        <v>0</v>
      </c>
      <c r="CO198" s="353" t="n">
        <f aca="true">IF(OR($D198&lt;&gt;"Serviço",AND(AUTOEVENTO="Manual",$M198=$A$15)),0,
         IF(OFFSET(CRONOPLE!$F$15,$M198-$A$15,CO$13)=0,10^12,OFFSET(CRONOPLE!$F$15,$M198-$A$15,CO$13)))</f>
        <v>0</v>
      </c>
      <c r="CP198" s="353" t="n">
        <f aca="true">IF(OR($D198&lt;&gt;"Serviço",AND(AUTOEVENTO="Manual",$M198=$A$15)),0,
         IF(OFFSET(CRONOPLE!$F$15,$M198-$A$15,CP$13)=0,10^12,OFFSET(CRONOPLE!$F$15,$M198-$A$15,CP$13)))</f>
        <v>0</v>
      </c>
      <c r="CQ198" s="353" t="n">
        <f aca="true">IF(OR($D198&lt;&gt;"Serviço",AND(AUTOEVENTO="Manual",$M198=$A$15)),0,
         IF(OFFSET(CRONOPLE!$F$15,$M198-$A$15,CQ$13)=0,10^12,OFFSET(CRONOPLE!$F$15,$M198-$A$15,CQ$13)))</f>
        <v>0</v>
      </c>
      <c r="CR198" s="353" t="n">
        <f aca="true">IF(OR($D198&lt;&gt;"Serviço",AND(AUTOEVENTO="Manual",$M198=$A$15)),0,
         IF(OFFSET(CRONOPLE!$F$15,$M198-$A$15,CR$13)=0,10^12,OFFSET(CRONOPLE!$F$15,$M198-$A$15,CR$13)))</f>
        <v>0</v>
      </c>
      <c r="CT198" s="354" t="n">
        <f aca="true">IF(OR($D198&lt;&gt;"Serviço",AND(AUTOEVENTO="Manual",$M198=$A$15),$M198&gt;(ROW(PLE.lastrow)-ROW(PLE.firstrow))),0,
           IF(OFFSET(PLE!$G$15,$M198-$A$15,CT$13)="",10^12,OFFSET(PLE!$G$15,$M198-$A$15,CT$13)))</f>
        <v>0</v>
      </c>
      <c r="CU198" s="354" t="n">
        <f aca="true">IF(OR($D198&lt;&gt;"Serviço",AND(AUTOEVENTO="Manual",$M198=$A$15),$M198&gt;(ROW(PLE.lastrow)-ROW(PLE.firstrow))),0,
           IF(OFFSET(PLE!$G$15,$M198-$A$15,CU$13)="",10^12,OFFSET(PLE!$G$15,$M198-$A$15,CU$13)))</f>
        <v>0</v>
      </c>
      <c r="CV198" s="354" t="n">
        <f aca="true">IF(OR($D198&lt;&gt;"Serviço",AND(AUTOEVENTO="Manual",$M198=$A$15),$M198&gt;(ROW(PLE.lastrow)-ROW(PLE.firstrow))),0,
           IF(OFFSET(PLE!$G$15,$M198-$A$15,CV$13)="",10^12,OFFSET(PLE!$G$15,$M198-$A$15,CV$13)))</f>
        <v>0</v>
      </c>
      <c r="CW198" s="354" t="n">
        <f aca="true">IF(OR($D198&lt;&gt;"Serviço",AND(AUTOEVENTO="Manual",$M198=$A$15),$M198&gt;(ROW(PLE.lastrow)-ROW(PLE.firstrow))),0,
           IF(OFFSET(PLE!$G$15,$M198-$A$15,CW$13)="",10^12,OFFSET(PLE!$G$15,$M198-$A$15,CW$13)))</f>
        <v>0</v>
      </c>
      <c r="CX198" s="354" t="n">
        <f aca="true">IF(OR($D198&lt;&gt;"Serviço",AND(AUTOEVENTO="Manual",$M198=$A$15),$M198&gt;(ROW(PLE.lastrow)-ROW(PLE.firstrow))),0,
           IF(OFFSET(PLE!$G$15,$M198-$A$15,CX$13)="",10^12,OFFSET(PLE!$G$15,$M198-$A$15,CX$13)))</f>
        <v>0</v>
      </c>
      <c r="CY198" s="354" t="n">
        <f aca="true">IF(OR($D198&lt;&gt;"Serviço",AND(AUTOEVENTO="Manual",$M198=$A$15),$M198&gt;(ROW(PLE.lastrow)-ROW(PLE.firstrow))),0,
           IF(OFFSET(PLE!$G$15,$M198-$A$15,CY$13)="",10^12,OFFSET(PLE!$G$15,$M198-$A$15,CY$13)))</f>
        <v>0</v>
      </c>
      <c r="CZ198" s="354" t="n">
        <f aca="true">IF(OR($D198&lt;&gt;"Serviço",AND(AUTOEVENTO="Manual",$M198=$A$15),$M198&gt;(ROW(PLE.lastrow)-ROW(PLE.firstrow))),0,
           IF(OFFSET(PLE!$G$15,$M198-$A$15,CZ$13)="",10^12,OFFSET(PLE!$G$15,$M198-$A$15,CZ$13)))</f>
        <v>0</v>
      </c>
      <c r="DA198" s="354" t="n">
        <f aca="true">IF(OR($D198&lt;&gt;"Serviço",AND(AUTOEVENTO="Manual",$M198=$A$15),$M198&gt;(ROW(PLE.lastrow)-ROW(PLE.firstrow))),0,
           IF(OFFSET(PLE!$G$15,$M198-$A$15,DA$13)="",10^12,OFFSET(PLE!$G$15,$M198-$A$15,DA$13)))</f>
        <v>0</v>
      </c>
      <c r="DB198" s="354" t="n">
        <f aca="true">IF(OR($D198&lt;&gt;"Serviço",AND(AUTOEVENTO="Manual",$M198=$A$15),$M198&gt;(ROW(PLE.lastrow)-ROW(PLE.firstrow))),0,
           IF(OFFSET(PLE!$G$15,$M198-$A$15,DB$13)="",10^12,OFFSET(PLE!$G$15,$M198-$A$15,DB$13)))</f>
        <v>0</v>
      </c>
      <c r="DC198" s="354" t="n">
        <f aca="true">IF(OR($D198&lt;&gt;"Serviço",AND(AUTOEVENTO="Manual",$M198=$A$15),$M198&gt;(ROW(PLE.lastrow)-ROW(PLE.firstrow))),0,
           IF(OFFSET(PLE!$G$15,$M198-$A$15,DC$13)="",10^12,OFFSET(PLE!$G$15,$M198-$A$15,DC$13)))</f>
        <v>0</v>
      </c>
      <c r="DD198" s="354" t="n">
        <f aca="true">IF(OR($D198&lt;&gt;"Serviço",AND(AUTOEVENTO="Manual",$M198=$A$15),$M198&gt;(ROW(PLE.lastrow)-ROW(PLE.firstrow))),0,
           IF(OFFSET(PLE!$G$15,$M198-$A$15,DD$13)="",10^12,OFFSET(PLE!$G$15,$M198-$A$15,DD$13)))</f>
        <v>0</v>
      </c>
      <c r="DE198" s="354" t="n">
        <f aca="true">IF(OR($D198&lt;&gt;"Serviço",AND(AUTOEVENTO="Manual",$M198=$A$15),$M198&gt;(ROW(PLE.lastrow)-ROW(PLE.firstrow))),0,
           IF(OFFSET(PLE!$G$15,$M198-$A$15,DE$13)="",10^12,OFFSET(PLE!$G$15,$M198-$A$15,DE$13)))</f>
        <v>0</v>
      </c>
      <c r="DF198" s="354" t="n">
        <f aca="true">IF(OR($D198&lt;&gt;"Serviço",AND(AUTOEVENTO="Manual",$M198=$A$15),$M198&gt;(ROW(PLE.lastrow)-ROW(PLE.firstrow))),0,
           IF(OFFSET(PLE!$G$15,$M198-$A$15,DF$13)="",10^12,OFFSET(PLE!$G$15,$M198-$A$15,DF$13)))</f>
        <v>0</v>
      </c>
      <c r="DG198" s="354" t="n">
        <f aca="true">IF(OR($D198&lt;&gt;"Serviço",AND(AUTOEVENTO="Manual",$M198=$A$15),$M198&gt;(ROW(PLE.lastrow)-ROW(PLE.firstrow))),0,
           IF(OFFSET(PLE!$G$15,$M198-$A$15,DG$13)="",10^12,OFFSET(PLE!$G$15,$M198-$A$15,DG$13)))</f>
        <v>0</v>
      </c>
      <c r="DH198" s="354" t="n">
        <f aca="true">IF(OR($D198&lt;&gt;"Serviço",AND(AUTOEVENTO="Manual",$M198=$A$15),$M198&gt;(ROW(PLE.lastrow)-ROW(PLE.firstrow))),0,
           IF(OFFSET(PLE!$G$15,$M198-$A$15,DH$13)="",10^12,OFFSET(PLE!$G$15,$M198-$A$15,DH$13)))</f>
        <v>0</v>
      </c>
      <c r="DI198" s="354" t="n">
        <f aca="true">IF(OR($D198&lt;&gt;"Serviço",AND(AUTOEVENTO="Manual",$M198=$A$15),$M198&gt;(ROW(PLE.lastrow)-ROW(PLE.firstrow))),0,
           IF(OFFSET(PLE!$G$15,$M198-$A$15,DI$13)="",10^12,OFFSET(PLE!$G$15,$M198-$A$15,DI$13)))</f>
        <v>0</v>
      </c>
      <c r="DJ198" s="354" t="n">
        <f aca="true">IF(OR($D198&lt;&gt;"Serviço",AND(AUTOEVENTO="Manual",$M198=$A$15),$M198&gt;(ROW(PLE.lastrow)-ROW(PLE.firstrow))),0,
           IF(OFFSET(PLE!$G$15,$M198-$A$15,DJ$13)="",10^12,OFFSET(PLE!$G$15,$M198-$A$15,DJ$13)))</f>
        <v>0</v>
      </c>
      <c r="DK198" s="354" t="n">
        <f aca="true">IF(OR($D198&lt;&gt;"Serviço",AND(AUTOEVENTO="Manual",$M198=$A$15),$M198&gt;(ROW(PLE.lastrow)-ROW(PLE.firstrow))),0,
           IF(OFFSET(PLE!$G$15,$M198-$A$15,DK$13)="",10^12,OFFSET(PLE!$G$15,$M198-$A$15,DK$13)))</f>
        <v>0</v>
      </c>
      <c r="DL198" s="354" t="n">
        <f aca="true">IF(OR($D198&lt;&gt;"Serviço",AND(AUTOEVENTO="Manual",$M198=$A$15),$M198&gt;(ROW(PLE.lastrow)-ROW(PLE.firstrow))),0,
           IF(OFFSET(PLE!$G$15,$M198-$A$15,DL$13)="",10^12,OFFSET(PLE!$G$15,$M198-$A$15,DL$13)))</f>
        <v>0</v>
      </c>
      <c r="DM198" s="354" t="n">
        <f aca="true">IF(OR($D198&lt;&gt;"Serviço",AND(AUTOEVENTO="Manual",$M198=$A$15),$M198&gt;(ROW(PLE.lastrow)-ROW(PLE.firstrow))),0,
           IF(OFFSET(PLE!$G$15,$M198-$A$15,DM$13)="",10^12,OFFSET(PLE!$G$15,$M198-$A$15,DM$13)))</f>
        <v>0</v>
      </c>
      <c r="DN198" s="354" t="n">
        <f aca="true">IF(OR($D198&lt;&gt;"Serviço",AND(AUTOEVENTO="Manual",$M198=$A$15),$M198&gt;(ROW(PLE.lastrow)-ROW(PLE.firstrow))),0,
           IF(OFFSET(PLE!$G$15,$M198-$A$15,DN$13)="",10^12,OFFSET(PLE!$G$15,$M198-$A$15,DN$13)))</f>
        <v>0</v>
      </c>
      <c r="DO198" s="354" t="n">
        <f aca="true">IF(OR($D198&lt;&gt;"Serviço",AND(AUTOEVENTO="Manual",$M198=$A$15),$M198&gt;(ROW(PLE.lastrow)-ROW(PLE.firstrow))),0,
           IF(OFFSET(PLE!$G$15,$M198-$A$15,DO$13)="",10^12,OFFSET(PLE!$G$15,$M198-$A$15,DO$13)))</f>
        <v>0</v>
      </c>
      <c r="DP198" s="354" t="n">
        <f aca="true">IF(OR($D198&lt;&gt;"Serviço",AND(AUTOEVENTO="Manual",$M198=$A$15),$M198&gt;(ROW(PLE.lastrow)-ROW(PLE.firstrow))),0,
           IF(OFFSET(PLE!$G$15,$M198-$A$15,DP$13)="",10^12,OFFSET(PLE!$G$15,$M198-$A$15,DP$13)))</f>
        <v>0</v>
      </c>
      <c r="DQ198" s="354" t="n">
        <f aca="true">IF(OR($D198&lt;&gt;"Serviço",AND(AUTOEVENTO="Manual",$M198=$A$15),$M198&gt;(ROW(PLE.lastrow)-ROW(PLE.firstrow))),0,
           IF(OFFSET(PLE!$G$15,$M198-$A$15,DQ$13)="",10^12,OFFSET(PLE!$G$15,$M198-$A$15,DQ$13)))</f>
        <v>0</v>
      </c>
      <c r="DR198" s="354" t="n">
        <f aca="true">IF(OR($D198&lt;&gt;"Serviço",AND(AUTOEVENTO="Manual",$M198=$A$15),$M198&gt;(ROW(PLE.lastrow)-ROW(PLE.firstrow))),0,
           IF(OFFSET(PLE!$G$15,$M198-$A$15,DR$13)="",10^12,OFFSET(PLE!$G$15,$M198-$A$15,DR$13)))</f>
        <v>0</v>
      </c>
      <c r="DS198" s="354" t="n">
        <f aca="true">IF(OR($D198&lt;&gt;"Serviço",AND(AUTOEVENTO="Manual",$M198=$A$15),$M198&gt;(ROW(PLE.lastrow)-ROW(PLE.firstrow))),0,
           IF(OFFSET(PLE!$G$15,$M198-$A$15,DS$13)="",10^12,OFFSET(PLE!$G$15,$M198-$A$15,DS$13)))</f>
        <v>0</v>
      </c>
    </row>
    <row r="199" customFormat="false" ht="12.75" hidden="false" customHeight="false" outlineLevel="0" collapsed="false">
      <c r="A199" s="50" t="str">
        <f aca="true">IFERROR(IF(AUTOEVENTO="Manual",IF(K199&lt;&gt;"",MIN(VALUE(LEFT(K199,FIND(".",K199)-1)),COUNTA(EVENTOS.Lista)),0),IF(OR($B199&gt;AUTOEVENTO,$B199="S",$B199=0),SUBSTITUTE(OFFSET($A199,-1,0),IF($D199="Serviço",".",""),""),ROW(A199)-ROW($A$15)&amp;".")),0)</f>
        <v>184.</v>
      </c>
      <c r="B199" s="50" t="n">
        <f aca="true">OFFSET(ORÇAMENTO!C$15,ROW(B199)-ROW(B$15),0)</f>
        <v>2</v>
      </c>
      <c r="C199" s="50" t="str">
        <f aca="true">OFFSET(ORÇAMENTO!L$15,ROW(C199)-ROW(C$15),0)</f>
        <v>F</v>
      </c>
      <c r="D199" s="201" t="str">
        <f aca="true">OFFSET(ORÇAMENTO!N$15,ROW(D199)-ROW(D$15),0)</f>
        <v>Nível 2</v>
      </c>
      <c r="E199" s="202" t="str">
        <f aca="true">OFFSET(ORÇAMENTO!O$15,ROW(E199)-ROW(E$15),0)</f>
        <v>1.51.</v>
      </c>
      <c r="F199" s="341" t="str">
        <f aca="true">OFFSET(ORÇAMENTO!R$15,ROW(F199)-ROW(F$15),0)</f>
        <v>ESPECIAIS</v>
      </c>
      <c r="G199" s="342" t="str">
        <f aca="true">IF($D199&lt;&gt;"Serviço","",OFFSET(ORÇAMENTO!S$15,ROW(G199)-ROW(G$15),0))</f>
        <v/>
      </c>
      <c r="H199" s="207" t="n">
        <f aca="true">IF($D199&lt;&gt;"Serviço",0,IF(ACOMPANHAMENTO="BM",ROUND(OFFSET(ORÇAMENTO!AJ$15,ROW(H199)-ROW(H$15),0),15-13*ORÇAMENTO!$AF$7),SUMPRODUCT(($Q$1:$AQ$1=1)*ROUND($Q199:$AQ199,15-13*ORÇAMENTO!$AF$7))))</f>
        <v>0</v>
      </c>
      <c r="I199" s="343"/>
      <c r="J199" s="344" t="str">
        <f aca="false">IF(OR(B199&lt;&gt;"S",CÁLCULO.FrentesPreenchidas=0),"",IF(AND(ACOMPANHAMENTO="PLE",AUTOEVENTO="Manual",OR(H199&gt;0,ORÇAMENTO!AC199="QUANT."),OR(K199="",M199=0,N199="")),"►",IF(AND(ACOMPANHAMENTO="PLE",ORÇAMENTO!AC199="QUANT."),"►►",IF(AND(COUNTIF($P$11:$AQ$11,"▼")=0,H199&gt;0,I199=""),"◄",""))))</f>
        <v/>
      </c>
      <c r="K199" s="345"/>
      <c r="L199" s="346" t="s">
        <v>876</v>
      </c>
      <c r="M199" s="347" t="str">
        <f aca="true">IF($D199&lt;&gt;"Serviço","",
          IF(AUTOEVENTO="manual",$A199,
                IF(ISERROR(MATCH($A199,$A$15:OFFSET($A199,-1,0),0)),MAX($M$15:OFFSET(M199,-1,0))+1,
                      INDEX($M$15:OFFSET(M199,-1,0),MATCH($A199,$A$15:OFFSET($A199,-1,0),0)))))</f>
        <v/>
      </c>
      <c r="N199" s="348" t="str">
        <f aca="true">IF($D199&lt;&gt;"Serviço","",
         IF(AUTOEVENTO="Manual",
                IF($A199=0,"&lt;-- defina o número do agrupador",
                       OFFSET(EVENTOS!$D$15,$A199-$A$15,0)),
                OFFSET($F$15,$A199,0)))</f>
        <v/>
      </c>
      <c r="O199" s="349"/>
      <c r="Q199" s="349"/>
      <c r="R199" s="350"/>
      <c r="S199" s="350"/>
      <c r="T199" s="350"/>
      <c r="U199" s="350"/>
      <c r="V199" s="350"/>
      <c r="W199" s="350"/>
      <c r="X199" s="350"/>
      <c r="Y199" s="350"/>
      <c r="Z199" s="351"/>
      <c r="AA199" s="350"/>
      <c r="AB199" s="350"/>
      <c r="AC199" s="350"/>
      <c r="AD199" s="350"/>
      <c r="AE199" s="350"/>
      <c r="AF199" s="350"/>
      <c r="AG199" s="350"/>
      <c r="AH199" s="351"/>
      <c r="AI199" s="350"/>
      <c r="AJ199" s="350"/>
      <c r="AK199" s="350"/>
      <c r="AL199" s="350"/>
      <c r="AM199" s="350"/>
      <c r="AN199" s="350"/>
      <c r="AO199" s="350"/>
      <c r="AP199" s="351"/>
      <c r="AR199" s="352" t="n">
        <f aca="true">IF(AND($D199="Serviço",AR$12&lt;&gt;0,$H199&gt;0,OR(AUTOEVENTO&lt;&gt;"manual",$M199&lt;&gt;$A$15)),
        IF(Import.TipoArredondamento&lt;&gt;"TransfereGOV",
              ROUND(OFFSET($P199,0,AR$13),15-13*ORÇAMENTO!$AF$7)/$H199*OFFSET(ORÇAMENTO!$X$15,ROW(AR199)-ROW(AR$15),0),
              ROUND(ROUND(OFFSET($P199,0,AR$13),15-13*ORÇAMENTO!$AF$7)*OFFSET(ORÇAMENTO!$W$15,ROW(AR199)-ROW(AR$15),0),15-13*ORÇAMENTO!$AF$11)),
         0)</f>
        <v>0</v>
      </c>
      <c r="AS199" s="352" t="n">
        <f aca="true">IF(AND($D199="Serviço",AS$12&lt;&gt;0,$H199&gt;0,OR(AUTOEVENTO&lt;&gt;"manual",$M199&lt;&gt;$A$15)),
        IF(Import.TipoArredondamento&lt;&gt;"TransfereGOV",
              ROUND(OFFSET($P199,0,AS$13),15-13*ORÇAMENTO!$AF$7)/$H199*OFFSET(ORÇAMENTO!$X$15,ROW(AS199)-ROW(AS$15),0),
              ROUND(ROUND(OFFSET($P199,0,AS$13),15-13*ORÇAMENTO!$AF$7)*OFFSET(ORÇAMENTO!$W$15,ROW(AS199)-ROW(AS$15),0),15-13*ORÇAMENTO!$AF$11)),
         0)</f>
        <v>0</v>
      </c>
      <c r="AT199" s="352" t="n">
        <f aca="true">IF(AND($D199="Serviço",AT$12&lt;&gt;0,$H199&gt;0,OR(AUTOEVENTO&lt;&gt;"manual",$M199&lt;&gt;$A$15)),
        IF(Import.TipoArredondamento&lt;&gt;"TransfereGOV",
              ROUND(OFFSET($P199,0,AT$13),15-13*ORÇAMENTO!$AF$7)/$H199*OFFSET(ORÇAMENTO!$X$15,ROW(AT199)-ROW(AT$15),0),
              ROUND(ROUND(OFFSET($P199,0,AT$13),15-13*ORÇAMENTO!$AF$7)*OFFSET(ORÇAMENTO!$W$15,ROW(AT199)-ROW(AT$15),0),15-13*ORÇAMENTO!$AF$11)),
         0)</f>
        <v>0</v>
      </c>
      <c r="AU199" s="352" t="n">
        <f aca="true">IF(AND($D199="Serviço",AU$12&lt;&gt;0,$H199&gt;0,OR(AUTOEVENTO&lt;&gt;"manual",$M199&lt;&gt;$A$15)),
        IF(Import.TipoArredondamento&lt;&gt;"TransfereGOV",
              ROUND(OFFSET($P199,0,AU$13),15-13*ORÇAMENTO!$AF$7)/$H199*OFFSET(ORÇAMENTO!$X$15,ROW(AU199)-ROW(AU$15),0),
              ROUND(ROUND(OFFSET($P199,0,AU$13),15-13*ORÇAMENTO!$AF$7)*OFFSET(ORÇAMENTO!$W$15,ROW(AU199)-ROW(AU$15),0),15-13*ORÇAMENTO!$AF$11)),
         0)</f>
        <v>0</v>
      </c>
      <c r="AV199" s="352" t="n">
        <f aca="true">IF(AND($D199="Serviço",AV$12&lt;&gt;0,$H199&gt;0,OR(AUTOEVENTO&lt;&gt;"manual",$M199&lt;&gt;$A$15)),
        IF(Import.TipoArredondamento&lt;&gt;"TransfereGOV",
              ROUND(OFFSET($P199,0,AV$13),15-13*ORÇAMENTO!$AF$7)/$H199*OFFSET(ORÇAMENTO!$X$15,ROW(AV199)-ROW(AV$15),0),
              ROUND(ROUND(OFFSET($P199,0,AV$13),15-13*ORÇAMENTO!$AF$7)*OFFSET(ORÇAMENTO!$W$15,ROW(AV199)-ROW(AV$15),0),15-13*ORÇAMENTO!$AF$11)),
         0)</f>
        <v>0</v>
      </c>
      <c r="AW199" s="352" t="n">
        <f aca="true">IF(AND($D199="Serviço",AW$12&lt;&gt;0,$H199&gt;0,OR(AUTOEVENTO&lt;&gt;"manual",$M199&lt;&gt;$A$15)),
        IF(Import.TipoArredondamento&lt;&gt;"TransfereGOV",
              ROUND(OFFSET($P199,0,AW$13),15-13*ORÇAMENTO!$AF$7)/$H199*OFFSET(ORÇAMENTO!$X$15,ROW(AW199)-ROW(AW$15),0),
              ROUND(ROUND(OFFSET($P199,0,AW$13),15-13*ORÇAMENTO!$AF$7)*OFFSET(ORÇAMENTO!$W$15,ROW(AW199)-ROW(AW$15),0),15-13*ORÇAMENTO!$AF$11)),
         0)</f>
        <v>0</v>
      </c>
      <c r="AX199" s="352" t="n">
        <f aca="true">IF(AND($D199="Serviço",AX$12&lt;&gt;0,$H199&gt;0,OR(AUTOEVENTO&lt;&gt;"manual",$M199&lt;&gt;$A$15)),
        IF(Import.TipoArredondamento&lt;&gt;"TransfereGOV",
              ROUND(OFFSET($P199,0,AX$13),15-13*ORÇAMENTO!$AF$7)/$H199*OFFSET(ORÇAMENTO!$X$15,ROW(AX199)-ROW(AX$15),0),
              ROUND(ROUND(OFFSET($P199,0,AX$13),15-13*ORÇAMENTO!$AF$7)*OFFSET(ORÇAMENTO!$W$15,ROW(AX199)-ROW(AX$15),0),15-13*ORÇAMENTO!$AF$11)),
         0)</f>
        <v>0</v>
      </c>
      <c r="AY199" s="352" t="n">
        <f aca="true">IF(AND($D199="Serviço",AY$12&lt;&gt;0,$H199&gt;0,OR(AUTOEVENTO&lt;&gt;"manual",$M199&lt;&gt;$A$15)),
        IF(Import.TipoArredondamento&lt;&gt;"TransfereGOV",
              ROUND(OFFSET($P199,0,AY$13),15-13*ORÇAMENTO!$AF$7)/$H199*OFFSET(ORÇAMENTO!$X$15,ROW(AY199)-ROW(AY$15),0),
              ROUND(ROUND(OFFSET($P199,0,AY$13),15-13*ORÇAMENTO!$AF$7)*OFFSET(ORÇAMENTO!$W$15,ROW(AY199)-ROW(AY$15),0),15-13*ORÇAMENTO!$AF$11)),
         0)</f>
        <v>0</v>
      </c>
      <c r="AZ199" s="352" t="n">
        <f aca="true">IF(AND($D199="Serviço",AZ$12&lt;&gt;0,$H199&gt;0,OR(AUTOEVENTO&lt;&gt;"manual",$M199&lt;&gt;$A$15)),
        IF(Import.TipoArredondamento&lt;&gt;"TransfereGOV",
              ROUND(OFFSET($P199,0,AZ$13),15-13*ORÇAMENTO!$AF$7)/$H199*OFFSET(ORÇAMENTO!$X$15,ROW(AZ199)-ROW(AZ$15),0),
              ROUND(ROUND(OFFSET($P199,0,AZ$13),15-13*ORÇAMENTO!$AF$7)*OFFSET(ORÇAMENTO!$W$15,ROW(AZ199)-ROW(AZ$15),0),15-13*ORÇAMENTO!$AF$11)),
         0)</f>
        <v>0</v>
      </c>
      <c r="BA199" s="352" t="n">
        <f aca="true">IF(AND($D199="Serviço",BA$12&lt;&gt;0,$H199&gt;0,OR(AUTOEVENTO&lt;&gt;"manual",$M199&lt;&gt;$A$15)),
        IF(Import.TipoArredondamento&lt;&gt;"TransfereGOV",
              ROUND(OFFSET($P199,0,BA$13),15-13*ORÇAMENTO!$AF$7)/$H199*OFFSET(ORÇAMENTO!$X$15,ROW(BA199)-ROW(BA$15),0),
              ROUND(ROUND(OFFSET($P199,0,BA$13),15-13*ORÇAMENTO!$AF$7)*OFFSET(ORÇAMENTO!$W$15,ROW(BA199)-ROW(BA$15),0),15-13*ORÇAMENTO!$AF$11)),
         0)</f>
        <v>0</v>
      </c>
      <c r="BB199" s="352" t="n">
        <f aca="true">IF(AND($D199="Serviço",BB$12&lt;&gt;0,$H199&gt;0,OR(AUTOEVENTO&lt;&gt;"manual",$M199&lt;&gt;$A$15)),
        IF(Import.TipoArredondamento&lt;&gt;"TransfereGOV",
              ROUND(OFFSET($P199,0,BB$13),15-13*ORÇAMENTO!$AF$7)/$H199*OFFSET(ORÇAMENTO!$X$15,ROW(BB199)-ROW(BB$15),0),
              ROUND(ROUND(OFFSET($P199,0,BB$13),15-13*ORÇAMENTO!$AF$7)*OFFSET(ORÇAMENTO!$W$15,ROW(BB199)-ROW(BB$15),0),15-13*ORÇAMENTO!$AF$11)),
         0)</f>
        <v>0</v>
      </c>
      <c r="BC199" s="352" t="n">
        <f aca="true">IF(AND($D199="Serviço",BC$12&lt;&gt;0,$H199&gt;0,OR(AUTOEVENTO&lt;&gt;"manual",$M199&lt;&gt;$A$15)),
        IF(Import.TipoArredondamento&lt;&gt;"TransfereGOV",
              ROUND(OFFSET($P199,0,BC$13),15-13*ORÇAMENTO!$AF$7)/$H199*OFFSET(ORÇAMENTO!$X$15,ROW(BC199)-ROW(BC$15),0),
              ROUND(ROUND(OFFSET($P199,0,BC$13),15-13*ORÇAMENTO!$AF$7)*OFFSET(ORÇAMENTO!$W$15,ROW(BC199)-ROW(BC$15),0),15-13*ORÇAMENTO!$AF$11)),
         0)</f>
        <v>0</v>
      </c>
      <c r="BD199" s="352" t="n">
        <f aca="true">IF(AND($D199="Serviço",BD$12&lt;&gt;0,$H199&gt;0,OR(AUTOEVENTO&lt;&gt;"manual",$M199&lt;&gt;$A$15)),
        IF(Import.TipoArredondamento&lt;&gt;"TransfereGOV",
              ROUND(OFFSET($P199,0,BD$13),15-13*ORÇAMENTO!$AF$7)/$H199*OFFSET(ORÇAMENTO!$X$15,ROW(BD199)-ROW(BD$15),0),
              ROUND(ROUND(OFFSET($P199,0,BD$13),15-13*ORÇAMENTO!$AF$7)*OFFSET(ORÇAMENTO!$W$15,ROW(BD199)-ROW(BD$15),0),15-13*ORÇAMENTO!$AF$11)),
         0)</f>
        <v>0</v>
      </c>
      <c r="BE199" s="352" t="n">
        <f aca="true">IF(AND($D199="Serviço",BE$12&lt;&gt;0,$H199&gt;0,OR(AUTOEVENTO&lt;&gt;"manual",$M199&lt;&gt;$A$15)),
        IF(Import.TipoArredondamento&lt;&gt;"TransfereGOV",
              ROUND(OFFSET($P199,0,BE$13),15-13*ORÇAMENTO!$AF$7)/$H199*OFFSET(ORÇAMENTO!$X$15,ROW(BE199)-ROW(BE$15),0),
              ROUND(ROUND(OFFSET($P199,0,BE$13),15-13*ORÇAMENTO!$AF$7)*OFFSET(ORÇAMENTO!$W$15,ROW(BE199)-ROW(BE$15),0),15-13*ORÇAMENTO!$AF$11)),
         0)</f>
        <v>0</v>
      </c>
      <c r="BF199" s="352" t="n">
        <f aca="true">IF(AND($D199="Serviço",BF$12&lt;&gt;0,$H199&gt;0,OR(AUTOEVENTO&lt;&gt;"manual",$M199&lt;&gt;$A$15)),
        IF(Import.TipoArredondamento&lt;&gt;"TransfereGOV",
              ROUND(OFFSET($P199,0,BF$13),15-13*ORÇAMENTO!$AF$7)/$H199*OFFSET(ORÇAMENTO!$X$15,ROW(BF199)-ROW(BF$15),0),
              ROUND(ROUND(OFFSET($P199,0,BF$13),15-13*ORÇAMENTO!$AF$7)*OFFSET(ORÇAMENTO!$W$15,ROW(BF199)-ROW(BF$15),0),15-13*ORÇAMENTO!$AF$11)),
         0)</f>
        <v>0</v>
      </c>
      <c r="BG199" s="352" t="n">
        <f aca="true">IF(AND($D199="Serviço",BG$12&lt;&gt;0,$H199&gt;0,OR(AUTOEVENTO&lt;&gt;"manual",$M199&lt;&gt;$A$15)),
        IF(Import.TipoArredondamento&lt;&gt;"TransfereGOV",
              ROUND(OFFSET($P199,0,BG$13),15-13*ORÇAMENTO!$AF$7)/$H199*OFFSET(ORÇAMENTO!$X$15,ROW(BG199)-ROW(BG$15),0),
              ROUND(ROUND(OFFSET($P199,0,BG$13),15-13*ORÇAMENTO!$AF$7)*OFFSET(ORÇAMENTO!$W$15,ROW(BG199)-ROW(BG$15),0),15-13*ORÇAMENTO!$AF$11)),
         0)</f>
        <v>0</v>
      </c>
      <c r="BH199" s="352" t="n">
        <f aca="true">IF(AND($D199="Serviço",BH$12&lt;&gt;0,$H199&gt;0,OR(AUTOEVENTO&lt;&gt;"manual",$M199&lt;&gt;$A$15)),
        IF(Import.TipoArredondamento&lt;&gt;"TransfereGOV",
              ROUND(OFFSET($P199,0,BH$13),15-13*ORÇAMENTO!$AF$7)/$H199*OFFSET(ORÇAMENTO!$X$15,ROW(BH199)-ROW(BH$15),0),
              ROUND(ROUND(OFFSET($P199,0,BH$13),15-13*ORÇAMENTO!$AF$7)*OFFSET(ORÇAMENTO!$W$15,ROW(BH199)-ROW(BH$15),0),15-13*ORÇAMENTO!$AF$11)),
         0)</f>
        <v>0</v>
      </c>
      <c r="BI199" s="352" t="n">
        <f aca="true">IF(AND($D199="Serviço",BI$12&lt;&gt;0,$H199&gt;0,OR(AUTOEVENTO&lt;&gt;"manual",$M199&lt;&gt;$A$15)),
        IF(Import.TipoArredondamento&lt;&gt;"TransfereGOV",
              ROUND(OFFSET($P199,0,BI$13),15-13*ORÇAMENTO!$AF$7)/$H199*OFFSET(ORÇAMENTO!$X$15,ROW(BI199)-ROW(BI$15),0),
              ROUND(ROUND(OFFSET($P199,0,BI$13),15-13*ORÇAMENTO!$AF$7)*OFFSET(ORÇAMENTO!$W$15,ROW(BI199)-ROW(BI$15),0),15-13*ORÇAMENTO!$AF$11)),
         0)</f>
        <v>0</v>
      </c>
      <c r="BJ199" s="352" t="n">
        <f aca="true">IF(AND($D199="Serviço",BJ$12&lt;&gt;0,$H199&gt;0,OR(AUTOEVENTO&lt;&gt;"manual",$M199&lt;&gt;$A$15)),
        IF(Import.TipoArredondamento&lt;&gt;"TransfereGOV",
              ROUND(OFFSET($P199,0,BJ$13),15-13*ORÇAMENTO!$AF$7)/$H199*OFFSET(ORÇAMENTO!$X$15,ROW(BJ199)-ROW(BJ$15),0),
              ROUND(ROUND(OFFSET($P199,0,BJ$13),15-13*ORÇAMENTO!$AF$7)*OFFSET(ORÇAMENTO!$W$15,ROW(BJ199)-ROW(BJ$15),0),15-13*ORÇAMENTO!$AF$11)),
         0)</f>
        <v>0</v>
      </c>
      <c r="BK199" s="352" t="n">
        <f aca="true">IF(AND($D199="Serviço",BK$12&lt;&gt;0,$H199&gt;0,OR(AUTOEVENTO&lt;&gt;"manual",$M199&lt;&gt;$A$15)),
        IF(Import.TipoArredondamento&lt;&gt;"TransfereGOV",
              ROUND(OFFSET($P199,0,BK$13),15-13*ORÇAMENTO!$AF$7)/$H199*OFFSET(ORÇAMENTO!$X$15,ROW(BK199)-ROW(BK$15),0),
              ROUND(ROUND(OFFSET($P199,0,BK$13),15-13*ORÇAMENTO!$AF$7)*OFFSET(ORÇAMENTO!$W$15,ROW(BK199)-ROW(BK$15),0),15-13*ORÇAMENTO!$AF$11)),
         0)</f>
        <v>0</v>
      </c>
      <c r="BL199" s="352" t="n">
        <f aca="true">IF(AND($D199="Serviço",BL$12&lt;&gt;0,$H199&gt;0,OR(AUTOEVENTO&lt;&gt;"manual",$M199&lt;&gt;$A$15)),
        IF(Import.TipoArredondamento&lt;&gt;"TransfereGOV",
              ROUND(OFFSET($P199,0,BL$13),15-13*ORÇAMENTO!$AF$7)/$H199*OFFSET(ORÇAMENTO!$X$15,ROW(BL199)-ROW(BL$15),0),
              ROUND(ROUND(OFFSET($P199,0,BL$13),15-13*ORÇAMENTO!$AF$7)*OFFSET(ORÇAMENTO!$W$15,ROW(BL199)-ROW(BL$15),0),15-13*ORÇAMENTO!$AF$11)),
         0)</f>
        <v>0</v>
      </c>
      <c r="BM199" s="352" t="n">
        <f aca="true">IF(AND($D199="Serviço",BM$12&lt;&gt;0,$H199&gt;0,OR(AUTOEVENTO&lt;&gt;"manual",$M199&lt;&gt;$A$15)),
        IF(Import.TipoArredondamento&lt;&gt;"TransfereGOV",
              ROUND(OFFSET($P199,0,BM$13),15-13*ORÇAMENTO!$AF$7)/$H199*OFFSET(ORÇAMENTO!$X$15,ROW(BM199)-ROW(BM$15),0),
              ROUND(ROUND(OFFSET($P199,0,BM$13),15-13*ORÇAMENTO!$AF$7)*OFFSET(ORÇAMENTO!$W$15,ROW(BM199)-ROW(BM$15),0),15-13*ORÇAMENTO!$AF$11)),
         0)</f>
        <v>0</v>
      </c>
      <c r="BN199" s="352" t="n">
        <f aca="true">IF(AND($D199="Serviço",BN$12&lt;&gt;0,$H199&gt;0,OR(AUTOEVENTO&lt;&gt;"manual",$M199&lt;&gt;$A$15)),
        IF(Import.TipoArredondamento&lt;&gt;"TransfereGOV",
              ROUND(OFFSET($P199,0,BN$13),15-13*ORÇAMENTO!$AF$7)/$H199*OFFSET(ORÇAMENTO!$X$15,ROW(BN199)-ROW(BN$15),0),
              ROUND(ROUND(OFFSET($P199,0,BN$13),15-13*ORÇAMENTO!$AF$7)*OFFSET(ORÇAMENTO!$W$15,ROW(BN199)-ROW(BN$15),0),15-13*ORÇAMENTO!$AF$11)),
         0)</f>
        <v>0</v>
      </c>
      <c r="BO199" s="352" t="n">
        <f aca="true">IF(AND($D199="Serviço",BO$12&lt;&gt;0,$H199&gt;0,OR(AUTOEVENTO&lt;&gt;"manual",$M199&lt;&gt;$A$15)),
        IF(Import.TipoArredondamento&lt;&gt;"TransfereGOV",
              ROUND(OFFSET($P199,0,BO$13),15-13*ORÇAMENTO!$AF$7)/$H199*OFFSET(ORÇAMENTO!$X$15,ROW(BO199)-ROW(BO$15),0),
              ROUND(ROUND(OFFSET($P199,0,BO$13),15-13*ORÇAMENTO!$AF$7)*OFFSET(ORÇAMENTO!$W$15,ROW(BO199)-ROW(BO$15),0),15-13*ORÇAMENTO!$AF$11)),
         0)</f>
        <v>0</v>
      </c>
      <c r="BP199" s="352" t="n">
        <f aca="true">IF(AND($D199="Serviço",BP$12&lt;&gt;0,$H199&gt;0,OR(AUTOEVENTO&lt;&gt;"manual",$M199&lt;&gt;$A$15)),
        IF(Import.TipoArredondamento&lt;&gt;"TransfereGOV",
              ROUND(OFFSET($P199,0,BP$13),15-13*ORÇAMENTO!$AF$7)/$H199*OFFSET(ORÇAMENTO!$X$15,ROW(BP199)-ROW(BP$15),0),
              ROUND(ROUND(OFFSET($P199,0,BP$13),15-13*ORÇAMENTO!$AF$7)*OFFSET(ORÇAMENTO!$W$15,ROW(BP199)-ROW(BP$15),0),15-13*ORÇAMENTO!$AF$11)),
         0)</f>
        <v>0</v>
      </c>
      <c r="BQ199" s="352" t="n">
        <f aca="true">IF(AND($D199="Serviço",BQ$12&lt;&gt;0,$H199&gt;0,OR(AUTOEVENTO&lt;&gt;"manual",$M199&lt;&gt;$A$15)),
        IF(Import.TipoArredondamento&lt;&gt;"TransfereGOV",
              ROUND(OFFSET($P199,0,BQ$13),15-13*ORÇAMENTO!$AF$7)/$H199*OFFSET(ORÇAMENTO!$X$15,ROW(BQ199)-ROW(BQ$15),0),
              ROUND(ROUND(OFFSET($P199,0,BQ$13),15-13*ORÇAMENTO!$AF$7)*OFFSET(ORÇAMENTO!$W$15,ROW(BQ199)-ROW(BQ$15),0),15-13*ORÇAMENTO!$AF$11)),
         0)</f>
        <v>0</v>
      </c>
      <c r="BS199" s="353" t="n">
        <f aca="true">IF(OR($D199&lt;&gt;"Serviço",AND(AUTOEVENTO="Manual",$M199=$A$15)),0,
         IF(OFFSET(CRONOPLE!$F$15,$M199-$A$15,BS$13)=0,10^12,OFFSET(CRONOPLE!$F$15,$M199-$A$15,BS$13)))</f>
        <v>0</v>
      </c>
      <c r="BT199" s="353" t="n">
        <f aca="true">IF(OR($D199&lt;&gt;"Serviço",AND(AUTOEVENTO="Manual",$M199=$A$15)),0,
         IF(OFFSET(CRONOPLE!$F$15,$M199-$A$15,BT$13)=0,10^12,OFFSET(CRONOPLE!$F$15,$M199-$A$15,BT$13)))</f>
        <v>0</v>
      </c>
      <c r="BU199" s="353" t="n">
        <f aca="true">IF(OR($D199&lt;&gt;"Serviço",AND(AUTOEVENTO="Manual",$M199=$A$15)),0,
         IF(OFFSET(CRONOPLE!$F$15,$M199-$A$15,BU$13)=0,10^12,OFFSET(CRONOPLE!$F$15,$M199-$A$15,BU$13)))</f>
        <v>0</v>
      </c>
      <c r="BV199" s="353" t="n">
        <f aca="true">IF(OR($D199&lt;&gt;"Serviço",AND(AUTOEVENTO="Manual",$M199=$A$15)),0,
         IF(OFFSET(CRONOPLE!$F$15,$M199-$A$15,BV$13)=0,10^12,OFFSET(CRONOPLE!$F$15,$M199-$A$15,BV$13)))</f>
        <v>0</v>
      </c>
      <c r="BW199" s="353" t="n">
        <f aca="true">IF(OR($D199&lt;&gt;"Serviço",AND(AUTOEVENTO="Manual",$M199=$A$15)),0,
         IF(OFFSET(CRONOPLE!$F$15,$M199-$A$15,BW$13)=0,10^12,OFFSET(CRONOPLE!$F$15,$M199-$A$15,BW$13)))</f>
        <v>0</v>
      </c>
      <c r="BX199" s="353" t="n">
        <f aca="true">IF(OR($D199&lt;&gt;"Serviço",AND(AUTOEVENTO="Manual",$M199=$A$15)),0,
         IF(OFFSET(CRONOPLE!$F$15,$M199-$A$15,BX$13)=0,10^12,OFFSET(CRONOPLE!$F$15,$M199-$A$15,BX$13)))</f>
        <v>0</v>
      </c>
      <c r="BY199" s="353" t="n">
        <f aca="true">IF(OR($D199&lt;&gt;"Serviço",AND(AUTOEVENTO="Manual",$M199=$A$15)),0,
         IF(OFFSET(CRONOPLE!$F$15,$M199-$A$15,BY$13)=0,10^12,OFFSET(CRONOPLE!$F$15,$M199-$A$15,BY$13)))</f>
        <v>0</v>
      </c>
      <c r="BZ199" s="353" t="n">
        <f aca="true">IF(OR($D199&lt;&gt;"Serviço",AND(AUTOEVENTO="Manual",$M199=$A$15)),0,
         IF(OFFSET(CRONOPLE!$F$15,$M199-$A$15,BZ$13)=0,10^12,OFFSET(CRONOPLE!$F$15,$M199-$A$15,BZ$13)))</f>
        <v>0</v>
      </c>
      <c r="CA199" s="353" t="n">
        <f aca="true">IF(OR($D199&lt;&gt;"Serviço",AND(AUTOEVENTO="Manual",$M199=$A$15)),0,
         IF(OFFSET(CRONOPLE!$F$15,$M199-$A$15,CA$13)=0,10^12,OFFSET(CRONOPLE!$F$15,$M199-$A$15,CA$13)))</f>
        <v>0</v>
      </c>
      <c r="CB199" s="353" t="n">
        <f aca="true">IF(OR($D199&lt;&gt;"Serviço",AND(AUTOEVENTO="Manual",$M199=$A$15)),0,
         IF(OFFSET(CRONOPLE!$F$15,$M199-$A$15,CB$13)=0,10^12,OFFSET(CRONOPLE!$F$15,$M199-$A$15,CB$13)))</f>
        <v>0</v>
      </c>
      <c r="CC199" s="353" t="n">
        <f aca="true">IF(OR($D199&lt;&gt;"Serviço",AND(AUTOEVENTO="Manual",$M199=$A$15)),0,
         IF(OFFSET(CRONOPLE!$F$15,$M199-$A$15,CC$13)=0,10^12,OFFSET(CRONOPLE!$F$15,$M199-$A$15,CC$13)))</f>
        <v>0</v>
      </c>
      <c r="CD199" s="353" t="n">
        <f aca="true">IF(OR($D199&lt;&gt;"Serviço",AND(AUTOEVENTO="Manual",$M199=$A$15)),0,
         IF(OFFSET(CRONOPLE!$F$15,$M199-$A$15,CD$13)=0,10^12,OFFSET(CRONOPLE!$F$15,$M199-$A$15,CD$13)))</f>
        <v>0</v>
      </c>
      <c r="CE199" s="353" t="n">
        <f aca="true">IF(OR($D199&lt;&gt;"Serviço",AND(AUTOEVENTO="Manual",$M199=$A$15)),0,
         IF(OFFSET(CRONOPLE!$F$15,$M199-$A$15,CE$13)=0,10^12,OFFSET(CRONOPLE!$F$15,$M199-$A$15,CE$13)))</f>
        <v>0</v>
      </c>
      <c r="CF199" s="353" t="n">
        <f aca="true">IF(OR($D199&lt;&gt;"Serviço",AND(AUTOEVENTO="Manual",$M199=$A$15)),0,
         IF(OFFSET(CRONOPLE!$F$15,$M199-$A$15,CF$13)=0,10^12,OFFSET(CRONOPLE!$F$15,$M199-$A$15,CF$13)))</f>
        <v>0</v>
      </c>
      <c r="CG199" s="353" t="n">
        <f aca="true">IF(OR($D199&lt;&gt;"Serviço",AND(AUTOEVENTO="Manual",$M199=$A$15)),0,
         IF(OFFSET(CRONOPLE!$F$15,$M199-$A$15,CG$13)=0,10^12,OFFSET(CRONOPLE!$F$15,$M199-$A$15,CG$13)))</f>
        <v>0</v>
      </c>
      <c r="CH199" s="353" t="n">
        <f aca="true">IF(OR($D199&lt;&gt;"Serviço",AND(AUTOEVENTO="Manual",$M199=$A$15)),0,
         IF(OFFSET(CRONOPLE!$F$15,$M199-$A$15,CH$13)=0,10^12,OFFSET(CRONOPLE!$F$15,$M199-$A$15,CH$13)))</f>
        <v>0</v>
      </c>
      <c r="CI199" s="353" t="n">
        <f aca="true">IF(OR($D199&lt;&gt;"Serviço",AND(AUTOEVENTO="Manual",$M199=$A$15)),0,
         IF(OFFSET(CRONOPLE!$F$15,$M199-$A$15,CI$13)=0,10^12,OFFSET(CRONOPLE!$F$15,$M199-$A$15,CI$13)))</f>
        <v>0</v>
      </c>
      <c r="CJ199" s="353" t="n">
        <f aca="true">IF(OR($D199&lt;&gt;"Serviço",AND(AUTOEVENTO="Manual",$M199=$A$15)),0,
         IF(OFFSET(CRONOPLE!$F$15,$M199-$A$15,CJ$13)=0,10^12,OFFSET(CRONOPLE!$F$15,$M199-$A$15,CJ$13)))</f>
        <v>0</v>
      </c>
      <c r="CK199" s="353" t="n">
        <f aca="true">IF(OR($D199&lt;&gt;"Serviço",AND(AUTOEVENTO="Manual",$M199=$A$15)),0,
         IF(OFFSET(CRONOPLE!$F$15,$M199-$A$15,CK$13)=0,10^12,OFFSET(CRONOPLE!$F$15,$M199-$A$15,CK$13)))</f>
        <v>0</v>
      </c>
      <c r="CL199" s="353" t="n">
        <f aca="true">IF(OR($D199&lt;&gt;"Serviço",AND(AUTOEVENTO="Manual",$M199=$A$15)),0,
         IF(OFFSET(CRONOPLE!$F$15,$M199-$A$15,CL$13)=0,10^12,OFFSET(CRONOPLE!$F$15,$M199-$A$15,CL$13)))</f>
        <v>0</v>
      </c>
      <c r="CM199" s="353" t="n">
        <f aca="true">IF(OR($D199&lt;&gt;"Serviço",AND(AUTOEVENTO="Manual",$M199=$A$15)),0,
         IF(OFFSET(CRONOPLE!$F$15,$M199-$A$15,CM$13)=0,10^12,OFFSET(CRONOPLE!$F$15,$M199-$A$15,CM$13)))</f>
        <v>0</v>
      </c>
      <c r="CN199" s="353" t="n">
        <f aca="true">IF(OR($D199&lt;&gt;"Serviço",AND(AUTOEVENTO="Manual",$M199=$A$15)),0,
         IF(OFFSET(CRONOPLE!$F$15,$M199-$A$15,CN$13)=0,10^12,OFFSET(CRONOPLE!$F$15,$M199-$A$15,CN$13)))</f>
        <v>0</v>
      </c>
      <c r="CO199" s="353" t="n">
        <f aca="true">IF(OR($D199&lt;&gt;"Serviço",AND(AUTOEVENTO="Manual",$M199=$A$15)),0,
         IF(OFFSET(CRONOPLE!$F$15,$M199-$A$15,CO$13)=0,10^12,OFFSET(CRONOPLE!$F$15,$M199-$A$15,CO$13)))</f>
        <v>0</v>
      </c>
      <c r="CP199" s="353" t="n">
        <f aca="true">IF(OR($D199&lt;&gt;"Serviço",AND(AUTOEVENTO="Manual",$M199=$A$15)),0,
         IF(OFFSET(CRONOPLE!$F$15,$M199-$A$15,CP$13)=0,10^12,OFFSET(CRONOPLE!$F$15,$M199-$A$15,CP$13)))</f>
        <v>0</v>
      </c>
      <c r="CQ199" s="353" t="n">
        <f aca="true">IF(OR($D199&lt;&gt;"Serviço",AND(AUTOEVENTO="Manual",$M199=$A$15)),0,
         IF(OFFSET(CRONOPLE!$F$15,$M199-$A$15,CQ$13)=0,10^12,OFFSET(CRONOPLE!$F$15,$M199-$A$15,CQ$13)))</f>
        <v>0</v>
      </c>
      <c r="CR199" s="353" t="n">
        <f aca="true">IF(OR($D199&lt;&gt;"Serviço",AND(AUTOEVENTO="Manual",$M199=$A$15)),0,
         IF(OFFSET(CRONOPLE!$F$15,$M199-$A$15,CR$13)=0,10^12,OFFSET(CRONOPLE!$F$15,$M199-$A$15,CR$13)))</f>
        <v>0</v>
      </c>
      <c r="CT199" s="354" t="n">
        <f aca="true">IF(OR($D199&lt;&gt;"Serviço",AND(AUTOEVENTO="Manual",$M199=$A$15),$M199&gt;(ROW(PLE.lastrow)-ROW(PLE.firstrow))),0,
           IF(OFFSET(PLE!$G$15,$M199-$A$15,CT$13)="",10^12,OFFSET(PLE!$G$15,$M199-$A$15,CT$13)))</f>
        <v>0</v>
      </c>
      <c r="CU199" s="354" t="n">
        <f aca="true">IF(OR($D199&lt;&gt;"Serviço",AND(AUTOEVENTO="Manual",$M199=$A$15),$M199&gt;(ROW(PLE.lastrow)-ROW(PLE.firstrow))),0,
           IF(OFFSET(PLE!$G$15,$M199-$A$15,CU$13)="",10^12,OFFSET(PLE!$G$15,$M199-$A$15,CU$13)))</f>
        <v>0</v>
      </c>
      <c r="CV199" s="354" t="n">
        <f aca="true">IF(OR($D199&lt;&gt;"Serviço",AND(AUTOEVENTO="Manual",$M199=$A$15),$M199&gt;(ROW(PLE.lastrow)-ROW(PLE.firstrow))),0,
           IF(OFFSET(PLE!$G$15,$M199-$A$15,CV$13)="",10^12,OFFSET(PLE!$G$15,$M199-$A$15,CV$13)))</f>
        <v>0</v>
      </c>
      <c r="CW199" s="354" t="n">
        <f aca="true">IF(OR($D199&lt;&gt;"Serviço",AND(AUTOEVENTO="Manual",$M199=$A$15),$M199&gt;(ROW(PLE.lastrow)-ROW(PLE.firstrow))),0,
           IF(OFFSET(PLE!$G$15,$M199-$A$15,CW$13)="",10^12,OFFSET(PLE!$G$15,$M199-$A$15,CW$13)))</f>
        <v>0</v>
      </c>
      <c r="CX199" s="354" t="n">
        <f aca="true">IF(OR($D199&lt;&gt;"Serviço",AND(AUTOEVENTO="Manual",$M199=$A$15),$M199&gt;(ROW(PLE.lastrow)-ROW(PLE.firstrow))),0,
           IF(OFFSET(PLE!$G$15,$M199-$A$15,CX$13)="",10^12,OFFSET(PLE!$G$15,$M199-$A$15,CX$13)))</f>
        <v>0</v>
      </c>
      <c r="CY199" s="354" t="n">
        <f aca="true">IF(OR($D199&lt;&gt;"Serviço",AND(AUTOEVENTO="Manual",$M199=$A$15),$M199&gt;(ROW(PLE.lastrow)-ROW(PLE.firstrow))),0,
           IF(OFFSET(PLE!$G$15,$M199-$A$15,CY$13)="",10^12,OFFSET(PLE!$G$15,$M199-$A$15,CY$13)))</f>
        <v>0</v>
      </c>
      <c r="CZ199" s="354" t="n">
        <f aca="true">IF(OR($D199&lt;&gt;"Serviço",AND(AUTOEVENTO="Manual",$M199=$A$15),$M199&gt;(ROW(PLE.lastrow)-ROW(PLE.firstrow))),0,
           IF(OFFSET(PLE!$G$15,$M199-$A$15,CZ$13)="",10^12,OFFSET(PLE!$G$15,$M199-$A$15,CZ$13)))</f>
        <v>0</v>
      </c>
      <c r="DA199" s="354" t="n">
        <f aca="true">IF(OR($D199&lt;&gt;"Serviço",AND(AUTOEVENTO="Manual",$M199=$A$15),$M199&gt;(ROW(PLE.lastrow)-ROW(PLE.firstrow))),0,
           IF(OFFSET(PLE!$G$15,$M199-$A$15,DA$13)="",10^12,OFFSET(PLE!$G$15,$M199-$A$15,DA$13)))</f>
        <v>0</v>
      </c>
      <c r="DB199" s="354" t="n">
        <f aca="true">IF(OR($D199&lt;&gt;"Serviço",AND(AUTOEVENTO="Manual",$M199=$A$15),$M199&gt;(ROW(PLE.lastrow)-ROW(PLE.firstrow))),0,
           IF(OFFSET(PLE!$G$15,$M199-$A$15,DB$13)="",10^12,OFFSET(PLE!$G$15,$M199-$A$15,DB$13)))</f>
        <v>0</v>
      </c>
      <c r="DC199" s="354" t="n">
        <f aca="true">IF(OR($D199&lt;&gt;"Serviço",AND(AUTOEVENTO="Manual",$M199=$A$15),$M199&gt;(ROW(PLE.lastrow)-ROW(PLE.firstrow))),0,
           IF(OFFSET(PLE!$G$15,$M199-$A$15,DC$13)="",10^12,OFFSET(PLE!$G$15,$M199-$A$15,DC$13)))</f>
        <v>0</v>
      </c>
      <c r="DD199" s="354" t="n">
        <f aca="true">IF(OR($D199&lt;&gt;"Serviço",AND(AUTOEVENTO="Manual",$M199=$A$15),$M199&gt;(ROW(PLE.lastrow)-ROW(PLE.firstrow))),0,
           IF(OFFSET(PLE!$G$15,$M199-$A$15,DD$13)="",10^12,OFFSET(PLE!$G$15,$M199-$A$15,DD$13)))</f>
        <v>0</v>
      </c>
      <c r="DE199" s="354" t="n">
        <f aca="true">IF(OR($D199&lt;&gt;"Serviço",AND(AUTOEVENTO="Manual",$M199=$A$15),$M199&gt;(ROW(PLE.lastrow)-ROW(PLE.firstrow))),0,
           IF(OFFSET(PLE!$G$15,$M199-$A$15,DE$13)="",10^12,OFFSET(PLE!$G$15,$M199-$A$15,DE$13)))</f>
        <v>0</v>
      </c>
      <c r="DF199" s="354" t="n">
        <f aca="true">IF(OR($D199&lt;&gt;"Serviço",AND(AUTOEVENTO="Manual",$M199=$A$15),$M199&gt;(ROW(PLE.lastrow)-ROW(PLE.firstrow))),0,
           IF(OFFSET(PLE!$G$15,$M199-$A$15,DF$13)="",10^12,OFFSET(PLE!$G$15,$M199-$A$15,DF$13)))</f>
        <v>0</v>
      </c>
      <c r="DG199" s="354" t="n">
        <f aca="true">IF(OR($D199&lt;&gt;"Serviço",AND(AUTOEVENTO="Manual",$M199=$A$15),$M199&gt;(ROW(PLE.lastrow)-ROW(PLE.firstrow))),0,
           IF(OFFSET(PLE!$G$15,$M199-$A$15,DG$13)="",10^12,OFFSET(PLE!$G$15,$M199-$A$15,DG$13)))</f>
        <v>0</v>
      </c>
      <c r="DH199" s="354" t="n">
        <f aca="true">IF(OR($D199&lt;&gt;"Serviço",AND(AUTOEVENTO="Manual",$M199=$A$15),$M199&gt;(ROW(PLE.lastrow)-ROW(PLE.firstrow))),0,
           IF(OFFSET(PLE!$G$15,$M199-$A$15,DH$13)="",10^12,OFFSET(PLE!$G$15,$M199-$A$15,DH$13)))</f>
        <v>0</v>
      </c>
      <c r="DI199" s="354" t="n">
        <f aca="true">IF(OR($D199&lt;&gt;"Serviço",AND(AUTOEVENTO="Manual",$M199=$A$15),$M199&gt;(ROW(PLE.lastrow)-ROW(PLE.firstrow))),0,
           IF(OFFSET(PLE!$G$15,$M199-$A$15,DI$13)="",10^12,OFFSET(PLE!$G$15,$M199-$A$15,DI$13)))</f>
        <v>0</v>
      </c>
      <c r="DJ199" s="354" t="n">
        <f aca="true">IF(OR($D199&lt;&gt;"Serviço",AND(AUTOEVENTO="Manual",$M199=$A$15),$M199&gt;(ROW(PLE.lastrow)-ROW(PLE.firstrow))),0,
           IF(OFFSET(PLE!$G$15,$M199-$A$15,DJ$13)="",10^12,OFFSET(PLE!$G$15,$M199-$A$15,DJ$13)))</f>
        <v>0</v>
      </c>
      <c r="DK199" s="354" t="n">
        <f aca="true">IF(OR($D199&lt;&gt;"Serviço",AND(AUTOEVENTO="Manual",$M199=$A$15),$M199&gt;(ROW(PLE.lastrow)-ROW(PLE.firstrow))),0,
           IF(OFFSET(PLE!$G$15,$M199-$A$15,DK$13)="",10^12,OFFSET(PLE!$G$15,$M199-$A$15,DK$13)))</f>
        <v>0</v>
      </c>
      <c r="DL199" s="354" t="n">
        <f aca="true">IF(OR($D199&lt;&gt;"Serviço",AND(AUTOEVENTO="Manual",$M199=$A$15),$M199&gt;(ROW(PLE.lastrow)-ROW(PLE.firstrow))),0,
           IF(OFFSET(PLE!$G$15,$M199-$A$15,DL$13)="",10^12,OFFSET(PLE!$G$15,$M199-$A$15,DL$13)))</f>
        <v>0</v>
      </c>
      <c r="DM199" s="354" t="n">
        <f aca="true">IF(OR($D199&lt;&gt;"Serviço",AND(AUTOEVENTO="Manual",$M199=$A$15),$M199&gt;(ROW(PLE.lastrow)-ROW(PLE.firstrow))),0,
           IF(OFFSET(PLE!$G$15,$M199-$A$15,DM$13)="",10^12,OFFSET(PLE!$G$15,$M199-$A$15,DM$13)))</f>
        <v>0</v>
      </c>
      <c r="DN199" s="354" t="n">
        <f aca="true">IF(OR($D199&lt;&gt;"Serviço",AND(AUTOEVENTO="Manual",$M199=$A$15),$M199&gt;(ROW(PLE.lastrow)-ROW(PLE.firstrow))),0,
           IF(OFFSET(PLE!$G$15,$M199-$A$15,DN$13)="",10^12,OFFSET(PLE!$G$15,$M199-$A$15,DN$13)))</f>
        <v>0</v>
      </c>
      <c r="DO199" s="354" t="n">
        <f aca="true">IF(OR($D199&lt;&gt;"Serviço",AND(AUTOEVENTO="Manual",$M199=$A$15),$M199&gt;(ROW(PLE.lastrow)-ROW(PLE.firstrow))),0,
           IF(OFFSET(PLE!$G$15,$M199-$A$15,DO$13)="",10^12,OFFSET(PLE!$G$15,$M199-$A$15,DO$13)))</f>
        <v>0</v>
      </c>
      <c r="DP199" s="354" t="n">
        <f aca="true">IF(OR($D199&lt;&gt;"Serviço",AND(AUTOEVENTO="Manual",$M199=$A$15),$M199&gt;(ROW(PLE.lastrow)-ROW(PLE.firstrow))),0,
           IF(OFFSET(PLE!$G$15,$M199-$A$15,DP$13)="",10^12,OFFSET(PLE!$G$15,$M199-$A$15,DP$13)))</f>
        <v>0</v>
      </c>
      <c r="DQ199" s="354" t="n">
        <f aca="true">IF(OR($D199&lt;&gt;"Serviço",AND(AUTOEVENTO="Manual",$M199=$A$15),$M199&gt;(ROW(PLE.lastrow)-ROW(PLE.firstrow))),0,
           IF(OFFSET(PLE!$G$15,$M199-$A$15,DQ$13)="",10^12,OFFSET(PLE!$G$15,$M199-$A$15,DQ$13)))</f>
        <v>0</v>
      </c>
      <c r="DR199" s="354" t="n">
        <f aca="true">IF(OR($D199&lt;&gt;"Serviço",AND(AUTOEVENTO="Manual",$M199=$A$15),$M199&gt;(ROW(PLE.lastrow)-ROW(PLE.firstrow))),0,
           IF(OFFSET(PLE!$G$15,$M199-$A$15,DR$13)="",10^12,OFFSET(PLE!$G$15,$M199-$A$15,DR$13)))</f>
        <v>0</v>
      </c>
      <c r="DS199" s="354" t="n">
        <f aca="true">IF(OR($D199&lt;&gt;"Serviço",AND(AUTOEVENTO="Manual",$M199=$A$15),$M199&gt;(ROW(PLE.lastrow)-ROW(PLE.firstrow))),0,
           IF(OFFSET(PLE!$G$15,$M199-$A$15,DS$13)="",10^12,OFFSET(PLE!$G$15,$M199-$A$15,DS$13)))</f>
        <v>0</v>
      </c>
    </row>
    <row r="200" customFormat="false" ht="12.75" hidden="false" customHeight="false" outlineLevel="0" collapsed="false">
      <c r="A200" s="50" t="str">
        <f aca="true">IFERROR(IF(AUTOEVENTO="Manual",IF(K200&lt;&gt;"",MIN(VALUE(LEFT(K200,FIND(".",K200)-1)),COUNTA(EVENTOS.Lista)),0),IF(OR($B200&gt;AUTOEVENTO,$B200="S",$B200=0),SUBSTITUTE(OFFSET($A200,-1,0),IF($D200="Serviço",".",""),""),ROW(A200)-ROW($A$15)&amp;".")),0)</f>
        <v>185.</v>
      </c>
      <c r="B200" s="50" t="n">
        <f aca="true">OFFSET(ORÇAMENTO!C$15,ROW(B200)-ROW(B$15),0)</f>
        <v>2</v>
      </c>
      <c r="C200" s="50" t="str">
        <f aca="true">OFFSET(ORÇAMENTO!L$15,ROW(C200)-ROW(C$15),0)</f>
        <v>F</v>
      </c>
      <c r="D200" s="201" t="str">
        <f aca="true">OFFSET(ORÇAMENTO!N$15,ROW(D200)-ROW(D$15),0)</f>
        <v>Nível 2</v>
      </c>
      <c r="E200" s="202" t="str">
        <f aca="true">OFFSET(ORÇAMENTO!O$15,ROW(E200)-ROW(E$15),0)</f>
        <v>1.52.</v>
      </c>
      <c r="F200" s="341" t="str">
        <f aca="true">OFFSET(ORÇAMENTO!R$15,ROW(F200)-ROW(F$15),0)</f>
        <v>COMPLEMENTAÇÕES</v>
      </c>
      <c r="G200" s="342" t="str">
        <f aca="true">IF($D200&lt;&gt;"Serviço","",OFFSET(ORÇAMENTO!S$15,ROW(G200)-ROW(G$15),0))</f>
        <v/>
      </c>
      <c r="H200" s="207" t="n">
        <f aca="true">IF($D200&lt;&gt;"Serviço",0,IF(ACOMPANHAMENTO="BM",ROUND(OFFSET(ORÇAMENTO!AJ$15,ROW(H200)-ROW(H$15),0),15-13*ORÇAMENTO!$AF$7),SUMPRODUCT(($Q$1:$AQ$1=1)*ROUND($Q200:$AQ200,15-13*ORÇAMENTO!$AF$7))))</f>
        <v>0</v>
      </c>
      <c r="I200" s="343"/>
      <c r="J200" s="344" t="str">
        <f aca="false">IF(OR(B200&lt;&gt;"S",CÁLCULO.FrentesPreenchidas=0),"",IF(AND(ACOMPANHAMENTO="PLE",AUTOEVENTO="Manual",OR(H200&gt;0,ORÇAMENTO!AC200="QUANT."),OR(K200="",M200=0,N200="")),"►",IF(AND(ACOMPANHAMENTO="PLE",ORÇAMENTO!AC200="QUANT."),"►►",IF(AND(COUNTIF($P$11:$AQ$11,"▼")=0,H200&gt;0,I200=""),"◄",""))))</f>
        <v/>
      </c>
      <c r="K200" s="345"/>
      <c r="L200" s="346" t="s">
        <v>876</v>
      </c>
      <c r="M200" s="347" t="str">
        <f aca="true">IF($D200&lt;&gt;"Serviço","",
          IF(AUTOEVENTO="manual",$A200,
                IF(ISERROR(MATCH($A200,$A$15:OFFSET($A200,-1,0),0)),MAX($M$15:OFFSET(M200,-1,0))+1,
                      INDEX($M$15:OFFSET(M200,-1,0),MATCH($A200,$A$15:OFFSET($A200,-1,0),0)))))</f>
        <v/>
      </c>
      <c r="N200" s="348" t="str">
        <f aca="true">IF($D200&lt;&gt;"Serviço","",
         IF(AUTOEVENTO="Manual",
                IF($A200=0,"&lt;-- defina o número do agrupador",
                       OFFSET(EVENTOS!$D$15,$A200-$A$15,0)),
                OFFSET($F$15,$A200,0)))</f>
        <v/>
      </c>
      <c r="O200" s="349"/>
      <c r="Q200" s="349"/>
      <c r="R200" s="350"/>
      <c r="S200" s="350"/>
      <c r="T200" s="350"/>
      <c r="U200" s="350"/>
      <c r="V200" s="350"/>
      <c r="W200" s="350"/>
      <c r="X200" s="350"/>
      <c r="Y200" s="350"/>
      <c r="Z200" s="351"/>
      <c r="AA200" s="350"/>
      <c r="AB200" s="350"/>
      <c r="AC200" s="350"/>
      <c r="AD200" s="350"/>
      <c r="AE200" s="350"/>
      <c r="AF200" s="350"/>
      <c r="AG200" s="350"/>
      <c r="AH200" s="351"/>
      <c r="AI200" s="350"/>
      <c r="AJ200" s="350"/>
      <c r="AK200" s="350"/>
      <c r="AL200" s="350"/>
      <c r="AM200" s="350"/>
      <c r="AN200" s="350"/>
      <c r="AO200" s="350"/>
      <c r="AP200" s="351"/>
      <c r="AR200" s="352" t="n">
        <f aca="true">IF(AND($D200="Serviço",AR$12&lt;&gt;0,$H200&gt;0,OR(AUTOEVENTO&lt;&gt;"manual",$M200&lt;&gt;$A$15)),
        IF(Import.TipoArredondamento&lt;&gt;"TransfereGOV",
              ROUND(OFFSET($P200,0,AR$13),15-13*ORÇAMENTO!$AF$7)/$H200*OFFSET(ORÇAMENTO!$X$15,ROW(AR200)-ROW(AR$15),0),
              ROUND(ROUND(OFFSET($P200,0,AR$13),15-13*ORÇAMENTO!$AF$7)*OFFSET(ORÇAMENTO!$W$15,ROW(AR200)-ROW(AR$15),0),15-13*ORÇAMENTO!$AF$11)),
         0)</f>
        <v>0</v>
      </c>
      <c r="AS200" s="352" t="n">
        <f aca="true">IF(AND($D200="Serviço",AS$12&lt;&gt;0,$H200&gt;0,OR(AUTOEVENTO&lt;&gt;"manual",$M200&lt;&gt;$A$15)),
        IF(Import.TipoArredondamento&lt;&gt;"TransfereGOV",
              ROUND(OFFSET($P200,0,AS$13),15-13*ORÇAMENTO!$AF$7)/$H200*OFFSET(ORÇAMENTO!$X$15,ROW(AS200)-ROW(AS$15),0),
              ROUND(ROUND(OFFSET($P200,0,AS$13),15-13*ORÇAMENTO!$AF$7)*OFFSET(ORÇAMENTO!$W$15,ROW(AS200)-ROW(AS$15),0),15-13*ORÇAMENTO!$AF$11)),
         0)</f>
        <v>0</v>
      </c>
      <c r="AT200" s="352" t="n">
        <f aca="true">IF(AND($D200="Serviço",AT$12&lt;&gt;0,$H200&gt;0,OR(AUTOEVENTO&lt;&gt;"manual",$M200&lt;&gt;$A$15)),
        IF(Import.TipoArredondamento&lt;&gt;"TransfereGOV",
              ROUND(OFFSET($P200,0,AT$13),15-13*ORÇAMENTO!$AF$7)/$H200*OFFSET(ORÇAMENTO!$X$15,ROW(AT200)-ROW(AT$15),0),
              ROUND(ROUND(OFFSET($P200,0,AT$13),15-13*ORÇAMENTO!$AF$7)*OFFSET(ORÇAMENTO!$W$15,ROW(AT200)-ROW(AT$15),0),15-13*ORÇAMENTO!$AF$11)),
         0)</f>
        <v>0</v>
      </c>
      <c r="AU200" s="352" t="n">
        <f aca="true">IF(AND($D200="Serviço",AU$12&lt;&gt;0,$H200&gt;0,OR(AUTOEVENTO&lt;&gt;"manual",$M200&lt;&gt;$A$15)),
        IF(Import.TipoArredondamento&lt;&gt;"TransfereGOV",
              ROUND(OFFSET($P200,0,AU$13),15-13*ORÇAMENTO!$AF$7)/$H200*OFFSET(ORÇAMENTO!$X$15,ROW(AU200)-ROW(AU$15),0),
              ROUND(ROUND(OFFSET($P200,0,AU$13),15-13*ORÇAMENTO!$AF$7)*OFFSET(ORÇAMENTO!$W$15,ROW(AU200)-ROW(AU$15),0),15-13*ORÇAMENTO!$AF$11)),
         0)</f>
        <v>0</v>
      </c>
      <c r="AV200" s="352" t="n">
        <f aca="true">IF(AND($D200="Serviço",AV$12&lt;&gt;0,$H200&gt;0,OR(AUTOEVENTO&lt;&gt;"manual",$M200&lt;&gt;$A$15)),
        IF(Import.TipoArredondamento&lt;&gt;"TransfereGOV",
              ROUND(OFFSET($P200,0,AV$13),15-13*ORÇAMENTO!$AF$7)/$H200*OFFSET(ORÇAMENTO!$X$15,ROW(AV200)-ROW(AV$15),0),
              ROUND(ROUND(OFFSET($P200,0,AV$13),15-13*ORÇAMENTO!$AF$7)*OFFSET(ORÇAMENTO!$W$15,ROW(AV200)-ROW(AV$15),0),15-13*ORÇAMENTO!$AF$11)),
         0)</f>
        <v>0</v>
      </c>
      <c r="AW200" s="352" t="n">
        <f aca="true">IF(AND($D200="Serviço",AW$12&lt;&gt;0,$H200&gt;0,OR(AUTOEVENTO&lt;&gt;"manual",$M200&lt;&gt;$A$15)),
        IF(Import.TipoArredondamento&lt;&gt;"TransfereGOV",
              ROUND(OFFSET($P200,0,AW$13),15-13*ORÇAMENTO!$AF$7)/$H200*OFFSET(ORÇAMENTO!$X$15,ROW(AW200)-ROW(AW$15),0),
              ROUND(ROUND(OFFSET($P200,0,AW$13),15-13*ORÇAMENTO!$AF$7)*OFFSET(ORÇAMENTO!$W$15,ROW(AW200)-ROW(AW$15),0),15-13*ORÇAMENTO!$AF$11)),
         0)</f>
        <v>0</v>
      </c>
      <c r="AX200" s="352" t="n">
        <f aca="true">IF(AND($D200="Serviço",AX$12&lt;&gt;0,$H200&gt;0,OR(AUTOEVENTO&lt;&gt;"manual",$M200&lt;&gt;$A$15)),
        IF(Import.TipoArredondamento&lt;&gt;"TransfereGOV",
              ROUND(OFFSET($P200,0,AX$13),15-13*ORÇAMENTO!$AF$7)/$H200*OFFSET(ORÇAMENTO!$X$15,ROW(AX200)-ROW(AX$15),0),
              ROUND(ROUND(OFFSET($P200,0,AX$13),15-13*ORÇAMENTO!$AF$7)*OFFSET(ORÇAMENTO!$W$15,ROW(AX200)-ROW(AX$15),0),15-13*ORÇAMENTO!$AF$11)),
         0)</f>
        <v>0</v>
      </c>
      <c r="AY200" s="352" t="n">
        <f aca="true">IF(AND($D200="Serviço",AY$12&lt;&gt;0,$H200&gt;0,OR(AUTOEVENTO&lt;&gt;"manual",$M200&lt;&gt;$A$15)),
        IF(Import.TipoArredondamento&lt;&gt;"TransfereGOV",
              ROUND(OFFSET($P200,0,AY$13),15-13*ORÇAMENTO!$AF$7)/$H200*OFFSET(ORÇAMENTO!$X$15,ROW(AY200)-ROW(AY$15),0),
              ROUND(ROUND(OFFSET($P200,0,AY$13),15-13*ORÇAMENTO!$AF$7)*OFFSET(ORÇAMENTO!$W$15,ROW(AY200)-ROW(AY$15),0),15-13*ORÇAMENTO!$AF$11)),
         0)</f>
        <v>0</v>
      </c>
      <c r="AZ200" s="352" t="n">
        <f aca="true">IF(AND($D200="Serviço",AZ$12&lt;&gt;0,$H200&gt;0,OR(AUTOEVENTO&lt;&gt;"manual",$M200&lt;&gt;$A$15)),
        IF(Import.TipoArredondamento&lt;&gt;"TransfereGOV",
              ROUND(OFFSET($P200,0,AZ$13),15-13*ORÇAMENTO!$AF$7)/$H200*OFFSET(ORÇAMENTO!$X$15,ROW(AZ200)-ROW(AZ$15),0),
              ROUND(ROUND(OFFSET($P200,0,AZ$13),15-13*ORÇAMENTO!$AF$7)*OFFSET(ORÇAMENTO!$W$15,ROW(AZ200)-ROW(AZ$15),0),15-13*ORÇAMENTO!$AF$11)),
         0)</f>
        <v>0</v>
      </c>
      <c r="BA200" s="352" t="n">
        <f aca="true">IF(AND($D200="Serviço",BA$12&lt;&gt;0,$H200&gt;0,OR(AUTOEVENTO&lt;&gt;"manual",$M200&lt;&gt;$A$15)),
        IF(Import.TipoArredondamento&lt;&gt;"TransfereGOV",
              ROUND(OFFSET($P200,0,BA$13),15-13*ORÇAMENTO!$AF$7)/$H200*OFFSET(ORÇAMENTO!$X$15,ROW(BA200)-ROW(BA$15),0),
              ROUND(ROUND(OFFSET($P200,0,BA$13),15-13*ORÇAMENTO!$AF$7)*OFFSET(ORÇAMENTO!$W$15,ROW(BA200)-ROW(BA$15),0),15-13*ORÇAMENTO!$AF$11)),
         0)</f>
        <v>0</v>
      </c>
      <c r="BB200" s="352" t="n">
        <f aca="true">IF(AND($D200="Serviço",BB$12&lt;&gt;0,$H200&gt;0,OR(AUTOEVENTO&lt;&gt;"manual",$M200&lt;&gt;$A$15)),
        IF(Import.TipoArredondamento&lt;&gt;"TransfereGOV",
              ROUND(OFFSET($P200,0,BB$13),15-13*ORÇAMENTO!$AF$7)/$H200*OFFSET(ORÇAMENTO!$X$15,ROW(BB200)-ROW(BB$15),0),
              ROUND(ROUND(OFFSET($P200,0,BB$13),15-13*ORÇAMENTO!$AF$7)*OFFSET(ORÇAMENTO!$W$15,ROW(BB200)-ROW(BB$15),0),15-13*ORÇAMENTO!$AF$11)),
         0)</f>
        <v>0</v>
      </c>
      <c r="BC200" s="352" t="n">
        <f aca="true">IF(AND($D200="Serviço",BC$12&lt;&gt;0,$H200&gt;0,OR(AUTOEVENTO&lt;&gt;"manual",$M200&lt;&gt;$A$15)),
        IF(Import.TipoArredondamento&lt;&gt;"TransfereGOV",
              ROUND(OFFSET($P200,0,BC$13),15-13*ORÇAMENTO!$AF$7)/$H200*OFFSET(ORÇAMENTO!$X$15,ROW(BC200)-ROW(BC$15),0),
              ROUND(ROUND(OFFSET($P200,0,BC$13),15-13*ORÇAMENTO!$AF$7)*OFFSET(ORÇAMENTO!$W$15,ROW(BC200)-ROW(BC$15),0),15-13*ORÇAMENTO!$AF$11)),
         0)</f>
        <v>0</v>
      </c>
      <c r="BD200" s="352" t="n">
        <f aca="true">IF(AND($D200="Serviço",BD$12&lt;&gt;0,$H200&gt;0,OR(AUTOEVENTO&lt;&gt;"manual",$M200&lt;&gt;$A$15)),
        IF(Import.TipoArredondamento&lt;&gt;"TransfereGOV",
              ROUND(OFFSET($P200,0,BD$13),15-13*ORÇAMENTO!$AF$7)/$H200*OFFSET(ORÇAMENTO!$X$15,ROW(BD200)-ROW(BD$15),0),
              ROUND(ROUND(OFFSET($P200,0,BD$13),15-13*ORÇAMENTO!$AF$7)*OFFSET(ORÇAMENTO!$W$15,ROW(BD200)-ROW(BD$15),0),15-13*ORÇAMENTO!$AF$11)),
         0)</f>
        <v>0</v>
      </c>
      <c r="BE200" s="352" t="n">
        <f aca="true">IF(AND($D200="Serviço",BE$12&lt;&gt;0,$H200&gt;0,OR(AUTOEVENTO&lt;&gt;"manual",$M200&lt;&gt;$A$15)),
        IF(Import.TipoArredondamento&lt;&gt;"TransfereGOV",
              ROUND(OFFSET($P200,0,BE$13),15-13*ORÇAMENTO!$AF$7)/$H200*OFFSET(ORÇAMENTO!$X$15,ROW(BE200)-ROW(BE$15),0),
              ROUND(ROUND(OFFSET($P200,0,BE$13),15-13*ORÇAMENTO!$AF$7)*OFFSET(ORÇAMENTO!$W$15,ROW(BE200)-ROW(BE$15),0),15-13*ORÇAMENTO!$AF$11)),
         0)</f>
        <v>0</v>
      </c>
      <c r="BF200" s="352" t="n">
        <f aca="true">IF(AND($D200="Serviço",BF$12&lt;&gt;0,$H200&gt;0,OR(AUTOEVENTO&lt;&gt;"manual",$M200&lt;&gt;$A$15)),
        IF(Import.TipoArredondamento&lt;&gt;"TransfereGOV",
              ROUND(OFFSET($P200,0,BF$13),15-13*ORÇAMENTO!$AF$7)/$H200*OFFSET(ORÇAMENTO!$X$15,ROW(BF200)-ROW(BF$15),0),
              ROUND(ROUND(OFFSET($P200,0,BF$13),15-13*ORÇAMENTO!$AF$7)*OFFSET(ORÇAMENTO!$W$15,ROW(BF200)-ROW(BF$15),0),15-13*ORÇAMENTO!$AF$11)),
         0)</f>
        <v>0</v>
      </c>
      <c r="BG200" s="352" t="n">
        <f aca="true">IF(AND($D200="Serviço",BG$12&lt;&gt;0,$H200&gt;0,OR(AUTOEVENTO&lt;&gt;"manual",$M200&lt;&gt;$A$15)),
        IF(Import.TipoArredondamento&lt;&gt;"TransfereGOV",
              ROUND(OFFSET($P200,0,BG$13),15-13*ORÇAMENTO!$AF$7)/$H200*OFFSET(ORÇAMENTO!$X$15,ROW(BG200)-ROW(BG$15),0),
              ROUND(ROUND(OFFSET($P200,0,BG$13),15-13*ORÇAMENTO!$AF$7)*OFFSET(ORÇAMENTO!$W$15,ROW(BG200)-ROW(BG$15),0),15-13*ORÇAMENTO!$AF$11)),
         0)</f>
        <v>0</v>
      </c>
      <c r="BH200" s="352" t="n">
        <f aca="true">IF(AND($D200="Serviço",BH$12&lt;&gt;0,$H200&gt;0,OR(AUTOEVENTO&lt;&gt;"manual",$M200&lt;&gt;$A$15)),
        IF(Import.TipoArredondamento&lt;&gt;"TransfereGOV",
              ROUND(OFFSET($P200,0,BH$13),15-13*ORÇAMENTO!$AF$7)/$H200*OFFSET(ORÇAMENTO!$X$15,ROW(BH200)-ROW(BH$15),0),
              ROUND(ROUND(OFFSET($P200,0,BH$13),15-13*ORÇAMENTO!$AF$7)*OFFSET(ORÇAMENTO!$W$15,ROW(BH200)-ROW(BH$15),0),15-13*ORÇAMENTO!$AF$11)),
         0)</f>
        <v>0</v>
      </c>
      <c r="BI200" s="352" t="n">
        <f aca="true">IF(AND($D200="Serviço",BI$12&lt;&gt;0,$H200&gt;0,OR(AUTOEVENTO&lt;&gt;"manual",$M200&lt;&gt;$A$15)),
        IF(Import.TipoArredondamento&lt;&gt;"TransfereGOV",
              ROUND(OFFSET($P200,0,BI$13),15-13*ORÇAMENTO!$AF$7)/$H200*OFFSET(ORÇAMENTO!$X$15,ROW(BI200)-ROW(BI$15),0),
              ROUND(ROUND(OFFSET($P200,0,BI$13),15-13*ORÇAMENTO!$AF$7)*OFFSET(ORÇAMENTO!$W$15,ROW(BI200)-ROW(BI$15),0),15-13*ORÇAMENTO!$AF$11)),
         0)</f>
        <v>0</v>
      </c>
      <c r="BJ200" s="352" t="n">
        <f aca="true">IF(AND($D200="Serviço",BJ$12&lt;&gt;0,$H200&gt;0,OR(AUTOEVENTO&lt;&gt;"manual",$M200&lt;&gt;$A$15)),
        IF(Import.TipoArredondamento&lt;&gt;"TransfereGOV",
              ROUND(OFFSET($P200,0,BJ$13),15-13*ORÇAMENTO!$AF$7)/$H200*OFFSET(ORÇAMENTO!$X$15,ROW(BJ200)-ROW(BJ$15),0),
              ROUND(ROUND(OFFSET($P200,0,BJ$13),15-13*ORÇAMENTO!$AF$7)*OFFSET(ORÇAMENTO!$W$15,ROW(BJ200)-ROW(BJ$15),0),15-13*ORÇAMENTO!$AF$11)),
         0)</f>
        <v>0</v>
      </c>
      <c r="BK200" s="352" t="n">
        <f aca="true">IF(AND($D200="Serviço",BK$12&lt;&gt;0,$H200&gt;0,OR(AUTOEVENTO&lt;&gt;"manual",$M200&lt;&gt;$A$15)),
        IF(Import.TipoArredondamento&lt;&gt;"TransfereGOV",
              ROUND(OFFSET($P200,0,BK$13),15-13*ORÇAMENTO!$AF$7)/$H200*OFFSET(ORÇAMENTO!$X$15,ROW(BK200)-ROW(BK$15),0),
              ROUND(ROUND(OFFSET($P200,0,BK$13),15-13*ORÇAMENTO!$AF$7)*OFFSET(ORÇAMENTO!$W$15,ROW(BK200)-ROW(BK$15),0),15-13*ORÇAMENTO!$AF$11)),
         0)</f>
        <v>0</v>
      </c>
      <c r="BL200" s="352" t="n">
        <f aca="true">IF(AND($D200="Serviço",BL$12&lt;&gt;0,$H200&gt;0,OR(AUTOEVENTO&lt;&gt;"manual",$M200&lt;&gt;$A$15)),
        IF(Import.TipoArredondamento&lt;&gt;"TransfereGOV",
              ROUND(OFFSET($P200,0,BL$13),15-13*ORÇAMENTO!$AF$7)/$H200*OFFSET(ORÇAMENTO!$X$15,ROW(BL200)-ROW(BL$15),0),
              ROUND(ROUND(OFFSET($P200,0,BL$13),15-13*ORÇAMENTO!$AF$7)*OFFSET(ORÇAMENTO!$W$15,ROW(BL200)-ROW(BL$15),0),15-13*ORÇAMENTO!$AF$11)),
         0)</f>
        <v>0</v>
      </c>
      <c r="BM200" s="352" t="n">
        <f aca="true">IF(AND($D200="Serviço",BM$12&lt;&gt;0,$H200&gt;0,OR(AUTOEVENTO&lt;&gt;"manual",$M200&lt;&gt;$A$15)),
        IF(Import.TipoArredondamento&lt;&gt;"TransfereGOV",
              ROUND(OFFSET($P200,0,BM$13),15-13*ORÇAMENTO!$AF$7)/$H200*OFFSET(ORÇAMENTO!$X$15,ROW(BM200)-ROW(BM$15),0),
              ROUND(ROUND(OFFSET($P200,0,BM$13),15-13*ORÇAMENTO!$AF$7)*OFFSET(ORÇAMENTO!$W$15,ROW(BM200)-ROW(BM$15),0),15-13*ORÇAMENTO!$AF$11)),
         0)</f>
        <v>0</v>
      </c>
      <c r="BN200" s="352" t="n">
        <f aca="true">IF(AND($D200="Serviço",BN$12&lt;&gt;0,$H200&gt;0,OR(AUTOEVENTO&lt;&gt;"manual",$M200&lt;&gt;$A$15)),
        IF(Import.TipoArredondamento&lt;&gt;"TransfereGOV",
              ROUND(OFFSET($P200,0,BN$13),15-13*ORÇAMENTO!$AF$7)/$H200*OFFSET(ORÇAMENTO!$X$15,ROW(BN200)-ROW(BN$15),0),
              ROUND(ROUND(OFFSET($P200,0,BN$13),15-13*ORÇAMENTO!$AF$7)*OFFSET(ORÇAMENTO!$W$15,ROW(BN200)-ROW(BN$15),0),15-13*ORÇAMENTO!$AF$11)),
         0)</f>
        <v>0</v>
      </c>
      <c r="BO200" s="352" t="n">
        <f aca="true">IF(AND($D200="Serviço",BO$12&lt;&gt;0,$H200&gt;0,OR(AUTOEVENTO&lt;&gt;"manual",$M200&lt;&gt;$A$15)),
        IF(Import.TipoArredondamento&lt;&gt;"TransfereGOV",
              ROUND(OFFSET($P200,0,BO$13),15-13*ORÇAMENTO!$AF$7)/$H200*OFFSET(ORÇAMENTO!$X$15,ROW(BO200)-ROW(BO$15),0),
              ROUND(ROUND(OFFSET($P200,0,BO$13),15-13*ORÇAMENTO!$AF$7)*OFFSET(ORÇAMENTO!$W$15,ROW(BO200)-ROW(BO$15),0),15-13*ORÇAMENTO!$AF$11)),
         0)</f>
        <v>0</v>
      </c>
      <c r="BP200" s="352" t="n">
        <f aca="true">IF(AND($D200="Serviço",BP$12&lt;&gt;0,$H200&gt;0,OR(AUTOEVENTO&lt;&gt;"manual",$M200&lt;&gt;$A$15)),
        IF(Import.TipoArredondamento&lt;&gt;"TransfereGOV",
              ROUND(OFFSET($P200,0,BP$13),15-13*ORÇAMENTO!$AF$7)/$H200*OFFSET(ORÇAMENTO!$X$15,ROW(BP200)-ROW(BP$15),0),
              ROUND(ROUND(OFFSET($P200,0,BP$13),15-13*ORÇAMENTO!$AF$7)*OFFSET(ORÇAMENTO!$W$15,ROW(BP200)-ROW(BP$15),0),15-13*ORÇAMENTO!$AF$11)),
         0)</f>
        <v>0</v>
      </c>
      <c r="BQ200" s="352" t="n">
        <f aca="true">IF(AND($D200="Serviço",BQ$12&lt;&gt;0,$H200&gt;0,OR(AUTOEVENTO&lt;&gt;"manual",$M200&lt;&gt;$A$15)),
        IF(Import.TipoArredondamento&lt;&gt;"TransfereGOV",
              ROUND(OFFSET($P200,0,BQ$13),15-13*ORÇAMENTO!$AF$7)/$H200*OFFSET(ORÇAMENTO!$X$15,ROW(BQ200)-ROW(BQ$15),0),
              ROUND(ROUND(OFFSET($P200,0,BQ$13),15-13*ORÇAMENTO!$AF$7)*OFFSET(ORÇAMENTO!$W$15,ROW(BQ200)-ROW(BQ$15),0),15-13*ORÇAMENTO!$AF$11)),
         0)</f>
        <v>0</v>
      </c>
      <c r="BS200" s="353" t="n">
        <f aca="true">IF(OR($D200&lt;&gt;"Serviço",AND(AUTOEVENTO="Manual",$M200=$A$15)),0,
         IF(OFFSET(CRONOPLE!$F$15,$M200-$A$15,BS$13)=0,10^12,OFFSET(CRONOPLE!$F$15,$M200-$A$15,BS$13)))</f>
        <v>0</v>
      </c>
      <c r="BT200" s="353" t="n">
        <f aca="true">IF(OR($D200&lt;&gt;"Serviço",AND(AUTOEVENTO="Manual",$M200=$A$15)),0,
         IF(OFFSET(CRONOPLE!$F$15,$M200-$A$15,BT$13)=0,10^12,OFFSET(CRONOPLE!$F$15,$M200-$A$15,BT$13)))</f>
        <v>0</v>
      </c>
      <c r="BU200" s="353" t="n">
        <f aca="true">IF(OR($D200&lt;&gt;"Serviço",AND(AUTOEVENTO="Manual",$M200=$A$15)),0,
         IF(OFFSET(CRONOPLE!$F$15,$M200-$A$15,BU$13)=0,10^12,OFFSET(CRONOPLE!$F$15,$M200-$A$15,BU$13)))</f>
        <v>0</v>
      </c>
      <c r="BV200" s="353" t="n">
        <f aca="true">IF(OR($D200&lt;&gt;"Serviço",AND(AUTOEVENTO="Manual",$M200=$A$15)),0,
         IF(OFFSET(CRONOPLE!$F$15,$M200-$A$15,BV$13)=0,10^12,OFFSET(CRONOPLE!$F$15,$M200-$A$15,BV$13)))</f>
        <v>0</v>
      </c>
      <c r="BW200" s="353" t="n">
        <f aca="true">IF(OR($D200&lt;&gt;"Serviço",AND(AUTOEVENTO="Manual",$M200=$A$15)),0,
         IF(OFFSET(CRONOPLE!$F$15,$M200-$A$15,BW$13)=0,10^12,OFFSET(CRONOPLE!$F$15,$M200-$A$15,BW$13)))</f>
        <v>0</v>
      </c>
      <c r="BX200" s="353" t="n">
        <f aca="true">IF(OR($D200&lt;&gt;"Serviço",AND(AUTOEVENTO="Manual",$M200=$A$15)),0,
         IF(OFFSET(CRONOPLE!$F$15,$M200-$A$15,BX$13)=0,10^12,OFFSET(CRONOPLE!$F$15,$M200-$A$15,BX$13)))</f>
        <v>0</v>
      </c>
      <c r="BY200" s="353" t="n">
        <f aca="true">IF(OR($D200&lt;&gt;"Serviço",AND(AUTOEVENTO="Manual",$M200=$A$15)),0,
         IF(OFFSET(CRONOPLE!$F$15,$M200-$A$15,BY$13)=0,10^12,OFFSET(CRONOPLE!$F$15,$M200-$A$15,BY$13)))</f>
        <v>0</v>
      </c>
      <c r="BZ200" s="353" t="n">
        <f aca="true">IF(OR($D200&lt;&gt;"Serviço",AND(AUTOEVENTO="Manual",$M200=$A$15)),0,
         IF(OFFSET(CRONOPLE!$F$15,$M200-$A$15,BZ$13)=0,10^12,OFFSET(CRONOPLE!$F$15,$M200-$A$15,BZ$13)))</f>
        <v>0</v>
      </c>
      <c r="CA200" s="353" t="n">
        <f aca="true">IF(OR($D200&lt;&gt;"Serviço",AND(AUTOEVENTO="Manual",$M200=$A$15)),0,
         IF(OFFSET(CRONOPLE!$F$15,$M200-$A$15,CA$13)=0,10^12,OFFSET(CRONOPLE!$F$15,$M200-$A$15,CA$13)))</f>
        <v>0</v>
      </c>
      <c r="CB200" s="353" t="n">
        <f aca="true">IF(OR($D200&lt;&gt;"Serviço",AND(AUTOEVENTO="Manual",$M200=$A$15)),0,
         IF(OFFSET(CRONOPLE!$F$15,$M200-$A$15,CB$13)=0,10^12,OFFSET(CRONOPLE!$F$15,$M200-$A$15,CB$13)))</f>
        <v>0</v>
      </c>
      <c r="CC200" s="353" t="n">
        <f aca="true">IF(OR($D200&lt;&gt;"Serviço",AND(AUTOEVENTO="Manual",$M200=$A$15)),0,
         IF(OFFSET(CRONOPLE!$F$15,$M200-$A$15,CC$13)=0,10^12,OFFSET(CRONOPLE!$F$15,$M200-$A$15,CC$13)))</f>
        <v>0</v>
      </c>
      <c r="CD200" s="353" t="n">
        <f aca="true">IF(OR($D200&lt;&gt;"Serviço",AND(AUTOEVENTO="Manual",$M200=$A$15)),0,
         IF(OFFSET(CRONOPLE!$F$15,$M200-$A$15,CD$13)=0,10^12,OFFSET(CRONOPLE!$F$15,$M200-$A$15,CD$13)))</f>
        <v>0</v>
      </c>
      <c r="CE200" s="353" t="n">
        <f aca="true">IF(OR($D200&lt;&gt;"Serviço",AND(AUTOEVENTO="Manual",$M200=$A$15)),0,
         IF(OFFSET(CRONOPLE!$F$15,$M200-$A$15,CE$13)=0,10^12,OFFSET(CRONOPLE!$F$15,$M200-$A$15,CE$13)))</f>
        <v>0</v>
      </c>
      <c r="CF200" s="353" t="n">
        <f aca="true">IF(OR($D200&lt;&gt;"Serviço",AND(AUTOEVENTO="Manual",$M200=$A$15)),0,
         IF(OFFSET(CRONOPLE!$F$15,$M200-$A$15,CF$13)=0,10^12,OFFSET(CRONOPLE!$F$15,$M200-$A$15,CF$13)))</f>
        <v>0</v>
      </c>
      <c r="CG200" s="353" t="n">
        <f aca="true">IF(OR($D200&lt;&gt;"Serviço",AND(AUTOEVENTO="Manual",$M200=$A$15)),0,
         IF(OFFSET(CRONOPLE!$F$15,$M200-$A$15,CG$13)=0,10^12,OFFSET(CRONOPLE!$F$15,$M200-$A$15,CG$13)))</f>
        <v>0</v>
      </c>
      <c r="CH200" s="353" t="n">
        <f aca="true">IF(OR($D200&lt;&gt;"Serviço",AND(AUTOEVENTO="Manual",$M200=$A$15)),0,
         IF(OFFSET(CRONOPLE!$F$15,$M200-$A$15,CH$13)=0,10^12,OFFSET(CRONOPLE!$F$15,$M200-$A$15,CH$13)))</f>
        <v>0</v>
      </c>
      <c r="CI200" s="353" t="n">
        <f aca="true">IF(OR($D200&lt;&gt;"Serviço",AND(AUTOEVENTO="Manual",$M200=$A$15)),0,
         IF(OFFSET(CRONOPLE!$F$15,$M200-$A$15,CI$13)=0,10^12,OFFSET(CRONOPLE!$F$15,$M200-$A$15,CI$13)))</f>
        <v>0</v>
      </c>
      <c r="CJ200" s="353" t="n">
        <f aca="true">IF(OR($D200&lt;&gt;"Serviço",AND(AUTOEVENTO="Manual",$M200=$A$15)),0,
         IF(OFFSET(CRONOPLE!$F$15,$M200-$A$15,CJ$13)=0,10^12,OFFSET(CRONOPLE!$F$15,$M200-$A$15,CJ$13)))</f>
        <v>0</v>
      </c>
      <c r="CK200" s="353" t="n">
        <f aca="true">IF(OR($D200&lt;&gt;"Serviço",AND(AUTOEVENTO="Manual",$M200=$A$15)),0,
         IF(OFFSET(CRONOPLE!$F$15,$M200-$A$15,CK$13)=0,10^12,OFFSET(CRONOPLE!$F$15,$M200-$A$15,CK$13)))</f>
        <v>0</v>
      </c>
      <c r="CL200" s="353" t="n">
        <f aca="true">IF(OR($D200&lt;&gt;"Serviço",AND(AUTOEVENTO="Manual",$M200=$A$15)),0,
         IF(OFFSET(CRONOPLE!$F$15,$M200-$A$15,CL$13)=0,10^12,OFFSET(CRONOPLE!$F$15,$M200-$A$15,CL$13)))</f>
        <v>0</v>
      </c>
      <c r="CM200" s="353" t="n">
        <f aca="true">IF(OR($D200&lt;&gt;"Serviço",AND(AUTOEVENTO="Manual",$M200=$A$15)),0,
         IF(OFFSET(CRONOPLE!$F$15,$M200-$A$15,CM$13)=0,10^12,OFFSET(CRONOPLE!$F$15,$M200-$A$15,CM$13)))</f>
        <v>0</v>
      </c>
      <c r="CN200" s="353" t="n">
        <f aca="true">IF(OR($D200&lt;&gt;"Serviço",AND(AUTOEVENTO="Manual",$M200=$A$15)),0,
         IF(OFFSET(CRONOPLE!$F$15,$M200-$A$15,CN$13)=0,10^12,OFFSET(CRONOPLE!$F$15,$M200-$A$15,CN$13)))</f>
        <v>0</v>
      </c>
      <c r="CO200" s="353" t="n">
        <f aca="true">IF(OR($D200&lt;&gt;"Serviço",AND(AUTOEVENTO="Manual",$M200=$A$15)),0,
         IF(OFFSET(CRONOPLE!$F$15,$M200-$A$15,CO$13)=0,10^12,OFFSET(CRONOPLE!$F$15,$M200-$A$15,CO$13)))</f>
        <v>0</v>
      </c>
      <c r="CP200" s="353" t="n">
        <f aca="true">IF(OR($D200&lt;&gt;"Serviço",AND(AUTOEVENTO="Manual",$M200=$A$15)),0,
         IF(OFFSET(CRONOPLE!$F$15,$M200-$A$15,CP$13)=0,10^12,OFFSET(CRONOPLE!$F$15,$M200-$A$15,CP$13)))</f>
        <v>0</v>
      </c>
      <c r="CQ200" s="353" t="n">
        <f aca="true">IF(OR($D200&lt;&gt;"Serviço",AND(AUTOEVENTO="Manual",$M200=$A$15)),0,
         IF(OFFSET(CRONOPLE!$F$15,$M200-$A$15,CQ$13)=0,10^12,OFFSET(CRONOPLE!$F$15,$M200-$A$15,CQ$13)))</f>
        <v>0</v>
      </c>
      <c r="CR200" s="353" t="n">
        <f aca="true">IF(OR($D200&lt;&gt;"Serviço",AND(AUTOEVENTO="Manual",$M200=$A$15)),0,
         IF(OFFSET(CRONOPLE!$F$15,$M200-$A$15,CR$13)=0,10^12,OFFSET(CRONOPLE!$F$15,$M200-$A$15,CR$13)))</f>
        <v>0</v>
      </c>
      <c r="CT200" s="354" t="n">
        <f aca="true">IF(OR($D200&lt;&gt;"Serviço",AND(AUTOEVENTO="Manual",$M200=$A$15),$M200&gt;(ROW(PLE.lastrow)-ROW(PLE.firstrow))),0,
           IF(OFFSET(PLE!$G$15,$M200-$A$15,CT$13)="",10^12,OFFSET(PLE!$G$15,$M200-$A$15,CT$13)))</f>
        <v>0</v>
      </c>
      <c r="CU200" s="354" t="n">
        <f aca="true">IF(OR($D200&lt;&gt;"Serviço",AND(AUTOEVENTO="Manual",$M200=$A$15),$M200&gt;(ROW(PLE.lastrow)-ROW(PLE.firstrow))),0,
           IF(OFFSET(PLE!$G$15,$M200-$A$15,CU$13)="",10^12,OFFSET(PLE!$G$15,$M200-$A$15,CU$13)))</f>
        <v>0</v>
      </c>
      <c r="CV200" s="354" t="n">
        <f aca="true">IF(OR($D200&lt;&gt;"Serviço",AND(AUTOEVENTO="Manual",$M200=$A$15),$M200&gt;(ROW(PLE.lastrow)-ROW(PLE.firstrow))),0,
           IF(OFFSET(PLE!$G$15,$M200-$A$15,CV$13)="",10^12,OFFSET(PLE!$G$15,$M200-$A$15,CV$13)))</f>
        <v>0</v>
      </c>
      <c r="CW200" s="354" t="n">
        <f aca="true">IF(OR($D200&lt;&gt;"Serviço",AND(AUTOEVENTO="Manual",$M200=$A$15),$M200&gt;(ROW(PLE.lastrow)-ROW(PLE.firstrow))),0,
           IF(OFFSET(PLE!$G$15,$M200-$A$15,CW$13)="",10^12,OFFSET(PLE!$G$15,$M200-$A$15,CW$13)))</f>
        <v>0</v>
      </c>
      <c r="CX200" s="354" t="n">
        <f aca="true">IF(OR($D200&lt;&gt;"Serviço",AND(AUTOEVENTO="Manual",$M200=$A$15),$M200&gt;(ROW(PLE.lastrow)-ROW(PLE.firstrow))),0,
           IF(OFFSET(PLE!$G$15,$M200-$A$15,CX$13)="",10^12,OFFSET(PLE!$G$15,$M200-$A$15,CX$13)))</f>
        <v>0</v>
      </c>
      <c r="CY200" s="354" t="n">
        <f aca="true">IF(OR($D200&lt;&gt;"Serviço",AND(AUTOEVENTO="Manual",$M200=$A$15),$M200&gt;(ROW(PLE.lastrow)-ROW(PLE.firstrow))),0,
           IF(OFFSET(PLE!$G$15,$M200-$A$15,CY$13)="",10^12,OFFSET(PLE!$G$15,$M200-$A$15,CY$13)))</f>
        <v>0</v>
      </c>
      <c r="CZ200" s="354" t="n">
        <f aca="true">IF(OR($D200&lt;&gt;"Serviço",AND(AUTOEVENTO="Manual",$M200=$A$15),$M200&gt;(ROW(PLE.lastrow)-ROW(PLE.firstrow))),0,
           IF(OFFSET(PLE!$G$15,$M200-$A$15,CZ$13)="",10^12,OFFSET(PLE!$G$15,$M200-$A$15,CZ$13)))</f>
        <v>0</v>
      </c>
      <c r="DA200" s="354" t="n">
        <f aca="true">IF(OR($D200&lt;&gt;"Serviço",AND(AUTOEVENTO="Manual",$M200=$A$15),$M200&gt;(ROW(PLE.lastrow)-ROW(PLE.firstrow))),0,
           IF(OFFSET(PLE!$G$15,$M200-$A$15,DA$13)="",10^12,OFFSET(PLE!$G$15,$M200-$A$15,DA$13)))</f>
        <v>0</v>
      </c>
      <c r="DB200" s="354" t="n">
        <f aca="true">IF(OR($D200&lt;&gt;"Serviço",AND(AUTOEVENTO="Manual",$M200=$A$15),$M200&gt;(ROW(PLE.lastrow)-ROW(PLE.firstrow))),0,
           IF(OFFSET(PLE!$G$15,$M200-$A$15,DB$13)="",10^12,OFFSET(PLE!$G$15,$M200-$A$15,DB$13)))</f>
        <v>0</v>
      </c>
      <c r="DC200" s="354" t="n">
        <f aca="true">IF(OR($D200&lt;&gt;"Serviço",AND(AUTOEVENTO="Manual",$M200=$A$15),$M200&gt;(ROW(PLE.lastrow)-ROW(PLE.firstrow))),0,
           IF(OFFSET(PLE!$G$15,$M200-$A$15,DC$13)="",10^12,OFFSET(PLE!$G$15,$M200-$A$15,DC$13)))</f>
        <v>0</v>
      </c>
      <c r="DD200" s="354" t="n">
        <f aca="true">IF(OR($D200&lt;&gt;"Serviço",AND(AUTOEVENTO="Manual",$M200=$A$15),$M200&gt;(ROW(PLE.lastrow)-ROW(PLE.firstrow))),0,
           IF(OFFSET(PLE!$G$15,$M200-$A$15,DD$13)="",10^12,OFFSET(PLE!$G$15,$M200-$A$15,DD$13)))</f>
        <v>0</v>
      </c>
      <c r="DE200" s="354" t="n">
        <f aca="true">IF(OR($D200&lt;&gt;"Serviço",AND(AUTOEVENTO="Manual",$M200=$A$15),$M200&gt;(ROW(PLE.lastrow)-ROW(PLE.firstrow))),0,
           IF(OFFSET(PLE!$G$15,$M200-$A$15,DE$13)="",10^12,OFFSET(PLE!$G$15,$M200-$A$15,DE$13)))</f>
        <v>0</v>
      </c>
      <c r="DF200" s="354" t="n">
        <f aca="true">IF(OR($D200&lt;&gt;"Serviço",AND(AUTOEVENTO="Manual",$M200=$A$15),$M200&gt;(ROW(PLE.lastrow)-ROW(PLE.firstrow))),0,
           IF(OFFSET(PLE!$G$15,$M200-$A$15,DF$13)="",10^12,OFFSET(PLE!$G$15,$M200-$A$15,DF$13)))</f>
        <v>0</v>
      </c>
      <c r="DG200" s="354" t="n">
        <f aca="true">IF(OR($D200&lt;&gt;"Serviço",AND(AUTOEVENTO="Manual",$M200=$A$15),$M200&gt;(ROW(PLE.lastrow)-ROW(PLE.firstrow))),0,
           IF(OFFSET(PLE!$G$15,$M200-$A$15,DG$13)="",10^12,OFFSET(PLE!$G$15,$M200-$A$15,DG$13)))</f>
        <v>0</v>
      </c>
      <c r="DH200" s="354" t="n">
        <f aca="true">IF(OR($D200&lt;&gt;"Serviço",AND(AUTOEVENTO="Manual",$M200=$A$15),$M200&gt;(ROW(PLE.lastrow)-ROW(PLE.firstrow))),0,
           IF(OFFSET(PLE!$G$15,$M200-$A$15,DH$13)="",10^12,OFFSET(PLE!$G$15,$M200-$A$15,DH$13)))</f>
        <v>0</v>
      </c>
      <c r="DI200" s="354" t="n">
        <f aca="true">IF(OR($D200&lt;&gt;"Serviço",AND(AUTOEVENTO="Manual",$M200=$A$15),$M200&gt;(ROW(PLE.lastrow)-ROW(PLE.firstrow))),0,
           IF(OFFSET(PLE!$G$15,$M200-$A$15,DI$13)="",10^12,OFFSET(PLE!$G$15,$M200-$A$15,DI$13)))</f>
        <v>0</v>
      </c>
      <c r="DJ200" s="354" t="n">
        <f aca="true">IF(OR($D200&lt;&gt;"Serviço",AND(AUTOEVENTO="Manual",$M200=$A$15),$M200&gt;(ROW(PLE.lastrow)-ROW(PLE.firstrow))),0,
           IF(OFFSET(PLE!$G$15,$M200-$A$15,DJ$13)="",10^12,OFFSET(PLE!$G$15,$M200-$A$15,DJ$13)))</f>
        <v>0</v>
      </c>
      <c r="DK200" s="354" t="n">
        <f aca="true">IF(OR($D200&lt;&gt;"Serviço",AND(AUTOEVENTO="Manual",$M200=$A$15),$M200&gt;(ROW(PLE.lastrow)-ROW(PLE.firstrow))),0,
           IF(OFFSET(PLE!$G$15,$M200-$A$15,DK$13)="",10^12,OFFSET(PLE!$G$15,$M200-$A$15,DK$13)))</f>
        <v>0</v>
      </c>
      <c r="DL200" s="354" t="n">
        <f aca="true">IF(OR($D200&lt;&gt;"Serviço",AND(AUTOEVENTO="Manual",$M200=$A$15),$M200&gt;(ROW(PLE.lastrow)-ROW(PLE.firstrow))),0,
           IF(OFFSET(PLE!$G$15,$M200-$A$15,DL$13)="",10^12,OFFSET(PLE!$G$15,$M200-$A$15,DL$13)))</f>
        <v>0</v>
      </c>
      <c r="DM200" s="354" t="n">
        <f aca="true">IF(OR($D200&lt;&gt;"Serviço",AND(AUTOEVENTO="Manual",$M200=$A$15),$M200&gt;(ROW(PLE.lastrow)-ROW(PLE.firstrow))),0,
           IF(OFFSET(PLE!$G$15,$M200-$A$15,DM$13)="",10^12,OFFSET(PLE!$G$15,$M200-$A$15,DM$13)))</f>
        <v>0</v>
      </c>
      <c r="DN200" s="354" t="n">
        <f aca="true">IF(OR($D200&lt;&gt;"Serviço",AND(AUTOEVENTO="Manual",$M200=$A$15),$M200&gt;(ROW(PLE.lastrow)-ROW(PLE.firstrow))),0,
           IF(OFFSET(PLE!$G$15,$M200-$A$15,DN$13)="",10^12,OFFSET(PLE!$G$15,$M200-$A$15,DN$13)))</f>
        <v>0</v>
      </c>
      <c r="DO200" s="354" t="n">
        <f aca="true">IF(OR($D200&lt;&gt;"Serviço",AND(AUTOEVENTO="Manual",$M200=$A$15),$M200&gt;(ROW(PLE.lastrow)-ROW(PLE.firstrow))),0,
           IF(OFFSET(PLE!$G$15,$M200-$A$15,DO$13)="",10^12,OFFSET(PLE!$G$15,$M200-$A$15,DO$13)))</f>
        <v>0</v>
      </c>
      <c r="DP200" s="354" t="n">
        <f aca="true">IF(OR($D200&lt;&gt;"Serviço",AND(AUTOEVENTO="Manual",$M200=$A$15),$M200&gt;(ROW(PLE.lastrow)-ROW(PLE.firstrow))),0,
           IF(OFFSET(PLE!$G$15,$M200-$A$15,DP$13)="",10^12,OFFSET(PLE!$G$15,$M200-$A$15,DP$13)))</f>
        <v>0</v>
      </c>
      <c r="DQ200" s="354" t="n">
        <f aca="true">IF(OR($D200&lt;&gt;"Serviço",AND(AUTOEVENTO="Manual",$M200=$A$15),$M200&gt;(ROW(PLE.lastrow)-ROW(PLE.firstrow))),0,
           IF(OFFSET(PLE!$G$15,$M200-$A$15,DQ$13)="",10^12,OFFSET(PLE!$G$15,$M200-$A$15,DQ$13)))</f>
        <v>0</v>
      </c>
      <c r="DR200" s="354" t="n">
        <f aca="true">IF(OR($D200&lt;&gt;"Serviço",AND(AUTOEVENTO="Manual",$M200=$A$15),$M200&gt;(ROW(PLE.lastrow)-ROW(PLE.firstrow))),0,
           IF(OFFSET(PLE!$G$15,$M200-$A$15,DR$13)="",10^12,OFFSET(PLE!$G$15,$M200-$A$15,DR$13)))</f>
        <v>0</v>
      </c>
      <c r="DS200" s="354" t="n">
        <f aca="true">IF(OR($D200&lt;&gt;"Serviço",AND(AUTOEVENTO="Manual",$M200=$A$15),$M200&gt;(ROW(PLE.lastrow)-ROW(PLE.firstrow))),0,
           IF(OFFSET(PLE!$G$15,$M200-$A$15,DS$13)="",10^12,OFFSET(PLE!$G$15,$M200-$A$15,DS$13)))</f>
        <v>0</v>
      </c>
    </row>
    <row r="201" customFormat="false" ht="12.75" hidden="false" customHeight="false" outlineLevel="0" collapsed="false">
      <c r="A201" s="50" t="str">
        <f aca="true">IFERROR(IF(AUTOEVENTO="Manual",IF(K201&lt;&gt;"",MIN(VALUE(LEFT(K201,FIND(".",K201)-1)),COUNTA(EVENTOS.Lista)),0),IF(OR($B201&gt;AUTOEVENTO,$B201="S",$B201=0),SUBSTITUTE(OFFSET($A201,-1,0),IF($D201="Serviço",".",""),""),ROW(A201)-ROW($A$15)&amp;".")),0)</f>
        <v>186.</v>
      </c>
      <c r="B201" s="50" t="n">
        <f aca="true">OFFSET(ORÇAMENTO!C$15,ROW(B201)-ROW(B$15),0)</f>
        <v>2</v>
      </c>
      <c r="C201" s="50" t="str">
        <f aca="true">OFFSET(ORÇAMENTO!L$15,ROW(C201)-ROW(C$15),0)</f>
        <v>F</v>
      </c>
      <c r="D201" s="201" t="str">
        <f aca="true">OFFSET(ORÇAMENTO!N$15,ROW(D201)-ROW(D$15),0)</f>
        <v>Nível 2</v>
      </c>
      <c r="E201" s="202" t="str">
        <f aca="true">OFFSET(ORÇAMENTO!O$15,ROW(E201)-ROW(E$15),0)</f>
        <v>1.53.</v>
      </c>
      <c r="F201" s="341" t="str">
        <f aca="true">OFFSET(ORÇAMENTO!R$15,ROW(F201)-ROW(F$15),0)</f>
        <v>CALAFETE / LIMPEZA</v>
      </c>
      <c r="G201" s="342" t="str">
        <f aca="true">IF($D201&lt;&gt;"Serviço","",OFFSET(ORÇAMENTO!S$15,ROW(G201)-ROW(G$15),0))</f>
        <v/>
      </c>
      <c r="H201" s="207" t="n">
        <f aca="true">IF($D201&lt;&gt;"Serviço",0,IF(ACOMPANHAMENTO="BM",ROUND(OFFSET(ORÇAMENTO!AJ$15,ROW(H201)-ROW(H$15),0),15-13*ORÇAMENTO!$AF$7),SUMPRODUCT(($Q$1:$AQ$1=1)*ROUND($Q201:$AQ201,15-13*ORÇAMENTO!$AF$7))))</f>
        <v>0</v>
      </c>
      <c r="I201" s="343"/>
      <c r="J201" s="344" t="str">
        <f aca="false">IF(OR(B201&lt;&gt;"S",CÁLCULO.FrentesPreenchidas=0),"",IF(AND(ACOMPANHAMENTO="PLE",AUTOEVENTO="Manual",OR(H201&gt;0,ORÇAMENTO!AC201="QUANT."),OR(K201="",M201=0,N201="")),"►",IF(AND(ACOMPANHAMENTO="PLE",ORÇAMENTO!AC201="QUANT."),"►►",IF(AND(COUNTIF($P$11:$AQ$11,"▼")=0,H201&gt;0,I201=""),"◄",""))))</f>
        <v/>
      </c>
      <c r="K201" s="345"/>
      <c r="L201" s="346" t="s">
        <v>876</v>
      </c>
      <c r="M201" s="347" t="str">
        <f aca="true">IF($D201&lt;&gt;"Serviço","",
          IF(AUTOEVENTO="manual",$A201,
                IF(ISERROR(MATCH($A201,$A$15:OFFSET($A201,-1,0),0)),MAX($M$15:OFFSET(M201,-1,0))+1,
                      INDEX($M$15:OFFSET(M201,-1,0),MATCH($A201,$A$15:OFFSET($A201,-1,0),0)))))</f>
        <v/>
      </c>
      <c r="N201" s="348" t="str">
        <f aca="true">IF($D201&lt;&gt;"Serviço","",
         IF(AUTOEVENTO="Manual",
                IF($A201=0,"&lt;-- defina o número do agrupador",
                       OFFSET(EVENTOS!$D$15,$A201-$A$15,0)),
                OFFSET($F$15,$A201,0)))</f>
        <v/>
      </c>
      <c r="O201" s="349"/>
      <c r="Q201" s="349"/>
      <c r="R201" s="350"/>
      <c r="S201" s="350"/>
      <c r="T201" s="350"/>
      <c r="U201" s="350"/>
      <c r="V201" s="350"/>
      <c r="W201" s="350"/>
      <c r="X201" s="350"/>
      <c r="Y201" s="350"/>
      <c r="Z201" s="351"/>
      <c r="AA201" s="350"/>
      <c r="AB201" s="350"/>
      <c r="AC201" s="350"/>
      <c r="AD201" s="350"/>
      <c r="AE201" s="350"/>
      <c r="AF201" s="350"/>
      <c r="AG201" s="350"/>
      <c r="AH201" s="351"/>
      <c r="AI201" s="350"/>
      <c r="AJ201" s="350"/>
      <c r="AK201" s="350"/>
      <c r="AL201" s="350"/>
      <c r="AM201" s="350"/>
      <c r="AN201" s="350"/>
      <c r="AO201" s="350"/>
      <c r="AP201" s="351"/>
      <c r="AR201" s="352" t="n">
        <f aca="true">IF(AND($D201="Serviço",AR$12&lt;&gt;0,$H201&gt;0,OR(AUTOEVENTO&lt;&gt;"manual",$M201&lt;&gt;$A$15)),
        IF(Import.TipoArredondamento&lt;&gt;"TransfereGOV",
              ROUND(OFFSET($P201,0,AR$13),15-13*ORÇAMENTO!$AF$7)/$H201*OFFSET(ORÇAMENTO!$X$15,ROW(AR201)-ROW(AR$15),0),
              ROUND(ROUND(OFFSET($P201,0,AR$13),15-13*ORÇAMENTO!$AF$7)*OFFSET(ORÇAMENTO!$W$15,ROW(AR201)-ROW(AR$15),0),15-13*ORÇAMENTO!$AF$11)),
         0)</f>
        <v>0</v>
      </c>
      <c r="AS201" s="352" t="n">
        <f aca="true">IF(AND($D201="Serviço",AS$12&lt;&gt;0,$H201&gt;0,OR(AUTOEVENTO&lt;&gt;"manual",$M201&lt;&gt;$A$15)),
        IF(Import.TipoArredondamento&lt;&gt;"TransfereGOV",
              ROUND(OFFSET($P201,0,AS$13),15-13*ORÇAMENTO!$AF$7)/$H201*OFFSET(ORÇAMENTO!$X$15,ROW(AS201)-ROW(AS$15),0),
              ROUND(ROUND(OFFSET($P201,0,AS$13),15-13*ORÇAMENTO!$AF$7)*OFFSET(ORÇAMENTO!$W$15,ROW(AS201)-ROW(AS$15),0),15-13*ORÇAMENTO!$AF$11)),
         0)</f>
        <v>0</v>
      </c>
      <c r="AT201" s="352" t="n">
        <f aca="true">IF(AND($D201="Serviço",AT$12&lt;&gt;0,$H201&gt;0,OR(AUTOEVENTO&lt;&gt;"manual",$M201&lt;&gt;$A$15)),
        IF(Import.TipoArredondamento&lt;&gt;"TransfereGOV",
              ROUND(OFFSET($P201,0,AT$13),15-13*ORÇAMENTO!$AF$7)/$H201*OFFSET(ORÇAMENTO!$X$15,ROW(AT201)-ROW(AT$15),0),
              ROUND(ROUND(OFFSET($P201,0,AT$13),15-13*ORÇAMENTO!$AF$7)*OFFSET(ORÇAMENTO!$W$15,ROW(AT201)-ROW(AT$15),0),15-13*ORÇAMENTO!$AF$11)),
         0)</f>
        <v>0</v>
      </c>
      <c r="AU201" s="352" t="n">
        <f aca="true">IF(AND($D201="Serviço",AU$12&lt;&gt;0,$H201&gt;0,OR(AUTOEVENTO&lt;&gt;"manual",$M201&lt;&gt;$A$15)),
        IF(Import.TipoArredondamento&lt;&gt;"TransfereGOV",
              ROUND(OFFSET($P201,0,AU$13),15-13*ORÇAMENTO!$AF$7)/$H201*OFFSET(ORÇAMENTO!$X$15,ROW(AU201)-ROW(AU$15),0),
              ROUND(ROUND(OFFSET($P201,0,AU$13),15-13*ORÇAMENTO!$AF$7)*OFFSET(ORÇAMENTO!$W$15,ROW(AU201)-ROW(AU$15),0),15-13*ORÇAMENTO!$AF$11)),
         0)</f>
        <v>0</v>
      </c>
      <c r="AV201" s="352" t="n">
        <f aca="true">IF(AND($D201="Serviço",AV$12&lt;&gt;0,$H201&gt;0,OR(AUTOEVENTO&lt;&gt;"manual",$M201&lt;&gt;$A$15)),
        IF(Import.TipoArredondamento&lt;&gt;"TransfereGOV",
              ROUND(OFFSET($P201,0,AV$13),15-13*ORÇAMENTO!$AF$7)/$H201*OFFSET(ORÇAMENTO!$X$15,ROW(AV201)-ROW(AV$15),0),
              ROUND(ROUND(OFFSET($P201,0,AV$13),15-13*ORÇAMENTO!$AF$7)*OFFSET(ORÇAMENTO!$W$15,ROW(AV201)-ROW(AV$15),0),15-13*ORÇAMENTO!$AF$11)),
         0)</f>
        <v>0</v>
      </c>
      <c r="AW201" s="352" t="n">
        <f aca="true">IF(AND($D201="Serviço",AW$12&lt;&gt;0,$H201&gt;0,OR(AUTOEVENTO&lt;&gt;"manual",$M201&lt;&gt;$A$15)),
        IF(Import.TipoArredondamento&lt;&gt;"TransfereGOV",
              ROUND(OFFSET($P201,0,AW$13),15-13*ORÇAMENTO!$AF$7)/$H201*OFFSET(ORÇAMENTO!$X$15,ROW(AW201)-ROW(AW$15),0),
              ROUND(ROUND(OFFSET($P201,0,AW$13),15-13*ORÇAMENTO!$AF$7)*OFFSET(ORÇAMENTO!$W$15,ROW(AW201)-ROW(AW$15),0),15-13*ORÇAMENTO!$AF$11)),
         0)</f>
        <v>0</v>
      </c>
      <c r="AX201" s="352" t="n">
        <f aca="true">IF(AND($D201="Serviço",AX$12&lt;&gt;0,$H201&gt;0,OR(AUTOEVENTO&lt;&gt;"manual",$M201&lt;&gt;$A$15)),
        IF(Import.TipoArredondamento&lt;&gt;"TransfereGOV",
              ROUND(OFFSET($P201,0,AX$13),15-13*ORÇAMENTO!$AF$7)/$H201*OFFSET(ORÇAMENTO!$X$15,ROW(AX201)-ROW(AX$15),0),
              ROUND(ROUND(OFFSET($P201,0,AX$13),15-13*ORÇAMENTO!$AF$7)*OFFSET(ORÇAMENTO!$W$15,ROW(AX201)-ROW(AX$15),0),15-13*ORÇAMENTO!$AF$11)),
         0)</f>
        <v>0</v>
      </c>
      <c r="AY201" s="352" t="n">
        <f aca="true">IF(AND($D201="Serviço",AY$12&lt;&gt;0,$H201&gt;0,OR(AUTOEVENTO&lt;&gt;"manual",$M201&lt;&gt;$A$15)),
        IF(Import.TipoArredondamento&lt;&gt;"TransfereGOV",
              ROUND(OFFSET($P201,0,AY$13),15-13*ORÇAMENTO!$AF$7)/$H201*OFFSET(ORÇAMENTO!$X$15,ROW(AY201)-ROW(AY$15),0),
              ROUND(ROUND(OFFSET($P201,0,AY$13),15-13*ORÇAMENTO!$AF$7)*OFFSET(ORÇAMENTO!$W$15,ROW(AY201)-ROW(AY$15),0),15-13*ORÇAMENTO!$AF$11)),
         0)</f>
        <v>0</v>
      </c>
      <c r="AZ201" s="352" t="n">
        <f aca="true">IF(AND($D201="Serviço",AZ$12&lt;&gt;0,$H201&gt;0,OR(AUTOEVENTO&lt;&gt;"manual",$M201&lt;&gt;$A$15)),
        IF(Import.TipoArredondamento&lt;&gt;"TransfereGOV",
              ROUND(OFFSET($P201,0,AZ$13),15-13*ORÇAMENTO!$AF$7)/$H201*OFFSET(ORÇAMENTO!$X$15,ROW(AZ201)-ROW(AZ$15),0),
              ROUND(ROUND(OFFSET($P201,0,AZ$13),15-13*ORÇAMENTO!$AF$7)*OFFSET(ORÇAMENTO!$W$15,ROW(AZ201)-ROW(AZ$15),0),15-13*ORÇAMENTO!$AF$11)),
         0)</f>
        <v>0</v>
      </c>
      <c r="BA201" s="352" t="n">
        <f aca="true">IF(AND($D201="Serviço",BA$12&lt;&gt;0,$H201&gt;0,OR(AUTOEVENTO&lt;&gt;"manual",$M201&lt;&gt;$A$15)),
        IF(Import.TipoArredondamento&lt;&gt;"TransfereGOV",
              ROUND(OFFSET($P201,0,BA$13),15-13*ORÇAMENTO!$AF$7)/$H201*OFFSET(ORÇAMENTO!$X$15,ROW(BA201)-ROW(BA$15),0),
              ROUND(ROUND(OFFSET($P201,0,BA$13),15-13*ORÇAMENTO!$AF$7)*OFFSET(ORÇAMENTO!$W$15,ROW(BA201)-ROW(BA$15),0),15-13*ORÇAMENTO!$AF$11)),
         0)</f>
        <v>0</v>
      </c>
      <c r="BB201" s="352" t="n">
        <f aca="true">IF(AND($D201="Serviço",BB$12&lt;&gt;0,$H201&gt;0,OR(AUTOEVENTO&lt;&gt;"manual",$M201&lt;&gt;$A$15)),
        IF(Import.TipoArredondamento&lt;&gt;"TransfereGOV",
              ROUND(OFFSET($P201,0,BB$13),15-13*ORÇAMENTO!$AF$7)/$H201*OFFSET(ORÇAMENTO!$X$15,ROW(BB201)-ROW(BB$15),0),
              ROUND(ROUND(OFFSET($P201,0,BB$13),15-13*ORÇAMENTO!$AF$7)*OFFSET(ORÇAMENTO!$W$15,ROW(BB201)-ROW(BB$15),0),15-13*ORÇAMENTO!$AF$11)),
         0)</f>
        <v>0</v>
      </c>
      <c r="BC201" s="352" t="n">
        <f aca="true">IF(AND($D201="Serviço",BC$12&lt;&gt;0,$H201&gt;0,OR(AUTOEVENTO&lt;&gt;"manual",$M201&lt;&gt;$A$15)),
        IF(Import.TipoArredondamento&lt;&gt;"TransfereGOV",
              ROUND(OFFSET($P201,0,BC$13),15-13*ORÇAMENTO!$AF$7)/$H201*OFFSET(ORÇAMENTO!$X$15,ROW(BC201)-ROW(BC$15),0),
              ROUND(ROUND(OFFSET($P201,0,BC$13),15-13*ORÇAMENTO!$AF$7)*OFFSET(ORÇAMENTO!$W$15,ROW(BC201)-ROW(BC$15),0),15-13*ORÇAMENTO!$AF$11)),
         0)</f>
        <v>0</v>
      </c>
      <c r="BD201" s="352" t="n">
        <f aca="true">IF(AND($D201="Serviço",BD$12&lt;&gt;0,$H201&gt;0,OR(AUTOEVENTO&lt;&gt;"manual",$M201&lt;&gt;$A$15)),
        IF(Import.TipoArredondamento&lt;&gt;"TransfereGOV",
              ROUND(OFFSET($P201,0,BD$13),15-13*ORÇAMENTO!$AF$7)/$H201*OFFSET(ORÇAMENTO!$X$15,ROW(BD201)-ROW(BD$15),0),
              ROUND(ROUND(OFFSET($P201,0,BD$13),15-13*ORÇAMENTO!$AF$7)*OFFSET(ORÇAMENTO!$W$15,ROW(BD201)-ROW(BD$15),0),15-13*ORÇAMENTO!$AF$11)),
         0)</f>
        <v>0</v>
      </c>
      <c r="BE201" s="352" t="n">
        <f aca="true">IF(AND($D201="Serviço",BE$12&lt;&gt;0,$H201&gt;0,OR(AUTOEVENTO&lt;&gt;"manual",$M201&lt;&gt;$A$15)),
        IF(Import.TipoArredondamento&lt;&gt;"TransfereGOV",
              ROUND(OFFSET($P201,0,BE$13),15-13*ORÇAMENTO!$AF$7)/$H201*OFFSET(ORÇAMENTO!$X$15,ROW(BE201)-ROW(BE$15),0),
              ROUND(ROUND(OFFSET($P201,0,BE$13),15-13*ORÇAMENTO!$AF$7)*OFFSET(ORÇAMENTO!$W$15,ROW(BE201)-ROW(BE$15),0),15-13*ORÇAMENTO!$AF$11)),
         0)</f>
        <v>0</v>
      </c>
      <c r="BF201" s="352" t="n">
        <f aca="true">IF(AND($D201="Serviço",BF$12&lt;&gt;0,$H201&gt;0,OR(AUTOEVENTO&lt;&gt;"manual",$M201&lt;&gt;$A$15)),
        IF(Import.TipoArredondamento&lt;&gt;"TransfereGOV",
              ROUND(OFFSET($P201,0,BF$13),15-13*ORÇAMENTO!$AF$7)/$H201*OFFSET(ORÇAMENTO!$X$15,ROW(BF201)-ROW(BF$15),0),
              ROUND(ROUND(OFFSET($P201,0,BF$13),15-13*ORÇAMENTO!$AF$7)*OFFSET(ORÇAMENTO!$W$15,ROW(BF201)-ROW(BF$15),0),15-13*ORÇAMENTO!$AF$11)),
         0)</f>
        <v>0</v>
      </c>
      <c r="BG201" s="352" t="n">
        <f aca="true">IF(AND($D201="Serviço",BG$12&lt;&gt;0,$H201&gt;0,OR(AUTOEVENTO&lt;&gt;"manual",$M201&lt;&gt;$A$15)),
        IF(Import.TipoArredondamento&lt;&gt;"TransfereGOV",
              ROUND(OFFSET($P201,0,BG$13),15-13*ORÇAMENTO!$AF$7)/$H201*OFFSET(ORÇAMENTO!$X$15,ROW(BG201)-ROW(BG$15),0),
              ROUND(ROUND(OFFSET($P201,0,BG$13),15-13*ORÇAMENTO!$AF$7)*OFFSET(ORÇAMENTO!$W$15,ROW(BG201)-ROW(BG$15),0),15-13*ORÇAMENTO!$AF$11)),
         0)</f>
        <v>0</v>
      </c>
      <c r="BH201" s="352" t="n">
        <f aca="true">IF(AND($D201="Serviço",BH$12&lt;&gt;0,$H201&gt;0,OR(AUTOEVENTO&lt;&gt;"manual",$M201&lt;&gt;$A$15)),
        IF(Import.TipoArredondamento&lt;&gt;"TransfereGOV",
              ROUND(OFFSET($P201,0,BH$13),15-13*ORÇAMENTO!$AF$7)/$H201*OFFSET(ORÇAMENTO!$X$15,ROW(BH201)-ROW(BH$15),0),
              ROUND(ROUND(OFFSET($P201,0,BH$13),15-13*ORÇAMENTO!$AF$7)*OFFSET(ORÇAMENTO!$W$15,ROW(BH201)-ROW(BH$15),0),15-13*ORÇAMENTO!$AF$11)),
         0)</f>
        <v>0</v>
      </c>
      <c r="BI201" s="352" t="n">
        <f aca="true">IF(AND($D201="Serviço",BI$12&lt;&gt;0,$H201&gt;0,OR(AUTOEVENTO&lt;&gt;"manual",$M201&lt;&gt;$A$15)),
        IF(Import.TipoArredondamento&lt;&gt;"TransfereGOV",
              ROUND(OFFSET($P201,0,BI$13),15-13*ORÇAMENTO!$AF$7)/$H201*OFFSET(ORÇAMENTO!$X$15,ROW(BI201)-ROW(BI$15),0),
              ROUND(ROUND(OFFSET($P201,0,BI$13),15-13*ORÇAMENTO!$AF$7)*OFFSET(ORÇAMENTO!$W$15,ROW(BI201)-ROW(BI$15),0),15-13*ORÇAMENTO!$AF$11)),
         0)</f>
        <v>0</v>
      </c>
      <c r="BJ201" s="352" t="n">
        <f aca="true">IF(AND($D201="Serviço",BJ$12&lt;&gt;0,$H201&gt;0,OR(AUTOEVENTO&lt;&gt;"manual",$M201&lt;&gt;$A$15)),
        IF(Import.TipoArredondamento&lt;&gt;"TransfereGOV",
              ROUND(OFFSET($P201,0,BJ$13),15-13*ORÇAMENTO!$AF$7)/$H201*OFFSET(ORÇAMENTO!$X$15,ROW(BJ201)-ROW(BJ$15),0),
              ROUND(ROUND(OFFSET($P201,0,BJ$13),15-13*ORÇAMENTO!$AF$7)*OFFSET(ORÇAMENTO!$W$15,ROW(BJ201)-ROW(BJ$15),0),15-13*ORÇAMENTO!$AF$11)),
         0)</f>
        <v>0</v>
      </c>
      <c r="BK201" s="352" t="n">
        <f aca="true">IF(AND($D201="Serviço",BK$12&lt;&gt;0,$H201&gt;0,OR(AUTOEVENTO&lt;&gt;"manual",$M201&lt;&gt;$A$15)),
        IF(Import.TipoArredondamento&lt;&gt;"TransfereGOV",
              ROUND(OFFSET($P201,0,BK$13),15-13*ORÇAMENTO!$AF$7)/$H201*OFFSET(ORÇAMENTO!$X$15,ROW(BK201)-ROW(BK$15),0),
              ROUND(ROUND(OFFSET($P201,0,BK$13),15-13*ORÇAMENTO!$AF$7)*OFFSET(ORÇAMENTO!$W$15,ROW(BK201)-ROW(BK$15),0),15-13*ORÇAMENTO!$AF$11)),
         0)</f>
        <v>0</v>
      </c>
      <c r="BL201" s="352" t="n">
        <f aca="true">IF(AND($D201="Serviço",BL$12&lt;&gt;0,$H201&gt;0,OR(AUTOEVENTO&lt;&gt;"manual",$M201&lt;&gt;$A$15)),
        IF(Import.TipoArredondamento&lt;&gt;"TransfereGOV",
              ROUND(OFFSET($P201,0,BL$13),15-13*ORÇAMENTO!$AF$7)/$H201*OFFSET(ORÇAMENTO!$X$15,ROW(BL201)-ROW(BL$15),0),
              ROUND(ROUND(OFFSET($P201,0,BL$13),15-13*ORÇAMENTO!$AF$7)*OFFSET(ORÇAMENTO!$W$15,ROW(BL201)-ROW(BL$15),0),15-13*ORÇAMENTO!$AF$11)),
         0)</f>
        <v>0</v>
      </c>
      <c r="BM201" s="352" t="n">
        <f aca="true">IF(AND($D201="Serviço",BM$12&lt;&gt;0,$H201&gt;0,OR(AUTOEVENTO&lt;&gt;"manual",$M201&lt;&gt;$A$15)),
        IF(Import.TipoArredondamento&lt;&gt;"TransfereGOV",
              ROUND(OFFSET($P201,0,BM$13),15-13*ORÇAMENTO!$AF$7)/$H201*OFFSET(ORÇAMENTO!$X$15,ROW(BM201)-ROW(BM$15),0),
              ROUND(ROUND(OFFSET($P201,0,BM$13),15-13*ORÇAMENTO!$AF$7)*OFFSET(ORÇAMENTO!$W$15,ROW(BM201)-ROW(BM$15),0),15-13*ORÇAMENTO!$AF$11)),
         0)</f>
        <v>0</v>
      </c>
      <c r="BN201" s="352" t="n">
        <f aca="true">IF(AND($D201="Serviço",BN$12&lt;&gt;0,$H201&gt;0,OR(AUTOEVENTO&lt;&gt;"manual",$M201&lt;&gt;$A$15)),
        IF(Import.TipoArredondamento&lt;&gt;"TransfereGOV",
              ROUND(OFFSET($P201,0,BN$13),15-13*ORÇAMENTO!$AF$7)/$H201*OFFSET(ORÇAMENTO!$X$15,ROW(BN201)-ROW(BN$15),0),
              ROUND(ROUND(OFFSET($P201,0,BN$13),15-13*ORÇAMENTO!$AF$7)*OFFSET(ORÇAMENTO!$W$15,ROW(BN201)-ROW(BN$15),0),15-13*ORÇAMENTO!$AF$11)),
         0)</f>
        <v>0</v>
      </c>
      <c r="BO201" s="352" t="n">
        <f aca="true">IF(AND($D201="Serviço",BO$12&lt;&gt;0,$H201&gt;0,OR(AUTOEVENTO&lt;&gt;"manual",$M201&lt;&gt;$A$15)),
        IF(Import.TipoArredondamento&lt;&gt;"TransfereGOV",
              ROUND(OFFSET($P201,0,BO$13),15-13*ORÇAMENTO!$AF$7)/$H201*OFFSET(ORÇAMENTO!$X$15,ROW(BO201)-ROW(BO$15),0),
              ROUND(ROUND(OFFSET($P201,0,BO$13),15-13*ORÇAMENTO!$AF$7)*OFFSET(ORÇAMENTO!$W$15,ROW(BO201)-ROW(BO$15),0),15-13*ORÇAMENTO!$AF$11)),
         0)</f>
        <v>0</v>
      </c>
      <c r="BP201" s="352" t="n">
        <f aca="true">IF(AND($D201="Serviço",BP$12&lt;&gt;0,$H201&gt;0,OR(AUTOEVENTO&lt;&gt;"manual",$M201&lt;&gt;$A$15)),
        IF(Import.TipoArredondamento&lt;&gt;"TransfereGOV",
              ROUND(OFFSET($P201,0,BP$13),15-13*ORÇAMENTO!$AF$7)/$H201*OFFSET(ORÇAMENTO!$X$15,ROW(BP201)-ROW(BP$15),0),
              ROUND(ROUND(OFFSET($P201,0,BP$13),15-13*ORÇAMENTO!$AF$7)*OFFSET(ORÇAMENTO!$W$15,ROW(BP201)-ROW(BP$15),0),15-13*ORÇAMENTO!$AF$11)),
         0)</f>
        <v>0</v>
      </c>
      <c r="BQ201" s="352" t="n">
        <f aca="true">IF(AND($D201="Serviço",BQ$12&lt;&gt;0,$H201&gt;0,OR(AUTOEVENTO&lt;&gt;"manual",$M201&lt;&gt;$A$15)),
        IF(Import.TipoArredondamento&lt;&gt;"TransfereGOV",
              ROUND(OFFSET($P201,0,BQ$13),15-13*ORÇAMENTO!$AF$7)/$H201*OFFSET(ORÇAMENTO!$X$15,ROW(BQ201)-ROW(BQ$15),0),
              ROUND(ROUND(OFFSET($P201,0,BQ$13),15-13*ORÇAMENTO!$AF$7)*OFFSET(ORÇAMENTO!$W$15,ROW(BQ201)-ROW(BQ$15),0),15-13*ORÇAMENTO!$AF$11)),
         0)</f>
        <v>0</v>
      </c>
      <c r="BS201" s="353" t="n">
        <f aca="true">IF(OR($D201&lt;&gt;"Serviço",AND(AUTOEVENTO="Manual",$M201=$A$15)),0,
         IF(OFFSET(CRONOPLE!$F$15,$M201-$A$15,BS$13)=0,10^12,OFFSET(CRONOPLE!$F$15,$M201-$A$15,BS$13)))</f>
        <v>0</v>
      </c>
      <c r="BT201" s="353" t="n">
        <f aca="true">IF(OR($D201&lt;&gt;"Serviço",AND(AUTOEVENTO="Manual",$M201=$A$15)),0,
         IF(OFFSET(CRONOPLE!$F$15,$M201-$A$15,BT$13)=0,10^12,OFFSET(CRONOPLE!$F$15,$M201-$A$15,BT$13)))</f>
        <v>0</v>
      </c>
      <c r="BU201" s="353" t="n">
        <f aca="true">IF(OR($D201&lt;&gt;"Serviço",AND(AUTOEVENTO="Manual",$M201=$A$15)),0,
         IF(OFFSET(CRONOPLE!$F$15,$M201-$A$15,BU$13)=0,10^12,OFFSET(CRONOPLE!$F$15,$M201-$A$15,BU$13)))</f>
        <v>0</v>
      </c>
      <c r="BV201" s="353" t="n">
        <f aca="true">IF(OR($D201&lt;&gt;"Serviço",AND(AUTOEVENTO="Manual",$M201=$A$15)),0,
         IF(OFFSET(CRONOPLE!$F$15,$M201-$A$15,BV$13)=0,10^12,OFFSET(CRONOPLE!$F$15,$M201-$A$15,BV$13)))</f>
        <v>0</v>
      </c>
      <c r="BW201" s="353" t="n">
        <f aca="true">IF(OR($D201&lt;&gt;"Serviço",AND(AUTOEVENTO="Manual",$M201=$A$15)),0,
         IF(OFFSET(CRONOPLE!$F$15,$M201-$A$15,BW$13)=0,10^12,OFFSET(CRONOPLE!$F$15,$M201-$A$15,BW$13)))</f>
        <v>0</v>
      </c>
      <c r="BX201" s="353" t="n">
        <f aca="true">IF(OR($D201&lt;&gt;"Serviço",AND(AUTOEVENTO="Manual",$M201=$A$15)),0,
         IF(OFFSET(CRONOPLE!$F$15,$M201-$A$15,BX$13)=0,10^12,OFFSET(CRONOPLE!$F$15,$M201-$A$15,BX$13)))</f>
        <v>0</v>
      </c>
      <c r="BY201" s="353" t="n">
        <f aca="true">IF(OR($D201&lt;&gt;"Serviço",AND(AUTOEVENTO="Manual",$M201=$A$15)),0,
         IF(OFFSET(CRONOPLE!$F$15,$M201-$A$15,BY$13)=0,10^12,OFFSET(CRONOPLE!$F$15,$M201-$A$15,BY$13)))</f>
        <v>0</v>
      </c>
      <c r="BZ201" s="353" t="n">
        <f aca="true">IF(OR($D201&lt;&gt;"Serviço",AND(AUTOEVENTO="Manual",$M201=$A$15)),0,
         IF(OFFSET(CRONOPLE!$F$15,$M201-$A$15,BZ$13)=0,10^12,OFFSET(CRONOPLE!$F$15,$M201-$A$15,BZ$13)))</f>
        <v>0</v>
      </c>
      <c r="CA201" s="353" t="n">
        <f aca="true">IF(OR($D201&lt;&gt;"Serviço",AND(AUTOEVENTO="Manual",$M201=$A$15)),0,
         IF(OFFSET(CRONOPLE!$F$15,$M201-$A$15,CA$13)=0,10^12,OFFSET(CRONOPLE!$F$15,$M201-$A$15,CA$13)))</f>
        <v>0</v>
      </c>
      <c r="CB201" s="353" t="n">
        <f aca="true">IF(OR($D201&lt;&gt;"Serviço",AND(AUTOEVENTO="Manual",$M201=$A$15)),0,
         IF(OFFSET(CRONOPLE!$F$15,$M201-$A$15,CB$13)=0,10^12,OFFSET(CRONOPLE!$F$15,$M201-$A$15,CB$13)))</f>
        <v>0</v>
      </c>
      <c r="CC201" s="353" t="n">
        <f aca="true">IF(OR($D201&lt;&gt;"Serviço",AND(AUTOEVENTO="Manual",$M201=$A$15)),0,
         IF(OFFSET(CRONOPLE!$F$15,$M201-$A$15,CC$13)=0,10^12,OFFSET(CRONOPLE!$F$15,$M201-$A$15,CC$13)))</f>
        <v>0</v>
      </c>
      <c r="CD201" s="353" t="n">
        <f aca="true">IF(OR($D201&lt;&gt;"Serviço",AND(AUTOEVENTO="Manual",$M201=$A$15)),0,
         IF(OFFSET(CRONOPLE!$F$15,$M201-$A$15,CD$13)=0,10^12,OFFSET(CRONOPLE!$F$15,$M201-$A$15,CD$13)))</f>
        <v>0</v>
      </c>
      <c r="CE201" s="353" t="n">
        <f aca="true">IF(OR($D201&lt;&gt;"Serviço",AND(AUTOEVENTO="Manual",$M201=$A$15)),0,
         IF(OFFSET(CRONOPLE!$F$15,$M201-$A$15,CE$13)=0,10^12,OFFSET(CRONOPLE!$F$15,$M201-$A$15,CE$13)))</f>
        <v>0</v>
      </c>
      <c r="CF201" s="353" t="n">
        <f aca="true">IF(OR($D201&lt;&gt;"Serviço",AND(AUTOEVENTO="Manual",$M201=$A$15)),0,
         IF(OFFSET(CRONOPLE!$F$15,$M201-$A$15,CF$13)=0,10^12,OFFSET(CRONOPLE!$F$15,$M201-$A$15,CF$13)))</f>
        <v>0</v>
      </c>
      <c r="CG201" s="353" t="n">
        <f aca="true">IF(OR($D201&lt;&gt;"Serviço",AND(AUTOEVENTO="Manual",$M201=$A$15)),0,
         IF(OFFSET(CRONOPLE!$F$15,$M201-$A$15,CG$13)=0,10^12,OFFSET(CRONOPLE!$F$15,$M201-$A$15,CG$13)))</f>
        <v>0</v>
      </c>
      <c r="CH201" s="353" t="n">
        <f aca="true">IF(OR($D201&lt;&gt;"Serviço",AND(AUTOEVENTO="Manual",$M201=$A$15)),0,
         IF(OFFSET(CRONOPLE!$F$15,$M201-$A$15,CH$13)=0,10^12,OFFSET(CRONOPLE!$F$15,$M201-$A$15,CH$13)))</f>
        <v>0</v>
      </c>
      <c r="CI201" s="353" t="n">
        <f aca="true">IF(OR($D201&lt;&gt;"Serviço",AND(AUTOEVENTO="Manual",$M201=$A$15)),0,
         IF(OFFSET(CRONOPLE!$F$15,$M201-$A$15,CI$13)=0,10^12,OFFSET(CRONOPLE!$F$15,$M201-$A$15,CI$13)))</f>
        <v>0</v>
      </c>
      <c r="CJ201" s="353" t="n">
        <f aca="true">IF(OR($D201&lt;&gt;"Serviço",AND(AUTOEVENTO="Manual",$M201=$A$15)),0,
         IF(OFFSET(CRONOPLE!$F$15,$M201-$A$15,CJ$13)=0,10^12,OFFSET(CRONOPLE!$F$15,$M201-$A$15,CJ$13)))</f>
        <v>0</v>
      </c>
      <c r="CK201" s="353" t="n">
        <f aca="true">IF(OR($D201&lt;&gt;"Serviço",AND(AUTOEVENTO="Manual",$M201=$A$15)),0,
         IF(OFFSET(CRONOPLE!$F$15,$M201-$A$15,CK$13)=0,10^12,OFFSET(CRONOPLE!$F$15,$M201-$A$15,CK$13)))</f>
        <v>0</v>
      </c>
      <c r="CL201" s="353" t="n">
        <f aca="true">IF(OR($D201&lt;&gt;"Serviço",AND(AUTOEVENTO="Manual",$M201=$A$15)),0,
         IF(OFFSET(CRONOPLE!$F$15,$M201-$A$15,CL$13)=0,10^12,OFFSET(CRONOPLE!$F$15,$M201-$A$15,CL$13)))</f>
        <v>0</v>
      </c>
      <c r="CM201" s="353" t="n">
        <f aca="true">IF(OR($D201&lt;&gt;"Serviço",AND(AUTOEVENTO="Manual",$M201=$A$15)),0,
         IF(OFFSET(CRONOPLE!$F$15,$M201-$A$15,CM$13)=0,10^12,OFFSET(CRONOPLE!$F$15,$M201-$A$15,CM$13)))</f>
        <v>0</v>
      </c>
      <c r="CN201" s="353" t="n">
        <f aca="true">IF(OR($D201&lt;&gt;"Serviço",AND(AUTOEVENTO="Manual",$M201=$A$15)),0,
         IF(OFFSET(CRONOPLE!$F$15,$M201-$A$15,CN$13)=0,10^12,OFFSET(CRONOPLE!$F$15,$M201-$A$15,CN$13)))</f>
        <v>0</v>
      </c>
      <c r="CO201" s="353" t="n">
        <f aca="true">IF(OR($D201&lt;&gt;"Serviço",AND(AUTOEVENTO="Manual",$M201=$A$15)),0,
         IF(OFFSET(CRONOPLE!$F$15,$M201-$A$15,CO$13)=0,10^12,OFFSET(CRONOPLE!$F$15,$M201-$A$15,CO$13)))</f>
        <v>0</v>
      </c>
      <c r="CP201" s="353" t="n">
        <f aca="true">IF(OR($D201&lt;&gt;"Serviço",AND(AUTOEVENTO="Manual",$M201=$A$15)),0,
         IF(OFFSET(CRONOPLE!$F$15,$M201-$A$15,CP$13)=0,10^12,OFFSET(CRONOPLE!$F$15,$M201-$A$15,CP$13)))</f>
        <v>0</v>
      </c>
      <c r="CQ201" s="353" t="n">
        <f aca="true">IF(OR($D201&lt;&gt;"Serviço",AND(AUTOEVENTO="Manual",$M201=$A$15)),0,
         IF(OFFSET(CRONOPLE!$F$15,$M201-$A$15,CQ$13)=0,10^12,OFFSET(CRONOPLE!$F$15,$M201-$A$15,CQ$13)))</f>
        <v>0</v>
      </c>
      <c r="CR201" s="353" t="n">
        <f aca="true">IF(OR($D201&lt;&gt;"Serviço",AND(AUTOEVENTO="Manual",$M201=$A$15)),0,
         IF(OFFSET(CRONOPLE!$F$15,$M201-$A$15,CR$13)=0,10^12,OFFSET(CRONOPLE!$F$15,$M201-$A$15,CR$13)))</f>
        <v>0</v>
      </c>
      <c r="CT201" s="354" t="n">
        <f aca="true">IF(OR($D201&lt;&gt;"Serviço",AND(AUTOEVENTO="Manual",$M201=$A$15),$M201&gt;(ROW(PLE.lastrow)-ROW(PLE.firstrow))),0,
           IF(OFFSET(PLE!$G$15,$M201-$A$15,CT$13)="",10^12,OFFSET(PLE!$G$15,$M201-$A$15,CT$13)))</f>
        <v>0</v>
      </c>
      <c r="CU201" s="354" t="n">
        <f aca="true">IF(OR($D201&lt;&gt;"Serviço",AND(AUTOEVENTO="Manual",$M201=$A$15),$M201&gt;(ROW(PLE.lastrow)-ROW(PLE.firstrow))),0,
           IF(OFFSET(PLE!$G$15,$M201-$A$15,CU$13)="",10^12,OFFSET(PLE!$G$15,$M201-$A$15,CU$13)))</f>
        <v>0</v>
      </c>
      <c r="CV201" s="354" t="n">
        <f aca="true">IF(OR($D201&lt;&gt;"Serviço",AND(AUTOEVENTO="Manual",$M201=$A$15),$M201&gt;(ROW(PLE.lastrow)-ROW(PLE.firstrow))),0,
           IF(OFFSET(PLE!$G$15,$M201-$A$15,CV$13)="",10^12,OFFSET(PLE!$G$15,$M201-$A$15,CV$13)))</f>
        <v>0</v>
      </c>
      <c r="CW201" s="354" t="n">
        <f aca="true">IF(OR($D201&lt;&gt;"Serviço",AND(AUTOEVENTO="Manual",$M201=$A$15),$M201&gt;(ROW(PLE.lastrow)-ROW(PLE.firstrow))),0,
           IF(OFFSET(PLE!$G$15,$M201-$A$15,CW$13)="",10^12,OFFSET(PLE!$G$15,$M201-$A$15,CW$13)))</f>
        <v>0</v>
      </c>
      <c r="CX201" s="354" t="n">
        <f aca="true">IF(OR($D201&lt;&gt;"Serviço",AND(AUTOEVENTO="Manual",$M201=$A$15),$M201&gt;(ROW(PLE.lastrow)-ROW(PLE.firstrow))),0,
           IF(OFFSET(PLE!$G$15,$M201-$A$15,CX$13)="",10^12,OFFSET(PLE!$G$15,$M201-$A$15,CX$13)))</f>
        <v>0</v>
      </c>
      <c r="CY201" s="354" t="n">
        <f aca="true">IF(OR($D201&lt;&gt;"Serviço",AND(AUTOEVENTO="Manual",$M201=$A$15),$M201&gt;(ROW(PLE.lastrow)-ROW(PLE.firstrow))),0,
           IF(OFFSET(PLE!$G$15,$M201-$A$15,CY$13)="",10^12,OFFSET(PLE!$G$15,$M201-$A$15,CY$13)))</f>
        <v>0</v>
      </c>
      <c r="CZ201" s="354" t="n">
        <f aca="true">IF(OR($D201&lt;&gt;"Serviço",AND(AUTOEVENTO="Manual",$M201=$A$15),$M201&gt;(ROW(PLE.lastrow)-ROW(PLE.firstrow))),0,
           IF(OFFSET(PLE!$G$15,$M201-$A$15,CZ$13)="",10^12,OFFSET(PLE!$G$15,$M201-$A$15,CZ$13)))</f>
        <v>0</v>
      </c>
      <c r="DA201" s="354" t="n">
        <f aca="true">IF(OR($D201&lt;&gt;"Serviço",AND(AUTOEVENTO="Manual",$M201=$A$15),$M201&gt;(ROW(PLE.lastrow)-ROW(PLE.firstrow))),0,
           IF(OFFSET(PLE!$G$15,$M201-$A$15,DA$13)="",10^12,OFFSET(PLE!$G$15,$M201-$A$15,DA$13)))</f>
        <v>0</v>
      </c>
      <c r="DB201" s="354" t="n">
        <f aca="true">IF(OR($D201&lt;&gt;"Serviço",AND(AUTOEVENTO="Manual",$M201=$A$15),$M201&gt;(ROW(PLE.lastrow)-ROW(PLE.firstrow))),0,
           IF(OFFSET(PLE!$G$15,$M201-$A$15,DB$13)="",10^12,OFFSET(PLE!$G$15,$M201-$A$15,DB$13)))</f>
        <v>0</v>
      </c>
      <c r="DC201" s="354" t="n">
        <f aca="true">IF(OR($D201&lt;&gt;"Serviço",AND(AUTOEVENTO="Manual",$M201=$A$15),$M201&gt;(ROW(PLE.lastrow)-ROW(PLE.firstrow))),0,
           IF(OFFSET(PLE!$G$15,$M201-$A$15,DC$13)="",10^12,OFFSET(PLE!$G$15,$M201-$A$15,DC$13)))</f>
        <v>0</v>
      </c>
      <c r="DD201" s="354" t="n">
        <f aca="true">IF(OR($D201&lt;&gt;"Serviço",AND(AUTOEVENTO="Manual",$M201=$A$15),$M201&gt;(ROW(PLE.lastrow)-ROW(PLE.firstrow))),0,
           IF(OFFSET(PLE!$G$15,$M201-$A$15,DD$13)="",10^12,OFFSET(PLE!$G$15,$M201-$A$15,DD$13)))</f>
        <v>0</v>
      </c>
      <c r="DE201" s="354" t="n">
        <f aca="true">IF(OR($D201&lt;&gt;"Serviço",AND(AUTOEVENTO="Manual",$M201=$A$15),$M201&gt;(ROW(PLE.lastrow)-ROW(PLE.firstrow))),0,
           IF(OFFSET(PLE!$G$15,$M201-$A$15,DE$13)="",10^12,OFFSET(PLE!$G$15,$M201-$A$15,DE$13)))</f>
        <v>0</v>
      </c>
      <c r="DF201" s="354" t="n">
        <f aca="true">IF(OR($D201&lt;&gt;"Serviço",AND(AUTOEVENTO="Manual",$M201=$A$15),$M201&gt;(ROW(PLE.lastrow)-ROW(PLE.firstrow))),0,
           IF(OFFSET(PLE!$G$15,$M201-$A$15,DF$13)="",10^12,OFFSET(PLE!$G$15,$M201-$A$15,DF$13)))</f>
        <v>0</v>
      </c>
      <c r="DG201" s="354" t="n">
        <f aca="true">IF(OR($D201&lt;&gt;"Serviço",AND(AUTOEVENTO="Manual",$M201=$A$15),$M201&gt;(ROW(PLE.lastrow)-ROW(PLE.firstrow))),0,
           IF(OFFSET(PLE!$G$15,$M201-$A$15,DG$13)="",10^12,OFFSET(PLE!$G$15,$M201-$A$15,DG$13)))</f>
        <v>0</v>
      </c>
      <c r="DH201" s="354" t="n">
        <f aca="true">IF(OR($D201&lt;&gt;"Serviço",AND(AUTOEVENTO="Manual",$M201=$A$15),$M201&gt;(ROW(PLE.lastrow)-ROW(PLE.firstrow))),0,
           IF(OFFSET(PLE!$G$15,$M201-$A$15,DH$13)="",10^12,OFFSET(PLE!$G$15,$M201-$A$15,DH$13)))</f>
        <v>0</v>
      </c>
      <c r="DI201" s="354" t="n">
        <f aca="true">IF(OR($D201&lt;&gt;"Serviço",AND(AUTOEVENTO="Manual",$M201=$A$15),$M201&gt;(ROW(PLE.lastrow)-ROW(PLE.firstrow))),0,
           IF(OFFSET(PLE!$G$15,$M201-$A$15,DI$13)="",10^12,OFFSET(PLE!$G$15,$M201-$A$15,DI$13)))</f>
        <v>0</v>
      </c>
      <c r="DJ201" s="354" t="n">
        <f aca="true">IF(OR($D201&lt;&gt;"Serviço",AND(AUTOEVENTO="Manual",$M201=$A$15),$M201&gt;(ROW(PLE.lastrow)-ROW(PLE.firstrow))),0,
           IF(OFFSET(PLE!$G$15,$M201-$A$15,DJ$13)="",10^12,OFFSET(PLE!$G$15,$M201-$A$15,DJ$13)))</f>
        <v>0</v>
      </c>
      <c r="DK201" s="354" t="n">
        <f aca="true">IF(OR($D201&lt;&gt;"Serviço",AND(AUTOEVENTO="Manual",$M201=$A$15),$M201&gt;(ROW(PLE.lastrow)-ROW(PLE.firstrow))),0,
           IF(OFFSET(PLE!$G$15,$M201-$A$15,DK$13)="",10^12,OFFSET(PLE!$G$15,$M201-$A$15,DK$13)))</f>
        <v>0</v>
      </c>
      <c r="DL201" s="354" t="n">
        <f aca="true">IF(OR($D201&lt;&gt;"Serviço",AND(AUTOEVENTO="Manual",$M201=$A$15),$M201&gt;(ROW(PLE.lastrow)-ROW(PLE.firstrow))),0,
           IF(OFFSET(PLE!$G$15,$M201-$A$15,DL$13)="",10^12,OFFSET(PLE!$G$15,$M201-$A$15,DL$13)))</f>
        <v>0</v>
      </c>
      <c r="DM201" s="354" t="n">
        <f aca="true">IF(OR($D201&lt;&gt;"Serviço",AND(AUTOEVENTO="Manual",$M201=$A$15),$M201&gt;(ROW(PLE.lastrow)-ROW(PLE.firstrow))),0,
           IF(OFFSET(PLE!$G$15,$M201-$A$15,DM$13)="",10^12,OFFSET(PLE!$G$15,$M201-$A$15,DM$13)))</f>
        <v>0</v>
      </c>
      <c r="DN201" s="354" t="n">
        <f aca="true">IF(OR($D201&lt;&gt;"Serviço",AND(AUTOEVENTO="Manual",$M201=$A$15),$M201&gt;(ROW(PLE.lastrow)-ROW(PLE.firstrow))),0,
           IF(OFFSET(PLE!$G$15,$M201-$A$15,DN$13)="",10^12,OFFSET(PLE!$G$15,$M201-$A$15,DN$13)))</f>
        <v>0</v>
      </c>
      <c r="DO201" s="354" t="n">
        <f aca="true">IF(OR($D201&lt;&gt;"Serviço",AND(AUTOEVENTO="Manual",$M201=$A$15),$M201&gt;(ROW(PLE.lastrow)-ROW(PLE.firstrow))),0,
           IF(OFFSET(PLE!$G$15,$M201-$A$15,DO$13)="",10^12,OFFSET(PLE!$G$15,$M201-$A$15,DO$13)))</f>
        <v>0</v>
      </c>
      <c r="DP201" s="354" t="n">
        <f aca="true">IF(OR($D201&lt;&gt;"Serviço",AND(AUTOEVENTO="Manual",$M201=$A$15),$M201&gt;(ROW(PLE.lastrow)-ROW(PLE.firstrow))),0,
           IF(OFFSET(PLE!$G$15,$M201-$A$15,DP$13)="",10^12,OFFSET(PLE!$G$15,$M201-$A$15,DP$13)))</f>
        <v>0</v>
      </c>
      <c r="DQ201" s="354" t="n">
        <f aca="true">IF(OR($D201&lt;&gt;"Serviço",AND(AUTOEVENTO="Manual",$M201=$A$15),$M201&gt;(ROW(PLE.lastrow)-ROW(PLE.firstrow))),0,
           IF(OFFSET(PLE!$G$15,$M201-$A$15,DQ$13)="",10^12,OFFSET(PLE!$G$15,$M201-$A$15,DQ$13)))</f>
        <v>0</v>
      </c>
      <c r="DR201" s="354" t="n">
        <f aca="true">IF(OR($D201&lt;&gt;"Serviço",AND(AUTOEVENTO="Manual",$M201=$A$15),$M201&gt;(ROW(PLE.lastrow)-ROW(PLE.firstrow))),0,
           IF(OFFSET(PLE!$G$15,$M201-$A$15,DR$13)="",10^12,OFFSET(PLE!$G$15,$M201-$A$15,DR$13)))</f>
        <v>0</v>
      </c>
      <c r="DS201" s="354" t="n">
        <f aca="true">IF(OR($D201&lt;&gt;"Serviço",AND(AUTOEVENTO="Manual",$M201=$A$15),$M201&gt;(ROW(PLE.lastrow)-ROW(PLE.firstrow))),0,
           IF(OFFSET(PLE!$G$15,$M201-$A$15,DS$13)="",10^12,OFFSET(PLE!$G$15,$M201-$A$15,DS$13)))</f>
        <v>0</v>
      </c>
    </row>
    <row r="202" customFormat="false" ht="12.75" hidden="false" customHeight="false" outlineLevel="0" collapsed="false">
      <c r="A202" s="50" t="str">
        <f aca="true">IFERROR(IF(AUTOEVENTO="Manual",IF(K202&lt;&gt;"",MIN(VALUE(LEFT(K202,FIND(".",K202)-1)),COUNTA(EVENTOS.Lista)),0),IF(OR($B202&gt;AUTOEVENTO,$B202="S",$B202=0),SUBSTITUTE(OFFSET($A202,-1,0),IF($D202="Serviço",".",""),""),ROW(A202)-ROW($A$15)&amp;".")),0)</f>
        <v>186</v>
      </c>
      <c r="B202" s="50" t="str">
        <f aca="true">OFFSET(ORÇAMENTO!C$15,ROW(B202)-ROW(B$15),0)</f>
        <v>S</v>
      </c>
      <c r="C202" s="50" t="str">
        <f aca="true">OFFSET(ORÇAMENTO!L$15,ROW(C202)-ROW(C$15),0)</f>
        <v>F</v>
      </c>
      <c r="D202" s="201" t="str">
        <f aca="true">OFFSET(ORÇAMENTO!N$15,ROW(D202)-ROW(D$15),0)</f>
        <v>Serviço</v>
      </c>
      <c r="E202" s="202" t="str">
        <f aca="true">OFFSET(ORÇAMENTO!O$15,ROW(E202)-ROW(E$15),0)</f>
        <v>1.53.1.</v>
      </c>
      <c r="F202" s="341" t="str">
        <f aca="true">OFFSET(ORÇAMENTO!R$15,ROW(F202)-ROW(F$15),0)</f>
        <v>LIMPEZA FINAL DE OBRA</v>
      </c>
      <c r="G202" s="342" t="str">
        <f aca="true">IF($D202&lt;&gt;"Serviço","",OFFSET(ORÇAMENTO!S$15,ROW(G202)-ROW(G$15),0))</f>
        <v>M2</v>
      </c>
      <c r="H202" s="207" t="n">
        <f aca="true">IF($D202&lt;&gt;"Serviço",0,IF(ACOMPANHAMENTO="BM",ROUND(OFFSET(ORÇAMENTO!AJ$15,ROW(H202)-ROW(H$15),0),15-13*ORÇAMENTO!$AF$7),SUMPRODUCT(($Q$1:$AQ$1=1)*ROUND($Q202:$AQ202,15-13*ORÇAMENTO!$AF$7))))</f>
        <v>1350</v>
      </c>
      <c r="I202" s="343" t="s">
        <v>986</v>
      </c>
      <c r="J202" s="344" t="e">
        <f aca="false">IF(OR(B202&lt;&gt;"S",CÁLCULO.FrentesPreenchidas=0),"",IF(AND(ACOMPANHAMENTO="PLE",AUTOEVENTO="Manual",OR(H202&gt;0,ORÇAMENTO!AC202="QUANT."),OR(K202="",M202=0,N202="")),"►",IF(AND(ACOMPANHAMENTO="PLE",ORÇAMENTO!AC202="QUANT."),"►►",IF(AND(COUNTIF($P$11:$AQ$11,"▼")=0,H202&gt;0,I202=""),"◄",""))))</f>
        <v>#NAME?</v>
      </c>
      <c r="K202" s="345"/>
      <c r="L202" s="346" t="s">
        <v>876</v>
      </c>
      <c r="M202" s="347" t="n">
        <f aca="true">IF($D202&lt;&gt;"Serviço","",
          IF(AUTOEVENTO="manual",$A202,
                IF(ISERROR(MATCH($A202,$A$15:OFFSET($A202,-1,0),0)),MAX($M$15:OFFSET(M202,-1,0))+1,
                      INDEX($M$15:OFFSET(M202,-1,0),MATCH($A202,$A$15:OFFSET($A202,-1,0),0)))))</f>
        <v>31</v>
      </c>
      <c r="N202" s="348" t="str">
        <f aca="true">IF($D202&lt;&gt;"Serviço","",
         IF(AUTOEVENTO="Manual",
                IF($A202=0,"&lt;-- defina o número do agrupador",
                       OFFSET(EVENTOS!$D$15,$A202-$A$15,0)),
                OFFSET($F$15,$A202,0)))</f>
        <v>CALAFETE / LIMPEZA</v>
      </c>
      <c r="O202" s="349"/>
      <c r="Q202" s="349" t="n">
        <v>54</v>
      </c>
      <c r="R202" s="350" t="n">
        <v>54</v>
      </c>
      <c r="S202" s="350" t="n">
        <v>54</v>
      </c>
      <c r="T202" s="350" t="n">
        <v>54</v>
      </c>
      <c r="U202" s="350" t="n">
        <v>54</v>
      </c>
      <c r="V202" s="350" t="n">
        <v>54</v>
      </c>
      <c r="W202" s="350" t="n">
        <v>54</v>
      </c>
      <c r="X202" s="350" t="n">
        <v>54</v>
      </c>
      <c r="Y202" s="350" t="n">
        <v>54</v>
      </c>
      <c r="Z202" s="351" t="n">
        <v>54</v>
      </c>
      <c r="AA202" s="350" t="n">
        <v>54</v>
      </c>
      <c r="AB202" s="350" t="n">
        <v>54</v>
      </c>
      <c r="AC202" s="350" t="n">
        <v>54</v>
      </c>
      <c r="AD202" s="350" t="n">
        <v>54</v>
      </c>
      <c r="AE202" s="350" t="n">
        <v>54</v>
      </c>
      <c r="AF202" s="350" t="n">
        <v>54</v>
      </c>
      <c r="AG202" s="350" t="n">
        <v>54</v>
      </c>
      <c r="AH202" s="351" t="n">
        <v>54</v>
      </c>
      <c r="AI202" s="350" t="n">
        <v>54</v>
      </c>
      <c r="AJ202" s="350" t="n">
        <v>54</v>
      </c>
      <c r="AK202" s="350" t="n">
        <v>54</v>
      </c>
      <c r="AL202" s="350" t="n">
        <v>54</v>
      </c>
      <c r="AM202" s="350" t="n">
        <v>54</v>
      </c>
      <c r="AN202" s="350" t="n">
        <v>54</v>
      </c>
      <c r="AO202" s="350" t="n">
        <v>54</v>
      </c>
      <c r="AP202" s="351"/>
      <c r="AR202" s="352" t="n">
        <f aca="true">IF(AND($D202="Serviço",AR$12&lt;&gt;0,$H202&gt;0,OR(AUTOEVENTO&lt;&gt;"manual",$M202&lt;&gt;$A$15)),
        IF(Import.TipoArredondamento&lt;&gt;"TransfereGOV",
              ROUND(OFFSET($P202,0,AR$13),15-13*ORÇAMENTO!$AF$7)/$H202*OFFSET(ORÇAMENTO!$X$15,ROW(AR202)-ROW(AR$15),0),
              ROUND(ROUND(OFFSET($P202,0,AR$13),15-13*ORÇAMENTO!$AF$7)*OFFSET(ORÇAMENTO!$W$15,ROW(AR202)-ROW(AR$15),0),15-13*ORÇAMENTO!$AF$11)),
         0)</f>
        <v>537.84</v>
      </c>
      <c r="AS202" s="352" t="n">
        <f aca="true">IF(AND($D202="Serviço",AS$12&lt;&gt;0,$H202&gt;0,OR(AUTOEVENTO&lt;&gt;"manual",$M202&lt;&gt;$A$15)),
        IF(Import.TipoArredondamento&lt;&gt;"TransfereGOV",
              ROUND(OFFSET($P202,0,AS$13),15-13*ORÇAMENTO!$AF$7)/$H202*OFFSET(ORÇAMENTO!$X$15,ROW(AS202)-ROW(AS$15),0),
              ROUND(ROUND(OFFSET($P202,0,AS$13),15-13*ORÇAMENTO!$AF$7)*OFFSET(ORÇAMENTO!$W$15,ROW(AS202)-ROW(AS$15),0),15-13*ORÇAMENTO!$AF$11)),
         0)</f>
        <v>537.84</v>
      </c>
      <c r="AT202" s="352" t="n">
        <f aca="true">IF(AND($D202="Serviço",AT$12&lt;&gt;0,$H202&gt;0,OR(AUTOEVENTO&lt;&gt;"manual",$M202&lt;&gt;$A$15)),
        IF(Import.TipoArredondamento&lt;&gt;"TransfereGOV",
              ROUND(OFFSET($P202,0,AT$13),15-13*ORÇAMENTO!$AF$7)/$H202*OFFSET(ORÇAMENTO!$X$15,ROW(AT202)-ROW(AT$15),0),
              ROUND(ROUND(OFFSET($P202,0,AT$13),15-13*ORÇAMENTO!$AF$7)*OFFSET(ORÇAMENTO!$W$15,ROW(AT202)-ROW(AT$15),0),15-13*ORÇAMENTO!$AF$11)),
         0)</f>
        <v>537.84</v>
      </c>
      <c r="AU202" s="352" t="n">
        <f aca="true">IF(AND($D202="Serviço",AU$12&lt;&gt;0,$H202&gt;0,OR(AUTOEVENTO&lt;&gt;"manual",$M202&lt;&gt;$A$15)),
        IF(Import.TipoArredondamento&lt;&gt;"TransfereGOV",
              ROUND(OFFSET($P202,0,AU$13),15-13*ORÇAMENTO!$AF$7)/$H202*OFFSET(ORÇAMENTO!$X$15,ROW(AU202)-ROW(AU$15),0),
              ROUND(ROUND(OFFSET($P202,0,AU$13),15-13*ORÇAMENTO!$AF$7)*OFFSET(ORÇAMENTO!$W$15,ROW(AU202)-ROW(AU$15),0),15-13*ORÇAMENTO!$AF$11)),
         0)</f>
        <v>537.84</v>
      </c>
      <c r="AV202" s="352" t="n">
        <f aca="true">IF(AND($D202="Serviço",AV$12&lt;&gt;0,$H202&gt;0,OR(AUTOEVENTO&lt;&gt;"manual",$M202&lt;&gt;$A$15)),
        IF(Import.TipoArredondamento&lt;&gt;"TransfereGOV",
              ROUND(OFFSET($P202,0,AV$13),15-13*ORÇAMENTO!$AF$7)/$H202*OFFSET(ORÇAMENTO!$X$15,ROW(AV202)-ROW(AV$15),0),
              ROUND(ROUND(OFFSET($P202,0,AV$13),15-13*ORÇAMENTO!$AF$7)*OFFSET(ORÇAMENTO!$W$15,ROW(AV202)-ROW(AV$15),0),15-13*ORÇAMENTO!$AF$11)),
         0)</f>
        <v>537.84</v>
      </c>
      <c r="AW202" s="352" t="n">
        <f aca="true">IF(AND($D202="Serviço",AW$12&lt;&gt;0,$H202&gt;0,OR(AUTOEVENTO&lt;&gt;"manual",$M202&lt;&gt;$A$15)),
        IF(Import.TipoArredondamento&lt;&gt;"TransfereGOV",
              ROUND(OFFSET($P202,0,AW$13),15-13*ORÇAMENTO!$AF$7)/$H202*OFFSET(ORÇAMENTO!$X$15,ROW(AW202)-ROW(AW$15),0),
              ROUND(ROUND(OFFSET($P202,0,AW$13),15-13*ORÇAMENTO!$AF$7)*OFFSET(ORÇAMENTO!$W$15,ROW(AW202)-ROW(AW$15),0),15-13*ORÇAMENTO!$AF$11)),
         0)</f>
        <v>537.84</v>
      </c>
      <c r="AX202" s="352" t="n">
        <f aca="true">IF(AND($D202="Serviço",AX$12&lt;&gt;0,$H202&gt;0,OR(AUTOEVENTO&lt;&gt;"manual",$M202&lt;&gt;$A$15)),
        IF(Import.TipoArredondamento&lt;&gt;"TransfereGOV",
              ROUND(OFFSET($P202,0,AX$13),15-13*ORÇAMENTO!$AF$7)/$H202*OFFSET(ORÇAMENTO!$X$15,ROW(AX202)-ROW(AX$15),0),
              ROUND(ROUND(OFFSET($P202,0,AX$13),15-13*ORÇAMENTO!$AF$7)*OFFSET(ORÇAMENTO!$W$15,ROW(AX202)-ROW(AX$15),0),15-13*ORÇAMENTO!$AF$11)),
         0)</f>
        <v>537.84</v>
      </c>
      <c r="AY202" s="352" t="n">
        <f aca="true">IF(AND($D202="Serviço",AY$12&lt;&gt;0,$H202&gt;0,OR(AUTOEVENTO&lt;&gt;"manual",$M202&lt;&gt;$A$15)),
        IF(Import.TipoArredondamento&lt;&gt;"TransfereGOV",
              ROUND(OFFSET($P202,0,AY$13),15-13*ORÇAMENTO!$AF$7)/$H202*OFFSET(ORÇAMENTO!$X$15,ROW(AY202)-ROW(AY$15),0),
              ROUND(ROUND(OFFSET($P202,0,AY$13),15-13*ORÇAMENTO!$AF$7)*OFFSET(ORÇAMENTO!$W$15,ROW(AY202)-ROW(AY$15),0),15-13*ORÇAMENTO!$AF$11)),
         0)</f>
        <v>537.84</v>
      </c>
      <c r="AZ202" s="352" t="n">
        <f aca="true">IF(AND($D202="Serviço",AZ$12&lt;&gt;0,$H202&gt;0,OR(AUTOEVENTO&lt;&gt;"manual",$M202&lt;&gt;$A$15)),
        IF(Import.TipoArredondamento&lt;&gt;"TransfereGOV",
              ROUND(OFFSET($P202,0,AZ$13),15-13*ORÇAMENTO!$AF$7)/$H202*OFFSET(ORÇAMENTO!$X$15,ROW(AZ202)-ROW(AZ$15),0),
              ROUND(ROUND(OFFSET($P202,0,AZ$13),15-13*ORÇAMENTO!$AF$7)*OFFSET(ORÇAMENTO!$W$15,ROW(AZ202)-ROW(AZ$15),0),15-13*ORÇAMENTO!$AF$11)),
         0)</f>
        <v>537.84</v>
      </c>
      <c r="BA202" s="352" t="n">
        <f aca="true">IF(AND($D202="Serviço",BA$12&lt;&gt;0,$H202&gt;0,OR(AUTOEVENTO&lt;&gt;"manual",$M202&lt;&gt;$A$15)),
        IF(Import.TipoArredondamento&lt;&gt;"TransfereGOV",
              ROUND(OFFSET($P202,0,BA$13),15-13*ORÇAMENTO!$AF$7)/$H202*OFFSET(ORÇAMENTO!$X$15,ROW(BA202)-ROW(BA$15),0),
              ROUND(ROUND(OFFSET($P202,0,BA$13),15-13*ORÇAMENTO!$AF$7)*OFFSET(ORÇAMENTO!$W$15,ROW(BA202)-ROW(BA$15),0),15-13*ORÇAMENTO!$AF$11)),
         0)</f>
        <v>537.84</v>
      </c>
      <c r="BB202" s="352" t="n">
        <f aca="true">IF(AND($D202="Serviço",BB$12&lt;&gt;0,$H202&gt;0,OR(AUTOEVENTO&lt;&gt;"manual",$M202&lt;&gt;$A$15)),
        IF(Import.TipoArredondamento&lt;&gt;"TransfereGOV",
              ROUND(OFFSET($P202,0,BB$13),15-13*ORÇAMENTO!$AF$7)/$H202*OFFSET(ORÇAMENTO!$X$15,ROW(BB202)-ROW(BB$15),0),
              ROUND(ROUND(OFFSET($P202,0,BB$13),15-13*ORÇAMENTO!$AF$7)*OFFSET(ORÇAMENTO!$W$15,ROW(BB202)-ROW(BB$15),0),15-13*ORÇAMENTO!$AF$11)),
         0)</f>
        <v>537.84</v>
      </c>
      <c r="BC202" s="352" t="n">
        <f aca="true">IF(AND($D202="Serviço",BC$12&lt;&gt;0,$H202&gt;0,OR(AUTOEVENTO&lt;&gt;"manual",$M202&lt;&gt;$A$15)),
        IF(Import.TipoArredondamento&lt;&gt;"TransfereGOV",
              ROUND(OFFSET($P202,0,BC$13),15-13*ORÇAMENTO!$AF$7)/$H202*OFFSET(ORÇAMENTO!$X$15,ROW(BC202)-ROW(BC$15),0),
              ROUND(ROUND(OFFSET($P202,0,BC$13),15-13*ORÇAMENTO!$AF$7)*OFFSET(ORÇAMENTO!$W$15,ROW(BC202)-ROW(BC$15),0),15-13*ORÇAMENTO!$AF$11)),
         0)</f>
        <v>537.84</v>
      </c>
      <c r="BD202" s="352" t="n">
        <f aca="true">IF(AND($D202="Serviço",BD$12&lt;&gt;0,$H202&gt;0,OR(AUTOEVENTO&lt;&gt;"manual",$M202&lt;&gt;$A$15)),
        IF(Import.TipoArredondamento&lt;&gt;"TransfereGOV",
              ROUND(OFFSET($P202,0,BD$13),15-13*ORÇAMENTO!$AF$7)/$H202*OFFSET(ORÇAMENTO!$X$15,ROW(BD202)-ROW(BD$15),0),
              ROUND(ROUND(OFFSET($P202,0,BD$13),15-13*ORÇAMENTO!$AF$7)*OFFSET(ORÇAMENTO!$W$15,ROW(BD202)-ROW(BD$15),0),15-13*ORÇAMENTO!$AF$11)),
         0)</f>
        <v>537.84</v>
      </c>
      <c r="BE202" s="352" t="n">
        <f aca="true">IF(AND($D202="Serviço",BE$12&lt;&gt;0,$H202&gt;0,OR(AUTOEVENTO&lt;&gt;"manual",$M202&lt;&gt;$A$15)),
        IF(Import.TipoArredondamento&lt;&gt;"TransfereGOV",
              ROUND(OFFSET($P202,0,BE$13),15-13*ORÇAMENTO!$AF$7)/$H202*OFFSET(ORÇAMENTO!$X$15,ROW(BE202)-ROW(BE$15),0),
              ROUND(ROUND(OFFSET($P202,0,BE$13),15-13*ORÇAMENTO!$AF$7)*OFFSET(ORÇAMENTO!$W$15,ROW(BE202)-ROW(BE$15),0),15-13*ORÇAMENTO!$AF$11)),
         0)</f>
        <v>537.84</v>
      </c>
      <c r="BF202" s="352" t="n">
        <f aca="true">IF(AND($D202="Serviço",BF$12&lt;&gt;0,$H202&gt;0,OR(AUTOEVENTO&lt;&gt;"manual",$M202&lt;&gt;$A$15)),
        IF(Import.TipoArredondamento&lt;&gt;"TransfereGOV",
              ROUND(OFFSET($P202,0,BF$13),15-13*ORÇAMENTO!$AF$7)/$H202*OFFSET(ORÇAMENTO!$X$15,ROW(BF202)-ROW(BF$15),0),
              ROUND(ROUND(OFFSET($P202,0,BF$13),15-13*ORÇAMENTO!$AF$7)*OFFSET(ORÇAMENTO!$W$15,ROW(BF202)-ROW(BF$15),0),15-13*ORÇAMENTO!$AF$11)),
         0)</f>
        <v>537.84</v>
      </c>
      <c r="BG202" s="352" t="n">
        <f aca="true">IF(AND($D202="Serviço",BG$12&lt;&gt;0,$H202&gt;0,OR(AUTOEVENTO&lt;&gt;"manual",$M202&lt;&gt;$A$15)),
        IF(Import.TipoArredondamento&lt;&gt;"TransfereGOV",
              ROUND(OFFSET($P202,0,BG$13),15-13*ORÇAMENTO!$AF$7)/$H202*OFFSET(ORÇAMENTO!$X$15,ROW(BG202)-ROW(BG$15),0),
              ROUND(ROUND(OFFSET($P202,0,BG$13),15-13*ORÇAMENTO!$AF$7)*OFFSET(ORÇAMENTO!$W$15,ROW(BG202)-ROW(BG$15),0),15-13*ORÇAMENTO!$AF$11)),
         0)</f>
        <v>537.84</v>
      </c>
      <c r="BH202" s="352" t="n">
        <f aca="true">IF(AND($D202="Serviço",BH$12&lt;&gt;0,$H202&gt;0,OR(AUTOEVENTO&lt;&gt;"manual",$M202&lt;&gt;$A$15)),
        IF(Import.TipoArredondamento&lt;&gt;"TransfereGOV",
              ROUND(OFFSET($P202,0,BH$13),15-13*ORÇAMENTO!$AF$7)/$H202*OFFSET(ORÇAMENTO!$X$15,ROW(BH202)-ROW(BH$15),0),
              ROUND(ROUND(OFFSET($P202,0,BH$13),15-13*ORÇAMENTO!$AF$7)*OFFSET(ORÇAMENTO!$W$15,ROW(BH202)-ROW(BH$15),0),15-13*ORÇAMENTO!$AF$11)),
         0)</f>
        <v>537.84</v>
      </c>
      <c r="BI202" s="352" t="n">
        <f aca="true">IF(AND($D202="Serviço",BI$12&lt;&gt;0,$H202&gt;0,OR(AUTOEVENTO&lt;&gt;"manual",$M202&lt;&gt;$A$15)),
        IF(Import.TipoArredondamento&lt;&gt;"TransfereGOV",
              ROUND(OFFSET($P202,0,BI$13),15-13*ORÇAMENTO!$AF$7)/$H202*OFFSET(ORÇAMENTO!$X$15,ROW(BI202)-ROW(BI$15),0),
              ROUND(ROUND(OFFSET($P202,0,BI$13),15-13*ORÇAMENTO!$AF$7)*OFFSET(ORÇAMENTO!$W$15,ROW(BI202)-ROW(BI$15),0),15-13*ORÇAMENTO!$AF$11)),
         0)</f>
        <v>537.84</v>
      </c>
      <c r="BJ202" s="352" t="n">
        <f aca="true">IF(AND($D202="Serviço",BJ$12&lt;&gt;0,$H202&gt;0,OR(AUTOEVENTO&lt;&gt;"manual",$M202&lt;&gt;$A$15)),
        IF(Import.TipoArredondamento&lt;&gt;"TransfereGOV",
              ROUND(OFFSET($P202,0,BJ$13),15-13*ORÇAMENTO!$AF$7)/$H202*OFFSET(ORÇAMENTO!$X$15,ROW(BJ202)-ROW(BJ$15),0),
              ROUND(ROUND(OFFSET($P202,0,BJ$13),15-13*ORÇAMENTO!$AF$7)*OFFSET(ORÇAMENTO!$W$15,ROW(BJ202)-ROW(BJ$15),0),15-13*ORÇAMENTO!$AF$11)),
         0)</f>
        <v>537.84</v>
      </c>
      <c r="BK202" s="352" t="n">
        <f aca="true">IF(AND($D202="Serviço",BK$12&lt;&gt;0,$H202&gt;0,OR(AUTOEVENTO&lt;&gt;"manual",$M202&lt;&gt;$A$15)),
        IF(Import.TipoArredondamento&lt;&gt;"TransfereGOV",
              ROUND(OFFSET($P202,0,BK$13),15-13*ORÇAMENTO!$AF$7)/$H202*OFFSET(ORÇAMENTO!$X$15,ROW(BK202)-ROW(BK$15),0),
              ROUND(ROUND(OFFSET($P202,0,BK$13),15-13*ORÇAMENTO!$AF$7)*OFFSET(ORÇAMENTO!$W$15,ROW(BK202)-ROW(BK$15),0),15-13*ORÇAMENTO!$AF$11)),
         0)</f>
        <v>537.84</v>
      </c>
      <c r="BL202" s="352" t="n">
        <f aca="true">IF(AND($D202="Serviço",BL$12&lt;&gt;0,$H202&gt;0,OR(AUTOEVENTO&lt;&gt;"manual",$M202&lt;&gt;$A$15)),
        IF(Import.TipoArredondamento&lt;&gt;"TransfereGOV",
              ROUND(OFFSET($P202,0,BL$13),15-13*ORÇAMENTO!$AF$7)/$H202*OFFSET(ORÇAMENTO!$X$15,ROW(BL202)-ROW(BL$15),0),
              ROUND(ROUND(OFFSET($P202,0,BL$13),15-13*ORÇAMENTO!$AF$7)*OFFSET(ORÇAMENTO!$W$15,ROW(BL202)-ROW(BL$15),0),15-13*ORÇAMENTO!$AF$11)),
         0)</f>
        <v>537.84</v>
      </c>
      <c r="BM202" s="352" t="n">
        <f aca="true">IF(AND($D202="Serviço",BM$12&lt;&gt;0,$H202&gt;0,OR(AUTOEVENTO&lt;&gt;"manual",$M202&lt;&gt;$A$15)),
        IF(Import.TipoArredondamento&lt;&gt;"TransfereGOV",
              ROUND(OFFSET($P202,0,BM$13),15-13*ORÇAMENTO!$AF$7)/$H202*OFFSET(ORÇAMENTO!$X$15,ROW(BM202)-ROW(BM$15),0),
              ROUND(ROUND(OFFSET($P202,0,BM$13),15-13*ORÇAMENTO!$AF$7)*OFFSET(ORÇAMENTO!$W$15,ROW(BM202)-ROW(BM$15),0),15-13*ORÇAMENTO!$AF$11)),
         0)</f>
        <v>537.84</v>
      </c>
      <c r="BN202" s="352" t="n">
        <f aca="true">IF(AND($D202="Serviço",BN$12&lt;&gt;0,$H202&gt;0,OR(AUTOEVENTO&lt;&gt;"manual",$M202&lt;&gt;$A$15)),
        IF(Import.TipoArredondamento&lt;&gt;"TransfereGOV",
              ROUND(OFFSET($P202,0,BN$13),15-13*ORÇAMENTO!$AF$7)/$H202*OFFSET(ORÇAMENTO!$X$15,ROW(BN202)-ROW(BN$15),0),
              ROUND(ROUND(OFFSET($P202,0,BN$13),15-13*ORÇAMENTO!$AF$7)*OFFSET(ORÇAMENTO!$W$15,ROW(BN202)-ROW(BN$15),0),15-13*ORÇAMENTO!$AF$11)),
         0)</f>
        <v>537.84</v>
      </c>
      <c r="BO202" s="352" t="n">
        <f aca="true">IF(AND($D202="Serviço",BO$12&lt;&gt;0,$H202&gt;0,OR(AUTOEVENTO&lt;&gt;"manual",$M202&lt;&gt;$A$15)),
        IF(Import.TipoArredondamento&lt;&gt;"TransfereGOV",
              ROUND(OFFSET($P202,0,BO$13),15-13*ORÇAMENTO!$AF$7)/$H202*OFFSET(ORÇAMENTO!$X$15,ROW(BO202)-ROW(BO$15),0),
              ROUND(ROUND(OFFSET($P202,0,BO$13),15-13*ORÇAMENTO!$AF$7)*OFFSET(ORÇAMENTO!$W$15,ROW(BO202)-ROW(BO$15),0),15-13*ORÇAMENTO!$AF$11)),
         0)</f>
        <v>537.84</v>
      </c>
      <c r="BP202" s="352" t="n">
        <f aca="true">IF(AND($D202="Serviço",BP$12&lt;&gt;0,$H202&gt;0,OR(AUTOEVENTO&lt;&gt;"manual",$M202&lt;&gt;$A$15)),
        IF(Import.TipoArredondamento&lt;&gt;"TransfereGOV",
              ROUND(OFFSET($P202,0,BP$13),15-13*ORÇAMENTO!$AF$7)/$H202*OFFSET(ORÇAMENTO!$X$15,ROW(BP202)-ROW(BP$15),0),
              ROUND(ROUND(OFFSET($P202,0,BP$13),15-13*ORÇAMENTO!$AF$7)*OFFSET(ORÇAMENTO!$W$15,ROW(BP202)-ROW(BP$15),0),15-13*ORÇAMENTO!$AF$11)),
         0)</f>
        <v>537.84</v>
      </c>
      <c r="BQ202" s="352" t="n">
        <f aca="true">IF(AND($D202="Serviço",BQ$12&lt;&gt;0,$H202&gt;0,OR(AUTOEVENTO&lt;&gt;"manual",$M202&lt;&gt;$A$15)),
        IF(Import.TipoArredondamento&lt;&gt;"TransfereGOV",
              ROUND(OFFSET($P202,0,BQ$13),15-13*ORÇAMENTO!$AF$7)/$H202*OFFSET(ORÇAMENTO!$X$15,ROW(BQ202)-ROW(BQ$15),0),
              ROUND(ROUND(OFFSET($P202,0,BQ$13),15-13*ORÇAMENTO!$AF$7)*OFFSET(ORÇAMENTO!$W$15,ROW(BQ202)-ROW(BQ$15),0),15-13*ORÇAMENTO!$AF$11)),
         0)</f>
        <v>0</v>
      </c>
      <c r="BS202" s="353" t="n">
        <f aca="true">IF(OR($D202&lt;&gt;"Serviço",AND(AUTOEVENTO="Manual",$M202=$A$15)),0,
         IF(OFFSET(CRONOPLE!$F$15,$M202-$A$15,BS$13)=0,10^12,OFFSET(CRONOPLE!$F$15,$M202-$A$15,BS$13)))</f>
        <v>1</v>
      </c>
      <c r="BT202" s="353" t="n">
        <f aca="true">IF(OR($D202&lt;&gt;"Serviço",AND(AUTOEVENTO="Manual",$M202=$A$15)),0,
         IF(OFFSET(CRONOPLE!$F$15,$M202-$A$15,BT$13)=0,10^12,OFFSET(CRONOPLE!$F$15,$M202-$A$15,BT$13)))</f>
        <v>2</v>
      </c>
      <c r="BU202" s="353" t="n">
        <f aca="true">IF(OR($D202&lt;&gt;"Serviço",AND(AUTOEVENTO="Manual",$M202=$A$15)),0,
         IF(OFFSET(CRONOPLE!$F$15,$M202-$A$15,BU$13)=0,10^12,OFFSET(CRONOPLE!$F$15,$M202-$A$15,BU$13)))</f>
        <v>3</v>
      </c>
      <c r="BV202" s="353" t="n">
        <f aca="true">IF(OR($D202&lt;&gt;"Serviço",AND(AUTOEVENTO="Manual",$M202=$A$15)),0,
         IF(OFFSET(CRONOPLE!$F$15,$M202-$A$15,BV$13)=0,10^12,OFFSET(CRONOPLE!$F$15,$M202-$A$15,BV$13)))</f>
        <v>4</v>
      </c>
      <c r="BW202" s="353" t="n">
        <f aca="true">IF(OR($D202&lt;&gt;"Serviço",AND(AUTOEVENTO="Manual",$M202=$A$15)),0,
         IF(OFFSET(CRONOPLE!$F$15,$M202-$A$15,BW$13)=0,10^12,OFFSET(CRONOPLE!$F$15,$M202-$A$15,BW$13)))</f>
        <v>5</v>
      </c>
      <c r="BX202" s="353" t="n">
        <f aca="true">IF(OR($D202&lt;&gt;"Serviço",AND(AUTOEVENTO="Manual",$M202=$A$15)),0,
         IF(OFFSET(CRONOPLE!$F$15,$M202-$A$15,BX$13)=0,10^12,OFFSET(CRONOPLE!$F$15,$M202-$A$15,BX$13)))</f>
        <v>6</v>
      </c>
      <c r="BY202" s="353" t="n">
        <f aca="true">IF(OR($D202&lt;&gt;"Serviço",AND(AUTOEVENTO="Manual",$M202=$A$15)),0,
         IF(OFFSET(CRONOPLE!$F$15,$M202-$A$15,BY$13)=0,10^12,OFFSET(CRONOPLE!$F$15,$M202-$A$15,BY$13)))</f>
        <v>7</v>
      </c>
      <c r="BZ202" s="353" t="n">
        <f aca="true">IF(OR($D202&lt;&gt;"Serviço",AND(AUTOEVENTO="Manual",$M202=$A$15)),0,
         IF(OFFSET(CRONOPLE!$F$15,$M202-$A$15,BZ$13)=0,10^12,OFFSET(CRONOPLE!$F$15,$M202-$A$15,BZ$13)))</f>
        <v>8</v>
      </c>
      <c r="CA202" s="353" t="n">
        <f aca="true">IF(OR($D202&lt;&gt;"Serviço",AND(AUTOEVENTO="Manual",$M202=$A$15)),0,
         IF(OFFSET(CRONOPLE!$F$15,$M202-$A$15,CA$13)=0,10^12,OFFSET(CRONOPLE!$F$15,$M202-$A$15,CA$13)))</f>
        <v>9</v>
      </c>
      <c r="CB202" s="353" t="n">
        <f aca="true">IF(OR($D202&lt;&gt;"Serviço",AND(AUTOEVENTO="Manual",$M202=$A$15)),0,
         IF(OFFSET(CRONOPLE!$F$15,$M202-$A$15,CB$13)=0,10^12,OFFSET(CRONOPLE!$F$15,$M202-$A$15,CB$13)))</f>
        <v>10</v>
      </c>
      <c r="CC202" s="353" t="n">
        <f aca="true">IF(OR($D202&lt;&gt;"Serviço",AND(AUTOEVENTO="Manual",$M202=$A$15)),0,
         IF(OFFSET(CRONOPLE!$F$15,$M202-$A$15,CC$13)=0,10^12,OFFSET(CRONOPLE!$F$15,$M202-$A$15,CC$13)))</f>
        <v>11</v>
      </c>
      <c r="CD202" s="353" t="n">
        <f aca="true">IF(OR($D202&lt;&gt;"Serviço",AND(AUTOEVENTO="Manual",$M202=$A$15)),0,
         IF(OFFSET(CRONOPLE!$F$15,$M202-$A$15,CD$13)=0,10^12,OFFSET(CRONOPLE!$F$15,$M202-$A$15,CD$13)))</f>
        <v>12</v>
      </c>
      <c r="CE202" s="353" t="n">
        <f aca="true">IF(OR($D202&lt;&gt;"Serviço",AND(AUTOEVENTO="Manual",$M202=$A$15)),0,
         IF(OFFSET(CRONOPLE!$F$15,$M202-$A$15,CE$13)=0,10^12,OFFSET(CRONOPLE!$F$15,$M202-$A$15,CE$13)))</f>
        <v>13</v>
      </c>
      <c r="CF202" s="353" t="n">
        <f aca="true">IF(OR($D202&lt;&gt;"Serviço",AND(AUTOEVENTO="Manual",$M202=$A$15)),0,
         IF(OFFSET(CRONOPLE!$F$15,$M202-$A$15,CF$13)=0,10^12,OFFSET(CRONOPLE!$F$15,$M202-$A$15,CF$13)))</f>
        <v>14</v>
      </c>
      <c r="CG202" s="353" t="n">
        <f aca="true">IF(OR($D202&lt;&gt;"Serviço",AND(AUTOEVENTO="Manual",$M202=$A$15)),0,
         IF(OFFSET(CRONOPLE!$F$15,$M202-$A$15,CG$13)=0,10^12,OFFSET(CRONOPLE!$F$15,$M202-$A$15,CG$13)))</f>
        <v>15</v>
      </c>
      <c r="CH202" s="353" t="n">
        <f aca="true">IF(OR($D202&lt;&gt;"Serviço",AND(AUTOEVENTO="Manual",$M202=$A$15)),0,
         IF(OFFSET(CRONOPLE!$F$15,$M202-$A$15,CH$13)=0,10^12,OFFSET(CRONOPLE!$F$15,$M202-$A$15,CH$13)))</f>
        <v>16</v>
      </c>
      <c r="CI202" s="353" t="n">
        <f aca="true">IF(OR($D202&lt;&gt;"Serviço",AND(AUTOEVENTO="Manual",$M202=$A$15)),0,
         IF(OFFSET(CRONOPLE!$F$15,$M202-$A$15,CI$13)=0,10^12,OFFSET(CRONOPLE!$F$15,$M202-$A$15,CI$13)))</f>
        <v>17</v>
      </c>
      <c r="CJ202" s="353" t="n">
        <f aca="true">IF(OR($D202&lt;&gt;"Serviço",AND(AUTOEVENTO="Manual",$M202=$A$15)),0,
         IF(OFFSET(CRONOPLE!$F$15,$M202-$A$15,CJ$13)=0,10^12,OFFSET(CRONOPLE!$F$15,$M202-$A$15,CJ$13)))</f>
        <v>18</v>
      </c>
      <c r="CK202" s="353" t="n">
        <f aca="true">IF(OR($D202&lt;&gt;"Serviço",AND(AUTOEVENTO="Manual",$M202=$A$15)),0,
         IF(OFFSET(CRONOPLE!$F$15,$M202-$A$15,CK$13)=0,10^12,OFFSET(CRONOPLE!$F$15,$M202-$A$15,CK$13)))</f>
        <v>19</v>
      </c>
      <c r="CL202" s="353" t="n">
        <f aca="true">IF(OR($D202&lt;&gt;"Serviço",AND(AUTOEVENTO="Manual",$M202=$A$15)),0,
         IF(OFFSET(CRONOPLE!$F$15,$M202-$A$15,CL$13)=0,10^12,OFFSET(CRONOPLE!$F$15,$M202-$A$15,CL$13)))</f>
        <v>20</v>
      </c>
      <c r="CM202" s="353" t="n">
        <f aca="true">IF(OR($D202&lt;&gt;"Serviço",AND(AUTOEVENTO="Manual",$M202=$A$15)),0,
         IF(OFFSET(CRONOPLE!$F$15,$M202-$A$15,CM$13)=0,10^12,OFFSET(CRONOPLE!$F$15,$M202-$A$15,CM$13)))</f>
        <v>21</v>
      </c>
      <c r="CN202" s="353" t="n">
        <f aca="true">IF(OR($D202&lt;&gt;"Serviço",AND(AUTOEVENTO="Manual",$M202=$A$15)),0,
         IF(OFFSET(CRONOPLE!$F$15,$M202-$A$15,CN$13)=0,10^12,OFFSET(CRONOPLE!$F$15,$M202-$A$15,CN$13)))</f>
        <v>22</v>
      </c>
      <c r="CO202" s="353" t="n">
        <f aca="true">IF(OR($D202&lt;&gt;"Serviço",AND(AUTOEVENTO="Manual",$M202=$A$15)),0,
         IF(OFFSET(CRONOPLE!$F$15,$M202-$A$15,CO$13)=0,10^12,OFFSET(CRONOPLE!$F$15,$M202-$A$15,CO$13)))</f>
        <v>23</v>
      </c>
      <c r="CP202" s="353" t="n">
        <f aca="true">IF(OR($D202&lt;&gt;"Serviço",AND(AUTOEVENTO="Manual",$M202=$A$15)),0,
         IF(OFFSET(CRONOPLE!$F$15,$M202-$A$15,CP$13)=0,10^12,OFFSET(CRONOPLE!$F$15,$M202-$A$15,CP$13)))</f>
        <v>24</v>
      </c>
      <c r="CQ202" s="353" t="n">
        <f aca="true">IF(OR($D202&lt;&gt;"Serviço",AND(AUTOEVENTO="Manual",$M202=$A$15)),0,
         IF(OFFSET(CRONOPLE!$F$15,$M202-$A$15,CQ$13)=0,10^12,OFFSET(CRONOPLE!$F$15,$M202-$A$15,CQ$13)))</f>
        <v>25</v>
      </c>
      <c r="CR202" s="353" t="n">
        <f aca="true">IF(OR($D202&lt;&gt;"Serviço",AND(AUTOEVENTO="Manual",$M202=$A$15)),0,
         IF(OFFSET(CRONOPLE!$F$15,$M202-$A$15,CR$13)=0,10^12,OFFSET(CRONOPLE!$F$15,$M202-$A$15,CR$13)))</f>
        <v>1000000000000</v>
      </c>
      <c r="CT202" s="354" t="n">
        <f aca="true">IF(OR($D202&lt;&gt;"Serviço",AND(AUTOEVENTO="Manual",$M202=$A$15),$M202&gt;(ROW(PLE.lastrow)-ROW(PLE.firstrow))),0,
           IF(OFFSET(PLE!$G$15,$M202-$A$15,CT$13)="",10^12,OFFSET(PLE!$G$15,$M202-$A$15,CT$13)))</f>
        <v>1000000000000</v>
      </c>
      <c r="CU202" s="354" t="n">
        <f aca="true">IF(OR($D202&lt;&gt;"Serviço",AND(AUTOEVENTO="Manual",$M202=$A$15),$M202&gt;(ROW(PLE.lastrow)-ROW(PLE.firstrow))),0,
           IF(OFFSET(PLE!$G$15,$M202-$A$15,CU$13)="",10^12,OFFSET(PLE!$G$15,$M202-$A$15,CU$13)))</f>
        <v>1000000000000</v>
      </c>
      <c r="CV202" s="354" t="n">
        <f aca="true">IF(OR($D202&lt;&gt;"Serviço",AND(AUTOEVENTO="Manual",$M202=$A$15),$M202&gt;(ROW(PLE.lastrow)-ROW(PLE.firstrow))),0,
           IF(OFFSET(PLE!$G$15,$M202-$A$15,CV$13)="",10^12,OFFSET(PLE!$G$15,$M202-$A$15,CV$13)))</f>
        <v>1000000000000</v>
      </c>
      <c r="CW202" s="354" t="n">
        <f aca="true">IF(OR($D202&lt;&gt;"Serviço",AND(AUTOEVENTO="Manual",$M202=$A$15),$M202&gt;(ROW(PLE.lastrow)-ROW(PLE.firstrow))),0,
           IF(OFFSET(PLE!$G$15,$M202-$A$15,CW$13)="",10^12,OFFSET(PLE!$G$15,$M202-$A$15,CW$13)))</f>
        <v>1000000000000</v>
      </c>
      <c r="CX202" s="354" t="n">
        <f aca="true">IF(OR($D202&lt;&gt;"Serviço",AND(AUTOEVENTO="Manual",$M202=$A$15),$M202&gt;(ROW(PLE.lastrow)-ROW(PLE.firstrow))),0,
           IF(OFFSET(PLE!$G$15,$M202-$A$15,CX$13)="",10^12,OFFSET(PLE!$G$15,$M202-$A$15,CX$13)))</f>
        <v>1000000000000</v>
      </c>
      <c r="CY202" s="354" t="n">
        <f aca="true">IF(OR($D202&lt;&gt;"Serviço",AND(AUTOEVENTO="Manual",$M202=$A$15),$M202&gt;(ROW(PLE.lastrow)-ROW(PLE.firstrow))),0,
           IF(OFFSET(PLE!$G$15,$M202-$A$15,CY$13)="",10^12,OFFSET(PLE!$G$15,$M202-$A$15,CY$13)))</f>
        <v>1000000000000</v>
      </c>
      <c r="CZ202" s="354" t="n">
        <f aca="true">IF(OR($D202&lt;&gt;"Serviço",AND(AUTOEVENTO="Manual",$M202=$A$15),$M202&gt;(ROW(PLE.lastrow)-ROW(PLE.firstrow))),0,
           IF(OFFSET(PLE!$G$15,$M202-$A$15,CZ$13)="",10^12,OFFSET(PLE!$G$15,$M202-$A$15,CZ$13)))</f>
        <v>1000000000000</v>
      </c>
      <c r="DA202" s="354" t="n">
        <f aca="true">IF(OR($D202&lt;&gt;"Serviço",AND(AUTOEVENTO="Manual",$M202=$A$15),$M202&gt;(ROW(PLE.lastrow)-ROW(PLE.firstrow))),0,
           IF(OFFSET(PLE!$G$15,$M202-$A$15,DA$13)="",10^12,OFFSET(PLE!$G$15,$M202-$A$15,DA$13)))</f>
        <v>1000000000000</v>
      </c>
      <c r="DB202" s="354" t="n">
        <f aca="true">IF(OR($D202&lt;&gt;"Serviço",AND(AUTOEVENTO="Manual",$M202=$A$15),$M202&gt;(ROW(PLE.lastrow)-ROW(PLE.firstrow))),0,
           IF(OFFSET(PLE!$G$15,$M202-$A$15,DB$13)="",10^12,OFFSET(PLE!$G$15,$M202-$A$15,DB$13)))</f>
        <v>1000000000000</v>
      </c>
      <c r="DC202" s="354" t="n">
        <f aca="true">IF(OR($D202&lt;&gt;"Serviço",AND(AUTOEVENTO="Manual",$M202=$A$15),$M202&gt;(ROW(PLE.lastrow)-ROW(PLE.firstrow))),0,
           IF(OFFSET(PLE!$G$15,$M202-$A$15,DC$13)="",10^12,OFFSET(PLE!$G$15,$M202-$A$15,DC$13)))</f>
        <v>1000000000000</v>
      </c>
      <c r="DD202" s="354" t="n">
        <f aca="true">IF(OR($D202&lt;&gt;"Serviço",AND(AUTOEVENTO="Manual",$M202=$A$15),$M202&gt;(ROW(PLE.lastrow)-ROW(PLE.firstrow))),0,
           IF(OFFSET(PLE!$G$15,$M202-$A$15,DD$13)="",10^12,OFFSET(PLE!$G$15,$M202-$A$15,DD$13)))</f>
        <v>1000000000000</v>
      </c>
      <c r="DE202" s="354" t="n">
        <f aca="true">IF(OR($D202&lt;&gt;"Serviço",AND(AUTOEVENTO="Manual",$M202=$A$15),$M202&gt;(ROW(PLE.lastrow)-ROW(PLE.firstrow))),0,
           IF(OFFSET(PLE!$G$15,$M202-$A$15,DE$13)="",10^12,OFFSET(PLE!$G$15,$M202-$A$15,DE$13)))</f>
        <v>1000000000000</v>
      </c>
      <c r="DF202" s="354" t="n">
        <f aca="true">IF(OR($D202&lt;&gt;"Serviço",AND(AUTOEVENTO="Manual",$M202=$A$15),$M202&gt;(ROW(PLE.lastrow)-ROW(PLE.firstrow))),0,
           IF(OFFSET(PLE!$G$15,$M202-$A$15,DF$13)="",10^12,OFFSET(PLE!$G$15,$M202-$A$15,DF$13)))</f>
        <v>1000000000000</v>
      </c>
      <c r="DG202" s="354" t="n">
        <f aca="true">IF(OR($D202&lt;&gt;"Serviço",AND(AUTOEVENTO="Manual",$M202=$A$15),$M202&gt;(ROW(PLE.lastrow)-ROW(PLE.firstrow))),0,
           IF(OFFSET(PLE!$G$15,$M202-$A$15,DG$13)="",10^12,OFFSET(PLE!$G$15,$M202-$A$15,DG$13)))</f>
        <v>1000000000000</v>
      </c>
      <c r="DH202" s="354" t="n">
        <f aca="true">IF(OR($D202&lt;&gt;"Serviço",AND(AUTOEVENTO="Manual",$M202=$A$15),$M202&gt;(ROW(PLE.lastrow)-ROW(PLE.firstrow))),0,
           IF(OFFSET(PLE!$G$15,$M202-$A$15,DH$13)="",10^12,OFFSET(PLE!$G$15,$M202-$A$15,DH$13)))</f>
        <v>1000000000000</v>
      </c>
      <c r="DI202" s="354" t="n">
        <f aca="true">IF(OR($D202&lt;&gt;"Serviço",AND(AUTOEVENTO="Manual",$M202=$A$15),$M202&gt;(ROW(PLE.lastrow)-ROW(PLE.firstrow))),0,
           IF(OFFSET(PLE!$G$15,$M202-$A$15,DI$13)="",10^12,OFFSET(PLE!$G$15,$M202-$A$15,DI$13)))</f>
        <v>1000000000000</v>
      </c>
      <c r="DJ202" s="354" t="n">
        <f aca="true">IF(OR($D202&lt;&gt;"Serviço",AND(AUTOEVENTO="Manual",$M202=$A$15),$M202&gt;(ROW(PLE.lastrow)-ROW(PLE.firstrow))),0,
           IF(OFFSET(PLE!$G$15,$M202-$A$15,DJ$13)="",10^12,OFFSET(PLE!$G$15,$M202-$A$15,DJ$13)))</f>
        <v>1000000000000</v>
      </c>
      <c r="DK202" s="354" t="n">
        <f aca="true">IF(OR($D202&lt;&gt;"Serviço",AND(AUTOEVENTO="Manual",$M202=$A$15),$M202&gt;(ROW(PLE.lastrow)-ROW(PLE.firstrow))),0,
           IF(OFFSET(PLE!$G$15,$M202-$A$15,DK$13)="",10^12,OFFSET(PLE!$G$15,$M202-$A$15,DK$13)))</f>
        <v>1000000000000</v>
      </c>
      <c r="DL202" s="354" t="n">
        <f aca="true">IF(OR($D202&lt;&gt;"Serviço",AND(AUTOEVENTO="Manual",$M202=$A$15),$M202&gt;(ROW(PLE.lastrow)-ROW(PLE.firstrow))),0,
           IF(OFFSET(PLE!$G$15,$M202-$A$15,DL$13)="",10^12,OFFSET(PLE!$G$15,$M202-$A$15,DL$13)))</f>
        <v>1000000000000</v>
      </c>
      <c r="DM202" s="354" t="n">
        <f aca="true">IF(OR($D202&lt;&gt;"Serviço",AND(AUTOEVENTO="Manual",$M202=$A$15),$M202&gt;(ROW(PLE.lastrow)-ROW(PLE.firstrow))),0,
           IF(OFFSET(PLE!$G$15,$M202-$A$15,DM$13)="",10^12,OFFSET(PLE!$G$15,$M202-$A$15,DM$13)))</f>
        <v>1000000000000</v>
      </c>
      <c r="DN202" s="354" t="n">
        <f aca="true">IF(OR($D202&lt;&gt;"Serviço",AND(AUTOEVENTO="Manual",$M202=$A$15),$M202&gt;(ROW(PLE.lastrow)-ROW(PLE.firstrow))),0,
           IF(OFFSET(PLE!$G$15,$M202-$A$15,DN$13)="",10^12,OFFSET(PLE!$G$15,$M202-$A$15,DN$13)))</f>
        <v>1000000000000</v>
      </c>
      <c r="DO202" s="354" t="n">
        <f aca="true">IF(OR($D202&lt;&gt;"Serviço",AND(AUTOEVENTO="Manual",$M202=$A$15),$M202&gt;(ROW(PLE.lastrow)-ROW(PLE.firstrow))),0,
           IF(OFFSET(PLE!$G$15,$M202-$A$15,DO$13)="",10^12,OFFSET(PLE!$G$15,$M202-$A$15,DO$13)))</f>
        <v>1000000000000</v>
      </c>
      <c r="DP202" s="354" t="n">
        <f aca="true">IF(OR($D202&lt;&gt;"Serviço",AND(AUTOEVENTO="Manual",$M202=$A$15),$M202&gt;(ROW(PLE.lastrow)-ROW(PLE.firstrow))),0,
           IF(OFFSET(PLE!$G$15,$M202-$A$15,DP$13)="",10^12,OFFSET(PLE!$G$15,$M202-$A$15,DP$13)))</f>
        <v>1000000000000</v>
      </c>
      <c r="DQ202" s="354" t="n">
        <f aca="true">IF(OR($D202&lt;&gt;"Serviço",AND(AUTOEVENTO="Manual",$M202=$A$15),$M202&gt;(ROW(PLE.lastrow)-ROW(PLE.firstrow))),0,
           IF(OFFSET(PLE!$G$15,$M202-$A$15,DQ$13)="",10^12,OFFSET(PLE!$G$15,$M202-$A$15,DQ$13)))</f>
        <v>1000000000000</v>
      </c>
      <c r="DR202" s="354" t="n">
        <f aca="true">IF(OR($D202&lt;&gt;"Serviço",AND(AUTOEVENTO="Manual",$M202=$A$15),$M202&gt;(ROW(PLE.lastrow)-ROW(PLE.firstrow))),0,
           IF(OFFSET(PLE!$G$15,$M202-$A$15,DR$13)="",10^12,OFFSET(PLE!$G$15,$M202-$A$15,DR$13)))</f>
        <v>1000000000000</v>
      </c>
      <c r="DS202" s="354" t="n">
        <f aca="true">IF(OR($D202&lt;&gt;"Serviço",AND(AUTOEVENTO="Manual",$M202=$A$15),$M202&gt;(ROW(PLE.lastrow)-ROW(PLE.firstrow))),0,
           IF(OFFSET(PLE!$G$15,$M202-$A$15,DS$13)="",10^12,OFFSET(PLE!$G$15,$M202-$A$15,DS$13)))</f>
        <v>1000000000000</v>
      </c>
    </row>
    <row r="203" customFormat="false" ht="12.75" hidden="false" customHeight="false" outlineLevel="0" collapsed="false">
      <c r="A203" s="50" t="str">
        <f aca="true">IFERROR(IF(AUTOEVENTO="Manual",IF(K203&lt;&gt;"",MIN(VALUE(LEFT(K203,FIND(".",K203)-1)),COUNTA(EVENTOS.Lista)),0),IF(OR($B203&gt;AUTOEVENTO,$B203="S",$B203=0),SUBSTITUTE(OFFSET($A203,-1,0),IF($D203="Serviço",".",""),""),ROW(A203)-ROW($A$15)&amp;".")),0)</f>
        <v>188.</v>
      </c>
      <c r="B203" s="50" t="n">
        <f aca="true">OFFSET(ORÇAMENTO!C$15,ROW(B203)-ROW(B$15),0)</f>
        <v>2</v>
      </c>
      <c r="C203" s="50" t="str">
        <f aca="true">OFFSET(ORÇAMENTO!L$15,ROW(C203)-ROW(C$15),0)</f>
        <v>F</v>
      </c>
      <c r="D203" s="201" t="str">
        <f aca="true">OFFSET(ORÇAMENTO!N$15,ROW(D203)-ROW(D$15),0)</f>
        <v>Nível 2</v>
      </c>
      <c r="E203" s="202" t="str">
        <f aca="true">OFFSET(ORÇAMENTO!O$15,ROW(E203)-ROW(E$15),0)</f>
        <v>1.54.</v>
      </c>
      <c r="F203" s="341" t="str">
        <f aca="true">OFFSET(ORÇAMENTO!R$15,ROW(F203)-ROW(F$15),0)</f>
        <v>LIGAÇÕES DEFINITIVAS</v>
      </c>
      <c r="G203" s="342" t="str">
        <f aca="true">IF($D203&lt;&gt;"Serviço","",OFFSET(ORÇAMENTO!S$15,ROW(G203)-ROW(G$15),0))</f>
        <v/>
      </c>
      <c r="H203" s="207" t="n">
        <f aca="true">IF($D203&lt;&gt;"Serviço",0,IF(ACOMPANHAMENTO="BM",ROUND(OFFSET(ORÇAMENTO!AJ$15,ROW(H203)-ROW(H$15),0),15-13*ORÇAMENTO!$AF$7),SUMPRODUCT(($Q$1:$AQ$1=1)*ROUND($Q203:$AQ203,15-13*ORÇAMENTO!$AF$7))))</f>
        <v>0</v>
      </c>
      <c r="I203" s="343"/>
      <c r="J203" s="344" t="str">
        <f aca="false">IF(OR(B203&lt;&gt;"S",CÁLCULO.FrentesPreenchidas=0),"",IF(AND(ACOMPANHAMENTO="PLE",AUTOEVENTO="Manual",OR(H203&gt;0,ORÇAMENTO!AC203="QUANT."),OR(K203="",M203=0,N203="")),"►",IF(AND(ACOMPANHAMENTO="PLE",ORÇAMENTO!AC203="QUANT."),"►►",IF(AND(COUNTIF($P$11:$AQ$11,"▼")=0,H203&gt;0,I203=""),"◄",""))))</f>
        <v/>
      </c>
      <c r="K203" s="345"/>
      <c r="L203" s="346" t="s">
        <v>876</v>
      </c>
      <c r="M203" s="347" t="str">
        <f aca="true">IF($D203&lt;&gt;"Serviço","",
          IF(AUTOEVENTO="manual",$A203,
                IF(ISERROR(MATCH($A203,$A$15:OFFSET($A203,-1,0),0)),MAX($M$15:OFFSET(M203,-1,0))+1,
                      INDEX($M$15:OFFSET(M203,-1,0),MATCH($A203,$A$15:OFFSET($A203,-1,0),0)))))</f>
        <v/>
      </c>
      <c r="N203" s="348" t="str">
        <f aca="true">IF($D203&lt;&gt;"Serviço","",
         IF(AUTOEVENTO="Manual",
                IF($A203=0,"&lt;-- defina o número do agrupador",
                       OFFSET(EVENTOS!$D$15,$A203-$A$15,0)),
                OFFSET($F$15,$A203,0)))</f>
        <v/>
      </c>
      <c r="O203" s="349"/>
      <c r="Q203" s="349"/>
      <c r="R203" s="350"/>
      <c r="S203" s="350"/>
      <c r="T203" s="350"/>
      <c r="U203" s="350"/>
      <c r="V203" s="350"/>
      <c r="W203" s="350"/>
      <c r="X203" s="350"/>
      <c r="Y203" s="350"/>
      <c r="Z203" s="351"/>
      <c r="AA203" s="350"/>
      <c r="AB203" s="350"/>
      <c r="AC203" s="350"/>
      <c r="AD203" s="350"/>
      <c r="AE203" s="350"/>
      <c r="AF203" s="350"/>
      <c r="AG203" s="350"/>
      <c r="AH203" s="351"/>
      <c r="AI203" s="350"/>
      <c r="AJ203" s="350"/>
      <c r="AK203" s="350"/>
      <c r="AL203" s="350"/>
      <c r="AM203" s="350"/>
      <c r="AN203" s="350"/>
      <c r="AO203" s="350"/>
      <c r="AP203" s="351"/>
      <c r="AR203" s="352" t="n">
        <f aca="true">IF(AND($D203="Serviço",AR$12&lt;&gt;0,$H203&gt;0,OR(AUTOEVENTO&lt;&gt;"manual",$M203&lt;&gt;$A$15)),
        IF(Import.TipoArredondamento&lt;&gt;"TransfereGOV",
              ROUND(OFFSET($P203,0,AR$13),15-13*ORÇAMENTO!$AF$7)/$H203*OFFSET(ORÇAMENTO!$X$15,ROW(AR203)-ROW(AR$15),0),
              ROUND(ROUND(OFFSET($P203,0,AR$13),15-13*ORÇAMENTO!$AF$7)*OFFSET(ORÇAMENTO!$W$15,ROW(AR203)-ROW(AR$15),0),15-13*ORÇAMENTO!$AF$11)),
         0)</f>
        <v>0</v>
      </c>
      <c r="AS203" s="352" t="n">
        <f aca="true">IF(AND($D203="Serviço",AS$12&lt;&gt;0,$H203&gt;0,OR(AUTOEVENTO&lt;&gt;"manual",$M203&lt;&gt;$A$15)),
        IF(Import.TipoArredondamento&lt;&gt;"TransfereGOV",
              ROUND(OFFSET($P203,0,AS$13),15-13*ORÇAMENTO!$AF$7)/$H203*OFFSET(ORÇAMENTO!$X$15,ROW(AS203)-ROW(AS$15),0),
              ROUND(ROUND(OFFSET($P203,0,AS$13),15-13*ORÇAMENTO!$AF$7)*OFFSET(ORÇAMENTO!$W$15,ROW(AS203)-ROW(AS$15),0),15-13*ORÇAMENTO!$AF$11)),
         0)</f>
        <v>0</v>
      </c>
      <c r="AT203" s="352" t="n">
        <f aca="true">IF(AND($D203="Serviço",AT$12&lt;&gt;0,$H203&gt;0,OR(AUTOEVENTO&lt;&gt;"manual",$M203&lt;&gt;$A$15)),
        IF(Import.TipoArredondamento&lt;&gt;"TransfereGOV",
              ROUND(OFFSET($P203,0,AT$13),15-13*ORÇAMENTO!$AF$7)/$H203*OFFSET(ORÇAMENTO!$X$15,ROW(AT203)-ROW(AT$15),0),
              ROUND(ROUND(OFFSET($P203,0,AT$13),15-13*ORÇAMENTO!$AF$7)*OFFSET(ORÇAMENTO!$W$15,ROW(AT203)-ROW(AT$15),0),15-13*ORÇAMENTO!$AF$11)),
         0)</f>
        <v>0</v>
      </c>
      <c r="AU203" s="352" t="n">
        <f aca="true">IF(AND($D203="Serviço",AU$12&lt;&gt;0,$H203&gt;0,OR(AUTOEVENTO&lt;&gt;"manual",$M203&lt;&gt;$A$15)),
        IF(Import.TipoArredondamento&lt;&gt;"TransfereGOV",
              ROUND(OFFSET($P203,0,AU$13),15-13*ORÇAMENTO!$AF$7)/$H203*OFFSET(ORÇAMENTO!$X$15,ROW(AU203)-ROW(AU$15),0),
              ROUND(ROUND(OFFSET($P203,0,AU$13),15-13*ORÇAMENTO!$AF$7)*OFFSET(ORÇAMENTO!$W$15,ROW(AU203)-ROW(AU$15),0),15-13*ORÇAMENTO!$AF$11)),
         0)</f>
        <v>0</v>
      </c>
      <c r="AV203" s="352" t="n">
        <f aca="true">IF(AND($D203="Serviço",AV$12&lt;&gt;0,$H203&gt;0,OR(AUTOEVENTO&lt;&gt;"manual",$M203&lt;&gt;$A$15)),
        IF(Import.TipoArredondamento&lt;&gt;"TransfereGOV",
              ROUND(OFFSET($P203,0,AV$13),15-13*ORÇAMENTO!$AF$7)/$H203*OFFSET(ORÇAMENTO!$X$15,ROW(AV203)-ROW(AV$15),0),
              ROUND(ROUND(OFFSET($P203,0,AV$13),15-13*ORÇAMENTO!$AF$7)*OFFSET(ORÇAMENTO!$W$15,ROW(AV203)-ROW(AV$15),0),15-13*ORÇAMENTO!$AF$11)),
         0)</f>
        <v>0</v>
      </c>
      <c r="AW203" s="352" t="n">
        <f aca="true">IF(AND($D203="Serviço",AW$12&lt;&gt;0,$H203&gt;0,OR(AUTOEVENTO&lt;&gt;"manual",$M203&lt;&gt;$A$15)),
        IF(Import.TipoArredondamento&lt;&gt;"TransfereGOV",
              ROUND(OFFSET($P203,0,AW$13),15-13*ORÇAMENTO!$AF$7)/$H203*OFFSET(ORÇAMENTO!$X$15,ROW(AW203)-ROW(AW$15),0),
              ROUND(ROUND(OFFSET($P203,0,AW$13),15-13*ORÇAMENTO!$AF$7)*OFFSET(ORÇAMENTO!$W$15,ROW(AW203)-ROW(AW$15),0),15-13*ORÇAMENTO!$AF$11)),
         0)</f>
        <v>0</v>
      </c>
      <c r="AX203" s="352" t="n">
        <f aca="true">IF(AND($D203="Serviço",AX$12&lt;&gt;0,$H203&gt;0,OR(AUTOEVENTO&lt;&gt;"manual",$M203&lt;&gt;$A$15)),
        IF(Import.TipoArredondamento&lt;&gt;"TransfereGOV",
              ROUND(OFFSET($P203,0,AX$13),15-13*ORÇAMENTO!$AF$7)/$H203*OFFSET(ORÇAMENTO!$X$15,ROW(AX203)-ROW(AX$15),0),
              ROUND(ROUND(OFFSET($P203,0,AX$13),15-13*ORÇAMENTO!$AF$7)*OFFSET(ORÇAMENTO!$W$15,ROW(AX203)-ROW(AX$15),0),15-13*ORÇAMENTO!$AF$11)),
         0)</f>
        <v>0</v>
      </c>
      <c r="AY203" s="352" t="n">
        <f aca="true">IF(AND($D203="Serviço",AY$12&lt;&gt;0,$H203&gt;0,OR(AUTOEVENTO&lt;&gt;"manual",$M203&lt;&gt;$A$15)),
        IF(Import.TipoArredondamento&lt;&gt;"TransfereGOV",
              ROUND(OFFSET($P203,0,AY$13),15-13*ORÇAMENTO!$AF$7)/$H203*OFFSET(ORÇAMENTO!$X$15,ROW(AY203)-ROW(AY$15),0),
              ROUND(ROUND(OFFSET($P203,0,AY$13),15-13*ORÇAMENTO!$AF$7)*OFFSET(ORÇAMENTO!$W$15,ROW(AY203)-ROW(AY$15),0),15-13*ORÇAMENTO!$AF$11)),
         0)</f>
        <v>0</v>
      </c>
      <c r="AZ203" s="352" t="n">
        <f aca="true">IF(AND($D203="Serviço",AZ$12&lt;&gt;0,$H203&gt;0,OR(AUTOEVENTO&lt;&gt;"manual",$M203&lt;&gt;$A$15)),
        IF(Import.TipoArredondamento&lt;&gt;"TransfereGOV",
              ROUND(OFFSET($P203,0,AZ$13),15-13*ORÇAMENTO!$AF$7)/$H203*OFFSET(ORÇAMENTO!$X$15,ROW(AZ203)-ROW(AZ$15),0),
              ROUND(ROUND(OFFSET($P203,0,AZ$13),15-13*ORÇAMENTO!$AF$7)*OFFSET(ORÇAMENTO!$W$15,ROW(AZ203)-ROW(AZ$15),0),15-13*ORÇAMENTO!$AF$11)),
         0)</f>
        <v>0</v>
      </c>
      <c r="BA203" s="352" t="n">
        <f aca="true">IF(AND($D203="Serviço",BA$12&lt;&gt;0,$H203&gt;0,OR(AUTOEVENTO&lt;&gt;"manual",$M203&lt;&gt;$A$15)),
        IF(Import.TipoArredondamento&lt;&gt;"TransfereGOV",
              ROUND(OFFSET($P203,0,BA$13),15-13*ORÇAMENTO!$AF$7)/$H203*OFFSET(ORÇAMENTO!$X$15,ROW(BA203)-ROW(BA$15),0),
              ROUND(ROUND(OFFSET($P203,0,BA$13),15-13*ORÇAMENTO!$AF$7)*OFFSET(ORÇAMENTO!$W$15,ROW(BA203)-ROW(BA$15),0),15-13*ORÇAMENTO!$AF$11)),
         0)</f>
        <v>0</v>
      </c>
      <c r="BB203" s="352" t="n">
        <f aca="true">IF(AND($D203="Serviço",BB$12&lt;&gt;0,$H203&gt;0,OR(AUTOEVENTO&lt;&gt;"manual",$M203&lt;&gt;$A$15)),
        IF(Import.TipoArredondamento&lt;&gt;"TransfereGOV",
              ROUND(OFFSET($P203,0,BB$13),15-13*ORÇAMENTO!$AF$7)/$H203*OFFSET(ORÇAMENTO!$X$15,ROW(BB203)-ROW(BB$15),0),
              ROUND(ROUND(OFFSET($P203,0,BB$13),15-13*ORÇAMENTO!$AF$7)*OFFSET(ORÇAMENTO!$W$15,ROW(BB203)-ROW(BB$15),0),15-13*ORÇAMENTO!$AF$11)),
         0)</f>
        <v>0</v>
      </c>
      <c r="BC203" s="352" t="n">
        <f aca="true">IF(AND($D203="Serviço",BC$12&lt;&gt;0,$H203&gt;0,OR(AUTOEVENTO&lt;&gt;"manual",$M203&lt;&gt;$A$15)),
        IF(Import.TipoArredondamento&lt;&gt;"TransfereGOV",
              ROUND(OFFSET($P203,0,BC$13),15-13*ORÇAMENTO!$AF$7)/$H203*OFFSET(ORÇAMENTO!$X$15,ROW(BC203)-ROW(BC$15),0),
              ROUND(ROUND(OFFSET($P203,0,BC$13),15-13*ORÇAMENTO!$AF$7)*OFFSET(ORÇAMENTO!$W$15,ROW(BC203)-ROW(BC$15),0),15-13*ORÇAMENTO!$AF$11)),
         0)</f>
        <v>0</v>
      </c>
      <c r="BD203" s="352" t="n">
        <f aca="true">IF(AND($D203="Serviço",BD$12&lt;&gt;0,$H203&gt;0,OR(AUTOEVENTO&lt;&gt;"manual",$M203&lt;&gt;$A$15)),
        IF(Import.TipoArredondamento&lt;&gt;"TransfereGOV",
              ROUND(OFFSET($P203,0,BD$13),15-13*ORÇAMENTO!$AF$7)/$H203*OFFSET(ORÇAMENTO!$X$15,ROW(BD203)-ROW(BD$15),0),
              ROUND(ROUND(OFFSET($P203,0,BD$13),15-13*ORÇAMENTO!$AF$7)*OFFSET(ORÇAMENTO!$W$15,ROW(BD203)-ROW(BD$15),0),15-13*ORÇAMENTO!$AF$11)),
         0)</f>
        <v>0</v>
      </c>
      <c r="BE203" s="352" t="n">
        <f aca="true">IF(AND($D203="Serviço",BE$12&lt;&gt;0,$H203&gt;0,OR(AUTOEVENTO&lt;&gt;"manual",$M203&lt;&gt;$A$15)),
        IF(Import.TipoArredondamento&lt;&gt;"TransfereGOV",
              ROUND(OFFSET($P203,0,BE$13),15-13*ORÇAMENTO!$AF$7)/$H203*OFFSET(ORÇAMENTO!$X$15,ROW(BE203)-ROW(BE$15),0),
              ROUND(ROUND(OFFSET($P203,0,BE$13),15-13*ORÇAMENTO!$AF$7)*OFFSET(ORÇAMENTO!$W$15,ROW(BE203)-ROW(BE$15),0),15-13*ORÇAMENTO!$AF$11)),
         0)</f>
        <v>0</v>
      </c>
      <c r="BF203" s="352" t="n">
        <f aca="true">IF(AND($D203="Serviço",BF$12&lt;&gt;0,$H203&gt;0,OR(AUTOEVENTO&lt;&gt;"manual",$M203&lt;&gt;$A$15)),
        IF(Import.TipoArredondamento&lt;&gt;"TransfereGOV",
              ROUND(OFFSET($P203,0,BF$13),15-13*ORÇAMENTO!$AF$7)/$H203*OFFSET(ORÇAMENTO!$X$15,ROW(BF203)-ROW(BF$15),0),
              ROUND(ROUND(OFFSET($P203,0,BF$13),15-13*ORÇAMENTO!$AF$7)*OFFSET(ORÇAMENTO!$W$15,ROW(BF203)-ROW(BF$15),0),15-13*ORÇAMENTO!$AF$11)),
         0)</f>
        <v>0</v>
      </c>
      <c r="BG203" s="352" t="n">
        <f aca="true">IF(AND($D203="Serviço",BG$12&lt;&gt;0,$H203&gt;0,OR(AUTOEVENTO&lt;&gt;"manual",$M203&lt;&gt;$A$15)),
        IF(Import.TipoArredondamento&lt;&gt;"TransfereGOV",
              ROUND(OFFSET($P203,0,BG$13),15-13*ORÇAMENTO!$AF$7)/$H203*OFFSET(ORÇAMENTO!$X$15,ROW(BG203)-ROW(BG$15),0),
              ROUND(ROUND(OFFSET($P203,0,BG$13),15-13*ORÇAMENTO!$AF$7)*OFFSET(ORÇAMENTO!$W$15,ROW(BG203)-ROW(BG$15),0),15-13*ORÇAMENTO!$AF$11)),
         0)</f>
        <v>0</v>
      </c>
      <c r="BH203" s="352" t="n">
        <f aca="true">IF(AND($D203="Serviço",BH$12&lt;&gt;0,$H203&gt;0,OR(AUTOEVENTO&lt;&gt;"manual",$M203&lt;&gt;$A$15)),
        IF(Import.TipoArredondamento&lt;&gt;"TransfereGOV",
              ROUND(OFFSET($P203,0,BH$13),15-13*ORÇAMENTO!$AF$7)/$H203*OFFSET(ORÇAMENTO!$X$15,ROW(BH203)-ROW(BH$15),0),
              ROUND(ROUND(OFFSET($P203,0,BH$13),15-13*ORÇAMENTO!$AF$7)*OFFSET(ORÇAMENTO!$W$15,ROW(BH203)-ROW(BH$15),0),15-13*ORÇAMENTO!$AF$11)),
         0)</f>
        <v>0</v>
      </c>
      <c r="BI203" s="352" t="n">
        <f aca="true">IF(AND($D203="Serviço",BI$12&lt;&gt;0,$H203&gt;0,OR(AUTOEVENTO&lt;&gt;"manual",$M203&lt;&gt;$A$15)),
        IF(Import.TipoArredondamento&lt;&gt;"TransfereGOV",
              ROUND(OFFSET($P203,0,BI$13),15-13*ORÇAMENTO!$AF$7)/$H203*OFFSET(ORÇAMENTO!$X$15,ROW(BI203)-ROW(BI$15),0),
              ROUND(ROUND(OFFSET($P203,0,BI$13),15-13*ORÇAMENTO!$AF$7)*OFFSET(ORÇAMENTO!$W$15,ROW(BI203)-ROW(BI$15),0),15-13*ORÇAMENTO!$AF$11)),
         0)</f>
        <v>0</v>
      </c>
      <c r="BJ203" s="352" t="n">
        <f aca="true">IF(AND($D203="Serviço",BJ$12&lt;&gt;0,$H203&gt;0,OR(AUTOEVENTO&lt;&gt;"manual",$M203&lt;&gt;$A$15)),
        IF(Import.TipoArredondamento&lt;&gt;"TransfereGOV",
              ROUND(OFFSET($P203,0,BJ$13),15-13*ORÇAMENTO!$AF$7)/$H203*OFFSET(ORÇAMENTO!$X$15,ROW(BJ203)-ROW(BJ$15),0),
              ROUND(ROUND(OFFSET($P203,0,BJ$13),15-13*ORÇAMENTO!$AF$7)*OFFSET(ORÇAMENTO!$W$15,ROW(BJ203)-ROW(BJ$15),0),15-13*ORÇAMENTO!$AF$11)),
         0)</f>
        <v>0</v>
      </c>
      <c r="BK203" s="352" t="n">
        <f aca="true">IF(AND($D203="Serviço",BK$12&lt;&gt;0,$H203&gt;0,OR(AUTOEVENTO&lt;&gt;"manual",$M203&lt;&gt;$A$15)),
        IF(Import.TipoArredondamento&lt;&gt;"TransfereGOV",
              ROUND(OFFSET($P203,0,BK$13),15-13*ORÇAMENTO!$AF$7)/$H203*OFFSET(ORÇAMENTO!$X$15,ROW(BK203)-ROW(BK$15),0),
              ROUND(ROUND(OFFSET($P203,0,BK$13),15-13*ORÇAMENTO!$AF$7)*OFFSET(ORÇAMENTO!$W$15,ROW(BK203)-ROW(BK$15),0),15-13*ORÇAMENTO!$AF$11)),
         0)</f>
        <v>0</v>
      </c>
      <c r="BL203" s="352" t="n">
        <f aca="true">IF(AND($D203="Serviço",BL$12&lt;&gt;0,$H203&gt;0,OR(AUTOEVENTO&lt;&gt;"manual",$M203&lt;&gt;$A$15)),
        IF(Import.TipoArredondamento&lt;&gt;"TransfereGOV",
              ROUND(OFFSET($P203,0,BL$13),15-13*ORÇAMENTO!$AF$7)/$H203*OFFSET(ORÇAMENTO!$X$15,ROW(BL203)-ROW(BL$15),0),
              ROUND(ROUND(OFFSET($P203,0,BL$13),15-13*ORÇAMENTO!$AF$7)*OFFSET(ORÇAMENTO!$W$15,ROW(BL203)-ROW(BL$15),0),15-13*ORÇAMENTO!$AF$11)),
         0)</f>
        <v>0</v>
      </c>
      <c r="BM203" s="352" t="n">
        <f aca="true">IF(AND($D203="Serviço",BM$12&lt;&gt;0,$H203&gt;0,OR(AUTOEVENTO&lt;&gt;"manual",$M203&lt;&gt;$A$15)),
        IF(Import.TipoArredondamento&lt;&gt;"TransfereGOV",
              ROUND(OFFSET($P203,0,BM$13),15-13*ORÇAMENTO!$AF$7)/$H203*OFFSET(ORÇAMENTO!$X$15,ROW(BM203)-ROW(BM$15),0),
              ROUND(ROUND(OFFSET($P203,0,BM$13),15-13*ORÇAMENTO!$AF$7)*OFFSET(ORÇAMENTO!$W$15,ROW(BM203)-ROW(BM$15),0),15-13*ORÇAMENTO!$AF$11)),
         0)</f>
        <v>0</v>
      </c>
      <c r="BN203" s="352" t="n">
        <f aca="true">IF(AND($D203="Serviço",BN$12&lt;&gt;0,$H203&gt;0,OR(AUTOEVENTO&lt;&gt;"manual",$M203&lt;&gt;$A$15)),
        IF(Import.TipoArredondamento&lt;&gt;"TransfereGOV",
              ROUND(OFFSET($P203,0,BN$13),15-13*ORÇAMENTO!$AF$7)/$H203*OFFSET(ORÇAMENTO!$X$15,ROW(BN203)-ROW(BN$15),0),
              ROUND(ROUND(OFFSET($P203,0,BN$13),15-13*ORÇAMENTO!$AF$7)*OFFSET(ORÇAMENTO!$W$15,ROW(BN203)-ROW(BN$15),0),15-13*ORÇAMENTO!$AF$11)),
         0)</f>
        <v>0</v>
      </c>
      <c r="BO203" s="352" t="n">
        <f aca="true">IF(AND($D203="Serviço",BO$12&lt;&gt;0,$H203&gt;0,OR(AUTOEVENTO&lt;&gt;"manual",$M203&lt;&gt;$A$15)),
        IF(Import.TipoArredondamento&lt;&gt;"TransfereGOV",
              ROUND(OFFSET($P203,0,BO$13),15-13*ORÇAMENTO!$AF$7)/$H203*OFFSET(ORÇAMENTO!$X$15,ROW(BO203)-ROW(BO$15),0),
              ROUND(ROUND(OFFSET($P203,0,BO$13),15-13*ORÇAMENTO!$AF$7)*OFFSET(ORÇAMENTO!$W$15,ROW(BO203)-ROW(BO$15),0),15-13*ORÇAMENTO!$AF$11)),
         0)</f>
        <v>0</v>
      </c>
      <c r="BP203" s="352" t="n">
        <f aca="true">IF(AND($D203="Serviço",BP$12&lt;&gt;0,$H203&gt;0,OR(AUTOEVENTO&lt;&gt;"manual",$M203&lt;&gt;$A$15)),
        IF(Import.TipoArredondamento&lt;&gt;"TransfereGOV",
              ROUND(OFFSET($P203,0,BP$13),15-13*ORÇAMENTO!$AF$7)/$H203*OFFSET(ORÇAMENTO!$X$15,ROW(BP203)-ROW(BP$15),0),
              ROUND(ROUND(OFFSET($P203,0,BP$13),15-13*ORÇAMENTO!$AF$7)*OFFSET(ORÇAMENTO!$W$15,ROW(BP203)-ROW(BP$15),0),15-13*ORÇAMENTO!$AF$11)),
         0)</f>
        <v>0</v>
      </c>
      <c r="BQ203" s="352" t="n">
        <f aca="true">IF(AND($D203="Serviço",BQ$12&lt;&gt;0,$H203&gt;0,OR(AUTOEVENTO&lt;&gt;"manual",$M203&lt;&gt;$A$15)),
        IF(Import.TipoArredondamento&lt;&gt;"TransfereGOV",
              ROUND(OFFSET($P203,0,BQ$13),15-13*ORÇAMENTO!$AF$7)/$H203*OFFSET(ORÇAMENTO!$X$15,ROW(BQ203)-ROW(BQ$15),0),
              ROUND(ROUND(OFFSET($P203,0,BQ$13),15-13*ORÇAMENTO!$AF$7)*OFFSET(ORÇAMENTO!$W$15,ROW(BQ203)-ROW(BQ$15),0),15-13*ORÇAMENTO!$AF$11)),
         0)</f>
        <v>0</v>
      </c>
      <c r="BS203" s="353" t="n">
        <f aca="true">IF(OR($D203&lt;&gt;"Serviço",AND(AUTOEVENTO="Manual",$M203=$A$15)),0,
         IF(OFFSET(CRONOPLE!$F$15,$M203-$A$15,BS$13)=0,10^12,OFFSET(CRONOPLE!$F$15,$M203-$A$15,BS$13)))</f>
        <v>0</v>
      </c>
      <c r="BT203" s="353" t="n">
        <f aca="true">IF(OR($D203&lt;&gt;"Serviço",AND(AUTOEVENTO="Manual",$M203=$A$15)),0,
         IF(OFFSET(CRONOPLE!$F$15,$M203-$A$15,BT$13)=0,10^12,OFFSET(CRONOPLE!$F$15,$M203-$A$15,BT$13)))</f>
        <v>0</v>
      </c>
      <c r="BU203" s="353" t="n">
        <f aca="true">IF(OR($D203&lt;&gt;"Serviço",AND(AUTOEVENTO="Manual",$M203=$A$15)),0,
         IF(OFFSET(CRONOPLE!$F$15,$M203-$A$15,BU$13)=0,10^12,OFFSET(CRONOPLE!$F$15,$M203-$A$15,BU$13)))</f>
        <v>0</v>
      </c>
      <c r="BV203" s="353" t="n">
        <f aca="true">IF(OR($D203&lt;&gt;"Serviço",AND(AUTOEVENTO="Manual",$M203=$A$15)),0,
         IF(OFFSET(CRONOPLE!$F$15,$M203-$A$15,BV$13)=0,10^12,OFFSET(CRONOPLE!$F$15,$M203-$A$15,BV$13)))</f>
        <v>0</v>
      </c>
      <c r="BW203" s="353" t="n">
        <f aca="true">IF(OR($D203&lt;&gt;"Serviço",AND(AUTOEVENTO="Manual",$M203=$A$15)),0,
         IF(OFFSET(CRONOPLE!$F$15,$M203-$A$15,BW$13)=0,10^12,OFFSET(CRONOPLE!$F$15,$M203-$A$15,BW$13)))</f>
        <v>0</v>
      </c>
      <c r="BX203" s="353" t="n">
        <f aca="true">IF(OR($D203&lt;&gt;"Serviço",AND(AUTOEVENTO="Manual",$M203=$A$15)),0,
         IF(OFFSET(CRONOPLE!$F$15,$M203-$A$15,BX$13)=0,10^12,OFFSET(CRONOPLE!$F$15,$M203-$A$15,BX$13)))</f>
        <v>0</v>
      </c>
      <c r="BY203" s="353" t="n">
        <f aca="true">IF(OR($D203&lt;&gt;"Serviço",AND(AUTOEVENTO="Manual",$M203=$A$15)),0,
         IF(OFFSET(CRONOPLE!$F$15,$M203-$A$15,BY$13)=0,10^12,OFFSET(CRONOPLE!$F$15,$M203-$A$15,BY$13)))</f>
        <v>0</v>
      </c>
      <c r="BZ203" s="353" t="n">
        <f aca="true">IF(OR($D203&lt;&gt;"Serviço",AND(AUTOEVENTO="Manual",$M203=$A$15)),0,
         IF(OFFSET(CRONOPLE!$F$15,$M203-$A$15,BZ$13)=0,10^12,OFFSET(CRONOPLE!$F$15,$M203-$A$15,BZ$13)))</f>
        <v>0</v>
      </c>
      <c r="CA203" s="353" t="n">
        <f aca="true">IF(OR($D203&lt;&gt;"Serviço",AND(AUTOEVENTO="Manual",$M203=$A$15)),0,
         IF(OFFSET(CRONOPLE!$F$15,$M203-$A$15,CA$13)=0,10^12,OFFSET(CRONOPLE!$F$15,$M203-$A$15,CA$13)))</f>
        <v>0</v>
      </c>
      <c r="CB203" s="353" t="n">
        <f aca="true">IF(OR($D203&lt;&gt;"Serviço",AND(AUTOEVENTO="Manual",$M203=$A$15)),0,
         IF(OFFSET(CRONOPLE!$F$15,$M203-$A$15,CB$13)=0,10^12,OFFSET(CRONOPLE!$F$15,$M203-$A$15,CB$13)))</f>
        <v>0</v>
      </c>
      <c r="CC203" s="353" t="n">
        <f aca="true">IF(OR($D203&lt;&gt;"Serviço",AND(AUTOEVENTO="Manual",$M203=$A$15)),0,
         IF(OFFSET(CRONOPLE!$F$15,$M203-$A$15,CC$13)=0,10^12,OFFSET(CRONOPLE!$F$15,$M203-$A$15,CC$13)))</f>
        <v>0</v>
      </c>
      <c r="CD203" s="353" t="n">
        <f aca="true">IF(OR($D203&lt;&gt;"Serviço",AND(AUTOEVENTO="Manual",$M203=$A$15)),0,
         IF(OFFSET(CRONOPLE!$F$15,$M203-$A$15,CD$13)=0,10^12,OFFSET(CRONOPLE!$F$15,$M203-$A$15,CD$13)))</f>
        <v>0</v>
      </c>
      <c r="CE203" s="353" t="n">
        <f aca="true">IF(OR($D203&lt;&gt;"Serviço",AND(AUTOEVENTO="Manual",$M203=$A$15)),0,
         IF(OFFSET(CRONOPLE!$F$15,$M203-$A$15,CE$13)=0,10^12,OFFSET(CRONOPLE!$F$15,$M203-$A$15,CE$13)))</f>
        <v>0</v>
      </c>
      <c r="CF203" s="353" t="n">
        <f aca="true">IF(OR($D203&lt;&gt;"Serviço",AND(AUTOEVENTO="Manual",$M203=$A$15)),0,
         IF(OFFSET(CRONOPLE!$F$15,$M203-$A$15,CF$13)=0,10^12,OFFSET(CRONOPLE!$F$15,$M203-$A$15,CF$13)))</f>
        <v>0</v>
      </c>
      <c r="CG203" s="353" t="n">
        <f aca="true">IF(OR($D203&lt;&gt;"Serviço",AND(AUTOEVENTO="Manual",$M203=$A$15)),0,
         IF(OFFSET(CRONOPLE!$F$15,$M203-$A$15,CG$13)=0,10^12,OFFSET(CRONOPLE!$F$15,$M203-$A$15,CG$13)))</f>
        <v>0</v>
      </c>
      <c r="CH203" s="353" t="n">
        <f aca="true">IF(OR($D203&lt;&gt;"Serviço",AND(AUTOEVENTO="Manual",$M203=$A$15)),0,
         IF(OFFSET(CRONOPLE!$F$15,$M203-$A$15,CH$13)=0,10^12,OFFSET(CRONOPLE!$F$15,$M203-$A$15,CH$13)))</f>
        <v>0</v>
      </c>
      <c r="CI203" s="353" t="n">
        <f aca="true">IF(OR($D203&lt;&gt;"Serviço",AND(AUTOEVENTO="Manual",$M203=$A$15)),0,
         IF(OFFSET(CRONOPLE!$F$15,$M203-$A$15,CI$13)=0,10^12,OFFSET(CRONOPLE!$F$15,$M203-$A$15,CI$13)))</f>
        <v>0</v>
      </c>
      <c r="CJ203" s="353" t="n">
        <f aca="true">IF(OR($D203&lt;&gt;"Serviço",AND(AUTOEVENTO="Manual",$M203=$A$15)),0,
         IF(OFFSET(CRONOPLE!$F$15,$M203-$A$15,CJ$13)=0,10^12,OFFSET(CRONOPLE!$F$15,$M203-$A$15,CJ$13)))</f>
        <v>0</v>
      </c>
      <c r="CK203" s="353" t="n">
        <f aca="true">IF(OR($D203&lt;&gt;"Serviço",AND(AUTOEVENTO="Manual",$M203=$A$15)),0,
         IF(OFFSET(CRONOPLE!$F$15,$M203-$A$15,CK$13)=0,10^12,OFFSET(CRONOPLE!$F$15,$M203-$A$15,CK$13)))</f>
        <v>0</v>
      </c>
      <c r="CL203" s="353" t="n">
        <f aca="true">IF(OR($D203&lt;&gt;"Serviço",AND(AUTOEVENTO="Manual",$M203=$A$15)),0,
         IF(OFFSET(CRONOPLE!$F$15,$M203-$A$15,CL$13)=0,10^12,OFFSET(CRONOPLE!$F$15,$M203-$A$15,CL$13)))</f>
        <v>0</v>
      </c>
      <c r="CM203" s="353" t="n">
        <f aca="true">IF(OR($D203&lt;&gt;"Serviço",AND(AUTOEVENTO="Manual",$M203=$A$15)),0,
         IF(OFFSET(CRONOPLE!$F$15,$M203-$A$15,CM$13)=0,10^12,OFFSET(CRONOPLE!$F$15,$M203-$A$15,CM$13)))</f>
        <v>0</v>
      </c>
      <c r="CN203" s="353" t="n">
        <f aca="true">IF(OR($D203&lt;&gt;"Serviço",AND(AUTOEVENTO="Manual",$M203=$A$15)),0,
         IF(OFFSET(CRONOPLE!$F$15,$M203-$A$15,CN$13)=0,10^12,OFFSET(CRONOPLE!$F$15,$M203-$A$15,CN$13)))</f>
        <v>0</v>
      </c>
      <c r="CO203" s="353" t="n">
        <f aca="true">IF(OR($D203&lt;&gt;"Serviço",AND(AUTOEVENTO="Manual",$M203=$A$15)),0,
         IF(OFFSET(CRONOPLE!$F$15,$M203-$A$15,CO$13)=0,10^12,OFFSET(CRONOPLE!$F$15,$M203-$A$15,CO$13)))</f>
        <v>0</v>
      </c>
      <c r="CP203" s="353" t="n">
        <f aca="true">IF(OR($D203&lt;&gt;"Serviço",AND(AUTOEVENTO="Manual",$M203=$A$15)),0,
         IF(OFFSET(CRONOPLE!$F$15,$M203-$A$15,CP$13)=0,10^12,OFFSET(CRONOPLE!$F$15,$M203-$A$15,CP$13)))</f>
        <v>0</v>
      </c>
      <c r="CQ203" s="353" t="n">
        <f aca="true">IF(OR($D203&lt;&gt;"Serviço",AND(AUTOEVENTO="Manual",$M203=$A$15)),0,
         IF(OFFSET(CRONOPLE!$F$15,$M203-$A$15,CQ$13)=0,10^12,OFFSET(CRONOPLE!$F$15,$M203-$A$15,CQ$13)))</f>
        <v>0</v>
      </c>
      <c r="CR203" s="353" t="n">
        <f aca="true">IF(OR($D203&lt;&gt;"Serviço",AND(AUTOEVENTO="Manual",$M203=$A$15)),0,
         IF(OFFSET(CRONOPLE!$F$15,$M203-$A$15,CR$13)=0,10^12,OFFSET(CRONOPLE!$F$15,$M203-$A$15,CR$13)))</f>
        <v>0</v>
      </c>
      <c r="CT203" s="354" t="n">
        <f aca="true">IF(OR($D203&lt;&gt;"Serviço",AND(AUTOEVENTO="Manual",$M203=$A$15),$M203&gt;(ROW(PLE.lastrow)-ROW(PLE.firstrow))),0,
           IF(OFFSET(PLE!$G$15,$M203-$A$15,CT$13)="",10^12,OFFSET(PLE!$G$15,$M203-$A$15,CT$13)))</f>
        <v>0</v>
      </c>
      <c r="CU203" s="354" t="n">
        <f aca="true">IF(OR($D203&lt;&gt;"Serviço",AND(AUTOEVENTO="Manual",$M203=$A$15),$M203&gt;(ROW(PLE.lastrow)-ROW(PLE.firstrow))),0,
           IF(OFFSET(PLE!$G$15,$M203-$A$15,CU$13)="",10^12,OFFSET(PLE!$G$15,$M203-$A$15,CU$13)))</f>
        <v>0</v>
      </c>
      <c r="CV203" s="354" t="n">
        <f aca="true">IF(OR($D203&lt;&gt;"Serviço",AND(AUTOEVENTO="Manual",$M203=$A$15),$M203&gt;(ROW(PLE.lastrow)-ROW(PLE.firstrow))),0,
           IF(OFFSET(PLE!$G$15,$M203-$A$15,CV$13)="",10^12,OFFSET(PLE!$G$15,$M203-$A$15,CV$13)))</f>
        <v>0</v>
      </c>
      <c r="CW203" s="354" t="n">
        <f aca="true">IF(OR($D203&lt;&gt;"Serviço",AND(AUTOEVENTO="Manual",$M203=$A$15),$M203&gt;(ROW(PLE.lastrow)-ROW(PLE.firstrow))),0,
           IF(OFFSET(PLE!$G$15,$M203-$A$15,CW$13)="",10^12,OFFSET(PLE!$G$15,$M203-$A$15,CW$13)))</f>
        <v>0</v>
      </c>
      <c r="CX203" s="354" t="n">
        <f aca="true">IF(OR($D203&lt;&gt;"Serviço",AND(AUTOEVENTO="Manual",$M203=$A$15),$M203&gt;(ROW(PLE.lastrow)-ROW(PLE.firstrow))),0,
           IF(OFFSET(PLE!$G$15,$M203-$A$15,CX$13)="",10^12,OFFSET(PLE!$G$15,$M203-$A$15,CX$13)))</f>
        <v>0</v>
      </c>
      <c r="CY203" s="354" t="n">
        <f aca="true">IF(OR($D203&lt;&gt;"Serviço",AND(AUTOEVENTO="Manual",$M203=$A$15),$M203&gt;(ROW(PLE.lastrow)-ROW(PLE.firstrow))),0,
           IF(OFFSET(PLE!$G$15,$M203-$A$15,CY$13)="",10^12,OFFSET(PLE!$G$15,$M203-$A$15,CY$13)))</f>
        <v>0</v>
      </c>
      <c r="CZ203" s="354" t="n">
        <f aca="true">IF(OR($D203&lt;&gt;"Serviço",AND(AUTOEVENTO="Manual",$M203=$A$15),$M203&gt;(ROW(PLE.lastrow)-ROW(PLE.firstrow))),0,
           IF(OFFSET(PLE!$G$15,$M203-$A$15,CZ$13)="",10^12,OFFSET(PLE!$G$15,$M203-$A$15,CZ$13)))</f>
        <v>0</v>
      </c>
      <c r="DA203" s="354" t="n">
        <f aca="true">IF(OR($D203&lt;&gt;"Serviço",AND(AUTOEVENTO="Manual",$M203=$A$15),$M203&gt;(ROW(PLE.lastrow)-ROW(PLE.firstrow))),0,
           IF(OFFSET(PLE!$G$15,$M203-$A$15,DA$13)="",10^12,OFFSET(PLE!$G$15,$M203-$A$15,DA$13)))</f>
        <v>0</v>
      </c>
      <c r="DB203" s="354" t="n">
        <f aca="true">IF(OR($D203&lt;&gt;"Serviço",AND(AUTOEVENTO="Manual",$M203=$A$15),$M203&gt;(ROW(PLE.lastrow)-ROW(PLE.firstrow))),0,
           IF(OFFSET(PLE!$G$15,$M203-$A$15,DB$13)="",10^12,OFFSET(PLE!$G$15,$M203-$A$15,DB$13)))</f>
        <v>0</v>
      </c>
      <c r="DC203" s="354" t="n">
        <f aca="true">IF(OR($D203&lt;&gt;"Serviço",AND(AUTOEVENTO="Manual",$M203=$A$15),$M203&gt;(ROW(PLE.lastrow)-ROW(PLE.firstrow))),0,
           IF(OFFSET(PLE!$G$15,$M203-$A$15,DC$13)="",10^12,OFFSET(PLE!$G$15,$M203-$A$15,DC$13)))</f>
        <v>0</v>
      </c>
      <c r="DD203" s="354" t="n">
        <f aca="true">IF(OR($D203&lt;&gt;"Serviço",AND(AUTOEVENTO="Manual",$M203=$A$15),$M203&gt;(ROW(PLE.lastrow)-ROW(PLE.firstrow))),0,
           IF(OFFSET(PLE!$G$15,$M203-$A$15,DD$13)="",10^12,OFFSET(PLE!$G$15,$M203-$A$15,DD$13)))</f>
        <v>0</v>
      </c>
      <c r="DE203" s="354" t="n">
        <f aca="true">IF(OR($D203&lt;&gt;"Serviço",AND(AUTOEVENTO="Manual",$M203=$A$15),$M203&gt;(ROW(PLE.lastrow)-ROW(PLE.firstrow))),0,
           IF(OFFSET(PLE!$G$15,$M203-$A$15,DE$13)="",10^12,OFFSET(PLE!$G$15,$M203-$A$15,DE$13)))</f>
        <v>0</v>
      </c>
      <c r="DF203" s="354" t="n">
        <f aca="true">IF(OR($D203&lt;&gt;"Serviço",AND(AUTOEVENTO="Manual",$M203=$A$15),$M203&gt;(ROW(PLE.lastrow)-ROW(PLE.firstrow))),0,
           IF(OFFSET(PLE!$G$15,$M203-$A$15,DF$13)="",10^12,OFFSET(PLE!$G$15,$M203-$A$15,DF$13)))</f>
        <v>0</v>
      </c>
      <c r="DG203" s="354" t="n">
        <f aca="true">IF(OR($D203&lt;&gt;"Serviço",AND(AUTOEVENTO="Manual",$M203=$A$15),$M203&gt;(ROW(PLE.lastrow)-ROW(PLE.firstrow))),0,
           IF(OFFSET(PLE!$G$15,$M203-$A$15,DG$13)="",10^12,OFFSET(PLE!$G$15,$M203-$A$15,DG$13)))</f>
        <v>0</v>
      </c>
      <c r="DH203" s="354" t="n">
        <f aca="true">IF(OR($D203&lt;&gt;"Serviço",AND(AUTOEVENTO="Manual",$M203=$A$15),$M203&gt;(ROW(PLE.lastrow)-ROW(PLE.firstrow))),0,
           IF(OFFSET(PLE!$G$15,$M203-$A$15,DH$13)="",10^12,OFFSET(PLE!$G$15,$M203-$A$15,DH$13)))</f>
        <v>0</v>
      </c>
      <c r="DI203" s="354" t="n">
        <f aca="true">IF(OR($D203&lt;&gt;"Serviço",AND(AUTOEVENTO="Manual",$M203=$A$15),$M203&gt;(ROW(PLE.lastrow)-ROW(PLE.firstrow))),0,
           IF(OFFSET(PLE!$G$15,$M203-$A$15,DI$13)="",10^12,OFFSET(PLE!$G$15,$M203-$A$15,DI$13)))</f>
        <v>0</v>
      </c>
      <c r="DJ203" s="354" t="n">
        <f aca="true">IF(OR($D203&lt;&gt;"Serviço",AND(AUTOEVENTO="Manual",$M203=$A$15),$M203&gt;(ROW(PLE.lastrow)-ROW(PLE.firstrow))),0,
           IF(OFFSET(PLE!$G$15,$M203-$A$15,DJ$13)="",10^12,OFFSET(PLE!$G$15,$M203-$A$15,DJ$13)))</f>
        <v>0</v>
      </c>
      <c r="DK203" s="354" t="n">
        <f aca="true">IF(OR($D203&lt;&gt;"Serviço",AND(AUTOEVENTO="Manual",$M203=$A$15),$M203&gt;(ROW(PLE.lastrow)-ROW(PLE.firstrow))),0,
           IF(OFFSET(PLE!$G$15,$M203-$A$15,DK$13)="",10^12,OFFSET(PLE!$G$15,$M203-$A$15,DK$13)))</f>
        <v>0</v>
      </c>
      <c r="DL203" s="354" t="n">
        <f aca="true">IF(OR($D203&lt;&gt;"Serviço",AND(AUTOEVENTO="Manual",$M203=$A$15),$M203&gt;(ROW(PLE.lastrow)-ROW(PLE.firstrow))),0,
           IF(OFFSET(PLE!$G$15,$M203-$A$15,DL$13)="",10^12,OFFSET(PLE!$G$15,$M203-$A$15,DL$13)))</f>
        <v>0</v>
      </c>
      <c r="DM203" s="354" t="n">
        <f aca="true">IF(OR($D203&lt;&gt;"Serviço",AND(AUTOEVENTO="Manual",$M203=$A$15),$M203&gt;(ROW(PLE.lastrow)-ROW(PLE.firstrow))),0,
           IF(OFFSET(PLE!$G$15,$M203-$A$15,DM$13)="",10^12,OFFSET(PLE!$G$15,$M203-$A$15,DM$13)))</f>
        <v>0</v>
      </c>
      <c r="DN203" s="354" t="n">
        <f aca="true">IF(OR($D203&lt;&gt;"Serviço",AND(AUTOEVENTO="Manual",$M203=$A$15),$M203&gt;(ROW(PLE.lastrow)-ROW(PLE.firstrow))),0,
           IF(OFFSET(PLE!$G$15,$M203-$A$15,DN$13)="",10^12,OFFSET(PLE!$G$15,$M203-$A$15,DN$13)))</f>
        <v>0</v>
      </c>
      <c r="DO203" s="354" t="n">
        <f aca="true">IF(OR($D203&lt;&gt;"Serviço",AND(AUTOEVENTO="Manual",$M203=$A$15),$M203&gt;(ROW(PLE.lastrow)-ROW(PLE.firstrow))),0,
           IF(OFFSET(PLE!$G$15,$M203-$A$15,DO$13)="",10^12,OFFSET(PLE!$G$15,$M203-$A$15,DO$13)))</f>
        <v>0</v>
      </c>
      <c r="DP203" s="354" t="n">
        <f aca="true">IF(OR($D203&lt;&gt;"Serviço",AND(AUTOEVENTO="Manual",$M203=$A$15),$M203&gt;(ROW(PLE.lastrow)-ROW(PLE.firstrow))),0,
           IF(OFFSET(PLE!$G$15,$M203-$A$15,DP$13)="",10^12,OFFSET(PLE!$G$15,$M203-$A$15,DP$13)))</f>
        <v>0</v>
      </c>
      <c r="DQ203" s="354" t="n">
        <f aca="true">IF(OR($D203&lt;&gt;"Serviço",AND(AUTOEVENTO="Manual",$M203=$A$15),$M203&gt;(ROW(PLE.lastrow)-ROW(PLE.firstrow))),0,
           IF(OFFSET(PLE!$G$15,$M203-$A$15,DQ$13)="",10^12,OFFSET(PLE!$G$15,$M203-$A$15,DQ$13)))</f>
        <v>0</v>
      </c>
      <c r="DR203" s="354" t="n">
        <f aca="true">IF(OR($D203&lt;&gt;"Serviço",AND(AUTOEVENTO="Manual",$M203=$A$15),$M203&gt;(ROW(PLE.lastrow)-ROW(PLE.firstrow))),0,
           IF(OFFSET(PLE!$G$15,$M203-$A$15,DR$13)="",10^12,OFFSET(PLE!$G$15,$M203-$A$15,DR$13)))</f>
        <v>0</v>
      </c>
      <c r="DS203" s="354" t="n">
        <f aca="true">IF(OR($D203&lt;&gt;"Serviço",AND(AUTOEVENTO="Manual",$M203=$A$15),$M203&gt;(ROW(PLE.lastrow)-ROW(PLE.firstrow))),0,
           IF(OFFSET(PLE!$G$15,$M203-$A$15,DS$13)="",10^12,OFFSET(PLE!$G$15,$M203-$A$15,DS$13)))</f>
        <v>0</v>
      </c>
    </row>
    <row r="204" customFormat="false" ht="12.75" hidden="false" customHeight="false" outlineLevel="0" collapsed="false">
      <c r="A204" s="50" t="str">
        <f aca="true">IFERROR(IF(AUTOEVENTO="Manual",IF(K204&lt;&gt;"",MIN(VALUE(LEFT(K204,FIND(".",K204)-1)),COUNTA(EVENTOS.Lista)),0),IF(OR($B204&gt;AUTOEVENTO,$B204="S",$B204=0),SUBSTITUTE(OFFSET($A204,-1,0),IF($D204="Serviço",".",""),""),ROW(A204)-ROW($A$15)&amp;".")),0)</f>
        <v>189.</v>
      </c>
      <c r="B204" s="50" t="n">
        <f aca="true">OFFSET(ORÇAMENTO!C$15,ROW(B204)-ROW(B$15),0)</f>
        <v>2</v>
      </c>
      <c r="C204" s="50" t="str">
        <f aca="true">OFFSET(ORÇAMENTO!L$15,ROW(C204)-ROW(C$15),0)</f>
        <v>F</v>
      </c>
      <c r="D204" s="201" t="str">
        <f aca="true">OFFSET(ORÇAMENTO!N$15,ROW(D204)-ROW(D$15),0)</f>
        <v>Nível 2</v>
      </c>
      <c r="E204" s="202" t="str">
        <f aca="true">OFFSET(ORÇAMENTO!O$15,ROW(E204)-ROW(E$15),0)</f>
        <v>1.55.</v>
      </c>
      <c r="F204" s="341" t="str">
        <f aca="true">OFFSET(ORÇAMENTO!R$15,ROW(F204)-ROW(F$15),0)</f>
        <v>OUTROS</v>
      </c>
      <c r="G204" s="342" t="str">
        <f aca="true">IF($D204&lt;&gt;"Serviço","",OFFSET(ORÇAMENTO!S$15,ROW(G204)-ROW(G$15),0))</f>
        <v/>
      </c>
      <c r="H204" s="207" t="n">
        <f aca="true">IF($D204&lt;&gt;"Serviço",0,IF(ACOMPANHAMENTO="BM",ROUND(OFFSET(ORÇAMENTO!AJ$15,ROW(H204)-ROW(H$15),0),15-13*ORÇAMENTO!$AF$7),SUMPRODUCT(($Q$1:$AQ$1=1)*ROUND($Q204:$AQ204,15-13*ORÇAMENTO!$AF$7))))</f>
        <v>0</v>
      </c>
      <c r="I204" s="343"/>
      <c r="J204" s="344" t="str">
        <f aca="false">IF(OR(B204&lt;&gt;"S",CÁLCULO.FrentesPreenchidas=0),"",IF(AND(ACOMPANHAMENTO="PLE",AUTOEVENTO="Manual",OR(H204&gt;0,ORÇAMENTO!AC204="QUANT."),OR(K204="",M204=0,N204="")),"►",IF(AND(ACOMPANHAMENTO="PLE",ORÇAMENTO!AC204="QUANT."),"►►",IF(AND(COUNTIF($P$11:$AQ$11,"▼")=0,H204&gt;0,I204=""),"◄",""))))</f>
        <v/>
      </c>
      <c r="K204" s="345"/>
      <c r="L204" s="346" t="s">
        <v>876</v>
      </c>
      <c r="M204" s="347" t="str">
        <f aca="true">IF($D204&lt;&gt;"Serviço","",
          IF(AUTOEVENTO="manual",$A204,
                IF(ISERROR(MATCH($A204,$A$15:OFFSET($A204,-1,0),0)),MAX($M$15:OFFSET(M204,-1,0))+1,
                      INDEX($M$15:OFFSET(M204,-1,0),MATCH($A204,$A$15:OFFSET($A204,-1,0),0)))))</f>
        <v/>
      </c>
      <c r="N204" s="348" t="str">
        <f aca="true">IF($D204&lt;&gt;"Serviço","",
         IF(AUTOEVENTO="Manual",
                IF($A204=0,"&lt;-- defina o número do agrupador",
                       OFFSET(EVENTOS!$D$15,$A204-$A$15,0)),
                OFFSET($F$15,$A204,0)))</f>
        <v/>
      </c>
      <c r="O204" s="349"/>
      <c r="Q204" s="349"/>
      <c r="R204" s="350"/>
      <c r="S204" s="350"/>
      <c r="T204" s="350"/>
      <c r="U204" s="350"/>
      <c r="V204" s="350"/>
      <c r="W204" s="350"/>
      <c r="X204" s="350"/>
      <c r="Y204" s="350"/>
      <c r="Z204" s="351"/>
      <c r="AA204" s="350"/>
      <c r="AB204" s="350"/>
      <c r="AC204" s="350"/>
      <c r="AD204" s="350"/>
      <c r="AE204" s="350"/>
      <c r="AF204" s="350"/>
      <c r="AG204" s="350"/>
      <c r="AH204" s="351"/>
      <c r="AI204" s="350"/>
      <c r="AJ204" s="350"/>
      <c r="AK204" s="350"/>
      <c r="AL204" s="350"/>
      <c r="AM204" s="350"/>
      <c r="AN204" s="350"/>
      <c r="AO204" s="350"/>
      <c r="AP204" s="351"/>
      <c r="AR204" s="352" t="n">
        <f aca="true">IF(AND($D204="Serviço",AR$12&lt;&gt;0,$H204&gt;0,OR(AUTOEVENTO&lt;&gt;"manual",$M204&lt;&gt;$A$15)),
        IF(Import.TipoArredondamento&lt;&gt;"TransfereGOV",
              ROUND(OFFSET($P204,0,AR$13),15-13*ORÇAMENTO!$AF$7)/$H204*OFFSET(ORÇAMENTO!$X$15,ROW(AR204)-ROW(AR$15),0),
              ROUND(ROUND(OFFSET($P204,0,AR$13),15-13*ORÇAMENTO!$AF$7)*OFFSET(ORÇAMENTO!$W$15,ROW(AR204)-ROW(AR$15),0),15-13*ORÇAMENTO!$AF$11)),
         0)</f>
        <v>0</v>
      </c>
      <c r="AS204" s="352" t="n">
        <f aca="true">IF(AND($D204="Serviço",AS$12&lt;&gt;0,$H204&gt;0,OR(AUTOEVENTO&lt;&gt;"manual",$M204&lt;&gt;$A$15)),
        IF(Import.TipoArredondamento&lt;&gt;"TransfereGOV",
              ROUND(OFFSET($P204,0,AS$13),15-13*ORÇAMENTO!$AF$7)/$H204*OFFSET(ORÇAMENTO!$X$15,ROW(AS204)-ROW(AS$15),0),
              ROUND(ROUND(OFFSET($P204,0,AS$13),15-13*ORÇAMENTO!$AF$7)*OFFSET(ORÇAMENTO!$W$15,ROW(AS204)-ROW(AS$15),0),15-13*ORÇAMENTO!$AF$11)),
         0)</f>
        <v>0</v>
      </c>
      <c r="AT204" s="352" t="n">
        <f aca="true">IF(AND($D204="Serviço",AT$12&lt;&gt;0,$H204&gt;0,OR(AUTOEVENTO&lt;&gt;"manual",$M204&lt;&gt;$A$15)),
        IF(Import.TipoArredondamento&lt;&gt;"TransfereGOV",
              ROUND(OFFSET($P204,0,AT$13),15-13*ORÇAMENTO!$AF$7)/$H204*OFFSET(ORÇAMENTO!$X$15,ROW(AT204)-ROW(AT$15),0),
              ROUND(ROUND(OFFSET($P204,0,AT$13),15-13*ORÇAMENTO!$AF$7)*OFFSET(ORÇAMENTO!$W$15,ROW(AT204)-ROW(AT$15),0),15-13*ORÇAMENTO!$AF$11)),
         0)</f>
        <v>0</v>
      </c>
      <c r="AU204" s="352" t="n">
        <f aca="true">IF(AND($D204="Serviço",AU$12&lt;&gt;0,$H204&gt;0,OR(AUTOEVENTO&lt;&gt;"manual",$M204&lt;&gt;$A$15)),
        IF(Import.TipoArredondamento&lt;&gt;"TransfereGOV",
              ROUND(OFFSET($P204,0,AU$13),15-13*ORÇAMENTO!$AF$7)/$H204*OFFSET(ORÇAMENTO!$X$15,ROW(AU204)-ROW(AU$15),0),
              ROUND(ROUND(OFFSET($P204,0,AU$13),15-13*ORÇAMENTO!$AF$7)*OFFSET(ORÇAMENTO!$W$15,ROW(AU204)-ROW(AU$15),0),15-13*ORÇAMENTO!$AF$11)),
         0)</f>
        <v>0</v>
      </c>
      <c r="AV204" s="352" t="n">
        <f aca="true">IF(AND($D204="Serviço",AV$12&lt;&gt;0,$H204&gt;0,OR(AUTOEVENTO&lt;&gt;"manual",$M204&lt;&gt;$A$15)),
        IF(Import.TipoArredondamento&lt;&gt;"TransfereGOV",
              ROUND(OFFSET($P204,0,AV$13),15-13*ORÇAMENTO!$AF$7)/$H204*OFFSET(ORÇAMENTO!$X$15,ROW(AV204)-ROW(AV$15),0),
              ROUND(ROUND(OFFSET($P204,0,AV$13),15-13*ORÇAMENTO!$AF$7)*OFFSET(ORÇAMENTO!$W$15,ROW(AV204)-ROW(AV$15),0),15-13*ORÇAMENTO!$AF$11)),
         0)</f>
        <v>0</v>
      </c>
      <c r="AW204" s="352" t="n">
        <f aca="true">IF(AND($D204="Serviço",AW$12&lt;&gt;0,$H204&gt;0,OR(AUTOEVENTO&lt;&gt;"manual",$M204&lt;&gt;$A$15)),
        IF(Import.TipoArredondamento&lt;&gt;"TransfereGOV",
              ROUND(OFFSET($P204,0,AW$13),15-13*ORÇAMENTO!$AF$7)/$H204*OFFSET(ORÇAMENTO!$X$15,ROW(AW204)-ROW(AW$15),0),
              ROUND(ROUND(OFFSET($P204,0,AW$13),15-13*ORÇAMENTO!$AF$7)*OFFSET(ORÇAMENTO!$W$15,ROW(AW204)-ROW(AW$15),0),15-13*ORÇAMENTO!$AF$11)),
         0)</f>
        <v>0</v>
      </c>
      <c r="AX204" s="352" t="n">
        <f aca="true">IF(AND($D204="Serviço",AX$12&lt;&gt;0,$H204&gt;0,OR(AUTOEVENTO&lt;&gt;"manual",$M204&lt;&gt;$A$15)),
        IF(Import.TipoArredondamento&lt;&gt;"TransfereGOV",
              ROUND(OFFSET($P204,0,AX$13),15-13*ORÇAMENTO!$AF$7)/$H204*OFFSET(ORÇAMENTO!$X$15,ROW(AX204)-ROW(AX$15),0),
              ROUND(ROUND(OFFSET($P204,0,AX$13),15-13*ORÇAMENTO!$AF$7)*OFFSET(ORÇAMENTO!$W$15,ROW(AX204)-ROW(AX$15),0),15-13*ORÇAMENTO!$AF$11)),
         0)</f>
        <v>0</v>
      </c>
      <c r="AY204" s="352" t="n">
        <f aca="true">IF(AND($D204="Serviço",AY$12&lt;&gt;0,$H204&gt;0,OR(AUTOEVENTO&lt;&gt;"manual",$M204&lt;&gt;$A$15)),
        IF(Import.TipoArredondamento&lt;&gt;"TransfereGOV",
              ROUND(OFFSET($P204,0,AY$13),15-13*ORÇAMENTO!$AF$7)/$H204*OFFSET(ORÇAMENTO!$X$15,ROW(AY204)-ROW(AY$15),0),
              ROUND(ROUND(OFFSET($P204,0,AY$13),15-13*ORÇAMENTO!$AF$7)*OFFSET(ORÇAMENTO!$W$15,ROW(AY204)-ROW(AY$15),0),15-13*ORÇAMENTO!$AF$11)),
         0)</f>
        <v>0</v>
      </c>
      <c r="AZ204" s="352" t="n">
        <f aca="true">IF(AND($D204="Serviço",AZ$12&lt;&gt;0,$H204&gt;0,OR(AUTOEVENTO&lt;&gt;"manual",$M204&lt;&gt;$A$15)),
        IF(Import.TipoArredondamento&lt;&gt;"TransfereGOV",
              ROUND(OFFSET($P204,0,AZ$13),15-13*ORÇAMENTO!$AF$7)/$H204*OFFSET(ORÇAMENTO!$X$15,ROW(AZ204)-ROW(AZ$15),0),
              ROUND(ROUND(OFFSET($P204,0,AZ$13),15-13*ORÇAMENTO!$AF$7)*OFFSET(ORÇAMENTO!$W$15,ROW(AZ204)-ROW(AZ$15),0),15-13*ORÇAMENTO!$AF$11)),
         0)</f>
        <v>0</v>
      </c>
      <c r="BA204" s="352" t="n">
        <f aca="true">IF(AND($D204="Serviço",BA$12&lt;&gt;0,$H204&gt;0,OR(AUTOEVENTO&lt;&gt;"manual",$M204&lt;&gt;$A$15)),
        IF(Import.TipoArredondamento&lt;&gt;"TransfereGOV",
              ROUND(OFFSET($P204,0,BA$13),15-13*ORÇAMENTO!$AF$7)/$H204*OFFSET(ORÇAMENTO!$X$15,ROW(BA204)-ROW(BA$15),0),
              ROUND(ROUND(OFFSET($P204,0,BA$13),15-13*ORÇAMENTO!$AF$7)*OFFSET(ORÇAMENTO!$W$15,ROW(BA204)-ROW(BA$15),0),15-13*ORÇAMENTO!$AF$11)),
         0)</f>
        <v>0</v>
      </c>
      <c r="BB204" s="352" t="n">
        <f aca="true">IF(AND($D204="Serviço",BB$12&lt;&gt;0,$H204&gt;0,OR(AUTOEVENTO&lt;&gt;"manual",$M204&lt;&gt;$A$15)),
        IF(Import.TipoArredondamento&lt;&gt;"TransfereGOV",
              ROUND(OFFSET($P204,0,BB$13),15-13*ORÇAMENTO!$AF$7)/$H204*OFFSET(ORÇAMENTO!$X$15,ROW(BB204)-ROW(BB$15),0),
              ROUND(ROUND(OFFSET($P204,0,BB$13),15-13*ORÇAMENTO!$AF$7)*OFFSET(ORÇAMENTO!$W$15,ROW(BB204)-ROW(BB$15),0),15-13*ORÇAMENTO!$AF$11)),
         0)</f>
        <v>0</v>
      </c>
      <c r="BC204" s="352" t="n">
        <f aca="true">IF(AND($D204="Serviço",BC$12&lt;&gt;0,$H204&gt;0,OR(AUTOEVENTO&lt;&gt;"manual",$M204&lt;&gt;$A$15)),
        IF(Import.TipoArredondamento&lt;&gt;"TransfereGOV",
              ROUND(OFFSET($P204,0,BC$13),15-13*ORÇAMENTO!$AF$7)/$H204*OFFSET(ORÇAMENTO!$X$15,ROW(BC204)-ROW(BC$15),0),
              ROUND(ROUND(OFFSET($P204,0,BC$13),15-13*ORÇAMENTO!$AF$7)*OFFSET(ORÇAMENTO!$W$15,ROW(BC204)-ROW(BC$15),0),15-13*ORÇAMENTO!$AF$11)),
         0)</f>
        <v>0</v>
      </c>
      <c r="BD204" s="352" t="n">
        <f aca="true">IF(AND($D204="Serviço",BD$12&lt;&gt;0,$H204&gt;0,OR(AUTOEVENTO&lt;&gt;"manual",$M204&lt;&gt;$A$15)),
        IF(Import.TipoArredondamento&lt;&gt;"TransfereGOV",
              ROUND(OFFSET($P204,0,BD$13),15-13*ORÇAMENTO!$AF$7)/$H204*OFFSET(ORÇAMENTO!$X$15,ROW(BD204)-ROW(BD$15),0),
              ROUND(ROUND(OFFSET($P204,0,BD$13),15-13*ORÇAMENTO!$AF$7)*OFFSET(ORÇAMENTO!$W$15,ROW(BD204)-ROW(BD$15),0),15-13*ORÇAMENTO!$AF$11)),
         0)</f>
        <v>0</v>
      </c>
      <c r="BE204" s="352" t="n">
        <f aca="true">IF(AND($D204="Serviço",BE$12&lt;&gt;0,$H204&gt;0,OR(AUTOEVENTO&lt;&gt;"manual",$M204&lt;&gt;$A$15)),
        IF(Import.TipoArredondamento&lt;&gt;"TransfereGOV",
              ROUND(OFFSET($P204,0,BE$13),15-13*ORÇAMENTO!$AF$7)/$H204*OFFSET(ORÇAMENTO!$X$15,ROW(BE204)-ROW(BE$15),0),
              ROUND(ROUND(OFFSET($P204,0,BE$13),15-13*ORÇAMENTO!$AF$7)*OFFSET(ORÇAMENTO!$W$15,ROW(BE204)-ROW(BE$15),0),15-13*ORÇAMENTO!$AF$11)),
         0)</f>
        <v>0</v>
      </c>
      <c r="BF204" s="352" t="n">
        <f aca="true">IF(AND($D204="Serviço",BF$12&lt;&gt;0,$H204&gt;0,OR(AUTOEVENTO&lt;&gt;"manual",$M204&lt;&gt;$A$15)),
        IF(Import.TipoArredondamento&lt;&gt;"TransfereGOV",
              ROUND(OFFSET($P204,0,BF$13),15-13*ORÇAMENTO!$AF$7)/$H204*OFFSET(ORÇAMENTO!$X$15,ROW(BF204)-ROW(BF$15),0),
              ROUND(ROUND(OFFSET($P204,0,BF$13),15-13*ORÇAMENTO!$AF$7)*OFFSET(ORÇAMENTO!$W$15,ROW(BF204)-ROW(BF$15),0),15-13*ORÇAMENTO!$AF$11)),
         0)</f>
        <v>0</v>
      </c>
      <c r="BG204" s="352" t="n">
        <f aca="true">IF(AND($D204="Serviço",BG$12&lt;&gt;0,$H204&gt;0,OR(AUTOEVENTO&lt;&gt;"manual",$M204&lt;&gt;$A$15)),
        IF(Import.TipoArredondamento&lt;&gt;"TransfereGOV",
              ROUND(OFFSET($P204,0,BG$13),15-13*ORÇAMENTO!$AF$7)/$H204*OFFSET(ORÇAMENTO!$X$15,ROW(BG204)-ROW(BG$15),0),
              ROUND(ROUND(OFFSET($P204,0,BG$13),15-13*ORÇAMENTO!$AF$7)*OFFSET(ORÇAMENTO!$W$15,ROW(BG204)-ROW(BG$15),0),15-13*ORÇAMENTO!$AF$11)),
         0)</f>
        <v>0</v>
      </c>
      <c r="BH204" s="352" t="n">
        <f aca="true">IF(AND($D204="Serviço",BH$12&lt;&gt;0,$H204&gt;0,OR(AUTOEVENTO&lt;&gt;"manual",$M204&lt;&gt;$A$15)),
        IF(Import.TipoArredondamento&lt;&gt;"TransfereGOV",
              ROUND(OFFSET($P204,0,BH$13),15-13*ORÇAMENTO!$AF$7)/$H204*OFFSET(ORÇAMENTO!$X$15,ROW(BH204)-ROW(BH$15),0),
              ROUND(ROUND(OFFSET($P204,0,BH$13),15-13*ORÇAMENTO!$AF$7)*OFFSET(ORÇAMENTO!$W$15,ROW(BH204)-ROW(BH$15),0),15-13*ORÇAMENTO!$AF$11)),
         0)</f>
        <v>0</v>
      </c>
      <c r="BI204" s="352" t="n">
        <f aca="true">IF(AND($D204="Serviço",BI$12&lt;&gt;0,$H204&gt;0,OR(AUTOEVENTO&lt;&gt;"manual",$M204&lt;&gt;$A$15)),
        IF(Import.TipoArredondamento&lt;&gt;"TransfereGOV",
              ROUND(OFFSET($P204,0,BI$13),15-13*ORÇAMENTO!$AF$7)/$H204*OFFSET(ORÇAMENTO!$X$15,ROW(BI204)-ROW(BI$15),0),
              ROUND(ROUND(OFFSET($P204,0,BI$13),15-13*ORÇAMENTO!$AF$7)*OFFSET(ORÇAMENTO!$W$15,ROW(BI204)-ROW(BI$15),0),15-13*ORÇAMENTO!$AF$11)),
         0)</f>
        <v>0</v>
      </c>
      <c r="BJ204" s="352" t="n">
        <f aca="true">IF(AND($D204="Serviço",BJ$12&lt;&gt;0,$H204&gt;0,OR(AUTOEVENTO&lt;&gt;"manual",$M204&lt;&gt;$A$15)),
        IF(Import.TipoArredondamento&lt;&gt;"TransfereGOV",
              ROUND(OFFSET($P204,0,BJ$13),15-13*ORÇAMENTO!$AF$7)/$H204*OFFSET(ORÇAMENTO!$X$15,ROW(BJ204)-ROW(BJ$15),0),
              ROUND(ROUND(OFFSET($P204,0,BJ$13),15-13*ORÇAMENTO!$AF$7)*OFFSET(ORÇAMENTO!$W$15,ROW(BJ204)-ROW(BJ$15),0),15-13*ORÇAMENTO!$AF$11)),
         0)</f>
        <v>0</v>
      </c>
      <c r="BK204" s="352" t="n">
        <f aca="true">IF(AND($D204="Serviço",BK$12&lt;&gt;0,$H204&gt;0,OR(AUTOEVENTO&lt;&gt;"manual",$M204&lt;&gt;$A$15)),
        IF(Import.TipoArredondamento&lt;&gt;"TransfereGOV",
              ROUND(OFFSET($P204,0,BK$13),15-13*ORÇAMENTO!$AF$7)/$H204*OFFSET(ORÇAMENTO!$X$15,ROW(BK204)-ROW(BK$15),0),
              ROUND(ROUND(OFFSET($P204,0,BK$13),15-13*ORÇAMENTO!$AF$7)*OFFSET(ORÇAMENTO!$W$15,ROW(BK204)-ROW(BK$15),0),15-13*ORÇAMENTO!$AF$11)),
         0)</f>
        <v>0</v>
      </c>
      <c r="BL204" s="352" t="n">
        <f aca="true">IF(AND($D204="Serviço",BL$12&lt;&gt;0,$H204&gt;0,OR(AUTOEVENTO&lt;&gt;"manual",$M204&lt;&gt;$A$15)),
        IF(Import.TipoArredondamento&lt;&gt;"TransfereGOV",
              ROUND(OFFSET($P204,0,BL$13),15-13*ORÇAMENTO!$AF$7)/$H204*OFFSET(ORÇAMENTO!$X$15,ROW(BL204)-ROW(BL$15),0),
              ROUND(ROUND(OFFSET($P204,0,BL$13),15-13*ORÇAMENTO!$AF$7)*OFFSET(ORÇAMENTO!$W$15,ROW(BL204)-ROW(BL$15),0),15-13*ORÇAMENTO!$AF$11)),
         0)</f>
        <v>0</v>
      </c>
      <c r="BM204" s="352" t="n">
        <f aca="true">IF(AND($D204="Serviço",BM$12&lt;&gt;0,$H204&gt;0,OR(AUTOEVENTO&lt;&gt;"manual",$M204&lt;&gt;$A$15)),
        IF(Import.TipoArredondamento&lt;&gt;"TransfereGOV",
              ROUND(OFFSET($P204,0,BM$13),15-13*ORÇAMENTO!$AF$7)/$H204*OFFSET(ORÇAMENTO!$X$15,ROW(BM204)-ROW(BM$15),0),
              ROUND(ROUND(OFFSET($P204,0,BM$13),15-13*ORÇAMENTO!$AF$7)*OFFSET(ORÇAMENTO!$W$15,ROW(BM204)-ROW(BM$15),0),15-13*ORÇAMENTO!$AF$11)),
         0)</f>
        <v>0</v>
      </c>
      <c r="BN204" s="352" t="n">
        <f aca="true">IF(AND($D204="Serviço",BN$12&lt;&gt;0,$H204&gt;0,OR(AUTOEVENTO&lt;&gt;"manual",$M204&lt;&gt;$A$15)),
        IF(Import.TipoArredondamento&lt;&gt;"TransfereGOV",
              ROUND(OFFSET($P204,0,BN$13),15-13*ORÇAMENTO!$AF$7)/$H204*OFFSET(ORÇAMENTO!$X$15,ROW(BN204)-ROW(BN$15),0),
              ROUND(ROUND(OFFSET($P204,0,BN$13),15-13*ORÇAMENTO!$AF$7)*OFFSET(ORÇAMENTO!$W$15,ROW(BN204)-ROW(BN$15),0),15-13*ORÇAMENTO!$AF$11)),
         0)</f>
        <v>0</v>
      </c>
      <c r="BO204" s="352" t="n">
        <f aca="true">IF(AND($D204="Serviço",BO$12&lt;&gt;0,$H204&gt;0,OR(AUTOEVENTO&lt;&gt;"manual",$M204&lt;&gt;$A$15)),
        IF(Import.TipoArredondamento&lt;&gt;"TransfereGOV",
              ROUND(OFFSET($P204,0,BO$13),15-13*ORÇAMENTO!$AF$7)/$H204*OFFSET(ORÇAMENTO!$X$15,ROW(BO204)-ROW(BO$15),0),
              ROUND(ROUND(OFFSET($P204,0,BO$13),15-13*ORÇAMENTO!$AF$7)*OFFSET(ORÇAMENTO!$W$15,ROW(BO204)-ROW(BO$15),0),15-13*ORÇAMENTO!$AF$11)),
         0)</f>
        <v>0</v>
      </c>
      <c r="BP204" s="352" t="n">
        <f aca="true">IF(AND($D204="Serviço",BP$12&lt;&gt;0,$H204&gt;0,OR(AUTOEVENTO&lt;&gt;"manual",$M204&lt;&gt;$A$15)),
        IF(Import.TipoArredondamento&lt;&gt;"TransfereGOV",
              ROUND(OFFSET($P204,0,BP$13),15-13*ORÇAMENTO!$AF$7)/$H204*OFFSET(ORÇAMENTO!$X$15,ROW(BP204)-ROW(BP$15),0),
              ROUND(ROUND(OFFSET($P204,0,BP$13),15-13*ORÇAMENTO!$AF$7)*OFFSET(ORÇAMENTO!$W$15,ROW(BP204)-ROW(BP$15),0),15-13*ORÇAMENTO!$AF$11)),
         0)</f>
        <v>0</v>
      </c>
      <c r="BQ204" s="352" t="n">
        <f aca="true">IF(AND($D204="Serviço",BQ$12&lt;&gt;0,$H204&gt;0,OR(AUTOEVENTO&lt;&gt;"manual",$M204&lt;&gt;$A$15)),
        IF(Import.TipoArredondamento&lt;&gt;"TransfereGOV",
              ROUND(OFFSET($P204,0,BQ$13),15-13*ORÇAMENTO!$AF$7)/$H204*OFFSET(ORÇAMENTO!$X$15,ROW(BQ204)-ROW(BQ$15),0),
              ROUND(ROUND(OFFSET($P204,0,BQ$13),15-13*ORÇAMENTO!$AF$7)*OFFSET(ORÇAMENTO!$W$15,ROW(BQ204)-ROW(BQ$15),0),15-13*ORÇAMENTO!$AF$11)),
         0)</f>
        <v>0</v>
      </c>
      <c r="BS204" s="353" t="n">
        <f aca="true">IF(OR($D204&lt;&gt;"Serviço",AND(AUTOEVENTO="Manual",$M204=$A$15)),0,
         IF(OFFSET(CRONOPLE!$F$15,$M204-$A$15,BS$13)=0,10^12,OFFSET(CRONOPLE!$F$15,$M204-$A$15,BS$13)))</f>
        <v>0</v>
      </c>
      <c r="BT204" s="353" t="n">
        <f aca="true">IF(OR($D204&lt;&gt;"Serviço",AND(AUTOEVENTO="Manual",$M204=$A$15)),0,
         IF(OFFSET(CRONOPLE!$F$15,$M204-$A$15,BT$13)=0,10^12,OFFSET(CRONOPLE!$F$15,$M204-$A$15,BT$13)))</f>
        <v>0</v>
      </c>
      <c r="BU204" s="353" t="n">
        <f aca="true">IF(OR($D204&lt;&gt;"Serviço",AND(AUTOEVENTO="Manual",$M204=$A$15)),0,
         IF(OFFSET(CRONOPLE!$F$15,$M204-$A$15,BU$13)=0,10^12,OFFSET(CRONOPLE!$F$15,$M204-$A$15,BU$13)))</f>
        <v>0</v>
      </c>
      <c r="BV204" s="353" t="n">
        <f aca="true">IF(OR($D204&lt;&gt;"Serviço",AND(AUTOEVENTO="Manual",$M204=$A$15)),0,
         IF(OFFSET(CRONOPLE!$F$15,$M204-$A$15,BV$13)=0,10^12,OFFSET(CRONOPLE!$F$15,$M204-$A$15,BV$13)))</f>
        <v>0</v>
      </c>
      <c r="BW204" s="353" t="n">
        <f aca="true">IF(OR($D204&lt;&gt;"Serviço",AND(AUTOEVENTO="Manual",$M204=$A$15)),0,
         IF(OFFSET(CRONOPLE!$F$15,$M204-$A$15,BW$13)=0,10^12,OFFSET(CRONOPLE!$F$15,$M204-$A$15,BW$13)))</f>
        <v>0</v>
      </c>
      <c r="BX204" s="353" t="n">
        <f aca="true">IF(OR($D204&lt;&gt;"Serviço",AND(AUTOEVENTO="Manual",$M204=$A$15)),0,
         IF(OFFSET(CRONOPLE!$F$15,$M204-$A$15,BX$13)=0,10^12,OFFSET(CRONOPLE!$F$15,$M204-$A$15,BX$13)))</f>
        <v>0</v>
      </c>
      <c r="BY204" s="353" t="n">
        <f aca="true">IF(OR($D204&lt;&gt;"Serviço",AND(AUTOEVENTO="Manual",$M204=$A$15)),0,
         IF(OFFSET(CRONOPLE!$F$15,$M204-$A$15,BY$13)=0,10^12,OFFSET(CRONOPLE!$F$15,$M204-$A$15,BY$13)))</f>
        <v>0</v>
      </c>
      <c r="BZ204" s="353" t="n">
        <f aca="true">IF(OR($D204&lt;&gt;"Serviço",AND(AUTOEVENTO="Manual",$M204=$A$15)),0,
         IF(OFFSET(CRONOPLE!$F$15,$M204-$A$15,BZ$13)=0,10^12,OFFSET(CRONOPLE!$F$15,$M204-$A$15,BZ$13)))</f>
        <v>0</v>
      </c>
      <c r="CA204" s="353" t="n">
        <f aca="true">IF(OR($D204&lt;&gt;"Serviço",AND(AUTOEVENTO="Manual",$M204=$A$15)),0,
         IF(OFFSET(CRONOPLE!$F$15,$M204-$A$15,CA$13)=0,10^12,OFFSET(CRONOPLE!$F$15,$M204-$A$15,CA$13)))</f>
        <v>0</v>
      </c>
      <c r="CB204" s="353" t="n">
        <f aca="true">IF(OR($D204&lt;&gt;"Serviço",AND(AUTOEVENTO="Manual",$M204=$A$15)),0,
         IF(OFFSET(CRONOPLE!$F$15,$M204-$A$15,CB$13)=0,10^12,OFFSET(CRONOPLE!$F$15,$M204-$A$15,CB$13)))</f>
        <v>0</v>
      </c>
      <c r="CC204" s="353" t="n">
        <f aca="true">IF(OR($D204&lt;&gt;"Serviço",AND(AUTOEVENTO="Manual",$M204=$A$15)),0,
         IF(OFFSET(CRONOPLE!$F$15,$M204-$A$15,CC$13)=0,10^12,OFFSET(CRONOPLE!$F$15,$M204-$A$15,CC$13)))</f>
        <v>0</v>
      </c>
      <c r="CD204" s="353" t="n">
        <f aca="true">IF(OR($D204&lt;&gt;"Serviço",AND(AUTOEVENTO="Manual",$M204=$A$15)),0,
         IF(OFFSET(CRONOPLE!$F$15,$M204-$A$15,CD$13)=0,10^12,OFFSET(CRONOPLE!$F$15,$M204-$A$15,CD$13)))</f>
        <v>0</v>
      </c>
      <c r="CE204" s="353" t="n">
        <f aca="true">IF(OR($D204&lt;&gt;"Serviço",AND(AUTOEVENTO="Manual",$M204=$A$15)),0,
         IF(OFFSET(CRONOPLE!$F$15,$M204-$A$15,CE$13)=0,10^12,OFFSET(CRONOPLE!$F$15,$M204-$A$15,CE$13)))</f>
        <v>0</v>
      </c>
      <c r="CF204" s="353" t="n">
        <f aca="true">IF(OR($D204&lt;&gt;"Serviço",AND(AUTOEVENTO="Manual",$M204=$A$15)),0,
         IF(OFFSET(CRONOPLE!$F$15,$M204-$A$15,CF$13)=0,10^12,OFFSET(CRONOPLE!$F$15,$M204-$A$15,CF$13)))</f>
        <v>0</v>
      </c>
      <c r="CG204" s="353" t="n">
        <f aca="true">IF(OR($D204&lt;&gt;"Serviço",AND(AUTOEVENTO="Manual",$M204=$A$15)),0,
         IF(OFFSET(CRONOPLE!$F$15,$M204-$A$15,CG$13)=0,10^12,OFFSET(CRONOPLE!$F$15,$M204-$A$15,CG$13)))</f>
        <v>0</v>
      </c>
      <c r="CH204" s="353" t="n">
        <f aca="true">IF(OR($D204&lt;&gt;"Serviço",AND(AUTOEVENTO="Manual",$M204=$A$15)),0,
         IF(OFFSET(CRONOPLE!$F$15,$M204-$A$15,CH$13)=0,10^12,OFFSET(CRONOPLE!$F$15,$M204-$A$15,CH$13)))</f>
        <v>0</v>
      </c>
      <c r="CI204" s="353" t="n">
        <f aca="true">IF(OR($D204&lt;&gt;"Serviço",AND(AUTOEVENTO="Manual",$M204=$A$15)),0,
         IF(OFFSET(CRONOPLE!$F$15,$M204-$A$15,CI$13)=0,10^12,OFFSET(CRONOPLE!$F$15,$M204-$A$15,CI$13)))</f>
        <v>0</v>
      </c>
      <c r="CJ204" s="353" t="n">
        <f aca="true">IF(OR($D204&lt;&gt;"Serviço",AND(AUTOEVENTO="Manual",$M204=$A$15)),0,
         IF(OFFSET(CRONOPLE!$F$15,$M204-$A$15,CJ$13)=0,10^12,OFFSET(CRONOPLE!$F$15,$M204-$A$15,CJ$13)))</f>
        <v>0</v>
      </c>
      <c r="CK204" s="353" t="n">
        <f aca="true">IF(OR($D204&lt;&gt;"Serviço",AND(AUTOEVENTO="Manual",$M204=$A$15)),0,
         IF(OFFSET(CRONOPLE!$F$15,$M204-$A$15,CK$13)=0,10^12,OFFSET(CRONOPLE!$F$15,$M204-$A$15,CK$13)))</f>
        <v>0</v>
      </c>
      <c r="CL204" s="353" t="n">
        <f aca="true">IF(OR($D204&lt;&gt;"Serviço",AND(AUTOEVENTO="Manual",$M204=$A$15)),0,
         IF(OFFSET(CRONOPLE!$F$15,$M204-$A$15,CL$13)=0,10^12,OFFSET(CRONOPLE!$F$15,$M204-$A$15,CL$13)))</f>
        <v>0</v>
      </c>
      <c r="CM204" s="353" t="n">
        <f aca="true">IF(OR($D204&lt;&gt;"Serviço",AND(AUTOEVENTO="Manual",$M204=$A$15)),0,
         IF(OFFSET(CRONOPLE!$F$15,$M204-$A$15,CM$13)=0,10^12,OFFSET(CRONOPLE!$F$15,$M204-$A$15,CM$13)))</f>
        <v>0</v>
      </c>
      <c r="CN204" s="353" t="n">
        <f aca="true">IF(OR($D204&lt;&gt;"Serviço",AND(AUTOEVENTO="Manual",$M204=$A$15)),0,
         IF(OFFSET(CRONOPLE!$F$15,$M204-$A$15,CN$13)=0,10^12,OFFSET(CRONOPLE!$F$15,$M204-$A$15,CN$13)))</f>
        <v>0</v>
      </c>
      <c r="CO204" s="353" t="n">
        <f aca="true">IF(OR($D204&lt;&gt;"Serviço",AND(AUTOEVENTO="Manual",$M204=$A$15)),0,
         IF(OFFSET(CRONOPLE!$F$15,$M204-$A$15,CO$13)=0,10^12,OFFSET(CRONOPLE!$F$15,$M204-$A$15,CO$13)))</f>
        <v>0</v>
      </c>
      <c r="CP204" s="353" t="n">
        <f aca="true">IF(OR($D204&lt;&gt;"Serviço",AND(AUTOEVENTO="Manual",$M204=$A$15)),0,
         IF(OFFSET(CRONOPLE!$F$15,$M204-$A$15,CP$13)=0,10^12,OFFSET(CRONOPLE!$F$15,$M204-$A$15,CP$13)))</f>
        <v>0</v>
      </c>
      <c r="CQ204" s="353" t="n">
        <f aca="true">IF(OR($D204&lt;&gt;"Serviço",AND(AUTOEVENTO="Manual",$M204=$A$15)),0,
         IF(OFFSET(CRONOPLE!$F$15,$M204-$A$15,CQ$13)=0,10^12,OFFSET(CRONOPLE!$F$15,$M204-$A$15,CQ$13)))</f>
        <v>0</v>
      </c>
      <c r="CR204" s="353" t="n">
        <f aca="true">IF(OR($D204&lt;&gt;"Serviço",AND(AUTOEVENTO="Manual",$M204=$A$15)),0,
         IF(OFFSET(CRONOPLE!$F$15,$M204-$A$15,CR$13)=0,10^12,OFFSET(CRONOPLE!$F$15,$M204-$A$15,CR$13)))</f>
        <v>0</v>
      </c>
      <c r="CT204" s="354" t="n">
        <f aca="true">IF(OR($D204&lt;&gt;"Serviço",AND(AUTOEVENTO="Manual",$M204=$A$15),$M204&gt;(ROW(PLE.lastrow)-ROW(PLE.firstrow))),0,
           IF(OFFSET(PLE!$G$15,$M204-$A$15,CT$13)="",10^12,OFFSET(PLE!$G$15,$M204-$A$15,CT$13)))</f>
        <v>0</v>
      </c>
      <c r="CU204" s="354" t="n">
        <f aca="true">IF(OR($D204&lt;&gt;"Serviço",AND(AUTOEVENTO="Manual",$M204=$A$15),$M204&gt;(ROW(PLE.lastrow)-ROW(PLE.firstrow))),0,
           IF(OFFSET(PLE!$G$15,$M204-$A$15,CU$13)="",10^12,OFFSET(PLE!$G$15,$M204-$A$15,CU$13)))</f>
        <v>0</v>
      </c>
      <c r="CV204" s="354" t="n">
        <f aca="true">IF(OR($D204&lt;&gt;"Serviço",AND(AUTOEVENTO="Manual",$M204=$A$15),$M204&gt;(ROW(PLE.lastrow)-ROW(PLE.firstrow))),0,
           IF(OFFSET(PLE!$G$15,$M204-$A$15,CV$13)="",10^12,OFFSET(PLE!$G$15,$M204-$A$15,CV$13)))</f>
        <v>0</v>
      </c>
      <c r="CW204" s="354" t="n">
        <f aca="true">IF(OR($D204&lt;&gt;"Serviço",AND(AUTOEVENTO="Manual",$M204=$A$15),$M204&gt;(ROW(PLE.lastrow)-ROW(PLE.firstrow))),0,
           IF(OFFSET(PLE!$G$15,$M204-$A$15,CW$13)="",10^12,OFFSET(PLE!$G$15,$M204-$A$15,CW$13)))</f>
        <v>0</v>
      </c>
      <c r="CX204" s="354" t="n">
        <f aca="true">IF(OR($D204&lt;&gt;"Serviço",AND(AUTOEVENTO="Manual",$M204=$A$15),$M204&gt;(ROW(PLE.lastrow)-ROW(PLE.firstrow))),0,
           IF(OFFSET(PLE!$G$15,$M204-$A$15,CX$13)="",10^12,OFFSET(PLE!$G$15,$M204-$A$15,CX$13)))</f>
        <v>0</v>
      </c>
      <c r="CY204" s="354" t="n">
        <f aca="true">IF(OR($D204&lt;&gt;"Serviço",AND(AUTOEVENTO="Manual",$M204=$A$15),$M204&gt;(ROW(PLE.lastrow)-ROW(PLE.firstrow))),0,
           IF(OFFSET(PLE!$G$15,$M204-$A$15,CY$13)="",10^12,OFFSET(PLE!$G$15,$M204-$A$15,CY$13)))</f>
        <v>0</v>
      </c>
      <c r="CZ204" s="354" t="n">
        <f aca="true">IF(OR($D204&lt;&gt;"Serviço",AND(AUTOEVENTO="Manual",$M204=$A$15),$M204&gt;(ROW(PLE.lastrow)-ROW(PLE.firstrow))),0,
           IF(OFFSET(PLE!$G$15,$M204-$A$15,CZ$13)="",10^12,OFFSET(PLE!$G$15,$M204-$A$15,CZ$13)))</f>
        <v>0</v>
      </c>
      <c r="DA204" s="354" t="n">
        <f aca="true">IF(OR($D204&lt;&gt;"Serviço",AND(AUTOEVENTO="Manual",$M204=$A$15),$M204&gt;(ROW(PLE.lastrow)-ROW(PLE.firstrow))),0,
           IF(OFFSET(PLE!$G$15,$M204-$A$15,DA$13)="",10^12,OFFSET(PLE!$G$15,$M204-$A$15,DA$13)))</f>
        <v>0</v>
      </c>
      <c r="DB204" s="354" t="n">
        <f aca="true">IF(OR($D204&lt;&gt;"Serviço",AND(AUTOEVENTO="Manual",$M204=$A$15),$M204&gt;(ROW(PLE.lastrow)-ROW(PLE.firstrow))),0,
           IF(OFFSET(PLE!$G$15,$M204-$A$15,DB$13)="",10^12,OFFSET(PLE!$G$15,$M204-$A$15,DB$13)))</f>
        <v>0</v>
      </c>
      <c r="DC204" s="354" t="n">
        <f aca="true">IF(OR($D204&lt;&gt;"Serviço",AND(AUTOEVENTO="Manual",$M204=$A$15),$M204&gt;(ROW(PLE.lastrow)-ROW(PLE.firstrow))),0,
           IF(OFFSET(PLE!$G$15,$M204-$A$15,DC$13)="",10^12,OFFSET(PLE!$G$15,$M204-$A$15,DC$13)))</f>
        <v>0</v>
      </c>
      <c r="DD204" s="354" t="n">
        <f aca="true">IF(OR($D204&lt;&gt;"Serviço",AND(AUTOEVENTO="Manual",$M204=$A$15),$M204&gt;(ROW(PLE.lastrow)-ROW(PLE.firstrow))),0,
           IF(OFFSET(PLE!$G$15,$M204-$A$15,DD$13)="",10^12,OFFSET(PLE!$G$15,$M204-$A$15,DD$13)))</f>
        <v>0</v>
      </c>
      <c r="DE204" s="354" t="n">
        <f aca="true">IF(OR($D204&lt;&gt;"Serviço",AND(AUTOEVENTO="Manual",$M204=$A$15),$M204&gt;(ROW(PLE.lastrow)-ROW(PLE.firstrow))),0,
           IF(OFFSET(PLE!$G$15,$M204-$A$15,DE$13)="",10^12,OFFSET(PLE!$G$15,$M204-$A$15,DE$13)))</f>
        <v>0</v>
      </c>
      <c r="DF204" s="354" t="n">
        <f aca="true">IF(OR($D204&lt;&gt;"Serviço",AND(AUTOEVENTO="Manual",$M204=$A$15),$M204&gt;(ROW(PLE.lastrow)-ROW(PLE.firstrow))),0,
           IF(OFFSET(PLE!$G$15,$M204-$A$15,DF$13)="",10^12,OFFSET(PLE!$G$15,$M204-$A$15,DF$13)))</f>
        <v>0</v>
      </c>
      <c r="DG204" s="354" t="n">
        <f aca="true">IF(OR($D204&lt;&gt;"Serviço",AND(AUTOEVENTO="Manual",$M204=$A$15),$M204&gt;(ROW(PLE.lastrow)-ROW(PLE.firstrow))),0,
           IF(OFFSET(PLE!$G$15,$M204-$A$15,DG$13)="",10^12,OFFSET(PLE!$G$15,$M204-$A$15,DG$13)))</f>
        <v>0</v>
      </c>
      <c r="DH204" s="354" t="n">
        <f aca="true">IF(OR($D204&lt;&gt;"Serviço",AND(AUTOEVENTO="Manual",$M204=$A$15),$M204&gt;(ROW(PLE.lastrow)-ROW(PLE.firstrow))),0,
           IF(OFFSET(PLE!$G$15,$M204-$A$15,DH$13)="",10^12,OFFSET(PLE!$G$15,$M204-$A$15,DH$13)))</f>
        <v>0</v>
      </c>
      <c r="DI204" s="354" t="n">
        <f aca="true">IF(OR($D204&lt;&gt;"Serviço",AND(AUTOEVENTO="Manual",$M204=$A$15),$M204&gt;(ROW(PLE.lastrow)-ROW(PLE.firstrow))),0,
           IF(OFFSET(PLE!$G$15,$M204-$A$15,DI$13)="",10^12,OFFSET(PLE!$G$15,$M204-$A$15,DI$13)))</f>
        <v>0</v>
      </c>
      <c r="DJ204" s="354" t="n">
        <f aca="true">IF(OR($D204&lt;&gt;"Serviço",AND(AUTOEVENTO="Manual",$M204=$A$15),$M204&gt;(ROW(PLE.lastrow)-ROW(PLE.firstrow))),0,
           IF(OFFSET(PLE!$G$15,$M204-$A$15,DJ$13)="",10^12,OFFSET(PLE!$G$15,$M204-$A$15,DJ$13)))</f>
        <v>0</v>
      </c>
      <c r="DK204" s="354" t="n">
        <f aca="true">IF(OR($D204&lt;&gt;"Serviço",AND(AUTOEVENTO="Manual",$M204=$A$15),$M204&gt;(ROW(PLE.lastrow)-ROW(PLE.firstrow))),0,
           IF(OFFSET(PLE!$G$15,$M204-$A$15,DK$13)="",10^12,OFFSET(PLE!$G$15,$M204-$A$15,DK$13)))</f>
        <v>0</v>
      </c>
      <c r="DL204" s="354" t="n">
        <f aca="true">IF(OR($D204&lt;&gt;"Serviço",AND(AUTOEVENTO="Manual",$M204=$A$15),$M204&gt;(ROW(PLE.lastrow)-ROW(PLE.firstrow))),0,
           IF(OFFSET(PLE!$G$15,$M204-$A$15,DL$13)="",10^12,OFFSET(PLE!$G$15,$M204-$A$15,DL$13)))</f>
        <v>0</v>
      </c>
      <c r="DM204" s="354" t="n">
        <f aca="true">IF(OR($D204&lt;&gt;"Serviço",AND(AUTOEVENTO="Manual",$M204=$A$15),$M204&gt;(ROW(PLE.lastrow)-ROW(PLE.firstrow))),0,
           IF(OFFSET(PLE!$G$15,$M204-$A$15,DM$13)="",10^12,OFFSET(PLE!$G$15,$M204-$A$15,DM$13)))</f>
        <v>0</v>
      </c>
      <c r="DN204" s="354" t="n">
        <f aca="true">IF(OR($D204&lt;&gt;"Serviço",AND(AUTOEVENTO="Manual",$M204=$A$15),$M204&gt;(ROW(PLE.lastrow)-ROW(PLE.firstrow))),0,
           IF(OFFSET(PLE!$G$15,$M204-$A$15,DN$13)="",10^12,OFFSET(PLE!$G$15,$M204-$A$15,DN$13)))</f>
        <v>0</v>
      </c>
      <c r="DO204" s="354" t="n">
        <f aca="true">IF(OR($D204&lt;&gt;"Serviço",AND(AUTOEVENTO="Manual",$M204=$A$15),$M204&gt;(ROW(PLE.lastrow)-ROW(PLE.firstrow))),0,
           IF(OFFSET(PLE!$G$15,$M204-$A$15,DO$13)="",10^12,OFFSET(PLE!$G$15,$M204-$A$15,DO$13)))</f>
        <v>0</v>
      </c>
      <c r="DP204" s="354" t="n">
        <f aca="true">IF(OR($D204&lt;&gt;"Serviço",AND(AUTOEVENTO="Manual",$M204=$A$15),$M204&gt;(ROW(PLE.lastrow)-ROW(PLE.firstrow))),0,
           IF(OFFSET(PLE!$G$15,$M204-$A$15,DP$13)="",10^12,OFFSET(PLE!$G$15,$M204-$A$15,DP$13)))</f>
        <v>0</v>
      </c>
      <c r="DQ204" s="354" t="n">
        <f aca="true">IF(OR($D204&lt;&gt;"Serviço",AND(AUTOEVENTO="Manual",$M204=$A$15),$M204&gt;(ROW(PLE.lastrow)-ROW(PLE.firstrow))),0,
           IF(OFFSET(PLE!$G$15,$M204-$A$15,DQ$13)="",10^12,OFFSET(PLE!$G$15,$M204-$A$15,DQ$13)))</f>
        <v>0</v>
      </c>
      <c r="DR204" s="354" t="n">
        <f aca="true">IF(OR($D204&lt;&gt;"Serviço",AND(AUTOEVENTO="Manual",$M204=$A$15),$M204&gt;(ROW(PLE.lastrow)-ROW(PLE.firstrow))),0,
           IF(OFFSET(PLE!$G$15,$M204-$A$15,DR$13)="",10^12,OFFSET(PLE!$G$15,$M204-$A$15,DR$13)))</f>
        <v>0</v>
      </c>
      <c r="DS204" s="354" t="n">
        <f aca="true">IF(OR($D204&lt;&gt;"Serviço",AND(AUTOEVENTO="Manual",$M204=$A$15),$M204&gt;(ROW(PLE.lastrow)-ROW(PLE.firstrow))),0,
           IF(OFFSET(PLE!$G$15,$M204-$A$15,DS$13)="",10^12,OFFSET(PLE!$G$15,$M204-$A$15,DS$13)))</f>
        <v>0</v>
      </c>
    </row>
    <row r="205" customFormat="false" ht="4.5" hidden="false" customHeight="true" outlineLevel="0" collapsed="false">
      <c r="B205" s="50" t="n">
        <f aca="true">OFFSET(ORÇAMENTO!C$15,ROW(B205)-ROW(B$15),0)</f>
        <v>-1</v>
      </c>
      <c r="C205" s="50" t="str">
        <f aca="true">OFFSET(ORÇAMENTO!L$15,ROW(C205)-ROW(C$15),0)</f>
        <v>F</v>
      </c>
      <c r="D205" s="365" t="s">
        <v>730</v>
      </c>
      <c r="E205" s="241"/>
      <c r="F205" s="244"/>
      <c r="G205" s="244"/>
      <c r="H205" s="244"/>
      <c r="I205" s="242"/>
      <c r="K205" s="366"/>
      <c r="L205" s="346" t="s">
        <v>876</v>
      </c>
      <c r="M205" s="367"/>
      <c r="N205" s="368"/>
      <c r="O205" s="369"/>
      <c r="Q205" s="241"/>
      <c r="R205" s="244"/>
      <c r="S205" s="244"/>
      <c r="T205" s="244"/>
      <c r="U205" s="244"/>
      <c r="V205" s="244"/>
      <c r="W205" s="244"/>
      <c r="X205" s="244"/>
      <c r="Y205" s="244"/>
      <c r="Z205" s="242"/>
      <c r="AA205" s="244"/>
      <c r="AB205" s="244"/>
      <c r="AC205" s="244"/>
      <c r="AD205" s="244"/>
      <c r="AE205" s="244"/>
      <c r="AF205" s="244"/>
      <c r="AG205" s="244"/>
      <c r="AH205" s="242"/>
      <c r="AI205" s="244"/>
      <c r="AJ205" s="244"/>
      <c r="AK205" s="244"/>
      <c r="AL205" s="244"/>
      <c r="AM205" s="244"/>
      <c r="AN205" s="244"/>
      <c r="AO205" s="244"/>
      <c r="AP205" s="242"/>
      <c r="AR205" s="370"/>
      <c r="AS205" s="371"/>
      <c r="AT205" s="371"/>
      <c r="AU205" s="371"/>
      <c r="AV205" s="371"/>
      <c r="AW205" s="371"/>
      <c r="AX205" s="371"/>
      <c r="AY205" s="371"/>
      <c r="AZ205" s="371"/>
      <c r="BA205" s="372"/>
      <c r="BB205" s="371"/>
      <c r="BC205" s="371"/>
      <c r="BD205" s="371"/>
      <c r="BE205" s="371"/>
      <c r="BF205" s="371"/>
      <c r="BG205" s="371"/>
      <c r="BH205" s="371"/>
      <c r="BI205" s="372"/>
      <c r="BJ205" s="371"/>
      <c r="BK205" s="371"/>
      <c r="BL205" s="371"/>
      <c r="BM205" s="371"/>
      <c r="BN205" s="371"/>
      <c r="BO205" s="371"/>
      <c r="BP205" s="371"/>
      <c r="BQ205" s="372"/>
      <c r="BS205" s="370"/>
      <c r="BT205" s="371"/>
      <c r="BU205" s="371"/>
      <c r="BV205" s="371"/>
      <c r="BW205" s="371"/>
      <c r="BX205" s="371"/>
      <c r="BY205" s="371"/>
      <c r="BZ205" s="371"/>
      <c r="CA205" s="371"/>
      <c r="CB205" s="372"/>
      <c r="CC205" s="371"/>
      <c r="CD205" s="371"/>
      <c r="CE205" s="371"/>
      <c r="CF205" s="371"/>
      <c r="CG205" s="371"/>
      <c r="CH205" s="371"/>
      <c r="CI205" s="371"/>
      <c r="CJ205" s="372"/>
      <c r="CK205" s="371"/>
      <c r="CL205" s="371"/>
      <c r="CM205" s="371"/>
      <c r="CN205" s="371"/>
      <c r="CO205" s="371"/>
      <c r="CP205" s="371"/>
      <c r="CQ205" s="371"/>
      <c r="CR205" s="372"/>
      <c r="CT205" s="370"/>
      <c r="CU205" s="371"/>
      <c r="CV205" s="371"/>
      <c r="CW205" s="371"/>
      <c r="CX205" s="371"/>
      <c r="CY205" s="371"/>
      <c r="CZ205" s="371"/>
      <c r="DA205" s="371"/>
      <c r="DB205" s="371"/>
      <c r="DC205" s="372"/>
      <c r="DD205" s="371"/>
      <c r="DE205" s="371"/>
      <c r="DF205" s="371"/>
      <c r="DG205" s="371"/>
      <c r="DH205" s="371"/>
      <c r="DI205" s="371"/>
      <c r="DJ205" s="371"/>
      <c r="DK205" s="372"/>
      <c r="DL205" s="371"/>
      <c r="DM205" s="371"/>
      <c r="DN205" s="371"/>
      <c r="DO205" s="371"/>
      <c r="DP205" s="371"/>
      <c r="DQ205" s="371"/>
      <c r="DR205" s="371"/>
      <c r="DS205" s="372"/>
    </row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5" hidden="false" customHeight="true" outlineLevel="0" collapsed="false">
      <c r="F209" s="299" t="str">
        <f aca="false">Import.Município</f>
        <v>SALINAS</v>
      </c>
      <c r="I209" s="255"/>
      <c r="J209" s="255"/>
      <c r="K209" s="255"/>
      <c r="L209" s="255"/>
      <c r="M209" s="373"/>
      <c r="N209" s="48"/>
      <c r="T209" s="255"/>
      <c r="U209" s="255"/>
      <c r="V209" s="48"/>
      <c r="W209" s="48"/>
      <c r="X209" s="48"/>
      <c r="Y209" s="48"/>
      <c r="AB209" s="255"/>
      <c r="AC209" s="255"/>
      <c r="AD209" s="48"/>
      <c r="AE209" s="48"/>
      <c r="AF209" s="48"/>
      <c r="AG209" s="48"/>
      <c r="AJ209" s="255"/>
      <c r="AK209" s="255"/>
      <c r="AL209" s="48"/>
      <c r="AM209" s="48"/>
      <c r="AN209" s="48"/>
      <c r="AO209" s="48"/>
    </row>
    <row r="210" customFormat="false" ht="12.75" hidden="false" customHeight="true" outlineLevel="0" collapsed="false">
      <c r="F210" s="58" t="s">
        <v>722</v>
      </c>
      <c r="I210" s="256" t="s">
        <v>725</v>
      </c>
      <c r="J210" s="256"/>
      <c r="K210" s="256"/>
      <c r="L210" s="256"/>
      <c r="T210" s="256" t="s">
        <v>725</v>
      </c>
      <c r="U210" s="256"/>
      <c r="AB210" s="256" t="s">
        <v>725</v>
      </c>
      <c r="AC210" s="256"/>
      <c r="AJ210" s="256" t="s">
        <v>725</v>
      </c>
      <c r="AK210" s="256"/>
    </row>
    <row r="211" customFormat="false" ht="12.75" hidden="false" customHeight="true" outlineLevel="0" collapsed="false">
      <c r="I211" s="301" t="str">
        <f aca="true" t="array" ref="I211:I213">OFFSET(Import.RespOrçamento,0,-1) &amp; " " &amp; Import.RespOrçamento</f>
        <v>Nome: DEBHORA DOS SANTOS GUIMARÃES</v>
      </c>
      <c r="K211" s="152"/>
      <c r="L211" s="152"/>
      <c r="T211" s="301" t="str">
        <f aca="true" t="array" ref="T211:T213">OFFSET(Import.RespOrçamento,0,-1) &amp; " " &amp; Import.RespOrçamento</f>
        <v>Nome: DEBHORA DOS SANTOS GUIMARÃES</v>
      </c>
      <c r="U211" s="151"/>
      <c r="AB211" s="301" t="str">
        <f aca="true" t="array" ref="AB211:AB213">OFFSET(Import.RespOrçamento,0,-1) &amp; " " &amp; Import.RespOrçamento</f>
        <v>Nome: DEBHORA DOS SANTOS GUIMARÃES</v>
      </c>
      <c r="AC211" s="151"/>
      <c r="AJ211" s="301" t="str">
        <f aca="true" t="array" ref="AJ211:AJ213">OFFSET(Import.RespOrçamento,0,-1) &amp; " " &amp; Import.RespOrçamento</f>
        <v>Nome: DEBHORA DOS SANTOS GUIMARÃES</v>
      </c>
      <c r="AK211" s="151"/>
    </row>
    <row r="212" customFormat="false" ht="12.75" hidden="false" customHeight="true" outlineLevel="0" collapsed="false">
      <c r="F212" s="302" t="n">
        <f aca="false">DADOS!$C$25</f>
        <v>45845</v>
      </c>
      <c r="I212" s="301" t="str">
        <v>CREA/CAU: 111769/D</v>
      </c>
      <c r="K212" s="152"/>
      <c r="L212" s="152"/>
      <c r="T212" s="301" t="str">
        <v>CREA/CAU: 111769/D</v>
      </c>
      <c r="U212" s="151"/>
      <c r="AB212" s="301" t="str">
        <v>CREA/CAU: 111769/D</v>
      </c>
      <c r="AC212" s="151"/>
      <c r="AJ212" s="301" t="str">
        <v>CREA/CAU: 111769/D</v>
      </c>
      <c r="AK212" s="151"/>
    </row>
    <row r="213" customFormat="false" ht="12.75" hidden="false" customHeight="true" outlineLevel="0" collapsed="false">
      <c r="F213" s="258" t="s">
        <v>723</v>
      </c>
      <c r="I213" s="301" t="str">
        <v>ART/RRT: MG20254000676</v>
      </c>
      <c r="K213" s="152"/>
      <c r="L213" s="152"/>
      <c r="T213" s="301" t="str">
        <v>ART/RRT: MG20254000676</v>
      </c>
      <c r="U213" s="151"/>
      <c r="AB213" s="301" t="str">
        <v>ART/RRT: MG20254000676</v>
      </c>
      <c r="AC213" s="151"/>
      <c r="AJ213" s="301" t="str">
        <v>ART/RRT: MG20254000676</v>
      </c>
      <c r="AK213" s="151"/>
    </row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  <row r="1001" customFormat="false" ht="12.75" hidden="false" customHeight="true" outlineLevel="0" collapsed="false"/>
    <row r="1002" customFormat="false" ht="12.75" hidden="false" customHeight="true" outlineLevel="0" collapsed="false"/>
    <row r="1003" customFormat="false" ht="12.75" hidden="false" customHeight="true" outlineLevel="0" collapsed="false"/>
    <row r="1004" customFormat="false" ht="12.75" hidden="false" customHeight="true" outlineLevel="0" collapsed="false"/>
    <row r="1005" customFormat="false" ht="12.75" hidden="false" customHeight="true" outlineLevel="0" collapsed="false"/>
    <row r="1006" customFormat="false" ht="12.75" hidden="false" customHeight="true" outlineLevel="0" collapsed="false"/>
    <row r="1007" customFormat="false" ht="12.75" hidden="false" customHeight="true" outlineLevel="0" collapsed="false"/>
    <row r="1008" customFormat="false" ht="12.75" hidden="false" customHeight="true" outlineLevel="0" collapsed="false"/>
    <row r="1009" customFormat="false" ht="12.75" hidden="false" customHeight="true" outlineLevel="0" collapsed="false"/>
    <row r="1010" customFormat="false" ht="12.75" hidden="false" customHeight="true" outlineLevel="0" collapsed="false"/>
    <row r="1011" customFormat="false" ht="12.75" hidden="false" customHeight="true" outlineLevel="0" collapsed="false"/>
    <row r="1012" customFormat="false" ht="12.75" hidden="false" customHeight="true" outlineLevel="0" collapsed="false"/>
    <row r="1013" customFormat="false" ht="12.75" hidden="false" customHeight="true" outlineLevel="0" collapsed="false"/>
    <row r="1014" customFormat="false" ht="12.75" hidden="false" customHeight="true" outlineLevel="0" collapsed="false"/>
    <row r="1015" customFormat="false" ht="12.75" hidden="false" customHeight="true" outlineLevel="0" collapsed="false"/>
    <row r="1016" customFormat="false" ht="12.75" hidden="false" customHeight="true" outlineLevel="0" collapsed="false"/>
    <row r="1017" customFormat="false" ht="12.75" hidden="false" customHeight="true" outlineLevel="0" collapsed="false"/>
    <row r="1018" customFormat="false" ht="12.75" hidden="false" customHeight="true" outlineLevel="0" collapsed="false"/>
    <row r="1019" customFormat="false" ht="12.75" hidden="false" customHeight="true" outlineLevel="0" collapsed="false"/>
    <row r="1020" customFormat="false" ht="12.75" hidden="false" customHeight="true" outlineLevel="0" collapsed="false"/>
    <row r="1021" customFormat="false" ht="12.75" hidden="false" customHeight="true" outlineLevel="0" collapsed="false"/>
    <row r="1022" customFormat="false" ht="12.75" hidden="false" customHeight="true" outlineLevel="0" collapsed="false"/>
    <row r="1023" customFormat="false" ht="12.75" hidden="false" customHeight="true" outlineLevel="0" collapsed="false"/>
    <row r="1024" customFormat="false" ht="12.75" hidden="false" customHeight="true" outlineLevel="0" collapsed="false"/>
    <row r="1025" customFormat="false" ht="12.75" hidden="false" customHeight="true" outlineLevel="0" collapsed="false"/>
    <row r="1026" customFormat="false" ht="12.75" hidden="false" customHeight="true" outlineLevel="0" collapsed="false"/>
    <row r="1027" customFormat="false" ht="12.75" hidden="false" customHeight="true" outlineLevel="0" collapsed="false"/>
    <row r="1028" customFormat="false" ht="12.75" hidden="false" customHeight="true" outlineLevel="0" collapsed="false"/>
    <row r="1029" customFormat="false" ht="12.75" hidden="false" customHeight="true" outlineLevel="0" collapsed="false"/>
    <row r="1030" customFormat="false" ht="12.75" hidden="false" customHeight="true" outlineLevel="0" collapsed="false"/>
    <row r="1031" customFormat="false" ht="12.75" hidden="false" customHeight="true" outlineLevel="0" collapsed="false"/>
    <row r="1032" customFormat="false" ht="12.75" hidden="false" customHeight="true" outlineLevel="0" collapsed="false"/>
    <row r="1033" customFormat="false" ht="12.75" hidden="false" customHeight="true" outlineLevel="0" collapsed="false"/>
    <row r="1034" customFormat="false" ht="12.75" hidden="false" customHeight="true" outlineLevel="0" collapsed="false"/>
    <row r="1035" customFormat="false" ht="12.75" hidden="false" customHeight="true" outlineLevel="0" collapsed="false"/>
    <row r="1036" customFormat="false" ht="12.75" hidden="false" customHeight="true" outlineLevel="0" collapsed="false"/>
    <row r="1037" customFormat="false" ht="12.75" hidden="false" customHeight="true" outlineLevel="0" collapsed="false"/>
    <row r="1038" customFormat="false" ht="12.75" hidden="false" customHeight="true" outlineLevel="0" collapsed="false"/>
    <row r="1039" customFormat="false" ht="12.75" hidden="false" customHeight="true" outlineLevel="0" collapsed="false"/>
    <row r="1040" customFormat="false" ht="12.75" hidden="false" customHeight="true" outlineLevel="0" collapsed="false"/>
    <row r="1041" customFormat="false" ht="12.75" hidden="false" customHeight="true" outlineLevel="0" collapsed="false"/>
    <row r="1042" customFormat="false" ht="12.75" hidden="false" customHeight="true" outlineLevel="0" collapsed="false"/>
    <row r="1043" customFormat="false" ht="12.75" hidden="false" customHeight="true" outlineLevel="0" collapsed="false"/>
    <row r="1044" customFormat="false" ht="12.75" hidden="false" customHeight="true" outlineLevel="0" collapsed="false"/>
    <row r="1045" customFormat="false" ht="12.75" hidden="false" customHeight="true" outlineLevel="0" collapsed="false"/>
    <row r="1046" customFormat="false" ht="12.75" hidden="false" customHeight="true" outlineLevel="0" collapsed="false"/>
    <row r="1047" customFormat="false" ht="12.75" hidden="false" customHeight="true" outlineLevel="0" collapsed="false"/>
    <row r="1048" customFormat="false" ht="12.75" hidden="false" customHeight="true" outlineLevel="0" collapsed="false"/>
    <row r="1049" customFormat="false" ht="12.75" hidden="false" customHeight="true" outlineLevel="0" collapsed="false"/>
    <row r="1050" customFormat="false" ht="12.75" hidden="false" customHeight="true" outlineLevel="0" collapsed="false"/>
    <row r="1051" customFormat="false" ht="12.75" hidden="false" customHeight="true" outlineLevel="0" collapsed="false"/>
    <row r="1052" customFormat="false" ht="12.75" hidden="false" customHeight="true" outlineLevel="0" collapsed="false"/>
    <row r="1053" customFormat="false" ht="12.75" hidden="false" customHeight="true" outlineLevel="0" collapsed="false"/>
    <row r="1054" customFormat="false" ht="12.75" hidden="false" customHeight="true" outlineLevel="0" collapsed="false"/>
    <row r="1055" customFormat="false" ht="12.75" hidden="false" customHeight="true" outlineLevel="0" collapsed="false"/>
    <row r="1056" customFormat="false" ht="12.75" hidden="false" customHeight="true" outlineLevel="0" collapsed="false"/>
    <row r="1057" customFormat="false" ht="12.75" hidden="false" customHeight="true" outlineLevel="0" collapsed="false"/>
    <row r="1058" customFormat="false" ht="12.75" hidden="false" customHeight="true" outlineLevel="0" collapsed="false"/>
    <row r="1059" customFormat="false" ht="12.75" hidden="false" customHeight="true" outlineLevel="0" collapsed="false"/>
    <row r="1060" customFormat="false" ht="12.75" hidden="false" customHeight="true" outlineLevel="0" collapsed="false"/>
    <row r="1061" customFormat="false" ht="12.75" hidden="false" customHeight="true" outlineLevel="0" collapsed="false"/>
    <row r="1062" customFormat="false" ht="12.75" hidden="false" customHeight="true" outlineLevel="0" collapsed="false"/>
    <row r="1063" customFormat="false" ht="12.75" hidden="false" customHeight="true" outlineLevel="0" collapsed="false"/>
    <row r="1064" customFormat="false" ht="12.75" hidden="false" customHeight="true" outlineLevel="0" collapsed="false"/>
    <row r="1065" customFormat="false" ht="12.75" hidden="false" customHeight="true" outlineLevel="0" collapsed="false"/>
    <row r="1066" customFormat="false" ht="12.75" hidden="false" customHeight="true" outlineLevel="0" collapsed="false"/>
    <row r="1067" customFormat="false" ht="12.75" hidden="false" customHeight="true" outlineLevel="0" collapsed="false"/>
    <row r="1068" customFormat="false" ht="12.75" hidden="false" customHeight="true" outlineLevel="0" collapsed="false"/>
    <row r="1069" customFormat="false" ht="12.75" hidden="false" customHeight="true" outlineLevel="0" collapsed="false"/>
    <row r="1070" customFormat="false" ht="12.75" hidden="false" customHeight="true" outlineLevel="0" collapsed="false"/>
    <row r="1071" customFormat="false" ht="12.75" hidden="false" customHeight="true" outlineLevel="0" collapsed="false"/>
    <row r="1072" customFormat="false" ht="12.75" hidden="false" customHeight="true" outlineLevel="0" collapsed="false"/>
    <row r="1073" customFormat="false" ht="12.75" hidden="false" customHeight="true" outlineLevel="0" collapsed="false"/>
    <row r="1074" customFormat="false" ht="12.75" hidden="false" customHeight="true" outlineLevel="0" collapsed="false"/>
    <row r="1075" customFormat="false" ht="12.75" hidden="false" customHeight="true" outlineLevel="0" collapsed="false"/>
    <row r="1076" customFormat="false" ht="12.75" hidden="false" customHeight="true" outlineLevel="0" collapsed="false"/>
    <row r="1077" customFormat="false" ht="12.75" hidden="false" customHeight="true" outlineLevel="0" collapsed="false"/>
    <row r="1078" customFormat="false" ht="12.75" hidden="false" customHeight="true" outlineLevel="0" collapsed="false"/>
    <row r="1079" customFormat="false" ht="12.75" hidden="false" customHeight="true" outlineLevel="0" collapsed="false"/>
    <row r="1080" customFormat="false" ht="12.75" hidden="false" customHeight="true" outlineLevel="0" collapsed="false"/>
    <row r="1081" customFormat="false" ht="12.75" hidden="false" customHeight="true" outlineLevel="0" collapsed="false"/>
    <row r="1082" customFormat="false" ht="12.75" hidden="false" customHeight="true" outlineLevel="0" collapsed="false"/>
    <row r="1083" customFormat="false" ht="12.75" hidden="false" customHeight="true" outlineLevel="0" collapsed="false"/>
    <row r="1084" customFormat="false" ht="12.75" hidden="false" customHeight="true" outlineLevel="0" collapsed="false"/>
    <row r="1085" customFormat="false" ht="12.75" hidden="false" customHeight="true" outlineLevel="0" collapsed="false"/>
    <row r="1086" customFormat="false" ht="12.75" hidden="false" customHeight="true" outlineLevel="0" collapsed="false"/>
    <row r="1087" customFormat="false" ht="12.75" hidden="false" customHeight="true" outlineLevel="0" collapsed="false"/>
    <row r="1088" customFormat="false" ht="12.75" hidden="false" customHeight="true" outlineLevel="0" collapsed="false"/>
    <row r="1089" customFormat="false" ht="12.75" hidden="false" customHeight="true" outlineLevel="0" collapsed="false"/>
    <row r="1090" customFormat="false" ht="12.75" hidden="false" customHeight="true" outlineLevel="0" collapsed="false"/>
    <row r="1091" customFormat="false" ht="12.75" hidden="false" customHeight="true" outlineLevel="0" collapsed="false"/>
    <row r="1092" customFormat="false" ht="12.75" hidden="false" customHeight="true" outlineLevel="0" collapsed="false"/>
    <row r="1093" customFormat="false" ht="12.75" hidden="false" customHeight="true" outlineLevel="0" collapsed="false"/>
    <row r="1094" customFormat="false" ht="12.75" hidden="false" customHeight="true" outlineLevel="0" collapsed="false"/>
    <row r="1095" customFormat="false" ht="12.75" hidden="false" customHeight="true" outlineLevel="0" collapsed="false"/>
    <row r="1096" customFormat="false" ht="12.75" hidden="false" customHeight="true" outlineLevel="0" collapsed="false"/>
    <row r="1097" customFormat="false" ht="12.75" hidden="false" customHeight="true" outlineLevel="0" collapsed="false"/>
    <row r="1098" customFormat="false" ht="12.75" hidden="false" customHeight="true" outlineLevel="0" collapsed="false"/>
    <row r="1099" customFormat="false" ht="12.75" hidden="false" customHeight="true" outlineLevel="0" collapsed="false"/>
    <row r="1100" customFormat="false" ht="12.75" hidden="false" customHeight="true" outlineLevel="0" collapsed="false"/>
    <row r="1101" customFormat="false" ht="12.75" hidden="false" customHeight="true" outlineLevel="0" collapsed="false"/>
    <row r="1102" customFormat="false" ht="12.75" hidden="false" customHeight="true" outlineLevel="0" collapsed="false"/>
    <row r="1103" customFormat="false" ht="12.75" hidden="false" customHeight="true" outlineLevel="0" collapsed="false"/>
    <row r="1104" customFormat="false" ht="12.75" hidden="false" customHeight="true" outlineLevel="0" collapsed="false"/>
    <row r="1105" customFormat="false" ht="12.75" hidden="false" customHeight="true" outlineLevel="0" collapsed="false"/>
    <row r="1106" customFormat="false" ht="12.75" hidden="false" customHeight="true" outlineLevel="0" collapsed="false"/>
    <row r="1107" customFormat="false" ht="12.75" hidden="false" customHeight="true" outlineLevel="0" collapsed="false"/>
    <row r="1108" customFormat="false" ht="12.75" hidden="false" customHeight="true" outlineLevel="0" collapsed="false"/>
    <row r="1109" customFormat="false" ht="12.75" hidden="false" customHeight="true" outlineLevel="0" collapsed="false"/>
    <row r="1110" customFormat="false" ht="12.75" hidden="false" customHeight="true" outlineLevel="0" collapsed="false"/>
    <row r="1111" customFormat="false" ht="12.75" hidden="false" customHeight="true" outlineLevel="0" collapsed="false"/>
    <row r="1112" customFormat="false" ht="12.75" hidden="false" customHeight="true" outlineLevel="0" collapsed="false"/>
    <row r="1113" customFormat="false" ht="12.75" hidden="false" customHeight="true" outlineLevel="0" collapsed="false"/>
    <row r="1114" customFormat="false" ht="12.75" hidden="false" customHeight="true" outlineLevel="0" collapsed="false"/>
    <row r="1115" customFormat="false" ht="12.75" hidden="false" customHeight="true" outlineLevel="0" collapsed="false"/>
    <row r="1116" customFormat="false" ht="12.75" hidden="false" customHeight="true" outlineLevel="0" collapsed="false"/>
    <row r="1117" customFormat="false" ht="12.75" hidden="false" customHeight="true" outlineLevel="0" collapsed="false"/>
    <row r="1118" customFormat="false" ht="12.75" hidden="false" customHeight="true" outlineLevel="0" collapsed="false"/>
    <row r="1119" customFormat="false" ht="12.75" hidden="false" customHeight="true" outlineLevel="0" collapsed="false"/>
    <row r="1120" customFormat="false" ht="12.75" hidden="false" customHeight="true" outlineLevel="0" collapsed="false"/>
    <row r="1121" customFormat="false" ht="12.75" hidden="false" customHeight="true" outlineLevel="0" collapsed="false"/>
    <row r="1122" customFormat="false" ht="12.75" hidden="false" customHeight="true" outlineLevel="0" collapsed="false"/>
    <row r="1123" customFormat="false" ht="12.75" hidden="false" customHeight="true" outlineLevel="0" collapsed="false"/>
    <row r="1124" customFormat="false" ht="12.75" hidden="false" customHeight="true" outlineLevel="0" collapsed="false"/>
    <row r="1125" customFormat="false" ht="12.75" hidden="false" customHeight="true" outlineLevel="0" collapsed="false"/>
    <row r="1126" customFormat="false" ht="12.75" hidden="false" customHeight="true" outlineLevel="0" collapsed="false"/>
    <row r="1127" customFormat="false" ht="12.75" hidden="false" customHeight="true" outlineLevel="0" collapsed="false"/>
    <row r="1128" customFormat="false" ht="12.75" hidden="false" customHeight="true" outlineLevel="0" collapsed="false"/>
    <row r="1129" customFormat="false" ht="12.75" hidden="false" customHeight="true" outlineLevel="0" collapsed="false"/>
    <row r="1130" customFormat="false" ht="12.75" hidden="false" customHeight="true" outlineLevel="0" collapsed="false"/>
    <row r="1131" customFormat="false" ht="12.75" hidden="false" customHeight="true" outlineLevel="0" collapsed="false"/>
    <row r="1132" customFormat="false" ht="12.75" hidden="false" customHeight="true" outlineLevel="0" collapsed="false"/>
    <row r="1133" customFormat="false" ht="12.75" hidden="false" customHeight="true" outlineLevel="0" collapsed="false"/>
    <row r="1134" customFormat="false" ht="12.75" hidden="false" customHeight="true" outlineLevel="0" collapsed="false"/>
    <row r="1135" customFormat="false" ht="12.75" hidden="false" customHeight="true" outlineLevel="0" collapsed="false"/>
    <row r="1136" customFormat="false" ht="12.75" hidden="false" customHeight="true" outlineLevel="0" collapsed="false"/>
    <row r="1137" customFormat="false" ht="12.75" hidden="false" customHeight="true" outlineLevel="0" collapsed="false"/>
    <row r="1138" customFormat="false" ht="12.75" hidden="false" customHeight="true" outlineLevel="0" collapsed="false"/>
    <row r="1139" customFormat="false" ht="12.75" hidden="false" customHeight="true" outlineLevel="0" collapsed="false"/>
    <row r="1140" customFormat="false" ht="12.75" hidden="false" customHeight="true" outlineLevel="0" collapsed="false"/>
    <row r="1141" customFormat="false" ht="12.75" hidden="false" customHeight="true" outlineLevel="0" collapsed="false"/>
    <row r="1142" customFormat="false" ht="12.75" hidden="false" customHeight="true" outlineLevel="0" collapsed="false"/>
    <row r="1143" customFormat="false" ht="12.75" hidden="false" customHeight="true" outlineLevel="0" collapsed="false"/>
    <row r="1144" customFormat="false" ht="12.75" hidden="false" customHeight="true" outlineLevel="0" collapsed="false"/>
    <row r="1145" customFormat="false" ht="12.75" hidden="false" customHeight="true" outlineLevel="0" collapsed="false"/>
    <row r="1146" customFormat="false" ht="12.75" hidden="false" customHeight="true" outlineLevel="0" collapsed="false"/>
    <row r="1147" customFormat="false" ht="12.75" hidden="false" customHeight="true" outlineLevel="0" collapsed="false"/>
    <row r="1148" customFormat="false" ht="12.75" hidden="false" customHeight="true" outlineLevel="0" collapsed="false"/>
    <row r="1149" customFormat="false" ht="12.75" hidden="false" customHeight="true" outlineLevel="0" collapsed="false"/>
    <row r="1150" customFormat="false" ht="12.75" hidden="false" customHeight="true" outlineLevel="0" collapsed="false"/>
    <row r="1151" customFormat="false" ht="12.75" hidden="false" customHeight="true" outlineLevel="0" collapsed="false"/>
    <row r="1152" customFormat="false" ht="12.75" hidden="false" customHeight="true" outlineLevel="0" collapsed="false"/>
    <row r="1153" customFormat="false" ht="12.75" hidden="false" customHeight="true" outlineLevel="0" collapsed="false"/>
    <row r="1154" customFormat="false" ht="12.75" hidden="false" customHeight="true" outlineLevel="0" collapsed="false"/>
    <row r="1155" customFormat="false" ht="12.75" hidden="false" customHeight="true" outlineLevel="0" collapsed="false"/>
    <row r="1156" customFormat="false" ht="12.75" hidden="false" customHeight="true" outlineLevel="0" collapsed="false"/>
    <row r="1157" customFormat="false" ht="12.75" hidden="false" customHeight="true" outlineLevel="0" collapsed="false"/>
    <row r="1158" customFormat="false" ht="12.75" hidden="false" customHeight="true" outlineLevel="0" collapsed="false"/>
    <row r="1159" customFormat="false" ht="12.75" hidden="false" customHeight="true" outlineLevel="0" collapsed="false"/>
    <row r="1160" customFormat="false" ht="12.75" hidden="false" customHeight="true" outlineLevel="0" collapsed="false"/>
    <row r="1161" customFormat="false" ht="12.75" hidden="false" customHeight="true" outlineLevel="0" collapsed="false"/>
    <row r="1162" customFormat="false" ht="12.75" hidden="false" customHeight="true" outlineLevel="0" collapsed="false"/>
    <row r="1163" customFormat="false" ht="12.75" hidden="false" customHeight="true" outlineLevel="0" collapsed="false"/>
    <row r="1164" customFormat="false" ht="12.75" hidden="false" customHeight="true" outlineLevel="0" collapsed="false"/>
    <row r="1165" customFormat="false" ht="12.75" hidden="false" customHeight="true" outlineLevel="0" collapsed="false"/>
    <row r="1166" customFormat="false" ht="12.75" hidden="false" customHeight="true" outlineLevel="0" collapsed="false"/>
    <row r="1167" customFormat="false" ht="12.75" hidden="false" customHeight="true" outlineLevel="0" collapsed="false"/>
    <row r="1168" customFormat="false" ht="12.75" hidden="false" customHeight="true" outlineLevel="0" collapsed="false"/>
    <row r="1169" customFormat="false" ht="12.75" hidden="false" customHeight="true" outlineLevel="0" collapsed="false"/>
    <row r="1170" customFormat="false" ht="12.75" hidden="false" customHeight="true" outlineLevel="0" collapsed="false"/>
    <row r="1171" customFormat="false" ht="12.75" hidden="false" customHeight="true" outlineLevel="0" collapsed="false"/>
    <row r="1172" customFormat="false" ht="12.75" hidden="false" customHeight="true" outlineLevel="0" collapsed="false"/>
    <row r="1173" customFormat="false" ht="12.75" hidden="false" customHeight="true" outlineLevel="0" collapsed="false"/>
    <row r="1174" customFormat="false" ht="12.75" hidden="false" customHeight="true" outlineLevel="0" collapsed="false"/>
    <row r="1175" customFormat="false" ht="12.75" hidden="false" customHeight="true" outlineLevel="0" collapsed="false"/>
    <row r="1176" customFormat="false" ht="12.75" hidden="false" customHeight="true" outlineLevel="0" collapsed="false"/>
    <row r="1177" customFormat="false" ht="12.75" hidden="false" customHeight="true" outlineLevel="0" collapsed="false"/>
    <row r="1178" customFormat="false" ht="12.75" hidden="false" customHeight="true" outlineLevel="0" collapsed="false"/>
    <row r="1179" customFormat="false" ht="12.75" hidden="false" customHeight="true" outlineLevel="0" collapsed="false"/>
    <row r="1180" customFormat="false" ht="12.75" hidden="false" customHeight="true" outlineLevel="0" collapsed="false"/>
    <row r="1181" customFormat="false" ht="12.75" hidden="false" customHeight="true" outlineLevel="0" collapsed="false"/>
    <row r="1182" customFormat="false" ht="12.75" hidden="false" customHeight="true" outlineLevel="0" collapsed="false"/>
    <row r="1183" customFormat="false" ht="12.75" hidden="false" customHeight="true" outlineLevel="0" collapsed="false"/>
    <row r="1184" customFormat="false" ht="12.75" hidden="false" customHeight="true" outlineLevel="0" collapsed="false"/>
    <row r="1185" customFormat="false" ht="12.75" hidden="false" customHeight="true" outlineLevel="0" collapsed="false"/>
    <row r="1186" customFormat="false" ht="12.75" hidden="false" customHeight="true" outlineLevel="0" collapsed="false"/>
    <row r="1187" customFormat="false" ht="12.75" hidden="false" customHeight="true" outlineLevel="0" collapsed="false"/>
    <row r="1188" customFormat="false" ht="12.75" hidden="false" customHeight="true" outlineLevel="0" collapsed="false"/>
    <row r="1189" customFormat="false" ht="12.75" hidden="false" customHeight="true" outlineLevel="0" collapsed="false"/>
    <row r="1190" customFormat="false" ht="12.75" hidden="false" customHeight="true" outlineLevel="0" collapsed="false"/>
    <row r="1191" customFormat="false" ht="12.75" hidden="false" customHeight="true" outlineLevel="0" collapsed="false"/>
    <row r="1192" customFormat="false" ht="12.75" hidden="false" customHeight="true" outlineLevel="0" collapsed="false"/>
    <row r="1193" customFormat="false" ht="12.75" hidden="false" customHeight="true" outlineLevel="0" collapsed="false"/>
    <row r="1194" customFormat="false" ht="12.75" hidden="false" customHeight="true" outlineLevel="0" collapsed="false"/>
    <row r="1195" customFormat="false" ht="12.75" hidden="false" customHeight="true" outlineLevel="0" collapsed="false"/>
    <row r="1196" customFormat="false" ht="12.75" hidden="false" customHeight="true" outlineLevel="0" collapsed="false"/>
    <row r="1197" customFormat="false" ht="12.75" hidden="false" customHeight="true" outlineLevel="0" collapsed="false"/>
    <row r="1198" customFormat="false" ht="12.75" hidden="false" customHeight="true" outlineLevel="0" collapsed="false"/>
    <row r="1199" customFormat="false" ht="12.75" hidden="false" customHeight="true" outlineLevel="0" collapsed="false"/>
    <row r="1200" customFormat="false" ht="12.75" hidden="false" customHeight="true" outlineLevel="0" collapsed="false"/>
    <row r="1201" customFormat="false" ht="12.75" hidden="false" customHeight="true" outlineLevel="0" collapsed="false"/>
    <row r="1202" customFormat="false" ht="12.75" hidden="false" customHeight="true" outlineLevel="0" collapsed="false"/>
    <row r="1203" customFormat="false" ht="12.75" hidden="false" customHeight="true" outlineLevel="0" collapsed="false"/>
    <row r="1204" customFormat="false" ht="12.75" hidden="false" customHeight="true" outlineLevel="0" collapsed="false"/>
    <row r="1205" customFormat="false" ht="12.75" hidden="false" customHeight="true" outlineLevel="0" collapsed="false"/>
    <row r="1206" customFormat="false" ht="12.75" hidden="false" customHeight="true" outlineLevel="0" collapsed="false"/>
    <row r="1207" customFormat="false" ht="12.75" hidden="false" customHeight="true" outlineLevel="0" collapsed="false"/>
    <row r="1208" customFormat="false" ht="12.75" hidden="false" customHeight="true" outlineLevel="0" collapsed="false"/>
    <row r="1209" customFormat="false" ht="12.75" hidden="false" customHeight="true" outlineLevel="0" collapsed="false"/>
    <row r="1210" customFormat="false" ht="12.75" hidden="false" customHeight="true" outlineLevel="0" collapsed="false"/>
    <row r="1211" customFormat="false" ht="12.75" hidden="false" customHeight="true" outlineLevel="0" collapsed="false"/>
    <row r="1212" customFormat="false" ht="12.75" hidden="false" customHeight="true" outlineLevel="0" collapsed="false"/>
    <row r="1213" customFormat="false" ht="12.75" hidden="false" customHeight="true" outlineLevel="0" collapsed="false"/>
    <row r="1214" customFormat="false" ht="12.75" hidden="false" customHeight="true" outlineLevel="0" collapsed="false"/>
    <row r="1215" customFormat="false" ht="12.75" hidden="false" customHeight="true" outlineLevel="0" collapsed="false"/>
    <row r="1216" customFormat="false" ht="12.75" hidden="false" customHeight="true" outlineLevel="0" collapsed="false"/>
    <row r="1217" customFormat="false" ht="12.75" hidden="false" customHeight="true" outlineLevel="0" collapsed="false"/>
    <row r="1218" customFormat="false" ht="12.75" hidden="false" customHeight="true" outlineLevel="0" collapsed="false"/>
    <row r="1219" customFormat="false" ht="12.75" hidden="false" customHeight="true" outlineLevel="0" collapsed="false"/>
    <row r="1220" customFormat="false" ht="12.75" hidden="false" customHeight="true" outlineLevel="0" collapsed="false"/>
    <row r="1221" customFormat="false" ht="12.75" hidden="false" customHeight="true" outlineLevel="0" collapsed="false"/>
    <row r="1222" customFormat="false" ht="12.75" hidden="false" customHeight="true" outlineLevel="0" collapsed="false"/>
    <row r="1223" customFormat="false" ht="12.75" hidden="false" customHeight="true" outlineLevel="0" collapsed="false"/>
    <row r="1224" customFormat="false" ht="12.75" hidden="false" customHeight="true" outlineLevel="0" collapsed="false"/>
    <row r="1225" customFormat="false" ht="12.75" hidden="false" customHeight="true" outlineLevel="0" collapsed="false"/>
    <row r="1226" customFormat="false" ht="12.75" hidden="false" customHeight="true" outlineLevel="0" collapsed="false"/>
    <row r="1227" customFormat="false" ht="12.75" hidden="false" customHeight="true" outlineLevel="0" collapsed="false"/>
    <row r="1228" customFormat="false" ht="12.75" hidden="false" customHeight="true" outlineLevel="0" collapsed="false"/>
    <row r="1229" customFormat="false" ht="12.75" hidden="false" customHeight="true" outlineLevel="0" collapsed="false"/>
    <row r="1230" customFormat="false" ht="12.75" hidden="false" customHeight="true" outlineLevel="0" collapsed="false"/>
    <row r="1231" customFormat="false" ht="12.75" hidden="false" customHeight="true" outlineLevel="0" collapsed="false"/>
    <row r="1232" customFormat="false" ht="12.75" hidden="false" customHeight="true" outlineLevel="0" collapsed="false"/>
    <row r="1233" customFormat="false" ht="12.75" hidden="false" customHeight="true" outlineLevel="0" collapsed="false"/>
    <row r="1234" customFormat="false" ht="12.75" hidden="false" customHeight="true" outlineLevel="0" collapsed="false"/>
    <row r="1235" customFormat="false" ht="12.75" hidden="false" customHeight="true" outlineLevel="0" collapsed="false"/>
    <row r="1236" customFormat="false" ht="12.75" hidden="false" customHeight="true" outlineLevel="0" collapsed="false"/>
    <row r="1237" customFormat="false" ht="12.75" hidden="false" customHeight="true" outlineLevel="0" collapsed="false"/>
    <row r="1238" customFormat="false" ht="12.75" hidden="false" customHeight="true" outlineLevel="0" collapsed="false"/>
    <row r="1239" customFormat="false" ht="12.75" hidden="false" customHeight="true" outlineLevel="0" collapsed="false"/>
    <row r="1240" customFormat="false" ht="12.75" hidden="false" customHeight="true" outlineLevel="0" collapsed="false"/>
    <row r="1241" customFormat="false" ht="12.75" hidden="false" customHeight="true" outlineLevel="0" collapsed="false"/>
    <row r="1242" customFormat="false" ht="12.75" hidden="false" customHeight="true" outlineLevel="0" collapsed="false"/>
    <row r="1243" customFormat="false" ht="12.75" hidden="false" customHeight="true" outlineLevel="0" collapsed="false"/>
    <row r="1244" customFormat="false" ht="12.75" hidden="false" customHeight="true" outlineLevel="0" collapsed="false"/>
    <row r="1245" customFormat="false" ht="12.75" hidden="false" customHeight="true" outlineLevel="0" collapsed="false"/>
    <row r="1246" customFormat="false" ht="12.75" hidden="false" customHeight="true" outlineLevel="0" collapsed="false"/>
    <row r="1247" customFormat="false" ht="12.75" hidden="false" customHeight="true" outlineLevel="0" collapsed="false"/>
    <row r="1248" customFormat="false" ht="12.75" hidden="false" customHeight="true" outlineLevel="0" collapsed="false"/>
    <row r="1249" customFormat="false" ht="12.75" hidden="false" customHeight="true" outlineLevel="0" collapsed="false"/>
    <row r="1250" customFormat="false" ht="12.75" hidden="false" customHeight="true" outlineLevel="0" collapsed="false"/>
    <row r="1251" customFormat="false" ht="12.75" hidden="false" customHeight="true" outlineLevel="0" collapsed="false"/>
    <row r="1252" customFormat="false" ht="12.75" hidden="false" customHeight="true" outlineLevel="0" collapsed="false"/>
    <row r="1253" customFormat="false" ht="12.75" hidden="false" customHeight="true" outlineLevel="0" collapsed="false"/>
    <row r="1254" customFormat="false" ht="12.75" hidden="false" customHeight="true" outlineLevel="0" collapsed="false"/>
    <row r="1255" customFormat="false" ht="12.75" hidden="false" customHeight="true" outlineLevel="0" collapsed="false"/>
    <row r="1256" customFormat="false" ht="12.75" hidden="false" customHeight="true" outlineLevel="0" collapsed="false"/>
    <row r="1257" customFormat="false" ht="12.75" hidden="false" customHeight="true" outlineLevel="0" collapsed="false"/>
    <row r="1258" customFormat="false" ht="12.75" hidden="false" customHeight="true" outlineLevel="0" collapsed="false"/>
    <row r="1259" customFormat="false" ht="12.75" hidden="false" customHeight="true" outlineLevel="0" collapsed="false"/>
    <row r="1260" customFormat="false" ht="12.75" hidden="false" customHeight="true" outlineLevel="0" collapsed="false"/>
    <row r="1261" customFormat="false" ht="12.75" hidden="false" customHeight="true" outlineLevel="0" collapsed="false"/>
    <row r="1262" customFormat="false" ht="12.75" hidden="false" customHeight="true" outlineLevel="0" collapsed="false"/>
    <row r="1263" customFormat="false" ht="12.75" hidden="false" customHeight="true" outlineLevel="0" collapsed="false"/>
    <row r="1264" customFormat="false" ht="12.75" hidden="false" customHeight="true" outlineLevel="0" collapsed="false"/>
    <row r="1265" customFormat="false" ht="12.75" hidden="false" customHeight="true" outlineLevel="0" collapsed="false"/>
    <row r="1266" customFormat="false" ht="12.75" hidden="false" customHeight="true" outlineLevel="0" collapsed="false"/>
    <row r="1267" customFormat="false" ht="12.75" hidden="false" customHeight="true" outlineLevel="0" collapsed="false"/>
    <row r="1268" customFormat="false" ht="12.75" hidden="false" customHeight="true" outlineLevel="0" collapsed="false"/>
    <row r="1269" customFormat="false" ht="12.75" hidden="false" customHeight="true" outlineLevel="0" collapsed="false"/>
    <row r="1270" customFormat="false" ht="12.75" hidden="false" customHeight="true" outlineLevel="0" collapsed="false"/>
    <row r="1271" customFormat="false" ht="12.75" hidden="false" customHeight="true" outlineLevel="0" collapsed="false"/>
    <row r="1272" customFormat="false" ht="12.75" hidden="false" customHeight="true" outlineLevel="0" collapsed="false"/>
    <row r="1273" customFormat="false" ht="12.75" hidden="false" customHeight="true" outlineLevel="0" collapsed="false"/>
    <row r="1274" customFormat="false" ht="12.75" hidden="false" customHeight="true" outlineLevel="0" collapsed="false"/>
    <row r="1275" customFormat="false" ht="12.75" hidden="false" customHeight="true" outlineLevel="0" collapsed="false"/>
    <row r="1276" customFormat="false" ht="12.75" hidden="false" customHeight="true" outlineLevel="0" collapsed="false"/>
    <row r="1277" customFormat="false" ht="12.75" hidden="false" customHeight="true" outlineLevel="0" collapsed="false"/>
    <row r="1278" customFormat="false" ht="12.75" hidden="false" customHeight="true" outlineLevel="0" collapsed="false"/>
    <row r="1279" customFormat="false" ht="12.75" hidden="false" customHeight="true" outlineLevel="0" collapsed="false"/>
    <row r="1280" customFormat="false" ht="12.75" hidden="false" customHeight="true" outlineLevel="0" collapsed="false"/>
    <row r="1281" customFormat="false" ht="12.75" hidden="false" customHeight="true" outlineLevel="0" collapsed="false"/>
    <row r="1282" customFormat="false" ht="12.75" hidden="false" customHeight="true" outlineLevel="0" collapsed="false"/>
    <row r="1283" customFormat="false" ht="12.75" hidden="false" customHeight="true" outlineLevel="0" collapsed="false"/>
    <row r="1284" customFormat="false" ht="12.75" hidden="false" customHeight="true" outlineLevel="0" collapsed="false"/>
    <row r="1285" customFormat="false" ht="12.75" hidden="false" customHeight="true" outlineLevel="0" collapsed="false"/>
    <row r="1286" customFormat="false" ht="12.75" hidden="false" customHeight="true" outlineLevel="0" collapsed="false"/>
    <row r="1287" customFormat="false" ht="12.75" hidden="false" customHeight="true" outlineLevel="0" collapsed="false"/>
    <row r="1288" customFormat="false" ht="12.75" hidden="false" customHeight="true" outlineLevel="0" collapsed="false"/>
    <row r="1289" customFormat="false" ht="12.75" hidden="false" customHeight="true" outlineLevel="0" collapsed="false"/>
    <row r="1290" customFormat="false" ht="12.75" hidden="false" customHeight="true" outlineLevel="0" collapsed="false"/>
    <row r="1291" customFormat="false" ht="12.75" hidden="false" customHeight="true" outlineLevel="0" collapsed="false"/>
    <row r="1292" customFormat="false" ht="12.75" hidden="false" customHeight="true" outlineLevel="0" collapsed="false"/>
    <row r="1293" customFormat="false" ht="12.75" hidden="false" customHeight="true" outlineLevel="0" collapsed="false"/>
    <row r="1294" customFormat="false" ht="12.75" hidden="false" customHeight="true" outlineLevel="0" collapsed="false"/>
    <row r="1295" customFormat="false" ht="12.75" hidden="false" customHeight="true" outlineLevel="0" collapsed="false"/>
    <row r="1296" customFormat="false" ht="12.75" hidden="false" customHeight="true" outlineLevel="0" collapsed="false"/>
    <row r="1297" customFormat="false" ht="12.75" hidden="false" customHeight="true" outlineLevel="0" collapsed="false"/>
    <row r="1298" customFormat="false" ht="12.75" hidden="false" customHeight="true" outlineLevel="0" collapsed="false"/>
    <row r="1299" customFormat="false" ht="12.75" hidden="false" customHeight="true" outlineLevel="0" collapsed="false"/>
    <row r="1300" customFormat="false" ht="12.75" hidden="false" customHeight="true" outlineLevel="0" collapsed="false"/>
    <row r="1301" customFormat="false" ht="12.75" hidden="false" customHeight="true" outlineLevel="0" collapsed="false"/>
    <row r="1302" customFormat="false" ht="12.75" hidden="false" customHeight="true" outlineLevel="0" collapsed="false"/>
    <row r="1303" customFormat="false" ht="12.75" hidden="false" customHeight="true" outlineLevel="0" collapsed="false"/>
    <row r="1304" customFormat="false" ht="12.75" hidden="false" customHeight="true" outlineLevel="0" collapsed="false"/>
    <row r="1305" customFormat="false" ht="12.75" hidden="false" customHeight="true" outlineLevel="0" collapsed="false"/>
    <row r="1306" customFormat="false" ht="12.75" hidden="false" customHeight="true" outlineLevel="0" collapsed="false"/>
    <row r="1307" customFormat="false" ht="12.75" hidden="false" customHeight="true" outlineLevel="0" collapsed="false"/>
    <row r="1308" customFormat="false" ht="12.75" hidden="false" customHeight="true" outlineLevel="0" collapsed="false"/>
    <row r="1309" customFormat="false" ht="12.75" hidden="false" customHeight="true" outlineLevel="0" collapsed="false"/>
    <row r="1310" customFormat="false" ht="12.75" hidden="false" customHeight="true" outlineLevel="0" collapsed="false"/>
    <row r="1311" customFormat="false" ht="12.75" hidden="false" customHeight="true" outlineLevel="0" collapsed="false"/>
    <row r="1312" customFormat="false" ht="12.75" hidden="false" customHeight="true" outlineLevel="0" collapsed="false"/>
    <row r="1313" customFormat="false" ht="12.75" hidden="false" customHeight="true" outlineLevel="0" collapsed="false"/>
    <row r="1314" customFormat="false" ht="12.75" hidden="false" customHeight="true" outlineLevel="0" collapsed="false"/>
    <row r="1315" customFormat="false" ht="12.75" hidden="false" customHeight="true" outlineLevel="0" collapsed="false"/>
    <row r="1316" customFormat="false" ht="12.75" hidden="false" customHeight="true" outlineLevel="0" collapsed="false"/>
    <row r="1317" customFormat="false" ht="12.75" hidden="false" customHeight="true" outlineLevel="0" collapsed="false"/>
    <row r="1318" customFormat="false" ht="12.75" hidden="false" customHeight="true" outlineLevel="0" collapsed="false"/>
    <row r="1319" customFormat="false" ht="12.75" hidden="false" customHeight="true" outlineLevel="0" collapsed="false"/>
    <row r="1320" customFormat="false" ht="12.75" hidden="false" customHeight="true" outlineLevel="0" collapsed="false"/>
    <row r="1321" customFormat="false" ht="12.75" hidden="false" customHeight="true" outlineLevel="0" collapsed="false"/>
    <row r="1322" customFormat="false" ht="12.75" hidden="false" customHeight="true" outlineLevel="0" collapsed="false"/>
    <row r="1323" customFormat="false" ht="12.75" hidden="false" customHeight="true" outlineLevel="0" collapsed="false"/>
    <row r="1324" customFormat="false" ht="12.75" hidden="false" customHeight="true" outlineLevel="0" collapsed="false"/>
    <row r="1325" customFormat="false" ht="12.75" hidden="false" customHeight="true" outlineLevel="0" collapsed="false"/>
    <row r="1326" customFormat="false" ht="12.75" hidden="false" customHeight="true" outlineLevel="0" collapsed="false"/>
    <row r="1327" customFormat="false" ht="12.75" hidden="false" customHeight="true" outlineLevel="0" collapsed="false"/>
    <row r="1328" customFormat="false" ht="12.75" hidden="false" customHeight="true" outlineLevel="0" collapsed="false"/>
    <row r="1329" customFormat="false" ht="12.75" hidden="false" customHeight="true" outlineLevel="0" collapsed="false"/>
    <row r="1330" customFormat="false" ht="12.75" hidden="false" customHeight="true" outlineLevel="0" collapsed="false"/>
    <row r="1331" customFormat="false" ht="12.75" hidden="false" customHeight="true" outlineLevel="0" collapsed="false"/>
    <row r="1332" customFormat="false" ht="12.75" hidden="false" customHeight="true" outlineLevel="0" collapsed="false"/>
    <row r="1333" customFormat="false" ht="12.75" hidden="false" customHeight="true" outlineLevel="0" collapsed="false"/>
    <row r="1334" customFormat="false" ht="12.75" hidden="false" customHeight="true" outlineLevel="0" collapsed="false"/>
    <row r="1335" customFormat="false" ht="12.75" hidden="false" customHeight="true" outlineLevel="0" collapsed="false"/>
    <row r="1336" customFormat="false" ht="12.75" hidden="false" customHeight="true" outlineLevel="0" collapsed="false"/>
    <row r="1337" customFormat="false" ht="12.75" hidden="false" customHeight="true" outlineLevel="0" collapsed="false"/>
    <row r="1338" customFormat="false" ht="12.75" hidden="false" customHeight="true" outlineLevel="0" collapsed="false"/>
    <row r="1339" customFormat="false" ht="12.75" hidden="false" customHeight="true" outlineLevel="0" collapsed="false"/>
    <row r="1340" customFormat="false" ht="12.75" hidden="false" customHeight="true" outlineLevel="0" collapsed="false"/>
    <row r="1341" customFormat="false" ht="12.75" hidden="false" customHeight="true" outlineLevel="0" collapsed="false"/>
    <row r="1342" customFormat="false" ht="12.75" hidden="false" customHeight="true" outlineLevel="0" collapsed="false"/>
    <row r="1343" customFormat="false" ht="12.75" hidden="false" customHeight="true" outlineLevel="0" collapsed="false"/>
    <row r="1344" customFormat="false" ht="12.75" hidden="false" customHeight="true" outlineLevel="0" collapsed="false"/>
    <row r="1345" customFormat="false" ht="12.75" hidden="false" customHeight="true" outlineLevel="0" collapsed="false"/>
    <row r="1346" customFormat="false" ht="12.75" hidden="false" customHeight="true" outlineLevel="0" collapsed="false"/>
    <row r="1347" customFormat="false" ht="12.75" hidden="false" customHeight="true" outlineLevel="0" collapsed="false"/>
    <row r="1348" customFormat="false" ht="12.75" hidden="false" customHeight="true" outlineLevel="0" collapsed="false"/>
    <row r="1349" customFormat="false" ht="12.75" hidden="false" customHeight="true" outlineLevel="0" collapsed="false"/>
    <row r="1350" customFormat="false" ht="12.75" hidden="false" customHeight="true" outlineLevel="0" collapsed="false"/>
    <row r="1351" customFormat="false" ht="12.75" hidden="false" customHeight="true" outlineLevel="0" collapsed="false"/>
    <row r="1352" customFormat="false" ht="12.75" hidden="false" customHeight="true" outlineLevel="0" collapsed="false"/>
    <row r="1353" customFormat="false" ht="12.75" hidden="false" customHeight="true" outlineLevel="0" collapsed="false"/>
    <row r="1354" customFormat="false" ht="12.75" hidden="false" customHeight="true" outlineLevel="0" collapsed="false"/>
    <row r="1355" customFormat="false" ht="12.75" hidden="false" customHeight="true" outlineLevel="0" collapsed="false"/>
    <row r="1356" customFormat="false" ht="12.75" hidden="false" customHeight="true" outlineLevel="0" collapsed="false"/>
    <row r="1357" customFormat="false" ht="12.75" hidden="false" customHeight="true" outlineLevel="0" collapsed="false"/>
    <row r="1358" customFormat="false" ht="12.75" hidden="false" customHeight="true" outlineLevel="0" collapsed="false"/>
    <row r="1359" customFormat="false" ht="12.75" hidden="false" customHeight="true" outlineLevel="0" collapsed="false"/>
    <row r="1360" customFormat="false" ht="12.75" hidden="false" customHeight="true" outlineLevel="0" collapsed="false"/>
    <row r="1361" customFormat="false" ht="12.75" hidden="false" customHeight="true" outlineLevel="0" collapsed="false"/>
    <row r="1362" customFormat="false" ht="12.75" hidden="false" customHeight="true" outlineLevel="0" collapsed="false"/>
    <row r="1363" customFormat="false" ht="12.75" hidden="false" customHeight="true" outlineLevel="0" collapsed="false"/>
    <row r="1364" customFormat="false" ht="12.75" hidden="false" customHeight="true" outlineLevel="0" collapsed="false"/>
    <row r="1365" customFormat="false" ht="12.75" hidden="false" customHeight="true" outlineLevel="0" collapsed="false"/>
    <row r="1366" customFormat="false" ht="12.75" hidden="false" customHeight="true" outlineLevel="0" collapsed="false"/>
    <row r="1367" customFormat="false" ht="12.75" hidden="false" customHeight="true" outlineLevel="0" collapsed="false"/>
    <row r="1368" customFormat="false" ht="12.75" hidden="false" customHeight="true" outlineLevel="0" collapsed="false"/>
    <row r="1369" customFormat="false" ht="12.75" hidden="false" customHeight="true" outlineLevel="0" collapsed="false"/>
    <row r="1370" customFormat="false" ht="12.75" hidden="false" customHeight="true" outlineLevel="0" collapsed="false"/>
    <row r="1371" customFormat="false" ht="12.75" hidden="false" customHeight="true" outlineLevel="0" collapsed="false"/>
    <row r="1372" customFormat="false" ht="12.75" hidden="false" customHeight="true" outlineLevel="0" collapsed="false"/>
    <row r="1373" customFormat="false" ht="12.75" hidden="false" customHeight="true" outlineLevel="0" collapsed="false"/>
    <row r="1374" customFormat="false" ht="12.75" hidden="false" customHeight="true" outlineLevel="0" collapsed="false"/>
    <row r="1375" customFormat="false" ht="12.75" hidden="false" customHeight="true" outlineLevel="0" collapsed="false"/>
    <row r="1376" customFormat="false" ht="12.75" hidden="false" customHeight="true" outlineLevel="0" collapsed="false"/>
    <row r="1377" customFormat="false" ht="12.75" hidden="false" customHeight="true" outlineLevel="0" collapsed="false"/>
    <row r="1378" customFormat="false" ht="12.75" hidden="false" customHeight="true" outlineLevel="0" collapsed="false"/>
    <row r="1379" customFormat="false" ht="12.75" hidden="false" customHeight="true" outlineLevel="0" collapsed="false"/>
    <row r="1380" customFormat="false" ht="12.75" hidden="false" customHeight="true" outlineLevel="0" collapsed="false"/>
    <row r="1381" customFormat="false" ht="12.75" hidden="false" customHeight="true" outlineLevel="0" collapsed="false"/>
    <row r="1382" customFormat="false" ht="12.75" hidden="false" customHeight="true" outlineLevel="0" collapsed="false"/>
    <row r="1383" customFormat="false" ht="12.75" hidden="false" customHeight="true" outlineLevel="0" collapsed="false"/>
    <row r="1384" customFormat="false" ht="12.75" hidden="false" customHeight="true" outlineLevel="0" collapsed="false"/>
    <row r="1385" customFormat="false" ht="12.75" hidden="false" customHeight="true" outlineLevel="0" collapsed="false"/>
    <row r="1386" customFormat="false" ht="12.75" hidden="false" customHeight="true" outlineLevel="0" collapsed="false"/>
    <row r="1387" customFormat="false" ht="12.75" hidden="false" customHeight="true" outlineLevel="0" collapsed="false"/>
    <row r="1388" customFormat="false" ht="12.75" hidden="false" customHeight="true" outlineLevel="0" collapsed="false"/>
    <row r="1389" customFormat="false" ht="12.75" hidden="false" customHeight="true" outlineLevel="0" collapsed="false"/>
    <row r="1390" customFormat="false" ht="12.75" hidden="false" customHeight="true" outlineLevel="0" collapsed="false"/>
    <row r="1391" customFormat="false" ht="12.75" hidden="false" customHeight="true" outlineLevel="0" collapsed="false"/>
    <row r="1392" customFormat="false" ht="12.75" hidden="false" customHeight="true" outlineLevel="0" collapsed="false"/>
    <row r="1393" customFormat="false" ht="12.75" hidden="false" customHeight="true" outlineLevel="0" collapsed="false"/>
    <row r="1394" customFormat="false" ht="12.75" hidden="false" customHeight="true" outlineLevel="0" collapsed="false"/>
    <row r="1395" customFormat="false" ht="12.75" hidden="false" customHeight="true" outlineLevel="0" collapsed="false"/>
    <row r="1396" customFormat="false" ht="12.75" hidden="false" customHeight="true" outlineLevel="0" collapsed="false"/>
    <row r="1397" customFormat="false" ht="12.75" hidden="false" customHeight="true" outlineLevel="0" collapsed="false"/>
    <row r="1398" customFormat="false" ht="12.75" hidden="false" customHeight="true" outlineLevel="0" collapsed="false"/>
    <row r="1399" customFormat="false" ht="12.75" hidden="false" customHeight="true" outlineLevel="0" collapsed="false"/>
    <row r="1400" customFormat="false" ht="12.75" hidden="false" customHeight="true" outlineLevel="0" collapsed="false"/>
    <row r="1401" customFormat="false" ht="12.75" hidden="false" customHeight="true" outlineLevel="0" collapsed="false"/>
    <row r="1402" customFormat="false" ht="12.75" hidden="false" customHeight="true" outlineLevel="0" collapsed="false"/>
    <row r="1403" customFormat="false" ht="12.75" hidden="false" customHeight="true" outlineLevel="0" collapsed="false"/>
    <row r="1404" customFormat="false" ht="12.75" hidden="false" customHeight="true" outlineLevel="0" collapsed="false"/>
    <row r="1405" customFormat="false" ht="12.75" hidden="false" customHeight="true" outlineLevel="0" collapsed="false"/>
    <row r="1406" customFormat="false" ht="12.75" hidden="false" customHeight="true" outlineLevel="0" collapsed="false"/>
    <row r="1407" customFormat="false" ht="12.75" hidden="false" customHeight="true" outlineLevel="0" collapsed="false"/>
    <row r="1408" customFormat="false" ht="12.75" hidden="false" customHeight="true" outlineLevel="0" collapsed="false"/>
    <row r="1409" customFormat="false" ht="12.75" hidden="false" customHeight="true" outlineLevel="0" collapsed="false"/>
    <row r="1410" customFormat="false" ht="12.75" hidden="false" customHeight="true" outlineLevel="0" collapsed="false"/>
    <row r="1411" customFormat="false" ht="12.75" hidden="false" customHeight="true" outlineLevel="0" collapsed="false"/>
    <row r="1412" customFormat="false" ht="12.75" hidden="false" customHeight="true" outlineLevel="0" collapsed="false"/>
    <row r="1413" customFormat="false" ht="12.75" hidden="false" customHeight="true" outlineLevel="0" collapsed="false"/>
    <row r="1414" customFormat="false" ht="12.75" hidden="false" customHeight="true" outlineLevel="0" collapsed="false"/>
    <row r="1415" customFormat="false" ht="12.75" hidden="false" customHeight="true" outlineLevel="0" collapsed="false"/>
    <row r="1416" customFormat="false" ht="12.75" hidden="false" customHeight="true" outlineLevel="0" collapsed="false"/>
    <row r="1417" customFormat="false" ht="12.75" hidden="false" customHeight="true" outlineLevel="0" collapsed="false"/>
    <row r="1418" customFormat="false" ht="12.75" hidden="false" customHeight="true" outlineLevel="0" collapsed="false"/>
    <row r="1419" customFormat="false" ht="12.75" hidden="false" customHeight="true" outlineLevel="0" collapsed="false"/>
    <row r="1420" customFormat="false" ht="12.75" hidden="false" customHeight="true" outlineLevel="0" collapsed="false"/>
    <row r="1421" customFormat="false" ht="12.75" hidden="false" customHeight="true" outlineLevel="0" collapsed="false"/>
    <row r="1422" customFormat="false" ht="12.75" hidden="false" customHeight="true" outlineLevel="0" collapsed="false"/>
    <row r="1423" customFormat="false" ht="12.75" hidden="false" customHeight="true" outlineLevel="0" collapsed="false"/>
    <row r="1424" customFormat="false" ht="12.75" hidden="false" customHeight="true" outlineLevel="0" collapsed="false"/>
    <row r="1425" customFormat="false" ht="12.75" hidden="false" customHeight="true" outlineLevel="0" collapsed="false"/>
    <row r="1426" customFormat="false" ht="12.75" hidden="false" customHeight="true" outlineLevel="0" collapsed="false"/>
    <row r="1427" customFormat="false" ht="12.75" hidden="false" customHeight="true" outlineLevel="0" collapsed="false"/>
    <row r="1428" customFormat="false" ht="12.75" hidden="false" customHeight="true" outlineLevel="0" collapsed="false"/>
    <row r="1429" customFormat="false" ht="12.75" hidden="false" customHeight="true" outlineLevel="0" collapsed="false"/>
    <row r="1430" customFormat="false" ht="12.75" hidden="false" customHeight="true" outlineLevel="0" collapsed="false"/>
    <row r="1431" customFormat="false" ht="12.75" hidden="false" customHeight="true" outlineLevel="0" collapsed="false"/>
    <row r="1432" customFormat="false" ht="12.75" hidden="false" customHeight="true" outlineLevel="0" collapsed="false"/>
    <row r="1433" customFormat="false" ht="12.75" hidden="false" customHeight="true" outlineLevel="0" collapsed="false"/>
    <row r="1434" customFormat="false" ht="12.75" hidden="false" customHeight="true" outlineLevel="0" collapsed="false"/>
    <row r="1435" customFormat="false" ht="12.75" hidden="false" customHeight="true" outlineLevel="0" collapsed="false"/>
    <row r="1436" customFormat="false" ht="12.75" hidden="false" customHeight="true" outlineLevel="0" collapsed="false"/>
    <row r="1437" customFormat="false" ht="12.75" hidden="false" customHeight="true" outlineLevel="0" collapsed="false"/>
    <row r="1438" customFormat="false" ht="12.75" hidden="false" customHeight="true" outlineLevel="0" collapsed="false"/>
    <row r="1439" customFormat="false" ht="12.75" hidden="false" customHeight="true" outlineLevel="0" collapsed="false"/>
    <row r="1440" customFormat="false" ht="12.75" hidden="false" customHeight="true" outlineLevel="0" collapsed="false"/>
    <row r="1441" customFormat="false" ht="12.75" hidden="false" customHeight="true" outlineLevel="0" collapsed="false"/>
    <row r="1442" customFormat="false" ht="12.75" hidden="false" customHeight="true" outlineLevel="0" collapsed="false"/>
    <row r="1443" customFormat="false" ht="12.75" hidden="false" customHeight="true" outlineLevel="0" collapsed="false"/>
    <row r="1444" customFormat="false" ht="12.75" hidden="false" customHeight="true" outlineLevel="0" collapsed="false"/>
    <row r="1445" customFormat="false" ht="12.75" hidden="false" customHeight="true" outlineLevel="0" collapsed="false"/>
    <row r="1446" customFormat="false" ht="12.75" hidden="false" customHeight="true" outlineLevel="0" collapsed="false"/>
    <row r="1447" customFormat="false" ht="12.75" hidden="false" customHeight="true" outlineLevel="0" collapsed="false"/>
    <row r="1448" customFormat="false" ht="12.75" hidden="false" customHeight="true" outlineLevel="0" collapsed="false"/>
    <row r="1449" customFormat="false" ht="12.75" hidden="false" customHeight="true" outlineLevel="0" collapsed="false"/>
    <row r="1450" customFormat="false" ht="12.75" hidden="false" customHeight="true" outlineLevel="0" collapsed="false"/>
    <row r="1451" customFormat="false" ht="12.75" hidden="false" customHeight="true" outlineLevel="0" collapsed="false"/>
    <row r="1452" customFormat="false" ht="12.75" hidden="false" customHeight="true" outlineLevel="0" collapsed="false"/>
    <row r="1453" customFormat="false" ht="12.75" hidden="false" customHeight="true" outlineLevel="0" collapsed="false"/>
    <row r="1454" customFormat="false" ht="12.75" hidden="false" customHeight="true" outlineLevel="0" collapsed="false"/>
    <row r="1455" customFormat="false" ht="12.75" hidden="false" customHeight="true" outlineLevel="0" collapsed="false"/>
    <row r="1456" customFormat="false" ht="12.75" hidden="false" customHeight="true" outlineLevel="0" collapsed="false"/>
    <row r="1457" customFormat="false" ht="12.75" hidden="false" customHeight="true" outlineLevel="0" collapsed="false"/>
    <row r="1458" customFormat="false" ht="12.75" hidden="false" customHeight="true" outlineLevel="0" collapsed="false"/>
    <row r="1459" customFormat="false" ht="12.75" hidden="false" customHeight="true" outlineLevel="0" collapsed="false"/>
    <row r="1460" customFormat="false" ht="12.75" hidden="false" customHeight="true" outlineLevel="0" collapsed="false"/>
    <row r="1461" customFormat="false" ht="12.75" hidden="false" customHeight="true" outlineLevel="0" collapsed="false"/>
    <row r="1462" customFormat="false" ht="12.75" hidden="false" customHeight="true" outlineLevel="0" collapsed="false"/>
    <row r="1463" customFormat="false" ht="12.75" hidden="false" customHeight="true" outlineLevel="0" collapsed="false"/>
    <row r="1464" customFormat="false" ht="12.75" hidden="false" customHeight="true" outlineLevel="0" collapsed="false"/>
    <row r="1465" customFormat="false" ht="12.75" hidden="false" customHeight="true" outlineLevel="0" collapsed="false"/>
    <row r="1466" customFormat="false" ht="12.75" hidden="false" customHeight="true" outlineLevel="0" collapsed="false"/>
    <row r="1467" customFormat="false" ht="12.75" hidden="false" customHeight="true" outlineLevel="0" collapsed="false"/>
    <row r="1468" customFormat="false" ht="12.75" hidden="false" customHeight="true" outlineLevel="0" collapsed="false"/>
    <row r="1469" customFormat="false" ht="12.75" hidden="false" customHeight="true" outlineLevel="0" collapsed="false"/>
    <row r="1470" customFormat="false" ht="12.75" hidden="false" customHeight="true" outlineLevel="0" collapsed="false"/>
    <row r="1471" customFormat="false" ht="12.75" hidden="false" customHeight="true" outlineLevel="0" collapsed="false"/>
    <row r="1472" customFormat="false" ht="12.75" hidden="false" customHeight="true" outlineLevel="0" collapsed="false"/>
    <row r="1473" customFormat="false" ht="12.75" hidden="false" customHeight="true" outlineLevel="0" collapsed="false"/>
    <row r="1474" customFormat="false" ht="12.75" hidden="false" customHeight="true" outlineLevel="0" collapsed="false"/>
    <row r="1475" customFormat="false" ht="12.75" hidden="false" customHeight="true" outlineLevel="0" collapsed="false"/>
    <row r="1476" customFormat="false" ht="12.75" hidden="false" customHeight="true" outlineLevel="0" collapsed="false"/>
    <row r="1477" customFormat="false" ht="12.75" hidden="false" customHeight="true" outlineLevel="0" collapsed="false"/>
    <row r="1478" customFormat="false" ht="12.75" hidden="false" customHeight="true" outlineLevel="0" collapsed="false"/>
    <row r="1479" customFormat="false" ht="12.75" hidden="false" customHeight="true" outlineLevel="0" collapsed="false"/>
    <row r="1480" customFormat="false" ht="12.75" hidden="false" customHeight="true" outlineLevel="0" collapsed="false"/>
    <row r="1481" customFormat="false" ht="12.75" hidden="false" customHeight="true" outlineLevel="0" collapsed="false"/>
    <row r="1482" customFormat="false" ht="12.75" hidden="false" customHeight="true" outlineLevel="0" collapsed="false"/>
    <row r="1483" customFormat="false" ht="12.75" hidden="false" customHeight="true" outlineLevel="0" collapsed="false"/>
    <row r="1484" customFormat="false" ht="12.75" hidden="false" customHeight="true" outlineLevel="0" collapsed="false"/>
    <row r="1485" customFormat="false" ht="12.75" hidden="false" customHeight="true" outlineLevel="0" collapsed="false"/>
    <row r="1486" customFormat="false" ht="12.75" hidden="false" customHeight="true" outlineLevel="0" collapsed="false"/>
    <row r="1487" customFormat="false" ht="12.75" hidden="false" customHeight="true" outlineLevel="0" collapsed="false"/>
    <row r="1488" customFormat="false" ht="12.75" hidden="false" customHeight="true" outlineLevel="0" collapsed="false"/>
    <row r="1489" customFormat="false" ht="12.75" hidden="false" customHeight="true" outlineLevel="0" collapsed="false"/>
    <row r="1490" customFormat="false" ht="12.75" hidden="false" customHeight="true" outlineLevel="0" collapsed="false"/>
    <row r="1491" customFormat="false" ht="12.75" hidden="false" customHeight="true" outlineLevel="0" collapsed="false"/>
    <row r="1492" customFormat="false" ht="12.75" hidden="false" customHeight="true" outlineLevel="0" collapsed="false"/>
    <row r="1493" customFormat="false" ht="12.75" hidden="false" customHeight="true" outlineLevel="0" collapsed="false"/>
    <row r="1494" customFormat="false" ht="12.75" hidden="false" customHeight="true" outlineLevel="0" collapsed="false"/>
    <row r="1495" customFormat="false" ht="12.75" hidden="false" customHeight="true" outlineLevel="0" collapsed="false"/>
    <row r="1496" customFormat="false" ht="12.75" hidden="false" customHeight="true" outlineLevel="0" collapsed="false"/>
    <row r="1497" customFormat="false" ht="12.75" hidden="false" customHeight="true" outlineLevel="0" collapsed="false"/>
    <row r="1498" customFormat="false" ht="12.75" hidden="false" customHeight="true" outlineLevel="0" collapsed="false"/>
    <row r="1499" customFormat="false" ht="12.75" hidden="false" customHeight="true" outlineLevel="0" collapsed="false"/>
    <row r="1500" customFormat="false" ht="12.75" hidden="false" customHeight="true" outlineLevel="0" collapsed="false"/>
    <row r="1501" customFormat="false" ht="12.75" hidden="false" customHeight="true" outlineLevel="0" collapsed="false"/>
    <row r="1502" customFormat="false" ht="12.75" hidden="false" customHeight="true" outlineLevel="0" collapsed="false"/>
    <row r="1503" customFormat="false" ht="12.75" hidden="false" customHeight="true" outlineLevel="0" collapsed="false"/>
    <row r="1504" customFormat="false" ht="12.75" hidden="false" customHeight="true" outlineLevel="0" collapsed="false"/>
    <row r="1505" customFormat="false" ht="12.75" hidden="false" customHeight="true" outlineLevel="0" collapsed="false"/>
    <row r="1506" customFormat="false" ht="12.75" hidden="false" customHeight="true" outlineLevel="0" collapsed="false"/>
    <row r="1507" customFormat="false" ht="12.75" hidden="false" customHeight="true" outlineLevel="0" collapsed="false"/>
    <row r="1508" customFormat="false" ht="12.75" hidden="false" customHeight="true" outlineLevel="0" collapsed="false"/>
    <row r="1509" customFormat="false" ht="12.75" hidden="false" customHeight="true" outlineLevel="0" collapsed="false"/>
    <row r="1510" customFormat="false" ht="12.75" hidden="false" customHeight="true" outlineLevel="0" collapsed="false"/>
    <row r="1511" customFormat="false" ht="12.75" hidden="false" customHeight="true" outlineLevel="0" collapsed="false"/>
    <row r="1512" customFormat="false" ht="12.75" hidden="false" customHeight="true" outlineLevel="0" collapsed="false"/>
    <row r="1513" customFormat="false" ht="12.75" hidden="false" customHeight="true" outlineLevel="0" collapsed="false"/>
    <row r="1514" customFormat="false" ht="12.75" hidden="false" customHeight="true" outlineLevel="0" collapsed="false"/>
    <row r="1515" customFormat="false" ht="12.75" hidden="false" customHeight="true" outlineLevel="0" collapsed="false"/>
    <row r="1516" customFormat="false" ht="12.75" hidden="false" customHeight="true" outlineLevel="0" collapsed="false"/>
    <row r="1517" customFormat="false" ht="12.75" hidden="false" customHeight="true" outlineLevel="0" collapsed="false"/>
    <row r="1518" customFormat="false" ht="12.75" hidden="false" customHeight="true" outlineLevel="0" collapsed="false"/>
    <row r="1519" customFormat="false" ht="12.75" hidden="false" customHeight="true" outlineLevel="0" collapsed="false"/>
    <row r="1520" customFormat="false" ht="12.75" hidden="false" customHeight="true" outlineLevel="0" collapsed="false"/>
    <row r="1521" customFormat="false" ht="12.75" hidden="false" customHeight="true" outlineLevel="0" collapsed="false"/>
    <row r="1522" customFormat="false" ht="12.75" hidden="false" customHeight="true" outlineLevel="0" collapsed="false"/>
    <row r="1523" customFormat="false" ht="12.75" hidden="false" customHeight="true" outlineLevel="0" collapsed="false"/>
    <row r="1524" customFormat="false" ht="12.75" hidden="false" customHeight="true" outlineLevel="0" collapsed="false"/>
    <row r="1525" customFormat="false" ht="12.75" hidden="false" customHeight="true" outlineLevel="0" collapsed="false"/>
    <row r="1526" customFormat="false" ht="12.75" hidden="false" customHeight="true" outlineLevel="0" collapsed="false"/>
    <row r="1527" customFormat="false" ht="12.75" hidden="false" customHeight="true" outlineLevel="0" collapsed="false"/>
    <row r="1528" customFormat="false" ht="12.75" hidden="false" customHeight="true" outlineLevel="0" collapsed="false"/>
    <row r="1529" customFormat="false" ht="12.75" hidden="false" customHeight="true" outlineLevel="0" collapsed="false"/>
    <row r="1530" customFormat="false" ht="12.75" hidden="false" customHeight="true" outlineLevel="0" collapsed="false"/>
    <row r="1531" customFormat="false" ht="12.75" hidden="false" customHeight="true" outlineLevel="0" collapsed="false"/>
    <row r="1532" customFormat="false" ht="12.75" hidden="false" customHeight="true" outlineLevel="0" collapsed="false"/>
    <row r="1533" customFormat="false" ht="12.75" hidden="false" customHeight="true" outlineLevel="0" collapsed="false"/>
    <row r="1534" customFormat="false" ht="12.75" hidden="false" customHeight="true" outlineLevel="0" collapsed="false"/>
    <row r="1535" customFormat="false" ht="12.75" hidden="false" customHeight="true" outlineLevel="0" collapsed="false"/>
    <row r="1536" customFormat="false" ht="12.75" hidden="false" customHeight="true" outlineLevel="0" collapsed="false"/>
    <row r="1537" customFormat="false" ht="12.75" hidden="false" customHeight="true" outlineLevel="0" collapsed="false"/>
    <row r="1538" customFormat="false" ht="12.75" hidden="false" customHeight="true" outlineLevel="0" collapsed="false"/>
    <row r="1539" customFormat="false" ht="12.75" hidden="false" customHeight="true" outlineLevel="0" collapsed="false"/>
    <row r="1540" customFormat="false" ht="12.75" hidden="false" customHeight="true" outlineLevel="0" collapsed="false"/>
    <row r="1541" customFormat="false" ht="12.75" hidden="false" customHeight="true" outlineLevel="0" collapsed="false"/>
    <row r="1542" customFormat="false" ht="12.75" hidden="false" customHeight="true" outlineLevel="0" collapsed="false"/>
    <row r="1543" customFormat="false" ht="12.75" hidden="false" customHeight="true" outlineLevel="0" collapsed="false"/>
    <row r="1544" customFormat="false" ht="12.75" hidden="false" customHeight="true" outlineLevel="0" collapsed="false"/>
    <row r="1545" customFormat="false" ht="12.75" hidden="false" customHeight="true" outlineLevel="0" collapsed="false"/>
    <row r="1546" customFormat="false" ht="12.75" hidden="false" customHeight="true" outlineLevel="0" collapsed="false"/>
    <row r="1547" customFormat="false" ht="12.75" hidden="false" customHeight="true" outlineLevel="0" collapsed="false"/>
    <row r="1548" customFormat="false" ht="12.75" hidden="false" customHeight="true" outlineLevel="0" collapsed="false"/>
    <row r="1549" customFormat="false" ht="12.75" hidden="false" customHeight="true" outlineLevel="0" collapsed="false"/>
    <row r="1550" customFormat="false" ht="12.75" hidden="false" customHeight="true" outlineLevel="0" collapsed="false"/>
    <row r="1551" customFormat="false" ht="12.75" hidden="false" customHeight="true" outlineLevel="0" collapsed="false"/>
    <row r="1552" customFormat="false" ht="12.75" hidden="false" customHeight="true" outlineLevel="0" collapsed="false"/>
    <row r="1553" customFormat="false" ht="12.75" hidden="false" customHeight="true" outlineLevel="0" collapsed="false"/>
    <row r="1554" customFormat="false" ht="12.75" hidden="false" customHeight="true" outlineLevel="0" collapsed="false"/>
    <row r="1555" customFormat="false" ht="12.75" hidden="false" customHeight="true" outlineLevel="0" collapsed="false"/>
    <row r="1556" customFormat="false" ht="12.75" hidden="false" customHeight="true" outlineLevel="0" collapsed="false"/>
    <row r="1557" customFormat="false" ht="12.75" hidden="false" customHeight="true" outlineLevel="0" collapsed="false"/>
    <row r="1558" customFormat="false" ht="12.75" hidden="false" customHeight="true" outlineLevel="0" collapsed="false"/>
    <row r="1559" customFormat="false" ht="12.75" hidden="false" customHeight="true" outlineLevel="0" collapsed="false"/>
    <row r="1560" customFormat="false" ht="12.75" hidden="false" customHeight="true" outlineLevel="0" collapsed="false"/>
    <row r="1561" customFormat="false" ht="12.75" hidden="false" customHeight="true" outlineLevel="0" collapsed="false"/>
    <row r="1562" customFormat="false" ht="12.75" hidden="false" customHeight="true" outlineLevel="0" collapsed="false"/>
    <row r="1563" customFormat="false" ht="12.75" hidden="false" customHeight="true" outlineLevel="0" collapsed="false"/>
    <row r="1564" customFormat="false" ht="12.75" hidden="false" customHeight="true" outlineLevel="0" collapsed="false"/>
    <row r="1565" customFormat="false" ht="12.75" hidden="false" customHeight="true" outlineLevel="0" collapsed="false"/>
    <row r="1566" customFormat="false" ht="12.75" hidden="false" customHeight="true" outlineLevel="0" collapsed="false"/>
    <row r="1567" customFormat="false" ht="12.75" hidden="false" customHeight="true" outlineLevel="0" collapsed="false"/>
    <row r="1568" customFormat="false" ht="12.75" hidden="false" customHeight="true" outlineLevel="0" collapsed="false"/>
    <row r="1569" customFormat="false" ht="12.75" hidden="false" customHeight="true" outlineLevel="0" collapsed="false"/>
    <row r="1570" customFormat="false" ht="12.75" hidden="false" customHeight="true" outlineLevel="0" collapsed="false"/>
    <row r="1571" customFormat="false" ht="12.75" hidden="false" customHeight="true" outlineLevel="0" collapsed="false"/>
    <row r="1572" customFormat="false" ht="12.75" hidden="false" customHeight="true" outlineLevel="0" collapsed="false"/>
    <row r="1573" customFormat="false" ht="12.75" hidden="false" customHeight="true" outlineLevel="0" collapsed="false"/>
    <row r="1574" customFormat="false" ht="12.75" hidden="false" customHeight="true" outlineLevel="0" collapsed="false"/>
    <row r="1575" customFormat="false" ht="12.75" hidden="false" customHeight="true" outlineLevel="0" collapsed="false"/>
    <row r="1576" customFormat="false" ht="12.75" hidden="false" customHeight="true" outlineLevel="0" collapsed="false"/>
    <row r="1577" customFormat="false" ht="12.75" hidden="false" customHeight="true" outlineLevel="0" collapsed="false"/>
    <row r="1578" customFormat="false" ht="12.75" hidden="false" customHeight="true" outlineLevel="0" collapsed="false"/>
    <row r="1579" customFormat="false" ht="12.75" hidden="false" customHeight="true" outlineLevel="0" collapsed="false"/>
    <row r="1580" customFormat="false" ht="12.75" hidden="false" customHeight="true" outlineLevel="0" collapsed="false"/>
    <row r="1581" customFormat="false" ht="12.75" hidden="false" customHeight="true" outlineLevel="0" collapsed="false"/>
    <row r="1582" customFormat="false" ht="12.75" hidden="false" customHeight="true" outlineLevel="0" collapsed="false"/>
    <row r="1583" customFormat="false" ht="12.75" hidden="false" customHeight="true" outlineLevel="0" collapsed="false"/>
    <row r="1584" customFormat="false" ht="12.75" hidden="false" customHeight="true" outlineLevel="0" collapsed="false"/>
    <row r="1585" customFormat="false" ht="12.75" hidden="false" customHeight="true" outlineLevel="0" collapsed="false"/>
    <row r="1586" customFormat="false" ht="12.75" hidden="false" customHeight="true" outlineLevel="0" collapsed="false"/>
    <row r="1587" customFormat="false" ht="12.75" hidden="false" customHeight="true" outlineLevel="0" collapsed="false"/>
    <row r="1588" customFormat="false" ht="12.75" hidden="false" customHeight="true" outlineLevel="0" collapsed="false"/>
    <row r="1589" customFormat="false" ht="12.75" hidden="false" customHeight="true" outlineLevel="0" collapsed="false"/>
    <row r="1590" customFormat="false" ht="12.75" hidden="false" customHeight="true" outlineLevel="0" collapsed="false"/>
    <row r="1591" customFormat="false" ht="12.75" hidden="false" customHeight="true" outlineLevel="0" collapsed="false"/>
    <row r="1592" customFormat="false" ht="12.75" hidden="false" customHeight="true" outlineLevel="0" collapsed="false"/>
    <row r="1593" customFormat="false" ht="12.75" hidden="false" customHeight="true" outlineLevel="0" collapsed="false"/>
    <row r="1594" customFormat="false" ht="12.75" hidden="false" customHeight="true" outlineLevel="0" collapsed="false"/>
    <row r="1595" customFormat="false" ht="12.75" hidden="false" customHeight="true" outlineLevel="0" collapsed="false"/>
    <row r="1596" customFormat="false" ht="12.75" hidden="false" customHeight="true" outlineLevel="0" collapsed="false"/>
    <row r="1597" customFormat="false" ht="12.75" hidden="false" customHeight="true" outlineLevel="0" collapsed="false"/>
    <row r="1598" customFormat="false" ht="12.75" hidden="false" customHeight="true" outlineLevel="0" collapsed="false"/>
    <row r="1599" customFormat="false" ht="12.75" hidden="false" customHeight="true" outlineLevel="0" collapsed="false"/>
    <row r="1600" customFormat="false" ht="12.75" hidden="false" customHeight="true" outlineLevel="0" collapsed="false"/>
    <row r="1601" customFormat="false" ht="12.75" hidden="false" customHeight="true" outlineLevel="0" collapsed="false"/>
    <row r="1602" customFormat="false" ht="12.75" hidden="false" customHeight="true" outlineLevel="0" collapsed="false"/>
    <row r="1603" customFormat="false" ht="12.75" hidden="false" customHeight="true" outlineLevel="0" collapsed="false"/>
    <row r="1604" customFormat="false" ht="12.75" hidden="false" customHeight="true" outlineLevel="0" collapsed="false"/>
    <row r="1605" customFormat="false" ht="12.75" hidden="false" customHeight="true" outlineLevel="0" collapsed="false"/>
    <row r="1606" customFormat="false" ht="12.75" hidden="false" customHeight="true" outlineLevel="0" collapsed="false"/>
    <row r="1607" customFormat="false" ht="12.75" hidden="false" customHeight="true" outlineLevel="0" collapsed="false"/>
    <row r="1608" customFormat="false" ht="12.75" hidden="false" customHeight="true" outlineLevel="0" collapsed="false"/>
    <row r="1609" customFormat="false" ht="12.75" hidden="false" customHeight="true" outlineLevel="0" collapsed="false"/>
    <row r="1610" customFormat="false" ht="12.75" hidden="false" customHeight="true" outlineLevel="0" collapsed="false"/>
    <row r="1611" customFormat="false" ht="12.75" hidden="false" customHeight="true" outlineLevel="0" collapsed="false"/>
    <row r="1612" customFormat="false" ht="12.75" hidden="false" customHeight="true" outlineLevel="0" collapsed="false"/>
    <row r="1613" customFormat="false" ht="12.75" hidden="false" customHeight="true" outlineLevel="0" collapsed="false"/>
    <row r="1614" customFormat="false" ht="12.75" hidden="false" customHeight="true" outlineLevel="0" collapsed="false"/>
    <row r="1615" customFormat="false" ht="12.75" hidden="false" customHeight="true" outlineLevel="0" collapsed="false"/>
    <row r="1616" customFormat="false" ht="12.75" hidden="false" customHeight="true" outlineLevel="0" collapsed="false"/>
    <row r="1617" customFormat="false" ht="12.75" hidden="false" customHeight="true" outlineLevel="0" collapsed="false"/>
    <row r="1618" customFormat="false" ht="12.75" hidden="false" customHeight="true" outlineLevel="0" collapsed="false"/>
    <row r="1619" customFormat="false" ht="12.75" hidden="false" customHeight="true" outlineLevel="0" collapsed="false"/>
    <row r="1620" customFormat="false" ht="12.75" hidden="false" customHeight="true" outlineLevel="0" collapsed="false"/>
    <row r="1621" customFormat="false" ht="12.75" hidden="false" customHeight="true" outlineLevel="0" collapsed="false"/>
    <row r="1622" customFormat="false" ht="12.75" hidden="false" customHeight="true" outlineLevel="0" collapsed="false"/>
    <row r="1623" customFormat="false" ht="12.75" hidden="false" customHeight="true" outlineLevel="0" collapsed="false"/>
    <row r="1624" customFormat="false" ht="12.75" hidden="false" customHeight="true" outlineLevel="0" collapsed="false"/>
    <row r="1625" customFormat="false" ht="12.75" hidden="false" customHeight="true" outlineLevel="0" collapsed="false"/>
    <row r="1626" customFormat="false" ht="12.75" hidden="false" customHeight="true" outlineLevel="0" collapsed="false"/>
    <row r="1627" customFormat="false" ht="12.75" hidden="false" customHeight="true" outlineLevel="0" collapsed="false"/>
    <row r="1628" customFormat="false" ht="12.75" hidden="false" customHeight="true" outlineLevel="0" collapsed="false"/>
    <row r="1629" customFormat="false" ht="12.75" hidden="false" customHeight="true" outlineLevel="0" collapsed="false"/>
    <row r="1630" customFormat="false" ht="12.75" hidden="false" customHeight="true" outlineLevel="0" collapsed="false"/>
    <row r="1631" customFormat="false" ht="12.75" hidden="false" customHeight="true" outlineLevel="0" collapsed="false"/>
    <row r="1632" customFormat="false" ht="12.75" hidden="false" customHeight="true" outlineLevel="0" collapsed="false"/>
    <row r="1633" customFormat="false" ht="12.75" hidden="false" customHeight="true" outlineLevel="0" collapsed="false"/>
    <row r="1634" customFormat="false" ht="12.75" hidden="false" customHeight="true" outlineLevel="0" collapsed="false"/>
    <row r="1635" customFormat="false" ht="12.75" hidden="false" customHeight="true" outlineLevel="0" collapsed="false"/>
    <row r="1636" customFormat="false" ht="12.75" hidden="false" customHeight="true" outlineLevel="0" collapsed="false"/>
    <row r="1637" customFormat="false" ht="12.75" hidden="false" customHeight="true" outlineLevel="0" collapsed="false"/>
    <row r="1638" customFormat="false" ht="12.75" hidden="false" customHeight="true" outlineLevel="0" collapsed="false"/>
    <row r="1639" customFormat="false" ht="12.75" hidden="false" customHeight="true" outlineLevel="0" collapsed="false"/>
    <row r="1640" customFormat="false" ht="12.75" hidden="false" customHeight="true" outlineLevel="0" collapsed="false"/>
    <row r="1641" customFormat="false" ht="12.75" hidden="false" customHeight="true" outlineLevel="0" collapsed="false"/>
    <row r="1642" customFormat="false" ht="12.75" hidden="false" customHeight="true" outlineLevel="0" collapsed="false"/>
    <row r="1643" customFormat="false" ht="12.75" hidden="false" customHeight="true" outlineLevel="0" collapsed="false"/>
    <row r="1644" customFormat="false" ht="12.75" hidden="false" customHeight="true" outlineLevel="0" collapsed="false"/>
    <row r="1645" customFormat="false" ht="12.75" hidden="false" customHeight="true" outlineLevel="0" collapsed="false"/>
    <row r="1646" customFormat="false" ht="12.75" hidden="false" customHeight="true" outlineLevel="0" collapsed="false"/>
    <row r="1647" customFormat="false" ht="12.75" hidden="false" customHeight="true" outlineLevel="0" collapsed="false"/>
    <row r="1648" customFormat="false" ht="12.75" hidden="false" customHeight="true" outlineLevel="0" collapsed="false"/>
    <row r="1649" customFormat="false" ht="12.75" hidden="false" customHeight="true" outlineLevel="0" collapsed="false"/>
    <row r="1650" customFormat="false" ht="12.75" hidden="false" customHeight="true" outlineLevel="0" collapsed="false"/>
    <row r="1651" customFormat="false" ht="12.75" hidden="false" customHeight="true" outlineLevel="0" collapsed="false"/>
    <row r="1652" customFormat="false" ht="12.75" hidden="false" customHeight="true" outlineLevel="0" collapsed="false"/>
    <row r="1653" customFormat="false" ht="12.75" hidden="false" customHeight="true" outlineLevel="0" collapsed="false"/>
    <row r="1654" customFormat="false" ht="12.75" hidden="false" customHeight="true" outlineLevel="0" collapsed="false"/>
    <row r="1655" customFormat="false" ht="12.75" hidden="false" customHeight="true" outlineLevel="0" collapsed="false"/>
    <row r="1656" customFormat="false" ht="12.75" hidden="false" customHeight="true" outlineLevel="0" collapsed="false"/>
    <row r="1657" customFormat="false" ht="12.75" hidden="false" customHeight="true" outlineLevel="0" collapsed="false"/>
    <row r="1658" customFormat="false" ht="12.75" hidden="false" customHeight="true" outlineLevel="0" collapsed="false"/>
    <row r="1659" customFormat="false" ht="12.75" hidden="false" customHeight="true" outlineLevel="0" collapsed="false"/>
    <row r="1660" customFormat="false" ht="12.75" hidden="false" customHeight="true" outlineLevel="0" collapsed="false"/>
    <row r="1661" customFormat="false" ht="12.75" hidden="false" customHeight="true" outlineLevel="0" collapsed="false"/>
    <row r="1662" customFormat="false" ht="12.75" hidden="false" customHeight="true" outlineLevel="0" collapsed="false"/>
    <row r="1663" customFormat="false" ht="12.75" hidden="false" customHeight="true" outlineLevel="0" collapsed="false"/>
    <row r="1664" customFormat="false" ht="12.75" hidden="false" customHeight="true" outlineLevel="0" collapsed="false"/>
    <row r="1665" customFormat="false" ht="12.75" hidden="false" customHeight="true" outlineLevel="0" collapsed="false"/>
    <row r="1666" customFormat="false" ht="12.75" hidden="false" customHeight="true" outlineLevel="0" collapsed="false"/>
    <row r="1667" customFormat="false" ht="12.75" hidden="false" customHeight="true" outlineLevel="0" collapsed="false"/>
    <row r="1668" customFormat="false" ht="12.75" hidden="false" customHeight="true" outlineLevel="0" collapsed="false"/>
    <row r="1669" customFormat="false" ht="12.75" hidden="false" customHeight="true" outlineLevel="0" collapsed="false"/>
    <row r="1670" customFormat="false" ht="12.75" hidden="false" customHeight="true" outlineLevel="0" collapsed="false"/>
    <row r="1671" customFormat="false" ht="12.75" hidden="false" customHeight="true" outlineLevel="0" collapsed="false"/>
    <row r="1672" customFormat="false" ht="12.75" hidden="false" customHeight="true" outlineLevel="0" collapsed="false"/>
    <row r="1673" customFormat="false" ht="12.75" hidden="false" customHeight="true" outlineLevel="0" collapsed="false"/>
    <row r="1674" customFormat="false" ht="12.75" hidden="false" customHeight="true" outlineLevel="0" collapsed="false"/>
    <row r="1675" customFormat="false" ht="12.75" hidden="false" customHeight="true" outlineLevel="0" collapsed="false"/>
    <row r="1676" customFormat="false" ht="12.75" hidden="false" customHeight="true" outlineLevel="0" collapsed="false"/>
    <row r="1677" customFormat="false" ht="12.75" hidden="false" customHeight="true" outlineLevel="0" collapsed="false"/>
    <row r="1678" customFormat="false" ht="12.75" hidden="false" customHeight="true" outlineLevel="0" collapsed="false"/>
    <row r="1679" customFormat="false" ht="12.75" hidden="false" customHeight="true" outlineLevel="0" collapsed="false"/>
    <row r="1680" customFormat="false" ht="12.75" hidden="false" customHeight="true" outlineLevel="0" collapsed="false"/>
    <row r="1681" customFormat="false" ht="12.75" hidden="false" customHeight="true" outlineLevel="0" collapsed="false"/>
    <row r="1682" customFormat="false" ht="12.75" hidden="false" customHeight="true" outlineLevel="0" collapsed="false"/>
    <row r="1683" customFormat="false" ht="12.75" hidden="false" customHeight="true" outlineLevel="0" collapsed="false"/>
    <row r="1684" customFormat="false" ht="12.75" hidden="false" customHeight="true" outlineLevel="0" collapsed="false"/>
    <row r="1685" customFormat="false" ht="12.75" hidden="false" customHeight="true" outlineLevel="0" collapsed="false"/>
    <row r="1686" customFormat="false" ht="12.75" hidden="false" customHeight="true" outlineLevel="0" collapsed="false"/>
    <row r="1687" customFormat="false" ht="12.75" hidden="false" customHeight="true" outlineLevel="0" collapsed="false"/>
    <row r="1688" customFormat="false" ht="12.75" hidden="false" customHeight="true" outlineLevel="0" collapsed="false"/>
    <row r="1689" customFormat="false" ht="12.75" hidden="false" customHeight="true" outlineLevel="0" collapsed="false"/>
    <row r="1690" customFormat="false" ht="12.75" hidden="false" customHeight="true" outlineLevel="0" collapsed="false"/>
    <row r="1691" customFormat="false" ht="12.75" hidden="false" customHeight="true" outlineLevel="0" collapsed="false"/>
    <row r="1692" customFormat="false" ht="12.75" hidden="false" customHeight="true" outlineLevel="0" collapsed="false"/>
    <row r="1693" customFormat="false" ht="12.75" hidden="false" customHeight="true" outlineLevel="0" collapsed="false"/>
    <row r="1694" customFormat="false" ht="12.75" hidden="false" customHeight="true" outlineLevel="0" collapsed="false"/>
    <row r="1695" customFormat="false" ht="12.75" hidden="false" customHeight="true" outlineLevel="0" collapsed="false"/>
    <row r="1696" customFormat="false" ht="12.75" hidden="false" customHeight="true" outlineLevel="0" collapsed="false"/>
    <row r="1697" customFormat="false" ht="12.75" hidden="false" customHeight="true" outlineLevel="0" collapsed="false"/>
    <row r="1698" customFormat="false" ht="12.75" hidden="false" customHeight="true" outlineLevel="0" collapsed="false"/>
    <row r="1699" customFormat="false" ht="12.75" hidden="false" customHeight="true" outlineLevel="0" collapsed="false"/>
    <row r="1700" customFormat="false" ht="12.75" hidden="false" customHeight="true" outlineLevel="0" collapsed="false"/>
    <row r="1701" customFormat="false" ht="12.75" hidden="false" customHeight="true" outlineLevel="0" collapsed="false"/>
    <row r="1702" customFormat="false" ht="12.75" hidden="false" customHeight="true" outlineLevel="0" collapsed="false"/>
    <row r="1703" customFormat="false" ht="12.75" hidden="false" customHeight="true" outlineLevel="0" collapsed="false"/>
    <row r="1704" customFormat="false" ht="12.75" hidden="false" customHeight="true" outlineLevel="0" collapsed="false"/>
    <row r="1705" customFormat="false" ht="12.75" hidden="false" customHeight="true" outlineLevel="0" collapsed="false"/>
    <row r="1706" customFormat="false" ht="12.75" hidden="false" customHeight="true" outlineLevel="0" collapsed="false"/>
    <row r="1707" customFormat="false" ht="12.75" hidden="false" customHeight="true" outlineLevel="0" collapsed="false"/>
    <row r="1708" customFormat="false" ht="12.75" hidden="false" customHeight="true" outlineLevel="0" collapsed="false"/>
    <row r="1709" customFormat="false" ht="12.75" hidden="false" customHeight="true" outlineLevel="0" collapsed="false"/>
    <row r="1710" customFormat="false" ht="12.75" hidden="false" customHeight="true" outlineLevel="0" collapsed="false"/>
    <row r="1711" customFormat="false" ht="12.75" hidden="false" customHeight="true" outlineLevel="0" collapsed="false"/>
    <row r="1712" customFormat="false" ht="12.75" hidden="false" customHeight="true" outlineLevel="0" collapsed="false"/>
    <row r="1713" customFormat="false" ht="12.75" hidden="false" customHeight="true" outlineLevel="0" collapsed="false"/>
    <row r="1714" customFormat="false" ht="12.75" hidden="false" customHeight="true" outlineLevel="0" collapsed="false"/>
    <row r="1715" customFormat="false" ht="12.75" hidden="false" customHeight="true" outlineLevel="0" collapsed="false"/>
    <row r="1716" customFormat="false" ht="12.75" hidden="false" customHeight="true" outlineLevel="0" collapsed="false"/>
    <row r="1717" customFormat="false" ht="12.75" hidden="false" customHeight="true" outlineLevel="0" collapsed="false"/>
    <row r="1718" customFormat="false" ht="12.75" hidden="false" customHeight="true" outlineLevel="0" collapsed="false"/>
    <row r="1719" customFormat="false" ht="12.75" hidden="false" customHeight="true" outlineLevel="0" collapsed="false"/>
    <row r="1720" customFormat="false" ht="12.75" hidden="false" customHeight="true" outlineLevel="0" collapsed="false"/>
    <row r="1721" customFormat="false" ht="12.75" hidden="false" customHeight="true" outlineLevel="0" collapsed="false"/>
    <row r="1722" customFormat="false" ht="12.75" hidden="false" customHeight="true" outlineLevel="0" collapsed="false"/>
    <row r="1723" customFormat="false" ht="12.75" hidden="false" customHeight="true" outlineLevel="0" collapsed="false"/>
    <row r="1724" customFormat="false" ht="12.75" hidden="false" customHeight="true" outlineLevel="0" collapsed="false"/>
    <row r="1725" customFormat="false" ht="12.75" hidden="false" customHeight="true" outlineLevel="0" collapsed="false"/>
    <row r="1726" customFormat="false" ht="12.75" hidden="false" customHeight="true" outlineLevel="0" collapsed="false"/>
    <row r="1727" customFormat="false" ht="12.75" hidden="false" customHeight="true" outlineLevel="0" collapsed="false"/>
    <row r="1728" customFormat="false" ht="12.75" hidden="false" customHeight="true" outlineLevel="0" collapsed="false"/>
    <row r="1729" customFormat="false" ht="12.75" hidden="false" customHeight="true" outlineLevel="0" collapsed="false"/>
    <row r="1730" customFormat="false" ht="12.75" hidden="false" customHeight="true" outlineLevel="0" collapsed="false"/>
    <row r="1731" customFormat="false" ht="12.75" hidden="false" customHeight="true" outlineLevel="0" collapsed="false"/>
    <row r="1732" customFormat="false" ht="12.75" hidden="false" customHeight="true" outlineLevel="0" collapsed="false"/>
    <row r="1733" customFormat="false" ht="12.75" hidden="false" customHeight="true" outlineLevel="0" collapsed="false"/>
    <row r="1734" customFormat="false" ht="12.75" hidden="false" customHeight="true" outlineLevel="0" collapsed="false"/>
    <row r="1735" customFormat="false" ht="12.75" hidden="false" customHeight="true" outlineLevel="0" collapsed="false"/>
    <row r="1736" customFormat="false" ht="12.75" hidden="false" customHeight="true" outlineLevel="0" collapsed="false"/>
    <row r="1737" customFormat="false" ht="12.75" hidden="false" customHeight="true" outlineLevel="0" collapsed="false"/>
    <row r="1738" customFormat="false" ht="12.75" hidden="false" customHeight="true" outlineLevel="0" collapsed="false"/>
    <row r="1739" customFormat="false" ht="12.75" hidden="false" customHeight="true" outlineLevel="0" collapsed="false"/>
    <row r="1740" customFormat="false" ht="12.75" hidden="false" customHeight="true" outlineLevel="0" collapsed="false"/>
    <row r="1741" customFormat="false" ht="12.75" hidden="false" customHeight="true" outlineLevel="0" collapsed="false"/>
    <row r="1742" customFormat="false" ht="12.75" hidden="false" customHeight="true" outlineLevel="0" collapsed="false"/>
    <row r="1743" customFormat="false" ht="12.75" hidden="false" customHeight="true" outlineLevel="0" collapsed="false"/>
    <row r="1744" customFormat="false" ht="12.75" hidden="false" customHeight="true" outlineLevel="0" collapsed="false"/>
    <row r="1745" customFormat="false" ht="12.75" hidden="false" customHeight="true" outlineLevel="0" collapsed="false"/>
    <row r="1746" customFormat="false" ht="12.75" hidden="false" customHeight="true" outlineLevel="0" collapsed="false"/>
    <row r="1747" customFormat="false" ht="12.75" hidden="false" customHeight="true" outlineLevel="0" collapsed="false"/>
    <row r="1748" customFormat="false" ht="12.75" hidden="false" customHeight="true" outlineLevel="0" collapsed="false"/>
    <row r="1749" customFormat="false" ht="12.75" hidden="false" customHeight="true" outlineLevel="0" collapsed="false"/>
    <row r="1750" customFormat="false" ht="12.75" hidden="false" customHeight="true" outlineLevel="0" collapsed="false"/>
    <row r="1751" customFormat="false" ht="12.75" hidden="false" customHeight="true" outlineLevel="0" collapsed="false"/>
    <row r="1752" customFormat="false" ht="12.75" hidden="false" customHeight="true" outlineLevel="0" collapsed="false"/>
    <row r="1753" customFormat="false" ht="12.75" hidden="false" customHeight="true" outlineLevel="0" collapsed="false"/>
    <row r="1754" customFormat="false" ht="12.75" hidden="false" customHeight="true" outlineLevel="0" collapsed="false"/>
    <row r="1755" customFormat="false" ht="12.75" hidden="false" customHeight="true" outlineLevel="0" collapsed="false"/>
    <row r="1756" customFormat="false" ht="12.75" hidden="false" customHeight="true" outlineLevel="0" collapsed="false"/>
    <row r="1757" customFormat="false" ht="12.75" hidden="false" customHeight="true" outlineLevel="0" collapsed="false"/>
    <row r="1758" customFormat="false" ht="12.75" hidden="false" customHeight="true" outlineLevel="0" collapsed="false"/>
    <row r="1759" customFormat="false" ht="12.75" hidden="false" customHeight="true" outlineLevel="0" collapsed="false"/>
    <row r="1760" customFormat="false" ht="12.75" hidden="false" customHeight="true" outlineLevel="0" collapsed="false"/>
    <row r="1761" customFormat="false" ht="12.75" hidden="false" customHeight="true" outlineLevel="0" collapsed="false"/>
    <row r="1762" customFormat="false" ht="12.75" hidden="false" customHeight="true" outlineLevel="0" collapsed="false"/>
    <row r="1763" customFormat="false" ht="12.75" hidden="false" customHeight="true" outlineLevel="0" collapsed="false"/>
    <row r="1764" customFormat="false" ht="12.75" hidden="false" customHeight="true" outlineLevel="0" collapsed="false"/>
    <row r="1765" customFormat="false" ht="12.75" hidden="false" customHeight="true" outlineLevel="0" collapsed="false"/>
    <row r="1766" customFormat="false" ht="12.75" hidden="false" customHeight="true" outlineLevel="0" collapsed="false"/>
    <row r="1767" customFormat="false" ht="12.75" hidden="false" customHeight="true" outlineLevel="0" collapsed="false"/>
    <row r="1768" customFormat="false" ht="12.75" hidden="false" customHeight="true" outlineLevel="0" collapsed="false"/>
    <row r="1769" customFormat="false" ht="12.75" hidden="false" customHeight="true" outlineLevel="0" collapsed="false"/>
    <row r="1770" customFormat="false" ht="12.75" hidden="false" customHeight="true" outlineLevel="0" collapsed="false"/>
    <row r="1771" customFormat="false" ht="12.75" hidden="false" customHeight="true" outlineLevel="0" collapsed="false"/>
    <row r="1772" customFormat="false" ht="12.75" hidden="false" customHeight="true" outlineLevel="0" collapsed="false"/>
    <row r="1773" customFormat="false" ht="12.75" hidden="false" customHeight="true" outlineLevel="0" collapsed="false"/>
    <row r="1774" customFormat="false" ht="12.75" hidden="false" customHeight="true" outlineLevel="0" collapsed="false"/>
    <row r="1775" customFormat="false" ht="12.75" hidden="false" customHeight="true" outlineLevel="0" collapsed="false"/>
    <row r="1776" customFormat="false" ht="12.75" hidden="false" customHeight="true" outlineLevel="0" collapsed="false"/>
    <row r="1777" customFormat="false" ht="12.75" hidden="false" customHeight="true" outlineLevel="0" collapsed="false"/>
    <row r="1778" customFormat="false" ht="12.75" hidden="false" customHeight="true" outlineLevel="0" collapsed="false"/>
    <row r="1779" customFormat="false" ht="12.75" hidden="false" customHeight="true" outlineLevel="0" collapsed="false"/>
    <row r="1780" customFormat="false" ht="12.75" hidden="false" customHeight="true" outlineLevel="0" collapsed="false"/>
    <row r="1781" customFormat="false" ht="12.75" hidden="false" customHeight="true" outlineLevel="0" collapsed="false"/>
    <row r="1782" customFormat="false" ht="12.75" hidden="false" customHeight="true" outlineLevel="0" collapsed="false"/>
    <row r="1783" customFormat="false" ht="12.75" hidden="false" customHeight="true" outlineLevel="0" collapsed="false"/>
    <row r="1784" customFormat="false" ht="12.75" hidden="false" customHeight="true" outlineLevel="0" collapsed="false"/>
    <row r="1785" customFormat="false" ht="12.75" hidden="false" customHeight="true" outlineLevel="0" collapsed="false"/>
    <row r="1786" customFormat="false" ht="12.75" hidden="false" customHeight="true" outlineLevel="0" collapsed="false"/>
    <row r="1787" customFormat="false" ht="12.75" hidden="false" customHeight="true" outlineLevel="0" collapsed="false"/>
    <row r="1788" customFormat="false" ht="12.75" hidden="false" customHeight="true" outlineLevel="0" collapsed="false"/>
    <row r="1789" customFormat="false" ht="12.75" hidden="false" customHeight="true" outlineLevel="0" collapsed="false"/>
    <row r="1790" customFormat="false" ht="12.75" hidden="false" customHeight="true" outlineLevel="0" collapsed="false"/>
    <row r="1791" customFormat="false" ht="12.75" hidden="false" customHeight="true" outlineLevel="0" collapsed="false"/>
    <row r="1792" customFormat="false" ht="12.75" hidden="false" customHeight="true" outlineLevel="0" collapsed="false"/>
    <row r="1793" customFormat="false" ht="12.75" hidden="false" customHeight="true" outlineLevel="0" collapsed="false"/>
    <row r="1794" customFormat="false" ht="12.75" hidden="false" customHeight="true" outlineLevel="0" collapsed="false"/>
    <row r="1795" customFormat="false" ht="12.75" hidden="false" customHeight="true" outlineLevel="0" collapsed="false"/>
    <row r="1796" customFormat="false" ht="12.75" hidden="false" customHeight="true" outlineLevel="0" collapsed="false"/>
    <row r="1797" customFormat="false" ht="12.75" hidden="false" customHeight="true" outlineLevel="0" collapsed="false"/>
    <row r="1798" customFormat="false" ht="12.75" hidden="false" customHeight="true" outlineLevel="0" collapsed="false"/>
    <row r="1799" customFormat="false" ht="12.75" hidden="false" customHeight="true" outlineLevel="0" collapsed="false"/>
    <row r="1800" customFormat="false" ht="12.75" hidden="false" customHeight="true" outlineLevel="0" collapsed="false"/>
    <row r="1801" customFormat="false" ht="12.75" hidden="false" customHeight="true" outlineLevel="0" collapsed="false"/>
    <row r="1802" customFormat="false" ht="12.75" hidden="false" customHeight="true" outlineLevel="0" collapsed="false"/>
    <row r="1803" customFormat="false" ht="12.75" hidden="false" customHeight="true" outlineLevel="0" collapsed="false"/>
    <row r="1804" customFormat="false" ht="12.75" hidden="false" customHeight="true" outlineLevel="0" collapsed="false"/>
    <row r="1805" customFormat="false" ht="12.75" hidden="false" customHeight="true" outlineLevel="0" collapsed="false"/>
    <row r="1806" customFormat="false" ht="12.75" hidden="false" customHeight="true" outlineLevel="0" collapsed="false"/>
    <row r="1807" customFormat="false" ht="12.75" hidden="false" customHeight="true" outlineLevel="0" collapsed="false"/>
    <row r="1808" customFormat="false" ht="12.75" hidden="false" customHeight="true" outlineLevel="0" collapsed="false"/>
    <row r="1809" customFormat="false" ht="12.75" hidden="false" customHeight="true" outlineLevel="0" collapsed="false"/>
    <row r="1810" customFormat="false" ht="12.75" hidden="false" customHeight="true" outlineLevel="0" collapsed="false"/>
    <row r="1811" customFormat="false" ht="12.75" hidden="false" customHeight="true" outlineLevel="0" collapsed="false"/>
    <row r="1812" customFormat="false" ht="12.75" hidden="false" customHeight="true" outlineLevel="0" collapsed="false"/>
    <row r="1813" customFormat="false" ht="12.75" hidden="false" customHeight="true" outlineLevel="0" collapsed="false"/>
    <row r="1814" customFormat="false" ht="12.75" hidden="false" customHeight="true" outlineLevel="0" collapsed="false"/>
    <row r="1815" customFormat="false" ht="12.75" hidden="false" customHeight="true" outlineLevel="0" collapsed="false"/>
    <row r="1816" customFormat="false" ht="12.75" hidden="false" customHeight="true" outlineLevel="0" collapsed="false"/>
    <row r="1817" customFormat="false" ht="12.75" hidden="false" customHeight="true" outlineLevel="0" collapsed="false"/>
    <row r="1818" customFormat="false" ht="12.75" hidden="false" customHeight="true" outlineLevel="0" collapsed="false"/>
    <row r="1819" customFormat="false" ht="12.75" hidden="false" customHeight="true" outlineLevel="0" collapsed="false"/>
    <row r="1820" customFormat="false" ht="12.75" hidden="false" customHeight="true" outlineLevel="0" collapsed="false"/>
    <row r="1821" customFormat="false" ht="12.75" hidden="false" customHeight="true" outlineLevel="0" collapsed="false"/>
    <row r="1822" customFormat="false" ht="12.75" hidden="false" customHeight="true" outlineLevel="0" collapsed="false"/>
    <row r="1823" customFormat="false" ht="12.75" hidden="false" customHeight="true" outlineLevel="0" collapsed="false"/>
    <row r="1824" customFormat="false" ht="12.75" hidden="false" customHeight="true" outlineLevel="0" collapsed="false"/>
    <row r="1825" customFormat="false" ht="12.75" hidden="false" customHeight="true" outlineLevel="0" collapsed="false"/>
    <row r="1826" customFormat="false" ht="12.75" hidden="false" customHeight="true" outlineLevel="0" collapsed="false"/>
    <row r="1827" customFormat="false" ht="12.75" hidden="false" customHeight="true" outlineLevel="0" collapsed="false"/>
    <row r="1828" customFormat="false" ht="12.75" hidden="false" customHeight="true" outlineLevel="0" collapsed="false"/>
    <row r="1829" customFormat="false" ht="12.75" hidden="false" customHeight="true" outlineLevel="0" collapsed="false"/>
    <row r="1830" customFormat="false" ht="12.75" hidden="false" customHeight="true" outlineLevel="0" collapsed="false"/>
    <row r="1831" customFormat="false" ht="12.75" hidden="false" customHeight="true" outlineLevel="0" collapsed="false"/>
    <row r="1832" customFormat="false" ht="12.75" hidden="false" customHeight="true" outlineLevel="0" collapsed="false"/>
    <row r="1833" customFormat="false" ht="12.75" hidden="false" customHeight="true" outlineLevel="0" collapsed="false"/>
    <row r="1834" customFormat="false" ht="12.75" hidden="false" customHeight="true" outlineLevel="0" collapsed="false"/>
    <row r="1835" customFormat="false" ht="12.75" hidden="false" customHeight="true" outlineLevel="0" collapsed="false"/>
    <row r="1836" customFormat="false" ht="12.75" hidden="false" customHeight="true" outlineLevel="0" collapsed="false"/>
    <row r="1837" customFormat="false" ht="12.75" hidden="false" customHeight="true" outlineLevel="0" collapsed="false"/>
    <row r="1838" customFormat="false" ht="12.75" hidden="false" customHeight="true" outlineLevel="0" collapsed="false"/>
    <row r="1839" customFormat="false" ht="12.75" hidden="false" customHeight="true" outlineLevel="0" collapsed="false"/>
    <row r="1840" customFormat="false" ht="12.75" hidden="false" customHeight="true" outlineLevel="0" collapsed="false"/>
    <row r="1841" customFormat="false" ht="12.75" hidden="false" customHeight="true" outlineLevel="0" collapsed="false"/>
    <row r="1842" customFormat="false" ht="12.75" hidden="false" customHeight="true" outlineLevel="0" collapsed="false"/>
    <row r="1843" customFormat="false" ht="12.75" hidden="false" customHeight="true" outlineLevel="0" collapsed="false"/>
    <row r="1844" customFormat="false" ht="12.75" hidden="false" customHeight="true" outlineLevel="0" collapsed="false"/>
    <row r="1845" customFormat="false" ht="12.75" hidden="false" customHeight="true" outlineLevel="0" collapsed="false"/>
    <row r="1846" customFormat="false" ht="12.75" hidden="false" customHeight="true" outlineLevel="0" collapsed="false"/>
    <row r="1847" customFormat="false" ht="12.75" hidden="false" customHeight="true" outlineLevel="0" collapsed="false"/>
    <row r="1848" customFormat="false" ht="12.75" hidden="false" customHeight="true" outlineLevel="0" collapsed="false"/>
    <row r="1849" customFormat="false" ht="12.75" hidden="false" customHeight="true" outlineLevel="0" collapsed="false"/>
    <row r="1850" customFormat="false" ht="12.75" hidden="false" customHeight="true" outlineLevel="0" collapsed="false"/>
    <row r="1851" customFormat="false" ht="12.75" hidden="false" customHeight="true" outlineLevel="0" collapsed="false"/>
    <row r="1852" customFormat="false" ht="12.75" hidden="false" customHeight="true" outlineLevel="0" collapsed="false"/>
    <row r="1853" customFormat="false" ht="12.75" hidden="false" customHeight="true" outlineLevel="0" collapsed="false"/>
    <row r="1854" customFormat="false" ht="12.75" hidden="false" customHeight="true" outlineLevel="0" collapsed="false"/>
    <row r="1855" customFormat="false" ht="12.75" hidden="false" customHeight="true" outlineLevel="0" collapsed="false"/>
    <row r="1856" customFormat="false" ht="12.75" hidden="false" customHeight="true" outlineLevel="0" collapsed="false"/>
    <row r="1857" customFormat="false" ht="12.75" hidden="false" customHeight="true" outlineLevel="0" collapsed="false"/>
    <row r="1858" customFormat="false" ht="12.75" hidden="false" customHeight="true" outlineLevel="0" collapsed="false"/>
    <row r="1859" customFormat="false" ht="12.75" hidden="false" customHeight="true" outlineLevel="0" collapsed="false"/>
    <row r="1860" customFormat="false" ht="12.75" hidden="false" customHeight="true" outlineLevel="0" collapsed="false"/>
    <row r="1861" customFormat="false" ht="12.75" hidden="false" customHeight="true" outlineLevel="0" collapsed="false"/>
    <row r="1862" customFormat="false" ht="12.75" hidden="false" customHeight="true" outlineLevel="0" collapsed="false"/>
    <row r="1863" customFormat="false" ht="12.75" hidden="false" customHeight="true" outlineLevel="0" collapsed="false"/>
    <row r="1864" customFormat="false" ht="12.75" hidden="false" customHeight="true" outlineLevel="0" collapsed="false"/>
    <row r="1865" customFormat="false" ht="12.75" hidden="false" customHeight="true" outlineLevel="0" collapsed="false"/>
    <row r="1866" customFormat="false" ht="12.75" hidden="false" customHeight="true" outlineLevel="0" collapsed="false"/>
    <row r="1867" customFormat="false" ht="12.75" hidden="false" customHeight="true" outlineLevel="0" collapsed="false"/>
    <row r="1868" customFormat="false" ht="12.75" hidden="false" customHeight="true" outlineLevel="0" collapsed="false"/>
    <row r="1869" customFormat="false" ht="12.75" hidden="false" customHeight="true" outlineLevel="0" collapsed="false"/>
    <row r="1870" customFormat="false" ht="12.75" hidden="false" customHeight="true" outlineLevel="0" collapsed="false"/>
    <row r="1871" customFormat="false" ht="12.75" hidden="false" customHeight="true" outlineLevel="0" collapsed="false"/>
    <row r="1872" customFormat="false" ht="12.75" hidden="false" customHeight="true" outlineLevel="0" collapsed="false"/>
    <row r="1873" customFormat="false" ht="12.75" hidden="false" customHeight="true" outlineLevel="0" collapsed="false"/>
    <row r="1874" customFormat="false" ht="12.75" hidden="false" customHeight="true" outlineLevel="0" collapsed="false"/>
    <row r="1875" customFormat="false" ht="12.75" hidden="false" customHeight="true" outlineLevel="0" collapsed="false"/>
    <row r="1876" customFormat="false" ht="12.75" hidden="false" customHeight="true" outlineLevel="0" collapsed="false"/>
    <row r="1877" customFormat="false" ht="12.75" hidden="false" customHeight="true" outlineLevel="0" collapsed="false"/>
    <row r="1878" customFormat="false" ht="12.75" hidden="false" customHeight="true" outlineLevel="0" collapsed="false"/>
    <row r="1879" customFormat="false" ht="12.75" hidden="false" customHeight="true" outlineLevel="0" collapsed="false"/>
    <row r="1880" customFormat="false" ht="12.75" hidden="false" customHeight="true" outlineLevel="0" collapsed="false"/>
    <row r="1881" customFormat="false" ht="12.75" hidden="false" customHeight="true" outlineLevel="0" collapsed="false"/>
    <row r="1882" customFormat="false" ht="12.75" hidden="false" customHeight="true" outlineLevel="0" collapsed="false"/>
    <row r="1883" customFormat="false" ht="12.75" hidden="false" customHeight="true" outlineLevel="0" collapsed="false"/>
    <row r="1884" customFormat="false" ht="12.75" hidden="false" customHeight="true" outlineLevel="0" collapsed="false"/>
    <row r="1885" customFormat="false" ht="12.75" hidden="false" customHeight="true" outlineLevel="0" collapsed="false"/>
    <row r="1886" customFormat="false" ht="12.75" hidden="false" customHeight="true" outlineLevel="0" collapsed="false"/>
    <row r="1887" customFormat="false" ht="12.75" hidden="false" customHeight="true" outlineLevel="0" collapsed="false"/>
    <row r="1888" customFormat="false" ht="12.75" hidden="false" customHeight="true" outlineLevel="0" collapsed="false"/>
    <row r="1889" customFormat="false" ht="12.75" hidden="false" customHeight="true" outlineLevel="0" collapsed="false"/>
    <row r="1890" customFormat="false" ht="12.75" hidden="false" customHeight="true" outlineLevel="0" collapsed="false"/>
    <row r="1891" customFormat="false" ht="12.75" hidden="false" customHeight="true" outlineLevel="0" collapsed="false"/>
    <row r="1892" customFormat="false" ht="12.75" hidden="false" customHeight="true" outlineLevel="0" collapsed="false"/>
    <row r="1893" customFormat="false" ht="12.75" hidden="false" customHeight="true" outlineLevel="0" collapsed="false"/>
    <row r="1894" customFormat="false" ht="12.75" hidden="false" customHeight="true" outlineLevel="0" collapsed="false"/>
    <row r="1895" customFormat="false" ht="12.75" hidden="false" customHeight="true" outlineLevel="0" collapsed="false"/>
    <row r="1896" customFormat="false" ht="12.75" hidden="false" customHeight="true" outlineLevel="0" collapsed="false"/>
    <row r="1897" customFormat="false" ht="12.75" hidden="false" customHeight="true" outlineLevel="0" collapsed="false"/>
    <row r="1898" customFormat="false" ht="12.75" hidden="false" customHeight="true" outlineLevel="0" collapsed="false"/>
    <row r="1899" customFormat="false" ht="12.75" hidden="false" customHeight="true" outlineLevel="0" collapsed="false"/>
    <row r="1900" customFormat="false" ht="12.75" hidden="false" customHeight="true" outlineLevel="0" collapsed="false"/>
    <row r="1901" customFormat="false" ht="12.75" hidden="false" customHeight="true" outlineLevel="0" collapsed="false"/>
    <row r="1902" customFormat="false" ht="12.75" hidden="false" customHeight="true" outlineLevel="0" collapsed="false"/>
    <row r="1903" customFormat="false" ht="12.75" hidden="false" customHeight="true" outlineLevel="0" collapsed="false"/>
    <row r="1904" customFormat="false" ht="12.75" hidden="false" customHeight="true" outlineLevel="0" collapsed="false"/>
    <row r="1905" customFormat="false" ht="12.75" hidden="false" customHeight="true" outlineLevel="0" collapsed="false"/>
    <row r="1906" customFormat="false" ht="12.75" hidden="false" customHeight="true" outlineLevel="0" collapsed="false"/>
    <row r="1907" customFormat="false" ht="12.75" hidden="false" customHeight="true" outlineLevel="0" collapsed="false"/>
    <row r="1908" customFormat="false" ht="12.75" hidden="false" customHeight="true" outlineLevel="0" collapsed="false"/>
    <row r="1909" customFormat="false" ht="12.75" hidden="false" customHeight="true" outlineLevel="0" collapsed="false"/>
    <row r="1910" customFormat="false" ht="12.75" hidden="false" customHeight="true" outlineLevel="0" collapsed="false"/>
    <row r="1911" customFormat="false" ht="12.75" hidden="false" customHeight="true" outlineLevel="0" collapsed="false"/>
    <row r="1912" customFormat="false" ht="12.75" hidden="false" customHeight="true" outlineLevel="0" collapsed="false"/>
    <row r="1913" customFormat="false" ht="12.75" hidden="false" customHeight="true" outlineLevel="0" collapsed="false"/>
    <row r="1914" customFormat="false" ht="12.75" hidden="false" customHeight="true" outlineLevel="0" collapsed="false"/>
    <row r="1915" customFormat="false" ht="12.75" hidden="false" customHeight="true" outlineLevel="0" collapsed="false"/>
    <row r="1916" customFormat="false" ht="12.75" hidden="false" customHeight="true" outlineLevel="0" collapsed="false"/>
    <row r="1917" customFormat="false" ht="12.75" hidden="false" customHeight="true" outlineLevel="0" collapsed="false"/>
    <row r="1918" customFormat="false" ht="12.75" hidden="false" customHeight="true" outlineLevel="0" collapsed="false"/>
    <row r="1919" customFormat="false" ht="12.75" hidden="false" customHeight="true" outlineLevel="0" collapsed="false"/>
    <row r="1920" customFormat="false" ht="12.75" hidden="false" customHeight="true" outlineLevel="0" collapsed="false"/>
    <row r="1921" customFormat="false" ht="12.75" hidden="false" customHeight="true" outlineLevel="0" collapsed="false"/>
    <row r="1922" customFormat="false" ht="12.75" hidden="false" customHeight="true" outlineLevel="0" collapsed="false"/>
    <row r="1923" customFormat="false" ht="12.75" hidden="false" customHeight="true" outlineLevel="0" collapsed="false"/>
    <row r="1924" customFormat="false" ht="12.75" hidden="false" customHeight="true" outlineLevel="0" collapsed="false"/>
    <row r="1925" customFormat="false" ht="12.75" hidden="false" customHeight="true" outlineLevel="0" collapsed="false"/>
    <row r="1926" customFormat="false" ht="12.75" hidden="false" customHeight="true" outlineLevel="0" collapsed="false"/>
    <row r="1927" customFormat="false" ht="12.75" hidden="false" customHeight="true" outlineLevel="0" collapsed="false"/>
    <row r="1928" customFormat="false" ht="12.75" hidden="false" customHeight="true" outlineLevel="0" collapsed="false"/>
    <row r="1929" customFormat="false" ht="12.75" hidden="false" customHeight="true" outlineLevel="0" collapsed="false"/>
    <row r="1930" customFormat="false" ht="12.75" hidden="false" customHeight="true" outlineLevel="0" collapsed="false"/>
    <row r="1931" customFormat="false" ht="12.75" hidden="false" customHeight="true" outlineLevel="0" collapsed="false"/>
    <row r="1932" customFormat="false" ht="12.75" hidden="false" customHeight="true" outlineLevel="0" collapsed="false"/>
    <row r="1933" customFormat="false" ht="12.75" hidden="false" customHeight="true" outlineLevel="0" collapsed="false"/>
    <row r="1934" customFormat="false" ht="12.75" hidden="false" customHeight="true" outlineLevel="0" collapsed="false"/>
    <row r="1935" customFormat="false" ht="12.75" hidden="false" customHeight="true" outlineLevel="0" collapsed="false"/>
    <row r="1936" customFormat="false" ht="12.75" hidden="false" customHeight="true" outlineLevel="0" collapsed="false"/>
    <row r="1937" customFormat="false" ht="12.75" hidden="false" customHeight="true" outlineLevel="0" collapsed="false"/>
    <row r="1938" customFormat="false" ht="12.75" hidden="false" customHeight="true" outlineLevel="0" collapsed="false"/>
    <row r="1939" customFormat="false" ht="12.75" hidden="false" customHeight="true" outlineLevel="0" collapsed="false"/>
    <row r="1940" customFormat="false" ht="12.75" hidden="false" customHeight="true" outlineLevel="0" collapsed="false"/>
    <row r="1941" customFormat="false" ht="12.75" hidden="false" customHeight="true" outlineLevel="0" collapsed="false"/>
    <row r="1942" customFormat="false" ht="12.75" hidden="false" customHeight="true" outlineLevel="0" collapsed="false"/>
    <row r="1943" customFormat="false" ht="12.75" hidden="false" customHeight="true" outlineLevel="0" collapsed="false"/>
    <row r="1944" customFormat="false" ht="12.75" hidden="false" customHeight="true" outlineLevel="0" collapsed="false"/>
    <row r="1945" customFormat="false" ht="12.75" hidden="false" customHeight="true" outlineLevel="0" collapsed="false"/>
    <row r="1946" customFormat="false" ht="12.75" hidden="false" customHeight="true" outlineLevel="0" collapsed="false"/>
    <row r="1947" customFormat="false" ht="12.75" hidden="false" customHeight="true" outlineLevel="0" collapsed="false"/>
    <row r="1948" customFormat="false" ht="12.75" hidden="false" customHeight="true" outlineLevel="0" collapsed="false"/>
    <row r="1949" customFormat="false" ht="12.75" hidden="false" customHeight="true" outlineLevel="0" collapsed="false"/>
    <row r="1950" customFormat="false" ht="12.75" hidden="false" customHeight="true" outlineLevel="0" collapsed="false"/>
    <row r="1951" customFormat="false" ht="12.75" hidden="false" customHeight="true" outlineLevel="0" collapsed="false"/>
    <row r="1952" customFormat="false" ht="12.75" hidden="false" customHeight="true" outlineLevel="0" collapsed="false"/>
    <row r="1953" customFormat="false" ht="12.75" hidden="false" customHeight="true" outlineLevel="0" collapsed="false"/>
    <row r="1954" customFormat="false" ht="12.75" hidden="false" customHeight="true" outlineLevel="0" collapsed="false"/>
    <row r="1955" customFormat="false" ht="12.75" hidden="false" customHeight="true" outlineLevel="0" collapsed="false"/>
    <row r="1956" customFormat="false" ht="12.75" hidden="false" customHeight="true" outlineLevel="0" collapsed="false"/>
    <row r="1957" customFormat="false" ht="12.75" hidden="false" customHeight="true" outlineLevel="0" collapsed="false"/>
    <row r="1958" customFormat="false" ht="12.75" hidden="false" customHeight="true" outlineLevel="0" collapsed="false"/>
    <row r="1959" customFormat="false" ht="12.75" hidden="false" customHeight="true" outlineLevel="0" collapsed="false"/>
    <row r="1960" customFormat="false" ht="12.75" hidden="false" customHeight="true" outlineLevel="0" collapsed="false"/>
    <row r="1961" customFormat="false" ht="12.75" hidden="false" customHeight="true" outlineLevel="0" collapsed="false"/>
    <row r="1962" customFormat="false" ht="12.75" hidden="false" customHeight="true" outlineLevel="0" collapsed="false"/>
    <row r="1963" customFormat="false" ht="12.75" hidden="false" customHeight="true" outlineLevel="0" collapsed="false"/>
    <row r="1964" customFormat="false" ht="12.75" hidden="false" customHeight="true" outlineLevel="0" collapsed="false"/>
    <row r="1965" customFormat="false" ht="12.75" hidden="false" customHeight="true" outlineLevel="0" collapsed="false"/>
    <row r="1966" customFormat="false" ht="12.75" hidden="false" customHeight="true" outlineLevel="0" collapsed="false"/>
    <row r="1967" customFormat="false" ht="12.75" hidden="false" customHeight="true" outlineLevel="0" collapsed="false"/>
    <row r="1968" customFormat="false" ht="12.75" hidden="false" customHeight="true" outlineLevel="0" collapsed="false"/>
    <row r="1969" customFormat="false" ht="12.75" hidden="false" customHeight="true" outlineLevel="0" collapsed="false"/>
    <row r="1970" customFormat="false" ht="12.75" hidden="false" customHeight="true" outlineLevel="0" collapsed="false"/>
    <row r="1971" customFormat="false" ht="12.75" hidden="false" customHeight="true" outlineLevel="0" collapsed="false"/>
    <row r="1972" customFormat="false" ht="12.75" hidden="false" customHeight="true" outlineLevel="0" collapsed="false"/>
    <row r="1973" customFormat="false" ht="12.75" hidden="false" customHeight="true" outlineLevel="0" collapsed="false"/>
    <row r="1974" customFormat="false" ht="12.75" hidden="false" customHeight="true" outlineLevel="0" collapsed="false"/>
    <row r="1975" customFormat="false" ht="12.75" hidden="false" customHeight="true" outlineLevel="0" collapsed="false"/>
    <row r="1976" customFormat="false" ht="12.75" hidden="false" customHeight="true" outlineLevel="0" collapsed="false"/>
    <row r="1977" customFormat="false" ht="12.75" hidden="false" customHeight="true" outlineLevel="0" collapsed="false"/>
    <row r="1978" customFormat="false" ht="12.75" hidden="false" customHeight="true" outlineLevel="0" collapsed="false"/>
    <row r="1979" customFormat="false" ht="12.75" hidden="false" customHeight="true" outlineLevel="0" collapsed="false"/>
    <row r="1980" customFormat="false" ht="12.75" hidden="false" customHeight="true" outlineLevel="0" collapsed="false"/>
    <row r="1981" customFormat="false" ht="12.75" hidden="false" customHeight="true" outlineLevel="0" collapsed="false"/>
    <row r="1982" customFormat="false" ht="12.75" hidden="false" customHeight="true" outlineLevel="0" collapsed="false"/>
    <row r="1983" customFormat="false" ht="12.75" hidden="false" customHeight="true" outlineLevel="0" collapsed="false"/>
    <row r="1984" customFormat="false" ht="12.75" hidden="false" customHeight="true" outlineLevel="0" collapsed="false"/>
    <row r="1985" customFormat="false" ht="12.75" hidden="false" customHeight="true" outlineLevel="0" collapsed="false"/>
    <row r="1986" customFormat="false" ht="12.75" hidden="false" customHeight="true" outlineLevel="0" collapsed="false"/>
    <row r="1987" customFormat="false" ht="12.75" hidden="false" customHeight="true" outlineLevel="0" collapsed="false"/>
    <row r="1988" customFormat="false" ht="12.75" hidden="false" customHeight="true" outlineLevel="0" collapsed="false"/>
    <row r="1989" customFormat="false" ht="12.75" hidden="false" customHeight="true" outlineLevel="0" collapsed="false"/>
    <row r="1990" customFormat="false" ht="12.75" hidden="false" customHeight="true" outlineLevel="0" collapsed="false"/>
    <row r="1991" customFormat="false" ht="12.75" hidden="false" customHeight="true" outlineLevel="0" collapsed="false"/>
    <row r="1992" customFormat="false" ht="12.75" hidden="false" customHeight="true" outlineLevel="0" collapsed="false"/>
    <row r="1993" customFormat="false" ht="12.75" hidden="false" customHeight="true" outlineLevel="0" collapsed="false"/>
    <row r="1994" customFormat="false" ht="12.75" hidden="false" customHeight="true" outlineLevel="0" collapsed="false"/>
    <row r="1995" customFormat="false" ht="12.75" hidden="false" customHeight="true" outlineLevel="0" collapsed="false"/>
    <row r="1996" customFormat="false" ht="12.75" hidden="false" customHeight="true" outlineLevel="0" collapsed="false"/>
    <row r="1997" customFormat="false" ht="12.75" hidden="false" customHeight="true" outlineLevel="0" collapsed="false"/>
    <row r="1998" customFormat="false" ht="12.75" hidden="false" customHeight="true" outlineLevel="0" collapsed="false"/>
    <row r="1999" customFormat="false" ht="12.75" hidden="false" customHeight="true" outlineLevel="0" collapsed="false"/>
    <row r="2000" customFormat="false" ht="12.75" hidden="false" customHeight="true" outlineLevel="0" collapsed="false"/>
    <row r="2001" customFormat="false" ht="12.75" hidden="false" customHeight="true" outlineLevel="0" collapsed="false"/>
    <row r="2002" customFormat="false" ht="12.75" hidden="false" customHeight="true" outlineLevel="0" collapsed="false"/>
    <row r="2003" customFormat="false" ht="12.75" hidden="false" customHeight="true" outlineLevel="0" collapsed="false"/>
    <row r="2004" customFormat="false" ht="12.75" hidden="false" customHeight="true" outlineLevel="0" collapsed="false"/>
    <row r="2005" customFormat="false" ht="12.75" hidden="false" customHeight="true" outlineLevel="0" collapsed="false"/>
    <row r="2006" customFormat="false" ht="12.75" hidden="false" customHeight="true" outlineLevel="0" collapsed="false"/>
    <row r="2007" customFormat="false" ht="12.75" hidden="false" customHeight="true" outlineLevel="0" collapsed="false"/>
    <row r="2008" customFormat="false" ht="12.75" hidden="false" customHeight="true" outlineLevel="0" collapsed="false"/>
    <row r="2009" customFormat="false" ht="12.75" hidden="false" customHeight="true" outlineLevel="0" collapsed="false"/>
    <row r="2010" customFormat="false" ht="12.75" hidden="false" customHeight="true" outlineLevel="0" collapsed="false"/>
    <row r="2011" customFormat="false" ht="12.75" hidden="false" customHeight="true" outlineLevel="0" collapsed="false"/>
    <row r="2012" customFormat="false" ht="12.75" hidden="false" customHeight="true" outlineLevel="0" collapsed="false"/>
    <row r="2013" customFormat="false" ht="12.75" hidden="false" customHeight="true" outlineLevel="0" collapsed="false"/>
    <row r="2014" customFormat="false" ht="12.75" hidden="false" customHeight="true" outlineLevel="0" collapsed="false"/>
    <row r="2015" customFormat="false" ht="12.75" hidden="false" customHeight="true" outlineLevel="0" collapsed="false"/>
    <row r="2016" customFormat="false" ht="12.75" hidden="false" customHeight="true" outlineLevel="0" collapsed="false"/>
    <row r="2017" customFormat="false" ht="12.75" hidden="false" customHeight="true" outlineLevel="0" collapsed="false"/>
    <row r="2018" customFormat="false" ht="12.75" hidden="false" customHeight="true" outlineLevel="0" collapsed="false"/>
    <row r="2019" customFormat="false" ht="12.75" hidden="false" customHeight="true" outlineLevel="0" collapsed="false"/>
    <row r="2020" customFormat="false" ht="12.75" hidden="false" customHeight="true" outlineLevel="0" collapsed="false"/>
    <row r="2021" customFormat="false" ht="12.75" hidden="false" customHeight="true" outlineLevel="0" collapsed="false"/>
    <row r="2022" customFormat="false" ht="12.75" hidden="false" customHeight="true" outlineLevel="0" collapsed="false"/>
    <row r="2023" customFormat="false" ht="12.75" hidden="false" customHeight="true" outlineLevel="0" collapsed="false"/>
    <row r="2024" customFormat="false" ht="12.75" hidden="false" customHeight="true" outlineLevel="0" collapsed="false"/>
    <row r="2025" customFormat="false" ht="12.75" hidden="false" customHeight="true" outlineLevel="0" collapsed="false"/>
    <row r="2026" customFormat="false" ht="12.75" hidden="false" customHeight="true" outlineLevel="0" collapsed="false"/>
    <row r="2027" customFormat="false" ht="12.75" hidden="false" customHeight="true" outlineLevel="0" collapsed="false"/>
    <row r="2028" customFormat="false" ht="12.75" hidden="false" customHeight="true" outlineLevel="0" collapsed="false"/>
    <row r="2029" customFormat="false" ht="12.75" hidden="false" customHeight="true" outlineLevel="0" collapsed="false"/>
    <row r="2030" customFormat="false" ht="12.75" hidden="false" customHeight="true" outlineLevel="0" collapsed="false"/>
    <row r="2031" customFormat="false" ht="12.75" hidden="false" customHeight="true" outlineLevel="0" collapsed="false"/>
    <row r="2032" customFormat="false" ht="12.75" hidden="false" customHeight="true" outlineLevel="0" collapsed="false"/>
    <row r="2033" customFormat="false" ht="12.75" hidden="false" customHeight="true" outlineLevel="0" collapsed="false"/>
    <row r="2034" customFormat="false" ht="12.75" hidden="false" customHeight="true" outlineLevel="0" collapsed="false"/>
    <row r="2035" customFormat="false" ht="12.75" hidden="false" customHeight="true" outlineLevel="0" collapsed="false"/>
    <row r="2036" customFormat="false" ht="12.75" hidden="false" customHeight="true" outlineLevel="0" collapsed="false"/>
    <row r="2037" customFormat="false" ht="12.75" hidden="false" customHeight="true" outlineLevel="0" collapsed="false"/>
    <row r="2038" customFormat="false" ht="12.75" hidden="false" customHeight="true" outlineLevel="0" collapsed="false"/>
    <row r="2039" customFormat="false" ht="12.75" hidden="false" customHeight="true" outlineLevel="0" collapsed="false"/>
    <row r="2040" customFormat="false" ht="12.75" hidden="false" customHeight="true" outlineLevel="0" collapsed="false"/>
    <row r="2041" customFormat="false" ht="12.75" hidden="false" customHeight="true" outlineLevel="0" collapsed="false"/>
    <row r="2042" customFormat="false" ht="12.75" hidden="false" customHeight="true" outlineLevel="0" collapsed="false"/>
    <row r="2043" customFormat="false" ht="12.75" hidden="false" customHeight="true" outlineLevel="0" collapsed="false"/>
    <row r="2044" customFormat="false" ht="12.75" hidden="false" customHeight="true" outlineLevel="0" collapsed="false"/>
    <row r="2045" customFormat="false" ht="12.75" hidden="false" customHeight="true" outlineLevel="0" collapsed="false"/>
    <row r="2046" customFormat="false" ht="12.75" hidden="false" customHeight="true" outlineLevel="0" collapsed="false"/>
    <row r="2047" customFormat="false" ht="12.75" hidden="false" customHeight="true" outlineLevel="0" collapsed="false"/>
    <row r="2048" customFormat="false" ht="12.75" hidden="false" customHeight="true" outlineLevel="0" collapsed="false"/>
    <row r="2049" customFormat="false" ht="12.75" hidden="false" customHeight="true" outlineLevel="0" collapsed="false"/>
    <row r="2050" customFormat="false" ht="12.75" hidden="false" customHeight="true" outlineLevel="0" collapsed="false"/>
    <row r="2051" customFormat="false" ht="12.75" hidden="false" customHeight="true" outlineLevel="0" collapsed="false"/>
    <row r="2052" customFormat="false" ht="12.75" hidden="false" customHeight="true" outlineLevel="0" collapsed="false"/>
    <row r="2053" customFormat="false" ht="12.75" hidden="false" customHeight="true" outlineLevel="0" collapsed="false"/>
    <row r="2054" customFormat="false" ht="12.75" hidden="false" customHeight="true" outlineLevel="0" collapsed="false"/>
    <row r="2055" customFormat="false" ht="12.75" hidden="false" customHeight="true" outlineLevel="0" collapsed="false"/>
    <row r="2056" customFormat="false" ht="12.75" hidden="false" customHeight="true" outlineLevel="0" collapsed="false"/>
    <row r="2057" customFormat="false" ht="12.75" hidden="false" customHeight="true" outlineLevel="0" collapsed="false"/>
    <row r="2058" customFormat="false" ht="12.75" hidden="false" customHeight="true" outlineLevel="0" collapsed="false"/>
    <row r="2059" customFormat="false" ht="12.75" hidden="false" customHeight="true" outlineLevel="0" collapsed="false"/>
    <row r="2060" customFormat="false" ht="12.75" hidden="false" customHeight="true" outlineLevel="0" collapsed="false"/>
    <row r="2061" customFormat="false" ht="12.75" hidden="false" customHeight="true" outlineLevel="0" collapsed="false"/>
    <row r="2062" customFormat="false" ht="12.75" hidden="false" customHeight="true" outlineLevel="0" collapsed="false"/>
    <row r="2063" customFormat="false" ht="12.75" hidden="false" customHeight="true" outlineLevel="0" collapsed="false"/>
    <row r="2064" customFormat="false" ht="12.75" hidden="false" customHeight="true" outlineLevel="0" collapsed="false"/>
    <row r="2065" customFormat="false" ht="12.75" hidden="false" customHeight="true" outlineLevel="0" collapsed="false"/>
    <row r="2066" customFormat="false" ht="12.75" hidden="false" customHeight="true" outlineLevel="0" collapsed="false"/>
    <row r="2067" customFormat="false" ht="12.75" hidden="false" customHeight="true" outlineLevel="0" collapsed="false"/>
    <row r="2068" customFormat="false" ht="12.75" hidden="false" customHeight="true" outlineLevel="0" collapsed="false"/>
    <row r="2069" customFormat="false" ht="12.75" hidden="false" customHeight="true" outlineLevel="0" collapsed="false"/>
    <row r="2070" customFormat="false" ht="12.75" hidden="false" customHeight="true" outlineLevel="0" collapsed="false"/>
    <row r="2071" customFormat="false" ht="12.75" hidden="false" customHeight="true" outlineLevel="0" collapsed="false"/>
    <row r="2072" customFormat="false" ht="12.75" hidden="false" customHeight="true" outlineLevel="0" collapsed="false"/>
    <row r="2073" customFormat="false" ht="12.75" hidden="false" customHeight="true" outlineLevel="0" collapsed="false"/>
    <row r="2074" customFormat="false" ht="12.75" hidden="false" customHeight="true" outlineLevel="0" collapsed="false"/>
    <row r="2075" customFormat="false" ht="12.75" hidden="false" customHeight="true" outlineLevel="0" collapsed="false"/>
    <row r="2076" customFormat="false" ht="12.75" hidden="false" customHeight="true" outlineLevel="0" collapsed="false"/>
    <row r="2077" customFormat="false" ht="12.75" hidden="false" customHeight="true" outlineLevel="0" collapsed="false"/>
    <row r="2078" customFormat="false" ht="12.75" hidden="false" customHeight="true" outlineLevel="0" collapsed="false"/>
    <row r="2079" customFormat="false" ht="12.75" hidden="false" customHeight="true" outlineLevel="0" collapsed="false"/>
    <row r="2080" customFormat="false" ht="12.75" hidden="false" customHeight="true" outlineLevel="0" collapsed="false"/>
    <row r="2081" customFormat="false" ht="12.75" hidden="false" customHeight="true" outlineLevel="0" collapsed="false"/>
    <row r="2082" customFormat="false" ht="12.75" hidden="false" customHeight="true" outlineLevel="0" collapsed="false"/>
    <row r="2083" customFormat="false" ht="12.75" hidden="false" customHeight="true" outlineLevel="0" collapsed="false"/>
    <row r="2084" customFormat="false" ht="12.75" hidden="false" customHeight="true" outlineLevel="0" collapsed="false"/>
    <row r="2085" customFormat="false" ht="12.75" hidden="false" customHeight="true" outlineLevel="0" collapsed="false"/>
    <row r="2086" customFormat="false" ht="12.75" hidden="false" customHeight="true" outlineLevel="0" collapsed="false"/>
    <row r="2087" customFormat="false" ht="12.75" hidden="false" customHeight="true" outlineLevel="0" collapsed="false"/>
    <row r="2088" customFormat="false" ht="12.75" hidden="false" customHeight="true" outlineLevel="0" collapsed="false"/>
    <row r="2089" customFormat="false" ht="12.75" hidden="false" customHeight="true" outlineLevel="0" collapsed="false"/>
    <row r="2090" customFormat="false" ht="12.75" hidden="false" customHeight="true" outlineLevel="0" collapsed="false"/>
    <row r="2091" customFormat="false" ht="12.75" hidden="false" customHeight="true" outlineLevel="0" collapsed="false"/>
    <row r="2092" customFormat="false" ht="12.75" hidden="false" customHeight="true" outlineLevel="0" collapsed="false"/>
    <row r="2093" customFormat="false" ht="12.75" hidden="false" customHeight="true" outlineLevel="0" collapsed="false"/>
    <row r="2094" customFormat="false" ht="12.75" hidden="false" customHeight="true" outlineLevel="0" collapsed="false"/>
    <row r="2095" customFormat="false" ht="12.75" hidden="false" customHeight="true" outlineLevel="0" collapsed="false"/>
    <row r="2096" customFormat="false" ht="12.75" hidden="false" customHeight="true" outlineLevel="0" collapsed="false"/>
    <row r="2097" customFormat="false" ht="12.75" hidden="false" customHeight="true" outlineLevel="0" collapsed="false"/>
    <row r="2098" customFormat="false" ht="12.75" hidden="false" customHeight="true" outlineLevel="0" collapsed="false"/>
    <row r="2099" customFormat="false" ht="12.75" hidden="false" customHeight="true" outlineLevel="0" collapsed="false"/>
    <row r="2100" customFormat="false" ht="12.75" hidden="false" customHeight="true" outlineLevel="0" collapsed="false"/>
    <row r="2101" customFormat="false" ht="12.75" hidden="false" customHeight="true" outlineLevel="0" collapsed="false"/>
    <row r="2102" customFormat="false" ht="12.75" hidden="false" customHeight="true" outlineLevel="0" collapsed="false"/>
    <row r="2103" customFormat="false" ht="12.75" hidden="false" customHeight="true" outlineLevel="0" collapsed="false"/>
    <row r="2104" customFormat="false" ht="12.75" hidden="false" customHeight="true" outlineLevel="0" collapsed="false"/>
    <row r="2105" customFormat="false" ht="12.75" hidden="false" customHeight="true" outlineLevel="0" collapsed="false"/>
    <row r="2106" customFormat="false" ht="12.75" hidden="false" customHeight="true" outlineLevel="0" collapsed="false"/>
    <row r="2107" customFormat="false" ht="12.75" hidden="false" customHeight="true" outlineLevel="0" collapsed="false"/>
    <row r="2108" customFormat="false" ht="12.75" hidden="false" customHeight="true" outlineLevel="0" collapsed="false"/>
    <row r="2109" customFormat="false" ht="12.75" hidden="false" customHeight="true" outlineLevel="0" collapsed="false"/>
    <row r="2110" customFormat="false" ht="12.75" hidden="false" customHeight="true" outlineLevel="0" collapsed="false"/>
    <row r="2111" customFormat="false" ht="12.75" hidden="false" customHeight="true" outlineLevel="0" collapsed="false"/>
    <row r="2112" customFormat="false" ht="12.75" hidden="false" customHeight="true" outlineLevel="0" collapsed="false"/>
    <row r="2113" customFormat="false" ht="12.75" hidden="false" customHeight="true" outlineLevel="0" collapsed="false"/>
    <row r="2114" customFormat="false" ht="12.75" hidden="false" customHeight="true" outlineLevel="0" collapsed="false"/>
    <row r="2115" customFormat="false" ht="12.75" hidden="false" customHeight="true" outlineLevel="0" collapsed="false"/>
    <row r="2116" customFormat="false" ht="12.75" hidden="false" customHeight="true" outlineLevel="0" collapsed="false"/>
    <row r="2117" customFormat="false" ht="12.75" hidden="false" customHeight="true" outlineLevel="0" collapsed="false"/>
    <row r="2118" customFormat="false" ht="12.75" hidden="false" customHeight="true" outlineLevel="0" collapsed="false"/>
    <row r="2119" customFormat="false" ht="12.75" hidden="false" customHeight="true" outlineLevel="0" collapsed="false"/>
    <row r="2120" customFormat="false" ht="12.75" hidden="false" customHeight="true" outlineLevel="0" collapsed="false"/>
    <row r="2121" customFormat="false" ht="12.75" hidden="false" customHeight="true" outlineLevel="0" collapsed="false"/>
    <row r="2122" customFormat="false" ht="12.75" hidden="false" customHeight="true" outlineLevel="0" collapsed="false"/>
    <row r="2123" customFormat="false" ht="12.75" hidden="false" customHeight="true" outlineLevel="0" collapsed="false"/>
    <row r="2124" customFormat="false" ht="12.75" hidden="false" customHeight="true" outlineLevel="0" collapsed="false"/>
    <row r="2125" customFormat="false" ht="12.75" hidden="false" customHeight="true" outlineLevel="0" collapsed="false"/>
    <row r="2126" customFormat="false" ht="12.75" hidden="false" customHeight="true" outlineLevel="0" collapsed="false"/>
    <row r="2127" customFormat="false" ht="12.75" hidden="false" customHeight="true" outlineLevel="0" collapsed="false"/>
    <row r="2128" customFormat="false" ht="12.75" hidden="false" customHeight="true" outlineLevel="0" collapsed="false"/>
    <row r="2129" customFormat="false" ht="12.75" hidden="false" customHeight="true" outlineLevel="0" collapsed="false"/>
    <row r="2130" customFormat="false" ht="12.75" hidden="false" customHeight="true" outlineLevel="0" collapsed="false"/>
    <row r="2131" customFormat="false" ht="12.75" hidden="false" customHeight="true" outlineLevel="0" collapsed="false"/>
    <row r="2132" customFormat="false" ht="12.75" hidden="false" customHeight="true" outlineLevel="0" collapsed="false"/>
    <row r="2133" customFormat="false" ht="12.75" hidden="false" customHeight="true" outlineLevel="0" collapsed="false"/>
    <row r="2134" customFormat="false" ht="12.75" hidden="false" customHeight="true" outlineLevel="0" collapsed="false"/>
    <row r="2135" customFormat="false" ht="12.75" hidden="false" customHeight="true" outlineLevel="0" collapsed="false"/>
    <row r="2136" customFormat="false" ht="12.75" hidden="false" customHeight="true" outlineLevel="0" collapsed="false"/>
    <row r="2137" customFormat="false" ht="12.75" hidden="false" customHeight="true" outlineLevel="0" collapsed="false"/>
    <row r="2138" customFormat="false" ht="12.75" hidden="false" customHeight="true" outlineLevel="0" collapsed="false"/>
    <row r="2139" customFormat="false" ht="12.75" hidden="false" customHeight="true" outlineLevel="0" collapsed="false"/>
    <row r="2140" customFormat="false" ht="12.75" hidden="false" customHeight="true" outlineLevel="0" collapsed="false"/>
    <row r="2141" customFormat="false" ht="12.75" hidden="false" customHeight="true" outlineLevel="0" collapsed="false"/>
    <row r="2142" customFormat="false" ht="12.75" hidden="false" customHeight="true" outlineLevel="0" collapsed="false"/>
    <row r="2143" customFormat="false" ht="12.75" hidden="false" customHeight="true" outlineLevel="0" collapsed="false"/>
    <row r="2144" customFormat="false" ht="12.75" hidden="false" customHeight="true" outlineLevel="0" collapsed="false"/>
    <row r="2145" customFormat="false" ht="12.75" hidden="false" customHeight="true" outlineLevel="0" collapsed="false"/>
    <row r="2146" customFormat="false" ht="12.75" hidden="false" customHeight="true" outlineLevel="0" collapsed="false"/>
    <row r="2147" customFormat="false" ht="12.75" hidden="false" customHeight="true" outlineLevel="0" collapsed="false"/>
    <row r="2148" customFormat="false" ht="12.75" hidden="false" customHeight="true" outlineLevel="0" collapsed="false"/>
    <row r="2149" customFormat="false" ht="12.75" hidden="false" customHeight="true" outlineLevel="0" collapsed="false"/>
    <row r="2150" customFormat="false" ht="12.75" hidden="false" customHeight="true" outlineLevel="0" collapsed="false"/>
    <row r="2151" customFormat="false" ht="12.75" hidden="false" customHeight="true" outlineLevel="0" collapsed="false"/>
    <row r="2152" customFormat="false" ht="12.75" hidden="false" customHeight="true" outlineLevel="0" collapsed="false"/>
    <row r="2153" customFormat="false" ht="12.75" hidden="false" customHeight="true" outlineLevel="0" collapsed="false"/>
    <row r="2154" customFormat="false" ht="12.75" hidden="false" customHeight="true" outlineLevel="0" collapsed="false"/>
    <row r="2155" customFormat="false" ht="12.75" hidden="false" customHeight="true" outlineLevel="0" collapsed="false"/>
    <row r="2156" customFormat="false" ht="12.75" hidden="false" customHeight="true" outlineLevel="0" collapsed="false"/>
    <row r="2157" customFormat="false" ht="12.75" hidden="false" customHeight="true" outlineLevel="0" collapsed="false"/>
    <row r="2158" customFormat="false" ht="12.75" hidden="false" customHeight="true" outlineLevel="0" collapsed="false"/>
    <row r="2159" customFormat="false" ht="12.75" hidden="false" customHeight="true" outlineLevel="0" collapsed="false"/>
    <row r="2160" customFormat="false" ht="12.75" hidden="false" customHeight="true" outlineLevel="0" collapsed="false"/>
    <row r="2161" customFormat="false" ht="12.75" hidden="false" customHeight="true" outlineLevel="0" collapsed="false"/>
    <row r="2162" customFormat="false" ht="12.75" hidden="false" customHeight="true" outlineLevel="0" collapsed="false"/>
    <row r="2163" customFormat="false" ht="12.75" hidden="false" customHeight="true" outlineLevel="0" collapsed="false"/>
    <row r="2164" customFormat="false" ht="12.75" hidden="false" customHeight="true" outlineLevel="0" collapsed="false"/>
    <row r="2165" customFormat="false" ht="12.75" hidden="false" customHeight="true" outlineLevel="0" collapsed="false"/>
    <row r="2166" customFormat="false" ht="12.75" hidden="false" customHeight="true" outlineLevel="0" collapsed="false"/>
    <row r="2167" customFormat="false" ht="12.75" hidden="false" customHeight="true" outlineLevel="0" collapsed="false"/>
    <row r="2168" customFormat="false" ht="12.75" hidden="false" customHeight="true" outlineLevel="0" collapsed="false"/>
    <row r="2169" customFormat="false" ht="12.75" hidden="false" customHeight="true" outlineLevel="0" collapsed="false"/>
    <row r="2170" customFormat="false" ht="12.75" hidden="false" customHeight="true" outlineLevel="0" collapsed="false"/>
    <row r="2171" customFormat="false" ht="12.75" hidden="false" customHeight="true" outlineLevel="0" collapsed="false"/>
    <row r="2172" customFormat="false" ht="12.75" hidden="false" customHeight="true" outlineLevel="0" collapsed="false"/>
    <row r="2173" customFormat="false" ht="12.75" hidden="false" customHeight="true" outlineLevel="0" collapsed="false"/>
    <row r="2174" customFormat="false" ht="12.75" hidden="false" customHeight="true" outlineLevel="0" collapsed="false"/>
    <row r="2175" customFormat="false" ht="12.75" hidden="false" customHeight="true" outlineLevel="0" collapsed="false"/>
    <row r="2176" customFormat="false" ht="12.75" hidden="false" customHeight="true" outlineLevel="0" collapsed="false"/>
    <row r="2177" customFormat="false" ht="12.75" hidden="false" customHeight="true" outlineLevel="0" collapsed="false"/>
    <row r="2178" customFormat="false" ht="12.75" hidden="false" customHeight="true" outlineLevel="0" collapsed="false"/>
    <row r="2179" customFormat="false" ht="12.75" hidden="false" customHeight="true" outlineLevel="0" collapsed="false"/>
    <row r="2180" customFormat="false" ht="12.75" hidden="false" customHeight="true" outlineLevel="0" collapsed="false"/>
    <row r="2181" customFormat="false" ht="12.75" hidden="false" customHeight="true" outlineLevel="0" collapsed="false"/>
    <row r="2182" customFormat="false" ht="12.75" hidden="false" customHeight="true" outlineLevel="0" collapsed="false"/>
    <row r="2183" customFormat="false" ht="12.75" hidden="false" customHeight="true" outlineLevel="0" collapsed="false"/>
    <row r="2184" customFormat="false" ht="12.75" hidden="false" customHeight="true" outlineLevel="0" collapsed="false"/>
    <row r="2185" customFormat="false" ht="12.75" hidden="false" customHeight="true" outlineLevel="0" collapsed="false"/>
    <row r="2186" customFormat="false" ht="12.75" hidden="false" customHeight="true" outlineLevel="0" collapsed="false"/>
    <row r="2187" customFormat="false" ht="12.75" hidden="false" customHeight="true" outlineLevel="0" collapsed="false"/>
    <row r="2188" customFormat="false" ht="12.75" hidden="false" customHeight="true" outlineLevel="0" collapsed="false"/>
    <row r="2189" customFormat="false" ht="12.75" hidden="false" customHeight="true" outlineLevel="0" collapsed="false"/>
    <row r="2190" customFormat="false" ht="12.75" hidden="false" customHeight="true" outlineLevel="0" collapsed="false"/>
    <row r="2191" customFormat="false" ht="12.75" hidden="false" customHeight="true" outlineLevel="0" collapsed="false"/>
    <row r="2192" customFormat="false" ht="12.75" hidden="false" customHeight="true" outlineLevel="0" collapsed="false"/>
    <row r="2193" customFormat="false" ht="12.75" hidden="false" customHeight="true" outlineLevel="0" collapsed="false"/>
    <row r="2194" customFormat="false" ht="12.75" hidden="false" customHeight="true" outlineLevel="0" collapsed="false"/>
    <row r="2195" customFormat="false" ht="12.75" hidden="false" customHeight="true" outlineLevel="0" collapsed="false"/>
    <row r="2196" customFormat="false" ht="12.75" hidden="false" customHeight="true" outlineLevel="0" collapsed="false"/>
    <row r="2197" customFormat="false" ht="12.75" hidden="false" customHeight="true" outlineLevel="0" collapsed="false"/>
    <row r="2198" customFormat="false" ht="12.75" hidden="false" customHeight="true" outlineLevel="0" collapsed="false"/>
    <row r="2199" customFormat="false" ht="12.75" hidden="false" customHeight="true" outlineLevel="0" collapsed="false"/>
    <row r="2200" customFormat="false" ht="12.75" hidden="false" customHeight="true" outlineLevel="0" collapsed="false"/>
    <row r="2201" customFormat="false" ht="12.75" hidden="false" customHeight="true" outlineLevel="0" collapsed="false"/>
    <row r="2202" customFormat="false" ht="12.75" hidden="false" customHeight="true" outlineLevel="0" collapsed="false"/>
    <row r="2203" customFormat="false" ht="12.75" hidden="false" customHeight="true" outlineLevel="0" collapsed="false"/>
    <row r="2204" customFormat="false" ht="12.75" hidden="false" customHeight="true" outlineLevel="0" collapsed="false"/>
    <row r="2205" customFormat="false" ht="12.75" hidden="false" customHeight="true" outlineLevel="0" collapsed="false"/>
    <row r="2206" customFormat="false" ht="12.75" hidden="false" customHeight="true" outlineLevel="0" collapsed="false"/>
    <row r="2207" customFormat="false" ht="12.75" hidden="false" customHeight="true" outlineLevel="0" collapsed="false"/>
    <row r="2208" customFormat="false" ht="12.75" hidden="false" customHeight="true" outlineLevel="0" collapsed="false"/>
    <row r="2209" customFormat="false" ht="12.75" hidden="false" customHeight="true" outlineLevel="0" collapsed="false"/>
    <row r="2210" customFormat="false" ht="12.75" hidden="false" customHeight="true" outlineLevel="0" collapsed="false"/>
    <row r="2211" customFormat="false" ht="12.75" hidden="false" customHeight="true" outlineLevel="0" collapsed="false"/>
    <row r="2212" customFormat="false" ht="12.75" hidden="false" customHeight="true" outlineLevel="0" collapsed="false"/>
    <row r="2213" customFormat="false" ht="12.75" hidden="false" customHeight="true" outlineLevel="0" collapsed="false"/>
    <row r="2214" customFormat="false" ht="12.75" hidden="false" customHeight="true" outlineLevel="0" collapsed="false"/>
    <row r="2215" customFormat="false" ht="12.75" hidden="false" customHeight="true" outlineLevel="0" collapsed="false"/>
    <row r="2216" customFormat="false" ht="12.75" hidden="false" customHeight="true" outlineLevel="0" collapsed="false"/>
    <row r="2217" customFormat="false" ht="12.75" hidden="false" customHeight="true" outlineLevel="0" collapsed="false"/>
    <row r="2218" customFormat="false" ht="12.75" hidden="false" customHeight="true" outlineLevel="0" collapsed="false"/>
    <row r="2219" customFormat="false" ht="12.75" hidden="false" customHeight="true" outlineLevel="0" collapsed="false"/>
    <row r="2220" customFormat="false" ht="12.75" hidden="false" customHeight="true" outlineLevel="0" collapsed="false"/>
    <row r="2221" customFormat="false" ht="12.75" hidden="false" customHeight="true" outlineLevel="0" collapsed="false"/>
    <row r="2222" customFormat="false" ht="12.75" hidden="false" customHeight="true" outlineLevel="0" collapsed="false"/>
    <row r="2223" customFormat="false" ht="12.75" hidden="false" customHeight="true" outlineLevel="0" collapsed="false"/>
    <row r="2224" customFormat="false" ht="12.75" hidden="false" customHeight="true" outlineLevel="0" collapsed="false"/>
    <row r="2225" customFormat="false" ht="12.75" hidden="false" customHeight="true" outlineLevel="0" collapsed="false"/>
    <row r="2226" customFormat="false" ht="12.75" hidden="false" customHeight="true" outlineLevel="0" collapsed="false"/>
    <row r="2227" customFormat="false" ht="12.75" hidden="false" customHeight="true" outlineLevel="0" collapsed="false"/>
    <row r="2228" customFormat="false" ht="12.75" hidden="false" customHeight="true" outlineLevel="0" collapsed="false"/>
    <row r="2229" customFormat="false" ht="12.75" hidden="false" customHeight="true" outlineLevel="0" collapsed="false"/>
    <row r="2230" customFormat="false" ht="12.75" hidden="false" customHeight="true" outlineLevel="0" collapsed="false"/>
    <row r="2231" customFormat="false" ht="12.75" hidden="false" customHeight="true" outlineLevel="0" collapsed="false"/>
    <row r="2232" customFormat="false" ht="12.75" hidden="false" customHeight="true" outlineLevel="0" collapsed="false"/>
    <row r="2233" customFormat="false" ht="12.75" hidden="false" customHeight="true" outlineLevel="0" collapsed="false"/>
    <row r="2234" customFormat="false" ht="12.75" hidden="false" customHeight="true" outlineLevel="0" collapsed="false"/>
    <row r="2235" customFormat="false" ht="12.75" hidden="false" customHeight="true" outlineLevel="0" collapsed="false"/>
    <row r="2236" customFormat="false" ht="12.75" hidden="false" customHeight="true" outlineLevel="0" collapsed="false"/>
    <row r="2237" customFormat="false" ht="12.75" hidden="false" customHeight="true" outlineLevel="0" collapsed="false"/>
    <row r="2238" customFormat="false" ht="12.75" hidden="false" customHeight="true" outlineLevel="0" collapsed="false"/>
    <row r="2239" customFormat="false" ht="12.75" hidden="false" customHeight="true" outlineLevel="0" collapsed="false"/>
    <row r="2240" customFormat="false" ht="12.75" hidden="false" customHeight="true" outlineLevel="0" collapsed="false"/>
    <row r="2241" customFormat="false" ht="12.75" hidden="false" customHeight="true" outlineLevel="0" collapsed="false"/>
    <row r="2242" customFormat="false" ht="12.75" hidden="false" customHeight="true" outlineLevel="0" collapsed="false"/>
    <row r="2243" customFormat="false" ht="12.75" hidden="false" customHeight="true" outlineLevel="0" collapsed="false"/>
    <row r="2244" customFormat="false" ht="12.75" hidden="false" customHeight="true" outlineLevel="0" collapsed="false"/>
    <row r="2245" customFormat="false" ht="12.75" hidden="false" customHeight="true" outlineLevel="0" collapsed="false"/>
    <row r="2246" customFormat="false" ht="12.75" hidden="false" customHeight="true" outlineLevel="0" collapsed="false"/>
    <row r="2247" customFormat="false" ht="12.75" hidden="false" customHeight="true" outlineLevel="0" collapsed="false"/>
    <row r="2248" customFormat="false" ht="12.75" hidden="false" customHeight="true" outlineLevel="0" collapsed="false"/>
    <row r="2249" customFormat="false" ht="12.75" hidden="false" customHeight="true" outlineLevel="0" collapsed="false"/>
    <row r="2250" customFormat="false" ht="12.75" hidden="false" customHeight="true" outlineLevel="0" collapsed="false"/>
    <row r="2251" customFormat="false" ht="12.75" hidden="false" customHeight="true" outlineLevel="0" collapsed="false"/>
    <row r="2252" customFormat="false" ht="12.75" hidden="false" customHeight="true" outlineLevel="0" collapsed="false"/>
    <row r="2253" customFormat="false" ht="12.75" hidden="false" customHeight="true" outlineLevel="0" collapsed="false"/>
    <row r="2254" customFormat="false" ht="12.75" hidden="false" customHeight="true" outlineLevel="0" collapsed="false"/>
    <row r="2255" customFormat="false" ht="12.75" hidden="false" customHeight="true" outlineLevel="0" collapsed="false"/>
    <row r="2256" customFormat="false" ht="12.75" hidden="false" customHeight="true" outlineLevel="0" collapsed="false"/>
    <row r="2257" customFormat="false" ht="12.75" hidden="false" customHeight="true" outlineLevel="0" collapsed="false"/>
    <row r="2258" customFormat="false" ht="12.75" hidden="false" customHeight="true" outlineLevel="0" collapsed="false"/>
    <row r="2259" customFormat="false" ht="12.75" hidden="false" customHeight="true" outlineLevel="0" collapsed="false"/>
    <row r="2260" customFormat="false" ht="12.75" hidden="false" customHeight="true" outlineLevel="0" collapsed="false"/>
    <row r="2261" customFormat="false" ht="12.75" hidden="false" customHeight="true" outlineLevel="0" collapsed="false"/>
    <row r="2262" customFormat="false" ht="12.75" hidden="false" customHeight="true" outlineLevel="0" collapsed="false"/>
    <row r="2263" customFormat="false" ht="12.75" hidden="false" customHeight="true" outlineLevel="0" collapsed="false"/>
    <row r="2264" customFormat="false" ht="12.75" hidden="false" customHeight="true" outlineLevel="0" collapsed="false"/>
    <row r="2265" customFormat="false" ht="12.75" hidden="false" customHeight="true" outlineLevel="0" collapsed="false"/>
    <row r="2266" customFormat="false" ht="12.75" hidden="false" customHeight="true" outlineLevel="0" collapsed="false"/>
    <row r="2267" customFormat="false" ht="12.75" hidden="false" customHeight="true" outlineLevel="0" collapsed="false"/>
    <row r="2268" customFormat="false" ht="12.75" hidden="false" customHeight="true" outlineLevel="0" collapsed="false"/>
    <row r="2269" customFormat="false" ht="12.75" hidden="false" customHeight="true" outlineLevel="0" collapsed="false"/>
    <row r="2270" customFormat="false" ht="12.75" hidden="false" customHeight="true" outlineLevel="0" collapsed="false"/>
    <row r="2271" customFormat="false" ht="12.75" hidden="false" customHeight="true" outlineLevel="0" collapsed="false"/>
    <row r="2272" customFormat="false" ht="12.75" hidden="false" customHeight="true" outlineLevel="0" collapsed="false"/>
    <row r="2273" customFormat="false" ht="12.75" hidden="false" customHeight="true" outlineLevel="0" collapsed="false"/>
    <row r="2274" customFormat="false" ht="12.75" hidden="false" customHeight="true" outlineLevel="0" collapsed="false"/>
    <row r="2275" customFormat="false" ht="12.75" hidden="false" customHeight="true" outlineLevel="0" collapsed="false"/>
    <row r="2276" customFormat="false" ht="12.75" hidden="false" customHeight="true" outlineLevel="0" collapsed="false"/>
    <row r="2277" customFormat="false" ht="12.75" hidden="false" customHeight="true" outlineLevel="0" collapsed="false"/>
    <row r="2278" customFormat="false" ht="12.75" hidden="false" customHeight="true" outlineLevel="0" collapsed="false"/>
    <row r="2279" customFormat="false" ht="12.75" hidden="false" customHeight="true" outlineLevel="0" collapsed="false"/>
    <row r="2280" customFormat="false" ht="12.75" hidden="false" customHeight="true" outlineLevel="0" collapsed="false"/>
    <row r="2281" customFormat="false" ht="12.75" hidden="false" customHeight="true" outlineLevel="0" collapsed="false"/>
    <row r="2282" customFormat="false" ht="12.75" hidden="false" customHeight="true" outlineLevel="0" collapsed="false"/>
    <row r="2283" customFormat="false" ht="12.75" hidden="false" customHeight="true" outlineLevel="0" collapsed="false"/>
    <row r="2284" customFormat="false" ht="12.75" hidden="false" customHeight="true" outlineLevel="0" collapsed="false"/>
    <row r="2285" customFormat="false" ht="12.75" hidden="false" customHeight="true" outlineLevel="0" collapsed="false"/>
    <row r="2286" customFormat="false" ht="12.75" hidden="false" customHeight="true" outlineLevel="0" collapsed="false"/>
    <row r="2287" customFormat="false" ht="12.75" hidden="false" customHeight="true" outlineLevel="0" collapsed="false"/>
    <row r="2288" customFormat="false" ht="12.75" hidden="false" customHeight="true" outlineLevel="0" collapsed="false"/>
    <row r="2289" customFormat="false" ht="12.75" hidden="false" customHeight="true" outlineLevel="0" collapsed="false"/>
    <row r="2290" customFormat="false" ht="12.75" hidden="false" customHeight="true" outlineLevel="0" collapsed="false"/>
    <row r="2291" customFormat="false" ht="12.75" hidden="false" customHeight="true" outlineLevel="0" collapsed="false"/>
    <row r="2292" customFormat="false" ht="12.75" hidden="false" customHeight="true" outlineLevel="0" collapsed="false"/>
    <row r="2293" customFormat="false" ht="12.75" hidden="false" customHeight="true" outlineLevel="0" collapsed="false"/>
    <row r="2294" customFormat="false" ht="12.75" hidden="false" customHeight="true" outlineLevel="0" collapsed="false"/>
    <row r="2295" customFormat="false" ht="12.75" hidden="false" customHeight="true" outlineLevel="0" collapsed="false"/>
    <row r="2296" customFormat="false" ht="12.75" hidden="false" customHeight="true" outlineLevel="0" collapsed="false"/>
    <row r="2297" customFormat="false" ht="12.75" hidden="false" customHeight="true" outlineLevel="0" collapsed="false"/>
    <row r="2298" customFormat="false" ht="12.75" hidden="false" customHeight="true" outlineLevel="0" collapsed="false"/>
    <row r="2299" customFormat="false" ht="12.75" hidden="false" customHeight="true" outlineLevel="0" collapsed="false"/>
    <row r="2300" customFormat="false" ht="12.75" hidden="false" customHeight="true" outlineLevel="0" collapsed="false"/>
    <row r="2301" customFormat="false" ht="12.75" hidden="false" customHeight="true" outlineLevel="0" collapsed="false"/>
    <row r="2302" customFormat="false" ht="12.75" hidden="false" customHeight="true" outlineLevel="0" collapsed="false"/>
    <row r="2303" customFormat="false" ht="12.75" hidden="false" customHeight="true" outlineLevel="0" collapsed="false"/>
    <row r="2304" customFormat="false" ht="12.75" hidden="false" customHeight="true" outlineLevel="0" collapsed="false"/>
    <row r="2305" customFormat="false" ht="12.75" hidden="false" customHeight="true" outlineLevel="0" collapsed="false"/>
    <row r="2306" customFormat="false" ht="12.75" hidden="false" customHeight="true" outlineLevel="0" collapsed="false"/>
    <row r="2307" customFormat="false" ht="12.75" hidden="false" customHeight="true" outlineLevel="0" collapsed="false"/>
    <row r="2308" customFormat="false" ht="12.75" hidden="false" customHeight="true" outlineLevel="0" collapsed="false"/>
    <row r="2309" customFormat="false" ht="12.75" hidden="false" customHeight="true" outlineLevel="0" collapsed="false"/>
    <row r="2310" customFormat="false" ht="12.75" hidden="false" customHeight="true" outlineLevel="0" collapsed="false"/>
    <row r="2311" customFormat="false" ht="12.75" hidden="false" customHeight="true" outlineLevel="0" collapsed="false"/>
    <row r="2312" customFormat="false" ht="12.75" hidden="false" customHeight="true" outlineLevel="0" collapsed="false"/>
    <row r="2313" customFormat="false" ht="12.75" hidden="false" customHeight="true" outlineLevel="0" collapsed="false"/>
    <row r="2314" customFormat="false" ht="12.75" hidden="false" customHeight="true" outlineLevel="0" collapsed="false"/>
    <row r="2315" customFormat="false" ht="12.75" hidden="false" customHeight="true" outlineLevel="0" collapsed="false"/>
    <row r="2316" customFormat="false" ht="12.75" hidden="false" customHeight="true" outlineLevel="0" collapsed="false"/>
    <row r="2317" customFormat="false" ht="12.75" hidden="false" customHeight="true" outlineLevel="0" collapsed="false"/>
    <row r="2318" customFormat="false" ht="12.75" hidden="false" customHeight="true" outlineLevel="0" collapsed="false"/>
    <row r="2319" customFormat="false" ht="12.75" hidden="false" customHeight="true" outlineLevel="0" collapsed="false"/>
    <row r="2320" customFormat="false" ht="12.75" hidden="false" customHeight="true" outlineLevel="0" collapsed="false"/>
    <row r="2321" customFormat="false" ht="12.75" hidden="false" customHeight="true" outlineLevel="0" collapsed="false"/>
    <row r="2322" customFormat="false" ht="12.75" hidden="false" customHeight="true" outlineLevel="0" collapsed="false"/>
    <row r="2323" customFormat="false" ht="12.75" hidden="false" customHeight="true" outlineLevel="0" collapsed="false"/>
    <row r="2324" customFormat="false" ht="12.75" hidden="false" customHeight="true" outlineLevel="0" collapsed="false"/>
    <row r="2325" customFormat="false" ht="12.75" hidden="false" customHeight="true" outlineLevel="0" collapsed="false"/>
    <row r="2326" customFormat="false" ht="12.75" hidden="false" customHeight="true" outlineLevel="0" collapsed="false"/>
    <row r="2327" customFormat="false" ht="12.75" hidden="false" customHeight="true" outlineLevel="0" collapsed="false"/>
    <row r="2328" customFormat="false" ht="12.75" hidden="false" customHeight="true" outlineLevel="0" collapsed="false"/>
    <row r="2329" customFormat="false" ht="12.75" hidden="false" customHeight="true" outlineLevel="0" collapsed="false"/>
    <row r="2330" customFormat="false" ht="12.75" hidden="false" customHeight="true" outlineLevel="0" collapsed="false"/>
    <row r="2331" customFormat="false" ht="12.75" hidden="false" customHeight="true" outlineLevel="0" collapsed="false"/>
    <row r="2332" customFormat="false" ht="12.75" hidden="false" customHeight="true" outlineLevel="0" collapsed="false"/>
    <row r="2333" customFormat="false" ht="12.75" hidden="false" customHeight="true" outlineLevel="0" collapsed="false"/>
    <row r="2334" customFormat="false" ht="12.75" hidden="false" customHeight="true" outlineLevel="0" collapsed="false"/>
    <row r="2335" customFormat="false" ht="12.75" hidden="false" customHeight="true" outlineLevel="0" collapsed="false"/>
    <row r="2336" customFormat="false" ht="12.75" hidden="false" customHeight="true" outlineLevel="0" collapsed="false"/>
    <row r="2337" customFormat="false" ht="12.75" hidden="false" customHeight="true" outlineLevel="0" collapsed="false"/>
    <row r="2338" customFormat="false" ht="12.75" hidden="false" customHeight="true" outlineLevel="0" collapsed="false"/>
    <row r="2339" customFormat="false" ht="12.75" hidden="false" customHeight="true" outlineLevel="0" collapsed="false"/>
    <row r="2340" customFormat="false" ht="12.75" hidden="false" customHeight="true" outlineLevel="0" collapsed="false"/>
    <row r="2341" customFormat="false" ht="12.75" hidden="false" customHeight="true" outlineLevel="0" collapsed="false"/>
    <row r="2342" customFormat="false" ht="12.75" hidden="false" customHeight="true" outlineLevel="0" collapsed="false"/>
    <row r="2343" customFormat="false" ht="12.75" hidden="false" customHeight="true" outlineLevel="0" collapsed="false"/>
    <row r="2344" customFormat="false" ht="12.75" hidden="false" customHeight="true" outlineLevel="0" collapsed="false"/>
    <row r="2345" customFormat="false" ht="12.75" hidden="false" customHeight="true" outlineLevel="0" collapsed="false"/>
    <row r="2346" customFormat="false" ht="12.75" hidden="false" customHeight="true" outlineLevel="0" collapsed="false"/>
    <row r="2347" customFormat="false" ht="12.75" hidden="false" customHeight="true" outlineLevel="0" collapsed="false"/>
    <row r="2348" customFormat="false" ht="12.75" hidden="false" customHeight="true" outlineLevel="0" collapsed="false"/>
    <row r="2349" customFormat="false" ht="12.75" hidden="false" customHeight="true" outlineLevel="0" collapsed="false"/>
    <row r="2350" customFormat="false" ht="12.75" hidden="false" customHeight="true" outlineLevel="0" collapsed="false"/>
    <row r="2351" customFormat="false" ht="12.75" hidden="false" customHeight="true" outlineLevel="0" collapsed="false"/>
    <row r="2352" customFormat="false" ht="12.75" hidden="false" customHeight="true" outlineLevel="0" collapsed="false"/>
    <row r="2353" customFormat="false" ht="12.75" hidden="false" customHeight="true" outlineLevel="0" collapsed="false"/>
    <row r="2354" customFormat="false" ht="12.75" hidden="false" customHeight="true" outlineLevel="0" collapsed="false"/>
    <row r="2355" customFormat="false" ht="12.75" hidden="false" customHeight="true" outlineLevel="0" collapsed="false"/>
    <row r="2356" customFormat="false" ht="12.75" hidden="false" customHeight="true" outlineLevel="0" collapsed="false"/>
    <row r="2357" customFormat="false" ht="12.75" hidden="false" customHeight="true" outlineLevel="0" collapsed="false"/>
    <row r="2358" customFormat="false" ht="12.75" hidden="false" customHeight="true" outlineLevel="0" collapsed="false"/>
    <row r="2359" customFormat="false" ht="12.75" hidden="false" customHeight="true" outlineLevel="0" collapsed="false"/>
    <row r="2360" customFormat="false" ht="12.75" hidden="false" customHeight="true" outlineLevel="0" collapsed="false"/>
    <row r="2361" customFormat="false" ht="12.75" hidden="false" customHeight="true" outlineLevel="0" collapsed="false"/>
    <row r="2362" customFormat="false" ht="12.75" hidden="false" customHeight="true" outlineLevel="0" collapsed="false"/>
    <row r="2363" customFormat="false" ht="12.75" hidden="false" customHeight="true" outlineLevel="0" collapsed="false"/>
    <row r="2364" customFormat="false" ht="12.75" hidden="false" customHeight="true" outlineLevel="0" collapsed="false"/>
    <row r="2365" customFormat="false" ht="12.75" hidden="false" customHeight="true" outlineLevel="0" collapsed="false"/>
    <row r="2366" customFormat="false" ht="12.75" hidden="false" customHeight="true" outlineLevel="0" collapsed="false"/>
    <row r="2367" customFormat="false" ht="12.75" hidden="false" customHeight="true" outlineLevel="0" collapsed="false"/>
    <row r="2368" customFormat="false" ht="12.75" hidden="false" customHeight="true" outlineLevel="0" collapsed="false"/>
    <row r="2369" customFormat="false" ht="12.75" hidden="false" customHeight="true" outlineLevel="0" collapsed="false"/>
    <row r="2370" customFormat="false" ht="12.75" hidden="false" customHeight="true" outlineLevel="0" collapsed="false"/>
    <row r="2371" customFormat="false" ht="12.75" hidden="false" customHeight="true" outlineLevel="0" collapsed="false"/>
    <row r="2372" customFormat="false" ht="12.75" hidden="false" customHeight="true" outlineLevel="0" collapsed="false"/>
    <row r="2373" customFormat="false" ht="12.75" hidden="false" customHeight="true" outlineLevel="0" collapsed="false"/>
    <row r="2374" customFormat="false" ht="12.75" hidden="false" customHeight="true" outlineLevel="0" collapsed="false"/>
    <row r="2375" customFormat="false" ht="12.75" hidden="false" customHeight="true" outlineLevel="0" collapsed="false"/>
    <row r="2376" customFormat="false" ht="12.75" hidden="false" customHeight="true" outlineLevel="0" collapsed="false"/>
    <row r="2377" customFormat="false" ht="12.75" hidden="false" customHeight="true" outlineLevel="0" collapsed="false"/>
    <row r="2378" customFormat="false" ht="12.75" hidden="false" customHeight="true" outlineLevel="0" collapsed="false"/>
    <row r="2379" customFormat="false" ht="12.75" hidden="false" customHeight="true" outlineLevel="0" collapsed="false"/>
    <row r="2380" customFormat="false" ht="12.75" hidden="false" customHeight="true" outlineLevel="0" collapsed="false"/>
    <row r="2381" customFormat="false" ht="12.75" hidden="false" customHeight="true" outlineLevel="0" collapsed="false"/>
    <row r="2382" customFormat="false" ht="12.75" hidden="false" customHeight="true" outlineLevel="0" collapsed="false"/>
    <row r="2383" customFormat="false" ht="12.75" hidden="false" customHeight="true" outlineLevel="0" collapsed="false"/>
    <row r="2384" customFormat="false" ht="12.75" hidden="false" customHeight="true" outlineLevel="0" collapsed="false"/>
    <row r="2385" customFormat="false" ht="12.75" hidden="false" customHeight="true" outlineLevel="0" collapsed="false"/>
    <row r="2386" customFormat="false" ht="12.75" hidden="false" customHeight="true" outlineLevel="0" collapsed="false"/>
    <row r="2387" customFormat="false" ht="12.75" hidden="false" customHeight="true" outlineLevel="0" collapsed="false"/>
    <row r="2388" customFormat="false" ht="12.75" hidden="false" customHeight="true" outlineLevel="0" collapsed="false"/>
    <row r="2389" customFormat="false" ht="12.75" hidden="false" customHeight="true" outlineLevel="0" collapsed="false"/>
    <row r="2390" customFormat="false" ht="12.75" hidden="false" customHeight="true" outlineLevel="0" collapsed="false"/>
    <row r="2391" customFormat="false" ht="12.75" hidden="false" customHeight="true" outlineLevel="0" collapsed="false"/>
    <row r="2392" customFormat="false" ht="12.75" hidden="false" customHeight="true" outlineLevel="0" collapsed="false"/>
    <row r="2393" customFormat="false" ht="12.75" hidden="false" customHeight="true" outlineLevel="0" collapsed="false"/>
    <row r="2394" customFormat="false" ht="12.75" hidden="false" customHeight="true" outlineLevel="0" collapsed="false"/>
    <row r="2395" customFormat="false" ht="12.75" hidden="false" customHeight="true" outlineLevel="0" collapsed="false"/>
    <row r="2396" customFormat="false" ht="12.75" hidden="false" customHeight="true" outlineLevel="0" collapsed="false"/>
    <row r="2397" customFormat="false" ht="12.75" hidden="false" customHeight="true" outlineLevel="0" collapsed="false"/>
    <row r="2398" customFormat="false" ht="12.75" hidden="false" customHeight="true" outlineLevel="0" collapsed="false"/>
    <row r="2399" customFormat="false" ht="12.75" hidden="false" customHeight="true" outlineLevel="0" collapsed="false"/>
    <row r="2400" customFormat="false" ht="12.75" hidden="false" customHeight="true" outlineLevel="0" collapsed="false"/>
    <row r="2401" customFormat="false" ht="12.75" hidden="false" customHeight="true" outlineLevel="0" collapsed="false"/>
    <row r="2402" customFormat="false" ht="12.75" hidden="false" customHeight="true" outlineLevel="0" collapsed="false"/>
    <row r="2403" customFormat="false" ht="12.75" hidden="false" customHeight="true" outlineLevel="0" collapsed="false"/>
    <row r="2404" customFormat="false" ht="12.75" hidden="false" customHeight="true" outlineLevel="0" collapsed="false"/>
    <row r="2405" customFormat="false" ht="12.75" hidden="false" customHeight="true" outlineLevel="0" collapsed="false"/>
    <row r="2406" customFormat="false" ht="12.75" hidden="false" customHeight="true" outlineLevel="0" collapsed="false"/>
    <row r="2407" customFormat="false" ht="12.75" hidden="false" customHeight="true" outlineLevel="0" collapsed="false"/>
    <row r="2408" customFormat="false" ht="12.75" hidden="false" customHeight="true" outlineLevel="0" collapsed="false"/>
    <row r="2409" customFormat="false" ht="12.75" hidden="false" customHeight="true" outlineLevel="0" collapsed="false"/>
    <row r="2410" customFormat="false" ht="12.75" hidden="false" customHeight="true" outlineLevel="0" collapsed="false"/>
    <row r="2411" customFormat="false" ht="12.75" hidden="false" customHeight="true" outlineLevel="0" collapsed="false"/>
    <row r="2412" customFormat="false" ht="12.75" hidden="false" customHeight="true" outlineLevel="0" collapsed="false"/>
    <row r="2413" customFormat="false" ht="12.75" hidden="false" customHeight="true" outlineLevel="0" collapsed="false"/>
    <row r="2414" customFormat="false" ht="12.75" hidden="false" customHeight="true" outlineLevel="0" collapsed="false"/>
    <row r="2415" customFormat="false" ht="12.75" hidden="false" customHeight="true" outlineLevel="0" collapsed="false"/>
    <row r="2416" customFormat="false" ht="12.75" hidden="false" customHeight="true" outlineLevel="0" collapsed="false"/>
    <row r="2417" customFormat="false" ht="12.75" hidden="false" customHeight="true" outlineLevel="0" collapsed="false"/>
    <row r="2418" customFormat="false" ht="12.75" hidden="false" customHeight="true" outlineLevel="0" collapsed="false"/>
    <row r="2419" customFormat="false" ht="12.75" hidden="false" customHeight="true" outlineLevel="0" collapsed="false"/>
    <row r="2420" customFormat="false" ht="12.75" hidden="false" customHeight="true" outlineLevel="0" collapsed="false"/>
    <row r="2421" customFormat="false" ht="12.75" hidden="false" customHeight="true" outlineLevel="0" collapsed="false"/>
    <row r="2422" customFormat="false" ht="12.75" hidden="false" customHeight="true" outlineLevel="0" collapsed="false"/>
    <row r="2423" customFormat="false" ht="12.75" hidden="false" customHeight="true" outlineLevel="0" collapsed="false"/>
    <row r="2424" customFormat="false" ht="12.75" hidden="false" customHeight="true" outlineLevel="0" collapsed="false"/>
    <row r="2425" customFormat="false" ht="12.75" hidden="false" customHeight="true" outlineLevel="0" collapsed="false"/>
    <row r="2426" customFormat="false" ht="12.75" hidden="false" customHeight="true" outlineLevel="0" collapsed="false"/>
    <row r="2427" customFormat="false" ht="12.75" hidden="false" customHeight="true" outlineLevel="0" collapsed="false"/>
    <row r="2428" customFormat="false" ht="12.75" hidden="false" customHeight="true" outlineLevel="0" collapsed="false"/>
    <row r="2429" customFormat="false" ht="12.75" hidden="false" customHeight="true" outlineLevel="0" collapsed="false"/>
    <row r="2430" customFormat="false" ht="12.75" hidden="false" customHeight="true" outlineLevel="0" collapsed="false"/>
    <row r="2431" customFormat="false" ht="12.75" hidden="false" customHeight="true" outlineLevel="0" collapsed="false"/>
    <row r="2432" customFormat="false" ht="12.75" hidden="false" customHeight="true" outlineLevel="0" collapsed="false"/>
    <row r="2433" customFormat="false" ht="12.75" hidden="false" customHeight="true" outlineLevel="0" collapsed="false"/>
    <row r="2434" customFormat="false" ht="12.75" hidden="false" customHeight="true" outlineLevel="0" collapsed="false"/>
    <row r="2435" customFormat="false" ht="12.75" hidden="false" customHeight="true" outlineLevel="0" collapsed="false"/>
    <row r="2436" customFormat="false" ht="12.75" hidden="false" customHeight="true" outlineLevel="0" collapsed="false"/>
    <row r="2437" customFormat="false" ht="12.75" hidden="false" customHeight="true" outlineLevel="0" collapsed="false"/>
    <row r="2438" customFormat="false" ht="12.75" hidden="false" customHeight="true" outlineLevel="0" collapsed="false"/>
    <row r="2439" customFormat="false" ht="12.75" hidden="false" customHeight="true" outlineLevel="0" collapsed="false"/>
    <row r="2440" customFormat="false" ht="12.75" hidden="false" customHeight="true" outlineLevel="0" collapsed="false"/>
    <row r="2441" customFormat="false" ht="12.75" hidden="false" customHeight="true" outlineLevel="0" collapsed="false"/>
    <row r="2442" customFormat="false" ht="12.75" hidden="false" customHeight="true" outlineLevel="0" collapsed="false"/>
    <row r="2443" customFormat="false" ht="12.75" hidden="false" customHeight="true" outlineLevel="0" collapsed="false"/>
    <row r="2444" customFormat="false" ht="12.75" hidden="false" customHeight="true" outlineLevel="0" collapsed="false"/>
    <row r="2445" customFormat="false" ht="12.75" hidden="false" customHeight="true" outlineLevel="0" collapsed="false"/>
    <row r="2446" customFormat="false" ht="12.75" hidden="false" customHeight="true" outlineLevel="0" collapsed="false"/>
    <row r="2447" customFormat="false" ht="12.75" hidden="false" customHeight="true" outlineLevel="0" collapsed="false"/>
    <row r="2448" customFormat="false" ht="12.75" hidden="false" customHeight="true" outlineLevel="0" collapsed="false"/>
    <row r="2449" customFormat="false" ht="12.75" hidden="false" customHeight="true" outlineLevel="0" collapsed="false"/>
    <row r="2450" customFormat="false" ht="12.75" hidden="false" customHeight="true" outlineLevel="0" collapsed="false"/>
    <row r="2451" customFormat="false" ht="12.75" hidden="false" customHeight="true" outlineLevel="0" collapsed="false"/>
    <row r="2452" customFormat="false" ht="12.75" hidden="false" customHeight="true" outlineLevel="0" collapsed="false"/>
    <row r="2453" customFormat="false" ht="12.75" hidden="false" customHeight="true" outlineLevel="0" collapsed="false"/>
    <row r="2454" customFormat="false" ht="12.75" hidden="false" customHeight="true" outlineLevel="0" collapsed="false"/>
    <row r="2455" customFormat="false" ht="12.75" hidden="false" customHeight="true" outlineLevel="0" collapsed="false"/>
    <row r="2456" customFormat="false" ht="12.75" hidden="false" customHeight="true" outlineLevel="0" collapsed="false"/>
    <row r="2457" customFormat="false" ht="12.75" hidden="false" customHeight="true" outlineLevel="0" collapsed="false"/>
    <row r="2458" customFormat="false" ht="12.75" hidden="false" customHeight="true" outlineLevel="0" collapsed="false"/>
    <row r="2459" customFormat="false" ht="12.75" hidden="false" customHeight="true" outlineLevel="0" collapsed="false"/>
    <row r="2460" customFormat="false" ht="12.75" hidden="false" customHeight="true" outlineLevel="0" collapsed="false"/>
    <row r="2461" customFormat="false" ht="12.75" hidden="false" customHeight="true" outlineLevel="0" collapsed="false"/>
    <row r="2462" customFormat="false" ht="12.75" hidden="false" customHeight="true" outlineLevel="0" collapsed="false"/>
    <row r="2463" customFormat="false" ht="12.75" hidden="false" customHeight="true" outlineLevel="0" collapsed="false"/>
    <row r="2464" customFormat="false" ht="12.75" hidden="false" customHeight="true" outlineLevel="0" collapsed="false"/>
    <row r="2465" customFormat="false" ht="12.75" hidden="false" customHeight="true" outlineLevel="0" collapsed="false"/>
    <row r="2466" customFormat="false" ht="12.75" hidden="false" customHeight="true" outlineLevel="0" collapsed="false"/>
    <row r="2467" customFormat="false" ht="12.75" hidden="false" customHeight="true" outlineLevel="0" collapsed="false"/>
    <row r="2468" customFormat="false" ht="12.75" hidden="false" customHeight="true" outlineLevel="0" collapsed="false"/>
    <row r="2469" customFormat="false" ht="12.75" hidden="false" customHeight="true" outlineLevel="0" collapsed="false"/>
    <row r="2470" customFormat="false" ht="12.75" hidden="false" customHeight="true" outlineLevel="0" collapsed="false"/>
    <row r="2471" customFormat="false" ht="12.75" hidden="false" customHeight="true" outlineLevel="0" collapsed="false"/>
    <row r="2472" customFormat="false" ht="12.75" hidden="false" customHeight="true" outlineLevel="0" collapsed="false"/>
    <row r="2473" customFormat="false" ht="12.75" hidden="false" customHeight="true" outlineLevel="0" collapsed="false"/>
    <row r="2474" customFormat="false" ht="12.75" hidden="false" customHeight="true" outlineLevel="0" collapsed="false"/>
    <row r="2475" customFormat="false" ht="12.75" hidden="false" customHeight="true" outlineLevel="0" collapsed="false"/>
    <row r="2476" customFormat="false" ht="12.75" hidden="false" customHeight="true" outlineLevel="0" collapsed="false"/>
    <row r="2477" customFormat="false" ht="12.75" hidden="false" customHeight="true" outlineLevel="0" collapsed="false"/>
    <row r="2478" customFormat="false" ht="12.75" hidden="false" customHeight="true" outlineLevel="0" collapsed="false"/>
    <row r="2479" customFormat="false" ht="12.75" hidden="false" customHeight="true" outlineLevel="0" collapsed="false"/>
    <row r="2480" customFormat="false" ht="12.75" hidden="false" customHeight="true" outlineLevel="0" collapsed="false"/>
    <row r="2481" customFormat="false" ht="12.75" hidden="false" customHeight="true" outlineLevel="0" collapsed="false"/>
    <row r="2482" customFormat="false" ht="12.75" hidden="false" customHeight="true" outlineLevel="0" collapsed="false"/>
    <row r="2483" customFormat="false" ht="12.75" hidden="false" customHeight="true" outlineLevel="0" collapsed="false"/>
    <row r="2484" customFormat="false" ht="12.75" hidden="false" customHeight="true" outlineLevel="0" collapsed="false"/>
    <row r="2485" customFormat="false" ht="12.75" hidden="false" customHeight="true" outlineLevel="0" collapsed="false"/>
    <row r="2486" customFormat="false" ht="12.75" hidden="false" customHeight="true" outlineLevel="0" collapsed="false"/>
    <row r="2487" customFormat="false" ht="12.75" hidden="false" customHeight="true" outlineLevel="0" collapsed="false"/>
    <row r="2488" customFormat="false" ht="12.75" hidden="false" customHeight="true" outlineLevel="0" collapsed="false"/>
    <row r="2489" customFormat="false" ht="12.75" hidden="false" customHeight="true" outlineLevel="0" collapsed="false"/>
    <row r="2490" customFormat="false" ht="12.75" hidden="false" customHeight="true" outlineLevel="0" collapsed="false"/>
    <row r="2491" customFormat="false" ht="12.75" hidden="false" customHeight="true" outlineLevel="0" collapsed="false"/>
    <row r="2492" customFormat="false" ht="12.75" hidden="false" customHeight="true" outlineLevel="0" collapsed="false"/>
    <row r="2493" customFormat="false" ht="12.75" hidden="false" customHeight="true" outlineLevel="0" collapsed="false"/>
    <row r="2494" customFormat="false" ht="12.75" hidden="false" customHeight="true" outlineLevel="0" collapsed="false"/>
    <row r="2495" customFormat="false" ht="12.75" hidden="false" customHeight="true" outlineLevel="0" collapsed="false"/>
    <row r="2496" customFormat="false" ht="12.75" hidden="false" customHeight="true" outlineLevel="0" collapsed="false"/>
    <row r="2497" customFormat="false" ht="12.75" hidden="false" customHeight="true" outlineLevel="0" collapsed="false"/>
    <row r="2498" customFormat="false" ht="12.75" hidden="false" customHeight="true" outlineLevel="0" collapsed="false"/>
    <row r="2499" customFormat="false" ht="12.75" hidden="false" customHeight="true" outlineLevel="0" collapsed="false"/>
    <row r="2500" customFormat="false" ht="12.75" hidden="false" customHeight="true" outlineLevel="0" collapsed="false"/>
    <row r="2501" customFormat="false" ht="12.75" hidden="false" customHeight="true" outlineLevel="0" collapsed="false"/>
    <row r="2502" customFormat="false" ht="12.75" hidden="false" customHeight="true" outlineLevel="0" collapsed="false"/>
    <row r="2503" customFormat="false" ht="12.75" hidden="false" customHeight="true" outlineLevel="0" collapsed="false"/>
    <row r="2504" customFormat="false" ht="12.75" hidden="false" customHeight="true" outlineLevel="0" collapsed="false"/>
    <row r="2505" customFormat="false" ht="12.75" hidden="false" customHeight="true" outlineLevel="0" collapsed="false"/>
    <row r="2506" customFormat="false" ht="12.75" hidden="false" customHeight="true" outlineLevel="0" collapsed="false"/>
    <row r="2507" customFormat="false" ht="12.75" hidden="false" customHeight="true" outlineLevel="0" collapsed="false"/>
    <row r="2508" customFormat="false" ht="12.75" hidden="false" customHeight="true" outlineLevel="0" collapsed="false"/>
    <row r="2509" customFormat="false" ht="12.75" hidden="false" customHeight="true" outlineLevel="0" collapsed="false"/>
    <row r="2510" customFormat="false" ht="12.75" hidden="false" customHeight="true" outlineLevel="0" collapsed="false"/>
    <row r="2511" customFormat="false" ht="12.75" hidden="false" customHeight="true" outlineLevel="0" collapsed="false"/>
    <row r="2512" customFormat="false" ht="12.75" hidden="false" customHeight="true" outlineLevel="0" collapsed="false"/>
    <row r="2513" customFormat="false" ht="12.75" hidden="false" customHeight="true" outlineLevel="0" collapsed="false"/>
    <row r="2514" customFormat="false" ht="12.75" hidden="false" customHeight="true" outlineLevel="0" collapsed="false"/>
    <row r="2515" customFormat="false" ht="12.75" hidden="false" customHeight="true" outlineLevel="0" collapsed="false"/>
    <row r="2516" customFormat="false" ht="12.75" hidden="false" customHeight="true" outlineLevel="0" collapsed="false"/>
    <row r="2517" customFormat="false" ht="12.75" hidden="false" customHeight="true" outlineLevel="0" collapsed="false"/>
    <row r="2518" customFormat="false" ht="12.75" hidden="false" customHeight="true" outlineLevel="0" collapsed="false"/>
    <row r="2519" customFormat="false" ht="12.75" hidden="false" customHeight="true" outlineLevel="0" collapsed="false"/>
    <row r="2520" customFormat="false" ht="12.75" hidden="false" customHeight="true" outlineLevel="0" collapsed="false"/>
    <row r="2521" customFormat="false" ht="12.75" hidden="false" customHeight="true" outlineLevel="0" collapsed="false"/>
    <row r="2522" customFormat="false" ht="12.75" hidden="false" customHeight="true" outlineLevel="0" collapsed="false"/>
    <row r="2523" customFormat="false" ht="12.75" hidden="false" customHeight="true" outlineLevel="0" collapsed="false"/>
    <row r="2524" customFormat="false" ht="12.75" hidden="false" customHeight="true" outlineLevel="0" collapsed="false"/>
    <row r="2525" customFormat="false" ht="12.75" hidden="false" customHeight="true" outlineLevel="0" collapsed="false"/>
    <row r="2526" customFormat="false" ht="12.75" hidden="false" customHeight="true" outlineLevel="0" collapsed="false"/>
    <row r="2527" customFormat="false" ht="12.75" hidden="false" customHeight="true" outlineLevel="0" collapsed="false"/>
    <row r="2528" customFormat="false" ht="12.75" hidden="false" customHeight="true" outlineLevel="0" collapsed="false"/>
    <row r="2529" customFormat="false" ht="12.75" hidden="false" customHeight="true" outlineLevel="0" collapsed="false"/>
    <row r="2530" customFormat="false" ht="12.75" hidden="false" customHeight="true" outlineLevel="0" collapsed="false"/>
    <row r="2531" customFormat="false" ht="12.75" hidden="false" customHeight="true" outlineLevel="0" collapsed="false"/>
    <row r="2532" customFormat="false" ht="12.75" hidden="false" customHeight="true" outlineLevel="0" collapsed="false"/>
    <row r="2533" customFormat="false" ht="12.75" hidden="false" customHeight="true" outlineLevel="0" collapsed="false"/>
    <row r="2534" customFormat="false" ht="12.75" hidden="false" customHeight="true" outlineLevel="0" collapsed="false"/>
    <row r="2535" customFormat="false" ht="12.75" hidden="false" customHeight="true" outlineLevel="0" collapsed="false"/>
    <row r="2536" customFormat="false" ht="12.75" hidden="false" customHeight="true" outlineLevel="0" collapsed="false"/>
    <row r="2537" customFormat="false" ht="12.75" hidden="false" customHeight="true" outlineLevel="0" collapsed="false"/>
    <row r="2538" customFormat="false" ht="12.75" hidden="false" customHeight="true" outlineLevel="0" collapsed="false"/>
    <row r="2539" customFormat="false" ht="12.75" hidden="false" customHeight="true" outlineLevel="0" collapsed="false"/>
    <row r="2540" customFormat="false" ht="12.75" hidden="false" customHeight="true" outlineLevel="0" collapsed="false"/>
    <row r="2541" customFormat="false" ht="12.75" hidden="false" customHeight="true" outlineLevel="0" collapsed="false"/>
    <row r="2542" customFormat="false" ht="12.75" hidden="false" customHeight="true" outlineLevel="0" collapsed="false"/>
    <row r="2543" customFormat="false" ht="12.75" hidden="false" customHeight="true" outlineLevel="0" collapsed="false"/>
    <row r="2544" customFormat="false" ht="12.75" hidden="false" customHeight="true" outlineLevel="0" collapsed="false"/>
    <row r="2545" customFormat="false" ht="12.75" hidden="false" customHeight="true" outlineLevel="0" collapsed="false"/>
    <row r="2546" customFormat="false" ht="12.75" hidden="false" customHeight="true" outlineLevel="0" collapsed="false"/>
    <row r="2547" customFormat="false" ht="12.75" hidden="false" customHeight="true" outlineLevel="0" collapsed="false"/>
    <row r="2548" customFormat="false" ht="12.75" hidden="false" customHeight="true" outlineLevel="0" collapsed="false"/>
    <row r="2549" customFormat="false" ht="12.75" hidden="false" customHeight="true" outlineLevel="0" collapsed="false"/>
    <row r="2550" customFormat="false" ht="12.75" hidden="false" customHeight="true" outlineLevel="0" collapsed="false"/>
    <row r="2551" customFormat="false" ht="12.75" hidden="false" customHeight="true" outlineLevel="0" collapsed="false"/>
    <row r="2552" customFormat="false" ht="12.75" hidden="false" customHeight="true" outlineLevel="0" collapsed="false"/>
    <row r="2553" customFormat="false" ht="12.75" hidden="false" customHeight="true" outlineLevel="0" collapsed="false"/>
    <row r="2554" customFormat="false" ht="12.75" hidden="false" customHeight="true" outlineLevel="0" collapsed="false"/>
    <row r="2555" customFormat="false" ht="12.75" hidden="false" customHeight="true" outlineLevel="0" collapsed="false"/>
    <row r="2556" customFormat="false" ht="12.75" hidden="false" customHeight="true" outlineLevel="0" collapsed="false"/>
    <row r="2557" customFormat="false" ht="12.75" hidden="false" customHeight="true" outlineLevel="0" collapsed="false"/>
    <row r="2558" customFormat="false" ht="12.75" hidden="false" customHeight="true" outlineLevel="0" collapsed="false"/>
    <row r="2559" customFormat="false" ht="12.75" hidden="false" customHeight="true" outlineLevel="0" collapsed="false"/>
    <row r="2560" customFormat="false" ht="12.75" hidden="false" customHeight="true" outlineLevel="0" collapsed="false"/>
    <row r="2561" customFormat="false" ht="12.75" hidden="false" customHeight="true" outlineLevel="0" collapsed="false"/>
    <row r="2562" customFormat="false" ht="12.75" hidden="false" customHeight="true" outlineLevel="0" collapsed="false"/>
    <row r="2563" customFormat="false" ht="12.75" hidden="false" customHeight="true" outlineLevel="0" collapsed="false"/>
    <row r="2564" customFormat="false" ht="12.75" hidden="false" customHeight="true" outlineLevel="0" collapsed="false"/>
    <row r="2565" customFormat="false" ht="12.75" hidden="false" customHeight="true" outlineLevel="0" collapsed="false"/>
    <row r="2566" customFormat="false" ht="12.75" hidden="false" customHeight="true" outlineLevel="0" collapsed="false"/>
    <row r="2567" customFormat="false" ht="12.75" hidden="false" customHeight="true" outlineLevel="0" collapsed="false"/>
    <row r="2568" customFormat="false" ht="12.75" hidden="false" customHeight="true" outlineLevel="0" collapsed="false"/>
    <row r="2569" customFormat="false" ht="12.75" hidden="false" customHeight="true" outlineLevel="0" collapsed="false"/>
    <row r="2570" customFormat="false" ht="12.75" hidden="false" customHeight="true" outlineLevel="0" collapsed="false"/>
    <row r="2571" customFormat="false" ht="12.75" hidden="false" customHeight="true" outlineLevel="0" collapsed="false"/>
    <row r="2572" customFormat="false" ht="12.75" hidden="false" customHeight="true" outlineLevel="0" collapsed="false"/>
    <row r="2573" customFormat="false" ht="12.75" hidden="false" customHeight="true" outlineLevel="0" collapsed="false"/>
    <row r="2574" customFormat="false" ht="12.75" hidden="false" customHeight="true" outlineLevel="0" collapsed="false"/>
    <row r="2575" customFormat="false" ht="12.75" hidden="false" customHeight="true" outlineLevel="0" collapsed="false"/>
    <row r="2576" customFormat="false" ht="12.75" hidden="false" customHeight="true" outlineLevel="0" collapsed="false"/>
    <row r="2577" customFormat="false" ht="12.75" hidden="false" customHeight="true" outlineLevel="0" collapsed="false"/>
    <row r="2578" customFormat="false" ht="12.75" hidden="false" customHeight="true" outlineLevel="0" collapsed="false"/>
    <row r="2579" customFormat="false" ht="12.75" hidden="false" customHeight="true" outlineLevel="0" collapsed="false"/>
    <row r="2580" customFormat="false" ht="12.75" hidden="false" customHeight="true" outlineLevel="0" collapsed="false"/>
    <row r="2581" customFormat="false" ht="12.75" hidden="false" customHeight="true" outlineLevel="0" collapsed="false"/>
    <row r="2582" customFormat="false" ht="12.75" hidden="false" customHeight="true" outlineLevel="0" collapsed="false"/>
    <row r="2583" customFormat="false" ht="12.75" hidden="false" customHeight="true" outlineLevel="0" collapsed="false"/>
    <row r="2584" customFormat="false" ht="12.75" hidden="false" customHeight="true" outlineLevel="0" collapsed="false"/>
    <row r="2585" customFormat="false" ht="12.75" hidden="false" customHeight="true" outlineLevel="0" collapsed="false"/>
    <row r="2586" customFormat="false" ht="12.75" hidden="false" customHeight="true" outlineLevel="0" collapsed="false"/>
    <row r="2587" customFormat="false" ht="12.75" hidden="false" customHeight="true" outlineLevel="0" collapsed="false"/>
    <row r="2588" customFormat="false" ht="12.75" hidden="false" customHeight="true" outlineLevel="0" collapsed="false"/>
    <row r="2589" customFormat="false" ht="12.75" hidden="false" customHeight="true" outlineLevel="0" collapsed="false"/>
    <row r="2590" customFormat="false" ht="12.75" hidden="false" customHeight="true" outlineLevel="0" collapsed="false"/>
    <row r="2591" customFormat="false" ht="12.75" hidden="false" customHeight="true" outlineLevel="0" collapsed="false"/>
    <row r="2592" customFormat="false" ht="12.75" hidden="false" customHeight="true" outlineLevel="0" collapsed="false"/>
    <row r="2593" customFormat="false" ht="12.75" hidden="false" customHeight="true" outlineLevel="0" collapsed="false"/>
    <row r="2594" customFormat="false" ht="12.75" hidden="false" customHeight="true" outlineLevel="0" collapsed="false"/>
    <row r="2595" customFormat="false" ht="12.75" hidden="false" customHeight="true" outlineLevel="0" collapsed="false"/>
    <row r="2596" customFormat="false" ht="12.75" hidden="false" customHeight="true" outlineLevel="0" collapsed="false"/>
    <row r="2597" customFormat="false" ht="12.75" hidden="false" customHeight="true" outlineLevel="0" collapsed="false"/>
    <row r="2598" customFormat="false" ht="12.75" hidden="false" customHeight="true" outlineLevel="0" collapsed="false"/>
    <row r="2599" customFormat="false" ht="12.75" hidden="false" customHeight="true" outlineLevel="0" collapsed="false"/>
    <row r="2600" customFormat="false" ht="12.75" hidden="false" customHeight="true" outlineLevel="0" collapsed="false"/>
    <row r="2601" customFormat="false" ht="12.75" hidden="false" customHeight="true" outlineLevel="0" collapsed="false"/>
    <row r="2602" customFormat="false" ht="12.75" hidden="false" customHeight="true" outlineLevel="0" collapsed="false"/>
    <row r="2603" customFormat="false" ht="12.75" hidden="false" customHeight="true" outlineLevel="0" collapsed="false"/>
    <row r="2604" customFormat="false" ht="12.75" hidden="false" customHeight="true" outlineLevel="0" collapsed="false"/>
    <row r="2605" customFormat="false" ht="12.75" hidden="false" customHeight="true" outlineLevel="0" collapsed="false"/>
    <row r="2606" customFormat="false" ht="12.75" hidden="false" customHeight="true" outlineLevel="0" collapsed="false"/>
    <row r="2607" customFormat="false" ht="12.75" hidden="false" customHeight="true" outlineLevel="0" collapsed="false"/>
    <row r="2608" customFormat="false" ht="12.75" hidden="false" customHeight="true" outlineLevel="0" collapsed="false"/>
    <row r="2609" customFormat="false" ht="12.75" hidden="false" customHeight="true" outlineLevel="0" collapsed="false"/>
    <row r="2610" customFormat="false" ht="12.75" hidden="false" customHeight="true" outlineLevel="0" collapsed="false"/>
    <row r="2611" customFormat="false" ht="12.75" hidden="false" customHeight="true" outlineLevel="0" collapsed="false"/>
    <row r="2612" customFormat="false" ht="12.75" hidden="false" customHeight="true" outlineLevel="0" collapsed="false"/>
    <row r="2613" customFormat="false" ht="12.75" hidden="false" customHeight="true" outlineLevel="0" collapsed="false"/>
    <row r="2614" customFormat="false" ht="12.75" hidden="false" customHeight="true" outlineLevel="0" collapsed="false"/>
    <row r="2615" customFormat="false" ht="12.75" hidden="false" customHeight="true" outlineLevel="0" collapsed="false"/>
    <row r="2616" customFormat="false" ht="12.75" hidden="false" customHeight="true" outlineLevel="0" collapsed="false"/>
    <row r="2617" customFormat="false" ht="12.75" hidden="false" customHeight="true" outlineLevel="0" collapsed="false"/>
    <row r="2618" customFormat="false" ht="12.75" hidden="false" customHeight="true" outlineLevel="0" collapsed="false"/>
    <row r="2619" customFormat="false" ht="12.75" hidden="false" customHeight="true" outlineLevel="0" collapsed="false"/>
    <row r="2620" customFormat="false" ht="12.75" hidden="false" customHeight="true" outlineLevel="0" collapsed="false"/>
    <row r="2621" customFormat="false" ht="12.75" hidden="false" customHeight="true" outlineLevel="0" collapsed="false"/>
    <row r="2622" customFormat="false" ht="12.75" hidden="false" customHeight="true" outlineLevel="0" collapsed="false"/>
    <row r="2623" customFormat="false" ht="12.75" hidden="false" customHeight="true" outlineLevel="0" collapsed="false"/>
    <row r="2624" customFormat="false" ht="12.75" hidden="false" customHeight="true" outlineLevel="0" collapsed="false"/>
    <row r="2625" customFormat="false" ht="12.75" hidden="false" customHeight="true" outlineLevel="0" collapsed="false"/>
    <row r="2626" customFormat="false" ht="12.75" hidden="false" customHeight="true" outlineLevel="0" collapsed="false"/>
    <row r="2627" customFormat="false" ht="12.75" hidden="false" customHeight="true" outlineLevel="0" collapsed="false"/>
    <row r="2628" customFormat="false" ht="12.75" hidden="false" customHeight="true" outlineLevel="0" collapsed="false"/>
    <row r="2629" customFormat="false" ht="12.75" hidden="false" customHeight="true" outlineLevel="0" collapsed="false"/>
    <row r="2630" customFormat="false" ht="12.75" hidden="false" customHeight="true" outlineLevel="0" collapsed="false"/>
    <row r="2631" customFormat="false" ht="12.75" hidden="false" customHeight="true" outlineLevel="0" collapsed="false"/>
    <row r="2632" customFormat="false" ht="12.75" hidden="false" customHeight="true" outlineLevel="0" collapsed="false"/>
    <row r="2633" customFormat="false" ht="12.75" hidden="false" customHeight="true" outlineLevel="0" collapsed="false"/>
    <row r="2634" customFormat="false" ht="12.75" hidden="false" customHeight="true" outlineLevel="0" collapsed="false"/>
    <row r="2635" customFormat="false" ht="12.75" hidden="false" customHeight="true" outlineLevel="0" collapsed="false"/>
    <row r="2636" customFormat="false" ht="12.75" hidden="false" customHeight="true" outlineLevel="0" collapsed="false"/>
    <row r="2637" customFormat="false" ht="12.75" hidden="false" customHeight="true" outlineLevel="0" collapsed="false"/>
    <row r="2638" customFormat="false" ht="12.75" hidden="false" customHeight="true" outlineLevel="0" collapsed="false"/>
    <row r="2639" customFormat="false" ht="12.75" hidden="false" customHeight="true" outlineLevel="0" collapsed="false"/>
    <row r="2640" customFormat="false" ht="12.75" hidden="false" customHeight="true" outlineLevel="0" collapsed="false"/>
    <row r="2641" customFormat="false" ht="12.75" hidden="false" customHeight="true" outlineLevel="0" collapsed="false"/>
    <row r="2642" customFormat="false" ht="12.75" hidden="false" customHeight="true" outlineLevel="0" collapsed="false"/>
    <row r="2643" customFormat="false" ht="12.75" hidden="false" customHeight="true" outlineLevel="0" collapsed="false"/>
    <row r="2644" customFormat="false" ht="12.75" hidden="false" customHeight="true" outlineLevel="0" collapsed="false"/>
    <row r="2645" customFormat="false" ht="12.75" hidden="false" customHeight="true" outlineLevel="0" collapsed="false"/>
    <row r="2646" customFormat="false" ht="12.75" hidden="false" customHeight="true" outlineLevel="0" collapsed="false"/>
    <row r="2647" customFormat="false" ht="12.75" hidden="false" customHeight="true" outlineLevel="0" collapsed="false"/>
    <row r="2648" customFormat="false" ht="12.75" hidden="false" customHeight="true" outlineLevel="0" collapsed="false"/>
    <row r="2649" customFormat="false" ht="12.75" hidden="false" customHeight="true" outlineLevel="0" collapsed="false"/>
    <row r="2650" customFormat="false" ht="12.75" hidden="false" customHeight="true" outlineLevel="0" collapsed="false"/>
    <row r="2651" customFormat="false" ht="12.75" hidden="false" customHeight="true" outlineLevel="0" collapsed="false"/>
    <row r="2652" customFormat="false" ht="12.75" hidden="false" customHeight="true" outlineLevel="0" collapsed="false"/>
    <row r="2653" customFormat="false" ht="12.75" hidden="false" customHeight="true" outlineLevel="0" collapsed="false"/>
    <row r="2654" customFormat="false" ht="12.75" hidden="false" customHeight="true" outlineLevel="0" collapsed="false"/>
    <row r="2655" customFormat="false" ht="12.75" hidden="false" customHeight="true" outlineLevel="0" collapsed="false"/>
    <row r="2656" customFormat="false" ht="12.75" hidden="false" customHeight="true" outlineLevel="0" collapsed="false"/>
    <row r="2657" customFormat="false" ht="12.75" hidden="false" customHeight="true" outlineLevel="0" collapsed="false"/>
    <row r="2658" customFormat="false" ht="12.75" hidden="false" customHeight="true" outlineLevel="0" collapsed="false"/>
    <row r="2659" customFormat="false" ht="12.75" hidden="false" customHeight="true" outlineLevel="0" collapsed="false"/>
    <row r="2660" customFormat="false" ht="12.75" hidden="false" customHeight="true" outlineLevel="0" collapsed="false"/>
    <row r="2661" customFormat="false" ht="12.75" hidden="false" customHeight="true" outlineLevel="0" collapsed="false"/>
    <row r="2662" customFormat="false" ht="12.75" hidden="false" customHeight="true" outlineLevel="0" collapsed="false"/>
    <row r="2663" customFormat="false" ht="12.75" hidden="false" customHeight="true" outlineLevel="0" collapsed="false"/>
    <row r="2664" customFormat="false" ht="12.75" hidden="false" customHeight="true" outlineLevel="0" collapsed="false"/>
    <row r="2665" customFormat="false" ht="12.75" hidden="false" customHeight="true" outlineLevel="0" collapsed="false"/>
    <row r="2666" customFormat="false" ht="12.75" hidden="false" customHeight="true" outlineLevel="0" collapsed="false"/>
    <row r="2667" customFormat="false" ht="12.75" hidden="false" customHeight="true" outlineLevel="0" collapsed="false"/>
    <row r="2668" customFormat="false" ht="12.75" hidden="false" customHeight="true" outlineLevel="0" collapsed="false"/>
    <row r="2669" customFormat="false" ht="12.75" hidden="false" customHeight="true" outlineLevel="0" collapsed="false"/>
    <row r="2670" customFormat="false" ht="12.75" hidden="false" customHeight="true" outlineLevel="0" collapsed="false"/>
    <row r="2671" customFormat="false" ht="12.75" hidden="false" customHeight="true" outlineLevel="0" collapsed="false"/>
    <row r="2672" customFormat="false" ht="12.75" hidden="false" customHeight="true" outlineLevel="0" collapsed="false"/>
    <row r="2673" customFormat="false" ht="12.75" hidden="false" customHeight="true" outlineLevel="0" collapsed="false"/>
    <row r="2674" customFormat="false" ht="12.75" hidden="false" customHeight="true" outlineLevel="0" collapsed="false"/>
    <row r="2675" customFormat="false" ht="12.75" hidden="false" customHeight="true" outlineLevel="0" collapsed="false"/>
    <row r="2676" customFormat="false" ht="12.75" hidden="false" customHeight="true" outlineLevel="0" collapsed="false"/>
    <row r="2677" customFormat="false" ht="12.75" hidden="false" customHeight="true" outlineLevel="0" collapsed="false"/>
    <row r="2678" customFormat="false" ht="12.75" hidden="false" customHeight="true" outlineLevel="0" collapsed="false"/>
    <row r="2679" customFormat="false" ht="12.75" hidden="false" customHeight="true" outlineLevel="0" collapsed="false"/>
    <row r="2680" customFormat="false" ht="12.75" hidden="false" customHeight="true" outlineLevel="0" collapsed="false"/>
    <row r="2681" customFormat="false" ht="12.75" hidden="false" customHeight="true" outlineLevel="0" collapsed="false"/>
    <row r="2682" customFormat="false" ht="12.75" hidden="false" customHeight="true" outlineLevel="0" collapsed="false"/>
    <row r="2683" customFormat="false" ht="12.75" hidden="false" customHeight="true" outlineLevel="0" collapsed="false"/>
    <row r="2684" customFormat="false" ht="12.75" hidden="false" customHeight="true" outlineLevel="0" collapsed="false"/>
    <row r="2685" customFormat="false" ht="12.75" hidden="false" customHeight="true" outlineLevel="0" collapsed="false"/>
    <row r="2686" customFormat="false" ht="12.75" hidden="false" customHeight="true" outlineLevel="0" collapsed="false"/>
    <row r="2687" customFormat="false" ht="12.75" hidden="false" customHeight="true" outlineLevel="0" collapsed="false"/>
    <row r="2688" customFormat="false" ht="12.75" hidden="false" customHeight="true" outlineLevel="0" collapsed="false"/>
    <row r="2689" customFormat="false" ht="12.75" hidden="false" customHeight="true" outlineLevel="0" collapsed="false"/>
    <row r="2690" customFormat="false" ht="12.75" hidden="false" customHeight="true" outlineLevel="0" collapsed="false"/>
    <row r="2691" customFormat="false" ht="12.75" hidden="false" customHeight="true" outlineLevel="0" collapsed="false"/>
    <row r="2692" customFormat="false" ht="12.75" hidden="false" customHeight="true" outlineLevel="0" collapsed="false"/>
    <row r="2693" customFormat="false" ht="12.75" hidden="false" customHeight="true" outlineLevel="0" collapsed="false"/>
    <row r="2694" customFormat="false" ht="12.75" hidden="false" customHeight="true" outlineLevel="0" collapsed="false"/>
    <row r="2695" customFormat="false" ht="12.75" hidden="false" customHeight="true" outlineLevel="0" collapsed="false"/>
    <row r="2696" customFormat="false" ht="12.75" hidden="false" customHeight="true" outlineLevel="0" collapsed="false"/>
    <row r="2697" customFormat="false" ht="12.75" hidden="false" customHeight="true" outlineLevel="0" collapsed="false"/>
    <row r="2698" customFormat="false" ht="12.75" hidden="false" customHeight="true" outlineLevel="0" collapsed="false"/>
    <row r="2699" customFormat="false" ht="12.75" hidden="false" customHeight="true" outlineLevel="0" collapsed="false"/>
    <row r="2700" customFormat="false" ht="12.75" hidden="false" customHeight="true" outlineLevel="0" collapsed="false"/>
    <row r="2701" customFormat="false" ht="12.75" hidden="false" customHeight="true" outlineLevel="0" collapsed="false"/>
    <row r="2702" customFormat="false" ht="12.75" hidden="false" customHeight="true" outlineLevel="0" collapsed="false"/>
    <row r="2703" customFormat="false" ht="12.75" hidden="false" customHeight="true" outlineLevel="0" collapsed="false"/>
    <row r="2704" customFormat="false" ht="12.75" hidden="false" customHeight="true" outlineLevel="0" collapsed="false"/>
    <row r="2705" customFormat="false" ht="12.75" hidden="false" customHeight="true" outlineLevel="0" collapsed="false"/>
    <row r="2706" customFormat="false" ht="12.75" hidden="false" customHeight="true" outlineLevel="0" collapsed="false"/>
    <row r="2707" customFormat="false" ht="12.75" hidden="false" customHeight="true" outlineLevel="0" collapsed="false"/>
    <row r="2708" customFormat="false" ht="12.75" hidden="false" customHeight="true" outlineLevel="0" collapsed="false"/>
    <row r="2709" customFormat="false" ht="12.75" hidden="false" customHeight="true" outlineLevel="0" collapsed="false"/>
    <row r="2710" customFormat="false" ht="12.75" hidden="false" customHeight="true" outlineLevel="0" collapsed="false"/>
    <row r="2711" customFormat="false" ht="12.75" hidden="false" customHeight="true" outlineLevel="0" collapsed="false"/>
    <row r="2712" customFormat="false" ht="12.75" hidden="false" customHeight="true" outlineLevel="0" collapsed="false"/>
    <row r="2713" customFormat="false" ht="12.75" hidden="false" customHeight="true" outlineLevel="0" collapsed="false"/>
    <row r="2714" customFormat="false" ht="12.75" hidden="false" customHeight="true" outlineLevel="0" collapsed="false"/>
    <row r="2715" customFormat="false" ht="12.75" hidden="false" customHeight="true" outlineLevel="0" collapsed="false"/>
    <row r="2716" customFormat="false" ht="12.75" hidden="false" customHeight="true" outlineLevel="0" collapsed="false"/>
    <row r="2717" customFormat="false" ht="12.75" hidden="false" customHeight="true" outlineLevel="0" collapsed="false"/>
    <row r="2718" customFormat="false" ht="12.75" hidden="false" customHeight="true" outlineLevel="0" collapsed="false"/>
    <row r="2719" customFormat="false" ht="12.75" hidden="false" customHeight="true" outlineLevel="0" collapsed="false"/>
    <row r="2720" customFormat="false" ht="12.75" hidden="false" customHeight="true" outlineLevel="0" collapsed="false"/>
    <row r="2721" customFormat="false" ht="12.75" hidden="false" customHeight="true" outlineLevel="0" collapsed="false"/>
    <row r="2722" customFormat="false" ht="12.75" hidden="false" customHeight="true" outlineLevel="0" collapsed="false"/>
    <row r="2723" customFormat="false" ht="12.75" hidden="false" customHeight="true" outlineLevel="0" collapsed="false"/>
    <row r="2724" customFormat="false" ht="12.75" hidden="false" customHeight="true" outlineLevel="0" collapsed="false"/>
    <row r="2725" customFormat="false" ht="12.75" hidden="false" customHeight="true" outlineLevel="0" collapsed="false"/>
    <row r="2726" customFormat="false" ht="12.75" hidden="false" customHeight="true" outlineLevel="0" collapsed="false"/>
    <row r="2727" customFormat="false" ht="12.75" hidden="false" customHeight="true" outlineLevel="0" collapsed="false"/>
    <row r="2728" customFormat="false" ht="12.75" hidden="false" customHeight="true" outlineLevel="0" collapsed="false"/>
    <row r="2729" customFormat="false" ht="12.75" hidden="false" customHeight="true" outlineLevel="0" collapsed="false"/>
    <row r="2730" customFormat="false" ht="12.75" hidden="false" customHeight="true" outlineLevel="0" collapsed="false"/>
    <row r="2731" customFormat="false" ht="12.75" hidden="false" customHeight="true" outlineLevel="0" collapsed="false"/>
    <row r="2732" customFormat="false" ht="12.75" hidden="false" customHeight="true" outlineLevel="0" collapsed="false"/>
    <row r="2733" customFormat="false" ht="12.75" hidden="false" customHeight="true" outlineLevel="0" collapsed="false"/>
    <row r="2734" customFormat="false" ht="12.75" hidden="false" customHeight="true" outlineLevel="0" collapsed="false"/>
    <row r="2735" customFormat="false" ht="12.75" hidden="false" customHeight="true" outlineLevel="0" collapsed="false"/>
    <row r="2736" customFormat="false" ht="12.75" hidden="false" customHeight="true" outlineLevel="0" collapsed="false"/>
    <row r="2737" customFormat="false" ht="12.75" hidden="false" customHeight="true" outlineLevel="0" collapsed="false"/>
    <row r="2738" customFormat="false" ht="12.75" hidden="false" customHeight="true" outlineLevel="0" collapsed="false"/>
    <row r="2739" customFormat="false" ht="12.75" hidden="false" customHeight="true" outlineLevel="0" collapsed="false"/>
    <row r="2740" customFormat="false" ht="12.75" hidden="false" customHeight="true" outlineLevel="0" collapsed="false"/>
    <row r="2741" customFormat="false" ht="12.75" hidden="false" customHeight="true" outlineLevel="0" collapsed="false"/>
    <row r="2742" customFormat="false" ht="12.75" hidden="false" customHeight="true" outlineLevel="0" collapsed="false"/>
    <row r="2743" customFormat="false" ht="12.75" hidden="false" customHeight="true" outlineLevel="0" collapsed="false"/>
    <row r="2744" customFormat="false" ht="12.75" hidden="false" customHeight="true" outlineLevel="0" collapsed="false"/>
    <row r="2745" customFormat="false" ht="12.75" hidden="false" customHeight="true" outlineLevel="0" collapsed="false"/>
    <row r="2746" customFormat="false" ht="12.75" hidden="false" customHeight="true" outlineLevel="0" collapsed="false"/>
    <row r="2747" customFormat="false" ht="12.75" hidden="false" customHeight="true" outlineLevel="0" collapsed="false"/>
    <row r="2748" customFormat="false" ht="12.75" hidden="false" customHeight="true" outlineLevel="0" collapsed="false"/>
    <row r="2749" customFormat="false" ht="12.75" hidden="false" customHeight="true" outlineLevel="0" collapsed="false"/>
    <row r="2750" customFormat="false" ht="12.75" hidden="false" customHeight="true" outlineLevel="0" collapsed="false"/>
    <row r="2751" customFormat="false" ht="12.75" hidden="false" customHeight="true" outlineLevel="0" collapsed="false"/>
    <row r="2752" customFormat="false" ht="12.75" hidden="false" customHeight="true" outlineLevel="0" collapsed="false"/>
    <row r="2753" customFormat="false" ht="12.75" hidden="false" customHeight="true" outlineLevel="0" collapsed="false"/>
    <row r="2754" customFormat="false" ht="12.75" hidden="false" customHeight="true" outlineLevel="0" collapsed="false"/>
    <row r="2755" customFormat="false" ht="12.75" hidden="false" customHeight="true" outlineLevel="0" collapsed="false"/>
    <row r="2756" customFormat="false" ht="12.75" hidden="false" customHeight="true" outlineLevel="0" collapsed="false"/>
    <row r="2757" customFormat="false" ht="12.75" hidden="false" customHeight="true" outlineLevel="0" collapsed="false"/>
    <row r="2758" customFormat="false" ht="12.75" hidden="false" customHeight="true" outlineLevel="0" collapsed="false"/>
    <row r="2759" customFormat="false" ht="12.75" hidden="false" customHeight="true" outlineLevel="0" collapsed="false"/>
    <row r="2760" customFormat="false" ht="12.75" hidden="false" customHeight="true" outlineLevel="0" collapsed="false"/>
    <row r="2761" customFormat="false" ht="12.75" hidden="false" customHeight="true" outlineLevel="0" collapsed="false"/>
    <row r="2762" customFormat="false" ht="12.75" hidden="false" customHeight="true" outlineLevel="0" collapsed="false"/>
    <row r="2763" customFormat="false" ht="12.75" hidden="false" customHeight="true" outlineLevel="0" collapsed="false"/>
    <row r="2764" customFormat="false" ht="12.75" hidden="false" customHeight="true" outlineLevel="0" collapsed="false"/>
    <row r="2765" customFormat="false" ht="12.75" hidden="false" customHeight="true" outlineLevel="0" collapsed="false"/>
    <row r="2766" customFormat="false" ht="12.75" hidden="false" customHeight="true" outlineLevel="0" collapsed="false"/>
    <row r="2767" customFormat="false" ht="12.75" hidden="false" customHeight="true" outlineLevel="0" collapsed="false"/>
    <row r="2768" customFormat="false" ht="12.75" hidden="false" customHeight="true" outlineLevel="0" collapsed="false"/>
    <row r="2769" customFormat="false" ht="12.75" hidden="false" customHeight="true" outlineLevel="0" collapsed="false"/>
    <row r="2770" customFormat="false" ht="12.75" hidden="false" customHeight="true" outlineLevel="0" collapsed="false"/>
    <row r="2771" customFormat="false" ht="12.75" hidden="false" customHeight="true" outlineLevel="0" collapsed="false"/>
    <row r="2772" customFormat="false" ht="12.75" hidden="false" customHeight="true" outlineLevel="0" collapsed="false"/>
    <row r="2773" customFormat="false" ht="12.75" hidden="false" customHeight="true" outlineLevel="0" collapsed="false"/>
    <row r="2774" customFormat="false" ht="12.75" hidden="false" customHeight="true" outlineLevel="0" collapsed="false"/>
    <row r="2775" customFormat="false" ht="12.75" hidden="false" customHeight="true" outlineLevel="0" collapsed="false"/>
    <row r="2776" customFormat="false" ht="12.75" hidden="false" customHeight="true" outlineLevel="0" collapsed="false"/>
    <row r="2777" customFormat="false" ht="12.75" hidden="false" customHeight="true" outlineLevel="0" collapsed="false"/>
    <row r="2778" customFormat="false" ht="12.75" hidden="false" customHeight="true" outlineLevel="0" collapsed="false"/>
    <row r="2779" customFormat="false" ht="12.75" hidden="false" customHeight="true" outlineLevel="0" collapsed="false"/>
    <row r="2780" customFormat="false" ht="12.75" hidden="false" customHeight="true" outlineLevel="0" collapsed="false"/>
    <row r="2781" customFormat="false" ht="12.75" hidden="false" customHeight="true" outlineLevel="0" collapsed="false"/>
    <row r="2782" customFormat="false" ht="12.75" hidden="false" customHeight="true" outlineLevel="0" collapsed="false"/>
    <row r="2783" customFormat="false" ht="12.75" hidden="false" customHeight="true" outlineLevel="0" collapsed="false"/>
    <row r="2784" customFormat="false" ht="12.75" hidden="false" customHeight="true" outlineLevel="0" collapsed="false"/>
    <row r="2785" customFormat="false" ht="12.75" hidden="false" customHeight="true" outlineLevel="0" collapsed="false"/>
    <row r="2786" customFormat="false" ht="12.75" hidden="false" customHeight="true" outlineLevel="0" collapsed="false"/>
    <row r="2787" customFormat="false" ht="12.75" hidden="false" customHeight="true" outlineLevel="0" collapsed="false"/>
    <row r="2788" customFormat="false" ht="12.75" hidden="false" customHeight="true" outlineLevel="0" collapsed="false"/>
    <row r="2789" customFormat="false" ht="12.75" hidden="false" customHeight="true" outlineLevel="0" collapsed="false"/>
    <row r="2790" customFormat="false" ht="12.75" hidden="false" customHeight="true" outlineLevel="0" collapsed="false"/>
    <row r="2791" customFormat="false" ht="12.75" hidden="false" customHeight="true" outlineLevel="0" collapsed="false"/>
    <row r="2792" customFormat="false" ht="12.75" hidden="false" customHeight="true" outlineLevel="0" collapsed="false"/>
    <row r="2793" customFormat="false" ht="12.75" hidden="false" customHeight="true" outlineLevel="0" collapsed="false"/>
    <row r="2794" customFormat="false" ht="12.75" hidden="false" customHeight="true" outlineLevel="0" collapsed="false"/>
    <row r="2795" customFormat="false" ht="12.75" hidden="false" customHeight="true" outlineLevel="0" collapsed="false"/>
    <row r="2796" customFormat="false" ht="12.75" hidden="false" customHeight="true" outlineLevel="0" collapsed="false"/>
    <row r="2797" customFormat="false" ht="12.75" hidden="false" customHeight="true" outlineLevel="0" collapsed="false"/>
    <row r="2798" customFormat="false" ht="12.75" hidden="false" customHeight="true" outlineLevel="0" collapsed="false"/>
    <row r="2799" customFormat="false" ht="12.75" hidden="false" customHeight="true" outlineLevel="0" collapsed="false"/>
    <row r="2800" customFormat="false" ht="12.75" hidden="false" customHeight="true" outlineLevel="0" collapsed="false"/>
    <row r="2801" customFormat="false" ht="12.75" hidden="false" customHeight="true" outlineLevel="0" collapsed="false"/>
    <row r="2802" customFormat="false" ht="12.75" hidden="false" customHeight="true" outlineLevel="0" collapsed="false"/>
    <row r="2803" customFormat="false" ht="12.75" hidden="false" customHeight="true" outlineLevel="0" collapsed="false"/>
    <row r="2804" customFormat="false" ht="12.75" hidden="false" customHeight="true" outlineLevel="0" collapsed="false"/>
    <row r="2805" customFormat="false" ht="12.75" hidden="false" customHeight="true" outlineLevel="0" collapsed="false"/>
    <row r="2806" customFormat="false" ht="12.75" hidden="false" customHeight="true" outlineLevel="0" collapsed="false"/>
    <row r="2807" customFormat="false" ht="12.75" hidden="false" customHeight="true" outlineLevel="0" collapsed="false"/>
    <row r="2808" customFormat="false" ht="12.75" hidden="false" customHeight="true" outlineLevel="0" collapsed="false"/>
    <row r="2809" customFormat="false" ht="12.75" hidden="false" customHeight="true" outlineLevel="0" collapsed="false"/>
    <row r="2810" customFormat="false" ht="12.75" hidden="false" customHeight="true" outlineLevel="0" collapsed="false"/>
    <row r="2811" customFormat="false" ht="12.75" hidden="false" customHeight="true" outlineLevel="0" collapsed="false"/>
    <row r="2812" customFormat="false" ht="12.75" hidden="false" customHeight="true" outlineLevel="0" collapsed="false"/>
    <row r="2813" customFormat="false" ht="12.75" hidden="false" customHeight="true" outlineLevel="0" collapsed="false"/>
    <row r="2814" customFormat="false" ht="12.75" hidden="false" customHeight="true" outlineLevel="0" collapsed="false"/>
    <row r="2815" customFormat="false" ht="12.75" hidden="false" customHeight="true" outlineLevel="0" collapsed="false"/>
    <row r="2816" customFormat="false" ht="12.75" hidden="false" customHeight="true" outlineLevel="0" collapsed="false"/>
    <row r="2817" customFormat="false" ht="12.75" hidden="false" customHeight="true" outlineLevel="0" collapsed="false"/>
    <row r="2818" customFormat="false" ht="12.75" hidden="false" customHeight="true" outlineLevel="0" collapsed="false"/>
    <row r="2819" customFormat="false" ht="12.75" hidden="false" customHeight="true" outlineLevel="0" collapsed="false"/>
    <row r="2820" customFormat="false" ht="12.75" hidden="false" customHeight="true" outlineLevel="0" collapsed="false"/>
    <row r="2821" customFormat="false" ht="12.75" hidden="false" customHeight="true" outlineLevel="0" collapsed="false"/>
    <row r="2822" customFormat="false" ht="12.75" hidden="false" customHeight="true" outlineLevel="0" collapsed="false"/>
    <row r="2823" customFormat="false" ht="12.75" hidden="false" customHeight="true" outlineLevel="0" collapsed="false"/>
    <row r="2824" customFormat="false" ht="12.75" hidden="false" customHeight="true" outlineLevel="0" collapsed="false"/>
    <row r="2825" customFormat="false" ht="12.75" hidden="false" customHeight="true" outlineLevel="0" collapsed="false"/>
    <row r="2826" customFormat="false" ht="12.75" hidden="false" customHeight="true" outlineLevel="0" collapsed="false"/>
    <row r="2827" customFormat="false" ht="12.75" hidden="false" customHeight="true" outlineLevel="0" collapsed="false"/>
    <row r="2828" customFormat="false" ht="12.75" hidden="false" customHeight="true" outlineLevel="0" collapsed="false"/>
    <row r="2829" customFormat="false" ht="12.75" hidden="false" customHeight="true" outlineLevel="0" collapsed="false"/>
    <row r="2830" customFormat="false" ht="12.75" hidden="false" customHeight="true" outlineLevel="0" collapsed="false"/>
    <row r="2831" customFormat="false" ht="12.75" hidden="false" customHeight="true" outlineLevel="0" collapsed="false"/>
    <row r="2832" customFormat="false" ht="12.75" hidden="false" customHeight="true" outlineLevel="0" collapsed="false"/>
    <row r="2833" customFormat="false" ht="12.75" hidden="false" customHeight="true" outlineLevel="0" collapsed="false"/>
    <row r="2834" customFormat="false" ht="12.75" hidden="false" customHeight="true" outlineLevel="0" collapsed="false"/>
    <row r="2835" customFormat="false" ht="12.75" hidden="false" customHeight="true" outlineLevel="0" collapsed="false"/>
    <row r="2836" customFormat="false" ht="12.75" hidden="false" customHeight="true" outlineLevel="0" collapsed="false"/>
    <row r="2837" customFormat="false" ht="12.75" hidden="false" customHeight="true" outlineLevel="0" collapsed="false"/>
    <row r="2838" customFormat="false" ht="12.75" hidden="false" customHeight="true" outlineLevel="0" collapsed="false"/>
    <row r="2839" customFormat="false" ht="12.75" hidden="false" customHeight="true" outlineLevel="0" collapsed="false"/>
    <row r="2840" customFormat="false" ht="12.75" hidden="false" customHeight="true" outlineLevel="0" collapsed="false"/>
    <row r="2841" customFormat="false" ht="12.75" hidden="false" customHeight="true" outlineLevel="0" collapsed="false"/>
    <row r="2842" customFormat="false" ht="12.75" hidden="false" customHeight="true" outlineLevel="0" collapsed="false"/>
    <row r="2843" customFormat="false" ht="12.75" hidden="false" customHeight="true" outlineLevel="0" collapsed="false"/>
    <row r="2844" customFormat="false" ht="12.75" hidden="false" customHeight="true" outlineLevel="0" collapsed="false"/>
    <row r="2845" customFormat="false" ht="12.75" hidden="false" customHeight="true" outlineLevel="0" collapsed="false"/>
    <row r="2846" customFormat="false" ht="12.75" hidden="false" customHeight="true" outlineLevel="0" collapsed="false"/>
    <row r="2847" customFormat="false" ht="12.75" hidden="false" customHeight="true" outlineLevel="0" collapsed="false"/>
    <row r="2848" customFormat="false" ht="12.75" hidden="false" customHeight="true" outlineLevel="0" collapsed="false"/>
    <row r="2849" customFormat="false" ht="12.75" hidden="false" customHeight="true" outlineLevel="0" collapsed="false"/>
    <row r="2850" customFormat="false" ht="12.75" hidden="false" customHeight="true" outlineLevel="0" collapsed="false"/>
    <row r="2851" customFormat="false" ht="12.75" hidden="false" customHeight="true" outlineLevel="0" collapsed="false"/>
    <row r="2852" customFormat="false" ht="12.75" hidden="false" customHeight="true" outlineLevel="0" collapsed="false"/>
    <row r="2853" customFormat="false" ht="12.75" hidden="false" customHeight="true" outlineLevel="0" collapsed="false"/>
    <row r="2854" customFormat="false" ht="12.75" hidden="false" customHeight="true" outlineLevel="0" collapsed="false"/>
    <row r="2855" customFormat="false" ht="12.75" hidden="false" customHeight="true" outlineLevel="0" collapsed="false"/>
    <row r="2856" customFormat="false" ht="12.75" hidden="false" customHeight="true" outlineLevel="0" collapsed="false"/>
    <row r="2857" customFormat="false" ht="12.75" hidden="false" customHeight="true" outlineLevel="0" collapsed="false"/>
    <row r="2858" customFormat="false" ht="12.75" hidden="false" customHeight="true" outlineLevel="0" collapsed="false"/>
    <row r="2859" customFormat="false" ht="12.75" hidden="false" customHeight="true" outlineLevel="0" collapsed="false"/>
    <row r="2860" customFormat="false" ht="12.75" hidden="false" customHeight="true" outlineLevel="0" collapsed="false"/>
    <row r="2861" customFormat="false" ht="12.75" hidden="false" customHeight="true" outlineLevel="0" collapsed="false"/>
    <row r="2862" customFormat="false" ht="12.75" hidden="false" customHeight="true" outlineLevel="0" collapsed="false"/>
    <row r="2863" customFormat="false" ht="12.75" hidden="false" customHeight="true" outlineLevel="0" collapsed="false"/>
    <row r="2864" customFormat="false" ht="12.75" hidden="false" customHeight="true" outlineLevel="0" collapsed="false"/>
    <row r="2865" customFormat="false" ht="12.75" hidden="false" customHeight="true" outlineLevel="0" collapsed="false"/>
    <row r="2866" customFormat="false" ht="12.75" hidden="false" customHeight="true" outlineLevel="0" collapsed="false"/>
    <row r="2867" customFormat="false" ht="12.75" hidden="false" customHeight="true" outlineLevel="0" collapsed="false"/>
    <row r="2868" customFormat="false" ht="12.75" hidden="false" customHeight="true" outlineLevel="0" collapsed="false"/>
    <row r="2869" customFormat="false" ht="12.75" hidden="false" customHeight="true" outlineLevel="0" collapsed="false"/>
    <row r="2870" customFormat="false" ht="12.75" hidden="false" customHeight="true" outlineLevel="0" collapsed="false"/>
    <row r="2871" customFormat="false" ht="12.75" hidden="false" customHeight="true" outlineLevel="0" collapsed="false"/>
    <row r="2872" customFormat="false" ht="12.75" hidden="false" customHeight="true" outlineLevel="0" collapsed="false"/>
    <row r="2873" customFormat="false" ht="12.75" hidden="false" customHeight="true" outlineLevel="0" collapsed="false"/>
    <row r="2874" customFormat="false" ht="12.75" hidden="false" customHeight="true" outlineLevel="0" collapsed="false"/>
    <row r="2875" customFormat="false" ht="12.75" hidden="false" customHeight="true" outlineLevel="0" collapsed="false"/>
    <row r="2876" customFormat="false" ht="12.75" hidden="false" customHeight="true" outlineLevel="0" collapsed="false"/>
    <row r="2877" customFormat="false" ht="12.75" hidden="false" customHeight="true" outlineLevel="0" collapsed="false"/>
    <row r="2878" customFormat="false" ht="12.75" hidden="false" customHeight="true" outlineLevel="0" collapsed="false"/>
    <row r="2879" customFormat="false" ht="12.75" hidden="false" customHeight="true" outlineLevel="0" collapsed="false"/>
    <row r="2880" customFormat="false" ht="12.75" hidden="false" customHeight="true" outlineLevel="0" collapsed="false"/>
    <row r="2881" customFormat="false" ht="12.75" hidden="false" customHeight="true" outlineLevel="0" collapsed="false"/>
    <row r="2882" customFormat="false" ht="12.75" hidden="false" customHeight="true" outlineLevel="0" collapsed="false"/>
    <row r="2883" customFormat="false" ht="12.75" hidden="false" customHeight="true" outlineLevel="0" collapsed="false"/>
    <row r="2884" customFormat="false" ht="12.75" hidden="false" customHeight="true" outlineLevel="0" collapsed="false"/>
    <row r="2885" customFormat="false" ht="12.75" hidden="false" customHeight="true" outlineLevel="0" collapsed="false"/>
    <row r="2886" customFormat="false" ht="12.75" hidden="false" customHeight="true" outlineLevel="0" collapsed="false"/>
    <row r="2887" customFormat="false" ht="12.75" hidden="false" customHeight="true" outlineLevel="0" collapsed="false"/>
    <row r="2888" customFormat="false" ht="12.75" hidden="false" customHeight="true" outlineLevel="0" collapsed="false"/>
    <row r="2889" customFormat="false" ht="12.75" hidden="false" customHeight="true" outlineLevel="0" collapsed="false"/>
    <row r="2890" customFormat="false" ht="12.75" hidden="false" customHeight="true" outlineLevel="0" collapsed="false"/>
    <row r="2891" customFormat="false" ht="12.75" hidden="false" customHeight="true" outlineLevel="0" collapsed="false"/>
    <row r="2892" customFormat="false" ht="12.75" hidden="false" customHeight="true" outlineLevel="0" collapsed="false"/>
    <row r="2893" customFormat="false" ht="12.75" hidden="false" customHeight="true" outlineLevel="0" collapsed="false"/>
    <row r="2894" customFormat="false" ht="12.75" hidden="false" customHeight="true" outlineLevel="0" collapsed="false"/>
    <row r="2895" customFormat="false" ht="12.75" hidden="false" customHeight="true" outlineLevel="0" collapsed="false"/>
    <row r="2896" customFormat="false" ht="12.75" hidden="false" customHeight="true" outlineLevel="0" collapsed="false"/>
    <row r="2897" customFormat="false" ht="12.75" hidden="false" customHeight="true" outlineLevel="0" collapsed="false"/>
    <row r="2898" customFormat="false" ht="12.75" hidden="false" customHeight="true" outlineLevel="0" collapsed="false"/>
    <row r="2899" customFormat="false" ht="12.75" hidden="false" customHeight="true" outlineLevel="0" collapsed="false"/>
    <row r="2900" customFormat="false" ht="12.75" hidden="false" customHeight="true" outlineLevel="0" collapsed="false"/>
    <row r="2901" customFormat="false" ht="12.75" hidden="false" customHeight="true" outlineLevel="0" collapsed="false"/>
    <row r="2902" customFormat="false" ht="12.75" hidden="false" customHeight="true" outlineLevel="0" collapsed="false"/>
    <row r="2903" customFormat="false" ht="12.75" hidden="false" customHeight="true" outlineLevel="0" collapsed="false"/>
    <row r="2904" customFormat="false" ht="12.75" hidden="false" customHeight="true" outlineLevel="0" collapsed="false"/>
    <row r="2905" customFormat="false" ht="12.75" hidden="false" customHeight="true" outlineLevel="0" collapsed="false"/>
    <row r="2906" customFormat="false" ht="12.75" hidden="false" customHeight="true" outlineLevel="0" collapsed="false"/>
    <row r="2907" customFormat="false" ht="12.75" hidden="false" customHeight="true" outlineLevel="0" collapsed="false"/>
    <row r="2908" customFormat="false" ht="12.75" hidden="false" customHeight="true" outlineLevel="0" collapsed="false"/>
    <row r="2909" customFormat="false" ht="12.75" hidden="false" customHeight="true" outlineLevel="0" collapsed="false"/>
    <row r="2910" customFormat="false" ht="12.75" hidden="false" customHeight="true" outlineLevel="0" collapsed="false"/>
    <row r="2911" customFormat="false" ht="12.75" hidden="false" customHeight="true" outlineLevel="0" collapsed="false"/>
    <row r="2912" customFormat="false" ht="12.75" hidden="false" customHeight="true" outlineLevel="0" collapsed="false"/>
    <row r="2913" customFormat="false" ht="12.75" hidden="false" customHeight="true" outlineLevel="0" collapsed="false"/>
    <row r="2914" customFormat="false" ht="12.75" hidden="false" customHeight="true" outlineLevel="0" collapsed="false"/>
    <row r="2915" customFormat="false" ht="12.75" hidden="false" customHeight="true" outlineLevel="0" collapsed="false"/>
    <row r="2916" customFormat="false" ht="12.75" hidden="false" customHeight="true" outlineLevel="0" collapsed="false"/>
    <row r="2917" customFormat="false" ht="12.75" hidden="false" customHeight="true" outlineLevel="0" collapsed="false"/>
    <row r="2918" customFormat="false" ht="12.75" hidden="false" customHeight="true" outlineLevel="0" collapsed="false"/>
    <row r="2919" customFormat="false" ht="12.75" hidden="false" customHeight="true" outlineLevel="0" collapsed="false"/>
    <row r="2920" customFormat="false" ht="12.75" hidden="false" customHeight="true" outlineLevel="0" collapsed="false"/>
    <row r="2921" customFormat="false" ht="12.75" hidden="false" customHeight="true" outlineLevel="0" collapsed="false"/>
    <row r="2922" customFormat="false" ht="12.75" hidden="false" customHeight="true" outlineLevel="0" collapsed="false"/>
    <row r="2923" customFormat="false" ht="12.75" hidden="false" customHeight="true" outlineLevel="0" collapsed="false"/>
    <row r="2924" customFormat="false" ht="12.75" hidden="false" customHeight="true" outlineLevel="0" collapsed="false"/>
    <row r="2925" customFormat="false" ht="12.75" hidden="false" customHeight="true" outlineLevel="0" collapsed="false"/>
    <row r="2926" customFormat="false" ht="12.75" hidden="false" customHeight="true" outlineLevel="0" collapsed="false"/>
    <row r="2927" customFormat="false" ht="12.75" hidden="false" customHeight="true" outlineLevel="0" collapsed="false"/>
    <row r="2928" customFormat="false" ht="12.75" hidden="false" customHeight="true" outlineLevel="0" collapsed="false"/>
    <row r="2929" customFormat="false" ht="12.75" hidden="false" customHeight="true" outlineLevel="0" collapsed="false"/>
    <row r="2930" customFormat="false" ht="12.75" hidden="false" customHeight="true" outlineLevel="0" collapsed="false"/>
    <row r="2931" customFormat="false" ht="12.75" hidden="false" customHeight="true" outlineLevel="0" collapsed="false"/>
    <row r="2932" customFormat="false" ht="12.75" hidden="false" customHeight="true" outlineLevel="0" collapsed="false"/>
    <row r="2933" customFormat="false" ht="12.75" hidden="false" customHeight="true" outlineLevel="0" collapsed="false"/>
    <row r="2934" customFormat="false" ht="12.75" hidden="false" customHeight="true" outlineLevel="0" collapsed="false"/>
    <row r="2935" customFormat="false" ht="12.75" hidden="false" customHeight="true" outlineLevel="0" collapsed="false"/>
    <row r="2936" customFormat="false" ht="12.75" hidden="false" customHeight="true" outlineLevel="0" collapsed="false"/>
    <row r="2937" customFormat="false" ht="12.75" hidden="false" customHeight="true" outlineLevel="0" collapsed="false"/>
    <row r="2938" customFormat="false" ht="12.75" hidden="false" customHeight="true" outlineLevel="0" collapsed="false"/>
    <row r="2939" customFormat="false" ht="12.75" hidden="false" customHeight="true" outlineLevel="0" collapsed="false"/>
    <row r="2940" customFormat="false" ht="12.75" hidden="false" customHeight="true" outlineLevel="0" collapsed="false"/>
    <row r="2941" customFormat="false" ht="12.75" hidden="false" customHeight="true" outlineLevel="0" collapsed="false"/>
    <row r="2942" customFormat="false" ht="12.75" hidden="false" customHeight="true" outlineLevel="0" collapsed="false"/>
    <row r="2943" customFormat="false" ht="12.75" hidden="false" customHeight="true" outlineLevel="0" collapsed="false"/>
    <row r="2944" customFormat="false" ht="12.75" hidden="false" customHeight="true" outlineLevel="0" collapsed="false"/>
    <row r="2945" customFormat="false" ht="12.75" hidden="false" customHeight="true" outlineLevel="0" collapsed="false"/>
    <row r="2946" customFormat="false" ht="12.75" hidden="false" customHeight="true" outlineLevel="0" collapsed="false"/>
    <row r="2947" customFormat="false" ht="12.75" hidden="false" customHeight="true" outlineLevel="0" collapsed="false"/>
    <row r="2948" customFormat="false" ht="12.75" hidden="false" customHeight="true" outlineLevel="0" collapsed="false"/>
    <row r="2949" customFormat="false" ht="12.75" hidden="false" customHeight="true" outlineLevel="0" collapsed="false"/>
    <row r="2950" customFormat="false" ht="12.75" hidden="false" customHeight="true" outlineLevel="0" collapsed="false"/>
    <row r="2951" customFormat="false" ht="12.75" hidden="false" customHeight="true" outlineLevel="0" collapsed="false"/>
    <row r="2952" customFormat="false" ht="12.75" hidden="false" customHeight="true" outlineLevel="0" collapsed="false"/>
    <row r="2953" customFormat="false" ht="12.75" hidden="false" customHeight="true" outlineLevel="0" collapsed="false"/>
    <row r="2954" customFormat="false" ht="12.75" hidden="false" customHeight="true" outlineLevel="0" collapsed="false"/>
    <row r="2955" customFormat="false" ht="12.75" hidden="false" customHeight="true" outlineLevel="0" collapsed="false"/>
    <row r="2956" customFormat="false" ht="12.75" hidden="false" customHeight="true" outlineLevel="0" collapsed="false"/>
    <row r="2957" customFormat="false" ht="12.75" hidden="false" customHeight="true" outlineLevel="0" collapsed="false"/>
    <row r="2958" customFormat="false" ht="12.75" hidden="false" customHeight="true" outlineLevel="0" collapsed="false"/>
    <row r="2959" customFormat="false" ht="12.75" hidden="false" customHeight="true" outlineLevel="0" collapsed="false"/>
    <row r="2960" customFormat="false" ht="12.75" hidden="false" customHeight="true" outlineLevel="0" collapsed="false"/>
    <row r="2961" customFormat="false" ht="12.75" hidden="false" customHeight="true" outlineLevel="0" collapsed="false"/>
    <row r="2962" customFormat="false" ht="12.75" hidden="false" customHeight="true" outlineLevel="0" collapsed="false"/>
    <row r="2963" customFormat="false" ht="12.75" hidden="false" customHeight="true" outlineLevel="0" collapsed="false"/>
    <row r="2964" customFormat="false" ht="12.75" hidden="false" customHeight="true" outlineLevel="0" collapsed="false"/>
    <row r="2965" customFormat="false" ht="12.75" hidden="false" customHeight="true" outlineLevel="0" collapsed="false"/>
    <row r="2966" customFormat="false" ht="12.75" hidden="false" customHeight="true" outlineLevel="0" collapsed="false"/>
    <row r="2967" customFormat="false" ht="12.75" hidden="false" customHeight="true" outlineLevel="0" collapsed="false"/>
    <row r="2968" customFormat="false" ht="12.75" hidden="false" customHeight="true" outlineLevel="0" collapsed="false"/>
    <row r="2969" customFormat="false" ht="12.75" hidden="false" customHeight="true" outlineLevel="0" collapsed="false"/>
    <row r="2970" customFormat="false" ht="12.75" hidden="false" customHeight="true" outlineLevel="0" collapsed="false"/>
    <row r="2971" customFormat="false" ht="12.75" hidden="false" customHeight="true" outlineLevel="0" collapsed="false"/>
    <row r="2972" customFormat="false" ht="12.75" hidden="false" customHeight="true" outlineLevel="0" collapsed="false"/>
    <row r="2973" customFormat="false" ht="12.75" hidden="false" customHeight="true" outlineLevel="0" collapsed="false"/>
    <row r="2974" customFormat="false" ht="12.75" hidden="false" customHeight="true" outlineLevel="0" collapsed="false"/>
    <row r="2975" customFormat="false" ht="12.75" hidden="false" customHeight="true" outlineLevel="0" collapsed="false"/>
    <row r="2976" customFormat="false" ht="12.75" hidden="false" customHeight="true" outlineLevel="0" collapsed="false"/>
    <row r="2977" customFormat="false" ht="12.75" hidden="false" customHeight="true" outlineLevel="0" collapsed="false"/>
    <row r="2978" customFormat="false" ht="12.75" hidden="false" customHeight="true" outlineLevel="0" collapsed="false"/>
    <row r="2979" customFormat="false" ht="12.75" hidden="false" customHeight="true" outlineLevel="0" collapsed="false"/>
    <row r="2980" customFormat="false" ht="12.75" hidden="false" customHeight="true" outlineLevel="0" collapsed="false"/>
    <row r="2981" customFormat="false" ht="12.75" hidden="false" customHeight="true" outlineLevel="0" collapsed="false"/>
    <row r="2982" customFormat="false" ht="12.75" hidden="false" customHeight="true" outlineLevel="0" collapsed="false"/>
    <row r="2983" customFormat="false" ht="12.75" hidden="false" customHeight="true" outlineLevel="0" collapsed="false"/>
    <row r="2984" customFormat="false" ht="12.75" hidden="false" customHeight="true" outlineLevel="0" collapsed="false"/>
    <row r="2985" customFormat="false" ht="12.75" hidden="false" customHeight="true" outlineLevel="0" collapsed="false"/>
    <row r="2986" customFormat="false" ht="12.75" hidden="false" customHeight="true" outlineLevel="0" collapsed="false"/>
    <row r="2987" customFormat="false" ht="12.75" hidden="false" customHeight="true" outlineLevel="0" collapsed="false"/>
    <row r="2988" customFormat="false" ht="12.75" hidden="false" customHeight="true" outlineLevel="0" collapsed="false"/>
    <row r="2989" customFormat="false" ht="12.75" hidden="false" customHeight="true" outlineLevel="0" collapsed="false"/>
    <row r="2990" customFormat="false" ht="12.75" hidden="false" customHeight="true" outlineLevel="0" collapsed="false"/>
    <row r="2991" customFormat="false" ht="12.75" hidden="false" customHeight="true" outlineLevel="0" collapsed="false"/>
    <row r="2992" customFormat="false" ht="12.75" hidden="false" customHeight="true" outlineLevel="0" collapsed="false"/>
    <row r="2993" customFormat="false" ht="12.75" hidden="false" customHeight="true" outlineLevel="0" collapsed="false"/>
    <row r="2994" customFormat="false" ht="12.75" hidden="false" customHeight="true" outlineLevel="0" collapsed="false"/>
    <row r="2995" customFormat="false" ht="12.75" hidden="false" customHeight="true" outlineLevel="0" collapsed="false"/>
    <row r="2996" customFormat="false" ht="12.75" hidden="false" customHeight="true" outlineLevel="0" collapsed="false"/>
    <row r="2997" customFormat="false" ht="12.75" hidden="false" customHeight="true" outlineLevel="0" collapsed="false"/>
    <row r="2998" customFormat="false" ht="12.75" hidden="false" customHeight="true" outlineLevel="0" collapsed="false"/>
    <row r="2999" customFormat="false" ht="12.75" hidden="false" customHeight="true" outlineLevel="0" collapsed="false"/>
    <row r="3000" customFormat="false" ht="12.75" hidden="false" customHeight="true" outlineLevel="0" collapsed="false"/>
    <row r="3001" customFormat="false" ht="12.75" hidden="false" customHeight="true" outlineLevel="0" collapsed="false"/>
    <row r="3002" customFormat="false" ht="12.75" hidden="false" customHeight="true" outlineLevel="0" collapsed="false"/>
    <row r="3003" customFormat="false" ht="12.75" hidden="false" customHeight="true" outlineLevel="0" collapsed="false"/>
    <row r="3004" customFormat="false" ht="12.75" hidden="false" customHeight="true" outlineLevel="0" collapsed="false"/>
    <row r="3005" customFormat="false" ht="12.75" hidden="false" customHeight="true" outlineLevel="0" collapsed="false"/>
    <row r="3006" customFormat="false" ht="12.75" hidden="false" customHeight="true" outlineLevel="0" collapsed="false"/>
    <row r="3007" customFormat="false" ht="12.75" hidden="false" customHeight="true" outlineLevel="0" collapsed="false"/>
    <row r="3008" customFormat="false" ht="12.75" hidden="false" customHeight="true" outlineLevel="0" collapsed="false"/>
    <row r="3009" customFormat="false" ht="12.75" hidden="false" customHeight="true" outlineLevel="0" collapsed="false"/>
    <row r="3010" customFormat="false" ht="12.75" hidden="false" customHeight="true" outlineLevel="0" collapsed="false"/>
    <row r="3011" customFormat="false" ht="12.75" hidden="false" customHeight="true" outlineLevel="0" collapsed="false"/>
    <row r="3012" customFormat="false" ht="12.75" hidden="false" customHeight="true" outlineLevel="0" collapsed="false"/>
    <row r="3013" customFormat="false" ht="12.75" hidden="false" customHeight="true" outlineLevel="0" collapsed="false"/>
    <row r="3014" customFormat="false" ht="12.75" hidden="false" customHeight="true" outlineLevel="0" collapsed="false"/>
    <row r="3015" customFormat="false" ht="12.75" hidden="false" customHeight="true" outlineLevel="0" collapsed="false"/>
    <row r="3016" customFormat="false" ht="12.75" hidden="false" customHeight="true" outlineLevel="0" collapsed="false"/>
    <row r="3017" customFormat="false" ht="12.75" hidden="false" customHeight="true" outlineLevel="0" collapsed="false"/>
    <row r="3018" customFormat="false" ht="12.75" hidden="false" customHeight="true" outlineLevel="0" collapsed="false"/>
    <row r="3019" customFormat="false" ht="12.75" hidden="false" customHeight="true" outlineLevel="0" collapsed="false"/>
    <row r="3020" customFormat="false" ht="12.75" hidden="false" customHeight="true" outlineLevel="0" collapsed="false"/>
    <row r="3021" customFormat="false" ht="12.75" hidden="false" customHeight="true" outlineLevel="0" collapsed="false"/>
    <row r="3022" customFormat="false" ht="12.75" hidden="false" customHeight="true" outlineLevel="0" collapsed="false"/>
    <row r="3023" customFormat="false" ht="12.75" hidden="false" customHeight="true" outlineLevel="0" collapsed="false"/>
    <row r="3024" customFormat="false" ht="12.75" hidden="false" customHeight="true" outlineLevel="0" collapsed="false"/>
    <row r="3025" customFormat="false" ht="12.75" hidden="false" customHeight="true" outlineLevel="0" collapsed="false"/>
    <row r="3026" customFormat="false" ht="12.75" hidden="false" customHeight="true" outlineLevel="0" collapsed="false"/>
    <row r="3027" customFormat="false" ht="12.75" hidden="false" customHeight="true" outlineLevel="0" collapsed="false"/>
    <row r="3028" customFormat="false" ht="12.75" hidden="false" customHeight="true" outlineLevel="0" collapsed="false"/>
    <row r="3029" customFormat="false" ht="12.75" hidden="false" customHeight="true" outlineLevel="0" collapsed="false"/>
    <row r="3030" customFormat="false" ht="12.75" hidden="false" customHeight="true" outlineLevel="0" collapsed="false"/>
    <row r="3031" customFormat="false" ht="12.75" hidden="false" customHeight="true" outlineLevel="0" collapsed="false"/>
    <row r="3032" customFormat="false" ht="12.75" hidden="false" customHeight="true" outlineLevel="0" collapsed="false"/>
    <row r="3033" customFormat="false" ht="12.75" hidden="false" customHeight="true" outlineLevel="0" collapsed="false"/>
    <row r="3034" customFormat="false" ht="12.75" hidden="false" customHeight="true" outlineLevel="0" collapsed="false"/>
    <row r="3035" customFormat="false" ht="12.75" hidden="false" customHeight="true" outlineLevel="0" collapsed="false"/>
    <row r="3036" customFormat="false" ht="12.75" hidden="false" customHeight="true" outlineLevel="0" collapsed="false"/>
    <row r="3037" customFormat="false" ht="12.75" hidden="false" customHeight="true" outlineLevel="0" collapsed="false"/>
    <row r="3038" customFormat="false" ht="12.75" hidden="false" customHeight="true" outlineLevel="0" collapsed="false"/>
    <row r="3039" customFormat="false" ht="12.75" hidden="false" customHeight="true" outlineLevel="0" collapsed="false"/>
    <row r="3040" customFormat="false" ht="12.75" hidden="false" customHeight="true" outlineLevel="0" collapsed="false"/>
    <row r="3041" customFormat="false" ht="12.75" hidden="false" customHeight="true" outlineLevel="0" collapsed="false"/>
    <row r="3042" customFormat="false" ht="12.75" hidden="false" customHeight="true" outlineLevel="0" collapsed="false"/>
    <row r="3043" customFormat="false" ht="12.75" hidden="false" customHeight="true" outlineLevel="0" collapsed="false"/>
    <row r="3044" customFormat="false" ht="12.75" hidden="false" customHeight="true" outlineLevel="0" collapsed="false"/>
    <row r="3045" customFormat="false" ht="12.75" hidden="false" customHeight="true" outlineLevel="0" collapsed="false"/>
    <row r="3046" customFormat="false" ht="12.75" hidden="false" customHeight="true" outlineLevel="0" collapsed="false"/>
    <row r="3047" customFormat="false" ht="12.75" hidden="false" customHeight="true" outlineLevel="0" collapsed="false"/>
    <row r="3048" customFormat="false" ht="12.75" hidden="false" customHeight="true" outlineLevel="0" collapsed="false"/>
    <row r="3049" customFormat="false" ht="12.75" hidden="false" customHeight="true" outlineLevel="0" collapsed="false"/>
    <row r="3050" customFormat="false" ht="12.75" hidden="false" customHeight="true" outlineLevel="0" collapsed="false"/>
    <row r="3051" customFormat="false" ht="12.75" hidden="false" customHeight="true" outlineLevel="0" collapsed="false"/>
    <row r="3052" customFormat="false" ht="12.75" hidden="false" customHeight="true" outlineLevel="0" collapsed="false"/>
    <row r="3053" customFormat="false" ht="12.75" hidden="false" customHeight="true" outlineLevel="0" collapsed="false"/>
    <row r="3054" customFormat="false" ht="12.75" hidden="false" customHeight="true" outlineLevel="0" collapsed="false"/>
    <row r="3055" customFormat="false" ht="12.75" hidden="false" customHeight="true" outlineLevel="0" collapsed="false"/>
    <row r="3056" customFormat="false" ht="12.75" hidden="false" customHeight="true" outlineLevel="0" collapsed="false"/>
    <row r="3057" customFormat="false" ht="12.75" hidden="false" customHeight="true" outlineLevel="0" collapsed="false"/>
    <row r="3058" customFormat="false" ht="12.75" hidden="false" customHeight="true" outlineLevel="0" collapsed="false"/>
    <row r="3059" customFormat="false" ht="12.75" hidden="false" customHeight="true" outlineLevel="0" collapsed="false"/>
    <row r="3060" customFormat="false" ht="12.75" hidden="false" customHeight="true" outlineLevel="0" collapsed="false"/>
    <row r="3061" customFormat="false" ht="12.75" hidden="false" customHeight="true" outlineLevel="0" collapsed="false"/>
    <row r="3062" customFormat="false" ht="12.75" hidden="false" customHeight="true" outlineLevel="0" collapsed="false"/>
    <row r="3063" customFormat="false" ht="12.75" hidden="false" customHeight="true" outlineLevel="0" collapsed="false"/>
    <row r="3064" customFormat="false" ht="12.75" hidden="false" customHeight="true" outlineLevel="0" collapsed="false"/>
    <row r="3065" customFormat="false" ht="12.75" hidden="false" customHeight="true" outlineLevel="0" collapsed="false"/>
    <row r="3066" customFormat="false" ht="12.75" hidden="false" customHeight="true" outlineLevel="0" collapsed="false"/>
    <row r="3067" customFormat="false" ht="12.75" hidden="false" customHeight="true" outlineLevel="0" collapsed="false"/>
    <row r="3068" customFormat="false" ht="12.75" hidden="false" customHeight="true" outlineLevel="0" collapsed="false"/>
    <row r="3069" customFormat="false" ht="12.75" hidden="false" customHeight="true" outlineLevel="0" collapsed="false"/>
    <row r="3070" customFormat="false" ht="12.75" hidden="false" customHeight="true" outlineLevel="0" collapsed="false"/>
    <row r="3071" customFormat="false" ht="12.75" hidden="false" customHeight="true" outlineLevel="0" collapsed="false"/>
    <row r="3072" customFormat="false" ht="12.75" hidden="false" customHeight="true" outlineLevel="0" collapsed="false"/>
    <row r="3073" customFormat="false" ht="12.75" hidden="false" customHeight="true" outlineLevel="0" collapsed="false"/>
    <row r="3074" customFormat="false" ht="12.75" hidden="false" customHeight="true" outlineLevel="0" collapsed="false"/>
    <row r="3075" customFormat="false" ht="12.75" hidden="false" customHeight="true" outlineLevel="0" collapsed="false"/>
    <row r="3076" customFormat="false" ht="12.75" hidden="false" customHeight="true" outlineLevel="0" collapsed="false"/>
    <row r="3077" customFormat="false" ht="12.75" hidden="false" customHeight="true" outlineLevel="0" collapsed="false"/>
    <row r="3078" customFormat="false" ht="12.75" hidden="false" customHeight="true" outlineLevel="0" collapsed="false"/>
    <row r="3079" customFormat="false" ht="12.75" hidden="false" customHeight="true" outlineLevel="0" collapsed="false"/>
    <row r="3080" customFormat="false" ht="12.75" hidden="false" customHeight="true" outlineLevel="0" collapsed="false"/>
    <row r="3081" customFormat="false" ht="12.75" hidden="false" customHeight="true" outlineLevel="0" collapsed="false"/>
    <row r="3082" customFormat="false" ht="12.75" hidden="false" customHeight="true" outlineLevel="0" collapsed="false"/>
    <row r="3083" customFormat="false" ht="12.75" hidden="false" customHeight="true" outlineLevel="0" collapsed="false"/>
    <row r="3084" customFormat="false" ht="12.75" hidden="false" customHeight="true" outlineLevel="0" collapsed="false"/>
    <row r="3085" customFormat="false" ht="12.75" hidden="false" customHeight="true" outlineLevel="0" collapsed="false"/>
    <row r="3086" customFormat="false" ht="12.75" hidden="false" customHeight="true" outlineLevel="0" collapsed="false"/>
    <row r="3087" customFormat="false" ht="12.75" hidden="false" customHeight="true" outlineLevel="0" collapsed="false"/>
    <row r="3088" customFormat="false" ht="12.75" hidden="false" customHeight="true" outlineLevel="0" collapsed="false"/>
    <row r="3089" customFormat="false" ht="12.75" hidden="false" customHeight="true" outlineLevel="0" collapsed="false"/>
    <row r="3090" customFormat="false" ht="12.75" hidden="false" customHeight="true" outlineLevel="0" collapsed="false"/>
    <row r="3091" customFormat="false" ht="12.75" hidden="false" customHeight="true" outlineLevel="0" collapsed="false"/>
    <row r="3092" customFormat="false" ht="12.75" hidden="false" customHeight="true" outlineLevel="0" collapsed="false"/>
    <row r="3093" customFormat="false" ht="12.75" hidden="false" customHeight="true" outlineLevel="0" collapsed="false"/>
    <row r="3094" customFormat="false" ht="12.75" hidden="false" customHeight="true" outlineLevel="0" collapsed="false"/>
    <row r="3095" customFormat="false" ht="12.75" hidden="false" customHeight="true" outlineLevel="0" collapsed="false"/>
    <row r="3096" customFormat="false" ht="12.75" hidden="false" customHeight="true" outlineLevel="0" collapsed="false"/>
    <row r="3097" customFormat="false" ht="12.75" hidden="false" customHeight="true" outlineLevel="0" collapsed="false"/>
    <row r="3098" customFormat="false" ht="12.75" hidden="false" customHeight="true" outlineLevel="0" collapsed="false"/>
    <row r="3099" customFormat="false" ht="12.75" hidden="false" customHeight="true" outlineLevel="0" collapsed="false"/>
    <row r="3100" customFormat="false" ht="12.75" hidden="false" customHeight="true" outlineLevel="0" collapsed="false"/>
    <row r="3101" customFormat="false" ht="12.75" hidden="false" customHeight="true" outlineLevel="0" collapsed="false"/>
    <row r="3102" customFormat="false" ht="12.75" hidden="false" customHeight="true" outlineLevel="0" collapsed="false"/>
    <row r="3103" customFormat="false" ht="12.75" hidden="false" customHeight="true" outlineLevel="0" collapsed="false"/>
    <row r="3104" customFormat="false" ht="12.75" hidden="false" customHeight="true" outlineLevel="0" collapsed="false"/>
    <row r="3105" customFormat="false" ht="12.75" hidden="false" customHeight="true" outlineLevel="0" collapsed="false"/>
    <row r="3106" customFormat="false" ht="12.75" hidden="false" customHeight="true" outlineLevel="0" collapsed="false"/>
    <row r="3107" customFormat="false" ht="12.75" hidden="false" customHeight="true" outlineLevel="0" collapsed="false"/>
    <row r="3108" customFormat="false" ht="12.75" hidden="false" customHeight="true" outlineLevel="0" collapsed="false"/>
    <row r="3109" customFormat="false" ht="12.75" hidden="false" customHeight="true" outlineLevel="0" collapsed="false"/>
    <row r="3110" customFormat="false" ht="12.75" hidden="false" customHeight="true" outlineLevel="0" collapsed="false"/>
    <row r="3111" customFormat="false" ht="12.75" hidden="false" customHeight="true" outlineLevel="0" collapsed="false"/>
    <row r="3112" customFormat="false" ht="12.75" hidden="false" customHeight="true" outlineLevel="0" collapsed="false"/>
    <row r="3113" customFormat="false" ht="12.75" hidden="false" customHeight="true" outlineLevel="0" collapsed="false"/>
    <row r="3114" customFormat="false" ht="12.75" hidden="false" customHeight="true" outlineLevel="0" collapsed="false"/>
    <row r="3115" customFormat="false" ht="12.75" hidden="false" customHeight="true" outlineLevel="0" collapsed="false"/>
    <row r="3116" customFormat="false" ht="12.75" hidden="false" customHeight="true" outlineLevel="0" collapsed="false"/>
    <row r="3117" customFormat="false" ht="12.75" hidden="false" customHeight="true" outlineLevel="0" collapsed="false"/>
    <row r="3118" customFormat="false" ht="12.75" hidden="false" customHeight="true" outlineLevel="0" collapsed="false"/>
    <row r="3119" customFormat="false" ht="12.75" hidden="false" customHeight="true" outlineLevel="0" collapsed="false"/>
    <row r="3120" customFormat="false" ht="12.75" hidden="false" customHeight="true" outlineLevel="0" collapsed="false"/>
    <row r="3121" customFormat="false" ht="12.75" hidden="false" customHeight="true" outlineLevel="0" collapsed="false"/>
    <row r="3122" customFormat="false" ht="12.75" hidden="false" customHeight="true" outlineLevel="0" collapsed="false"/>
    <row r="3123" customFormat="false" ht="12.75" hidden="false" customHeight="true" outlineLevel="0" collapsed="false"/>
    <row r="3124" customFormat="false" ht="12.75" hidden="false" customHeight="true" outlineLevel="0" collapsed="false"/>
    <row r="3125" customFormat="false" ht="12.75" hidden="false" customHeight="true" outlineLevel="0" collapsed="false"/>
    <row r="3126" customFormat="false" ht="12.75" hidden="false" customHeight="true" outlineLevel="0" collapsed="false"/>
    <row r="3127" customFormat="false" ht="12.75" hidden="false" customHeight="true" outlineLevel="0" collapsed="false"/>
    <row r="3128" customFormat="false" ht="12.75" hidden="false" customHeight="true" outlineLevel="0" collapsed="false"/>
    <row r="3129" customFormat="false" ht="12.75" hidden="false" customHeight="true" outlineLevel="0" collapsed="false"/>
    <row r="3130" customFormat="false" ht="12.75" hidden="false" customHeight="true" outlineLevel="0" collapsed="false"/>
    <row r="3131" customFormat="false" ht="12.75" hidden="false" customHeight="true" outlineLevel="0" collapsed="false"/>
    <row r="3132" customFormat="false" ht="12.75" hidden="false" customHeight="true" outlineLevel="0" collapsed="false"/>
    <row r="3133" customFormat="false" ht="12.75" hidden="false" customHeight="true" outlineLevel="0" collapsed="false"/>
    <row r="3134" customFormat="false" ht="12.75" hidden="false" customHeight="true" outlineLevel="0" collapsed="false"/>
    <row r="3135" customFormat="false" ht="12.75" hidden="false" customHeight="true" outlineLevel="0" collapsed="false"/>
    <row r="3136" customFormat="false" ht="12.75" hidden="false" customHeight="true" outlineLevel="0" collapsed="false"/>
    <row r="3137" customFormat="false" ht="12.75" hidden="false" customHeight="true" outlineLevel="0" collapsed="false"/>
    <row r="3138" customFormat="false" ht="12.75" hidden="false" customHeight="true" outlineLevel="0" collapsed="false"/>
    <row r="3139" customFormat="false" ht="12.75" hidden="false" customHeight="true" outlineLevel="0" collapsed="false"/>
    <row r="3140" customFormat="false" ht="12.75" hidden="false" customHeight="true" outlineLevel="0" collapsed="false"/>
    <row r="3141" customFormat="false" ht="12.75" hidden="false" customHeight="true" outlineLevel="0" collapsed="false"/>
    <row r="3142" customFormat="false" ht="12.75" hidden="false" customHeight="true" outlineLevel="0" collapsed="false"/>
    <row r="3143" customFormat="false" ht="12.75" hidden="false" customHeight="true" outlineLevel="0" collapsed="false"/>
    <row r="3144" customFormat="false" ht="12.75" hidden="false" customHeight="true" outlineLevel="0" collapsed="false"/>
    <row r="3145" customFormat="false" ht="12.75" hidden="false" customHeight="true" outlineLevel="0" collapsed="false"/>
    <row r="3146" customFormat="false" ht="12.75" hidden="false" customHeight="true" outlineLevel="0" collapsed="false"/>
    <row r="3147" customFormat="false" ht="12.75" hidden="false" customHeight="true" outlineLevel="0" collapsed="false"/>
    <row r="3148" customFormat="false" ht="12.75" hidden="false" customHeight="true" outlineLevel="0" collapsed="false"/>
    <row r="3149" customFormat="false" ht="12.75" hidden="false" customHeight="true" outlineLevel="0" collapsed="false"/>
    <row r="3150" customFormat="false" ht="12.75" hidden="false" customHeight="true" outlineLevel="0" collapsed="false"/>
    <row r="3151" customFormat="false" ht="12.75" hidden="false" customHeight="true" outlineLevel="0" collapsed="false"/>
    <row r="3152" customFormat="false" ht="12.75" hidden="false" customHeight="true" outlineLevel="0" collapsed="false"/>
    <row r="3153" customFormat="false" ht="12.75" hidden="false" customHeight="true" outlineLevel="0" collapsed="false"/>
    <row r="3154" customFormat="false" ht="12.75" hidden="false" customHeight="true" outlineLevel="0" collapsed="false"/>
    <row r="3155" customFormat="false" ht="12.75" hidden="false" customHeight="true" outlineLevel="0" collapsed="false"/>
    <row r="3156" customFormat="false" ht="12.75" hidden="false" customHeight="true" outlineLevel="0" collapsed="false"/>
    <row r="3157" customFormat="false" ht="12.75" hidden="false" customHeight="true" outlineLevel="0" collapsed="false"/>
    <row r="3158" customFormat="false" ht="12.75" hidden="false" customHeight="true" outlineLevel="0" collapsed="false"/>
    <row r="3159" customFormat="false" ht="12.75" hidden="false" customHeight="true" outlineLevel="0" collapsed="false"/>
    <row r="3160" customFormat="false" ht="12.75" hidden="false" customHeight="true" outlineLevel="0" collapsed="false"/>
    <row r="3161" customFormat="false" ht="12.75" hidden="false" customHeight="true" outlineLevel="0" collapsed="false"/>
    <row r="3162" customFormat="false" ht="12.75" hidden="false" customHeight="true" outlineLevel="0" collapsed="false"/>
    <row r="3163" customFormat="false" ht="12.75" hidden="false" customHeight="true" outlineLevel="0" collapsed="false"/>
    <row r="3164" customFormat="false" ht="12.75" hidden="false" customHeight="true" outlineLevel="0" collapsed="false"/>
    <row r="3165" customFormat="false" ht="12.75" hidden="false" customHeight="true" outlineLevel="0" collapsed="false"/>
    <row r="3166" customFormat="false" ht="12.75" hidden="false" customHeight="true" outlineLevel="0" collapsed="false"/>
    <row r="3167" customFormat="false" ht="12.75" hidden="false" customHeight="true" outlineLevel="0" collapsed="false"/>
    <row r="3168" customFormat="false" ht="12.75" hidden="false" customHeight="true" outlineLevel="0" collapsed="false"/>
    <row r="3169" customFormat="false" ht="12.75" hidden="false" customHeight="true" outlineLevel="0" collapsed="false"/>
    <row r="3170" customFormat="false" ht="12.75" hidden="false" customHeight="true" outlineLevel="0" collapsed="false"/>
    <row r="3171" customFormat="false" ht="12.75" hidden="false" customHeight="true" outlineLevel="0" collapsed="false"/>
    <row r="3172" customFormat="false" ht="12.75" hidden="false" customHeight="true" outlineLevel="0" collapsed="false"/>
    <row r="3173" customFormat="false" ht="12.75" hidden="false" customHeight="true" outlineLevel="0" collapsed="false"/>
    <row r="3174" customFormat="false" ht="12.75" hidden="false" customHeight="true" outlineLevel="0" collapsed="false"/>
    <row r="3175" customFormat="false" ht="12.75" hidden="false" customHeight="true" outlineLevel="0" collapsed="false"/>
    <row r="3176" customFormat="false" ht="12.75" hidden="false" customHeight="true" outlineLevel="0" collapsed="false"/>
    <row r="3177" customFormat="false" ht="12.75" hidden="false" customHeight="true" outlineLevel="0" collapsed="false"/>
    <row r="3178" customFormat="false" ht="12.75" hidden="false" customHeight="true" outlineLevel="0" collapsed="false"/>
    <row r="3179" customFormat="false" ht="12.75" hidden="false" customHeight="true" outlineLevel="0" collapsed="false"/>
    <row r="3180" customFormat="false" ht="12.75" hidden="false" customHeight="true" outlineLevel="0" collapsed="false"/>
    <row r="3181" customFormat="false" ht="12.75" hidden="false" customHeight="true" outlineLevel="0" collapsed="false"/>
    <row r="3182" customFormat="false" ht="12.75" hidden="false" customHeight="true" outlineLevel="0" collapsed="false"/>
    <row r="3183" customFormat="false" ht="12.75" hidden="false" customHeight="true" outlineLevel="0" collapsed="false"/>
    <row r="3184" customFormat="false" ht="12.75" hidden="false" customHeight="true" outlineLevel="0" collapsed="false"/>
    <row r="3185" customFormat="false" ht="12.75" hidden="false" customHeight="true" outlineLevel="0" collapsed="false"/>
    <row r="3186" customFormat="false" ht="12.75" hidden="false" customHeight="true" outlineLevel="0" collapsed="false"/>
    <row r="3187" customFormat="false" ht="12.75" hidden="false" customHeight="true" outlineLevel="0" collapsed="false"/>
    <row r="3188" customFormat="false" ht="12.75" hidden="false" customHeight="true" outlineLevel="0" collapsed="false"/>
    <row r="3189" customFormat="false" ht="12.75" hidden="false" customHeight="true" outlineLevel="0" collapsed="false"/>
    <row r="3190" customFormat="false" ht="12.75" hidden="false" customHeight="true" outlineLevel="0" collapsed="false"/>
    <row r="3191" customFormat="false" ht="12.75" hidden="false" customHeight="true" outlineLevel="0" collapsed="false"/>
    <row r="3192" customFormat="false" ht="12.75" hidden="false" customHeight="true" outlineLevel="0" collapsed="false"/>
    <row r="3193" customFormat="false" ht="12.75" hidden="false" customHeight="true" outlineLevel="0" collapsed="false"/>
    <row r="3194" customFormat="false" ht="12.75" hidden="false" customHeight="true" outlineLevel="0" collapsed="false"/>
    <row r="3195" customFormat="false" ht="12.75" hidden="false" customHeight="true" outlineLevel="0" collapsed="false"/>
    <row r="3196" customFormat="false" ht="12.75" hidden="false" customHeight="true" outlineLevel="0" collapsed="false"/>
    <row r="3197" customFormat="false" ht="12.75" hidden="false" customHeight="true" outlineLevel="0" collapsed="false"/>
    <row r="3198" customFormat="false" ht="12.75" hidden="false" customHeight="true" outlineLevel="0" collapsed="false"/>
    <row r="3199" customFormat="false" ht="12.75" hidden="false" customHeight="true" outlineLevel="0" collapsed="false"/>
    <row r="3200" customFormat="false" ht="12.75" hidden="false" customHeight="true" outlineLevel="0" collapsed="false"/>
    <row r="3201" customFormat="false" ht="12.75" hidden="false" customHeight="true" outlineLevel="0" collapsed="false"/>
    <row r="3202" customFormat="false" ht="12.75" hidden="false" customHeight="true" outlineLevel="0" collapsed="false"/>
    <row r="3203" customFormat="false" ht="12.75" hidden="false" customHeight="true" outlineLevel="0" collapsed="false"/>
    <row r="3204" customFormat="false" ht="12.75" hidden="false" customHeight="true" outlineLevel="0" collapsed="false"/>
    <row r="3205" customFormat="false" ht="12.75" hidden="false" customHeight="true" outlineLevel="0" collapsed="false"/>
    <row r="3206" customFormat="false" ht="12.75" hidden="false" customHeight="true" outlineLevel="0" collapsed="false"/>
    <row r="3207" customFormat="false" ht="12.75" hidden="false" customHeight="true" outlineLevel="0" collapsed="false"/>
    <row r="3208" customFormat="false" ht="12.75" hidden="false" customHeight="true" outlineLevel="0" collapsed="false"/>
    <row r="3209" customFormat="false" ht="12.75" hidden="false" customHeight="true" outlineLevel="0" collapsed="false"/>
    <row r="3210" customFormat="false" ht="12.75" hidden="false" customHeight="true" outlineLevel="0" collapsed="false"/>
    <row r="3211" customFormat="false" ht="12.75" hidden="false" customHeight="true" outlineLevel="0" collapsed="false"/>
    <row r="3212" customFormat="false" ht="12.75" hidden="false" customHeight="true" outlineLevel="0" collapsed="false"/>
    <row r="3213" customFormat="false" ht="12.75" hidden="false" customHeight="true" outlineLevel="0" collapsed="false"/>
    <row r="3214" customFormat="false" ht="12.75" hidden="false" customHeight="true" outlineLevel="0" collapsed="false"/>
    <row r="3215" customFormat="false" ht="12.75" hidden="false" customHeight="true" outlineLevel="0" collapsed="false"/>
    <row r="3216" customFormat="false" ht="12.75" hidden="false" customHeight="true" outlineLevel="0" collapsed="false"/>
    <row r="3217" customFormat="false" ht="12.75" hidden="false" customHeight="true" outlineLevel="0" collapsed="false"/>
    <row r="3218" customFormat="false" ht="12.75" hidden="false" customHeight="true" outlineLevel="0" collapsed="false"/>
    <row r="3219" customFormat="false" ht="12.75" hidden="false" customHeight="true" outlineLevel="0" collapsed="false"/>
    <row r="3220" customFormat="false" ht="12.75" hidden="false" customHeight="true" outlineLevel="0" collapsed="false"/>
    <row r="3221" customFormat="false" ht="12.75" hidden="false" customHeight="true" outlineLevel="0" collapsed="false"/>
    <row r="3222" customFormat="false" ht="12.75" hidden="false" customHeight="true" outlineLevel="0" collapsed="false"/>
    <row r="3223" customFormat="false" ht="12.75" hidden="false" customHeight="true" outlineLevel="0" collapsed="false"/>
    <row r="3224" customFormat="false" ht="12.75" hidden="false" customHeight="true" outlineLevel="0" collapsed="false"/>
    <row r="3225" customFormat="false" ht="12.75" hidden="false" customHeight="true" outlineLevel="0" collapsed="false"/>
    <row r="3226" customFormat="false" ht="12.75" hidden="false" customHeight="true" outlineLevel="0" collapsed="false"/>
    <row r="3227" customFormat="false" ht="12.75" hidden="false" customHeight="true" outlineLevel="0" collapsed="false"/>
    <row r="3228" customFormat="false" ht="12.75" hidden="false" customHeight="true" outlineLevel="0" collapsed="false"/>
    <row r="3229" customFormat="false" ht="12.75" hidden="false" customHeight="true" outlineLevel="0" collapsed="false"/>
    <row r="3230" customFormat="false" ht="12.75" hidden="false" customHeight="true" outlineLevel="0" collapsed="false"/>
    <row r="3231" customFormat="false" ht="12.75" hidden="false" customHeight="true" outlineLevel="0" collapsed="false"/>
    <row r="3232" customFormat="false" ht="12.75" hidden="false" customHeight="true" outlineLevel="0" collapsed="false"/>
    <row r="3233" customFormat="false" ht="12.75" hidden="false" customHeight="true" outlineLevel="0" collapsed="false"/>
    <row r="3234" customFormat="false" ht="12.75" hidden="false" customHeight="true" outlineLevel="0" collapsed="false"/>
    <row r="3235" customFormat="false" ht="12.75" hidden="false" customHeight="true" outlineLevel="0" collapsed="false"/>
    <row r="3236" customFormat="false" ht="12.75" hidden="false" customHeight="true" outlineLevel="0" collapsed="false"/>
    <row r="3237" customFormat="false" ht="12.75" hidden="false" customHeight="true" outlineLevel="0" collapsed="false"/>
    <row r="3238" customFormat="false" ht="12.75" hidden="false" customHeight="true" outlineLevel="0" collapsed="false"/>
    <row r="3239" customFormat="false" ht="12.75" hidden="false" customHeight="true" outlineLevel="0" collapsed="false"/>
    <row r="3240" customFormat="false" ht="12.75" hidden="false" customHeight="true" outlineLevel="0" collapsed="false"/>
    <row r="3241" customFormat="false" ht="12.75" hidden="false" customHeight="true" outlineLevel="0" collapsed="false"/>
    <row r="3242" customFormat="false" ht="12.75" hidden="false" customHeight="true" outlineLevel="0" collapsed="false"/>
    <row r="3243" customFormat="false" ht="12.75" hidden="false" customHeight="true" outlineLevel="0" collapsed="false"/>
    <row r="3244" customFormat="false" ht="12.75" hidden="false" customHeight="true" outlineLevel="0" collapsed="false"/>
    <row r="3245" customFormat="false" ht="12.75" hidden="false" customHeight="true" outlineLevel="0" collapsed="false"/>
    <row r="3246" customFormat="false" ht="12.75" hidden="false" customHeight="true" outlineLevel="0" collapsed="false"/>
    <row r="3247" customFormat="false" ht="12.75" hidden="false" customHeight="true" outlineLevel="0" collapsed="false"/>
    <row r="3248" customFormat="false" ht="12.75" hidden="false" customHeight="true" outlineLevel="0" collapsed="false"/>
    <row r="3249" customFormat="false" ht="12.75" hidden="false" customHeight="true" outlineLevel="0" collapsed="false"/>
    <row r="3250" customFormat="false" ht="12.75" hidden="false" customHeight="true" outlineLevel="0" collapsed="false"/>
    <row r="3251" customFormat="false" ht="12.75" hidden="false" customHeight="true" outlineLevel="0" collapsed="false"/>
    <row r="3252" customFormat="false" ht="12.75" hidden="false" customHeight="true" outlineLevel="0" collapsed="false"/>
    <row r="3253" customFormat="false" ht="12.75" hidden="false" customHeight="true" outlineLevel="0" collapsed="false"/>
    <row r="3254" customFormat="false" ht="12.75" hidden="false" customHeight="true" outlineLevel="0" collapsed="false"/>
    <row r="3255" customFormat="false" ht="12.75" hidden="false" customHeight="true" outlineLevel="0" collapsed="false"/>
    <row r="3256" customFormat="false" ht="12.75" hidden="false" customHeight="true" outlineLevel="0" collapsed="false"/>
    <row r="3257" customFormat="false" ht="12.75" hidden="false" customHeight="true" outlineLevel="0" collapsed="false"/>
    <row r="3258" customFormat="false" ht="12.75" hidden="false" customHeight="true" outlineLevel="0" collapsed="false"/>
    <row r="3259" customFormat="false" ht="12.75" hidden="false" customHeight="true" outlineLevel="0" collapsed="false"/>
    <row r="3260" customFormat="false" ht="12.75" hidden="false" customHeight="true" outlineLevel="0" collapsed="false"/>
    <row r="3261" customFormat="false" ht="12.75" hidden="false" customHeight="true" outlineLevel="0" collapsed="false"/>
    <row r="3262" customFormat="false" ht="12.75" hidden="false" customHeight="true" outlineLevel="0" collapsed="false"/>
    <row r="3263" customFormat="false" ht="12.75" hidden="false" customHeight="true" outlineLevel="0" collapsed="false"/>
    <row r="3264" customFormat="false" ht="12.75" hidden="false" customHeight="true" outlineLevel="0" collapsed="false"/>
    <row r="3265" customFormat="false" ht="12.75" hidden="false" customHeight="true" outlineLevel="0" collapsed="false"/>
    <row r="3266" customFormat="false" ht="12.75" hidden="false" customHeight="true" outlineLevel="0" collapsed="false"/>
    <row r="3267" customFormat="false" ht="12.75" hidden="false" customHeight="true" outlineLevel="0" collapsed="false"/>
    <row r="3268" customFormat="false" ht="12.75" hidden="false" customHeight="true" outlineLevel="0" collapsed="false"/>
    <row r="3269" customFormat="false" ht="12.75" hidden="false" customHeight="true" outlineLevel="0" collapsed="false"/>
    <row r="3270" customFormat="false" ht="12.75" hidden="false" customHeight="true" outlineLevel="0" collapsed="false"/>
    <row r="3271" customFormat="false" ht="12.75" hidden="false" customHeight="true" outlineLevel="0" collapsed="false"/>
    <row r="3272" customFormat="false" ht="12.75" hidden="false" customHeight="true" outlineLevel="0" collapsed="false"/>
    <row r="3273" customFormat="false" ht="12.75" hidden="false" customHeight="true" outlineLevel="0" collapsed="false"/>
    <row r="3274" customFormat="false" ht="12.75" hidden="false" customHeight="true" outlineLevel="0" collapsed="false"/>
    <row r="3275" customFormat="false" ht="12.75" hidden="false" customHeight="true" outlineLevel="0" collapsed="false"/>
    <row r="3276" customFormat="false" ht="12.75" hidden="false" customHeight="true" outlineLevel="0" collapsed="false"/>
    <row r="3277" customFormat="false" ht="12.75" hidden="false" customHeight="true" outlineLevel="0" collapsed="false"/>
    <row r="3278" customFormat="false" ht="12.75" hidden="false" customHeight="true" outlineLevel="0" collapsed="false"/>
    <row r="3279" customFormat="false" ht="12.75" hidden="false" customHeight="true" outlineLevel="0" collapsed="false"/>
    <row r="3280" customFormat="false" ht="12.75" hidden="false" customHeight="true" outlineLevel="0" collapsed="false"/>
    <row r="3281" customFormat="false" ht="12.75" hidden="false" customHeight="true" outlineLevel="0" collapsed="false"/>
    <row r="3282" customFormat="false" ht="12.75" hidden="false" customHeight="true" outlineLevel="0" collapsed="false"/>
    <row r="3283" customFormat="false" ht="12.75" hidden="false" customHeight="true" outlineLevel="0" collapsed="false"/>
    <row r="3284" customFormat="false" ht="12.75" hidden="false" customHeight="true" outlineLevel="0" collapsed="false"/>
    <row r="3285" customFormat="false" ht="12.75" hidden="false" customHeight="true" outlineLevel="0" collapsed="false"/>
    <row r="3286" customFormat="false" ht="12.75" hidden="false" customHeight="true" outlineLevel="0" collapsed="false"/>
    <row r="3287" customFormat="false" ht="12.75" hidden="false" customHeight="true" outlineLevel="0" collapsed="false"/>
    <row r="3288" customFormat="false" ht="12.75" hidden="false" customHeight="true" outlineLevel="0" collapsed="false"/>
    <row r="3289" customFormat="false" ht="12.75" hidden="false" customHeight="true" outlineLevel="0" collapsed="false"/>
    <row r="3290" customFormat="false" ht="12.75" hidden="false" customHeight="true" outlineLevel="0" collapsed="false"/>
    <row r="3291" customFormat="false" ht="12.75" hidden="false" customHeight="true" outlineLevel="0" collapsed="false"/>
    <row r="3292" customFormat="false" ht="12.75" hidden="false" customHeight="true" outlineLevel="0" collapsed="false"/>
    <row r="3293" customFormat="false" ht="12.75" hidden="false" customHeight="true" outlineLevel="0" collapsed="false"/>
    <row r="3294" customFormat="false" ht="12.75" hidden="false" customHeight="true" outlineLevel="0" collapsed="false"/>
    <row r="3295" customFormat="false" ht="12.75" hidden="false" customHeight="true" outlineLevel="0" collapsed="false"/>
    <row r="3296" customFormat="false" ht="12.75" hidden="false" customHeight="true" outlineLevel="0" collapsed="false"/>
    <row r="3297" customFormat="false" ht="12.75" hidden="false" customHeight="true" outlineLevel="0" collapsed="false"/>
    <row r="3298" customFormat="false" ht="12.75" hidden="false" customHeight="true" outlineLevel="0" collapsed="false"/>
    <row r="3299" customFormat="false" ht="12.75" hidden="false" customHeight="true" outlineLevel="0" collapsed="false"/>
    <row r="3300" customFormat="false" ht="12.75" hidden="false" customHeight="true" outlineLevel="0" collapsed="false"/>
    <row r="3301" customFormat="false" ht="12.75" hidden="false" customHeight="true" outlineLevel="0" collapsed="false"/>
    <row r="3302" customFormat="false" ht="12.75" hidden="false" customHeight="true" outlineLevel="0" collapsed="false"/>
    <row r="3303" customFormat="false" ht="12.75" hidden="false" customHeight="true" outlineLevel="0" collapsed="false"/>
    <row r="3304" customFormat="false" ht="12.75" hidden="false" customHeight="true" outlineLevel="0" collapsed="false"/>
    <row r="3305" customFormat="false" ht="12.75" hidden="false" customHeight="true" outlineLevel="0" collapsed="false"/>
    <row r="3306" customFormat="false" ht="12.75" hidden="false" customHeight="true" outlineLevel="0" collapsed="false"/>
    <row r="3307" customFormat="false" ht="12.75" hidden="false" customHeight="true" outlineLevel="0" collapsed="false"/>
    <row r="3308" customFormat="false" ht="12.75" hidden="false" customHeight="true" outlineLevel="0" collapsed="false"/>
    <row r="3309" customFormat="false" ht="12.75" hidden="false" customHeight="true" outlineLevel="0" collapsed="false"/>
    <row r="3310" customFormat="false" ht="12.75" hidden="false" customHeight="true" outlineLevel="0" collapsed="false"/>
    <row r="3311" customFormat="false" ht="12.75" hidden="false" customHeight="true" outlineLevel="0" collapsed="false"/>
    <row r="3312" customFormat="false" ht="12.75" hidden="false" customHeight="true" outlineLevel="0" collapsed="false"/>
    <row r="3313" customFormat="false" ht="12.75" hidden="false" customHeight="true" outlineLevel="0" collapsed="false"/>
    <row r="3314" customFormat="false" ht="12.75" hidden="false" customHeight="true" outlineLevel="0" collapsed="false"/>
    <row r="3315" customFormat="false" ht="12.75" hidden="false" customHeight="true" outlineLevel="0" collapsed="false"/>
    <row r="3316" customFormat="false" ht="12.75" hidden="false" customHeight="true" outlineLevel="0" collapsed="false"/>
    <row r="3317" customFormat="false" ht="12.75" hidden="false" customHeight="true" outlineLevel="0" collapsed="false"/>
    <row r="3318" customFormat="false" ht="12.75" hidden="false" customHeight="true" outlineLevel="0" collapsed="false"/>
    <row r="3319" customFormat="false" ht="12.75" hidden="false" customHeight="true" outlineLevel="0" collapsed="false"/>
    <row r="3320" customFormat="false" ht="12.75" hidden="false" customHeight="true" outlineLevel="0" collapsed="false"/>
    <row r="3321" customFormat="false" ht="12.75" hidden="false" customHeight="true" outlineLevel="0" collapsed="false"/>
    <row r="3322" customFormat="false" ht="12.75" hidden="false" customHeight="true" outlineLevel="0" collapsed="false"/>
    <row r="3323" customFormat="false" ht="12.75" hidden="false" customHeight="true" outlineLevel="0" collapsed="false"/>
    <row r="3324" customFormat="false" ht="12.75" hidden="false" customHeight="true" outlineLevel="0" collapsed="false"/>
    <row r="3325" customFormat="false" ht="12.75" hidden="false" customHeight="true" outlineLevel="0" collapsed="false"/>
    <row r="3326" customFormat="false" ht="12.75" hidden="false" customHeight="true" outlineLevel="0" collapsed="false"/>
    <row r="3327" customFormat="false" ht="12.75" hidden="false" customHeight="true" outlineLevel="0" collapsed="false"/>
    <row r="3328" customFormat="false" ht="12.75" hidden="false" customHeight="true" outlineLevel="0" collapsed="false"/>
    <row r="3329" customFormat="false" ht="12.75" hidden="false" customHeight="true" outlineLevel="0" collapsed="false"/>
    <row r="3330" customFormat="false" ht="12.75" hidden="false" customHeight="true" outlineLevel="0" collapsed="false"/>
    <row r="3331" customFormat="false" ht="12.75" hidden="false" customHeight="true" outlineLevel="0" collapsed="false"/>
    <row r="3332" customFormat="false" ht="12.75" hidden="false" customHeight="true" outlineLevel="0" collapsed="false"/>
    <row r="3333" customFormat="false" ht="12.75" hidden="false" customHeight="true" outlineLevel="0" collapsed="false"/>
    <row r="3334" customFormat="false" ht="12.75" hidden="false" customHeight="true" outlineLevel="0" collapsed="false"/>
    <row r="3335" customFormat="false" ht="12.75" hidden="false" customHeight="true" outlineLevel="0" collapsed="false"/>
    <row r="3336" customFormat="false" ht="12.75" hidden="false" customHeight="true" outlineLevel="0" collapsed="false"/>
    <row r="3337" customFormat="false" ht="12.75" hidden="false" customHeight="true" outlineLevel="0" collapsed="false"/>
    <row r="3338" customFormat="false" ht="12.75" hidden="false" customHeight="true" outlineLevel="0" collapsed="false"/>
    <row r="3339" customFormat="false" ht="12.75" hidden="false" customHeight="true" outlineLevel="0" collapsed="false"/>
    <row r="3340" customFormat="false" ht="12.75" hidden="false" customHeight="true" outlineLevel="0" collapsed="false"/>
    <row r="3341" customFormat="false" ht="12.75" hidden="false" customHeight="true" outlineLevel="0" collapsed="false"/>
    <row r="3342" customFormat="false" ht="12.75" hidden="false" customHeight="true" outlineLevel="0" collapsed="false"/>
    <row r="3343" customFormat="false" ht="12.75" hidden="false" customHeight="true" outlineLevel="0" collapsed="false"/>
    <row r="3344" customFormat="false" ht="12.75" hidden="false" customHeight="true" outlineLevel="0" collapsed="false"/>
    <row r="3345" customFormat="false" ht="12.75" hidden="false" customHeight="true" outlineLevel="0" collapsed="false"/>
    <row r="3346" customFormat="false" ht="12.75" hidden="false" customHeight="true" outlineLevel="0" collapsed="false"/>
    <row r="3347" customFormat="false" ht="12.75" hidden="false" customHeight="true" outlineLevel="0" collapsed="false"/>
    <row r="3348" customFormat="false" ht="12.75" hidden="false" customHeight="true" outlineLevel="0" collapsed="false"/>
    <row r="3349" customFormat="false" ht="12.75" hidden="false" customHeight="true" outlineLevel="0" collapsed="false"/>
    <row r="3350" customFormat="false" ht="12.75" hidden="false" customHeight="true" outlineLevel="0" collapsed="false"/>
    <row r="3351" customFormat="false" ht="12.75" hidden="false" customHeight="true" outlineLevel="0" collapsed="false"/>
    <row r="3352" customFormat="false" ht="12.75" hidden="false" customHeight="true" outlineLevel="0" collapsed="false"/>
    <row r="3353" customFormat="false" ht="12.75" hidden="false" customHeight="true" outlineLevel="0" collapsed="false"/>
    <row r="3354" customFormat="false" ht="12.75" hidden="false" customHeight="true" outlineLevel="0" collapsed="false"/>
    <row r="3355" customFormat="false" ht="12.75" hidden="false" customHeight="true" outlineLevel="0" collapsed="false"/>
    <row r="3356" customFormat="false" ht="12.75" hidden="false" customHeight="true" outlineLevel="0" collapsed="false"/>
    <row r="3357" customFormat="false" ht="12.75" hidden="false" customHeight="true" outlineLevel="0" collapsed="false"/>
    <row r="3358" customFormat="false" ht="12.75" hidden="false" customHeight="true" outlineLevel="0" collapsed="false"/>
    <row r="3359" customFormat="false" ht="12.75" hidden="false" customHeight="true" outlineLevel="0" collapsed="false"/>
    <row r="3360" customFormat="false" ht="12.75" hidden="false" customHeight="true" outlineLevel="0" collapsed="false"/>
    <row r="3361" customFormat="false" ht="12.75" hidden="false" customHeight="true" outlineLevel="0" collapsed="false"/>
    <row r="3362" customFormat="false" ht="12.75" hidden="false" customHeight="true" outlineLevel="0" collapsed="false"/>
    <row r="3363" customFormat="false" ht="12.75" hidden="false" customHeight="true" outlineLevel="0" collapsed="false"/>
    <row r="3364" customFormat="false" ht="12.75" hidden="false" customHeight="true" outlineLevel="0" collapsed="false"/>
    <row r="3365" customFormat="false" ht="12.75" hidden="false" customHeight="true" outlineLevel="0" collapsed="false"/>
    <row r="3366" customFormat="false" ht="12.75" hidden="false" customHeight="true" outlineLevel="0" collapsed="false"/>
    <row r="3367" customFormat="false" ht="12.75" hidden="false" customHeight="true" outlineLevel="0" collapsed="false"/>
    <row r="3368" customFormat="false" ht="12.75" hidden="false" customHeight="true" outlineLevel="0" collapsed="false"/>
    <row r="3369" customFormat="false" ht="12.75" hidden="false" customHeight="true" outlineLevel="0" collapsed="false"/>
    <row r="3370" customFormat="false" ht="12.75" hidden="false" customHeight="true" outlineLevel="0" collapsed="false"/>
    <row r="3371" customFormat="false" ht="12.75" hidden="false" customHeight="true" outlineLevel="0" collapsed="false"/>
    <row r="3372" customFormat="false" ht="12.75" hidden="false" customHeight="true" outlineLevel="0" collapsed="false"/>
    <row r="3373" customFormat="false" ht="12.75" hidden="false" customHeight="true" outlineLevel="0" collapsed="false"/>
    <row r="3374" customFormat="false" ht="12.75" hidden="false" customHeight="true" outlineLevel="0" collapsed="false"/>
    <row r="3375" customFormat="false" ht="12.75" hidden="false" customHeight="true" outlineLevel="0" collapsed="false"/>
    <row r="3376" customFormat="false" ht="12.75" hidden="false" customHeight="true" outlineLevel="0" collapsed="false"/>
    <row r="3377" customFormat="false" ht="12.75" hidden="false" customHeight="true" outlineLevel="0" collapsed="false"/>
    <row r="3378" customFormat="false" ht="12.75" hidden="false" customHeight="true" outlineLevel="0" collapsed="false"/>
    <row r="3379" customFormat="false" ht="12.75" hidden="false" customHeight="true" outlineLevel="0" collapsed="false"/>
    <row r="3380" customFormat="false" ht="12.75" hidden="false" customHeight="true" outlineLevel="0" collapsed="false"/>
    <row r="3381" customFormat="false" ht="12.75" hidden="false" customHeight="true" outlineLevel="0" collapsed="false"/>
    <row r="3382" customFormat="false" ht="12.75" hidden="false" customHeight="true" outlineLevel="0" collapsed="false"/>
    <row r="3383" customFormat="false" ht="12.75" hidden="false" customHeight="true" outlineLevel="0" collapsed="false"/>
    <row r="3384" customFormat="false" ht="12.75" hidden="false" customHeight="true" outlineLevel="0" collapsed="false"/>
    <row r="3385" customFormat="false" ht="12.75" hidden="false" customHeight="true" outlineLevel="0" collapsed="false"/>
    <row r="3386" customFormat="false" ht="12.75" hidden="false" customHeight="true" outlineLevel="0" collapsed="false"/>
    <row r="3387" customFormat="false" ht="12.75" hidden="false" customHeight="true" outlineLevel="0" collapsed="false"/>
    <row r="3388" customFormat="false" ht="12.75" hidden="false" customHeight="true" outlineLevel="0" collapsed="false"/>
    <row r="3389" customFormat="false" ht="12.75" hidden="false" customHeight="true" outlineLevel="0" collapsed="false"/>
    <row r="3390" customFormat="false" ht="12.75" hidden="false" customHeight="true" outlineLevel="0" collapsed="false"/>
    <row r="3391" customFormat="false" ht="12.75" hidden="false" customHeight="true" outlineLevel="0" collapsed="false"/>
    <row r="3392" customFormat="false" ht="12.75" hidden="false" customHeight="true" outlineLevel="0" collapsed="false"/>
    <row r="3393" customFormat="false" ht="12.75" hidden="false" customHeight="true" outlineLevel="0" collapsed="false"/>
    <row r="3394" customFormat="false" ht="12.75" hidden="false" customHeight="true" outlineLevel="0" collapsed="false"/>
    <row r="3395" customFormat="false" ht="12.75" hidden="false" customHeight="true" outlineLevel="0" collapsed="false"/>
    <row r="3396" customFormat="false" ht="12.75" hidden="false" customHeight="true" outlineLevel="0" collapsed="false"/>
    <row r="3397" customFormat="false" ht="12.75" hidden="false" customHeight="true" outlineLevel="0" collapsed="false"/>
    <row r="3398" customFormat="false" ht="12.75" hidden="false" customHeight="true" outlineLevel="0" collapsed="false"/>
    <row r="3399" customFormat="false" ht="12.75" hidden="false" customHeight="true" outlineLevel="0" collapsed="false"/>
    <row r="3400" customFormat="false" ht="12.75" hidden="false" customHeight="true" outlineLevel="0" collapsed="false"/>
    <row r="3401" customFormat="false" ht="12.75" hidden="false" customHeight="true" outlineLevel="0" collapsed="false"/>
    <row r="3402" customFormat="false" ht="12.75" hidden="false" customHeight="true" outlineLevel="0" collapsed="false"/>
    <row r="3403" customFormat="false" ht="12.75" hidden="false" customHeight="true" outlineLevel="0" collapsed="false"/>
    <row r="3404" customFormat="false" ht="12.75" hidden="false" customHeight="true" outlineLevel="0" collapsed="false"/>
    <row r="3405" customFormat="false" ht="12.75" hidden="false" customHeight="true" outlineLevel="0" collapsed="false"/>
    <row r="3406" customFormat="false" ht="12.75" hidden="false" customHeight="true" outlineLevel="0" collapsed="false"/>
    <row r="3407" customFormat="false" ht="12.75" hidden="false" customHeight="true" outlineLevel="0" collapsed="false"/>
    <row r="3408" customFormat="false" ht="12.75" hidden="false" customHeight="true" outlineLevel="0" collapsed="false"/>
    <row r="3409" customFormat="false" ht="12.75" hidden="false" customHeight="true" outlineLevel="0" collapsed="false"/>
    <row r="3410" customFormat="false" ht="12.75" hidden="false" customHeight="true" outlineLevel="0" collapsed="false"/>
    <row r="3411" customFormat="false" ht="12.75" hidden="false" customHeight="true" outlineLevel="0" collapsed="false"/>
    <row r="3412" customFormat="false" ht="12.75" hidden="false" customHeight="true" outlineLevel="0" collapsed="false"/>
    <row r="3413" customFormat="false" ht="12.75" hidden="false" customHeight="true" outlineLevel="0" collapsed="false"/>
    <row r="3414" customFormat="false" ht="12.75" hidden="false" customHeight="true" outlineLevel="0" collapsed="false"/>
    <row r="3415" customFormat="false" ht="12.75" hidden="false" customHeight="true" outlineLevel="0" collapsed="false"/>
    <row r="3416" customFormat="false" ht="12.75" hidden="false" customHeight="true" outlineLevel="0" collapsed="false"/>
    <row r="3417" customFormat="false" ht="12.75" hidden="false" customHeight="true" outlineLevel="0" collapsed="false"/>
    <row r="3418" customFormat="false" ht="12.75" hidden="false" customHeight="true" outlineLevel="0" collapsed="false"/>
    <row r="3419" customFormat="false" ht="12.75" hidden="false" customHeight="true" outlineLevel="0" collapsed="false"/>
    <row r="3420" customFormat="false" ht="12.75" hidden="false" customHeight="true" outlineLevel="0" collapsed="false"/>
    <row r="3421" customFormat="false" ht="12.75" hidden="false" customHeight="true" outlineLevel="0" collapsed="false"/>
    <row r="3422" customFormat="false" ht="12.75" hidden="false" customHeight="true" outlineLevel="0" collapsed="false"/>
    <row r="3423" customFormat="false" ht="12.75" hidden="false" customHeight="true" outlineLevel="0" collapsed="false"/>
    <row r="3424" customFormat="false" ht="12.75" hidden="false" customHeight="true" outlineLevel="0" collapsed="false"/>
    <row r="3425" customFormat="false" ht="12.75" hidden="false" customHeight="true" outlineLevel="0" collapsed="false"/>
    <row r="3426" customFormat="false" ht="12.75" hidden="false" customHeight="true" outlineLevel="0" collapsed="false"/>
    <row r="3427" customFormat="false" ht="12.75" hidden="false" customHeight="true" outlineLevel="0" collapsed="false"/>
    <row r="3428" customFormat="false" ht="12.75" hidden="false" customHeight="true" outlineLevel="0" collapsed="false"/>
    <row r="3429" customFormat="false" ht="12.75" hidden="false" customHeight="true" outlineLevel="0" collapsed="false"/>
    <row r="3430" customFormat="false" ht="12.75" hidden="false" customHeight="true" outlineLevel="0" collapsed="false"/>
    <row r="3431" customFormat="false" ht="12.75" hidden="false" customHeight="true" outlineLevel="0" collapsed="false"/>
    <row r="3432" customFormat="false" ht="12.75" hidden="false" customHeight="true" outlineLevel="0" collapsed="false"/>
    <row r="3433" customFormat="false" ht="12.75" hidden="false" customHeight="true" outlineLevel="0" collapsed="false"/>
    <row r="3434" customFormat="false" ht="12.75" hidden="false" customHeight="true" outlineLevel="0" collapsed="false"/>
    <row r="3435" customFormat="false" ht="12.75" hidden="false" customHeight="true" outlineLevel="0" collapsed="false"/>
    <row r="3436" customFormat="false" ht="12.75" hidden="false" customHeight="true" outlineLevel="0" collapsed="false"/>
    <row r="3437" customFormat="false" ht="12.75" hidden="false" customHeight="true" outlineLevel="0" collapsed="false"/>
    <row r="3438" customFormat="false" ht="12.75" hidden="false" customHeight="true" outlineLevel="0" collapsed="false"/>
    <row r="3439" customFormat="false" ht="12.75" hidden="false" customHeight="true" outlineLevel="0" collapsed="false"/>
    <row r="3440" customFormat="false" ht="12.75" hidden="false" customHeight="true" outlineLevel="0" collapsed="false"/>
    <row r="3441" customFormat="false" ht="12.75" hidden="false" customHeight="true" outlineLevel="0" collapsed="false"/>
    <row r="3442" customFormat="false" ht="12.75" hidden="false" customHeight="true" outlineLevel="0" collapsed="false"/>
    <row r="3443" customFormat="false" ht="12.75" hidden="false" customHeight="true" outlineLevel="0" collapsed="false"/>
    <row r="3444" customFormat="false" ht="12.75" hidden="false" customHeight="true" outlineLevel="0" collapsed="false"/>
    <row r="3445" customFormat="false" ht="12.75" hidden="false" customHeight="true" outlineLevel="0" collapsed="false"/>
    <row r="3446" customFormat="false" ht="12.75" hidden="false" customHeight="true" outlineLevel="0" collapsed="false"/>
    <row r="3447" customFormat="false" ht="12.75" hidden="false" customHeight="true" outlineLevel="0" collapsed="false"/>
    <row r="3448" customFormat="false" ht="12.75" hidden="false" customHeight="true" outlineLevel="0" collapsed="false"/>
    <row r="3449" customFormat="false" ht="12.75" hidden="false" customHeight="true" outlineLevel="0" collapsed="false"/>
    <row r="3450" customFormat="false" ht="12.75" hidden="false" customHeight="true" outlineLevel="0" collapsed="false"/>
    <row r="3451" customFormat="false" ht="12.75" hidden="false" customHeight="true" outlineLevel="0" collapsed="false"/>
    <row r="3452" customFormat="false" ht="12.75" hidden="false" customHeight="true" outlineLevel="0" collapsed="false"/>
    <row r="3453" customFormat="false" ht="12.75" hidden="false" customHeight="true" outlineLevel="0" collapsed="false"/>
    <row r="3454" customFormat="false" ht="12.75" hidden="false" customHeight="true" outlineLevel="0" collapsed="false"/>
    <row r="3455" customFormat="false" ht="12.75" hidden="false" customHeight="true" outlineLevel="0" collapsed="false"/>
    <row r="3456" customFormat="false" ht="12.75" hidden="false" customHeight="true" outlineLevel="0" collapsed="false"/>
    <row r="3457" customFormat="false" ht="12.75" hidden="false" customHeight="true" outlineLevel="0" collapsed="false"/>
    <row r="3458" customFormat="false" ht="12.75" hidden="false" customHeight="true" outlineLevel="0" collapsed="false"/>
    <row r="3459" customFormat="false" ht="12.75" hidden="false" customHeight="true" outlineLevel="0" collapsed="false"/>
    <row r="3460" customFormat="false" ht="12.75" hidden="false" customHeight="true" outlineLevel="0" collapsed="false"/>
    <row r="3461" customFormat="false" ht="12.75" hidden="false" customHeight="true" outlineLevel="0" collapsed="false"/>
    <row r="3462" customFormat="false" ht="12.75" hidden="false" customHeight="true" outlineLevel="0" collapsed="false"/>
    <row r="3463" customFormat="false" ht="12.75" hidden="false" customHeight="true" outlineLevel="0" collapsed="false"/>
    <row r="3464" customFormat="false" ht="12.75" hidden="false" customHeight="true" outlineLevel="0" collapsed="false"/>
    <row r="3465" customFormat="false" ht="12.75" hidden="false" customHeight="true" outlineLevel="0" collapsed="false"/>
    <row r="3466" customFormat="false" ht="12.75" hidden="false" customHeight="true" outlineLevel="0" collapsed="false"/>
    <row r="3467" customFormat="false" ht="12.75" hidden="false" customHeight="true" outlineLevel="0" collapsed="false"/>
    <row r="3468" customFormat="false" ht="12.75" hidden="false" customHeight="true" outlineLevel="0" collapsed="false"/>
    <row r="3469" customFormat="false" ht="12.75" hidden="false" customHeight="true" outlineLevel="0" collapsed="false"/>
    <row r="3470" customFormat="false" ht="12.75" hidden="false" customHeight="true" outlineLevel="0" collapsed="false"/>
    <row r="3471" customFormat="false" ht="12.75" hidden="false" customHeight="true" outlineLevel="0" collapsed="false"/>
    <row r="3472" customFormat="false" ht="12.75" hidden="false" customHeight="true" outlineLevel="0" collapsed="false"/>
    <row r="3473" customFormat="false" ht="12.75" hidden="false" customHeight="true" outlineLevel="0" collapsed="false"/>
    <row r="3474" customFormat="false" ht="12.75" hidden="false" customHeight="true" outlineLevel="0" collapsed="false"/>
    <row r="3475" customFormat="false" ht="12.75" hidden="false" customHeight="true" outlineLevel="0" collapsed="false"/>
    <row r="3476" customFormat="false" ht="12.75" hidden="false" customHeight="true" outlineLevel="0" collapsed="false"/>
    <row r="3477" customFormat="false" ht="12.75" hidden="false" customHeight="true" outlineLevel="0" collapsed="false"/>
    <row r="3478" customFormat="false" ht="12.75" hidden="false" customHeight="true" outlineLevel="0" collapsed="false"/>
    <row r="3479" customFormat="false" ht="12.75" hidden="false" customHeight="true" outlineLevel="0" collapsed="false"/>
    <row r="3480" customFormat="false" ht="12.75" hidden="false" customHeight="true" outlineLevel="0" collapsed="false"/>
    <row r="3481" customFormat="false" ht="12.75" hidden="false" customHeight="true" outlineLevel="0" collapsed="false"/>
    <row r="3482" customFormat="false" ht="12.75" hidden="false" customHeight="true" outlineLevel="0" collapsed="false"/>
    <row r="3483" customFormat="false" ht="12.75" hidden="false" customHeight="true" outlineLevel="0" collapsed="false"/>
    <row r="3484" customFormat="false" ht="12.75" hidden="false" customHeight="true" outlineLevel="0" collapsed="false"/>
    <row r="3485" customFormat="false" ht="12.75" hidden="false" customHeight="true" outlineLevel="0" collapsed="false"/>
    <row r="3486" customFormat="false" ht="12.75" hidden="false" customHeight="true" outlineLevel="0" collapsed="false"/>
    <row r="3487" customFormat="false" ht="12.75" hidden="false" customHeight="true" outlineLevel="0" collapsed="false"/>
    <row r="3488" customFormat="false" ht="12.75" hidden="false" customHeight="true" outlineLevel="0" collapsed="false"/>
    <row r="3489" customFormat="false" ht="12.75" hidden="false" customHeight="true" outlineLevel="0" collapsed="false"/>
    <row r="3490" customFormat="false" ht="12.75" hidden="false" customHeight="true" outlineLevel="0" collapsed="false"/>
    <row r="3491" customFormat="false" ht="12.75" hidden="false" customHeight="true" outlineLevel="0" collapsed="false"/>
    <row r="3492" customFormat="false" ht="12.75" hidden="false" customHeight="true" outlineLevel="0" collapsed="false"/>
    <row r="3493" customFormat="false" ht="12.75" hidden="false" customHeight="true" outlineLevel="0" collapsed="false"/>
    <row r="3494" customFormat="false" ht="12.75" hidden="false" customHeight="true" outlineLevel="0" collapsed="false"/>
    <row r="3495" customFormat="false" ht="12.75" hidden="false" customHeight="true" outlineLevel="0" collapsed="false"/>
    <row r="3496" customFormat="false" ht="12.75" hidden="false" customHeight="true" outlineLevel="0" collapsed="false"/>
    <row r="3497" customFormat="false" ht="12.75" hidden="false" customHeight="true" outlineLevel="0" collapsed="false"/>
    <row r="3498" customFormat="false" ht="12.75" hidden="false" customHeight="true" outlineLevel="0" collapsed="false"/>
    <row r="3499" customFormat="false" ht="12.75" hidden="false" customHeight="true" outlineLevel="0" collapsed="false"/>
    <row r="3500" customFormat="false" ht="12.75" hidden="false" customHeight="true" outlineLevel="0" collapsed="false"/>
    <row r="3501" customFormat="false" ht="12.75" hidden="false" customHeight="true" outlineLevel="0" collapsed="false"/>
    <row r="3502" customFormat="false" ht="12.75" hidden="false" customHeight="true" outlineLevel="0" collapsed="false"/>
    <row r="3503" customFormat="false" ht="12.75" hidden="false" customHeight="true" outlineLevel="0" collapsed="false"/>
    <row r="3504" customFormat="false" ht="12.75" hidden="false" customHeight="true" outlineLevel="0" collapsed="false"/>
    <row r="3505" customFormat="false" ht="12.75" hidden="false" customHeight="true" outlineLevel="0" collapsed="false"/>
    <row r="3506" customFormat="false" ht="12.75" hidden="false" customHeight="true" outlineLevel="0" collapsed="false"/>
    <row r="3507" customFormat="false" ht="12.75" hidden="false" customHeight="true" outlineLevel="0" collapsed="false"/>
    <row r="3508" customFormat="false" ht="12.75" hidden="false" customHeight="true" outlineLevel="0" collapsed="false"/>
    <row r="3509" customFormat="false" ht="12.75" hidden="false" customHeight="true" outlineLevel="0" collapsed="false"/>
    <row r="3510" customFormat="false" ht="12.75" hidden="false" customHeight="true" outlineLevel="0" collapsed="false"/>
    <row r="3511" customFormat="false" ht="12.75" hidden="false" customHeight="true" outlineLevel="0" collapsed="false"/>
    <row r="3512" customFormat="false" ht="12.75" hidden="false" customHeight="true" outlineLevel="0" collapsed="false"/>
    <row r="3513" customFormat="false" ht="12.75" hidden="false" customHeight="true" outlineLevel="0" collapsed="false"/>
    <row r="3514" customFormat="false" ht="12.75" hidden="false" customHeight="true" outlineLevel="0" collapsed="false"/>
    <row r="3515" customFormat="false" ht="12.75" hidden="false" customHeight="true" outlineLevel="0" collapsed="false"/>
    <row r="3516" customFormat="false" ht="12.75" hidden="false" customHeight="true" outlineLevel="0" collapsed="false"/>
    <row r="3517" customFormat="false" ht="12.75" hidden="false" customHeight="true" outlineLevel="0" collapsed="false"/>
    <row r="3518" customFormat="false" ht="12.75" hidden="false" customHeight="true" outlineLevel="0" collapsed="false"/>
    <row r="3519" customFormat="false" ht="12.75" hidden="false" customHeight="true" outlineLevel="0" collapsed="false"/>
    <row r="3520" customFormat="false" ht="12.75" hidden="false" customHeight="true" outlineLevel="0" collapsed="false"/>
    <row r="3521" customFormat="false" ht="12.75" hidden="false" customHeight="true" outlineLevel="0" collapsed="false"/>
    <row r="3522" customFormat="false" ht="12.75" hidden="false" customHeight="true" outlineLevel="0" collapsed="false"/>
    <row r="3523" customFormat="false" ht="12.75" hidden="false" customHeight="true" outlineLevel="0" collapsed="false"/>
    <row r="3524" customFormat="false" ht="12.75" hidden="false" customHeight="true" outlineLevel="0" collapsed="false"/>
    <row r="3525" customFormat="false" ht="12.75" hidden="false" customHeight="true" outlineLevel="0" collapsed="false"/>
    <row r="3526" customFormat="false" ht="12.75" hidden="false" customHeight="true" outlineLevel="0" collapsed="false"/>
    <row r="3527" customFormat="false" ht="12.75" hidden="false" customHeight="true" outlineLevel="0" collapsed="false"/>
    <row r="3528" customFormat="false" ht="12.75" hidden="false" customHeight="true" outlineLevel="0" collapsed="false"/>
    <row r="3529" customFormat="false" ht="12.75" hidden="false" customHeight="true" outlineLevel="0" collapsed="false"/>
    <row r="3530" customFormat="false" ht="12.75" hidden="false" customHeight="true" outlineLevel="0" collapsed="false"/>
    <row r="3531" customFormat="false" ht="12.75" hidden="false" customHeight="true" outlineLevel="0" collapsed="false"/>
    <row r="3532" customFormat="false" ht="12.75" hidden="false" customHeight="true" outlineLevel="0" collapsed="false"/>
    <row r="3533" customFormat="false" ht="12.75" hidden="false" customHeight="true" outlineLevel="0" collapsed="false"/>
    <row r="3534" customFormat="false" ht="12.75" hidden="false" customHeight="true" outlineLevel="0" collapsed="false"/>
    <row r="3535" customFormat="false" ht="12.75" hidden="false" customHeight="true" outlineLevel="0" collapsed="false"/>
    <row r="3536" customFormat="false" ht="12.75" hidden="false" customHeight="true" outlineLevel="0" collapsed="false"/>
    <row r="3537" customFormat="false" ht="12.75" hidden="false" customHeight="true" outlineLevel="0" collapsed="false"/>
    <row r="3538" customFormat="false" ht="12.75" hidden="false" customHeight="true" outlineLevel="0" collapsed="false"/>
    <row r="3539" customFormat="false" ht="12.75" hidden="false" customHeight="true" outlineLevel="0" collapsed="false"/>
    <row r="3540" customFormat="false" ht="12.75" hidden="false" customHeight="true" outlineLevel="0" collapsed="false"/>
    <row r="3541" customFormat="false" ht="12.75" hidden="false" customHeight="true" outlineLevel="0" collapsed="false"/>
    <row r="3542" customFormat="false" ht="12.75" hidden="false" customHeight="true" outlineLevel="0" collapsed="false"/>
    <row r="3543" customFormat="false" ht="12.75" hidden="false" customHeight="true" outlineLevel="0" collapsed="false"/>
    <row r="3544" customFormat="false" ht="12.75" hidden="false" customHeight="true" outlineLevel="0" collapsed="false"/>
    <row r="3545" customFormat="false" ht="12.75" hidden="false" customHeight="true" outlineLevel="0" collapsed="false"/>
    <row r="3546" customFormat="false" ht="12.75" hidden="false" customHeight="true" outlineLevel="0" collapsed="false"/>
    <row r="3547" customFormat="false" ht="12.75" hidden="false" customHeight="true" outlineLevel="0" collapsed="false"/>
    <row r="3548" customFormat="false" ht="12.75" hidden="false" customHeight="true" outlineLevel="0" collapsed="false"/>
    <row r="3549" customFormat="false" ht="12.75" hidden="false" customHeight="true" outlineLevel="0" collapsed="false"/>
    <row r="3550" customFormat="false" ht="12.75" hidden="false" customHeight="true" outlineLevel="0" collapsed="false"/>
    <row r="3551" customFormat="false" ht="12.75" hidden="false" customHeight="true" outlineLevel="0" collapsed="false"/>
    <row r="3552" customFormat="false" ht="12.75" hidden="false" customHeight="true" outlineLevel="0" collapsed="false"/>
    <row r="3553" customFormat="false" ht="12.75" hidden="false" customHeight="true" outlineLevel="0" collapsed="false"/>
    <row r="3554" customFormat="false" ht="12.75" hidden="false" customHeight="true" outlineLevel="0" collapsed="false"/>
    <row r="3555" customFormat="false" ht="12.75" hidden="false" customHeight="true" outlineLevel="0" collapsed="false"/>
    <row r="3556" customFormat="false" ht="12.75" hidden="false" customHeight="true" outlineLevel="0" collapsed="false"/>
    <row r="3557" customFormat="false" ht="12.75" hidden="false" customHeight="true" outlineLevel="0" collapsed="false"/>
    <row r="3558" customFormat="false" ht="12.75" hidden="false" customHeight="true" outlineLevel="0" collapsed="false"/>
    <row r="3559" customFormat="false" ht="12.75" hidden="false" customHeight="true" outlineLevel="0" collapsed="false"/>
    <row r="3560" customFormat="false" ht="12.75" hidden="false" customHeight="true" outlineLevel="0" collapsed="false"/>
    <row r="3561" customFormat="false" ht="12.75" hidden="false" customHeight="true" outlineLevel="0" collapsed="false"/>
    <row r="3562" customFormat="false" ht="12.75" hidden="false" customHeight="true" outlineLevel="0" collapsed="false"/>
    <row r="3563" customFormat="false" ht="12.75" hidden="false" customHeight="true" outlineLevel="0" collapsed="false"/>
    <row r="3564" customFormat="false" ht="12.75" hidden="false" customHeight="true" outlineLevel="0" collapsed="false"/>
    <row r="3565" customFormat="false" ht="12.75" hidden="false" customHeight="true" outlineLevel="0" collapsed="false"/>
    <row r="3566" customFormat="false" ht="12.75" hidden="false" customHeight="true" outlineLevel="0" collapsed="false"/>
    <row r="3567" customFormat="false" ht="12.75" hidden="false" customHeight="true" outlineLevel="0" collapsed="false"/>
    <row r="3568" customFormat="false" ht="12.75" hidden="false" customHeight="true" outlineLevel="0" collapsed="false"/>
    <row r="3569" customFormat="false" ht="12.75" hidden="false" customHeight="true" outlineLevel="0" collapsed="false"/>
    <row r="3570" customFormat="false" ht="12.75" hidden="false" customHeight="true" outlineLevel="0" collapsed="false"/>
    <row r="3571" customFormat="false" ht="12.75" hidden="false" customHeight="true" outlineLevel="0" collapsed="false"/>
    <row r="3572" customFormat="false" ht="12.75" hidden="false" customHeight="true" outlineLevel="0" collapsed="false"/>
    <row r="3573" customFormat="false" ht="12.75" hidden="false" customHeight="true" outlineLevel="0" collapsed="false"/>
    <row r="3574" customFormat="false" ht="12.75" hidden="false" customHeight="true" outlineLevel="0" collapsed="false"/>
    <row r="3575" customFormat="false" ht="12.75" hidden="false" customHeight="true" outlineLevel="0" collapsed="false"/>
    <row r="3576" customFormat="false" ht="12.75" hidden="false" customHeight="true" outlineLevel="0" collapsed="false"/>
    <row r="3577" customFormat="false" ht="12.75" hidden="false" customHeight="true" outlineLevel="0" collapsed="false"/>
    <row r="3578" customFormat="false" ht="12.75" hidden="false" customHeight="true" outlineLevel="0" collapsed="false"/>
    <row r="3579" customFormat="false" ht="12.75" hidden="false" customHeight="true" outlineLevel="0" collapsed="false"/>
    <row r="3580" customFormat="false" ht="12.75" hidden="false" customHeight="true" outlineLevel="0" collapsed="false"/>
    <row r="3581" customFormat="false" ht="12.75" hidden="false" customHeight="true" outlineLevel="0" collapsed="false"/>
    <row r="3582" customFormat="false" ht="12.75" hidden="false" customHeight="true" outlineLevel="0" collapsed="false"/>
    <row r="3583" customFormat="false" ht="12.75" hidden="false" customHeight="true" outlineLevel="0" collapsed="false"/>
    <row r="3584" customFormat="false" ht="12.75" hidden="false" customHeight="true" outlineLevel="0" collapsed="false"/>
    <row r="3585" customFormat="false" ht="12.75" hidden="false" customHeight="true" outlineLevel="0" collapsed="false"/>
    <row r="3586" customFormat="false" ht="12.75" hidden="false" customHeight="true" outlineLevel="0" collapsed="false"/>
    <row r="3587" customFormat="false" ht="12.75" hidden="false" customHeight="true" outlineLevel="0" collapsed="false"/>
    <row r="3588" customFormat="false" ht="12.75" hidden="false" customHeight="true" outlineLevel="0" collapsed="false"/>
    <row r="3589" customFormat="false" ht="12.75" hidden="false" customHeight="true" outlineLevel="0" collapsed="false"/>
    <row r="3590" customFormat="false" ht="12.75" hidden="false" customHeight="true" outlineLevel="0" collapsed="false"/>
    <row r="3591" customFormat="false" ht="12.75" hidden="false" customHeight="true" outlineLevel="0" collapsed="false"/>
    <row r="3592" customFormat="false" ht="12.75" hidden="false" customHeight="true" outlineLevel="0" collapsed="false"/>
    <row r="3593" customFormat="false" ht="12.75" hidden="false" customHeight="true" outlineLevel="0" collapsed="false"/>
    <row r="3594" customFormat="false" ht="12.75" hidden="false" customHeight="true" outlineLevel="0" collapsed="false"/>
    <row r="3595" customFormat="false" ht="12.75" hidden="false" customHeight="true" outlineLevel="0" collapsed="false"/>
    <row r="3596" customFormat="false" ht="12.75" hidden="false" customHeight="true" outlineLevel="0" collapsed="false"/>
    <row r="3597" customFormat="false" ht="12.75" hidden="false" customHeight="true" outlineLevel="0" collapsed="false"/>
    <row r="3598" customFormat="false" ht="12.75" hidden="false" customHeight="true" outlineLevel="0" collapsed="false"/>
    <row r="3599" customFormat="false" ht="12.75" hidden="false" customHeight="true" outlineLevel="0" collapsed="false"/>
    <row r="3600" customFormat="false" ht="12.75" hidden="false" customHeight="true" outlineLevel="0" collapsed="false"/>
    <row r="3601" customFormat="false" ht="12.75" hidden="false" customHeight="true" outlineLevel="0" collapsed="false"/>
    <row r="3602" customFormat="false" ht="12.75" hidden="false" customHeight="true" outlineLevel="0" collapsed="false"/>
    <row r="3603" customFormat="false" ht="12.75" hidden="false" customHeight="true" outlineLevel="0" collapsed="false"/>
    <row r="3604" customFormat="false" ht="12.75" hidden="false" customHeight="true" outlineLevel="0" collapsed="false"/>
    <row r="3605" customFormat="false" ht="12.75" hidden="false" customHeight="true" outlineLevel="0" collapsed="false"/>
    <row r="3606" customFormat="false" ht="12.75" hidden="false" customHeight="true" outlineLevel="0" collapsed="false"/>
    <row r="3607" customFormat="false" ht="12.75" hidden="false" customHeight="true" outlineLevel="0" collapsed="false"/>
    <row r="3608" customFormat="false" ht="12.75" hidden="false" customHeight="true" outlineLevel="0" collapsed="false"/>
    <row r="3609" customFormat="false" ht="12.75" hidden="false" customHeight="true" outlineLevel="0" collapsed="false"/>
    <row r="3610" customFormat="false" ht="12.75" hidden="false" customHeight="true" outlineLevel="0" collapsed="false"/>
    <row r="3611" customFormat="false" ht="12.75" hidden="false" customHeight="true" outlineLevel="0" collapsed="false"/>
    <row r="3612" customFormat="false" ht="12.75" hidden="false" customHeight="true" outlineLevel="0" collapsed="false"/>
    <row r="3613" customFormat="false" ht="12.75" hidden="false" customHeight="true" outlineLevel="0" collapsed="false"/>
    <row r="3614" customFormat="false" ht="12.75" hidden="false" customHeight="true" outlineLevel="0" collapsed="false"/>
    <row r="3615" customFormat="false" ht="12.75" hidden="false" customHeight="true" outlineLevel="0" collapsed="false"/>
    <row r="3616" customFormat="false" ht="12.75" hidden="false" customHeight="true" outlineLevel="0" collapsed="false"/>
    <row r="3617" customFormat="false" ht="12.75" hidden="false" customHeight="true" outlineLevel="0" collapsed="false"/>
    <row r="3618" customFormat="false" ht="12.75" hidden="false" customHeight="true" outlineLevel="0" collapsed="false"/>
    <row r="3619" customFormat="false" ht="12.75" hidden="false" customHeight="true" outlineLevel="0" collapsed="false"/>
    <row r="3620" customFormat="false" ht="12.75" hidden="false" customHeight="true" outlineLevel="0" collapsed="false"/>
    <row r="3621" customFormat="false" ht="12.75" hidden="false" customHeight="true" outlineLevel="0" collapsed="false"/>
    <row r="3622" customFormat="false" ht="12.75" hidden="false" customHeight="true" outlineLevel="0" collapsed="false"/>
    <row r="3623" customFormat="false" ht="12.75" hidden="false" customHeight="true" outlineLevel="0" collapsed="false"/>
    <row r="3624" customFormat="false" ht="12.75" hidden="false" customHeight="true" outlineLevel="0" collapsed="false"/>
    <row r="3625" customFormat="false" ht="12.75" hidden="false" customHeight="true" outlineLevel="0" collapsed="false"/>
    <row r="3626" customFormat="false" ht="12.75" hidden="false" customHeight="true" outlineLevel="0" collapsed="false"/>
    <row r="3627" customFormat="false" ht="12.75" hidden="false" customHeight="true" outlineLevel="0" collapsed="false"/>
    <row r="3628" customFormat="false" ht="12.75" hidden="false" customHeight="true" outlineLevel="0" collapsed="false"/>
    <row r="3629" customFormat="false" ht="12.75" hidden="false" customHeight="true" outlineLevel="0" collapsed="false"/>
    <row r="3630" customFormat="false" ht="12.75" hidden="false" customHeight="true" outlineLevel="0" collapsed="false"/>
    <row r="3631" customFormat="false" ht="12.75" hidden="false" customHeight="true" outlineLevel="0" collapsed="false"/>
    <row r="3632" customFormat="false" ht="12.75" hidden="false" customHeight="true" outlineLevel="0" collapsed="false"/>
    <row r="3633" customFormat="false" ht="12.75" hidden="false" customHeight="true" outlineLevel="0" collapsed="false"/>
    <row r="3634" customFormat="false" ht="12.75" hidden="false" customHeight="true" outlineLevel="0" collapsed="false"/>
    <row r="3635" customFormat="false" ht="12.75" hidden="false" customHeight="true" outlineLevel="0" collapsed="false"/>
    <row r="3636" customFormat="false" ht="12.75" hidden="false" customHeight="true" outlineLevel="0" collapsed="false"/>
    <row r="3637" customFormat="false" ht="12.75" hidden="false" customHeight="true" outlineLevel="0" collapsed="false"/>
    <row r="3638" customFormat="false" ht="12.75" hidden="false" customHeight="true" outlineLevel="0" collapsed="false"/>
    <row r="3639" customFormat="false" ht="12.75" hidden="false" customHeight="true" outlineLevel="0" collapsed="false"/>
    <row r="3640" customFormat="false" ht="12.75" hidden="false" customHeight="true" outlineLevel="0" collapsed="false"/>
    <row r="3641" customFormat="false" ht="12.75" hidden="false" customHeight="true" outlineLevel="0" collapsed="false"/>
    <row r="3642" customFormat="false" ht="12.75" hidden="false" customHeight="true" outlineLevel="0" collapsed="false"/>
    <row r="3643" customFormat="false" ht="12.75" hidden="false" customHeight="true" outlineLevel="0" collapsed="false"/>
    <row r="3644" customFormat="false" ht="12.75" hidden="false" customHeight="true" outlineLevel="0" collapsed="false"/>
    <row r="3645" customFormat="false" ht="12.75" hidden="false" customHeight="true" outlineLevel="0" collapsed="false"/>
    <row r="3646" customFormat="false" ht="12.75" hidden="false" customHeight="true" outlineLevel="0" collapsed="false"/>
    <row r="3647" customFormat="false" ht="12.75" hidden="false" customHeight="true" outlineLevel="0" collapsed="false"/>
    <row r="3648" customFormat="false" ht="12.75" hidden="false" customHeight="true" outlineLevel="0" collapsed="false"/>
    <row r="3649" customFormat="false" ht="12.75" hidden="false" customHeight="true" outlineLevel="0" collapsed="false"/>
    <row r="3650" customFormat="false" ht="12.75" hidden="false" customHeight="true" outlineLevel="0" collapsed="false"/>
    <row r="3651" customFormat="false" ht="12.75" hidden="false" customHeight="true" outlineLevel="0" collapsed="false"/>
    <row r="3652" customFormat="false" ht="12.75" hidden="false" customHeight="true" outlineLevel="0" collapsed="false"/>
    <row r="3653" customFormat="false" ht="12.75" hidden="false" customHeight="true" outlineLevel="0" collapsed="false"/>
    <row r="3654" customFormat="false" ht="12.75" hidden="false" customHeight="true" outlineLevel="0" collapsed="false"/>
    <row r="3655" customFormat="false" ht="12.75" hidden="false" customHeight="true" outlineLevel="0" collapsed="false"/>
    <row r="3656" customFormat="false" ht="12.75" hidden="false" customHeight="true" outlineLevel="0" collapsed="false"/>
    <row r="3657" customFormat="false" ht="12.75" hidden="false" customHeight="true" outlineLevel="0" collapsed="false"/>
    <row r="3658" customFormat="false" ht="12.75" hidden="false" customHeight="true" outlineLevel="0" collapsed="false"/>
    <row r="3659" customFormat="false" ht="12.75" hidden="false" customHeight="true" outlineLevel="0" collapsed="false"/>
    <row r="3660" customFormat="false" ht="12.75" hidden="false" customHeight="true" outlineLevel="0" collapsed="false"/>
    <row r="3661" customFormat="false" ht="12.75" hidden="false" customHeight="true" outlineLevel="0" collapsed="false"/>
    <row r="3662" customFormat="false" ht="12.75" hidden="false" customHeight="true" outlineLevel="0" collapsed="false"/>
    <row r="3663" customFormat="false" ht="12.75" hidden="false" customHeight="true" outlineLevel="0" collapsed="false"/>
    <row r="3664" customFormat="false" ht="12.75" hidden="false" customHeight="true" outlineLevel="0" collapsed="false"/>
    <row r="3665" customFormat="false" ht="12.75" hidden="false" customHeight="true" outlineLevel="0" collapsed="false"/>
    <row r="3666" customFormat="false" ht="12.75" hidden="false" customHeight="true" outlineLevel="0" collapsed="false"/>
    <row r="3667" customFormat="false" ht="12.75" hidden="false" customHeight="true" outlineLevel="0" collapsed="false"/>
    <row r="3668" customFormat="false" ht="12.75" hidden="false" customHeight="true" outlineLevel="0" collapsed="false"/>
    <row r="3669" customFormat="false" ht="12.75" hidden="false" customHeight="true" outlineLevel="0" collapsed="false"/>
    <row r="3670" customFormat="false" ht="12.75" hidden="false" customHeight="true" outlineLevel="0" collapsed="false"/>
    <row r="3671" customFormat="false" ht="12.75" hidden="false" customHeight="true" outlineLevel="0" collapsed="false"/>
    <row r="3672" customFormat="false" ht="12.75" hidden="false" customHeight="true" outlineLevel="0" collapsed="false"/>
    <row r="3673" customFormat="false" ht="12.75" hidden="false" customHeight="true" outlineLevel="0" collapsed="false"/>
    <row r="3674" customFormat="false" ht="12.75" hidden="false" customHeight="true" outlineLevel="0" collapsed="false"/>
    <row r="3675" customFormat="false" ht="12.75" hidden="false" customHeight="true" outlineLevel="0" collapsed="false"/>
    <row r="3676" customFormat="false" ht="12.75" hidden="false" customHeight="true" outlineLevel="0" collapsed="false"/>
    <row r="3677" customFormat="false" ht="12.75" hidden="false" customHeight="true" outlineLevel="0" collapsed="false"/>
    <row r="3678" customFormat="false" ht="12.75" hidden="false" customHeight="true" outlineLevel="0" collapsed="false"/>
    <row r="3679" customFormat="false" ht="12.75" hidden="false" customHeight="true" outlineLevel="0" collapsed="false"/>
    <row r="3680" customFormat="false" ht="12.75" hidden="false" customHeight="true" outlineLevel="0" collapsed="false"/>
    <row r="3681" customFormat="false" ht="12.75" hidden="false" customHeight="true" outlineLevel="0" collapsed="false"/>
    <row r="3682" customFormat="false" ht="12.75" hidden="false" customHeight="true" outlineLevel="0" collapsed="false"/>
    <row r="3683" customFormat="false" ht="12.75" hidden="false" customHeight="true" outlineLevel="0" collapsed="false"/>
    <row r="3684" customFormat="false" ht="12.75" hidden="false" customHeight="true" outlineLevel="0" collapsed="false"/>
    <row r="3685" customFormat="false" ht="12.75" hidden="false" customHeight="true" outlineLevel="0" collapsed="false"/>
    <row r="3686" customFormat="false" ht="12.75" hidden="false" customHeight="true" outlineLevel="0" collapsed="false"/>
    <row r="3687" customFormat="false" ht="12.75" hidden="false" customHeight="true" outlineLevel="0" collapsed="false"/>
    <row r="3688" customFormat="false" ht="12.75" hidden="false" customHeight="true" outlineLevel="0" collapsed="false"/>
    <row r="3689" customFormat="false" ht="12.75" hidden="false" customHeight="true" outlineLevel="0" collapsed="false"/>
    <row r="3690" customFormat="false" ht="12.75" hidden="false" customHeight="true" outlineLevel="0" collapsed="false"/>
    <row r="3691" customFormat="false" ht="12.75" hidden="false" customHeight="true" outlineLevel="0" collapsed="false"/>
    <row r="3692" customFormat="false" ht="12.75" hidden="false" customHeight="true" outlineLevel="0" collapsed="false"/>
    <row r="3693" customFormat="false" ht="12.75" hidden="false" customHeight="true" outlineLevel="0" collapsed="false"/>
    <row r="3694" customFormat="false" ht="12.75" hidden="false" customHeight="true" outlineLevel="0" collapsed="false"/>
    <row r="3695" customFormat="false" ht="12.75" hidden="false" customHeight="true" outlineLevel="0" collapsed="false"/>
    <row r="3696" customFormat="false" ht="12.75" hidden="false" customHeight="true" outlineLevel="0" collapsed="false"/>
    <row r="3697" customFormat="false" ht="12.75" hidden="false" customHeight="true" outlineLevel="0" collapsed="false"/>
    <row r="3698" customFormat="false" ht="12.75" hidden="false" customHeight="true" outlineLevel="0" collapsed="false"/>
    <row r="3699" customFormat="false" ht="12.75" hidden="false" customHeight="true" outlineLevel="0" collapsed="false"/>
    <row r="3700" customFormat="false" ht="12.75" hidden="false" customHeight="true" outlineLevel="0" collapsed="false"/>
    <row r="3701" customFormat="false" ht="12.75" hidden="false" customHeight="true" outlineLevel="0" collapsed="false"/>
    <row r="3702" customFormat="false" ht="12.75" hidden="false" customHeight="true" outlineLevel="0" collapsed="false"/>
    <row r="3703" customFormat="false" ht="12.75" hidden="false" customHeight="true" outlineLevel="0" collapsed="false"/>
    <row r="3704" customFormat="false" ht="12.75" hidden="false" customHeight="true" outlineLevel="0" collapsed="false"/>
    <row r="3705" customFormat="false" ht="12.75" hidden="false" customHeight="true" outlineLevel="0" collapsed="false"/>
    <row r="3706" customFormat="false" ht="12.75" hidden="false" customHeight="true" outlineLevel="0" collapsed="false"/>
    <row r="3707" customFormat="false" ht="12.75" hidden="false" customHeight="true" outlineLevel="0" collapsed="false"/>
    <row r="3708" customFormat="false" ht="12.75" hidden="false" customHeight="true" outlineLevel="0" collapsed="false"/>
    <row r="3709" customFormat="false" ht="12.75" hidden="false" customHeight="true" outlineLevel="0" collapsed="false"/>
    <row r="3710" customFormat="false" ht="12.75" hidden="false" customHeight="true" outlineLevel="0" collapsed="false"/>
    <row r="3711" customFormat="false" ht="12.75" hidden="false" customHeight="true" outlineLevel="0" collapsed="false"/>
    <row r="3712" customFormat="false" ht="12.75" hidden="false" customHeight="true" outlineLevel="0" collapsed="false"/>
    <row r="3713" customFormat="false" ht="12.75" hidden="false" customHeight="true" outlineLevel="0" collapsed="false"/>
    <row r="3714" customFormat="false" ht="12.75" hidden="false" customHeight="true" outlineLevel="0" collapsed="false"/>
    <row r="3715" customFormat="false" ht="12.75" hidden="false" customHeight="true" outlineLevel="0" collapsed="false"/>
    <row r="3716" customFormat="false" ht="12.75" hidden="false" customHeight="true" outlineLevel="0" collapsed="false"/>
    <row r="3717" customFormat="false" ht="12.75" hidden="false" customHeight="true" outlineLevel="0" collapsed="false"/>
    <row r="3718" customFormat="false" ht="12.75" hidden="false" customHeight="true" outlineLevel="0" collapsed="false"/>
    <row r="3719" customFormat="false" ht="12.75" hidden="false" customHeight="true" outlineLevel="0" collapsed="false"/>
    <row r="3720" customFormat="false" ht="12.75" hidden="false" customHeight="true" outlineLevel="0" collapsed="false"/>
    <row r="3721" customFormat="false" ht="12.75" hidden="false" customHeight="true" outlineLevel="0" collapsed="false"/>
    <row r="3722" customFormat="false" ht="12.75" hidden="false" customHeight="true" outlineLevel="0" collapsed="false"/>
    <row r="3723" customFormat="false" ht="12.75" hidden="false" customHeight="true" outlineLevel="0" collapsed="false"/>
    <row r="3724" customFormat="false" ht="12.75" hidden="false" customHeight="true" outlineLevel="0" collapsed="false"/>
    <row r="3725" customFormat="false" ht="12.75" hidden="false" customHeight="true" outlineLevel="0" collapsed="false"/>
    <row r="3726" customFormat="false" ht="12.75" hidden="false" customHeight="true" outlineLevel="0" collapsed="false"/>
    <row r="3727" customFormat="false" ht="12.75" hidden="false" customHeight="true" outlineLevel="0" collapsed="false"/>
    <row r="3728" customFormat="false" ht="12.75" hidden="false" customHeight="true" outlineLevel="0" collapsed="false"/>
    <row r="3729" customFormat="false" ht="12.75" hidden="false" customHeight="true" outlineLevel="0" collapsed="false"/>
    <row r="3730" customFormat="false" ht="12.75" hidden="false" customHeight="true" outlineLevel="0" collapsed="false"/>
    <row r="3731" customFormat="false" ht="12.75" hidden="false" customHeight="true" outlineLevel="0" collapsed="false"/>
    <row r="3732" customFormat="false" ht="12.75" hidden="false" customHeight="true" outlineLevel="0" collapsed="false"/>
    <row r="3733" customFormat="false" ht="12.75" hidden="false" customHeight="true" outlineLevel="0" collapsed="false"/>
    <row r="3734" customFormat="false" ht="12.75" hidden="false" customHeight="true" outlineLevel="0" collapsed="false"/>
    <row r="3735" customFormat="false" ht="12.75" hidden="false" customHeight="true" outlineLevel="0" collapsed="false"/>
    <row r="3736" customFormat="false" ht="12.75" hidden="false" customHeight="true" outlineLevel="0" collapsed="false"/>
    <row r="3737" customFormat="false" ht="12.75" hidden="false" customHeight="true" outlineLevel="0" collapsed="false"/>
    <row r="3738" customFormat="false" ht="12.75" hidden="false" customHeight="true" outlineLevel="0" collapsed="false"/>
    <row r="3739" customFormat="false" ht="12.75" hidden="false" customHeight="true" outlineLevel="0" collapsed="false"/>
    <row r="3740" customFormat="false" ht="12.75" hidden="false" customHeight="true" outlineLevel="0" collapsed="false"/>
    <row r="3741" customFormat="false" ht="12.75" hidden="false" customHeight="true" outlineLevel="0" collapsed="false"/>
    <row r="3742" customFormat="false" ht="12.75" hidden="false" customHeight="true" outlineLevel="0" collapsed="false"/>
    <row r="3743" customFormat="false" ht="12.75" hidden="false" customHeight="true" outlineLevel="0" collapsed="false"/>
    <row r="3744" customFormat="false" ht="12.75" hidden="false" customHeight="true" outlineLevel="0" collapsed="false"/>
    <row r="3745" customFormat="false" ht="12.75" hidden="false" customHeight="true" outlineLevel="0" collapsed="false"/>
    <row r="3746" customFormat="false" ht="12.75" hidden="false" customHeight="true" outlineLevel="0" collapsed="false"/>
    <row r="3747" customFormat="false" ht="12.75" hidden="false" customHeight="true" outlineLevel="0" collapsed="false"/>
    <row r="3748" customFormat="false" ht="12.75" hidden="false" customHeight="true" outlineLevel="0" collapsed="false"/>
    <row r="3749" customFormat="false" ht="12.75" hidden="false" customHeight="true" outlineLevel="0" collapsed="false"/>
    <row r="3750" customFormat="false" ht="12.75" hidden="false" customHeight="true" outlineLevel="0" collapsed="false"/>
    <row r="3751" customFormat="false" ht="12.75" hidden="false" customHeight="true" outlineLevel="0" collapsed="false"/>
    <row r="3752" customFormat="false" ht="12.75" hidden="false" customHeight="true" outlineLevel="0" collapsed="false"/>
    <row r="3753" customFormat="false" ht="12.75" hidden="false" customHeight="true" outlineLevel="0" collapsed="false"/>
    <row r="3754" customFormat="false" ht="12.75" hidden="false" customHeight="true" outlineLevel="0" collapsed="false"/>
    <row r="3755" customFormat="false" ht="12.75" hidden="false" customHeight="true" outlineLevel="0" collapsed="false"/>
    <row r="3756" customFormat="false" ht="12.75" hidden="false" customHeight="true" outlineLevel="0" collapsed="false"/>
    <row r="3757" customFormat="false" ht="12.75" hidden="false" customHeight="true" outlineLevel="0" collapsed="false"/>
    <row r="3758" customFormat="false" ht="12.75" hidden="false" customHeight="true" outlineLevel="0" collapsed="false"/>
    <row r="3759" customFormat="false" ht="12.75" hidden="false" customHeight="true" outlineLevel="0" collapsed="false"/>
    <row r="3760" customFormat="false" ht="12.75" hidden="false" customHeight="true" outlineLevel="0" collapsed="false"/>
    <row r="3761" customFormat="false" ht="12.75" hidden="false" customHeight="true" outlineLevel="0" collapsed="false"/>
    <row r="3762" customFormat="false" ht="12.75" hidden="false" customHeight="true" outlineLevel="0" collapsed="false"/>
    <row r="3763" customFormat="false" ht="12.75" hidden="false" customHeight="true" outlineLevel="0" collapsed="false"/>
    <row r="3764" customFormat="false" ht="12.75" hidden="false" customHeight="true" outlineLevel="0" collapsed="false"/>
    <row r="3765" customFormat="false" ht="12.75" hidden="false" customHeight="true" outlineLevel="0" collapsed="false"/>
    <row r="3766" customFormat="false" ht="12.75" hidden="false" customHeight="true" outlineLevel="0" collapsed="false"/>
    <row r="3767" customFormat="false" ht="12.75" hidden="false" customHeight="true" outlineLevel="0" collapsed="false"/>
    <row r="3768" customFormat="false" ht="12.75" hidden="false" customHeight="true" outlineLevel="0" collapsed="false"/>
    <row r="3769" customFormat="false" ht="12.75" hidden="false" customHeight="true" outlineLevel="0" collapsed="false"/>
    <row r="3770" customFormat="false" ht="12.75" hidden="false" customHeight="true" outlineLevel="0" collapsed="false"/>
    <row r="3771" customFormat="false" ht="12.75" hidden="false" customHeight="true" outlineLevel="0" collapsed="false"/>
    <row r="3772" customFormat="false" ht="12.75" hidden="false" customHeight="true" outlineLevel="0" collapsed="false"/>
    <row r="3773" customFormat="false" ht="12.75" hidden="false" customHeight="true" outlineLevel="0" collapsed="false"/>
    <row r="3774" customFormat="false" ht="12.75" hidden="false" customHeight="true" outlineLevel="0" collapsed="false"/>
    <row r="3775" customFormat="false" ht="12.75" hidden="false" customHeight="true" outlineLevel="0" collapsed="false"/>
    <row r="3776" customFormat="false" ht="12.75" hidden="false" customHeight="true" outlineLevel="0" collapsed="false"/>
    <row r="3777" customFormat="false" ht="12.75" hidden="false" customHeight="true" outlineLevel="0" collapsed="false"/>
    <row r="3778" customFormat="false" ht="12.75" hidden="false" customHeight="true" outlineLevel="0" collapsed="false"/>
    <row r="3779" customFormat="false" ht="12.75" hidden="false" customHeight="true" outlineLevel="0" collapsed="false"/>
    <row r="3780" customFormat="false" ht="12.75" hidden="false" customHeight="true" outlineLevel="0" collapsed="false"/>
    <row r="3781" customFormat="false" ht="12.75" hidden="false" customHeight="true" outlineLevel="0" collapsed="false"/>
    <row r="3782" customFormat="false" ht="12.75" hidden="false" customHeight="true" outlineLevel="0" collapsed="false"/>
    <row r="3783" customFormat="false" ht="12.75" hidden="false" customHeight="true" outlineLevel="0" collapsed="false"/>
    <row r="3784" customFormat="false" ht="12.75" hidden="false" customHeight="true" outlineLevel="0" collapsed="false"/>
    <row r="3785" customFormat="false" ht="12.75" hidden="false" customHeight="true" outlineLevel="0" collapsed="false"/>
    <row r="3786" customFormat="false" ht="12.75" hidden="false" customHeight="true" outlineLevel="0" collapsed="false"/>
    <row r="3787" customFormat="false" ht="12.75" hidden="false" customHeight="true" outlineLevel="0" collapsed="false"/>
    <row r="3788" customFormat="false" ht="12.75" hidden="false" customHeight="true" outlineLevel="0" collapsed="false"/>
    <row r="3789" customFormat="false" ht="12.75" hidden="false" customHeight="true" outlineLevel="0" collapsed="false"/>
    <row r="3790" customFormat="false" ht="12.75" hidden="false" customHeight="true" outlineLevel="0" collapsed="false"/>
    <row r="3791" customFormat="false" ht="12.75" hidden="false" customHeight="true" outlineLevel="0" collapsed="false"/>
    <row r="3792" customFormat="false" ht="12.75" hidden="false" customHeight="true" outlineLevel="0" collapsed="false"/>
    <row r="3793" customFormat="false" ht="12.75" hidden="false" customHeight="true" outlineLevel="0" collapsed="false"/>
    <row r="3794" customFormat="false" ht="12.75" hidden="false" customHeight="true" outlineLevel="0" collapsed="false"/>
    <row r="3795" customFormat="false" ht="12.75" hidden="false" customHeight="true" outlineLevel="0" collapsed="false"/>
    <row r="3796" customFormat="false" ht="12.75" hidden="false" customHeight="true" outlineLevel="0" collapsed="false"/>
    <row r="3797" customFormat="false" ht="12.75" hidden="false" customHeight="true" outlineLevel="0" collapsed="false"/>
    <row r="3798" customFormat="false" ht="12.75" hidden="false" customHeight="true" outlineLevel="0" collapsed="false"/>
    <row r="3799" customFormat="false" ht="12.75" hidden="false" customHeight="true" outlineLevel="0" collapsed="false"/>
    <row r="3800" customFormat="false" ht="12.75" hidden="false" customHeight="true" outlineLevel="0" collapsed="false"/>
    <row r="3801" customFormat="false" ht="12.75" hidden="false" customHeight="true" outlineLevel="0" collapsed="false"/>
    <row r="3802" customFormat="false" ht="12.75" hidden="false" customHeight="true" outlineLevel="0" collapsed="false"/>
    <row r="3803" customFormat="false" ht="12.75" hidden="false" customHeight="true" outlineLevel="0" collapsed="false"/>
    <row r="3804" customFormat="false" ht="12.75" hidden="false" customHeight="true" outlineLevel="0" collapsed="false"/>
    <row r="3805" customFormat="false" ht="12.75" hidden="false" customHeight="true" outlineLevel="0" collapsed="false"/>
    <row r="3806" customFormat="false" ht="12.75" hidden="false" customHeight="true" outlineLevel="0" collapsed="false"/>
    <row r="3807" customFormat="false" ht="12.75" hidden="false" customHeight="true" outlineLevel="0" collapsed="false"/>
    <row r="3808" customFormat="false" ht="12.75" hidden="false" customHeight="true" outlineLevel="0" collapsed="false"/>
    <row r="3809" customFormat="false" ht="12.75" hidden="false" customHeight="true" outlineLevel="0" collapsed="false"/>
    <row r="3810" customFormat="false" ht="12.75" hidden="false" customHeight="true" outlineLevel="0" collapsed="false"/>
    <row r="3811" customFormat="false" ht="12.75" hidden="false" customHeight="true" outlineLevel="0" collapsed="false"/>
    <row r="3812" customFormat="false" ht="12.75" hidden="false" customHeight="true" outlineLevel="0" collapsed="false"/>
    <row r="3813" customFormat="false" ht="12.75" hidden="false" customHeight="true" outlineLevel="0" collapsed="false"/>
    <row r="3814" customFormat="false" ht="12.75" hidden="false" customHeight="true" outlineLevel="0" collapsed="false"/>
    <row r="3815" customFormat="false" ht="12.75" hidden="false" customHeight="true" outlineLevel="0" collapsed="false"/>
    <row r="3816" customFormat="false" ht="12.75" hidden="false" customHeight="true" outlineLevel="0" collapsed="false"/>
    <row r="3817" customFormat="false" ht="12.75" hidden="false" customHeight="true" outlineLevel="0" collapsed="false"/>
    <row r="3818" customFormat="false" ht="12.75" hidden="false" customHeight="true" outlineLevel="0" collapsed="false"/>
    <row r="3819" customFormat="false" ht="12.75" hidden="false" customHeight="true" outlineLevel="0" collapsed="false"/>
    <row r="3820" customFormat="false" ht="12.75" hidden="false" customHeight="true" outlineLevel="0" collapsed="false"/>
    <row r="3821" customFormat="false" ht="12.75" hidden="false" customHeight="true" outlineLevel="0" collapsed="false"/>
    <row r="3822" customFormat="false" ht="12.75" hidden="false" customHeight="true" outlineLevel="0" collapsed="false"/>
    <row r="3823" customFormat="false" ht="12.75" hidden="false" customHeight="true" outlineLevel="0" collapsed="false"/>
    <row r="3824" customFormat="false" ht="12.75" hidden="false" customHeight="true" outlineLevel="0" collapsed="false"/>
    <row r="3825" customFormat="false" ht="12.75" hidden="false" customHeight="true" outlineLevel="0" collapsed="false"/>
    <row r="3826" customFormat="false" ht="12.75" hidden="false" customHeight="true" outlineLevel="0" collapsed="false"/>
    <row r="3827" customFormat="false" ht="12.75" hidden="false" customHeight="true" outlineLevel="0" collapsed="false"/>
    <row r="3828" customFormat="false" ht="12.75" hidden="false" customHeight="true" outlineLevel="0" collapsed="false"/>
    <row r="3829" customFormat="false" ht="12.75" hidden="false" customHeight="true" outlineLevel="0" collapsed="false"/>
    <row r="3830" customFormat="false" ht="12.75" hidden="false" customHeight="true" outlineLevel="0" collapsed="false"/>
    <row r="3831" customFormat="false" ht="12.75" hidden="false" customHeight="true" outlineLevel="0" collapsed="false"/>
    <row r="3832" customFormat="false" ht="12.75" hidden="false" customHeight="true" outlineLevel="0" collapsed="false"/>
    <row r="3833" customFormat="false" ht="12.75" hidden="false" customHeight="true" outlineLevel="0" collapsed="false"/>
    <row r="3834" customFormat="false" ht="12.75" hidden="false" customHeight="true" outlineLevel="0" collapsed="false"/>
    <row r="3835" customFormat="false" ht="12.75" hidden="false" customHeight="true" outlineLevel="0" collapsed="false"/>
    <row r="3836" customFormat="false" ht="12.75" hidden="false" customHeight="true" outlineLevel="0" collapsed="false"/>
    <row r="3837" customFormat="false" ht="12.75" hidden="false" customHeight="true" outlineLevel="0" collapsed="false"/>
    <row r="3838" customFormat="false" ht="12.75" hidden="false" customHeight="true" outlineLevel="0" collapsed="false"/>
    <row r="3839" customFormat="false" ht="12.75" hidden="false" customHeight="true" outlineLevel="0" collapsed="false"/>
    <row r="3840" customFormat="false" ht="12.75" hidden="false" customHeight="true" outlineLevel="0" collapsed="false"/>
    <row r="3841" customFormat="false" ht="12.75" hidden="false" customHeight="true" outlineLevel="0" collapsed="false"/>
    <row r="3842" customFormat="false" ht="12.75" hidden="false" customHeight="true" outlineLevel="0" collapsed="false"/>
    <row r="3843" customFormat="false" ht="12.75" hidden="false" customHeight="true" outlineLevel="0" collapsed="false"/>
    <row r="3844" customFormat="false" ht="12.75" hidden="false" customHeight="true" outlineLevel="0" collapsed="false"/>
    <row r="3845" customFormat="false" ht="12.75" hidden="false" customHeight="true" outlineLevel="0" collapsed="false"/>
    <row r="3846" customFormat="false" ht="12.75" hidden="false" customHeight="true" outlineLevel="0" collapsed="false"/>
    <row r="3847" customFormat="false" ht="12.75" hidden="false" customHeight="true" outlineLevel="0" collapsed="false"/>
    <row r="3848" customFormat="false" ht="12.75" hidden="false" customHeight="true" outlineLevel="0" collapsed="false"/>
    <row r="3849" customFormat="false" ht="12.75" hidden="false" customHeight="true" outlineLevel="0" collapsed="false"/>
    <row r="3850" customFormat="false" ht="12.75" hidden="false" customHeight="true" outlineLevel="0" collapsed="false"/>
    <row r="3851" customFormat="false" ht="12.75" hidden="false" customHeight="true" outlineLevel="0" collapsed="false"/>
    <row r="3852" customFormat="false" ht="12.75" hidden="false" customHeight="true" outlineLevel="0" collapsed="false"/>
    <row r="3853" customFormat="false" ht="12.75" hidden="false" customHeight="true" outlineLevel="0" collapsed="false"/>
    <row r="3854" customFormat="false" ht="12.75" hidden="false" customHeight="true" outlineLevel="0" collapsed="false"/>
    <row r="3855" customFormat="false" ht="12.75" hidden="false" customHeight="true" outlineLevel="0" collapsed="false"/>
    <row r="3856" customFormat="false" ht="12.75" hidden="false" customHeight="true" outlineLevel="0" collapsed="false"/>
    <row r="3857" customFormat="false" ht="12.75" hidden="false" customHeight="true" outlineLevel="0" collapsed="false"/>
    <row r="3858" customFormat="false" ht="12.75" hidden="false" customHeight="true" outlineLevel="0" collapsed="false"/>
    <row r="3859" customFormat="false" ht="12.75" hidden="false" customHeight="true" outlineLevel="0" collapsed="false"/>
    <row r="3860" customFormat="false" ht="12.75" hidden="false" customHeight="true" outlineLevel="0" collapsed="false"/>
    <row r="3861" customFormat="false" ht="12.75" hidden="false" customHeight="true" outlineLevel="0" collapsed="false"/>
    <row r="3862" customFormat="false" ht="12.75" hidden="false" customHeight="true" outlineLevel="0" collapsed="false"/>
    <row r="3863" customFormat="false" ht="12.75" hidden="false" customHeight="true" outlineLevel="0" collapsed="false"/>
    <row r="3864" customFormat="false" ht="12.75" hidden="false" customHeight="true" outlineLevel="0" collapsed="false"/>
    <row r="3865" customFormat="false" ht="12.75" hidden="false" customHeight="true" outlineLevel="0" collapsed="false"/>
    <row r="3866" customFormat="false" ht="12.75" hidden="false" customHeight="true" outlineLevel="0" collapsed="false"/>
    <row r="3867" customFormat="false" ht="12.75" hidden="false" customHeight="true" outlineLevel="0" collapsed="false"/>
    <row r="3868" customFormat="false" ht="12.75" hidden="false" customHeight="true" outlineLevel="0" collapsed="false"/>
    <row r="3869" customFormat="false" ht="12.75" hidden="false" customHeight="true" outlineLevel="0" collapsed="false"/>
    <row r="3870" customFormat="false" ht="12.75" hidden="false" customHeight="true" outlineLevel="0" collapsed="false"/>
    <row r="3871" customFormat="false" ht="12.75" hidden="false" customHeight="true" outlineLevel="0" collapsed="false"/>
    <row r="3872" customFormat="false" ht="12.75" hidden="false" customHeight="true" outlineLevel="0" collapsed="false"/>
    <row r="3873" customFormat="false" ht="12.75" hidden="false" customHeight="true" outlineLevel="0" collapsed="false"/>
    <row r="3874" customFormat="false" ht="12.75" hidden="false" customHeight="true" outlineLevel="0" collapsed="false"/>
    <row r="3875" customFormat="false" ht="12.75" hidden="false" customHeight="true" outlineLevel="0" collapsed="false"/>
    <row r="3876" customFormat="false" ht="12.75" hidden="false" customHeight="true" outlineLevel="0" collapsed="false"/>
    <row r="3877" customFormat="false" ht="12.75" hidden="false" customHeight="true" outlineLevel="0" collapsed="false"/>
    <row r="3878" customFormat="false" ht="12.75" hidden="false" customHeight="true" outlineLevel="0" collapsed="false"/>
    <row r="3879" customFormat="false" ht="12.75" hidden="false" customHeight="true" outlineLevel="0" collapsed="false"/>
    <row r="3880" customFormat="false" ht="12.75" hidden="false" customHeight="true" outlineLevel="0" collapsed="false"/>
    <row r="3881" customFormat="false" ht="12.75" hidden="false" customHeight="true" outlineLevel="0" collapsed="false"/>
    <row r="3882" customFormat="false" ht="12.75" hidden="false" customHeight="true" outlineLevel="0" collapsed="false"/>
    <row r="3883" customFormat="false" ht="12.75" hidden="false" customHeight="true" outlineLevel="0" collapsed="false"/>
    <row r="3884" customFormat="false" ht="12.75" hidden="false" customHeight="true" outlineLevel="0" collapsed="false"/>
    <row r="3885" customFormat="false" ht="12.75" hidden="false" customHeight="true" outlineLevel="0" collapsed="false"/>
    <row r="3886" customFormat="false" ht="12.75" hidden="false" customHeight="true" outlineLevel="0" collapsed="false"/>
    <row r="3887" customFormat="false" ht="12.75" hidden="false" customHeight="true" outlineLevel="0" collapsed="false"/>
    <row r="3888" customFormat="false" ht="12.75" hidden="false" customHeight="true" outlineLevel="0" collapsed="false"/>
    <row r="3889" customFormat="false" ht="12.75" hidden="false" customHeight="true" outlineLevel="0" collapsed="false"/>
    <row r="3890" customFormat="false" ht="12.75" hidden="false" customHeight="true" outlineLevel="0" collapsed="false"/>
    <row r="3891" customFormat="false" ht="12.75" hidden="false" customHeight="true" outlineLevel="0" collapsed="false"/>
    <row r="3892" customFormat="false" ht="12.75" hidden="false" customHeight="true" outlineLevel="0" collapsed="false"/>
    <row r="3893" customFormat="false" ht="12.75" hidden="false" customHeight="true" outlineLevel="0" collapsed="false"/>
    <row r="3894" customFormat="false" ht="12.75" hidden="false" customHeight="true" outlineLevel="0" collapsed="false"/>
    <row r="3895" customFormat="false" ht="12.75" hidden="false" customHeight="true" outlineLevel="0" collapsed="false"/>
    <row r="3896" customFormat="false" ht="12.75" hidden="false" customHeight="true" outlineLevel="0" collapsed="false"/>
    <row r="3897" customFormat="false" ht="12.75" hidden="false" customHeight="true" outlineLevel="0" collapsed="false"/>
    <row r="3898" customFormat="false" ht="12.75" hidden="false" customHeight="true" outlineLevel="0" collapsed="false"/>
    <row r="3899" customFormat="false" ht="12.75" hidden="false" customHeight="true" outlineLevel="0" collapsed="false"/>
    <row r="3900" customFormat="false" ht="12.75" hidden="false" customHeight="true" outlineLevel="0" collapsed="false"/>
    <row r="3901" customFormat="false" ht="12.75" hidden="false" customHeight="true" outlineLevel="0" collapsed="false"/>
    <row r="3902" customFormat="false" ht="12.75" hidden="false" customHeight="true" outlineLevel="0" collapsed="false"/>
    <row r="3903" customFormat="false" ht="12.75" hidden="false" customHeight="true" outlineLevel="0" collapsed="false"/>
    <row r="3904" customFormat="false" ht="12.75" hidden="false" customHeight="true" outlineLevel="0" collapsed="false"/>
    <row r="3905" customFormat="false" ht="12.75" hidden="false" customHeight="true" outlineLevel="0" collapsed="false"/>
    <row r="3906" customFormat="false" ht="12.75" hidden="false" customHeight="true" outlineLevel="0" collapsed="false"/>
    <row r="3907" customFormat="false" ht="12.75" hidden="false" customHeight="true" outlineLevel="0" collapsed="false"/>
    <row r="3908" customFormat="false" ht="12.75" hidden="false" customHeight="true" outlineLevel="0" collapsed="false"/>
    <row r="3909" customFormat="false" ht="12.75" hidden="false" customHeight="true" outlineLevel="0" collapsed="false"/>
    <row r="3910" customFormat="false" ht="12.75" hidden="false" customHeight="true" outlineLevel="0" collapsed="false"/>
    <row r="3911" customFormat="false" ht="12.75" hidden="false" customHeight="true" outlineLevel="0" collapsed="false"/>
    <row r="3912" customFormat="false" ht="12.75" hidden="false" customHeight="true" outlineLevel="0" collapsed="false"/>
    <row r="3913" customFormat="false" ht="12.75" hidden="false" customHeight="true" outlineLevel="0" collapsed="false"/>
    <row r="3914" customFormat="false" ht="12.75" hidden="false" customHeight="true" outlineLevel="0" collapsed="false"/>
    <row r="3915" customFormat="false" ht="12.75" hidden="false" customHeight="true" outlineLevel="0" collapsed="false"/>
    <row r="3916" customFormat="false" ht="12.75" hidden="false" customHeight="true" outlineLevel="0" collapsed="false"/>
    <row r="3917" customFormat="false" ht="12.75" hidden="false" customHeight="true" outlineLevel="0" collapsed="false"/>
    <row r="3918" customFormat="false" ht="12.75" hidden="false" customHeight="true" outlineLevel="0" collapsed="false"/>
    <row r="3919" customFormat="false" ht="12.75" hidden="false" customHeight="true" outlineLevel="0" collapsed="false"/>
    <row r="3920" customFormat="false" ht="12.75" hidden="false" customHeight="true" outlineLevel="0" collapsed="false"/>
    <row r="3921" customFormat="false" ht="12.75" hidden="false" customHeight="true" outlineLevel="0" collapsed="false"/>
    <row r="3922" customFormat="false" ht="12.75" hidden="false" customHeight="true" outlineLevel="0" collapsed="false"/>
    <row r="3923" customFormat="false" ht="12.75" hidden="false" customHeight="true" outlineLevel="0" collapsed="false"/>
    <row r="3924" customFormat="false" ht="12.75" hidden="false" customHeight="true" outlineLevel="0" collapsed="false"/>
    <row r="3925" customFormat="false" ht="12.75" hidden="false" customHeight="true" outlineLevel="0" collapsed="false"/>
    <row r="3926" customFormat="false" ht="12.75" hidden="false" customHeight="true" outlineLevel="0" collapsed="false"/>
    <row r="3927" customFormat="false" ht="12.75" hidden="false" customHeight="true" outlineLevel="0" collapsed="false"/>
    <row r="3928" customFormat="false" ht="12.75" hidden="false" customHeight="true" outlineLevel="0" collapsed="false"/>
    <row r="3929" customFormat="false" ht="12.75" hidden="false" customHeight="true" outlineLevel="0" collapsed="false"/>
    <row r="3930" customFormat="false" ht="12.75" hidden="false" customHeight="true" outlineLevel="0" collapsed="false"/>
    <row r="3931" customFormat="false" ht="12.75" hidden="false" customHeight="true" outlineLevel="0" collapsed="false"/>
    <row r="3932" customFormat="false" ht="12.75" hidden="false" customHeight="true" outlineLevel="0" collapsed="false"/>
    <row r="3933" customFormat="false" ht="12.75" hidden="false" customHeight="true" outlineLevel="0" collapsed="false"/>
    <row r="3934" customFormat="false" ht="12.75" hidden="false" customHeight="true" outlineLevel="0" collapsed="false"/>
    <row r="3935" customFormat="false" ht="12.75" hidden="false" customHeight="true" outlineLevel="0" collapsed="false"/>
    <row r="3936" customFormat="false" ht="12.75" hidden="false" customHeight="true" outlineLevel="0" collapsed="false"/>
    <row r="3937" customFormat="false" ht="12.75" hidden="false" customHeight="true" outlineLevel="0" collapsed="false"/>
    <row r="3938" customFormat="false" ht="12.75" hidden="false" customHeight="true" outlineLevel="0" collapsed="false"/>
    <row r="3939" customFormat="false" ht="12.75" hidden="false" customHeight="true" outlineLevel="0" collapsed="false"/>
    <row r="3940" customFormat="false" ht="12.75" hidden="false" customHeight="true" outlineLevel="0" collapsed="false"/>
    <row r="3941" customFormat="false" ht="12.75" hidden="false" customHeight="true" outlineLevel="0" collapsed="false"/>
    <row r="3942" customFormat="false" ht="12.75" hidden="false" customHeight="true" outlineLevel="0" collapsed="false"/>
    <row r="3943" customFormat="false" ht="12.75" hidden="false" customHeight="true" outlineLevel="0" collapsed="false"/>
    <row r="3944" customFormat="false" ht="12.75" hidden="false" customHeight="true" outlineLevel="0" collapsed="false"/>
    <row r="3945" customFormat="false" ht="12.75" hidden="false" customHeight="true" outlineLevel="0" collapsed="false"/>
    <row r="3946" customFormat="false" ht="12.75" hidden="false" customHeight="true" outlineLevel="0" collapsed="false"/>
    <row r="3947" customFormat="false" ht="12.75" hidden="false" customHeight="true" outlineLevel="0" collapsed="false"/>
    <row r="3948" customFormat="false" ht="12.75" hidden="false" customHeight="true" outlineLevel="0" collapsed="false"/>
    <row r="3949" customFormat="false" ht="12.75" hidden="false" customHeight="true" outlineLevel="0" collapsed="false"/>
    <row r="3950" customFormat="false" ht="12.75" hidden="false" customHeight="true" outlineLevel="0" collapsed="false"/>
    <row r="3951" customFormat="false" ht="12.75" hidden="false" customHeight="true" outlineLevel="0" collapsed="false"/>
    <row r="3952" customFormat="false" ht="12.75" hidden="false" customHeight="true" outlineLevel="0" collapsed="false"/>
    <row r="3953" customFormat="false" ht="12.75" hidden="false" customHeight="true" outlineLevel="0" collapsed="false"/>
    <row r="3954" customFormat="false" ht="12.75" hidden="false" customHeight="true" outlineLevel="0" collapsed="false"/>
    <row r="3955" customFormat="false" ht="12.75" hidden="false" customHeight="true" outlineLevel="0" collapsed="false"/>
    <row r="3956" customFormat="false" ht="12.75" hidden="false" customHeight="true" outlineLevel="0" collapsed="false"/>
    <row r="3957" customFormat="false" ht="12.75" hidden="false" customHeight="true" outlineLevel="0" collapsed="false"/>
    <row r="3958" customFormat="false" ht="12.75" hidden="false" customHeight="true" outlineLevel="0" collapsed="false"/>
    <row r="3959" customFormat="false" ht="12.75" hidden="false" customHeight="true" outlineLevel="0" collapsed="false"/>
    <row r="3960" customFormat="false" ht="12.75" hidden="false" customHeight="true" outlineLevel="0" collapsed="false"/>
    <row r="3961" customFormat="false" ht="12.75" hidden="false" customHeight="true" outlineLevel="0" collapsed="false"/>
    <row r="3962" customFormat="false" ht="12.75" hidden="false" customHeight="true" outlineLevel="0" collapsed="false"/>
    <row r="3963" customFormat="false" ht="12.75" hidden="false" customHeight="true" outlineLevel="0" collapsed="false"/>
    <row r="3964" customFormat="false" ht="12.75" hidden="false" customHeight="true" outlineLevel="0" collapsed="false"/>
    <row r="3965" customFormat="false" ht="12.75" hidden="false" customHeight="true" outlineLevel="0" collapsed="false"/>
    <row r="3966" customFormat="false" ht="12.75" hidden="false" customHeight="true" outlineLevel="0" collapsed="false"/>
    <row r="3967" customFormat="false" ht="12.75" hidden="false" customHeight="true" outlineLevel="0" collapsed="false"/>
    <row r="3968" customFormat="false" ht="12.75" hidden="false" customHeight="true" outlineLevel="0" collapsed="false"/>
    <row r="3969" customFormat="false" ht="12.75" hidden="false" customHeight="true" outlineLevel="0" collapsed="false"/>
    <row r="3970" customFormat="false" ht="12.75" hidden="false" customHeight="true" outlineLevel="0" collapsed="false"/>
    <row r="3971" customFormat="false" ht="12.75" hidden="false" customHeight="true" outlineLevel="0" collapsed="false"/>
    <row r="3972" customFormat="false" ht="12.75" hidden="false" customHeight="true" outlineLevel="0" collapsed="false"/>
    <row r="3973" customFormat="false" ht="12.75" hidden="false" customHeight="true" outlineLevel="0" collapsed="false"/>
    <row r="3974" customFormat="false" ht="12.75" hidden="false" customHeight="true" outlineLevel="0" collapsed="false"/>
    <row r="3975" customFormat="false" ht="12.75" hidden="false" customHeight="true" outlineLevel="0" collapsed="false"/>
    <row r="3976" customFormat="false" ht="12.75" hidden="false" customHeight="true" outlineLevel="0" collapsed="false"/>
    <row r="3977" customFormat="false" ht="12.75" hidden="false" customHeight="true" outlineLevel="0" collapsed="false"/>
    <row r="3978" customFormat="false" ht="12.75" hidden="false" customHeight="true" outlineLevel="0" collapsed="false"/>
    <row r="3979" customFormat="false" ht="12.75" hidden="false" customHeight="true" outlineLevel="0" collapsed="false"/>
    <row r="3980" customFormat="false" ht="12.75" hidden="false" customHeight="true" outlineLevel="0" collapsed="false"/>
    <row r="3981" customFormat="false" ht="12.75" hidden="false" customHeight="true" outlineLevel="0" collapsed="false"/>
    <row r="3982" customFormat="false" ht="12.75" hidden="false" customHeight="true" outlineLevel="0" collapsed="false"/>
    <row r="3983" customFormat="false" ht="12.75" hidden="false" customHeight="true" outlineLevel="0" collapsed="false"/>
    <row r="3984" customFormat="false" ht="12.75" hidden="false" customHeight="true" outlineLevel="0" collapsed="false"/>
    <row r="3985" customFormat="false" ht="12.75" hidden="false" customHeight="true" outlineLevel="0" collapsed="false"/>
    <row r="3986" customFormat="false" ht="12.75" hidden="false" customHeight="true" outlineLevel="0" collapsed="false"/>
    <row r="3987" customFormat="false" ht="12.75" hidden="false" customHeight="true" outlineLevel="0" collapsed="false"/>
    <row r="3988" customFormat="false" ht="12.75" hidden="false" customHeight="true" outlineLevel="0" collapsed="false"/>
    <row r="3989" customFormat="false" ht="12.75" hidden="false" customHeight="true" outlineLevel="0" collapsed="false"/>
    <row r="3990" customFormat="false" ht="12.75" hidden="false" customHeight="true" outlineLevel="0" collapsed="false"/>
    <row r="3991" customFormat="false" ht="12.75" hidden="false" customHeight="true" outlineLevel="0" collapsed="false"/>
    <row r="3992" customFormat="false" ht="12.75" hidden="false" customHeight="true" outlineLevel="0" collapsed="false"/>
    <row r="3993" customFormat="false" ht="12.75" hidden="false" customHeight="true" outlineLevel="0" collapsed="false"/>
    <row r="3994" customFormat="false" ht="12.75" hidden="false" customHeight="true" outlineLevel="0" collapsed="false"/>
    <row r="3995" customFormat="false" ht="12.75" hidden="false" customHeight="true" outlineLevel="0" collapsed="false"/>
    <row r="3996" customFormat="false" ht="12.75" hidden="false" customHeight="true" outlineLevel="0" collapsed="false"/>
    <row r="3997" customFormat="false" ht="12.75" hidden="false" customHeight="true" outlineLevel="0" collapsed="false"/>
    <row r="3998" customFormat="false" ht="12.75" hidden="false" customHeight="true" outlineLevel="0" collapsed="false"/>
    <row r="3999" customFormat="false" ht="12.75" hidden="false" customHeight="true" outlineLevel="0" collapsed="false"/>
    <row r="4000" customFormat="false" ht="12.75" hidden="false" customHeight="true" outlineLevel="0" collapsed="false"/>
    <row r="4001" customFormat="false" ht="12.75" hidden="false" customHeight="true" outlineLevel="0" collapsed="false"/>
    <row r="4002" customFormat="false" ht="12.75" hidden="false" customHeight="true" outlineLevel="0" collapsed="false"/>
    <row r="4003" customFormat="false" ht="12.75" hidden="false" customHeight="true" outlineLevel="0" collapsed="false"/>
    <row r="4004" customFormat="false" ht="12.75" hidden="false" customHeight="true" outlineLevel="0" collapsed="false"/>
    <row r="4005" customFormat="false" ht="12.75" hidden="false" customHeight="true" outlineLevel="0" collapsed="false"/>
    <row r="4006" customFormat="false" ht="12.75" hidden="false" customHeight="true" outlineLevel="0" collapsed="false"/>
    <row r="4007" customFormat="false" ht="12.75" hidden="false" customHeight="true" outlineLevel="0" collapsed="false"/>
    <row r="4008" customFormat="false" ht="12.75" hidden="false" customHeight="true" outlineLevel="0" collapsed="false"/>
    <row r="4009" customFormat="false" ht="12.75" hidden="false" customHeight="true" outlineLevel="0" collapsed="false"/>
    <row r="4010" customFormat="false" ht="12.75" hidden="false" customHeight="true" outlineLevel="0" collapsed="false"/>
    <row r="4011" customFormat="false" ht="12.75" hidden="false" customHeight="true" outlineLevel="0" collapsed="false"/>
    <row r="4012" customFormat="false" ht="12.75" hidden="false" customHeight="true" outlineLevel="0" collapsed="false"/>
    <row r="4013" customFormat="false" ht="12.75" hidden="false" customHeight="true" outlineLevel="0" collapsed="false"/>
    <row r="4014" customFormat="false" ht="12.75" hidden="false" customHeight="true" outlineLevel="0" collapsed="false"/>
    <row r="4015" customFormat="false" ht="12.75" hidden="false" customHeight="true" outlineLevel="0" collapsed="false"/>
    <row r="4016" customFormat="false" ht="12.75" hidden="false" customHeight="true" outlineLevel="0" collapsed="false"/>
    <row r="4017" customFormat="false" ht="12.75" hidden="false" customHeight="true" outlineLevel="0" collapsed="false"/>
    <row r="4018" customFormat="false" ht="12.75" hidden="false" customHeight="true" outlineLevel="0" collapsed="false"/>
    <row r="4019" customFormat="false" ht="12.75" hidden="false" customHeight="true" outlineLevel="0" collapsed="false"/>
    <row r="4020" customFormat="false" ht="12.75" hidden="false" customHeight="true" outlineLevel="0" collapsed="false"/>
    <row r="4021" customFormat="false" ht="12.75" hidden="false" customHeight="true" outlineLevel="0" collapsed="false"/>
    <row r="4022" customFormat="false" ht="12.75" hidden="false" customHeight="true" outlineLevel="0" collapsed="false"/>
    <row r="4023" customFormat="false" ht="12.75" hidden="false" customHeight="true" outlineLevel="0" collapsed="false"/>
    <row r="4024" customFormat="false" ht="12.75" hidden="false" customHeight="true" outlineLevel="0" collapsed="false"/>
    <row r="4025" customFormat="false" ht="12.75" hidden="false" customHeight="true" outlineLevel="0" collapsed="false"/>
    <row r="4026" customFormat="false" ht="12.75" hidden="false" customHeight="true" outlineLevel="0" collapsed="false"/>
    <row r="4027" customFormat="false" ht="12.75" hidden="false" customHeight="true" outlineLevel="0" collapsed="false"/>
    <row r="4028" customFormat="false" ht="12.75" hidden="false" customHeight="true" outlineLevel="0" collapsed="false"/>
    <row r="4029" customFormat="false" ht="12.75" hidden="false" customHeight="true" outlineLevel="0" collapsed="false"/>
    <row r="4030" customFormat="false" ht="12.75" hidden="false" customHeight="true" outlineLevel="0" collapsed="false"/>
    <row r="4031" customFormat="false" ht="12.75" hidden="false" customHeight="true" outlineLevel="0" collapsed="false"/>
    <row r="4032" customFormat="false" ht="12.75" hidden="false" customHeight="true" outlineLevel="0" collapsed="false"/>
    <row r="4033" customFormat="false" ht="12.75" hidden="false" customHeight="true" outlineLevel="0" collapsed="false"/>
    <row r="4034" customFormat="false" ht="12.75" hidden="false" customHeight="true" outlineLevel="0" collapsed="false"/>
    <row r="4035" customFormat="false" ht="12.75" hidden="false" customHeight="true" outlineLevel="0" collapsed="false"/>
    <row r="4036" customFormat="false" ht="12.75" hidden="false" customHeight="true" outlineLevel="0" collapsed="false"/>
    <row r="4037" customFormat="false" ht="12.75" hidden="false" customHeight="true" outlineLevel="0" collapsed="false"/>
    <row r="4038" customFormat="false" ht="12.75" hidden="false" customHeight="true" outlineLevel="0" collapsed="false"/>
    <row r="4039" customFormat="false" ht="12.75" hidden="false" customHeight="true" outlineLevel="0" collapsed="false"/>
    <row r="4040" customFormat="false" ht="12.75" hidden="false" customHeight="true" outlineLevel="0" collapsed="false"/>
    <row r="4041" customFormat="false" ht="12.75" hidden="false" customHeight="true" outlineLevel="0" collapsed="false"/>
    <row r="4042" customFormat="false" ht="12.75" hidden="false" customHeight="true" outlineLevel="0" collapsed="false"/>
    <row r="4043" customFormat="false" ht="12.75" hidden="false" customHeight="true" outlineLevel="0" collapsed="false"/>
    <row r="4044" customFormat="false" ht="12.75" hidden="false" customHeight="true" outlineLevel="0" collapsed="false"/>
    <row r="4045" customFormat="false" ht="12.75" hidden="false" customHeight="true" outlineLevel="0" collapsed="false"/>
    <row r="4046" customFormat="false" ht="12.75" hidden="false" customHeight="true" outlineLevel="0" collapsed="false"/>
    <row r="4047" customFormat="false" ht="12.75" hidden="false" customHeight="true" outlineLevel="0" collapsed="false"/>
    <row r="4048" customFormat="false" ht="12.75" hidden="false" customHeight="true" outlineLevel="0" collapsed="false"/>
    <row r="4049" customFormat="false" ht="12.75" hidden="false" customHeight="true" outlineLevel="0" collapsed="false"/>
    <row r="4050" customFormat="false" ht="12.75" hidden="false" customHeight="true" outlineLevel="0" collapsed="false"/>
    <row r="4051" customFormat="false" ht="12.75" hidden="false" customHeight="true" outlineLevel="0" collapsed="false"/>
    <row r="4052" customFormat="false" ht="12.75" hidden="false" customHeight="true" outlineLevel="0" collapsed="false"/>
    <row r="4053" customFormat="false" ht="12.75" hidden="false" customHeight="true" outlineLevel="0" collapsed="false"/>
    <row r="4054" customFormat="false" ht="12.75" hidden="false" customHeight="true" outlineLevel="0" collapsed="false"/>
    <row r="4055" customFormat="false" ht="12.75" hidden="false" customHeight="true" outlineLevel="0" collapsed="false"/>
    <row r="4056" customFormat="false" ht="12.75" hidden="false" customHeight="true" outlineLevel="0" collapsed="false"/>
    <row r="4057" customFormat="false" ht="12.75" hidden="false" customHeight="true" outlineLevel="0" collapsed="false"/>
    <row r="4058" customFormat="false" ht="12.75" hidden="false" customHeight="true" outlineLevel="0" collapsed="false"/>
    <row r="4059" customFormat="false" ht="12.75" hidden="false" customHeight="true" outlineLevel="0" collapsed="false"/>
    <row r="4060" customFormat="false" ht="12.75" hidden="false" customHeight="true" outlineLevel="0" collapsed="false"/>
    <row r="4061" customFormat="false" ht="12.75" hidden="false" customHeight="true" outlineLevel="0" collapsed="false"/>
    <row r="4062" customFormat="false" ht="12.75" hidden="false" customHeight="true" outlineLevel="0" collapsed="false"/>
    <row r="4063" customFormat="false" ht="12.75" hidden="false" customHeight="true" outlineLevel="0" collapsed="false"/>
    <row r="4064" customFormat="false" ht="12.75" hidden="false" customHeight="true" outlineLevel="0" collapsed="false"/>
    <row r="4065" customFormat="false" ht="12.75" hidden="false" customHeight="true" outlineLevel="0" collapsed="false"/>
    <row r="4066" customFormat="false" ht="12.75" hidden="false" customHeight="true" outlineLevel="0" collapsed="false"/>
    <row r="4067" customFormat="false" ht="12.75" hidden="false" customHeight="true" outlineLevel="0" collapsed="false"/>
    <row r="4068" customFormat="false" ht="12.75" hidden="false" customHeight="true" outlineLevel="0" collapsed="false"/>
    <row r="4069" customFormat="false" ht="12.75" hidden="false" customHeight="true" outlineLevel="0" collapsed="false"/>
    <row r="4070" customFormat="false" ht="12.75" hidden="false" customHeight="true" outlineLevel="0" collapsed="false"/>
    <row r="4071" customFormat="false" ht="12.75" hidden="false" customHeight="true" outlineLevel="0" collapsed="false"/>
    <row r="4072" customFormat="false" ht="12.75" hidden="false" customHeight="true" outlineLevel="0" collapsed="false"/>
    <row r="4073" customFormat="false" ht="12.75" hidden="false" customHeight="true" outlineLevel="0" collapsed="false"/>
    <row r="4074" customFormat="false" ht="12.75" hidden="false" customHeight="true" outlineLevel="0" collapsed="false"/>
    <row r="4075" customFormat="false" ht="12.75" hidden="false" customHeight="true" outlineLevel="0" collapsed="false"/>
    <row r="4076" customFormat="false" ht="12.75" hidden="false" customHeight="true" outlineLevel="0" collapsed="false"/>
    <row r="4077" customFormat="false" ht="12.75" hidden="false" customHeight="true" outlineLevel="0" collapsed="false"/>
    <row r="4078" customFormat="false" ht="12.75" hidden="false" customHeight="true" outlineLevel="0" collapsed="false"/>
    <row r="4079" customFormat="false" ht="12.75" hidden="false" customHeight="true" outlineLevel="0" collapsed="false"/>
    <row r="4080" customFormat="false" ht="12.75" hidden="false" customHeight="true" outlineLevel="0" collapsed="false"/>
    <row r="4081" customFormat="false" ht="12.75" hidden="false" customHeight="true" outlineLevel="0" collapsed="false"/>
    <row r="4082" customFormat="false" ht="12.75" hidden="false" customHeight="true" outlineLevel="0" collapsed="false"/>
    <row r="4083" customFormat="false" ht="12.75" hidden="false" customHeight="true" outlineLevel="0" collapsed="false"/>
    <row r="4084" customFormat="false" ht="12.75" hidden="false" customHeight="true" outlineLevel="0" collapsed="false"/>
    <row r="4085" customFormat="false" ht="12.75" hidden="false" customHeight="true" outlineLevel="0" collapsed="false"/>
    <row r="4086" customFormat="false" ht="12.75" hidden="false" customHeight="true" outlineLevel="0" collapsed="false"/>
    <row r="4087" customFormat="false" ht="12.75" hidden="false" customHeight="true" outlineLevel="0" collapsed="false"/>
    <row r="4088" customFormat="false" ht="12.75" hidden="false" customHeight="true" outlineLevel="0" collapsed="false"/>
    <row r="4089" customFormat="false" ht="12.75" hidden="false" customHeight="true" outlineLevel="0" collapsed="false"/>
    <row r="4090" customFormat="false" ht="12.75" hidden="false" customHeight="true" outlineLevel="0" collapsed="false"/>
    <row r="4091" customFormat="false" ht="12.75" hidden="false" customHeight="true" outlineLevel="0" collapsed="false"/>
    <row r="4092" customFormat="false" ht="12.75" hidden="false" customHeight="true" outlineLevel="0" collapsed="false"/>
    <row r="4093" customFormat="false" ht="12.75" hidden="false" customHeight="true" outlineLevel="0" collapsed="false"/>
    <row r="4094" customFormat="false" ht="12.75" hidden="false" customHeight="true" outlineLevel="0" collapsed="false"/>
    <row r="4095" customFormat="false" ht="12.75" hidden="false" customHeight="true" outlineLevel="0" collapsed="false"/>
    <row r="4096" customFormat="false" ht="12.75" hidden="false" customHeight="true" outlineLevel="0" collapsed="false"/>
    <row r="4097" customFormat="false" ht="12.75" hidden="false" customHeight="true" outlineLevel="0" collapsed="false"/>
    <row r="4098" customFormat="false" ht="12.75" hidden="false" customHeight="true" outlineLevel="0" collapsed="false"/>
    <row r="4099" customFormat="false" ht="12.75" hidden="false" customHeight="true" outlineLevel="0" collapsed="false"/>
    <row r="4100" customFormat="false" ht="12.75" hidden="false" customHeight="true" outlineLevel="0" collapsed="false"/>
    <row r="4101" customFormat="false" ht="12.75" hidden="false" customHeight="true" outlineLevel="0" collapsed="false"/>
    <row r="4102" customFormat="false" ht="12.75" hidden="false" customHeight="true" outlineLevel="0" collapsed="false"/>
    <row r="4103" customFormat="false" ht="12.75" hidden="false" customHeight="true" outlineLevel="0" collapsed="false"/>
    <row r="4104" customFormat="false" ht="12.75" hidden="false" customHeight="true" outlineLevel="0" collapsed="false"/>
    <row r="4105" customFormat="false" ht="12.75" hidden="false" customHeight="true" outlineLevel="0" collapsed="false"/>
    <row r="4106" customFormat="false" ht="12.75" hidden="false" customHeight="true" outlineLevel="0" collapsed="false"/>
    <row r="4107" customFormat="false" ht="12.75" hidden="false" customHeight="true" outlineLevel="0" collapsed="false"/>
    <row r="4108" customFormat="false" ht="12.75" hidden="false" customHeight="true" outlineLevel="0" collapsed="false"/>
    <row r="4109" customFormat="false" ht="12.75" hidden="false" customHeight="true" outlineLevel="0" collapsed="false"/>
    <row r="4110" customFormat="false" ht="12.75" hidden="false" customHeight="true" outlineLevel="0" collapsed="false"/>
    <row r="4111" customFormat="false" ht="12.75" hidden="false" customHeight="true" outlineLevel="0" collapsed="false"/>
    <row r="4112" customFormat="false" ht="12.75" hidden="false" customHeight="true" outlineLevel="0" collapsed="false"/>
    <row r="4113" customFormat="false" ht="12.75" hidden="false" customHeight="true" outlineLevel="0" collapsed="false"/>
    <row r="4114" customFormat="false" ht="12.75" hidden="false" customHeight="true" outlineLevel="0" collapsed="false"/>
    <row r="4115" customFormat="false" ht="12.75" hidden="false" customHeight="true" outlineLevel="0" collapsed="false"/>
    <row r="4116" customFormat="false" ht="12.75" hidden="false" customHeight="true" outlineLevel="0" collapsed="false"/>
    <row r="4117" customFormat="false" ht="12.75" hidden="false" customHeight="true" outlineLevel="0" collapsed="false"/>
    <row r="4118" customFormat="false" ht="12.75" hidden="false" customHeight="true" outlineLevel="0" collapsed="false"/>
    <row r="4119" customFormat="false" ht="12.75" hidden="false" customHeight="true" outlineLevel="0" collapsed="false"/>
    <row r="4120" customFormat="false" ht="12.75" hidden="false" customHeight="true" outlineLevel="0" collapsed="false"/>
    <row r="4121" customFormat="false" ht="12.75" hidden="false" customHeight="true" outlineLevel="0" collapsed="false"/>
    <row r="4122" customFormat="false" ht="12.75" hidden="false" customHeight="true" outlineLevel="0" collapsed="false"/>
    <row r="4123" customFormat="false" ht="12.75" hidden="false" customHeight="true" outlineLevel="0" collapsed="false"/>
    <row r="4124" customFormat="false" ht="12.75" hidden="false" customHeight="true" outlineLevel="0" collapsed="false"/>
    <row r="4125" customFormat="false" ht="12.75" hidden="false" customHeight="true" outlineLevel="0" collapsed="false"/>
    <row r="4126" customFormat="false" ht="12.75" hidden="false" customHeight="true" outlineLevel="0" collapsed="false"/>
    <row r="4127" customFormat="false" ht="12.75" hidden="false" customHeight="true" outlineLevel="0" collapsed="false"/>
    <row r="4128" customFormat="false" ht="12.75" hidden="false" customHeight="true" outlineLevel="0" collapsed="false"/>
    <row r="4129" customFormat="false" ht="12.75" hidden="false" customHeight="true" outlineLevel="0" collapsed="false"/>
    <row r="4130" customFormat="false" ht="12.75" hidden="false" customHeight="true" outlineLevel="0" collapsed="false"/>
    <row r="4131" customFormat="false" ht="12.75" hidden="false" customHeight="true" outlineLevel="0" collapsed="false"/>
    <row r="4132" customFormat="false" ht="12.75" hidden="false" customHeight="true" outlineLevel="0" collapsed="false"/>
    <row r="4133" customFormat="false" ht="12.75" hidden="false" customHeight="true" outlineLevel="0" collapsed="false"/>
    <row r="4134" customFormat="false" ht="12.75" hidden="false" customHeight="true" outlineLevel="0" collapsed="false"/>
    <row r="4135" customFormat="false" ht="12.75" hidden="false" customHeight="true" outlineLevel="0" collapsed="false"/>
    <row r="4136" customFormat="false" ht="12.75" hidden="false" customHeight="true" outlineLevel="0" collapsed="false"/>
    <row r="4137" customFormat="false" ht="12.75" hidden="false" customHeight="true" outlineLevel="0" collapsed="false"/>
    <row r="4138" customFormat="false" ht="12.75" hidden="false" customHeight="true" outlineLevel="0" collapsed="false"/>
    <row r="4139" customFormat="false" ht="12.75" hidden="false" customHeight="true" outlineLevel="0" collapsed="false"/>
    <row r="4140" customFormat="false" ht="12.75" hidden="false" customHeight="true" outlineLevel="0" collapsed="false"/>
    <row r="4141" customFormat="false" ht="12.75" hidden="false" customHeight="true" outlineLevel="0" collapsed="false"/>
    <row r="4142" customFormat="false" ht="12.75" hidden="false" customHeight="true" outlineLevel="0" collapsed="false"/>
    <row r="4143" customFormat="false" ht="12.75" hidden="false" customHeight="true" outlineLevel="0" collapsed="false"/>
    <row r="4144" customFormat="false" ht="12.75" hidden="false" customHeight="true" outlineLevel="0" collapsed="false"/>
    <row r="4145" customFormat="false" ht="12.75" hidden="false" customHeight="true" outlineLevel="0" collapsed="false"/>
    <row r="4146" customFormat="false" ht="12.75" hidden="false" customHeight="true" outlineLevel="0" collapsed="false"/>
    <row r="4147" customFormat="false" ht="12.75" hidden="false" customHeight="true" outlineLevel="0" collapsed="false"/>
    <row r="4148" customFormat="false" ht="12.75" hidden="false" customHeight="true" outlineLevel="0" collapsed="false"/>
    <row r="4149" customFormat="false" ht="12.75" hidden="false" customHeight="true" outlineLevel="0" collapsed="false"/>
    <row r="4150" customFormat="false" ht="12.75" hidden="false" customHeight="true" outlineLevel="0" collapsed="false"/>
    <row r="4151" customFormat="false" ht="12.75" hidden="false" customHeight="true" outlineLevel="0" collapsed="false"/>
    <row r="4152" customFormat="false" ht="12.75" hidden="false" customHeight="true" outlineLevel="0" collapsed="false"/>
    <row r="4153" customFormat="false" ht="12.75" hidden="false" customHeight="true" outlineLevel="0" collapsed="false"/>
    <row r="4154" customFormat="false" ht="12.75" hidden="false" customHeight="true" outlineLevel="0" collapsed="false"/>
    <row r="4155" customFormat="false" ht="12.75" hidden="false" customHeight="true" outlineLevel="0" collapsed="false"/>
    <row r="4156" customFormat="false" ht="12.75" hidden="false" customHeight="true" outlineLevel="0" collapsed="false"/>
    <row r="4157" customFormat="false" ht="12.75" hidden="false" customHeight="true" outlineLevel="0" collapsed="false"/>
    <row r="4158" customFormat="false" ht="12.75" hidden="false" customHeight="true" outlineLevel="0" collapsed="false"/>
    <row r="4159" customFormat="false" ht="12.75" hidden="false" customHeight="true" outlineLevel="0" collapsed="false"/>
    <row r="4160" customFormat="false" ht="12.75" hidden="false" customHeight="true" outlineLevel="0" collapsed="false"/>
    <row r="4161" customFormat="false" ht="12.75" hidden="false" customHeight="true" outlineLevel="0" collapsed="false"/>
    <row r="4162" customFormat="false" ht="12.75" hidden="false" customHeight="true" outlineLevel="0" collapsed="false"/>
    <row r="4163" customFormat="false" ht="12.75" hidden="false" customHeight="true" outlineLevel="0" collapsed="false"/>
    <row r="4164" customFormat="false" ht="12.75" hidden="false" customHeight="true" outlineLevel="0" collapsed="false"/>
    <row r="4165" customFormat="false" ht="12.75" hidden="false" customHeight="true" outlineLevel="0" collapsed="false"/>
    <row r="4166" customFormat="false" ht="12.75" hidden="false" customHeight="true" outlineLevel="0" collapsed="false"/>
    <row r="4167" customFormat="false" ht="12.75" hidden="false" customHeight="true" outlineLevel="0" collapsed="false"/>
    <row r="4168" customFormat="false" ht="12.75" hidden="false" customHeight="true" outlineLevel="0" collapsed="false"/>
    <row r="4169" customFormat="false" ht="12.75" hidden="false" customHeight="true" outlineLevel="0" collapsed="false"/>
    <row r="4170" customFormat="false" ht="12.75" hidden="false" customHeight="true" outlineLevel="0" collapsed="false"/>
    <row r="4171" customFormat="false" ht="12.75" hidden="false" customHeight="true" outlineLevel="0" collapsed="false"/>
    <row r="4172" customFormat="false" ht="12.75" hidden="false" customHeight="true" outlineLevel="0" collapsed="false"/>
    <row r="4173" customFormat="false" ht="12.75" hidden="false" customHeight="true" outlineLevel="0" collapsed="false"/>
    <row r="4174" customFormat="false" ht="12.75" hidden="false" customHeight="true" outlineLevel="0" collapsed="false"/>
    <row r="4175" customFormat="false" ht="12.75" hidden="false" customHeight="true" outlineLevel="0" collapsed="false"/>
    <row r="4176" customFormat="false" ht="12.75" hidden="false" customHeight="true" outlineLevel="0" collapsed="false"/>
    <row r="4177" customFormat="false" ht="12.75" hidden="false" customHeight="true" outlineLevel="0" collapsed="false"/>
    <row r="4178" customFormat="false" ht="12.75" hidden="false" customHeight="true" outlineLevel="0" collapsed="false"/>
    <row r="4179" customFormat="false" ht="12.75" hidden="false" customHeight="true" outlineLevel="0" collapsed="false"/>
    <row r="4180" customFormat="false" ht="12.75" hidden="false" customHeight="true" outlineLevel="0" collapsed="false"/>
    <row r="4181" customFormat="false" ht="12.75" hidden="false" customHeight="true" outlineLevel="0" collapsed="false"/>
    <row r="4182" customFormat="false" ht="12.75" hidden="false" customHeight="true" outlineLevel="0" collapsed="false"/>
    <row r="4183" customFormat="false" ht="12.75" hidden="false" customHeight="true" outlineLevel="0" collapsed="false"/>
    <row r="4184" customFormat="false" ht="12.75" hidden="false" customHeight="true" outlineLevel="0" collapsed="false"/>
    <row r="4185" customFormat="false" ht="12.75" hidden="false" customHeight="true" outlineLevel="0" collapsed="false"/>
    <row r="4186" customFormat="false" ht="12.75" hidden="false" customHeight="true" outlineLevel="0" collapsed="false"/>
    <row r="4187" customFormat="false" ht="12.75" hidden="false" customHeight="true" outlineLevel="0" collapsed="false"/>
    <row r="4188" customFormat="false" ht="12.75" hidden="false" customHeight="true" outlineLevel="0" collapsed="false"/>
    <row r="4189" customFormat="false" ht="12.75" hidden="false" customHeight="true" outlineLevel="0" collapsed="false"/>
    <row r="4190" customFormat="false" ht="12.75" hidden="false" customHeight="true" outlineLevel="0" collapsed="false"/>
    <row r="4191" customFormat="false" ht="12.75" hidden="false" customHeight="true" outlineLevel="0" collapsed="false"/>
    <row r="4192" customFormat="false" ht="12.75" hidden="false" customHeight="true" outlineLevel="0" collapsed="false"/>
    <row r="4193" customFormat="false" ht="12.75" hidden="false" customHeight="true" outlineLevel="0" collapsed="false"/>
    <row r="4194" customFormat="false" ht="12.75" hidden="false" customHeight="true" outlineLevel="0" collapsed="false"/>
    <row r="4195" customFormat="false" ht="12.75" hidden="false" customHeight="true" outlineLevel="0" collapsed="false"/>
    <row r="4196" customFormat="false" ht="12.75" hidden="false" customHeight="true" outlineLevel="0" collapsed="false"/>
    <row r="4197" customFormat="false" ht="12.75" hidden="false" customHeight="true" outlineLevel="0" collapsed="false"/>
    <row r="4198" customFormat="false" ht="12.75" hidden="false" customHeight="true" outlineLevel="0" collapsed="false"/>
    <row r="4199" customFormat="false" ht="12.75" hidden="false" customHeight="true" outlineLevel="0" collapsed="false"/>
    <row r="4200" customFormat="false" ht="12.75" hidden="false" customHeight="true" outlineLevel="0" collapsed="false"/>
    <row r="4201" customFormat="false" ht="12.75" hidden="false" customHeight="true" outlineLevel="0" collapsed="false"/>
    <row r="4202" customFormat="false" ht="12.75" hidden="false" customHeight="true" outlineLevel="0" collapsed="false"/>
    <row r="4203" customFormat="false" ht="12.75" hidden="false" customHeight="true" outlineLevel="0" collapsed="false"/>
    <row r="4204" customFormat="false" ht="12.75" hidden="false" customHeight="true" outlineLevel="0" collapsed="false"/>
    <row r="4205" customFormat="false" ht="12.75" hidden="false" customHeight="true" outlineLevel="0" collapsed="false"/>
    <row r="4206" customFormat="false" ht="12.75" hidden="false" customHeight="true" outlineLevel="0" collapsed="false"/>
    <row r="4207" customFormat="false" ht="12.75" hidden="false" customHeight="true" outlineLevel="0" collapsed="false"/>
    <row r="4208" customFormat="false" ht="12.75" hidden="false" customHeight="true" outlineLevel="0" collapsed="false"/>
    <row r="4209" customFormat="false" ht="12.75" hidden="false" customHeight="true" outlineLevel="0" collapsed="false"/>
    <row r="4210" customFormat="false" ht="12.75" hidden="false" customHeight="true" outlineLevel="0" collapsed="false"/>
    <row r="4211" customFormat="false" ht="12.75" hidden="false" customHeight="true" outlineLevel="0" collapsed="false"/>
    <row r="4212" customFormat="false" ht="12.75" hidden="false" customHeight="true" outlineLevel="0" collapsed="false"/>
    <row r="4213" customFormat="false" ht="12.75" hidden="false" customHeight="true" outlineLevel="0" collapsed="false"/>
    <row r="4214" customFormat="false" ht="12.75" hidden="false" customHeight="true" outlineLevel="0" collapsed="false"/>
    <row r="4215" customFormat="false" ht="12.75" hidden="false" customHeight="true" outlineLevel="0" collapsed="false"/>
    <row r="4216" customFormat="false" ht="12.75" hidden="false" customHeight="true" outlineLevel="0" collapsed="false"/>
    <row r="4217" customFormat="false" ht="12.75" hidden="false" customHeight="true" outlineLevel="0" collapsed="false"/>
    <row r="4218" customFormat="false" ht="12.75" hidden="false" customHeight="true" outlineLevel="0" collapsed="false"/>
    <row r="4219" customFormat="false" ht="12.75" hidden="false" customHeight="true" outlineLevel="0" collapsed="false"/>
    <row r="4220" customFormat="false" ht="12.75" hidden="false" customHeight="true" outlineLevel="0" collapsed="false"/>
    <row r="4221" customFormat="false" ht="12.75" hidden="false" customHeight="true" outlineLevel="0" collapsed="false"/>
    <row r="4222" customFormat="false" ht="12.75" hidden="false" customHeight="true" outlineLevel="0" collapsed="false"/>
    <row r="4223" customFormat="false" ht="12.75" hidden="false" customHeight="true" outlineLevel="0" collapsed="false"/>
    <row r="4224" customFormat="false" ht="12.75" hidden="false" customHeight="true" outlineLevel="0" collapsed="false"/>
    <row r="4225" customFormat="false" ht="12.75" hidden="false" customHeight="true" outlineLevel="0" collapsed="false"/>
    <row r="4226" customFormat="false" ht="12.75" hidden="false" customHeight="true" outlineLevel="0" collapsed="false"/>
    <row r="4227" customFormat="false" ht="12.75" hidden="false" customHeight="true" outlineLevel="0" collapsed="false"/>
    <row r="4228" customFormat="false" ht="12.75" hidden="false" customHeight="true" outlineLevel="0" collapsed="false"/>
    <row r="4229" customFormat="false" ht="12.75" hidden="false" customHeight="true" outlineLevel="0" collapsed="false"/>
    <row r="4230" customFormat="false" ht="12.75" hidden="false" customHeight="true" outlineLevel="0" collapsed="false"/>
    <row r="4231" customFormat="false" ht="12.75" hidden="false" customHeight="true" outlineLevel="0" collapsed="false"/>
    <row r="4232" customFormat="false" ht="12.75" hidden="false" customHeight="true" outlineLevel="0" collapsed="false"/>
    <row r="4233" customFormat="false" ht="12.75" hidden="false" customHeight="true" outlineLevel="0" collapsed="false"/>
    <row r="4234" customFormat="false" ht="12.75" hidden="false" customHeight="true" outlineLevel="0" collapsed="false"/>
    <row r="4235" customFormat="false" ht="12.75" hidden="false" customHeight="true" outlineLevel="0" collapsed="false"/>
    <row r="4236" customFormat="false" ht="12.75" hidden="false" customHeight="true" outlineLevel="0" collapsed="false"/>
    <row r="4237" customFormat="false" ht="12.75" hidden="false" customHeight="true" outlineLevel="0" collapsed="false"/>
    <row r="4238" customFormat="false" ht="12.75" hidden="false" customHeight="true" outlineLevel="0" collapsed="false"/>
    <row r="4239" customFormat="false" ht="12.75" hidden="false" customHeight="true" outlineLevel="0" collapsed="false"/>
    <row r="4240" customFormat="false" ht="12.75" hidden="false" customHeight="true" outlineLevel="0" collapsed="false"/>
    <row r="4241" customFormat="false" ht="12.75" hidden="false" customHeight="true" outlineLevel="0" collapsed="false"/>
    <row r="4242" customFormat="false" ht="12.75" hidden="false" customHeight="true" outlineLevel="0" collapsed="false"/>
    <row r="4243" customFormat="false" ht="12.75" hidden="false" customHeight="true" outlineLevel="0" collapsed="false"/>
    <row r="4244" customFormat="false" ht="12.75" hidden="false" customHeight="true" outlineLevel="0" collapsed="false"/>
    <row r="4245" customFormat="false" ht="12.75" hidden="false" customHeight="true" outlineLevel="0" collapsed="false"/>
    <row r="4246" customFormat="false" ht="12.75" hidden="false" customHeight="true" outlineLevel="0" collapsed="false"/>
    <row r="4247" customFormat="false" ht="12.75" hidden="false" customHeight="true" outlineLevel="0" collapsed="false"/>
    <row r="4248" customFormat="false" ht="12.75" hidden="false" customHeight="true" outlineLevel="0" collapsed="false"/>
    <row r="4249" customFormat="false" ht="12.75" hidden="false" customHeight="true" outlineLevel="0" collapsed="false"/>
    <row r="4250" customFormat="false" ht="12.75" hidden="false" customHeight="true" outlineLevel="0" collapsed="false"/>
    <row r="4251" customFormat="false" ht="12.75" hidden="false" customHeight="true" outlineLevel="0" collapsed="false"/>
    <row r="4252" customFormat="false" ht="12.75" hidden="false" customHeight="true" outlineLevel="0" collapsed="false"/>
    <row r="4253" customFormat="false" ht="12.75" hidden="false" customHeight="true" outlineLevel="0" collapsed="false"/>
    <row r="4254" customFormat="false" ht="12.75" hidden="false" customHeight="true" outlineLevel="0" collapsed="false"/>
    <row r="4255" customFormat="false" ht="12.75" hidden="false" customHeight="true" outlineLevel="0" collapsed="false"/>
    <row r="4256" customFormat="false" ht="12.75" hidden="false" customHeight="true" outlineLevel="0" collapsed="false"/>
    <row r="4257" customFormat="false" ht="12.75" hidden="false" customHeight="true" outlineLevel="0" collapsed="false"/>
    <row r="4258" customFormat="false" ht="12.75" hidden="false" customHeight="true" outlineLevel="0" collapsed="false"/>
    <row r="4259" customFormat="false" ht="12.75" hidden="false" customHeight="true" outlineLevel="0" collapsed="false"/>
    <row r="4260" customFormat="false" ht="12.75" hidden="false" customHeight="true" outlineLevel="0" collapsed="false"/>
    <row r="4261" customFormat="false" ht="12.75" hidden="false" customHeight="true" outlineLevel="0" collapsed="false"/>
    <row r="4262" customFormat="false" ht="12.75" hidden="false" customHeight="true" outlineLevel="0" collapsed="false"/>
    <row r="4263" customFormat="false" ht="12.75" hidden="false" customHeight="true" outlineLevel="0" collapsed="false"/>
    <row r="4264" customFormat="false" ht="12.75" hidden="false" customHeight="true" outlineLevel="0" collapsed="false"/>
    <row r="4265" customFormat="false" ht="12.75" hidden="false" customHeight="true" outlineLevel="0" collapsed="false"/>
    <row r="4266" customFormat="false" ht="12.75" hidden="false" customHeight="true" outlineLevel="0" collapsed="false"/>
    <row r="4267" customFormat="false" ht="12.75" hidden="false" customHeight="true" outlineLevel="0" collapsed="false"/>
    <row r="4268" customFormat="false" ht="12.75" hidden="false" customHeight="true" outlineLevel="0" collapsed="false"/>
    <row r="4269" customFormat="false" ht="12.75" hidden="false" customHeight="true" outlineLevel="0" collapsed="false"/>
    <row r="4270" customFormat="false" ht="12.75" hidden="false" customHeight="true" outlineLevel="0" collapsed="false"/>
    <row r="4271" customFormat="false" ht="12.75" hidden="false" customHeight="true" outlineLevel="0" collapsed="false"/>
    <row r="4272" customFormat="false" ht="12.75" hidden="false" customHeight="true" outlineLevel="0" collapsed="false"/>
    <row r="4273" customFormat="false" ht="12.75" hidden="false" customHeight="true" outlineLevel="0" collapsed="false"/>
    <row r="4274" customFormat="false" ht="12.75" hidden="false" customHeight="true" outlineLevel="0" collapsed="false"/>
    <row r="4275" customFormat="false" ht="12.75" hidden="false" customHeight="true" outlineLevel="0" collapsed="false"/>
    <row r="4276" customFormat="false" ht="12.75" hidden="false" customHeight="true" outlineLevel="0" collapsed="false"/>
    <row r="4277" customFormat="false" ht="12.75" hidden="false" customHeight="true" outlineLevel="0" collapsed="false"/>
    <row r="4278" customFormat="false" ht="12.75" hidden="false" customHeight="true" outlineLevel="0" collapsed="false"/>
    <row r="4279" customFormat="false" ht="12.75" hidden="false" customHeight="true" outlineLevel="0" collapsed="false"/>
    <row r="4280" customFormat="false" ht="12.75" hidden="false" customHeight="true" outlineLevel="0" collapsed="false"/>
    <row r="4281" customFormat="false" ht="12.75" hidden="false" customHeight="true" outlineLevel="0" collapsed="false"/>
    <row r="4282" customFormat="false" ht="12.75" hidden="false" customHeight="true" outlineLevel="0" collapsed="false"/>
    <row r="4283" customFormat="false" ht="12.75" hidden="false" customHeight="true" outlineLevel="0" collapsed="false"/>
    <row r="4284" customFormat="false" ht="12.75" hidden="false" customHeight="true" outlineLevel="0" collapsed="false"/>
    <row r="4285" customFormat="false" ht="12.75" hidden="false" customHeight="true" outlineLevel="0" collapsed="false"/>
    <row r="4286" customFormat="false" ht="12.75" hidden="false" customHeight="true" outlineLevel="0" collapsed="false"/>
    <row r="4287" customFormat="false" ht="12.75" hidden="false" customHeight="true" outlineLevel="0" collapsed="false"/>
    <row r="4288" customFormat="false" ht="12.75" hidden="false" customHeight="true" outlineLevel="0" collapsed="false"/>
    <row r="4289" customFormat="false" ht="12.75" hidden="false" customHeight="true" outlineLevel="0" collapsed="false"/>
    <row r="4290" customFormat="false" ht="12.75" hidden="false" customHeight="true" outlineLevel="0" collapsed="false"/>
    <row r="4291" customFormat="false" ht="12.75" hidden="false" customHeight="true" outlineLevel="0" collapsed="false"/>
    <row r="4292" customFormat="false" ht="12.75" hidden="false" customHeight="true" outlineLevel="0" collapsed="false"/>
    <row r="4293" customFormat="false" ht="12.75" hidden="false" customHeight="true" outlineLevel="0" collapsed="false"/>
    <row r="4294" customFormat="false" ht="12.75" hidden="false" customHeight="true" outlineLevel="0" collapsed="false"/>
    <row r="4295" customFormat="false" ht="12.75" hidden="false" customHeight="true" outlineLevel="0" collapsed="false"/>
    <row r="4296" customFormat="false" ht="12.75" hidden="false" customHeight="true" outlineLevel="0" collapsed="false"/>
    <row r="4297" customFormat="false" ht="12.75" hidden="false" customHeight="true" outlineLevel="0" collapsed="false"/>
    <row r="4298" customFormat="false" ht="12.75" hidden="false" customHeight="true" outlineLevel="0" collapsed="false"/>
    <row r="4299" customFormat="false" ht="12.75" hidden="false" customHeight="true" outlineLevel="0" collapsed="false"/>
    <row r="4300" customFormat="false" ht="12.75" hidden="false" customHeight="true" outlineLevel="0" collapsed="false"/>
    <row r="4301" customFormat="false" ht="12.75" hidden="false" customHeight="true" outlineLevel="0" collapsed="false"/>
    <row r="4302" customFormat="false" ht="12.75" hidden="false" customHeight="true" outlineLevel="0" collapsed="false"/>
    <row r="4303" customFormat="false" ht="12.75" hidden="false" customHeight="true" outlineLevel="0" collapsed="false"/>
    <row r="4304" customFormat="false" ht="12.75" hidden="false" customHeight="true" outlineLevel="0" collapsed="false"/>
    <row r="4305" customFormat="false" ht="12.75" hidden="false" customHeight="true" outlineLevel="0" collapsed="false"/>
    <row r="4306" customFormat="false" ht="12.75" hidden="false" customHeight="true" outlineLevel="0" collapsed="false"/>
    <row r="4307" customFormat="false" ht="12.75" hidden="false" customHeight="true" outlineLevel="0" collapsed="false"/>
    <row r="4308" customFormat="false" ht="12.75" hidden="false" customHeight="true" outlineLevel="0" collapsed="false"/>
    <row r="4309" customFormat="false" ht="12.75" hidden="false" customHeight="true" outlineLevel="0" collapsed="false"/>
    <row r="4310" customFormat="false" ht="12.75" hidden="false" customHeight="true" outlineLevel="0" collapsed="false"/>
    <row r="4311" customFormat="false" ht="12.75" hidden="false" customHeight="true" outlineLevel="0" collapsed="false"/>
    <row r="4312" customFormat="false" ht="12.75" hidden="false" customHeight="true" outlineLevel="0" collapsed="false"/>
    <row r="4313" customFormat="false" ht="12.75" hidden="false" customHeight="true" outlineLevel="0" collapsed="false"/>
    <row r="4314" customFormat="false" ht="12.75" hidden="false" customHeight="true" outlineLevel="0" collapsed="false"/>
    <row r="4315" customFormat="false" ht="12.75" hidden="false" customHeight="true" outlineLevel="0" collapsed="false"/>
    <row r="4316" customFormat="false" ht="12.75" hidden="false" customHeight="true" outlineLevel="0" collapsed="false"/>
    <row r="4317" customFormat="false" ht="12.75" hidden="false" customHeight="true" outlineLevel="0" collapsed="false"/>
    <row r="4318" customFormat="false" ht="12.75" hidden="false" customHeight="true" outlineLevel="0" collapsed="false"/>
    <row r="4319" customFormat="false" ht="12.75" hidden="false" customHeight="true" outlineLevel="0" collapsed="false"/>
    <row r="4320" customFormat="false" ht="12.75" hidden="false" customHeight="true" outlineLevel="0" collapsed="false"/>
    <row r="4321" customFormat="false" ht="12.75" hidden="false" customHeight="true" outlineLevel="0" collapsed="false"/>
    <row r="4322" customFormat="false" ht="12.75" hidden="false" customHeight="true" outlineLevel="0" collapsed="false"/>
    <row r="4323" customFormat="false" ht="12.75" hidden="false" customHeight="true" outlineLevel="0" collapsed="false"/>
    <row r="4324" customFormat="false" ht="12.75" hidden="false" customHeight="true" outlineLevel="0" collapsed="false"/>
    <row r="4325" customFormat="false" ht="12.75" hidden="false" customHeight="true" outlineLevel="0" collapsed="false"/>
    <row r="4326" customFormat="false" ht="12.75" hidden="false" customHeight="true" outlineLevel="0" collapsed="false"/>
    <row r="4327" customFormat="false" ht="12.75" hidden="false" customHeight="true" outlineLevel="0" collapsed="false"/>
    <row r="4328" customFormat="false" ht="12.75" hidden="false" customHeight="true" outlineLevel="0" collapsed="false"/>
    <row r="4329" customFormat="false" ht="12.75" hidden="false" customHeight="true" outlineLevel="0" collapsed="false"/>
    <row r="4330" customFormat="false" ht="12.75" hidden="false" customHeight="true" outlineLevel="0" collapsed="false"/>
    <row r="4331" customFormat="false" ht="12.75" hidden="false" customHeight="true" outlineLevel="0" collapsed="false"/>
    <row r="4332" customFormat="false" ht="12.75" hidden="false" customHeight="true" outlineLevel="0" collapsed="false"/>
    <row r="4333" customFormat="false" ht="12.75" hidden="false" customHeight="true" outlineLevel="0" collapsed="false"/>
    <row r="4334" customFormat="false" ht="12.75" hidden="false" customHeight="true" outlineLevel="0" collapsed="false"/>
    <row r="4335" customFormat="false" ht="12.75" hidden="false" customHeight="true" outlineLevel="0" collapsed="false"/>
    <row r="4336" customFormat="false" ht="12.75" hidden="false" customHeight="true" outlineLevel="0" collapsed="false"/>
    <row r="4337" customFormat="false" ht="12.75" hidden="false" customHeight="true" outlineLevel="0" collapsed="false"/>
    <row r="4338" customFormat="false" ht="12.75" hidden="false" customHeight="true" outlineLevel="0" collapsed="false"/>
    <row r="4339" customFormat="false" ht="12.75" hidden="false" customHeight="true" outlineLevel="0" collapsed="false"/>
    <row r="4340" customFormat="false" ht="12.75" hidden="false" customHeight="true" outlineLevel="0" collapsed="false"/>
    <row r="4341" customFormat="false" ht="12.75" hidden="false" customHeight="true" outlineLevel="0" collapsed="false"/>
    <row r="4342" customFormat="false" ht="12.75" hidden="false" customHeight="true" outlineLevel="0" collapsed="false"/>
    <row r="4343" customFormat="false" ht="12.75" hidden="false" customHeight="true" outlineLevel="0" collapsed="false"/>
    <row r="4344" customFormat="false" ht="12.75" hidden="false" customHeight="true" outlineLevel="0" collapsed="false"/>
    <row r="4345" customFormat="false" ht="12.75" hidden="false" customHeight="true" outlineLevel="0" collapsed="false"/>
    <row r="4346" customFormat="false" ht="12.75" hidden="false" customHeight="true" outlineLevel="0" collapsed="false"/>
    <row r="4347" customFormat="false" ht="12.75" hidden="false" customHeight="true" outlineLevel="0" collapsed="false"/>
    <row r="4348" customFormat="false" ht="12.75" hidden="false" customHeight="true" outlineLevel="0" collapsed="false"/>
    <row r="4349" customFormat="false" ht="12.75" hidden="false" customHeight="true" outlineLevel="0" collapsed="false"/>
    <row r="4350" customFormat="false" ht="12.75" hidden="false" customHeight="true" outlineLevel="0" collapsed="false"/>
    <row r="4351" customFormat="false" ht="12.75" hidden="false" customHeight="true" outlineLevel="0" collapsed="false"/>
    <row r="4352" customFormat="false" ht="12.75" hidden="false" customHeight="true" outlineLevel="0" collapsed="false"/>
    <row r="4353" customFormat="false" ht="12.75" hidden="false" customHeight="true" outlineLevel="0" collapsed="false"/>
    <row r="4354" customFormat="false" ht="12.75" hidden="false" customHeight="true" outlineLevel="0" collapsed="false"/>
    <row r="4355" customFormat="false" ht="12.75" hidden="false" customHeight="true" outlineLevel="0" collapsed="false"/>
    <row r="4356" customFormat="false" ht="12.75" hidden="false" customHeight="true" outlineLevel="0" collapsed="false"/>
    <row r="4357" customFormat="false" ht="12.75" hidden="false" customHeight="true" outlineLevel="0" collapsed="false"/>
    <row r="4358" customFormat="false" ht="12.75" hidden="false" customHeight="true" outlineLevel="0" collapsed="false"/>
    <row r="4359" customFormat="false" ht="12.75" hidden="false" customHeight="true" outlineLevel="0" collapsed="false"/>
    <row r="4360" customFormat="false" ht="12.75" hidden="false" customHeight="true" outlineLevel="0" collapsed="false"/>
    <row r="4361" customFormat="false" ht="12.75" hidden="false" customHeight="true" outlineLevel="0" collapsed="false"/>
    <row r="4362" customFormat="false" ht="12.75" hidden="false" customHeight="true" outlineLevel="0" collapsed="false"/>
    <row r="4363" customFormat="false" ht="12.75" hidden="false" customHeight="true" outlineLevel="0" collapsed="false"/>
    <row r="4364" customFormat="false" ht="12.75" hidden="false" customHeight="true" outlineLevel="0" collapsed="false"/>
    <row r="4365" customFormat="false" ht="12.75" hidden="false" customHeight="true" outlineLevel="0" collapsed="false"/>
    <row r="4366" customFormat="false" ht="12.75" hidden="false" customHeight="true" outlineLevel="0" collapsed="false"/>
    <row r="4367" customFormat="false" ht="12.75" hidden="false" customHeight="true" outlineLevel="0" collapsed="false"/>
    <row r="4368" customFormat="false" ht="12.75" hidden="false" customHeight="true" outlineLevel="0" collapsed="false"/>
    <row r="4369" customFormat="false" ht="12.75" hidden="false" customHeight="true" outlineLevel="0" collapsed="false"/>
    <row r="4370" customFormat="false" ht="12.75" hidden="false" customHeight="true" outlineLevel="0" collapsed="false"/>
    <row r="4371" customFormat="false" ht="12.75" hidden="false" customHeight="true" outlineLevel="0" collapsed="false"/>
    <row r="4372" customFormat="false" ht="12.75" hidden="false" customHeight="true" outlineLevel="0" collapsed="false"/>
    <row r="4373" customFormat="false" ht="12.75" hidden="false" customHeight="true" outlineLevel="0" collapsed="false"/>
    <row r="4374" customFormat="false" ht="12.75" hidden="false" customHeight="true" outlineLevel="0" collapsed="false"/>
    <row r="4375" customFormat="false" ht="12.75" hidden="false" customHeight="true" outlineLevel="0" collapsed="false"/>
    <row r="4376" customFormat="false" ht="12.75" hidden="false" customHeight="true" outlineLevel="0" collapsed="false"/>
    <row r="4377" customFormat="false" ht="12.75" hidden="false" customHeight="true" outlineLevel="0" collapsed="false"/>
    <row r="4378" customFormat="false" ht="12.75" hidden="false" customHeight="true" outlineLevel="0" collapsed="false"/>
    <row r="4379" customFormat="false" ht="12.75" hidden="false" customHeight="true" outlineLevel="0" collapsed="false"/>
    <row r="4380" customFormat="false" ht="12.75" hidden="false" customHeight="true" outlineLevel="0" collapsed="false"/>
    <row r="4381" customFormat="false" ht="12.75" hidden="false" customHeight="true" outlineLevel="0" collapsed="false"/>
    <row r="4382" customFormat="false" ht="12.75" hidden="false" customHeight="true" outlineLevel="0" collapsed="false"/>
    <row r="4383" customFormat="false" ht="12.75" hidden="false" customHeight="true" outlineLevel="0" collapsed="false"/>
    <row r="4384" customFormat="false" ht="12.75" hidden="false" customHeight="true" outlineLevel="0" collapsed="false"/>
    <row r="4385" customFormat="false" ht="12.75" hidden="false" customHeight="true" outlineLevel="0" collapsed="false"/>
    <row r="4386" customFormat="false" ht="12.75" hidden="false" customHeight="true" outlineLevel="0" collapsed="false"/>
    <row r="4387" customFormat="false" ht="12.75" hidden="false" customHeight="true" outlineLevel="0" collapsed="false"/>
    <row r="4388" customFormat="false" ht="12.75" hidden="false" customHeight="true" outlineLevel="0" collapsed="false"/>
    <row r="4389" customFormat="false" ht="12.75" hidden="false" customHeight="true" outlineLevel="0" collapsed="false"/>
    <row r="4390" customFormat="false" ht="12.75" hidden="false" customHeight="true" outlineLevel="0" collapsed="false"/>
    <row r="4391" customFormat="false" ht="12.75" hidden="false" customHeight="true" outlineLevel="0" collapsed="false"/>
    <row r="4392" customFormat="false" ht="12.75" hidden="false" customHeight="true" outlineLevel="0" collapsed="false"/>
    <row r="4393" customFormat="false" ht="12.75" hidden="false" customHeight="true" outlineLevel="0" collapsed="false"/>
    <row r="4394" customFormat="false" ht="12.75" hidden="false" customHeight="true" outlineLevel="0" collapsed="false"/>
    <row r="4395" customFormat="false" ht="12.75" hidden="false" customHeight="true" outlineLevel="0" collapsed="false"/>
    <row r="4396" customFormat="false" ht="12.75" hidden="false" customHeight="true" outlineLevel="0" collapsed="false"/>
    <row r="4397" customFormat="false" ht="12.75" hidden="false" customHeight="true" outlineLevel="0" collapsed="false"/>
    <row r="4398" customFormat="false" ht="12.75" hidden="false" customHeight="true" outlineLevel="0" collapsed="false"/>
    <row r="4399" customFormat="false" ht="12.75" hidden="false" customHeight="true" outlineLevel="0" collapsed="false"/>
    <row r="4400" customFormat="false" ht="12.75" hidden="false" customHeight="true" outlineLevel="0" collapsed="false"/>
    <row r="4401" customFormat="false" ht="12.75" hidden="false" customHeight="true" outlineLevel="0" collapsed="false"/>
    <row r="4402" customFormat="false" ht="12.75" hidden="false" customHeight="true" outlineLevel="0" collapsed="false"/>
    <row r="4403" customFormat="false" ht="12.75" hidden="false" customHeight="true" outlineLevel="0" collapsed="false"/>
    <row r="4404" customFormat="false" ht="12.75" hidden="false" customHeight="true" outlineLevel="0" collapsed="false"/>
    <row r="4405" customFormat="false" ht="12.75" hidden="false" customHeight="true" outlineLevel="0" collapsed="false"/>
    <row r="4406" customFormat="false" ht="12.75" hidden="false" customHeight="true" outlineLevel="0" collapsed="false"/>
    <row r="4407" customFormat="false" ht="12.75" hidden="false" customHeight="true" outlineLevel="0" collapsed="false"/>
    <row r="4408" customFormat="false" ht="12.75" hidden="false" customHeight="true" outlineLevel="0" collapsed="false"/>
    <row r="4409" customFormat="false" ht="12.75" hidden="false" customHeight="true" outlineLevel="0" collapsed="false"/>
    <row r="4410" customFormat="false" ht="12.75" hidden="false" customHeight="true" outlineLevel="0" collapsed="false"/>
    <row r="4411" customFormat="false" ht="12.75" hidden="false" customHeight="true" outlineLevel="0" collapsed="false"/>
    <row r="4412" customFormat="false" ht="12.75" hidden="false" customHeight="true" outlineLevel="0" collapsed="false"/>
    <row r="4413" customFormat="false" ht="12.75" hidden="false" customHeight="true" outlineLevel="0" collapsed="false"/>
    <row r="4414" customFormat="false" ht="12.75" hidden="false" customHeight="true" outlineLevel="0" collapsed="false"/>
    <row r="4415" customFormat="false" ht="12.75" hidden="false" customHeight="true" outlineLevel="0" collapsed="false"/>
    <row r="4416" customFormat="false" ht="12.75" hidden="false" customHeight="true" outlineLevel="0" collapsed="false"/>
    <row r="4417" customFormat="false" ht="12.75" hidden="false" customHeight="true" outlineLevel="0" collapsed="false"/>
    <row r="4418" customFormat="false" ht="12.75" hidden="false" customHeight="true" outlineLevel="0" collapsed="false"/>
    <row r="4419" customFormat="false" ht="12.75" hidden="false" customHeight="true" outlineLevel="0" collapsed="false"/>
    <row r="4420" customFormat="false" ht="12.75" hidden="false" customHeight="true" outlineLevel="0" collapsed="false"/>
    <row r="4421" customFormat="false" ht="12.75" hidden="false" customHeight="true" outlineLevel="0" collapsed="false"/>
    <row r="4422" customFormat="false" ht="12.75" hidden="false" customHeight="true" outlineLevel="0" collapsed="false"/>
    <row r="4423" customFormat="false" ht="12.75" hidden="false" customHeight="true" outlineLevel="0" collapsed="false"/>
    <row r="4424" customFormat="false" ht="12.75" hidden="false" customHeight="true" outlineLevel="0" collapsed="false"/>
    <row r="4425" customFormat="false" ht="12.75" hidden="false" customHeight="true" outlineLevel="0" collapsed="false"/>
    <row r="4426" customFormat="false" ht="12.75" hidden="false" customHeight="true" outlineLevel="0" collapsed="false"/>
    <row r="4427" customFormat="false" ht="12.75" hidden="false" customHeight="true" outlineLevel="0" collapsed="false"/>
    <row r="4428" customFormat="false" ht="12.75" hidden="false" customHeight="true" outlineLevel="0" collapsed="false"/>
    <row r="4429" customFormat="false" ht="12.75" hidden="false" customHeight="true" outlineLevel="0" collapsed="false"/>
    <row r="4430" customFormat="false" ht="12.75" hidden="false" customHeight="true" outlineLevel="0" collapsed="false"/>
    <row r="4431" customFormat="false" ht="12.75" hidden="false" customHeight="true" outlineLevel="0" collapsed="false"/>
    <row r="4432" customFormat="false" ht="12.75" hidden="false" customHeight="true" outlineLevel="0" collapsed="false"/>
    <row r="4433" customFormat="false" ht="12.75" hidden="false" customHeight="true" outlineLevel="0" collapsed="false"/>
    <row r="4434" customFormat="false" ht="12.75" hidden="false" customHeight="true" outlineLevel="0" collapsed="false"/>
    <row r="4435" customFormat="false" ht="12.75" hidden="false" customHeight="true" outlineLevel="0" collapsed="false"/>
    <row r="4436" customFormat="false" ht="12.75" hidden="false" customHeight="true" outlineLevel="0" collapsed="false"/>
    <row r="4437" customFormat="false" ht="12.75" hidden="false" customHeight="true" outlineLevel="0" collapsed="false"/>
    <row r="4438" customFormat="false" ht="12.75" hidden="false" customHeight="true" outlineLevel="0" collapsed="false"/>
    <row r="4439" customFormat="false" ht="12.75" hidden="false" customHeight="true" outlineLevel="0" collapsed="false"/>
    <row r="4440" customFormat="false" ht="12.75" hidden="false" customHeight="true" outlineLevel="0" collapsed="false"/>
    <row r="4441" customFormat="false" ht="12.75" hidden="false" customHeight="true" outlineLevel="0" collapsed="false"/>
    <row r="4442" customFormat="false" ht="12.75" hidden="false" customHeight="true" outlineLevel="0" collapsed="false"/>
    <row r="4443" customFormat="false" ht="12.75" hidden="false" customHeight="true" outlineLevel="0" collapsed="false"/>
    <row r="4444" customFormat="false" ht="12.75" hidden="false" customHeight="true" outlineLevel="0" collapsed="false"/>
    <row r="4445" customFormat="false" ht="12.75" hidden="false" customHeight="true" outlineLevel="0" collapsed="false"/>
    <row r="4446" customFormat="false" ht="12.75" hidden="false" customHeight="true" outlineLevel="0" collapsed="false"/>
    <row r="4456" customFormat="false" ht="12.75" hidden="false" customHeight="true" outlineLevel="0" collapsed="false"/>
    <row r="4457" customFormat="false" ht="12.75" hidden="false" customHeight="true" outlineLevel="0" collapsed="false"/>
    <row r="4458" customFormat="false" ht="12.75" hidden="false" customHeight="true" outlineLevel="0" collapsed="false"/>
    <row r="4459" customFormat="false" ht="12.75" hidden="false" customHeight="true" outlineLevel="0" collapsed="false"/>
    <row r="61117" customFormat="false" ht="12.75" hidden="false" customHeight="true" outlineLevel="0" collapsed="false"/>
    <row r="61133" customFormat="false" ht="12.75" hidden="false" customHeight="true" outlineLevel="0" collapsed="false"/>
    <row r="61149" customFormat="false" ht="12.75" hidden="false" customHeight="true" outlineLevel="0" collapsed="false"/>
    <row r="61165" customFormat="false" ht="12.75" hidden="false" customHeight="true" outlineLevel="0" collapsed="false"/>
    <row r="61178" customFormat="false" ht="12.75" hidden="false" customHeight="true" outlineLevel="0" collapsed="false"/>
    <row r="61179" customFormat="false" ht="12.75" hidden="false" customHeight="true" outlineLevel="0" collapsed="false"/>
    <row r="61181" customFormat="false" ht="12.75" hidden="false" customHeight="true" outlineLevel="0" collapsed="false"/>
    <row r="61192" customFormat="false" ht="12.75" hidden="false" customHeight="true" outlineLevel="0" collapsed="false"/>
    <row r="61193" customFormat="false" ht="12.75" hidden="false" customHeight="true" outlineLevel="0" collapsed="false"/>
    <row r="61194" customFormat="false" ht="12.75" hidden="false" customHeight="true" outlineLevel="0" collapsed="false"/>
    <row r="61195" customFormat="false" ht="12.75" hidden="false" customHeight="true" outlineLevel="0" collapsed="false"/>
    <row r="61197" customFormat="false" ht="12.75" hidden="false" customHeight="true" outlineLevel="0" collapsed="false"/>
    <row r="61208" customFormat="false" ht="12.75" hidden="false" customHeight="true" outlineLevel="0" collapsed="false"/>
    <row r="61209" customFormat="false" ht="12.75" hidden="false" customHeight="true" outlineLevel="0" collapsed="false"/>
    <row r="61210" customFormat="false" ht="12.75" hidden="false" customHeight="true" outlineLevel="0" collapsed="false"/>
    <row r="61211" customFormat="false" ht="12.75" hidden="false" customHeight="true" outlineLevel="0" collapsed="false"/>
    <row r="61213" customFormat="false" ht="12.75" hidden="false" customHeight="true" outlineLevel="0" collapsed="false"/>
    <row r="61224" customFormat="false" ht="12.75" hidden="false" customHeight="true" outlineLevel="0" collapsed="false"/>
    <row r="61225" customFormat="false" ht="12.75" hidden="false" customHeight="true" outlineLevel="0" collapsed="false"/>
    <row r="61226" customFormat="false" ht="12.75" hidden="false" customHeight="true" outlineLevel="0" collapsed="false"/>
    <row r="61227" customFormat="false" ht="12.75" hidden="false" customHeight="true" outlineLevel="0" collapsed="false"/>
    <row r="61229" customFormat="false" ht="12.75" hidden="false" customHeight="true" outlineLevel="0" collapsed="false"/>
    <row r="61240" customFormat="false" ht="12.75" hidden="false" customHeight="true" outlineLevel="0" collapsed="false"/>
    <row r="61241" customFormat="false" ht="12.75" hidden="false" customHeight="true" outlineLevel="0" collapsed="false"/>
    <row r="61242" customFormat="false" ht="12.75" hidden="false" customHeight="true" outlineLevel="0" collapsed="false"/>
    <row r="61243" customFormat="false" ht="12.75" hidden="false" customHeight="true" outlineLevel="0" collapsed="false"/>
    <row r="61245" customFormat="false" ht="12.75" hidden="false" customHeight="true" outlineLevel="0" collapsed="false"/>
    <row r="61256" customFormat="false" ht="12.75" hidden="false" customHeight="true" outlineLevel="0" collapsed="false"/>
    <row r="61257" customFormat="false" ht="12.75" hidden="false" customHeight="true" outlineLevel="0" collapsed="false"/>
    <row r="61258" customFormat="false" ht="12.75" hidden="false" customHeight="true" outlineLevel="0" collapsed="false"/>
    <row r="61259" customFormat="false" ht="12.75" hidden="false" customHeight="true" outlineLevel="0" collapsed="false"/>
    <row r="61261" customFormat="false" ht="12.75" hidden="false" customHeight="true" outlineLevel="0" collapsed="false"/>
    <row r="61272" customFormat="false" ht="12.75" hidden="false" customHeight="true" outlineLevel="0" collapsed="false"/>
    <row r="61273" customFormat="false" ht="12.75" hidden="false" customHeight="true" outlineLevel="0" collapsed="false"/>
    <row r="61274" customFormat="false" ht="12.75" hidden="false" customHeight="true" outlineLevel="0" collapsed="false"/>
    <row r="61275" customFormat="false" ht="12.75" hidden="false" customHeight="true" outlineLevel="0" collapsed="false"/>
    <row r="61277" customFormat="false" ht="12.75" hidden="false" customHeight="true" outlineLevel="0" collapsed="false"/>
    <row r="61288" customFormat="false" ht="12.75" hidden="false" customHeight="true" outlineLevel="0" collapsed="false"/>
    <row r="61289" customFormat="false" ht="12.75" hidden="false" customHeight="true" outlineLevel="0" collapsed="false"/>
    <row r="61290" customFormat="false" ht="12.75" hidden="false" customHeight="true" outlineLevel="0" collapsed="false"/>
    <row r="61291" customFormat="false" ht="12.75" hidden="false" customHeight="true" outlineLevel="0" collapsed="false"/>
    <row r="61293" customFormat="false" ht="12.75" hidden="false" customHeight="true" outlineLevel="0" collapsed="false"/>
    <row r="61304" customFormat="false" ht="12.75" hidden="false" customHeight="true" outlineLevel="0" collapsed="false"/>
    <row r="61305" customFormat="false" ht="12.75" hidden="false" customHeight="true" outlineLevel="0" collapsed="false"/>
    <row r="61306" customFormat="false" ht="12.75" hidden="false" customHeight="true" outlineLevel="0" collapsed="false"/>
    <row r="61307" customFormat="false" ht="12.75" hidden="false" customHeight="true" outlineLevel="0" collapsed="false"/>
    <row r="61309" customFormat="false" ht="12.75" hidden="false" customHeight="true" outlineLevel="0" collapsed="false"/>
    <row r="61317" customFormat="false" ht="12.75" hidden="false" customHeight="true" outlineLevel="0" collapsed="false"/>
    <row r="61320" customFormat="false" ht="12.75" hidden="false" customHeight="true" outlineLevel="0" collapsed="false"/>
    <row r="61321" customFormat="false" ht="12.75" hidden="false" customHeight="true" outlineLevel="0" collapsed="false"/>
    <row r="61322" customFormat="false" ht="12.75" hidden="false" customHeight="true" outlineLevel="0" collapsed="false"/>
    <row r="61323" customFormat="false" ht="12.75" hidden="false" customHeight="true" outlineLevel="0" collapsed="false"/>
    <row r="61325" customFormat="false" ht="12.75" hidden="false" customHeight="true" outlineLevel="0" collapsed="false"/>
    <row r="61333" customFormat="false" ht="12.75" hidden="false" customHeight="true" outlineLevel="0" collapsed="false"/>
    <row r="61336" customFormat="false" ht="12.75" hidden="false" customHeight="true" outlineLevel="0" collapsed="false"/>
    <row r="61337" customFormat="false" ht="12.75" hidden="false" customHeight="true" outlineLevel="0" collapsed="false"/>
    <row r="61338" customFormat="false" ht="12.75" hidden="false" customHeight="true" outlineLevel="0" collapsed="false"/>
    <row r="61339" customFormat="false" ht="12.75" hidden="false" customHeight="true" outlineLevel="0" collapsed="false"/>
    <row r="61341" customFormat="false" ht="12.75" hidden="false" customHeight="true" outlineLevel="0" collapsed="false"/>
    <row r="61349" customFormat="false" ht="12.75" hidden="false" customHeight="true" outlineLevel="0" collapsed="false"/>
    <row r="61350" customFormat="false" ht="12.75" hidden="false" customHeight="true" outlineLevel="0" collapsed="false"/>
    <row r="61352" customFormat="false" ht="12.75" hidden="false" customHeight="true" outlineLevel="0" collapsed="false"/>
    <row r="61353" customFormat="false" ht="12.75" hidden="false" customHeight="true" outlineLevel="0" collapsed="false"/>
    <row r="61354" customFormat="false" ht="12.75" hidden="false" customHeight="true" outlineLevel="0" collapsed="false"/>
    <row r="61355" customFormat="false" ht="12.75" hidden="false" customHeight="true" outlineLevel="0" collapsed="false"/>
    <row r="61357" customFormat="false" ht="12.75" hidden="false" customHeight="true" outlineLevel="0" collapsed="false"/>
    <row r="61365" customFormat="false" ht="12.75" hidden="false" customHeight="true" outlineLevel="0" collapsed="false"/>
    <row r="61366" customFormat="false" ht="12.75" hidden="false" customHeight="true" outlineLevel="0" collapsed="false"/>
    <row r="61367" customFormat="false" ht="12.75" hidden="false" customHeight="true" outlineLevel="0" collapsed="false"/>
    <row r="61368" customFormat="false" ht="12.75" hidden="false" customHeight="true" outlineLevel="0" collapsed="false"/>
    <row r="61369" customFormat="false" ht="12.75" hidden="false" customHeight="true" outlineLevel="0" collapsed="false"/>
    <row r="61370" customFormat="false" ht="12.75" hidden="false" customHeight="true" outlineLevel="0" collapsed="false"/>
    <row r="61371" customFormat="false" ht="12.75" hidden="false" customHeight="true" outlineLevel="0" collapsed="false"/>
    <row r="61373" customFormat="false" ht="12.75" hidden="false" customHeight="true" outlineLevel="0" collapsed="false"/>
    <row r="61381" customFormat="false" ht="12.75" hidden="false" customHeight="true" outlineLevel="0" collapsed="false"/>
    <row r="61382" customFormat="false" ht="12.75" hidden="false" customHeight="true" outlineLevel="0" collapsed="false"/>
    <row r="61383" customFormat="false" ht="12.75" hidden="false" customHeight="true" outlineLevel="0" collapsed="false"/>
    <row r="61384" customFormat="false" ht="12.75" hidden="false" customHeight="true" outlineLevel="0" collapsed="false"/>
    <row r="61385" customFormat="false" ht="12.75" hidden="false" customHeight="true" outlineLevel="0" collapsed="false"/>
    <row r="61386" customFormat="false" ht="12.75" hidden="false" customHeight="true" outlineLevel="0" collapsed="false"/>
    <row r="61387" customFormat="false" ht="12.75" hidden="false" customHeight="true" outlineLevel="0" collapsed="false"/>
    <row r="61389" customFormat="false" ht="12.75" hidden="false" customHeight="true" outlineLevel="0" collapsed="false"/>
    <row r="61395" customFormat="false" ht="12.75" hidden="false" customHeight="true" outlineLevel="0" collapsed="false"/>
    <row r="61396" customFormat="false" ht="12.75" hidden="false" customHeight="true" outlineLevel="0" collapsed="false"/>
    <row r="61397" customFormat="false" ht="12.75" hidden="false" customHeight="true" outlineLevel="0" collapsed="false"/>
    <row r="61398" customFormat="false" ht="12.75" hidden="false" customHeight="true" outlineLevel="0" collapsed="false"/>
    <row r="61399" customFormat="false" ht="12.75" hidden="false" customHeight="true" outlineLevel="0" collapsed="false"/>
    <row r="61400" customFormat="false" ht="12.75" hidden="false" customHeight="true" outlineLevel="0" collapsed="false"/>
    <row r="61401" customFormat="false" ht="12.75" hidden="false" customHeight="true" outlineLevel="0" collapsed="false"/>
    <row r="61402" customFormat="false" ht="12.75" hidden="false" customHeight="true" outlineLevel="0" collapsed="false"/>
    <row r="61403" customFormat="false" ht="12.75" hidden="false" customHeight="true" outlineLevel="0" collapsed="false"/>
    <row r="61404" customFormat="false" ht="12.75" hidden="false" customHeight="true" outlineLevel="0" collapsed="false"/>
    <row r="61405" customFormat="false" ht="12.75" hidden="false" customHeight="true" outlineLevel="0" collapsed="false"/>
    <row r="61406" customFormat="false" ht="12.75" hidden="false" customHeight="true" outlineLevel="0" collapsed="false"/>
    <row r="61411" customFormat="false" ht="12.75" hidden="false" customHeight="true" outlineLevel="0" collapsed="false"/>
    <row r="61412" customFormat="false" ht="12.75" hidden="false" customHeight="true" outlineLevel="0" collapsed="false"/>
    <row r="61413" customFormat="false" ht="12.75" hidden="false" customHeight="true" outlineLevel="0" collapsed="false"/>
    <row r="61414" customFormat="false" ht="12.75" hidden="false" customHeight="true" outlineLevel="0" collapsed="false"/>
    <row r="61415" customFormat="false" ht="12.75" hidden="false" customHeight="true" outlineLevel="0" collapsed="false"/>
    <row r="61416" customFormat="false" ht="12.75" hidden="false" customHeight="true" outlineLevel="0" collapsed="false"/>
    <row r="61417" customFormat="false" ht="12.75" hidden="false" customHeight="true" outlineLevel="0" collapsed="false"/>
    <row r="61418" customFormat="false" ht="12.75" hidden="false" customHeight="true" outlineLevel="0" collapsed="false"/>
    <row r="61419" customFormat="false" ht="12.75" hidden="false" customHeight="true" outlineLevel="0" collapsed="false"/>
    <row r="61420" customFormat="false" ht="12.75" hidden="false" customHeight="true" outlineLevel="0" collapsed="false"/>
    <row r="61421" customFormat="false" ht="12.75" hidden="false" customHeight="true" outlineLevel="0" collapsed="false"/>
    <row r="61422" customFormat="false" ht="12.75" hidden="false" customHeight="true" outlineLevel="0" collapsed="false"/>
    <row r="61427" customFormat="false" ht="12.75" hidden="false" customHeight="true" outlineLevel="0" collapsed="false"/>
    <row r="61428" customFormat="false" ht="12.75" hidden="false" customHeight="true" outlineLevel="0" collapsed="false"/>
    <row r="61429" customFormat="false" ht="12.75" hidden="false" customHeight="true" outlineLevel="0" collapsed="false"/>
    <row r="61430" customFormat="false" ht="12.75" hidden="false" customHeight="true" outlineLevel="0" collapsed="false"/>
    <row r="61431" customFormat="false" ht="12.75" hidden="false" customHeight="true" outlineLevel="0" collapsed="false"/>
    <row r="61432" customFormat="false" ht="12.75" hidden="false" customHeight="true" outlineLevel="0" collapsed="false"/>
    <row r="61433" customFormat="false" ht="12.75" hidden="false" customHeight="true" outlineLevel="0" collapsed="false"/>
    <row r="61434" customFormat="false" ht="12.75" hidden="false" customHeight="true" outlineLevel="0" collapsed="false"/>
    <row r="61435" customFormat="false" ht="12.75" hidden="false" customHeight="true" outlineLevel="0" collapsed="false"/>
    <row r="61436" customFormat="false" ht="12.75" hidden="false" customHeight="true" outlineLevel="0" collapsed="false"/>
    <row r="61437" customFormat="false" ht="12.75" hidden="false" customHeight="true" outlineLevel="0" collapsed="false"/>
    <row r="61438" customFormat="false" ht="12.75" hidden="false" customHeight="true" outlineLevel="0" collapsed="false"/>
    <row r="61443" customFormat="false" ht="12.75" hidden="false" customHeight="true" outlineLevel="0" collapsed="false"/>
    <row r="61444" customFormat="false" ht="12.75" hidden="false" customHeight="true" outlineLevel="0" collapsed="false"/>
    <row r="61445" customFormat="false" ht="12.75" hidden="false" customHeight="true" outlineLevel="0" collapsed="false"/>
    <row r="61446" customFormat="false" ht="12.75" hidden="false" customHeight="true" outlineLevel="0" collapsed="false"/>
    <row r="61447" customFormat="false" ht="12.75" hidden="false" customHeight="true" outlineLevel="0" collapsed="false"/>
    <row r="61448" customFormat="false" ht="12.75" hidden="false" customHeight="true" outlineLevel="0" collapsed="false"/>
    <row r="61449" customFormat="false" ht="12.75" hidden="false" customHeight="true" outlineLevel="0" collapsed="false"/>
    <row r="61450" customFormat="false" ht="12.75" hidden="false" customHeight="true" outlineLevel="0" collapsed="false"/>
    <row r="61451" customFormat="false" ht="12.75" hidden="false" customHeight="true" outlineLevel="0" collapsed="false"/>
    <row r="61452" customFormat="false" ht="12.75" hidden="false" customHeight="true" outlineLevel="0" collapsed="false"/>
    <row r="61453" customFormat="false" ht="12.75" hidden="false" customHeight="true" outlineLevel="0" collapsed="false"/>
    <row r="61454" customFormat="false" ht="12.75" hidden="false" customHeight="true" outlineLevel="0" collapsed="false"/>
    <row r="61458" customFormat="false" ht="12.75" hidden="false" customHeight="true" outlineLevel="0" collapsed="false"/>
    <row r="61459" customFormat="false" ht="12.75" hidden="false" customHeight="true" outlineLevel="0" collapsed="false"/>
    <row r="61460" customFormat="false" ht="12.75" hidden="false" customHeight="true" outlineLevel="0" collapsed="false"/>
    <row r="61461" customFormat="false" ht="12.75" hidden="false" customHeight="true" outlineLevel="0" collapsed="false"/>
    <row r="61462" customFormat="false" ht="12.75" hidden="false" customHeight="true" outlineLevel="0" collapsed="false"/>
    <row r="61463" customFormat="false" ht="12.75" hidden="false" customHeight="true" outlineLevel="0" collapsed="false"/>
    <row r="61464" customFormat="false" ht="12.75" hidden="false" customHeight="true" outlineLevel="0" collapsed="false"/>
    <row r="61465" customFormat="false" ht="12.75" hidden="false" customHeight="true" outlineLevel="0" collapsed="false"/>
    <row r="61466" customFormat="false" ht="12.75" hidden="false" customHeight="true" outlineLevel="0" collapsed="false"/>
    <row r="61467" customFormat="false" ht="12.75" hidden="false" customHeight="true" outlineLevel="0" collapsed="false"/>
    <row r="61468" customFormat="false" ht="12.75" hidden="false" customHeight="true" outlineLevel="0" collapsed="false"/>
    <row r="61469" customFormat="false" ht="12.75" hidden="false" customHeight="true" outlineLevel="0" collapsed="false"/>
    <row r="61470" customFormat="false" ht="12.75" hidden="false" customHeight="true" outlineLevel="0" collapsed="false"/>
    <row r="61474" customFormat="false" ht="12.75" hidden="false" customHeight="true" outlineLevel="0" collapsed="false"/>
    <row r="61475" customFormat="false" ht="12.75" hidden="false" customHeight="true" outlineLevel="0" collapsed="false"/>
    <row r="61476" customFormat="false" ht="12.75" hidden="false" customHeight="true" outlineLevel="0" collapsed="false"/>
    <row r="61477" customFormat="false" ht="12.75" hidden="false" customHeight="true" outlineLevel="0" collapsed="false"/>
    <row r="61478" customFormat="false" ht="12.75" hidden="false" customHeight="true" outlineLevel="0" collapsed="false"/>
    <row r="61479" customFormat="false" ht="12.75" hidden="false" customHeight="true" outlineLevel="0" collapsed="false"/>
    <row r="61480" customFormat="false" ht="12.75" hidden="false" customHeight="true" outlineLevel="0" collapsed="false"/>
    <row r="61481" customFormat="false" ht="12.75" hidden="false" customHeight="true" outlineLevel="0" collapsed="false"/>
    <row r="61482" customFormat="false" ht="12.75" hidden="false" customHeight="true" outlineLevel="0" collapsed="false"/>
    <row r="61483" customFormat="false" ht="12.75" hidden="false" customHeight="true" outlineLevel="0" collapsed="false"/>
    <row r="61484" customFormat="false" ht="12.75" hidden="false" customHeight="true" outlineLevel="0" collapsed="false"/>
    <row r="61485" customFormat="false" ht="12.75" hidden="false" customHeight="true" outlineLevel="0" collapsed="false"/>
    <row r="61486" customFormat="false" ht="12.75" hidden="false" customHeight="true" outlineLevel="0" collapsed="false"/>
    <row r="61490" customFormat="false" ht="12.75" hidden="false" customHeight="true" outlineLevel="0" collapsed="false"/>
    <row r="61491" customFormat="false" ht="12.75" hidden="false" customHeight="true" outlineLevel="0" collapsed="false"/>
    <row r="61492" customFormat="false" ht="12.75" hidden="false" customHeight="true" outlineLevel="0" collapsed="false"/>
    <row r="61493" customFormat="false" ht="12.75" hidden="false" customHeight="true" outlineLevel="0" collapsed="false"/>
    <row r="61494" customFormat="false" ht="12.75" hidden="false" customHeight="true" outlineLevel="0" collapsed="false"/>
    <row r="61495" customFormat="false" ht="12.75" hidden="false" customHeight="true" outlineLevel="0" collapsed="false"/>
    <row r="61496" customFormat="false" ht="12.75" hidden="false" customHeight="true" outlineLevel="0" collapsed="false"/>
    <row r="61497" customFormat="false" ht="12.75" hidden="false" customHeight="true" outlineLevel="0" collapsed="false"/>
    <row r="61498" customFormat="false" ht="12.75" hidden="false" customHeight="true" outlineLevel="0" collapsed="false"/>
    <row r="61499" customFormat="false" ht="12.75" hidden="false" customHeight="true" outlineLevel="0" collapsed="false"/>
    <row r="61500" customFormat="false" ht="12.75" hidden="false" customHeight="true" outlineLevel="0" collapsed="false"/>
    <row r="61501" customFormat="false" ht="12.75" hidden="false" customHeight="true" outlineLevel="0" collapsed="false"/>
    <row r="61502" customFormat="false" ht="12.75" hidden="false" customHeight="true" outlineLevel="0" collapsed="false"/>
    <row r="61506" customFormat="false" ht="12.75" hidden="false" customHeight="true" outlineLevel="0" collapsed="false"/>
    <row r="61507" customFormat="false" ht="12.75" hidden="false" customHeight="true" outlineLevel="0" collapsed="false"/>
    <row r="61508" customFormat="false" ht="12.75" hidden="false" customHeight="true" outlineLevel="0" collapsed="false"/>
    <row r="61509" customFormat="false" ht="12.75" hidden="false" customHeight="true" outlineLevel="0" collapsed="false"/>
    <row r="61510" customFormat="false" ht="12.75" hidden="false" customHeight="true" outlineLevel="0" collapsed="false"/>
    <row r="61511" customFormat="false" ht="12.75" hidden="false" customHeight="true" outlineLevel="0" collapsed="false"/>
    <row r="61512" customFormat="false" ht="12.75" hidden="false" customHeight="true" outlineLevel="0" collapsed="false"/>
    <row r="61513" customFormat="false" ht="12.75" hidden="false" customHeight="true" outlineLevel="0" collapsed="false"/>
    <row r="61514" customFormat="false" ht="12.75" hidden="false" customHeight="true" outlineLevel="0" collapsed="false"/>
    <row r="61515" customFormat="false" ht="12.75" hidden="false" customHeight="true" outlineLevel="0" collapsed="false"/>
    <row r="61516" customFormat="false" ht="12.75" hidden="false" customHeight="true" outlineLevel="0" collapsed="false"/>
    <row r="61517" customFormat="false" ht="12.75" hidden="false" customHeight="true" outlineLevel="0" collapsed="false"/>
    <row r="61518" customFormat="false" ht="12.75" hidden="false" customHeight="true" outlineLevel="0" collapsed="false"/>
    <row r="61522" customFormat="false" ht="12.75" hidden="false" customHeight="true" outlineLevel="0" collapsed="false"/>
    <row r="61523" customFormat="false" ht="12.75" hidden="false" customHeight="true" outlineLevel="0" collapsed="false"/>
    <row r="61524" customFormat="false" ht="12.75" hidden="false" customHeight="true" outlineLevel="0" collapsed="false"/>
    <row r="61525" customFormat="false" ht="12.75" hidden="false" customHeight="true" outlineLevel="0" collapsed="false"/>
    <row r="61526" customFormat="false" ht="12.75" hidden="false" customHeight="true" outlineLevel="0" collapsed="false"/>
    <row r="61527" customFormat="false" ht="12.75" hidden="false" customHeight="true" outlineLevel="0" collapsed="false"/>
    <row r="61528" customFormat="false" ht="12.75" hidden="false" customHeight="true" outlineLevel="0" collapsed="false"/>
    <row r="61529" customFormat="false" ht="12.75" hidden="false" customHeight="true" outlineLevel="0" collapsed="false"/>
    <row r="61530" customFormat="false" ht="12.75" hidden="false" customHeight="true" outlineLevel="0" collapsed="false"/>
    <row r="61531" customFormat="false" ht="12.75" hidden="false" customHeight="true" outlineLevel="0" collapsed="false"/>
    <row r="61532" customFormat="false" ht="12.75" hidden="false" customHeight="true" outlineLevel="0" collapsed="false"/>
    <row r="61533" customFormat="false" ht="12.75" hidden="false" customHeight="true" outlineLevel="0" collapsed="false"/>
    <row r="61534" customFormat="false" ht="12.75" hidden="false" customHeight="true" outlineLevel="0" collapsed="false"/>
    <row r="61538" customFormat="false" ht="12.75" hidden="false" customHeight="true" outlineLevel="0" collapsed="false"/>
    <row r="61539" customFormat="false" ht="12.75" hidden="false" customHeight="true" outlineLevel="0" collapsed="false"/>
    <row r="61540" customFormat="false" ht="12.75" hidden="false" customHeight="true" outlineLevel="0" collapsed="false"/>
    <row r="61541" customFormat="false" ht="12.75" hidden="false" customHeight="true" outlineLevel="0" collapsed="false"/>
    <row r="61542" customFormat="false" ht="12.75" hidden="false" customHeight="true" outlineLevel="0" collapsed="false"/>
    <row r="61543" customFormat="false" ht="12.75" hidden="false" customHeight="true" outlineLevel="0" collapsed="false"/>
    <row r="61544" customFormat="false" ht="12.75" hidden="false" customHeight="true" outlineLevel="0" collapsed="false"/>
    <row r="61545" customFormat="false" ht="12.75" hidden="false" customHeight="true" outlineLevel="0" collapsed="false"/>
    <row r="61546" customFormat="false" ht="12.75" hidden="false" customHeight="true" outlineLevel="0" collapsed="false"/>
    <row r="61547" customFormat="false" ht="12.75" hidden="false" customHeight="true" outlineLevel="0" collapsed="false"/>
    <row r="61548" customFormat="false" ht="12.75" hidden="false" customHeight="true" outlineLevel="0" collapsed="false"/>
    <row r="61549" customFormat="false" ht="12.75" hidden="false" customHeight="true" outlineLevel="0" collapsed="false"/>
    <row r="61550" customFormat="false" ht="12.75" hidden="false" customHeight="true" outlineLevel="0" collapsed="false"/>
    <row r="61554" customFormat="false" ht="12.75" hidden="false" customHeight="true" outlineLevel="0" collapsed="false"/>
    <row r="61555" customFormat="false" ht="12.75" hidden="false" customHeight="true" outlineLevel="0" collapsed="false"/>
    <row r="61556" customFormat="false" ht="12.75" hidden="false" customHeight="true" outlineLevel="0" collapsed="false"/>
    <row r="61557" customFormat="false" ht="12.75" hidden="false" customHeight="true" outlineLevel="0" collapsed="false"/>
    <row r="61558" customFormat="false" ht="12.75" hidden="false" customHeight="true" outlineLevel="0" collapsed="false"/>
    <row r="61559" customFormat="false" ht="12.75" hidden="false" customHeight="true" outlineLevel="0" collapsed="false"/>
    <row r="61560" customFormat="false" ht="12.75" hidden="false" customHeight="true" outlineLevel="0" collapsed="false"/>
    <row r="61561" customFormat="false" ht="12.75" hidden="false" customHeight="true" outlineLevel="0" collapsed="false"/>
    <row r="61562" customFormat="false" ht="12.75" hidden="false" customHeight="true" outlineLevel="0" collapsed="false"/>
    <row r="61563" customFormat="false" ht="12.75" hidden="false" customHeight="true" outlineLevel="0" collapsed="false"/>
    <row r="61564" customFormat="false" ht="12.75" hidden="false" customHeight="true" outlineLevel="0" collapsed="false"/>
    <row r="61565" customFormat="false" ht="12.75" hidden="false" customHeight="true" outlineLevel="0" collapsed="false"/>
    <row r="61566" customFormat="false" ht="12.75" hidden="false" customHeight="true" outlineLevel="0" collapsed="false"/>
    <row r="61570" customFormat="false" ht="12.75" hidden="false" customHeight="true" outlineLevel="0" collapsed="false"/>
    <row r="61571" customFormat="false" ht="12.75" hidden="false" customHeight="true" outlineLevel="0" collapsed="false"/>
    <row r="61572" customFormat="false" ht="12.75" hidden="false" customHeight="true" outlineLevel="0" collapsed="false"/>
    <row r="61573" customFormat="false" ht="12.75" hidden="false" customHeight="true" outlineLevel="0" collapsed="false"/>
    <row r="61574" customFormat="false" ht="12.75" hidden="false" customHeight="true" outlineLevel="0" collapsed="false"/>
    <row r="61575" customFormat="false" ht="12.75" hidden="false" customHeight="true" outlineLevel="0" collapsed="false"/>
    <row r="61576" customFormat="false" ht="12.75" hidden="false" customHeight="true" outlineLevel="0" collapsed="false"/>
    <row r="61577" customFormat="false" ht="12.75" hidden="false" customHeight="true" outlineLevel="0" collapsed="false"/>
    <row r="61578" customFormat="false" ht="12.75" hidden="false" customHeight="true" outlineLevel="0" collapsed="false"/>
    <row r="61579" customFormat="false" ht="12.75" hidden="false" customHeight="true" outlineLevel="0" collapsed="false"/>
    <row r="61580" customFormat="false" ht="12.75" hidden="false" customHeight="true" outlineLevel="0" collapsed="false"/>
    <row r="61581" customFormat="false" ht="12.75" hidden="false" customHeight="true" outlineLevel="0" collapsed="false"/>
    <row r="61582" customFormat="false" ht="12.75" hidden="false" customHeight="true" outlineLevel="0" collapsed="false"/>
    <row r="61583" customFormat="false" ht="12.75" hidden="false" customHeight="true" outlineLevel="0" collapsed="false"/>
    <row r="61586" customFormat="false" ht="12.75" hidden="false" customHeight="true" outlineLevel="0" collapsed="false"/>
    <row r="61587" customFormat="false" ht="12.75" hidden="false" customHeight="true" outlineLevel="0" collapsed="false"/>
    <row r="61588" customFormat="false" ht="12.75" hidden="false" customHeight="true" outlineLevel="0" collapsed="false"/>
    <row r="61589" customFormat="false" ht="12.75" hidden="false" customHeight="true" outlineLevel="0" collapsed="false"/>
    <row r="61590" customFormat="false" ht="12.75" hidden="false" customHeight="true" outlineLevel="0" collapsed="false"/>
    <row r="61591" customFormat="false" ht="12.75" hidden="false" customHeight="true" outlineLevel="0" collapsed="false"/>
    <row r="61592" customFormat="false" ht="12.75" hidden="false" customHeight="true" outlineLevel="0" collapsed="false"/>
    <row r="61593" customFormat="false" ht="12.75" hidden="false" customHeight="true" outlineLevel="0" collapsed="false"/>
    <row r="61594" customFormat="false" ht="12.75" hidden="false" customHeight="true" outlineLevel="0" collapsed="false"/>
    <row r="61595" customFormat="false" ht="12.75" hidden="false" customHeight="true" outlineLevel="0" collapsed="false"/>
    <row r="61596" customFormat="false" ht="12.75" hidden="false" customHeight="true" outlineLevel="0" collapsed="false"/>
    <row r="61597" customFormat="false" ht="12.75" hidden="false" customHeight="true" outlineLevel="0" collapsed="false"/>
    <row r="61598" customFormat="false" ht="12.75" hidden="false" customHeight="true" outlineLevel="0" collapsed="false"/>
    <row r="61599" customFormat="false" ht="12.75" hidden="false" customHeight="true" outlineLevel="0" collapsed="false"/>
    <row r="61602" customFormat="false" ht="12.75" hidden="false" customHeight="true" outlineLevel="0" collapsed="false"/>
    <row r="61603" customFormat="false" ht="12.75" hidden="false" customHeight="true" outlineLevel="0" collapsed="false"/>
    <row r="61604" customFormat="false" ht="12.75" hidden="false" customHeight="true" outlineLevel="0" collapsed="false"/>
    <row r="61605" customFormat="false" ht="12.75" hidden="false" customHeight="true" outlineLevel="0" collapsed="false"/>
    <row r="61606" customFormat="false" ht="12.75" hidden="false" customHeight="true" outlineLevel="0" collapsed="false"/>
    <row r="61607" customFormat="false" ht="12.75" hidden="false" customHeight="true" outlineLevel="0" collapsed="false"/>
    <row r="61608" customFormat="false" ht="12.75" hidden="false" customHeight="true" outlineLevel="0" collapsed="false"/>
    <row r="61609" customFormat="false" ht="12.75" hidden="false" customHeight="true" outlineLevel="0" collapsed="false"/>
    <row r="61610" customFormat="false" ht="12.75" hidden="false" customHeight="true" outlineLevel="0" collapsed="false"/>
    <row r="61611" customFormat="false" ht="12.75" hidden="false" customHeight="true" outlineLevel="0" collapsed="false"/>
    <row r="61612" customFormat="false" ht="12.75" hidden="false" customHeight="true" outlineLevel="0" collapsed="false"/>
    <row r="61613" customFormat="false" ht="12.75" hidden="false" customHeight="true" outlineLevel="0" collapsed="false"/>
    <row r="61614" customFormat="false" ht="12.75" hidden="false" customHeight="true" outlineLevel="0" collapsed="false"/>
    <row r="61615" customFormat="false" ht="12.75" hidden="false" customHeight="true" outlineLevel="0" collapsed="false"/>
    <row r="61616" customFormat="false" ht="12.75" hidden="false" customHeight="true" outlineLevel="0" collapsed="false"/>
    <row r="61618" customFormat="false" ht="12.75" hidden="false" customHeight="true" outlineLevel="0" collapsed="false"/>
    <row r="61619" customFormat="false" ht="12.75" hidden="false" customHeight="true" outlineLevel="0" collapsed="false"/>
    <row r="61620" customFormat="false" ht="12.75" hidden="false" customHeight="true" outlineLevel="0" collapsed="false"/>
    <row r="61621" customFormat="false" ht="12.75" hidden="false" customHeight="true" outlineLevel="0" collapsed="false"/>
    <row r="61622" customFormat="false" ht="12.75" hidden="false" customHeight="true" outlineLevel="0" collapsed="false"/>
    <row r="61623" customFormat="false" ht="12.75" hidden="false" customHeight="true" outlineLevel="0" collapsed="false"/>
    <row r="61624" customFormat="false" ht="12.75" hidden="false" customHeight="true" outlineLevel="0" collapsed="false"/>
    <row r="61625" customFormat="false" ht="12.75" hidden="false" customHeight="true" outlineLevel="0" collapsed="false"/>
    <row r="61626" customFormat="false" ht="12.75" hidden="false" customHeight="true" outlineLevel="0" collapsed="false"/>
    <row r="61627" customFormat="false" ht="12.75" hidden="false" customHeight="true" outlineLevel="0" collapsed="false"/>
    <row r="61628" customFormat="false" ht="12.75" hidden="false" customHeight="true" outlineLevel="0" collapsed="false"/>
    <row r="61629" customFormat="false" ht="12.75" hidden="false" customHeight="true" outlineLevel="0" collapsed="false"/>
    <row r="61630" customFormat="false" ht="12.75" hidden="false" customHeight="true" outlineLevel="0" collapsed="false"/>
    <row r="61631" customFormat="false" ht="12.75" hidden="false" customHeight="true" outlineLevel="0" collapsed="false"/>
    <row r="61632" customFormat="false" ht="12.75" hidden="false" customHeight="true" outlineLevel="0" collapsed="false"/>
    <row r="61633" customFormat="false" ht="12.75" hidden="false" customHeight="true" outlineLevel="0" collapsed="false"/>
    <row r="61634" customFormat="false" ht="12.75" hidden="false" customHeight="true" outlineLevel="0" collapsed="false"/>
    <row r="61635" customFormat="false" ht="12.75" hidden="false" customHeight="true" outlineLevel="0" collapsed="false"/>
    <row r="61636" customFormat="false" ht="12.75" hidden="false" customHeight="true" outlineLevel="0" collapsed="false"/>
    <row r="61637" customFormat="false" ht="12.75" hidden="false" customHeight="true" outlineLevel="0" collapsed="false"/>
    <row r="61638" customFormat="false" ht="12.75" hidden="false" customHeight="true" outlineLevel="0" collapsed="false"/>
    <row r="61639" customFormat="false" ht="12.75" hidden="false" customHeight="true" outlineLevel="0" collapsed="false"/>
    <row r="61640" customFormat="false" ht="12.75" hidden="false" customHeight="true" outlineLevel="0" collapsed="false"/>
    <row r="61641" customFormat="false" ht="12.75" hidden="false" customHeight="true" outlineLevel="0" collapsed="false"/>
    <row r="61642" customFormat="false" ht="12.75" hidden="false" customHeight="true" outlineLevel="0" collapsed="false"/>
    <row r="61643" customFormat="false" ht="12.75" hidden="false" customHeight="true" outlineLevel="0" collapsed="false"/>
    <row r="61644" customFormat="false" ht="12.75" hidden="false" customHeight="true" outlineLevel="0" collapsed="false"/>
    <row r="61645" customFormat="false" ht="12.75" hidden="false" customHeight="true" outlineLevel="0" collapsed="false"/>
    <row r="61646" customFormat="false" ht="12.75" hidden="false" customHeight="true" outlineLevel="0" collapsed="false"/>
    <row r="61647" customFormat="false" ht="12.75" hidden="false" customHeight="true" outlineLevel="0" collapsed="false"/>
    <row r="61648" customFormat="false" ht="12.75" hidden="false" customHeight="true" outlineLevel="0" collapsed="false"/>
    <row r="61649" customFormat="false" ht="12.75" hidden="false" customHeight="true" outlineLevel="0" collapsed="false"/>
    <row r="61650" customFormat="false" ht="12.75" hidden="false" customHeight="true" outlineLevel="0" collapsed="false"/>
    <row r="61651" customFormat="false" ht="12.75" hidden="false" customHeight="true" outlineLevel="0" collapsed="false"/>
    <row r="61652" customFormat="false" ht="12.75" hidden="false" customHeight="true" outlineLevel="0" collapsed="false"/>
    <row r="61653" customFormat="false" ht="12.75" hidden="false" customHeight="true" outlineLevel="0" collapsed="false"/>
    <row r="61654" customFormat="false" ht="12.75" hidden="false" customHeight="true" outlineLevel="0" collapsed="false"/>
    <row r="61655" customFormat="false" ht="12.75" hidden="false" customHeight="true" outlineLevel="0" collapsed="false"/>
    <row r="61656" customFormat="false" ht="12.75" hidden="false" customHeight="true" outlineLevel="0" collapsed="false"/>
    <row r="61657" customFormat="false" ht="12.75" hidden="false" customHeight="true" outlineLevel="0" collapsed="false"/>
    <row r="61658" customFormat="false" ht="12.75" hidden="false" customHeight="true" outlineLevel="0" collapsed="false"/>
    <row r="61659" customFormat="false" ht="12.75" hidden="false" customHeight="true" outlineLevel="0" collapsed="false"/>
    <row r="61660" customFormat="false" ht="12.75" hidden="false" customHeight="true" outlineLevel="0" collapsed="false"/>
    <row r="61661" customFormat="false" ht="12.75" hidden="false" customHeight="true" outlineLevel="0" collapsed="false"/>
    <row r="61662" customFormat="false" ht="12.75" hidden="false" customHeight="true" outlineLevel="0" collapsed="false"/>
    <row r="61663" customFormat="false" ht="12.75" hidden="false" customHeight="true" outlineLevel="0" collapsed="false"/>
    <row r="61664" customFormat="false" ht="12.75" hidden="false" customHeight="true" outlineLevel="0" collapsed="false"/>
    <row r="61665" customFormat="false" ht="12.75" hidden="false" customHeight="true" outlineLevel="0" collapsed="false"/>
    <row r="61666" customFormat="false" ht="12.75" hidden="false" customHeight="true" outlineLevel="0" collapsed="false"/>
    <row r="61667" customFormat="false" ht="12.75" hidden="false" customHeight="true" outlineLevel="0" collapsed="false"/>
    <row r="61668" customFormat="false" ht="12.75" hidden="false" customHeight="true" outlineLevel="0" collapsed="false"/>
    <row r="61669" customFormat="false" ht="12.75" hidden="false" customHeight="true" outlineLevel="0" collapsed="false"/>
    <row r="61670" customFormat="false" ht="12.75" hidden="false" customHeight="true" outlineLevel="0" collapsed="false"/>
    <row r="61671" customFormat="false" ht="12.75" hidden="false" customHeight="true" outlineLevel="0" collapsed="false"/>
    <row r="61672" customFormat="false" ht="12.75" hidden="false" customHeight="true" outlineLevel="0" collapsed="false"/>
    <row r="61673" customFormat="false" ht="12.75" hidden="false" customHeight="true" outlineLevel="0" collapsed="false"/>
    <row r="61674" customFormat="false" ht="12.75" hidden="false" customHeight="true" outlineLevel="0" collapsed="false"/>
    <row r="61675" customFormat="false" ht="12.75" hidden="false" customHeight="true" outlineLevel="0" collapsed="false"/>
    <row r="61676" customFormat="false" ht="12.75" hidden="false" customHeight="true" outlineLevel="0" collapsed="false"/>
    <row r="61677" customFormat="false" ht="12.75" hidden="false" customHeight="true" outlineLevel="0" collapsed="false"/>
    <row r="61678" customFormat="false" ht="12.75" hidden="false" customHeight="true" outlineLevel="0" collapsed="false"/>
    <row r="61679" customFormat="false" ht="12.75" hidden="false" customHeight="true" outlineLevel="0" collapsed="false"/>
    <row r="61680" customFormat="false" ht="12.75" hidden="false" customHeight="true" outlineLevel="0" collapsed="false"/>
    <row r="61681" customFormat="false" ht="12.75" hidden="false" customHeight="true" outlineLevel="0" collapsed="false"/>
    <row r="61682" customFormat="false" ht="12.75" hidden="false" customHeight="true" outlineLevel="0" collapsed="false"/>
    <row r="61683" customFormat="false" ht="12.75" hidden="false" customHeight="true" outlineLevel="0" collapsed="false"/>
    <row r="61684" customFormat="false" ht="12.75" hidden="false" customHeight="true" outlineLevel="0" collapsed="false"/>
    <row r="61685" customFormat="false" ht="12.75" hidden="false" customHeight="true" outlineLevel="0" collapsed="false"/>
    <row r="61686" customFormat="false" ht="12.75" hidden="false" customHeight="true" outlineLevel="0" collapsed="false"/>
    <row r="61687" customFormat="false" ht="12.75" hidden="false" customHeight="true" outlineLevel="0" collapsed="false"/>
    <row r="61688" customFormat="false" ht="12.75" hidden="false" customHeight="true" outlineLevel="0" collapsed="false"/>
    <row r="61689" customFormat="false" ht="12.75" hidden="false" customHeight="true" outlineLevel="0" collapsed="false"/>
    <row r="61690" customFormat="false" ht="12.75" hidden="false" customHeight="true" outlineLevel="0" collapsed="false"/>
    <row r="61691" customFormat="false" ht="12.75" hidden="false" customHeight="true" outlineLevel="0" collapsed="false"/>
    <row r="61692" customFormat="false" ht="12.75" hidden="false" customHeight="true" outlineLevel="0" collapsed="false"/>
    <row r="61693" customFormat="false" ht="12.75" hidden="false" customHeight="true" outlineLevel="0" collapsed="false"/>
    <row r="61694" customFormat="false" ht="12.75" hidden="false" customHeight="true" outlineLevel="0" collapsed="false"/>
    <row r="61695" customFormat="false" ht="12.75" hidden="false" customHeight="true" outlineLevel="0" collapsed="false"/>
    <row r="61696" customFormat="false" ht="12.75" hidden="false" customHeight="true" outlineLevel="0" collapsed="false"/>
    <row r="61697" customFormat="false" ht="12.75" hidden="false" customHeight="true" outlineLevel="0" collapsed="false"/>
    <row r="61698" customFormat="false" ht="12.75" hidden="false" customHeight="true" outlineLevel="0" collapsed="false"/>
    <row r="61699" customFormat="false" ht="12.75" hidden="false" customHeight="true" outlineLevel="0" collapsed="false"/>
    <row r="61700" customFormat="false" ht="12.75" hidden="false" customHeight="true" outlineLevel="0" collapsed="false"/>
    <row r="61701" customFormat="false" ht="12.75" hidden="false" customHeight="true" outlineLevel="0" collapsed="false"/>
    <row r="61702" customFormat="false" ht="12.75" hidden="false" customHeight="true" outlineLevel="0" collapsed="false"/>
    <row r="61703" customFormat="false" ht="12.75" hidden="false" customHeight="true" outlineLevel="0" collapsed="false"/>
    <row r="61704" customFormat="false" ht="12.75" hidden="false" customHeight="true" outlineLevel="0" collapsed="false"/>
    <row r="61705" customFormat="false" ht="12.75" hidden="false" customHeight="true" outlineLevel="0" collapsed="false"/>
    <row r="61706" customFormat="false" ht="12.75" hidden="false" customHeight="true" outlineLevel="0" collapsed="false"/>
    <row r="61707" customFormat="false" ht="12.75" hidden="false" customHeight="true" outlineLevel="0" collapsed="false"/>
    <row r="61708" customFormat="false" ht="12.75" hidden="false" customHeight="true" outlineLevel="0" collapsed="false"/>
    <row r="61709" customFormat="false" ht="12.75" hidden="false" customHeight="true" outlineLevel="0" collapsed="false"/>
    <row r="61710" customFormat="false" ht="12.75" hidden="false" customHeight="true" outlineLevel="0" collapsed="false"/>
    <row r="61711" customFormat="false" ht="12.75" hidden="false" customHeight="true" outlineLevel="0" collapsed="false"/>
    <row r="61712" customFormat="false" ht="12.75" hidden="false" customHeight="true" outlineLevel="0" collapsed="false"/>
    <row r="61713" customFormat="false" ht="12.75" hidden="false" customHeight="true" outlineLevel="0" collapsed="false"/>
    <row r="61714" customFormat="false" ht="12.75" hidden="false" customHeight="true" outlineLevel="0" collapsed="false"/>
    <row r="61715" customFormat="false" ht="12.75" hidden="false" customHeight="true" outlineLevel="0" collapsed="false"/>
    <row r="61716" customFormat="false" ht="12.75" hidden="false" customHeight="true" outlineLevel="0" collapsed="false"/>
    <row r="61717" customFormat="false" ht="12.75" hidden="false" customHeight="true" outlineLevel="0" collapsed="false"/>
    <row r="61718" customFormat="false" ht="12.75" hidden="false" customHeight="true" outlineLevel="0" collapsed="false"/>
    <row r="61719" customFormat="false" ht="12.75" hidden="false" customHeight="true" outlineLevel="0" collapsed="false"/>
    <row r="61720" customFormat="false" ht="12.75" hidden="false" customHeight="true" outlineLevel="0" collapsed="false"/>
    <row r="61721" customFormat="false" ht="12.75" hidden="false" customHeight="true" outlineLevel="0" collapsed="false"/>
    <row r="61722" customFormat="false" ht="12.75" hidden="false" customHeight="true" outlineLevel="0" collapsed="false"/>
    <row r="61723" customFormat="false" ht="12.75" hidden="false" customHeight="true" outlineLevel="0" collapsed="false"/>
    <row r="61724" customFormat="false" ht="12.75" hidden="false" customHeight="true" outlineLevel="0" collapsed="false"/>
    <row r="61725" customFormat="false" ht="12.75" hidden="false" customHeight="true" outlineLevel="0" collapsed="false"/>
    <row r="61726" customFormat="false" ht="12.75" hidden="false" customHeight="true" outlineLevel="0" collapsed="false"/>
    <row r="61727" customFormat="false" ht="12.75" hidden="false" customHeight="true" outlineLevel="0" collapsed="false"/>
    <row r="61728" customFormat="false" ht="12.75" hidden="false" customHeight="true" outlineLevel="0" collapsed="false"/>
    <row r="61729" customFormat="false" ht="12.75" hidden="false" customHeight="true" outlineLevel="0" collapsed="false"/>
    <row r="61730" customFormat="false" ht="12.75" hidden="false" customHeight="true" outlineLevel="0" collapsed="false"/>
    <row r="61731" customFormat="false" ht="12.75" hidden="false" customHeight="true" outlineLevel="0" collapsed="false"/>
    <row r="61732" customFormat="false" ht="12.75" hidden="false" customHeight="true" outlineLevel="0" collapsed="false"/>
    <row r="61733" customFormat="false" ht="12.75" hidden="false" customHeight="true" outlineLevel="0" collapsed="false"/>
    <row r="61734" customFormat="false" ht="12.75" hidden="false" customHeight="true" outlineLevel="0" collapsed="false"/>
    <row r="61735" customFormat="false" ht="12.75" hidden="false" customHeight="true" outlineLevel="0" collapsed="false"/>
    <row r="61736" customFormat="false" ht="12.75" hidden="false" customHeight="true" outlineLevel="0" collapsed="false"/>
    <row r="61737" customFormat="false" ht="12.75" hidden="false" customHeight="true" outlineLevel="0" collapsed="false"/>
    <row r="61738" customFormat="false" ht="12.75" hidden="false" customHeight="true" outlineLevel="0" collapsed="false"/>
    <row r="61739" customFormat="false" ht="12.75" hidden="false" customHeight="true" outlineLevel="0" collapsed="false"/>
    <row r="61740" customFormat="false" ht="12.75" hidden="false" customHeight="true" outlineLevel="0" collapsed="false"/>
    <row r="61741" customFormat="false" ht="12.75" hidden="false" customHeight="true" outlineLevel="0" collapsed="false"/>
    <row r="61742" customFormat="false" ht="12.75" hidden="false" customHeight="true" outlineLevel="0" collapsed="false"/>
    <row r="61743" customFormat="false" ht="12.75" hidden="false" customHeight="true" outlineLevel="0" collapsed="false"/>
    <row r="61744" customFormat="false" ht="12.75" hidden="false" customHeight="true" outlineLevel="0" collapsed="false"/>
    <row r="61745" customFormat="false" ht="12.75" hidden="false" customHeight="true" outlineLevel="0" collapsed="false"/>
    <row r="61746" customFormat="false" ht="12.75" hidden="false" customHeight="true" outlineLevel="0" collapsed="false"/>
    <row r="61747" customFormat="false" ht="12.75" hidden="false" customHeight="true" outlineLevel="0" collapsed="false"/>
    <row r="61748" customFormat="false" ht="12.75" hidden="false" customHeight="true" outlineLevel="0" collapsed="false"/>
    <row r="61749" customFormat="false" ht="12.75" hidden="false" customHeight="true" outlineLevel="0" collapsed="false"/>
    <row r="61750" customFormat="false" ht="12.75" hidden="false" customHeight="true" outlineLevel="0" collapsed="false"/>
    <row r="61751" customFormat="false" ht="12.75" hidden="false" customHeight="true" outlineLevel="0" collapsed="false"/>
    <row r="61752" customFormat="false" ht="12.75" hidden="false" customHeight="true" outlineLevel="0" collapsed="false"/>
    <row r="61753" customFormat="false" ht="12.75" hidden="false" customHeight="true" outlineLevel="0" collapsed="false"/>
    <row r="61754" customFormat="false" ht="12.75" hidden="false" customHeight="true" outlineLevel="0" collapsed="false"/>
    <row r="61755" customFormat="false" ht="12.75" hidden="false" customHeight="true" outlineLevel="0" collapsed="false"/>
    <row r="61756" customFormat="false" ht="12.75" hidden="false" customHeight="true" outlineLevel="0" collapsed="false"/>
    <row r="61757" customFormat="false" ht="12.75" hidden="false" customHeight="true" outlineLevel="0" collapsed="false"/>
    <row r="61758" customFormat="false" ht="12.75" hidden="false" customHeight="true" outlineLevel="0" collapsed="false"/>
    <row r="61759" customFormat="false" ht="12.75" hidden="false" customHeight="true" outlineLevel="0" collapsed="false"/>
    <row r="61760" customFormat="false" ht="12.75" hidden="false" customHeight="true" outlineLevel="0" collapsed="false"/>
    <row r="61761" customFormat="false" ht="12.75" hidden="false" customHeight="true" outlineLevel="0" collapsed="false"/>
    <row r="61762" customFormat="false" ht="12.75" hidden="false" customHeight="true" outlineLevel="0" collapsed="false"/>
    <row r="61763" customFormat="false" ht="12.75" hidden="false" customHeight="true" outlineLevel="0" collapsed="false"/>
    <row r="61764" customFormat="false" ht="12.75" hidden="false" customHeight="true" outlineLevel="0" collapsed="false"/>
    <row r="61765" customFormat="false" ht="12.75" hidden="false" customHeight="true" outlineLevel="0" collapsed="false"/>
    <row r="61766" customFormat="false" ht="12.75" hidden="false" customHeight="true" outlineLevel="0" collapsed="false"/>
    <row r="61767" customFormat="false" ht="12.75" hidden="false" customHeight="true" outlineLevel="0" collapsed="false"/>
    <row r="61768" customFormat="false" ht="12.75" hidden="false" customHeight="true" outlineLevel="0" collapsed="false"/>
    <row r="61769" customFormat="false" ht="12.75" hidden="false" customHeight="true" outlineLevel="0" collapsed="false"/>
    <row r="61770" customFormat="false" ht="12.75" hidden="false" customHeight="true" outlineLevel="0" collapsed="false"/>
    <row r="61771" customFormat="false" ht="12.75" hidden="false" customHeight="true" outlineLevel="0" collapsed="false"/>
    <row r="61772" customFormat="false" ht="12.75" hidden="false" customHeight="true" outlineLevel="0" collapsed="false"/>
    <row r="61773" customFormat="false" ht="12.75" hidden="false" customHeight="true" outlineLevel="0" collapsed="false"/>
    <row r="61774" customFormat="false" ht="12.75" hidden="false" customHeight="true" outlineLevel="0" collapsed="false"/>
    <row r="61775" customFormat="false" ht="12.75" hidden="false" customHeight="true" outlineLevel="0" collapsed="false"/>
    <row r="61776" customFormat="false" ht="12.75" hidden="false" customHeight="true" outlineLevel="0" collapsed="false"/>
    <row r="61777" customFormat="false" ht="12.75" hidden="false" customHeight="true" outlineLevel="0" collapsed="false"/>
    <row r="61778" customFormat="false" ht="12.75" hidden="false" customHeight="true" outlineLevel="0" collapsed="false"/>
    <row r="61779" customFormat="false" ht="12.75" hidden="false" customHeight="true" outlineLevel="0" collapsed="false"/>
    <row r="61780" customFormat="false" ht="12.75" hidden="false" customHeight="true" outlineLevel="0" collapsed="false"/>
    <row r="61781" customFormat="false" ht="12.75" hidden="false" customHeight="true" outlineLevel="0" collapsed="false"/>
    <row r="61782" customFormat="false" ht="12.75" hidden="false" customHeight="true" outlineLevel="0" collapsed="false"/>
    <row r="61783" customFormat="false" ht="12.75" hidden="false" customHeight="true" outlineLevel="0" collapsed="false"/>
    <row r="61784" customFormat="false" ht="12.75" hidden="false" customHeight="true" outlineLevel="0" collapsed="false"/>
    <row r="61785" customFormat="false" ht="12.75" hidden="false" customHeight="true" outlineLevel="0" collapsed="false"/>
    <row r="61786" customFormat="false" ht="12.75" hidden="false" customHeight="true" outlineLevel="0" collapsed="false"/>
    <row r="61787" customFormat="false" ht="12.75" hidden="false" customHeight="true" outlineLevel="0" collapsed="false"/>
    <row r="61788" customFormat="false" ht="12.75" hidden="false" customHeight="true" outlineLevel="0" collapsed="false"/>
    <row r="61789" customFormat="false" ht="12.75" hidden="false" customHeight="true" outlineLevel="0" collapsed="false"/>
    <row r="61790" customFormat="false" ht="12.75" hidden="false" customHeight="true" outlineLevel="0" collapsed="false"/>
    <row r="61791" customFormat="false" ht="12.75" hidden="false" customHeight="true" outlineLevel="0" collapsed="false"/>
    <row r="61792" customFormat="false" ht="12.75" hidden="false" customHeight="true" outlineLevel="0" collapsed="false"/>
    <row r="61793" customFormat="false" ht="12.75" hidden="false" customHeight="true" outlineLevel="0" collapsed="false"/>
    <row r="61794" customFormat="false" ht="12.75" hidden="false" customHeight="true" outlineLevel="0" collapsed="false"/>
    <row r="61795" customFormat="false" ht="12.75" hidden="false" customHeight="true" outlineLevel="0" collapsed="false"/>
    <row r="61796" customFormat="false" ht="12.75" hidden="false" customHeight="true" outlineLevel="0" collapsed="false"/>
    <row r="61797" customFormat="false" ht="12.75" hidden="false" customHeight="true" outlineLevel="0" collapsed="false"/>
    <row r="61798" customFormat="false" ht="12.75" hidden="false" customHeight="true" outlineLevel="0" collapsed="false"/>
    <row r="61799" customFormat="false" ht="12.75" hidden="false" customHeight="true" outlineLevel="0" collapsed="false"/>
    <row r="61800" customFormat="false" ht="12.75" hidden="false" customHeight="true" outlineLevel="0" collapsed="false"/>
    <row r="61801" customFormat="false" ht="12.75" hidden="false" customHeight="true" outlineLevel="0" collapsed="false"/>
    <row r="61802" customFormat="false" ht="12.75" hidden="false" customHeight="true" outlineLevel="0" collapsed="false"/>
    <row r="61803" customFormat="false" ht="12.75" hidden="false" customHeight="true" outlineLevel="0" collapsed="false"/>
    <row r="61804" customFormat="false" ht="12.75" hidden="false" customHeight="true" outlineLevel="0" collapsed="false"/>
    <row r="61805" customFormat="false" ht="12.75" hidden="false" customHeight="true" outlineLevel="0" collapsed="false"/>
    <row r="61806" customFormat="false" ht="12.75" hidden="false" customHeight="true" outlineLevel="0" collapsed="false"/>
    <row r="61807" customFormat="false" ht="12.75" hidden="false" customHeight="true" outlineLevel="0" collapsed="false"/>
    <row r="61808" customFormat="false" ht="12.75" hidden="false" customHeight="true" outlineLevel="0" collapsed="false"/>
    <row r="61809" customFormat="false" ht="12.75" hidden="false" customHeight="true" outlineLevel="0" collapsed="false"/>
    <row r="61810" customFormat="false" ht="12.75" hidden="false" customHeight="true" outlineLevel="0" collapsed="false"/>
    <row r="61811" customFormat="false" ht="12.75" hidden="false" customHeight="true" outlineLevel="0" collapsed="false"/>
    <row r="61812" customFormat="false" ht="12.75" hidden="false" customHeight="true" outlineLevel="0" collapsed="false"/>
    <row r="61813" customFormat="false" ht="12.75" hidden="false" customHeight="true" outlineLevel="0" collapsed="false"/>
    <row r="61814" customFormat="false" ht="12.75" hidden="false" customHeight="true" outlineLevel="0" collapsed="false"/>
    <row r="61815" customFormat="false" ht="12.75" hidden="false" customHeight="true" outlineLevel="0" collapsed="false"/>
    <row r="61816" customFormat="false" ht="12.75" hidden="false" customHeight="true" outlineLevel="0" collapsed="false"/>
    <row r="61817" customFormat="false" ht="12.75" hidden="false" customHeight="true" outlineLevel="0" collapsed="false"/>
    <row r="61818" customFormat="false" ht="12.75" hidden="false" customHeight="true" outlineLevel="0" collapsed="false"/>
    <row r="61819" customFormat="false" ht="12.75" hidden="false" customHeight="true" outlineLevel="0" collapsed="false"/>
    <row r="61820" customFormat="false" ht="12.75" hidden="false" customHeight="true" outlineLevel="0" collapsed="false"/>
    <row r="61821" customFormat="false" ht="12.75" hidden="false" customHeight="true" outlineLevel="0" collapsed="false"/>
    <row r="61822" customFormat="false" ht="12.75" hidden="false" customHeight="true" outlineLevel="0" collapsed="false"/>
    <row r="61823" customFormat="false" ht="12.75" hidden="false" customHeight="true" outlineLevel="0" collapsed="false"/>
    <row r="61824" customFormat="false" ht="12.75" hidden="false" customHeight="true" outlineLevel="0" collapsed="false"/>
    <row r="61825" customFormat="false" ht="12.75" hidden="false" customHeight="true" outlineLevel="0" collapsed="false"/>
    <row r="61826" customFormat="false" ht="12.75" hidden="false" customHeight="true" outlineLevel="0" collapsed="false"/>
    <row r="61827" customFormat="false" ht="12.75" hidden="false" customHeight="true" outlineLevel="0" collapsed="false"/>
    <row r="61828" customFormat="false" ht="12.75" hidden="false" customHeight="true" outlineLevel="0" collapsed="false"/>
    <row r="61829" customFormat="false" ht="12.75" hidden="false" customHeight="true" outlineLevel="0" collapsed="false"/>
    <row r="61830" customFormat="false" ht="12.75" hidden="false" customHeight="true" outlineLevel="0" collapsed="false"/>
    <row r="61831" customFormat="false" ht="12.75" hidden="false" customHeight="true" outlineLevel="0" collapsed="false"/>
    <row r="61832" customFormat="false" ht="12.75" hidden="false" customHeight="true" outlineLevel="0" collapsed="false"/>
    <row r="61833" customFormat="false" ht="12.75" hidden="false" customHeight="true" outlineLevel="0" collapsed="false"/>
    <row r="61834" customFormat="false" ht="12.75" hidden="false" customHeight="true" outlineLevel="0" collapsed="false"/>
    <row r="61835" customFormat="false" ht="12.75" hidden="false" customHeight="true" outlineLevel="0" collapsed="false"/>
    <row r="61836" customFormat="false" ht="12.75" hidden="false" customHeight="true" outlineLevel="0" collapsed="false"/>
    <row r="61837" customFormat="false" ht="12.75" hidden="false" customHeight="true" outlineLevel="0" collapsed="false"/>
    <row r="61838" customFormat="false" ht="12.75" hidden="false" customHeight="true" outlineLevel="0" collapsed="false"/>
    <row r="61839" customFormat="false" ht="12.75" hidden="false" customHeight="true" outlineLevel="0" collapsed="false"/>
    <row r="61840" customFormat="false" ht="12.75" hidden="false" customHeight="true" outlineLevel="0" collapsed="false"/>
    <row r="61841" customFormat="false" ht="12.75" hidden="false" customHeight="true" outlineLevel="0" collapsed="false"/>
    <row r="61842" customFormat="false" ht="12.75" hidden="false" customHeight="true" outlineLevel="0" collapsed="false"/>
    <row r="61843" customFormat="false" ht="12.75" hidden="false" customHeight="true" outlineLevel="0" collapsed="false"/>
    <row r="61844" customFormat="false" ht="12.75" hidden="false" customHeight="true" outlineLevel="0" collapsed="false"/>
    <row r="61845" customFormat="false" ht="12.75" hidden="false" customHeight="true" outlineLevel="0" collapsed="false"/>
    <row r="61846" customFormat="false" ht="12.75" hidden="false" customHeight="true" outlineLevel="0" collapsed="false"/>
    <row r="61847" customFormat="false" ht="12.75" hidden="false" customHeight="true" outlineLevel="0" collapsed="false"/>
    <row r="61848" customFormat="false" ht="12.75" hidden="false" customHeight="true" outlineLevel="0" collapsed="false"/>
    <row r="61849" customFormat="false" ht="12.75" hidden="false" customHeight="true" outlineLevel="0" collapsed="false"/>
    <row r="61850" customFormat="false" ht="12.75" hidden="false" customHeight="true" outlineLevel="0" collapsed="false"/>
    <row r="61851" customFormat="false" ht="12.75" hidden="false" customHeight="true" outlineLevel="0" collapsed="false"/>
    <row r="61852" customFormat="false" ht="12.75" hidden="false" customHeight="true" outlineLevel="0" collapsed="false"/>
    <row r="61853" customFormat="false" ht="12.75" hidden="false" customHeight="true" outlineLevel="0" collapsed="false"/>
    <row r="61854" customFormat="false" ht="12.75" hidden="false" customHeight="true" outlineLevel="0" collapsed="false"/>
    <row r="61855" customFormat="false" ht="12.75" hidden="false" customHeight="true" outlineLevel="0" collapsed="false"/>
    <row r="61856" customFormat="false" ht="12.75" hidden="false" customHeight="true" outlineLevel="0" collapsed="false"/>
    <row r="61857" customFormat="false" ht="12.75" hidden="false" customHeight="true" outlineLevel="0" collapsed="false"/>
    <row r="61858" customFormat="false" ht="12.75" hidden="false" customHeight="true" outlineLevel="0" collapsed="false"/>
    <row r="61859" customFormat="false" ht="12.75" hidden="false" customHeight="true" outlineLevel="0" collapsed="false"/>
    <row r="61860" customFormat="false" ht="12.75" hidden="false" customHeight="true" outlineLevel="0" collapsed="false"/>
    <row r="61861" customFormat="false" ht="12.75" hidden="false" customHeight="true" outlineLevel="0" collapsed="false"/>
    <row r="61862" customFormat="false" ht="12.75" hidden="false" customHeight="true" outlineLevel="0" collapsed="false"/>
    <row r="61863" customFormat="false" ht="12.75" hidden="false" customHeight="true" outlineLevel="0" collapsed="false"/>
    <row r="61864" customFormat="false" ht="12.75" hidden="false" customHeight="true" outlineLevel="0" collapsed="false"/>
    <row r="61865" customFormat="false" ht="12.75" hidden="false" customHeight="true" outlineLevel="0" collapsed="false"/>
    <row r="61866" customFormat="false" ht="12.75" hidden="false" customHeight="true" outlineLevel="0" collapsed="false"/>
    <row r="61867" customFormat="false" ht="12.75" hidden="false" customHeight="true" outlineLevel="0" collapsed="false"/>
    <row r="61868" customFormat="false" ht="12.75" hidden="false" customHeight="true" outlineLevel="0" collapsed="false"/>
    <row r="61869" customFormat="false" ht="12.75" hidden="false" customHeight="true" outlineLevel="0" collapsed="false"/>
    <row r="61870" customFormat="false" ht="12.75" hidden="false" customHeight="true" outlineLevel="0" collapsed="false"/>
    <row r="61871" customFormat="false" ht="12.75" hidden="false" customHeight="true" outlineLevel="0" collapsed="false"/>
    <row r="61872" customFormat="false" ht="12.75" hidden="false" customHeight="true" outlineLevel="0" collapsed="false"/>
    <row r="61873" customFormat="false" ht="12.75" hidden="false" customHeight="true" outlineLevel="0" collapsed="false"/>
    <row r="61874" customFormat="false" ht="12.75" hidden="false" customHeight="true" outlineLevel="0" collapsed="false"/>
    <row r="61875" customFormat="false" ht="12.75" hidden="false" customHeight="true" outlineLevel="0" collapsed="false"/>
    <row r="61876" customFormat="false" ht="12.75" hidden="false" customHeight="true" outlineLevel="0" collapsed="false"/>
    <row r="61877" customFormat="false" ht="12.75" hidden="false" customHeight="true" outlineLevel="0" collapsed="false"/>
    <row r="61878" customFormat="false" ht="12.75" hidden="false" customHeight="true" outlineLevel="0" collapsed="false"/>
    <row r="61879" customFormat="false" ht="12.75" hidden="false" customHeight="true" outlineLevel="0" collapsed="false"/>
    <row r="61880" customFormat="false" ht="12.75" hidden="false" customHeight="true" outlineLevel="0" collapsed="false"/>
    <row r="61881" customFormat="false" ht="12.75" hidden="false" customHeight="true" outlineLevel="0" collapsed="false"/>
    <row r="61882" customFormat="false" ht="12.75" hidden="false" customHeight="true" outlineLevel="0" collapsed="false"/>
    <row r="61883" customFormat="false" ht="12.75" hidden="false" customHeight="true" outlineLevel="0" collapsed="false"/>
    <row r="61884" customFormat="false" ht="12.75" hidden="false" customHeight="true" outlineLevel="0" collapsed="false"/>
    <row r="61885" customFormat="false" ht="12.75" hidden="false" customHeight="true" outlineLevel="0" collapsed="false"/>
    <row r="61886" customFormat="false" ht="12.75" hidden="false" customHeight="true" outlineLevel="0" collapsed="false"/>
    <row r="61887" customFormat="false" ht="12.75" hidden="false" customHeight="true" outlineLevel="0" collapsed="false"/>
    <row r="61888" customFormat="false" ht="12.75" hidden="false" customHeight="true" outlineLevel="0" collapsed="false"/>
    <row r="61889" customFormat="false" ht="12.75" hidden="false" customHeight="true" outlineLevel="0" collapsed="false"/>
    <row r="61890" customFormat="false" ht="12.75" hidden="false" customHeight="true" outlineLevel="0" collapsed="false"/>
    <row r="61891" customFormat="false" ht="12.75" hidden="false" customHeight="true" outlineLevel="0" collapsed="false"/>
    <row r="61892" customFormat="false" ht="12.75" hidden="false" customHeight="true" outlineLevel="0" collapsed="false"/>
    <row r="61893" customFormat="false" ht="12.75" hidden="false" customHeight="true" outlineLevel="0" collapsed="false"/>
    <row r="61894" customFormat="false" ht="12.75" hidden="false" customHeight="true" outlineLevel="0" collapsed="false"/>
    <row r="61895" customFormat="false" ht="12.75" hidden="false" customHeight="true" outlineLevel="0" collapsed="false"/>
    <row r="61896" customFormat="false" ht="12.75" hidden="false" customHeight="true" outlineLevel="0" collapsed="false"/>
    <row r="61897" customFormat="false" ht="12.75" hidden="false" customHeight="true" outlineLevel="0" collapsed="false"/>
    <row r="61898" customFormat="false" ht="12.75" hidden="false" customHeight="true" outlineLevel="0" collapsed="false"/>
    <row r="61899" customFormat="false" ht="12.75" hidden="false" customHeight="true" outlineLevel="0" collapsed="false"/>
    <row r="61900" customFormat="false" ht="12.75" hidden="false" customHeight="true" outlineLevel="0" collapsed="false"/>
    <row r="61901" customFormat="false" ht="12.75" hidden="false" customHeight="true" outlineLevel="0" collapsed="false"/>
    <row r="61902" customFormat="false" ht="12.75" hidden="false" customHeight="true" outlineLevel="0" collapsed="false"/>
    <row r="61903" customFormat="false" ht="12.75" hidden="false" customHeight="true" outlineLevel="0" collapsed="false"/>
    <row r="61904" customFormat="false" ht="12.75" hidden="false" customHeight="true" outlineLevel="0" collapsed="false"/>
    <row r="61905" customFormat="false" ht="12.75" hidden="false" customHeight="true" outlineLevel="0" collapsed="false"/>
    <row r="61906" customFormat="false" ht="12.75" hidden="false" customHeight="true" outlineLevel="0" collapsed="false"/>
    <row r="61907" customFormat="false" ht="12.75" hidden="false" customHeight="true" outlineLevel="0" collapsed="false"/>
    <row r="61908" customFormat="false" ht="12.75" hidden="false" customHeight="true" outlineLevel="0" collapsed="false"/>
    <row r="61909" customFormat="false" ht="12.75" hidden="false" customHeight="true" outlineLevel="0" collapsed="false"/>
    <row r="61910" customFormat="false" ht="12.75" hidden="false" customHeight="true" outlineLevel="0" collapsed="false"/>
    <row r="61911" customFormat="false" ht="12.75" hidden="false" customHeight="true" outlineLevel="0" collapsed="false"/>
    <row r="61912" customFormat="false" ht="12.75" hidden="false" customHeight="true" outlineLevel="0" collapsed="false"/>
    <row r="61913" customFormat="false" ht="12.75" hidden="false" customHeight="true" outlineLevel="0" collapsed="false"/>
    <row r="61914" customFormat="false" ht="12.75" hidden="false" customHeight="true" outlineLevel="0" collapsed="false"/>
    <row r="61915" customFormat="false" ht="12.75" hidden="false" customHeight="true" outlineLevel="0" collapsed="false"/>
    <row r="61916" customFormat="false" ht="12.75" hidden="false" customHeight="true" outlineLevel="0" collapsed="false"/>
    <row r="61917" customFormat="false" ht="12.75" hidden="false" customHeight="true" outlineLevel="0" collapsed="false"/>
    <row r="61918" customFormat="false" ht="12.75" hidden="false" customHeight="true" outlineLevel="0" collapsed="false"/>
    <row r="61919" customFormat="false" ht="12.75" hidden="false" customHeight="true" outlineLevel="0" collapsed="false"/>
    <row r="61920" customFormat="false" ht="12.75" hidden="false" customHeight="true" outlineLevel="0" collapsed="false"/>
    <row r="61921" customFormat="false" ht="12.75" hidden="false" customHeight="true" outlineLevel="0" collapsed="false"/>
    <row r="61922" customFormat="false" ht="12.75" hidden="false" customHeight="true" outlineLevel="0" collapsed="false"/>
    <row r="61923" customFormat="false" ht="12.75" hidden="false" customHeight="true" outlineLevel="0" collapsed="false"/>
    <row r="61924" customFormat="false" ht="12.75" hidden="false" customHeight="true" outlineLevel="0" collapsed="false"/>
    <row r="61925" customFormat="false" ht="12.75" hidden="false" customHeight="true" outlineLevel="0" collapsed="false"/>
    <row r="61926" customFormat="false" ht="12.75" hidden="false" customHeight="true" outlineLevel="0" collapsed="false"/>
    <row r="61927" customFormat="false" ht="12.75" hidden="false" customHeight="true" outlineLevel="0" collapsed="false"/>
    <row r="61928" customFormat="false" ht="12.75" hidden="false" customHeight="true" outlineLevel="0" collapsed="false"/>
    <row r="61929" customFormat="false" ht="12.75" hidden="false" customHeight="true" outlineLevel="0" collapsed="false"/>
    <row r="61930" customFormat="false" ht="12.75" hidden="false" customHeight="true" outlineLevel="0" collapsed="false"/>
    <row r="61931" customFormat="false" ht="12.75" hidden="false" customHeight="true" outlineLevel="0" collapsed="false"/>
    <row r="61932" customFormat="false" ht="12.75" hidden="false" customHeight="true" outlineLevel="0" collapsed="false"/>
    <row r="61933" customFormat="false" ht="12.75" hidden="false" customHeight="true" outlineLevel="0" collapsed="false"/>
    <row r="61934" customFormat="false" ht="12.75" hidden="false" customHeight="true" outlineLevel="0" collapsed="false"/>
    <row r="61935" customFormat="false" ht="12.75" hidden="false" customHeight="true" outlineLevel="0" collapsed="false"/>
    <row r="61936" customFormat="false" ht="12.75" hidden="false" customHeight="true" outlineLevel="0" collapsed="false"/>
    <row r="61937" customFormat="false" ht="12.75" hidden="false" customHeight="true" outlineLevel="0" collapsed="false"/>
    <row r="61938" customFormat="false" ht="12.75" hidden="false" customHeight="true" outlineLevel="0" collapsed="false"/>
    <row r="61939" customFormat="false" ht="12.75" hidden="false" customHeight="true" outlineLevel="0" collapsed="false"/>
    <row r="61940" customFormat="false" ht="12.75" hidden="false" customHeight="true" outlineLevel="0" collapsed="false"/>
    <row r="61941" customFormat="false" ht="12.75" hidden="false" customHeight="true" outlineLevel="0" collapsed="false"/>
    <row r="61942" customFormat="false" ht="12.75" hidden="false" customHeight="true" outlineLevel="0" collapsed="false"/>
    <row r="61943" customFormat="false" ht="12.75" hidden="false" customHeight="true" outlineLevel="0" collapsed="false"/>
    <row r="61944" customFormat="false" ht="12.75" hidden="false" customHeight="true" outlineLevel="0" collapsed="false"/>
    <row r="61945" customFormat="false" ht="12.75" hidden="false" customHeight="true" outlineLevel="0" collapsed="false"/>
    <row r="61946" customFormat="false" ht="12.75" hidden="false" customHeight="true" outlineLevel="0" collapsed="false"/>
    <row r="61947" customFormat="false" ht="12.75" hidden="false" customHeight="true" outlineLevel="0" collapsed="false"/>
    <row r="61948" customFormat="false" ht="12.75" hidden="false" customHeight="true" outlineLevel="0" collapsed="false"/>
    <row r="61949" customFormat="false" ht="12.75" hidden="false" customHeight="true" outlineLevel="0" collapsed="false"/>
    <row r="61950" customFormat="false" ht="12.75" hidden="false" customHeight="true" outlineLevel="0" collapsed="false"/>
    <row r="61951" customFormat="false" ht="12.75" hidden="false" customHeight="true" outlineLevel="0" collapsed="false"/>
    <row r="61952" customFormat="false" ht="12.75" hidden="false" customHeight="true" outlineLevel="0" collapsed="false"/>
    <row r="61953" customFormat="false" ht="12.75" hidden="false" customHeight="true" outlineLevel="0" collapsed="false"/>
    <row r="61954" customFormat="false" ht="12.75" hidden="false" customHeight="true" outlineLevel="0" collapsed="false"/>
    <row r="61955" customFormat="false" ht="12.75" hidden="false" customHeight="true" outlineLevel="0" collapsed="false"/>
    <row r="61956" customFormat="false" ht="12.75" hidden="false" customHeight="true" outlineLevel="0" collapsed="false"/>
    <row r="61957" customFormat="false" ht="12.75" hidden="false" customHeight="true" outlineLevel="0" collapsed="false"/>
    <row r="61958" customFormat="false" ht="12.75" hidden="false" customHeight="true" outlineLevel="0" collapsed="false"/>
    <row r="61959" customFormat="false" ht="12.75" hidden="false" customHeight="true" outlineLevel="0" collapsed="false"/>
    <row r="61960" customFormat="false" ht="12.75" hidden="false" customHeight="true" outlineLevel="0" collapsed="false"/>
    <row r="61961" customFormat="false" ht="12.75" hidden="false" customHeight="true" outlineLevel="0" collapsed="false"/>
    <row r="61962" customFormat="false" ht="12.75" hidden="false" customHeight="true" outlineLevel="0" collapsed="false"/>
    <row r="61963" customFormat="false" ht="12.75" hidden="false" customHeight="true" outlineLevel="0" collapsed="false"/>
    <row r="61964" customFormat="false" ht="12.75" hidden="false" customHeight="true" outlineLevel="0" collapsed="false"/>
    <row r="61965" customFormat="false" ht="12.75" hidden="false" customHeight="true" outlineLevel="0" collapsed="false"/>
    <row r="61966" customFormat="false" ht="12.75" hidden="false" customHeight="true" outlineLevel="0" collapsed="false"/>
    <row r="61967" customFormat="false" ht="12.75" hidden="false" customHeight="true" outlineLevel="0" collapsed="false"/>
    <row r="61968" customFormat="false" ht="12.75" hidden="false" customHeight="true" outlineLevel="0" collapsed="false"/>
    <row r="61969" customFormat="false" ht="12.75" hidden="false" customHeight="true" outlineLevel="0" collapsed="false"/>
    <row r="61970" customFormat="false" ht="12.75" hidden="false" customHeight="true" outlineLevel="0" collapsed="false"/>
    <row r="61971" customFormat="false" ht="12.75" hidden="false" customHeight="true" outlineLevel="0" collapsed="false"/>
    <row r="61972" customFormat="false" ht="12.75" hidden="false" customHeight="true" outlineLevel="0" collapsed="false"/>
    <row r="61973" customFormat="false" ht="12.75" hidden="false" customHeight="true" outlineLevel="0" collapsed="false"/>
    <row r="61974" customFormat="false" ht="12.75" hidden="false" customHeight="true" outlineLevel="0" collapsed="false"/>
    <row r="61975" customFormat="false" ht="12.75" hidden="false" customHeight="true" outlineLevel="0" collapsed="false"/>
    <row r="61976" customFormat="false" ht="12.75" hidden="false" customHeight="true" outlineLevel="0" collapsed="false"/>
    <row r="61977" customFormat="false" ht="12.75" hidden="false" customHeight="true" outlineLevel="0" collapsed="false"/>
    <row r="61978" customFormat="false" ht="12.75" hidden="false" customHeight="true" outlineLevel="0" collapsed="false"/>
    <row r="61979" customFormat="false" ht="12.75" hidden="false" customHeight="true" outlineLevel="0" collapsed="false"/>
    <row r="61980" customFormat="false" ht="12.75" hidden="false" customHeight="true" outlineLevel="0" collapsed="false"/>
    <row r="61981" customFormat="false" ht="12.75" hidden="false" customHeight="true" outlineLevel="0" collapsed="false"/>
    <row r="61982" customFormat="false" ht="12.75" hidden="false" customHeight="true" outlineLevel="0" collapsed="false"/>
    <row r="61983" customFormat="false" ht="12.75" hidden="false" customHeight="true" outlineLevel="0" collapsed="false"/>
    <row r="61984" customFormat="false" ht="12.75" hidden="false" customHeight="true" outlineLevel="0" collapsed="false"/>
    <row r="61985" customFormat="false" ht="12.75" hidden="false" customHeight="true" outlineLevel="0" collapsed="false"/>
    <row r="61986" customFormat="false" ht="12.75" hidden="false" customHeight="true" outlineLevel="0" collapsed="false"/>
    <row r="61987" customFormat="false" ht="12.75" hidden="false" customHeight="true" outlineLevel="0" collapsed="false"/>
    <row r="61988" customFormat="false" ht="12.75" hidden="false" customHeight="true" outlineLevel="0" collapsed="false"/>
    <row r="61989" customFormat="false" ht="12.75" hidden="false" customHeight="true" outlineLevel="0" collapsed="false"/>
    <row r="61990" customFormat="false" ht="12.75" hidden="false" customHeight="true" outlineLevel="0" collapsed="false"/>
    <row r="61991" customFormat="false" ht="12.75" hidden="false" customHeight="true" outlineLevel="0" collapsed="false"/>
    <row r="61992" customFormat="false" ht="12.75" hidden="false" customHeight="true" outlineLevel="0" collapsed="false"/>
    <row r="61993" customFormat="false" ht="12.75" hidden="false" customHeight="true" outlineLevel="0" collapsed="false"/>
    <row r="61994" customFormat="false" ht="12.75" hidden="false" customHeight="true" outlineLevel="0" collapsed="false"/>
    <row r="61995" customFormat="false" ht="12.75" hidden="false" customHeight="true" outlineLevel="0" collapsed="false"/>
    <row r="61996" customFormat="false" ht="12.75" hidden="false" customHeight="true" outlineLevel="0" collapsed="false"/>
    <row r="61997" customFormat="false" ht="12.75" hidden="false" customHeight="true" outlineLevel="0" collapsed="false"/>
    <row r="61998" customFormat="false" ht="12.75" hidden="false" customHeight="true" outlineLevel="0" collapsed="false"/>
    <row r="61999" customFormat="false" ht="12.75" hidden="false" customHeight="true" outlineLevel="0" collapsed="false"/>
    <row r="62000" customFormat="false" ht="12.75" hidden="false" customHeight="true" outlineLevel="0" collapsed="false"/>
    <row r="62001" customFormat="false" ht="12.75" hidden="false" customHeight="true" outlineLevel="0" collapsed="false"/>
    <row r="62002" customFormat="false" ht="12.75" hidden="false" customHeight="true" outlineLevel="0" collapsed="false"/>
    <row r="62003" customFormat="false" ht="12.75" hidden="false" customHeight="true" outlineLevel="0" collapsed="false"/>
    <row r="62004" customFormat="false" ht="12.75" hidden="false" customHeight="true" outlineLevel="0" collapsed="false"/>
    <row r="62005" customFormat="false" ht="12.75" hidden="false" customHeight="true" outlineLevel="0" collapsed="false"/>
    <row r="62006" customFormat="false" ht="12.75" hidden="false" customHeight="true" outlineLevel="0" collapsed="false"/>
    <row r="62007" customFormat="false" ht="12.75" hidden="false" customHeight="true" outlineLevel="0" collapsed="false"/>
    <row r="62008" customFormat="false" ht="12.75" hidden="false" customHeight="true" outlineLevel="0" collapsed="false"/>
    <row r="62009" customFormat="false" ht="12.75" hidden="false" customHeight="true" outlineLevel="0" collapsed="false"/>
    <row r="62010" customFormat="false" ht="12.75" hidden="false" customHeight="true" outlineLevel="0" collapsed="false"/>
    <row r="62011" customFormat="false" ht="12.75" hidden="false" customHeight="true" outlineLevel="0" collapsed="false"/>
    <row r="62012" customFormat="false" ht="12.75" hidden="false" customHeight="true" outlineLevel="0" collapsed="false"/>
    <row r="62013" customFormat="false" ht="12.75" hidden="false" customHeight="true" outlineLevel="0" collapsed="false"/>
    <row r="62014" customFormat="false" ht="12.75" hidden="false" customHeight="true" outlineLevel="0" collapsed="false"/>
    <row r="62015" customFormat="false" ht="12.75" hidden="false" customHeight="true" outlineLevel="0" collapsed="false"/>
    <row r="62016" customFormat="false" ht="12.75" hidden="false" customHeight="true" outlineLevel="0" collapsed="false"/>
    <row r="62017" customFormat="false" ht="12.75" hidden="false" customHeight="true" outlineLevel="0" collapsed="false"/>
    <row r="62018" customFormat="false" ht="12.75" hidden="false" customHeight="true" outlineLevel="0" collapsed="false"/>
    <row r="62019" customFormat="false" ht="12.75" hidden="false" customHeight="true" outlineLevel="0" collapsed="false"/>
    <row r="62020" customFormat="false" ht="12.75" hidden="false" customHeight="true" outlineLevel="0" collapsed="false"/>
    <row r="62021" customFormat="false" ht="12.75" hidden="false" customHeight="true" outlineLevel="0" collapsed="false"/>
    <row r="62022" customFormat="false" ht="12.75" hidden="false" customHeight="true" outlineLevel="0" collapsed="false"/>
    <row r="62023" customFormat="false" ht="12.75" hidden="false" customHeight="true" outlineLevel="0" collapsed="false"/>
    <row r="62024" customFormat="false" ht="12.75" hidden="false" customHeight="true" outlineLevel="0" collapsed="false"/>
    <row r="62025" customFormat="false" ht="12.75" hidden="false" customHeight="true" outlineLevel="0" collapsed="false"/>
    <row r="62026" customFormat="false" ht="12.75" hidden="false" customHeight="true" outlineLevel="0" collapsed="false"/>
    <row r="62027" customFormat="false" ht="12.75" hidden="false" customHeight="true" outlineLevel="0" collapsed="false"/>
    <row r="62028" customFormat="false" ht="12.75" hidden="false" customHeight="true" outlineLevel="0" collapsed="false"/>
    <row r="62029" customFormat="false" ht="12.75" hidden="false" customHeight="true" outlineLevel="0" collapsed="false"/>
    <row r="62030" customFormat="false" ht="12.75" hidden="false" customHeight="true" outlineLevel="0" collapsed="false"/>
    <row r="62031" customFormat="false" ht="12.75" hidden="false" customHeight="true" outlineLevel="0" collapsed="false"/>
    <row r="62032" customFormat="false" ht="12.75" hidden="false" customHeight="true" outlineLevel="0" collapsed="false"/>
    <row r="62033" customFormat="false" ht="12.75" hidden="false" customHeight="true" outlineLevel="0" collapsed="false"/>
    <row r="62034" customFormat="false" ht="12.75" hidden="false" customHeight="true" outlineLevel="0" collapsed="false"/>
    <row r="62035" customFormat="false" ht="12.75" hidden="false" customHeight="true" outlineLevel="0" collapsed="false"/>
    <row r="62036" customFormat="false" ht="12.75" hidden="false" customHeight="true" outlineLevel="0" collapsed="false"/>
    <row r="62037" customFormat="false" ht="12.75" hidden="false" customHeight="true" outlineLevel="0" collapsed="false"/>
    <row r="62038" customFormat="false" ht="12.75" hidden="false" customHeight="true" outlineLevel="0" collapsed="false"/>
    <row r="62039" customFormat="false" ht="12.75" hidden="false" customHeight="true" outlineLevel="0" collapsed="false"/>
    <row r="62040" customFormat="false" ht="12.75" hidden="false" customHeight="true" outlineLevel="0" collapsed="false"/>
    <row r="62041" customFormat="false" ht="12.75" hidden="false" customHeight="true" outlineLevel="0" collapsed="false"/>
    <row r="62042" customFormat="false" ht="12.75" hidden="false" customHeight="true" outlineLevel="0" collapsed="false"/>
    <row r="62043" customFormat="false" ht="12.75" hidden="false" customHeight="true" outlineLevel="0" collapsed="false"/>
    <row r="62044" customFormat="false" ht="12.75" hidden="false" customHeight="true" outlineLevel="0" collapsed="false"/>
    <row r="62045" customFormat="false" ht="12.75" hidden="false" customHeight="true" outlineLevel="0" collapsed="false"/>
    <row r="62046" customFormat="false" ht="12.75" hidden="false" customHeight="true" outlineLevel="0" collapsed="false"/>
    <row r="62047" customFormat="false" ht="12.75" hidden="false" customHeight="true" outlineLevel="0" collapsed="false"/>
    <row r="62048" customFormat="false" ht="12.75" hidden="false" customHeight="true" outlineLevel="0" collapsed="false"/>
    <row r="62049" customFormat="false" ht="12.75" hidden="false" customHeight="true" outlineLevel="0" collapsed="false"/>
    <row r="62050" customFormat="false" ht="12.75" hidden="false" customHeight="true" outlineLevel="0" collapsed="false"/>
    <row r="62051" customFormat="false" ht="12.75" hidden="false" customHeight="true" outlineLevel="0" collapsed="false"/>
    <row r="62052" customFormat="false" ht="12.75" hidden="false" customHeight="true" outlineLevel="0" collapsed="false"/>
    <row r="62053" customFormat="false" ht="12.75" hidden="false" customHeight="true" outlineLevel="0" collapsed="false"/>
    <row r="62054" customFormat="false" ht="12.75" hidden="false" customHeight="true" outlineLevel="0" collapsed="false"/>
    <row r="62055" customFormat="false" ht="12.75" hidden="false" customHeight="true" outlineLevel="0" collapsed="false"/>
    <row r="62056" customFormat="false" ht="12.75" hidden="false" customHeight="true" outlineLevel="0" collapsed="false"/>
    <row r="62057" customFormat="false" ht="12.75" hidden="false" customHeight="true" outlineLevel="0" collapsed="false"/>
    <row r="62058" customFormat="false" ht="12.75" hidden="false" customHeight="true" outlineLevel="0" collapsed="false"/>
    <row r="62059" customFormat="false" ht="12.75" hidden="false" customHeight="true" outlineLevel="0" collapsed="false"/>
    <row r="62060" customFormat="false" ht="12.75" hidden="false" customHeight="true" outlineLevel="0" collapsed="false"/>
    <row r="62061" customFormat="false" ht="12.75" hidden="false" customHeight="true" outlineLevel="0" collapsed="false"/>
    <row r="62062" customFormat="false" ht="12.75" hidden="false" customHeight="true" outlineLevel="0" collapsed="false"/>
    <row r="62063" customFormat="false" ht="12.75" hidden="false" customHeight="true" outlineLevel="0" collapsed="false"/>
    <row r="62064" customFormat="false" ht="12.75" hidden="false" customHeight="true" outlineLevel="0" collapsed="false"/>
    <row r="62065" customFormat="false" ht="12.75" hidden="false" customHeight="true" outlineLevel="0" collapsed="false"/>
    <row r="62066" customFormat="false" ht="12.75" hidden="false" customHeight="true" outlineLevel="0" collapsed="false"/>
    <row r="62067" customFormat="false" ht="12.75" hidden="false" customHeight="true" outlineLevel="0" collapsed="false"/>
    <row r="62068" customFormat="false" ht="12.75" hidden="false" customHeight="true" outlineLevel="0" collapsed="false"/>
    <row r="62069" customFormat="false" ht="12.75" hidden="false" customHeight="true" outlineLevel="0" collapsed="false"/>
    <row r="62070" customFormat="false" ht="12.75" hidden="false" customHeight="true" outlineLevel="0" collapsed="false"/>
    <row r="62071" customFormat="false" ht="12.75" hidden="false" customHeight="true" outlineLevel="0" collapsed="false"/>
    <row r="62072" customFormat="false" ht="12.75" hidden="false" customHeight="true" outlineLevel="0" collapsed="false"/>
    <row r="62073" customFormat="false" ht="12.75" hidden="false" customHeight="true" outlineLevel="0" collapsed="false"/>
    <row r="62074" customFormat="false" ht="12.75" hidden="false" customHeight="true" outlineLevel="0" collapsed="false"/>
    <row r="62075" customFormat="false" ht="12.75" hidden="false" customHeight="true" outlineLevel="0" collapsed="false"/>
    <row r="62076" customFormat="false" ht="12.75" hidden="false" customHeight="true" outlineLevel="0" collapsed="false"/>
    <row r="62077" customFormat="false" ht="12.75" hidden="false" customHeight="true" outlineLevel="0" collapsed="false"/>
    <row r="62078" customFormat="false" ht="12.75" hidden="false" customHeight="true" outlineLevel="0" collapsed="false"/>
    <row r="62079" customFormat="false" ht="12.75" hidden="false" customHeight="true" outlineLevel="0" collapsed="false"/>
    <row r="62080" customFormat="false" ht="12.75" hidden="false" customHeight="true" outlineLevel="0" collapsed="false"/>
    <row r="62081" customFormat="false" ht="12.75" hidden="false" customHeight="true" outlineLevel="0" collapsed="false"/>
    <row r="62082" customFormat="false" ht="12.75" hidden="false" customHeight="true" outlineLevel="0" collapsed="false"/>
    <row r="62083" customFormat="false" ht="12.75" hidden="false" customHeight="true" outlineLevel="0" collapsed="false"/>
    <row r="62084" customFormat="false" ht="12.75" hidden="false" customHeight="true" outlineLevel="0" collapsed="false"/>
    <row r="62085" customFormat="false" ht="12.75" hidden="false" customHeight="true" outlineLevel="0" collapsed="false"/>
    <row r="62086" customFormat="false" ht="12.75" hidden="false" customHeight="true" outlineLevel="0" collapsed="false"/>
    <row r="62087" customFormat="false" ht="12.75" hidden="false" customHeight="true" outlineLevel="0" collapsed="false"/>
    <row r="62088" customFormat="false" ht="12.75" hidden="false" customHeight="true" outlineLevel="0" collapsed="false"/>
    <row r="62089" customFormat="false" ht="12.75" hidden="false" customHeight="true" outlineLevel="0" collapsed="false"/>
    <row r="62090" customFormat="false" ht="12.75" hidden="false" customHeight="true" outlineLevel="0" collapsed="false"/>
    <row r="62091" customFormat="false" ht="12.75" hidden="false" customHeight="true" outlineLevel="0" collapsed="false"/>
    <row r="62092" customFormat="false" ht="12.75" hidden="false" customHeight="true" outlineLevel="0" collapsed="false"/>
    <row r="62093" customFormat="false" ht="12.75" hidden="false" customHeight="true" outlineLevel="0" collapsed="false"/>
    <row r="62094" customFormat="false" ht="12.75" hidden="false" customHeight="true" outlineLevel="0" collapsed="false"/>
    <row r="62095" customFormat="false" ht="12.75" hidden="false" customHeight="true" outlineLevel="0" collapsed="false"/>
    <row r="62096" customFormat="false" ht="12.75" hidden="false" customHeight="true" outlineLevel="0" collapsed="false"/>
    <row r="62097" customFormat="false" ht="12.75" hidden="false" customHeight="true" outlineLevel="0" collapsed="false"/>
    <row r="62098" customFormat="false" ht="12.75" hidden="false" customHeight="true" outlineLevel="0" collapsed="false"/>
    <row r="62099" customFormat="false" ht="12.75" hidden="false" customHeight="true" outlineLevel="0" collapsed="false"/>
    <row r="62100" customFormat="false" ht="12.75" hidden="false" customHeight="true" outlineLevel="0" collapsed="false"/>
    <row r="62101" customFormat="false" ht="12.75" hidden="false" customHeight="true" outlineLevel="0" collapsed="false"/>
    <row r="62102" customFormat="false" ht="12.75" hidden="false" customHeight="true" outlineLevel="0" collapsed="false"/>
    <row r="62103" customFormat="false" ht="12.75" hidden="false" customHeight="true" outlineLevel="0" collapsed="false"/>
    <row r="62104" customFormat="false" ht="12.75" hidden="false" customHeight="true" outlineLevel="0" collapsed="false"/>
    <row r="62105" customFormat="false" ht="12.75" hidden="false" customHeight="true" outlineLevel="0" collapsed="false"/>
    <row r="62106" customFormat="false" ht="12.75" hidden="false" customHeight="true" outlineLevel="0" collapsed="false"/>
    <row r="62107" customFormat="false" ht="12.75" hidden="false" customHeight="true" outlineLevel="0" collapsed="false"/>
    <row r="62108" customFormat="false" ht="12.75" hidden="false" customHeight="true" outlineLevel="0" collapsed="false"/>
    <row r="62109" customFormat="false" ht="12.75" hidden="false" customHeight="true" outlineLevel="0" collapsed="false"/>
    <row r="62110" customFormat="false" ht="12.75" hidden="false" customHeight="true" outlineLevel="0" collapsed="false"/>
    <row r="62111" customFormat="false" ht="12.75" hidden="false" customHeight="true" outlineLevel="0" collapsed="false"/>
    <row r="62112" customFormat="false" ht="12.75" hidden="false" customHeight="true" outlineLevel="0" collapsed="false"/>
    <row r="62113" customFormat="false" ht="12.75" hidden="false" customHeight="true" outlineLevel="0" collapsed="false"/>
    <row r="62114" customFormat="false" ht="12.75" hidden="false" customHeight="true" outlineLevel="0" collapsed="false"/>
    <row r="62115" customFormat="false" ht="12.75" hidden="false" customHeight="true" outlineLevel="0" collapsed="false"/>
    <row r="62116" customFormat="false" ht="12.75" hidden="false" customHeight="true" outlineLevel="0" collapsed="false"/>
    <row r="62117" customFormat="false" ht="12.75" hidden="false" customHeight="true" outlineLevel="0" collapsed="false"/>
    <row r="62118" customFormat="false" ht="12.75" hidden="false" customHeight="true" outlineLevel="0" collapsed="false"/>
    <row r="62119" customFormat="false" ht="12.75" hidden="false" customHeight="true" outlineLevel="0" collapsed="false"/>
    <row r="62120" customFormat="false" ht="12.75" hidden="false" customHeight="true" outlineLevel="0" collapsed="false"/>
    <row r="62121" customFormat="false" ht="12.75" hidden="false" customHeight="true" outlineLevel="0" collapsed="false"/>
    <row r="62122" customFormat="false" ht="12.75" hidden="false" customHeight="true" outlineLevel="0" collapsed="false"/>
    <row r="62123" customFormat="false" ht="12.75" hidden="false" customHeight="true" outlineLevel="0" collapsed="false"/>
    <row r="62124" customFormat="false" ht="12.75" hidden="false" customHeight="true" outlineLevel="0" collapsed="false"/>
    <row r="62125" customFormat="false" ht="12.75" hidden="false" customHeight="true" outlineLevel="0" collapsed="false"/>
    <row r="62126" customFormat="false" ht="12.75" hidden="false" customHeight="true" outlineLevel="0" collapsed="false"/>
    <row r="62127" customFormat="false" ht="12.75" hidden="false" customHeight="true" outlineLevel="0" collapsed="false"/>
    <row r="62128" customFormat="false" ht="12.75" hidden="false" customHeight="true" outlineLevel="0" collapsed="false"/>
    <row r="62129" customFormat="false" ht="12.75" hidden="false" customHeight="true" outlineLevel="0" collapsed="false"/>
    <row r="62130" customFormat="false" ht="12.75" hidden="false" customHeight="true" outlineLevel="0" collapsed="false"/>
    <row r="62131" customFormat="false" ht="12.75" hidden="false" customHeight="true" outlineLevel="0" collapsed="false"/>
    <row r="62132" customFormat="false" ht="12.75" hidden="false" customHeight="true" outlineLevel="0" collapsed="false"/>
    <row r="62133" customFormat="false" ht="12.75" hidden="false" customHeight="true" outlineLevel="0" collapsed="false"/>
    <row r="62134" customFormat="false" ht="12.75" hidden="false" customHeight="true" outlineLevel="0" collapsed="false"/>
    <row r="62135" customFormat="false" ht="12.75" hidden="false" customHeight="true" outlineLevel="0" collapsed="false"/>
    <row r="62136" customFormat="false" ht="12.75" hidden="false" customHeight="true" outlineLevel="0" collapsed="false"/>
    <row r="62137" customFormat="false" ht="12.75" hidden="false" customHeight="true" outlineLevel="0" collapsed="false"/>
    <row r="62138" customFormat="false" ht="12.75" hidden="false" customHeight="true" outlineLevel="0" collapsed="false"/>
    <row r="62139" customFormat="false" ht="12.75" hidden="false" customHeight="true" outlineLevel="0" collapsed="false"/>
    <row r="62140" customFormat="false" ht="12.75" hidden="false" customHeight="true" outlineLevel="0" collapsed="false"/>
    <row r="62141" customFormat="false" ht="12.75" hidden="false" customHeight="true" outlineLevel="0" collapsed="false"/>
    <row r="62142" customFormat="false" ht="12.75" hidden="false" customHeight="true" outlineLevel="0" collapsed="false"/>
    <row r="62143" customFormat="false" ht="12.75" hidden="false" customHeight="true" outlineLevel="0" collapsed="false"/>
    <row r="62144" customFormat="false" ht="12.75" hidden="false" customHeight="true" outlineLevel="0" collapsed="false"/>
    <row r="62145" customFormat="false" ht="12.75" hidden="false" customHeight="true" outlineLevel="0" collapsed="false"/>
    <row r="62146" customFormat="false" ht="12.75" hidden="false" customHeight="true" outlineLevel="0" collapsed="false"/>
    <row r="62147" customFormat="false" ht="12.75" hidden="false" customHeight="true" outlineLevel="0" collapsed="false"/>
    <row r="62148" customFormat="false" ht="12.75" hidden="false" customHeight="true" outlineLevel="0" collapsed="false"/>
    <row r="62149" customFormat="false" ht="12.75" hidden="false" customHeight="true" outlineLevel="0" collapsed="false"/>
    <row r="62150" customFormat="false" ht="12.75" hidden="false" customHeight="true" outlineLevel="0" collapsed="false"/>
    <row r="62151" customFormat="false" ht="12.75" hidden="false" customHeight="true" outlineLevel="0" collapsed="false"/>
    <row r="62152" customFormat="false" ht="12.75" hidden="false" customHeight="true" outlineLevel="0" collapsed="false"/>
    <row r="62153" customFormat="false" ht="12.75" hidden="false" customHeight="true" outlineLevel="0" collapsed="false"/>
    <row r="62154" customFormat="false" ht="12.75" hidden="false" customHeight="true" outlineLevel="0" collapsed="false"/>
    <row r="62155" customFormat="false" ht="12.75" hidden="false" customHeight="true" outlineLevel="0" collapsed="false"/>
    <row r="62156" customFormat="false" ht="12.75" hidden="false" customHeight="true" outlineLevel="0" collapsed="false"/>
    <row r="62157" customFormat="false" ht="12.75" hidden="false" customHeight="true" outlineLevel="0" collapsed="false"/>
    <row r="62158" customFormat="false" ht="12.75" hidden="false" customHeight="true" outlineLevel="0" collapsed="false"/>
    <row r="62159" customFormat="false" ht="12.75" hidden="false" customHeight="true" outlineLevel="0" collapsed="false"/>
    <row r="62160" customFormat="false" ht="12.75" hidden="false" customHeight="true" outlineLevel="0" collapsed="false"/>
    <row r="62161" customFormat="false" ht="12.75" hidden="false" customHeight="true" outlineLevel="0" collapsed="false"/>
    <row r="62162" customFormat="false" ht="12.75" hidden="false" customHeight="true" outlineLevel="0" collapsed="false"/>
    <row r="62163" customFormat="false" ht="12.75" hidden="false" customHeight="true" outlineLevel="0" collapsed="false"/>
    <row r="62164" customFormat="false" ht="12.75" hidden="false" customHeight="true" outlineLevel="0" collapsed="false"/>
    <row r="62165" customFormat="false" ht="12.75" hidden="false" customHeight="true" outlineLevel="0" collapsed="false"/>
    <row r="62166" customFormat="false" ht="12.75" hidden="false" customHeight="true" outlineLevel="0" collapsed="false"/>
    <row r="62167" customFormat="false" ht="12.75" hidden="false" customHeight="true" outlineLevel="0" collapsed="false"/>
    <row r="62168" customFormat="false" ht="12.75" hidden="false" customHeight="true" outlineLevel="0" collapsed="false"/>
    <row r="62169" customFormat="false" ht="12.75" hidden="false" customHeight="true" outlineLevel="0" collapsed="false"/>
    <row r="62170" customFormat="false" ht="12.75" hidden="false" customHeight="true" outlineLevel="0" collapsed="false"/>
    <row r="62171" customFormat="false" ht="12.75" hidden="false" customHeight="true" outlineLevel="0" collapsed="false"/>
    <row r="62172" customFormat="false" ht="12.75" hidden="false" customHeight="true" outlineLevel="0" collapsed="false"/>
    <row r="62173" customFormat="false" ht="12.75" hidden="false" customHeight="true" outlineLevel="0" collapsed="false"/>
    <row r="62174" customFormat="false" ht="12.75" hidden="false" customHeight="true" outlineLevel="0" collapsed="false"/>
    <row r="62175" customFormat="false" ht="12.75" hidden="false" customHeight="true" outlineLevel="0" collapsed="false"/>
    <row r="62176" customFormat="false" ht="12.75" hidden="false" customHeight="true" outlineLevel="0" collapsed="false"/>
    <row r="62177" customFormat="false" ht="12.75" hidden="false" customHeight="true" outlineLevel="0" collapsed="false"/>
    <row r="62178" customFormat="false" ht="12.75" hidden="false" customHeight="true" outlineLevel="0" collapsed="false"/>
    <row r="62179" customFormat="false" ht="12.75" hidden="false" customHeight="true" outlineLevel="0" collapsed="false"/>
    <row r="62180" customFormat="false" ht="12.75" hidden="false" customHeight="true" outlineLevel="0" collapsed="false"/>
    <row r="62181" customFormat="false" ht="12.75" hidden="false" customHeight="true" outlineLevel="0" collapsed="false"/>
    <row r="62182" customFormat="false" ht="12.75" hidden="false" customHeight="true" outlineLevel="0" collapsed="false"/>
    <row r="62183" customFormat="false" ht="12.75" hidden="false" customHeight="true" outlineLevel="0" collapsed="false"/>
    <row r="62184" customFormat="false" ht="12.75" hidden="false" customHeight="true" outlineLevel="0" collapsed="false"/>
    <row r="62185" customFormat="false" ht="12.75" hidden="false" customHeight="true" outlineLevel="0" collapsed="false"/>
    <row r="62186" customFormat="false" ht="12.75" hidden="false" customHeight="true" outlineLevel="0" collapsed="false"/>
    <row r="62187" customFormat="false" ht="12.75" hidden="false" customHeight="true" outlineLevel="0" collapsed="false"/>
    <row r="62188" customFormat="false" ht="12.75" hidden="false" customHeight="true" outlineLevel="0" collapsed="false"/>
    <row r="62189" customFormat="false" ht="12.75" hidden="false" customHeight="true" outlineLevel="0" collapsed="false"/>
    <row r="62190" customFormat="false" ht="12.75" hidden="false" customHeight="true" outlineLevel="0" collapsed="false"/>
    <row r="62191" customFormat="false" ht="12.75" hidden="false" customHeight="true" outlineLevel="0" collapsed="false"/>
    <row r="62192" customFormat="false" ht="12.75" hidden="false" customHeight="true" outlineLevel="0" collapsed="false"/>
    <row r="62193" customFormat="false" ht="12.75" hidden="false" customHeight="true" outlineLevel="0" collapsed="false"/>
    <row r="62194" customFormat="false" ht="12.75" hidden="false" customHeight="true" outlineLevel="0" collapsed="false"/>
    <row r="62195" customFormat="false" ht="12.75" hidden="false" customHeight="true" outlineLevel="0" collapsed="false"/>
    <row r="62196" customFormat="false" ht="12.75" hidden="false" customHeight="true" outlineLevel="0" collapsed="false"/>
    <row r="62197" customFormat="false" ht="12.75" hidden="false" customHeight="true" outlineLevel="0" collapsed="false"/>
    <row r="62198" customFormat="false" ht="12.75" hidden="false" customHeight="true" outlineLevel="0" collapsed="false"/>
    <row r="62199" customFormat="false" ht="12.75" hidden="false" customHeight="true" outlineLevel="0" collapsed="false"/>
    <row r="62200" customFormat="false" ht="12.75" hidden="false" customHeight="true" outlineLevel="0" collapsed="false"/>
    <row r="62201" customFormat="false" ht="12.75" hidden="false" customHeight="true" outlineLevel="0" collapsed="false"/>
    <row r="62202" customFormat="false" ht="12.75" hidden="false" customHeight="true" outlineLevel="0" collapsed="false"/>
    <row r="62203" customFormat="false" ht="12.75" hidden="false" customHeight="true" outlineLevel="0" collapsed="false"/>
    <row r="62204" customFormat="false" ht="12.75" hidden="false" customHeight="true" outlineLevel="0" collapsed="false"/>
    <row r="62205" customFormat="false" ht="12.75" hidden="false" customHeight="true" outlineLevel="0" collapsed="false"/>
    <row r="62206" customFormat="false" ht="12.75" hidden="false" customHeight="true" outlineLevel="0" collapsed="false"/>
    <row r="62207" customFormat="false" ht="12.75" hidden="false" customHeight="true" outlineLevel="0" collapsed="false"/>
    <row r="62208" customFormat="false" ht="12.75" hidden="false" customHeight="true" outlineLevel="0" collapsed="false"/>
    <row r="62209" customFormat="false" ht="12.75" hidden="false" customHeight="true" outlineLevel="0" collapsed="false"/>
    <row r="62210" customFormat="false" ht="12.75" hidden="false" customHeight="true" outlineLevel="0" collapsed="false"/>
    <row r="62211" customFormat="false" ht="12.75" hidden="false" customHeight="true" outlineLevel="0" collapsed="false"/>
    <row r="62212" customFormat="false" ht="12.75" hidden="false" customHeight="true" outlineLevel="0" collapsed="false"/>
    <row r="62213" customFormat="false" ht="12.75" hidden="false" customHeight="true" outlineLevel="0" collapsed="false"/>
    <row r="62214" customFormat="false" ht="12.75" hidden="false" customHeight="true" outlineLevel="0" collapsed="false"/>
    <row r="62215" customFormat="false" ht="12.75" hidden="false" customHeight="true" outlineLevel="0" collapsed="false"/>
    <row r="62216" customFormat="false" ht="12.75" hidden="false" customHeight="true" outlineLevel="0" collapsed="false"/>
    <row r="62217" customFormat="false" ht="12.75" hidden="false" customHeight="true" outlineLevel="0" collapsed="false"/>
    <row r="62218" customFormat="false" ht="12.75" hidden="false" customHeight="true" outlineLevel="0" collapsed="false"/>
    <row r="62219" customFormat="false" ht="12.75" hidden="false" customHeight="true" outlineLevel="0" collapsed="false"/>
    <row r="62220" customFormat="false" ht="12.75" hidden="false" customHeight="true" outlineLevel="0" collapsed="false"/>
    <row r="62221" customFormat="false" ht="12.75" hidden="false" customHeight="true" outlineLevel="0" collapsed="false"/>
    <row r="62222" customFormat="false" ht="12.75" hidden="false" customHeight="true" outlineLevel="0" collapsed="false"/>
    <row r="62223" customFormat="false" ht="12.75" hidden="false" customHeight="true" outlineLevel="0" collapsed="false"/>
    <row r="62224" customFormat="false" ht="12.75" hidden="false" customHeight="true" outlineLevel="0" collapsed="false"/>
    <row r="62225" customFormat="false" ht="12.75" hidden="false" customHeight="true" outlineLevel="0" collapsed="false"/>
    <row r="62226" customFormat="false" ht="12.75" hidden="false" customHeight="true" outlineLevel="0" collapsed="false"/>
    <row r="62227" customFormat="false" ht="12.75" hidden="false" customHeight="true" outlineLevel="0" collapsed="false"/>
    <row r="62228" customFormat="false" ht="12.75" hidden="false" customHeight="true" outlineLevel="0" collapsed="false"/>
    <row r="62229" customFormat="false" ht="12.75" hidden="false" customHeight="true" outlineLevel="0" collapsed="false"/>
    <row r="62230" customFormat="false" ht="12.75" hidden="false" customHeight="true" outlineLevel="0" collapsed="false"/>
    <row r="62231" customFormat="false" ht="12.75" hidden="false" customHeight="true" outlineLevel="0" collapsed="false"/>
    <row r="62232" customFormat="false" ht="12.75" hidden="false" customHeight="true" outlineLevel="0" collapsed="false"/>
    <row r="62233" customFormat="false" ht="12.75" hidden="false" customHeight="true" outlineLevel="0" collapsed="false"/>
    <row r="62234" customFormat="false" ht="12.75" hidden="false" customHeight="true" outlineLevel="0" collapsed="false"/>
    <row r="62235" customFormat="false" ht="12.75" hidden="false" customHeight="true" outlineLevel="0" collapsed="false"/>
    <row r="62236" customFormat="false" ht="12.75" hidden="false" customHeight="true" outlineLevel="0" collapsed="false"/>
    <row r="62237" customFormat="false" ht="12.75" hidden="false" customHeight="true" outlineLevel="0" collapsed="false"/>
    <row r="62238" customFormat="false" ht="12.75" hidden="false" customHeight="true" outlineLevel="0" collapsed="false"/>
    <row r="62239" customFormat="false" ht="12.75" hidden="false" customHeight="true" outlineLevel="0" collapsed="false"/>
    <row r="62240" customFormat="false" ht="12.75" hidden="false" customHeight="true" outlineLevel="0" collapsed="false"/>
    <row r="62241" customFormat="false" ht="12.75" hidden="false" customHeight="true" outlineLevel="0" collapsed="false"/>
    <row r="62242" customFormat="false" ht="12.75" hidden="false" customHeight="true" outlineLevel="0" collapsed="false"/>
    <row r="62243" customFormat="false" ht="12.75" hidden="false" customHeight="true" outlineLevel="0" collapsed="false"/>
    <row r="62244" customFormat="false" ht="12.75" hidden="false" customHeight="true" outlineLevel="0" collapsed="false"/>
    <row r="62245" customFormat="false" ht="12.75" hidden="false" customHeight="true" outlineLevel="0" collapsed="false"/>
    <row r="62246" customFormat="false" ht="12.75" hidden="false" customHeight="true" outlineLevel="0" collapsed="false"/>
    <row r="62247" customFormat="false" ht="12.75" hidden="false" customHeight="true" outlineLevel="0" collapsed="false"/>
    <row r="62248" customFormat="false" ht="12.75" hidden="false" customHeight="true" outlineLevel="0" collapsed="false"/>
    <row r="62249" customFormat="false" ht="12.75" hidden="false" customHeight="true" outlineLevel="0" collapsed="false"/>
    <row r="62250" customFormat="false" ht="12.75" hidden="false" customHeight="true" outlineLevel="0" collapsed="false"/>
    <row r="62251" customFormat="false" ht="12.75" hidden="false" customHeight="true" outlineLevel="0" collapsed="false"/>
    <row r="62252" customFormat="false" ht="12.75" hidden="false" customHeight="true" outlineLevel="0" collapsed="false"/>
    <row r="62253" customFormat="false" ht="12.75" hidden="false" customHeight="true" outlineLevel="0" collapsed="false"/>
    <row r="62254" customFormat="false" ht="12.75" hidden="false" customHeight="true" outlineLevel="0" collapsed="false"/>
    <row r="62255" customFormat="false" ht="12.75" hidden="false" customHeight="true" outlineLevel="0" collapsed="false"/>
    <row r="62256" customFormat="false" ht="12.75" hidden="false" customHeight="true" outlineLevel="0" collapsed="false"/>
    <row r="62257" customFormat="false" ht="12.75" hidden="false" customHeight="true" outlineLevel="0" collapsed="false"/>
    <row r="62258" customFormat="false" ht="12.75" hidden="false" customHeight="true" outlineLevel="0" collapsed="false"/>
    <row r="62259" customFormat="false" ht="12.75" hidden="false" customHeight="true" outlineLevel="0" collapsed="false"/>
    <row r="62260" customFormat="false" ht="12.75" hidden="false" customHeight="true" outlineLevel="0" collapsed="false"/>
    <row r="62261" customFormat="false" ht="12.75" hidden="false" customHeight="true" outlineLevel="0" collapsed="false"/>
    <row r="62262" customFormat="false" ht="12.75" hidden="false" customHeight="true" outlineLevel="0" collapsed="false"/>
    <row r="62263" customFormat="false" ht="12.75" hidden="false" customHeight="true" outlineLevel="0" collapsed="false"/>
    <row r="62264" customFormat="false" ht="12.75" hidden="false" customHeight="true" outlineLevel="0" collapsed="false"/>
    <row r="62265" customFormat="false" ht="12.75" hidden="false" customHeight="true" outlineLevel="0" collapsed="false"/>
    <row r="62266" customFormat="false" ht="12.75" hidden="false" customHeight="true" outlineLevel="0" collapsed="false"/>
    <row r="62267" customFormat="false" ht="12.75" hidden="false" customHeight="true" outlineLevel="0" collapsed="false"/>
    <row r="62268" customFormat="false" ht="12.75" hidden="false" customHeight="true" outlineLevel="0" collapsed="false"/>
    <row r="62269" customFormat="false" ht="12.75" hidden="false" customHeight="true" outlineLevel="0" collapsed="false"/>
    <row r="62270" customFormat="false" ht="12.75" hidden="false" customHeight="true" outlineLevel="0" collapsed="false"/>
    <row r="62271" customFormat="false" ht="12.75" hidden="false" customHeight="true" outlineLevel="0" collapsed="false"/>
    <row r="62272" customFormat="false" ht="12.75" hidden="false" customHeight="true" outlineLevel="0" collapsed="false"/>
    <row r="62273" customFormat="false" ht="12.75" hidden="false" customHeight="true" outlineLevel="0" collapsed="false"/>
    <row r="62274" customFormat="false" ht="12.75" hidden="false" customHeight="true" outlineLevel="0" collapsed="false"/>
    <row r="62275" customFormat="false" ht="12.75" hidden="false" customHeight="true" outlineLevel="0" collapsed="false"/>
    <row r="62276" customFormat="false" ht="12.75" hidden="false" customHeight="true" outlineLevel="0" collapsed="false"/>
    <row r="62277" customFormat="false" ht="12.75" hidden="false" customHeight="true" outlineLevel="0" collapsed="false"/>
    <row r="62278" customFormat="false" ht="12.75" hidden="false" customHeight="true" outlineLevel="0" collapsed="false"/>
    <row r="62279" customFormat="false" ht="12.75" hidden="false" customHeight="true" outlineLevel="0" collapsed="false"/>
    <row r="62280" customFormat="false" ht="12.75" hidden="false" customHeight="true" outlineLevel="0" collapsed="false"/>
    <row r="62281" customFormat="false" ht="12.75" hidden="false" customHeight="true" outlineLevel="0" collapsed="false"/>
    <row r="62282" customFormat="false" ht="12.75" hidden="false" customHeight="true" outlineLevel="0" collapsed="false"/>
    <row r="62283" customFormat="false" ht="12.75" hidden="false" customHeight="true" outlineLevel="0" collapsed="false"/>
    <row r="62284" customFormat="false" ht="12.75" hidden="false" customHeight="true" outlineLevel="0" collapsed="false"/>
    <row r="62285" customFormat="false" ht="12.75" hidden="false" customHeight="true" outlineLevel="0" collapsed="false"/>
    <row r="62286" customFormat="false" ht="12.75" hidden="false" customHeight="true" outlineLevel="0" collapsed="false"/>
    <row r="62287" customFormat="false" ht="12.75" hidden="false" customHeight="true" outlineLevel="0" collapsed="false"/>
    <row r="62288" customFormat="false" ht="12.75" hidden="false" customHeight="true" outlineLevel="0" collapsed="false"/>
    <row r="62289" customFormat="false" ht="12.75" hidden="false" customHeight="true" outlineLevel="0" collapsed="false"/>
    <row r="62290" customFormat="false" ht="12.75" hidden="false" customHeight="true" outlineLevel="0" collapsed="false"/>
    <row r="62291" customFormat="false" ht="12.75" hidden="false" customHeight="true" outlineLevel="0" collapsed="false"/>
    <row r="62292" customFormat="false" ht="12.75" hidden="false" customHeight="true" outlineLevel="0" collapsed="false"/>
    <row r="62293" customFormat="false" ht="12.75" hidden="false" customHeight="true" outlineLevel="0" collapsed="false"/>
    <row r="62294" customFormat="false" ht="12.75" hidden="false" customHeight="true" outlineLevel="0" collapsed="false"/>
    <row r="62295" customFormat="false" ht="12.75" hidden="false" customHeight="true" outlineLevel="0" collapsed="false"/>
    <row r="62296" customFormat="false" ht="12.75" hidden="false" customHeight="true" outlineLevel="0" collapsed="false"/>
    <row r="62297" customFormat="false" ht="12.75" hidden="false" customHeight="true" outlineLevel="0" collapsed="false"/>
    <row r="62298" customFormat="false" ht="12.75" hidden="false" customHeight="true" outlineLevel="0" collapsed="false"/>
    <row r="62299" customFormat="false" ht="12.75" hidden="false" customHeight="true" outlineLevel="0" collapsed="false"/>
    <row r="62300" customFormat="false" ht="12.75" hidden="false" customHeight="true" outlineLevel="0" collapsed="false"/>
    <row r="62301" customFormat="false" ht="12.75" hidden="false" customHeight="true" outlineLevel="0" collapsed="false"/>
    <row r="62302" customFormat="false" ht="12.75" hidden="false" customHeight="true" outlineLevel="0" collapsed="false"/>
    <row r="62303" customFormat="false" ht="12.75" hidden="false" customHeight="true" outlineLevel="0" collapsed="false"/>
    <row r="62304" customFormat="false" ht="12.75" hidden="false" customHeight="true" outlineLevel="0" collapsed="false"/>
    <row r="62305" customFormat="false" ht="12.75" hidden="false" customHeight="true" outlineLevel="0" collapsed="false"/>
    <row r="62306" customFormat="false" ht="12.75" hidden="false" customHeight="true" outlineLevel="0" collapsed="false"/>
    <row r="62307" customFormat="false" ht="12.75" hidden="false" customHeight="true" outlineLevel="0" collapsed="false"/>
    <row r="62308" customFormat="false" ht="12.75" hidden="false" customHeight="true" outlineLevel="0" collapsed="false"/>
    <row r="62309" customFormat="false" ht="12.75" hidden="false" customHeight="true" outlineLevel="0" collapsed="false"/>
    <row r="62310" customFormat="false" ht="12.75" hidden="false" customHeight="true" outlineLevel="0" collapsed="false"/>
    <row r="62311" customFormat="false" ht="12.75" hidden="false" customHeight="true" outlineLevel="0" collapsed="false"/>
    <row r="62312" customFormat="false" ht="12.75" hidden="false" customHeight="true" outlineLevel="0" collapsed="false"/>
    <row r="62313" customFormat="false" ht="12.75" hidden="false" customHeight="true" outlineLevel="0" collapsed="false"/>
    <row r="62314" customFormat="false" ht="12.75" hidden="false" customHeight="true" outlineLevel="0" collapsed="false"/>
    <row r="62315" customFormat="false" ht="12.75" hidden="false" customHeight="true" outlineLevel="0" collapsed="false"/>
    <row r="62316" customFormat="false" ht="12.75" hidden="false" customHeight="true" outlineLevel="0" collapsed="false"/>
    <row r="62317" customFormat="false" ht="12.75" hidden="false" customHeight="true" outlineLevel="0" collapsed="false"/>
    <row r="62318" customFormat="false" ht="12.75" hidden="false" customHeight="true" outlineLevel="0" collapsed="false"/>
    <row r="62319" customFormat="false" ht="12.75" hidden="false" customHeight="true" outlineLevel="0" collapsed="false"/>
    <row r="62320" customFormat="false" ht="12.75" hidden="false" customHeight="true" outlineLevel="0" collapsed="false"/>
    <row r="62321" customFormat="false" ht="12.75" hidden="false" customHeight="true" outlineLevel="0" collapsed="false"/>
    <row r="62322" customFormat="false" ht="12.75" hidden="false" customHeight="true" outlineLevel="0" collapsed="false"/>
    <row r="62323" customFormat="false" ht="12.75" hidden="false" customHeight="true" outlineLevel="0" collapsed="false"/>
    <row r="62324" customFormat="false" ht="12.75" hidden="false" customHeight="true" outlineLevel="0" collapsed="false"/>
    <row r="62325" customFormat="false" ht="12.75" hidden="false" customHeight="true" outlineLevel="0" collapsed="false"/>
    <row r="62326" customFormat="false" ht="12.75" hidden="false" customHeight="true" outlineLevel="0" collapsed="false"/>
    <row r="62327" customFormat="false" ht="12.75" hidden="false" customHeight="true" outlineLevel="0" collapsed="false"/>
    <row r="62328" customFormat="false" ht="12.75" hidden="false" customHeight="true" outlineLevel="0" collapsed="false"/>
    <row r="62329" customFormat="false" ht="12.75" hidden="false" customHeight="true" outlineLevel="0" collapsed="false"/>
    <row r="62330" customFormat="false" ht="12.75" hidden="false" customHeight="true" outlineLevel="0" collapsed="false"/>
    <row r="62331" customFormat="false" ht="12.75" hidden="false" customHeight="true" outlineLevel="0" collapsed="false"/>
    <row r="62332" customFormat="false" ht="12.75" hidden="false" customHeight="true" outlineLevel="0" collapsed="false"/>
    <row r="62333" customFormat="false" ht="12.75" hidden="false" customHeight="true" outlineLevel="0" collapsed="false"/>
    <row r="62334" customFormat="false" ht="12.75" hidden="false" customHeight="true" outlineLevel="0" collapsed="false"/>
    <row r="62335" customFormat="false" ht="12.75" hidden="false" customHeight="true" outlineLevel="0" collapsed="false"/>
    <row r="62336" customFormat="false" ht="12.75" hidden="false" customHeight="true" outlineLevel="0" collapsed="false"/>
    <row r="62337" customFormat="false" ht="12.75" hidden="false" customHeight="true" outlineLevel="0" collapsed="false"/>
    <row r="62338" customFormat="false" ht="12.75" hidden="false" customHeight="true" outlineLevel="0" collapsed="false"/>
    <row r="62339" customFormat="false" ht="12.75" hidden="false" customHeight="true" outlineLevel="0" collapsed="false"/>
    <row r="62340" customFormat="false" ht="12.75" hidden="false" customHeight="true" outlineLevel="0" collapsed="false"/>
    <row r="62341" customFormat="false" ht="12.75" hidden="false" customHeight="true" outlineLevel="0" collapsed="false"/>
    <row r="62342" customFormat="false" ht="12.75" hidden="false" customHeight="true" outlineLevel="0" collapsed="false"/>
    <row r="62343" customFormat="false" ht="12.75" hidden="false" customHeight="true" outlineLevel="0" collapsed="false"/>
    <row r="62344" customFormat="false" ht="12.75" hidden="false" customHeight="true" outlineLevel="0" collapsed="false"/>
    <row r="62345" customFormat="false" ht="12.75" hidden="false" customHeight="true" outlineLevel="0" collapsed="false"/>
    <row r="62346" customFormat="false" ht="12.75" hidden="false" customHeight="true" outlineLevel="0" collapsed="false"/>
    <row r="62347" customFormat="false" ht="12.75" hidden="false" customHeight="true" outlineLevel="0" collapsed="false"/>
    <row r="62348" customFormat="false" ht="12.75" hidden="false" customHeight="true" outlineLevel="0" collapsed="false"/>
    <row r="62349" customFormat="false" ht="12.75" hidden="false" customHeight="true" outlineLevel="0" collapsed="false"/>
    <row r="62350" customFormat="false" ht="12.75" hidden="false" customHeight="true" outlineLevel="0" collapsed="false"/>
    <row r="62351" customFormat="false" ht="12.75" hidden="false" customHeight="true" outlineLevel="0" collapsed="false"/>
    <row r="62352" customFormat="false" ht="12.75" hidden="false" customHeight="true" outlineLevel="0" collapsed="false"/>
    <row r="62353" customFormat="false" ht="12.75" hidden="false" customHeight="true" outlineLevel="0" collapsed="false"/>
    <row r="62354" customFormat="false" ht="12.75" hidden="false" customHeight="true" outlineLevel="0" collapsed="false"/>
    <row r="62355" customFormat="false" ht="12.75" hidden="false" customHeight="true" outlineLevel="0" collapsed="false"/>
    <row r="62356" customFormat="false" ht="12.75" hidden="false" customHeight="true" outlineLevel="0" collapsed="false"/>
    <row r="62357" customFormat="false" ht="12.75" hidden="false" customHeight="true" outlineLevel="0" collapsed="false"/>
    <row r="62358" customFormat="false" ht="12.75" hidden="false" customHeight="true" outlineLevel="0" collapsed="false"/>
    <row r="62359" customFormat="false" ht="12.75" hidden="false" customHeight="true" outlineLevel="0" collapsed="false"/>
    <row r="62360" customFormat="false" ht="12.75" hidden="false" customHeight="true" outlineLevel="0" collapsed="false"/>
    <row r="62361" customFormat="false" ht="12.75" hidden="false" customHeight="true" outlineLevel="0" collapsed="false"/>
    <row r="62362" customFormat="false" ht="12.75" hidden="false" customHeight="true" outlineLevel="0" collapsed="false"/>
    <row r="62363" customFormat="false" ht="12.75" hidden="false" customHeight="true" outlineLevel="0" collapsed="false"/>
    <row r="62364" customFormat="false" ht="12.75" hidden="false" customHeight="true" outlineLevel="0" collapsed="false"/>
    <row r="62365" customFormat="false" ht="12.75" hidden="false" customHeight="true" outlineLevel="0" collapsed="false"/>
    <row r="62366" customFormat="false" ht="12.75" hidden="false" customHeight="true" outlineLevel="0" collapsed="false"/>
    <row r="62367" customFormat="false" ht="12.75" hidden="false" customHeight="true" outlineLevel="0" collapsed="false"/>
    <row r="62368" customFormat="false" ht="12.75" hidden="false" customHeight="true" outlineLevel="0" collapsed="false"/>
    <row r="62369" customFormat="false" ht="12.75" hidden="false" customHeight="true" outlineLevel="0" collapsed="false"/>
    <row r="62370" customFormat="false" ht="12.75" hidden="false" customHeight="true" outlineLevel="0" collapsed="false"/>
    <row r="62371" customFormat="false" ht="12.75" hidden="false" customHeight="true" outlineLevel="0" collapsed="false"/>
    <row r="62372" customFormat="false" ht="12.75" hidden="false" customHeight="true" outlineLevel="0" collapsed="false"/>
    <row r="62373" customFormat="false" ht="12.75" hidden="false" customHeight="true" outlineLevel="0" collapsed="false"/>
    <row r="62374" customFormat="false" ht="12.75" hidden="false" customHeight="true" outlineLevel="0" collapsed="false"/>
    <row r="62375" customFormat="false" ht="12.75" hidden="false" customHeight="true" outlineLevel="0" collapsed="false"/>
    <row r="62376" customFormat="false" ht="12.75" hidden="false" customHeight="true" outlineLevel="0" collapsed="false"/>
    <row r="62377" customFormat="false" ht="12.75" hidden="false" customHeight="true" outlineLevel="0" collapsed="false"/>
    <row r="62378" customFormat="false" ht="12.75" hidden="false" customHeight="true" outlineLevel="0" collapsed="false"/>
    <row r="62379" customFormat="false" ht="12.75" hidden="false" customHeight="true" outlineLevel="0" collapsed="false"/>
    <row r="62380" customFormat="false" ht="12.75" hidden="false" customHeight="true" outlineLevel="0" collapsed="false"/>
    <row r="62381" customFormat="false" ht="12.75" hidden="false" customHeight="true" outlineLevel="0" collapsed="false"/>
    <row r="62382" customFormat="false" ht="12.75" hidden="false" customHeight="true" outlineLevel="0" collapsed="false"/>
    <row r="62383" customFormat="false" ht="12.75" hidden="false" customHeight="true" outlineLevel="0" collapsed="false"/>
    <row r="62384" customFormat="false" ht="12.75" hidden="false" customHeight="true" outlineLevel="0" collapsed="false"/>
    <row r="62385" customFormat="false" ht="12.75" hidden="false" customHeight="true" outlineLevel="0" collapsed="false"/>
    <row r="62386" customFormat="false" ht="12.75" hidden="false" customHeight="true" outlineLevel="0" collapsed="false"/>
    <row r="62387" customFormat="false" ht="12.75" hidden="false" customHeight="true" outlineLevel="0" collapsed="false"/>
    <row r="62388" customFormat="false" ht="12.75" hidden="false" customHeight="true" outlineLevel="0" collapsed="false"/>
    <row r="62389" customFormat="false" ht="12.75" hidden="false" customHeight="true" outlineLevel="0" collapsed="false"/>
    <row r="62390" customFormat="false" ht="12.75" hidden="false" customHeight="true" outlineLevel="0" collapsed="false"/>
    <row r="62391" customFormat="false" ht="12.75" hidden="false" customHeight="true" outlineLevel="0" collapsed="false"/>
    <row r="62392" customFormat="false" ht="12.75" hidden="false" customHeight="true" outlineLevel="0" collapsed="false"/>
    <row r="62393" customFormat="false" ht="12.75" hidden="false" customHeight="true" outlineLevel="0" collapsed="false"/>
    <row r="62394" customFormat="false" ht="12.75" hidden="false" customHeight="true" outlineLevel="0" collapsed="false"/>
    <row r="62395" customFormat="false" ht="12.75" hidden="false" customHeight="true" outlineLevel="0" collapsed="false"/>
    <row r="62396" customFormat="false" ht="12.75" hidden="false" customHeight="true" outlineLevel="0" collapsed="false"/>
    <row r="62397" customFormat="false" ht="12.75" hidden="false" customHeight="true" outlineLevel="0" collapsed="false"/>
    <row r="62398" customFormat="false" ht="12.75" hidden="false" customHeight="true" outlineLevel="0" collapsed="false"/>
    <row r="62399" customFormat="false" ht="12.75" hidden="false" customHeight="true" outlineLevel="0" collapsed="false"/>
    <row r="62400" customFormat="false" ht="12.75" hidden="false" customHeight="true" outlineLevel="0" collapsed="false"/>
    <row r="62401" customFormat="false" ht="12.75" hidden="false" customHeight="true" outlineLevel="0" collapsed="false"/>
    <row r="62402" customFormat="false" ht="12.75" hidden="false" customHeight="true" outlineLevel="0" collapsed="false"/>
    <row r="62403" customFormat="false" ht="12.75" hidden="false" customHeight="true" outlineLevel="0" collapsed="false"/>
    <row r="62404" customFormat="false" ht="12.75" hidden="false" customHeight="true" outlineLevel="0" collapsed="false"/>
    <row r="62405" customFormat="false" ht="12.75" hidden="false" customHeight="true" outlineLevel="0" collapsed="false"/>
    <row r="62406" customFormat="false" ht="12.75" hidden="false" customHeight="true" outlineLevel="0" collapsed="false"/>
    <row r="62407" customFormat="false" ht="12.75" hidden="false" customHeight="true" outlineLevel="0" collapsed="false"/>
    <row r="62408" customFormat="false" ht="12.75" hidden="false" customHeight="true" outlineLevel="0" collapsed="false"/>
    <row r="62409" customFormat="false" ht="12.75" hidden="false" customHeight="true" outlineLevel="0" collapsed="false"/>
    <row r="62410" customFormat="false" ht="12.75" hidden="false" customHeight="true" outlineLevel="0" collapsed="false"/>
    <row r="62411" customFormat="false" ht="12.75" hidden="false" customHeight="true" outlineLevel="0" collapsed="false"/>
    <row r="62412" customFormat="false" ht="12.75" hidden="false" customHeight="true" outlineLevel="0" collapsed="false"/>
    <row r="62413" customFormat="false" ht="12.75" hidden="false" customHeight="true" outlineLevel="0" collapsed="false"/>
    <row r="62414" customFormat="false" ht="12.75" hidden="false" customHeight="true" outlineLevel="0" collapsed="false"/>
    <row r="62415" customFormat="false" ht="12.75" hidden="false" customHeight="true" outlineLevel="0" collapsed="false"/>
    <row r="62416" customFormat="false" ht="12.75" hidden="false" customHeight="true" outlineLevel="0" collapsed="false"/>
    <row r="62417" customFormat="false" ht="12.75" hidden="false" customHeight="true" outlineLevel="0" collapsed="false"/>
    <row r="62418" customFormat="false" ht="12.75" hidden="false" customHeight="true" outlineLevel="0" collapsed="false"/>
    <row r="62419" customFormat="false" ht="12.75" hidden="false" customHeight="true" outlineLevel="0" collapsed="false"/>
    <row r="62420" customFormat="false" ht="12.75" hidden="false" customHeight="true" outlineLevel="0" collapsed="false"/>
    <row r="62421" customFormat="false" ht="12.75" hidden="false" customHeight="true" outlineLevel="0" collapsed="false"/>
    <row r="62422" customFormat="false" ht="12.75" hidden="false" customHeight="true" outlineLevel="0" collapsed="false"/>
    <row r="62423" customFormat="false" ht="12.75" hidden="false" customHeight="true" outlineLevel="0" collapsed="false"/>
    <row r="62424" customFormat="false" ht="12.75" hidden="false" customHeight="true" outlineLevel="0" collapsed="false"/>
    <row r="62425" customFormat="false" ht="12.75" hidden="false" customHeight="true" outlineLevel="0" collapsed="false"/>
    <row r="62426" customFormat="false" ht="12.75" hidden="false" customHeight="true" outlineLevel="0" collapsed="false"/>
    <row r="62427" customFormat="false" ht="12.75" hidden="false" customHeight="true" outlineLevel="0" collapsed="false"/>
    <row r="62428" customFormat="false" ht="12.75" hidden="false" customHeight="true" outlineLevel="0" collapsed="false"/>
    <row r="62429" customFormat="false" ht="12.75" hidden="false" customHeight="true" outlineLevel="0" collapsed="false"/>
    <row r="62430" customFormat="false" ht="12.75" hidden="false" customHeight="true" outlineLevel="0" collapsed="false"/>
    <row r="62431" customFormat="false" ht="12.75" hidden="false" customHeight="true" outlineLevel="0" collapsed="false"/>
    <row r="62432" customFormat="false" ht="12.75" hidden="false" customHeight="true" outlineLevel="0" collapsed="false"/>
    <row r="62433" customFormat="false" ht="12.75" hidden="false" customHeight="true" outlineLevel="0" collapsed="false"/>
    <row r="62434" customFormat="false" ht="12.75" hidden="false" customHeight="true" outlineLevel="0" collapsed="false"/>
    <row r="62435" customFormat="false" ht="12.75" hidden="false" customHeight="true" outlineLevel="0" collapsed="false"/>
    <row r="62436" customFormat="false" ht="12.75" hidden="false" customHeight="true" outlineLevel="0" collapsed="false"/>
    <row r="62437" customFormat="false" ht="12.75" hidden="false" customHeight="true" outlineLevel="0" collapsed="false"/>
    <row r="62438" customFormat="false" ht="12.75" hidden="false" customHeight="true" outlineLevel="0" collapsed="false"/>
    <row r="62439" customFormat="false" ht="12.75" hidden="false" customHeight="true" outlineLevel="0" collapsed="false"/>
    <row r="62440" customFormat="false" ht="12.75" hidden="false" customHeight="true" outlineLevel="0" collapsed="false"/>
    <row r="62441" customFormat="false" ht="12.75" hidden="false" customHeight="true" outlineLevel="0" collapsed="false"/>
    <row r="62442" customFormat="false" ht="12.75" hidden="false" customHeight="true" outlineLevel="0" collapsed="false"/>
    <row r="62443" customFormat="false" ht="12.75" hidden="false" customHeight="true" outlineLevel="0" collapsed="false"/>
    <row r="62444" customFormat="false" ht="12.75" hidden="false" customHeight="true" outlineLevel="0" collapsed="false"/>
    <row r="62445" customFormat="false" ht="12.75" hidden="false" customHeight="true" outlineLevel="0" collapsed="false"/>
    <row r="62446" customFormat="false" ht="12.75" hidden="false" customHeight="true" outlineLevel="0" collapsed="false"/>
    <row r="62447" customFormat="false" ht="12.75" hidden="false" customHeight="true" outlineLevel="0" collapsed="false"/>
    <row r="62448" customFormat="false" ht="12.75" hidden="false" customHeight="true" outlineLevel="0" collapsed="false"/>
    <row r="62449" customFormat="false" ht="12.75" hidden="false" customHeight="true" outlineLevel="0" collapsed="false"/>
    <row r="62450" customFormat="false" ht="12.75" hidden="false" customHeight="true" outlineLevel="0" collapsed="false"/>
    <row r="62451" customFormat="false" ht="12.75" hidden="false" customHeight="true" outlineLevel="0" collapsed="false"/>
    <row r="62452" customFormat="false" ht="12.75" hidden="false" customHeight="true" outlineLevel="0" collapsed="false"/>
    <row r="62453" customFormat="false" ht="12.75" hidden="false" customHeight="true" outlineLevel="0" collapsed="false"/>
    <row r="62454" customFormat="false" ht="12.75" hidden="false" customHeight="true" outlineLevel="0" collapsed="false"/>
    <row r="62455" customFormat="false" ht="12.75" hidden="false" customHeight="true" outlineLevel="0" collapsed="false"/>
    <row r="62456" customFormat="false" ht="12.75" hidden="false" customHeight="true" outlineLevel="0" collapsed="false"/>
    <row r="62457" customFormat="false" ht="12.75" hidden="false" customHeight="true" outlineLevel="0" collapsed="false"/>
    <row r="62458" customFormat="false" ht="12.75" hidden="false" customHeight="true" outlineLevel="0" collapsed="false"/>
    <row r="62459" customFormat="false" ht="12.75" hidden="false" customHeight="true" outlineLevel="0" collapsed="false"/>
    <row r="62460" customFormat="false" ht="12.75" hidden="false" customHeight="true" outlineLevel="0" collapsed="false"/>
    <row r="62461" customFormat="false" ht="12.75" hidden="false" customHeight="true" outlineLevel="0" collapsed="false"/>
    <row r="62462" customFormat="false" ht="12.75" hidden="false" customHeight="true" outlineLevel="0" collapsed="false"/>
    <row r="62463" customFormat="false" ht="12.75" hidden="false" customHeight="true" outlineLevel="0" collapsed="false"/>
    <row r="62464" customFormat="false" ht="12.75" hidden="false" customHeight="true" outlineLevel="0" collapsed="false"/>
    <row r="62465" customFormat="false" ht="12.75" hidden="false" customHeight="true" outlineLevel="0" collapsed="false"/>
    <row r="62466" customFormat="false" ht="12.75" hidden="false" customHeight="true" outlineLevel="0" collapsed="false"/>
    <row r="62467" customFormat="false" ht="12.75" hidden="false" customHeight="true" outlineLevel="0" collapsed="false"/>
    <row r="62468" customFormat="false" ht="12.75" hidden="false" customHeight="true" outlineLevel="0" collapsed="false"/>
    <row r="62469" customFormat="false" ht="12.75" hidden="false" customHeight="true" outlineLevel="0" collapsed="false"/>
    <row r="62470" customFormat="false" ht="12.75" hidden="false" customHeight="true" outlineLevel="0" collapsed="false"/>
    <row r="62471" customFormat="false" ht="12.75" hidden="false" customHeight="true" outlineLevel="0" collapsed="false"/>
    <row r="62472" customFormat="false" ht="12.75" hidden="false" customHeight="true" outlineLevel="0" collapsed="false"/>
    <row r="62473" customFormat="false" ht="12.75" hidden="false" customHeight="true" outlineLevel="0" collapsed="false"/>
    <row r="62474" customFormat="false" ht="12.75" hidden="false" customHeight="true" outlineLevel="0" collapsed="false"/>
    <row r="62475" customFormat="false" ht="12.75" hidden="false" customHeight="true" outlineLevel="0" collapsed="false"/>
    <row r="62476" customFormat="false" ht="12.75" hidden="false" customHeight="true" outlineLevel="0" collapsed="false"/>
    <row r="62477" customFormat="false" ht="12.75" hidden="false" customHeight="true" outlineLevel="0" collapsed="false"/>
    <row r="62478" customFormat="false" ht="12.75" hidden="false" customHeight="true" outlineLevel="0" collapsed="false"/>
    <row r="62479" customFormat="false" ht="12.75" hidden="false" customHeight="true" outlineLevel="0" collapsed="false"/>
    <row r="62480" customFormat="false" ht="12.75" hidden="false" customHeight="true" outlineLevel="0" collapsed="false"/>
    <row r="62481" customFormat="false" ht="12.75" hidden="false" customHeight="true" outlineLevel="0" collapsed="false"/>
    <row r="62482" customFormat="false" ht="12.75" hidden="false" customHeight="true" outlineLevel="0" collapsed="false"/>
    <row r="62483" customFormat="false" ht="12.75" hidden="false" customHeight="true" outlineLevel="0" collapsed="false"/>
    <row r="62484" customFormat="false" ht="12.75" hidden="false" customHeight="true" outlineLevel="0" collapsed="false"/>
    <row r="62485" customFormat="false" ht="12.75" hidden="false" customHeight="true" outlineLevel="0" collapsed="false"/>
    <row r="62486" customFormat="false" ht="12.75" hidden="false" customHeight="true" outlineLevel="0" collapsed="false"/>
    <row r="62487" customFormat="false" ht="12.75" hidden="false" customHeight="true" outlineLevel="0" collapsed="false"/>
    <row r="62488" customFormat="false" ht="12.75" hidden="false" customHeight="true" outlineLevel="0" collapsed="false"/>
    <row r="62489" customFormat="false" ht="12.75" hidden="false" customHeight="true" outlineLevel="0" collapsed="false"/>
    <row r="62490" customFormat="false" ht="12.75" hidden="false" customHeight="true" outlineLevel="0" collapsed="false"/>
    <row r="62491" customFormat="false" ht="12.75" hidden="false" customHeight="true" outlineLevel="0" collapsed="false"/>
    <row r="62492" customFormat="false" ht="12.75" hidden="false" customHeight="true" outlineLevel="0" collapsed="false"/>
    <row r="62493" customFormat="false" ht="12.75" hidden="false" customHeight="true" outlineLevel="0" collapsed="false"/>
    <row r="62494" customFormat="false" ht="12.75" hidden="false" customHeight="true" outlineLevel="0" collapsed="false"/>
    <row r="62495" customFormat="false" ht="12.75" hidden="false" customHeight="true" outlineLevel="0" collapsed="false"/>
    <row r="62496" customFormat="false" ht="12.75" hidden="false" customHeight="true" outlineLevel="0" collapsed="false"/>
    <row r="62497" customFormat="false" ht="12.75" hidden="false" customHeight="true" outlineLevel="0" collapsed="false"/>
    <row r="62498" customFormat="false" ht="12.75" hidden="false" customHeight="true" outlineLevel="0" collapsed="false"/>
    <row r="62499" customFormat="false" ht="12.75" hidden="false" customHeight="true" outlineLevel="0" collapsed="false"/>
    <row r="62500" customFormat="false" ht="12.75" hidden="false" customHeight="true" outlineLevel="0" collapsed="false"/>
    <row r="62501" customFormat="false" ht="12.75" hidden="false" customHeight="true" outlineLevel="0" collapsed="false"/>
    <row r="62502" customFormat="false" ht="12.75" hidden="false" customHeight="true" outlineLevel="0" collapsed="false"/>
    <row r="62503" customFormat="false" ht="12.75" hidden="false" customHeight="true" outlineLevel="0" collapsed="false"/>
    <row r="62504" customFormat="false" ht="12.75" hidden="false" customHeight="true" outlineLevel="0" collapsed="false"/>
    <row r="62505" customFormat="false" ht="12.75" hidden="false" customHeight="true" outlineLevel="0" collapsed="false"/>
    <row r="62506" customFormat="false" ht="12.75" hidden="false" customHeight="true" outlineLevel="0" collapsed="false"/>
    <row r="62507" customFormat="false" ht="12.75" hidden="false" customHeight="true" outlineLevel="0" collapsed="false"/>
    <row r="62508" customFormat="false" ht="12.75" hidden="false" customHeight="true" outlineLevel="0" collapsed="false"/>
    <row r="62509" customFormat="false" ht="12.75" hidden="false" customHeight="true" outlineLevel="0" collapsed="false"/>
    <row r="62510" customFormat="false" ht="12.75" hidden="false" customHeight="true" outlineLevel="0" collapsed="false"/>
    <row r="62511" customFormat="false" ht="12.75" hidden="false" customHeight="true" outlineLevel="0" collapsed="false"/>
    <row r="62512" customFormat="false" ht="12.75" hidden="false" customHeight="true" outlineLevel="0" collapsed="false"/>
    <row r="62513" customFormat="false" ht="12.75" hidden="false" customHeight="true" outlineLevel="0" collapsed="false"/>
    <row r="62514" customFormat="false" ht="12.75" hidden="false" customHeight="true" outlineLevel="0" collapsed="false"/>
    <row r="62515" customFormat="false" ht="12.75" hidden="false" customHeight="true" outlineLevel="0" collapsed="false"/>
    <row r="62516" customFormat="false" ht="12.75" hidden="false" customHeight="true" outlineLevel="0" collapsed="false"/>
    <row r="62517" customFormat="false" ht="12.75" hidden="false" customHeight="true" outlineLevel="0" collapsed="false"/>
    <row r="62518" customFormat="false" ht="12.75" hidden="false" customHeight="true" outlineLevel="0" collapsed="false"/>
    <row r="62519" customFormat="false" ht="12.75" hidden="false" customHeight="true" outlineLevel="0" collapsed="false"/>
    <row r="62520" customFormat="false" ht="12.75" hidden="false" customHeight="true" outlineLevel="0" collapsed="false"/>
    <row r="62521" customFormat="false" ht="12.75" hidden="false" customHeight="true" outlineLevel="0" collapsed="false"/>
    <row r="62522" customFormat="false" ht="12.75" hidden="false" customHeight="true" outlineLevel="0" collapsed="false"/>
    <row r="62523" customFormat="false" ht="12.75" hidden="false" customHeight="true" outlineLevel="0" collapsed="false"/>
    <row r="62524" customFormat="false" ht="12.75" hidden="false" customHeight="true" outlineLevel="0" collapsed="false"/>
    <row r="62525" customFormat="false" ht="12.75" hidden="false" customHeight="true" outlineLevel="0" collapsed="false"/>
    <row r="62526" customFormat="false" ht="12.75" hidden="false" customHeight="true" outlineLevel="0" collapsed="false"/>
    <row r="62527" customFormat="false" ht="12.75" hidden="false" customHeight="true" outlineLevel="0" collapsed="false"/>
    <row r="62528" customFormat="false" ht="12.75" hidden="false" customHeight="true" outlineLevel="0" collapsed="false"/>
    <row r="62529" customFormat="false" ht="12.75" hidden="false" customHeight="true" outlineLevel="0" collapsed="false"/>
    <row r="62530" customFormat="false" ht="12.75" hidden="false" customHeight="true" outlineLevel="0" collapsed="false"/>
    <row r="62531" customFormat="false" ht="12.75" hidden="false" customHeight="true" outlineLevel="0" collapsed="false"/>
    <row r="62532" customFormat="false" ht="12.75" hidden="false" customHeight="true" outlineLevel="0" collapsed="false"/>
    <row r="62533" customFormat="false" ht="12.75" hidden="false" customHeight="true" outlineLevel="0" collapsed="false"/>
    <row r="62534" customFormat="false" ht="12.75" hidden="false" customHeight="true" outlineLevel="0" collapsed="false"/>
    <row r="62535" customFormat="false" ht="12.75" hidden="false" customHeight="true" outlineLevel="0" collapsed="false"/>
    <row r="62536" customFormat="false" ht="12.75" hidden="false" customHeight="true" outlineLevel="0" collapsed="false"/>
    <row r="62537" customFormat="false" ht="12.75" hidden="false" customHeight="true" outlineLevel="0" collapsed="false"/>
    <row r="62538" customFormat="false" ht="12.75" hidden="false" customHeight="true" outlineLevel="0" collapsed="false"/>
    <row r="62539" customFormat="false" ht="12.75" hidden="false" customHeight="true" outlineLevel="0" collapsed="false"/>
    <row r="62540" customFormat="false" ht="12.75" hidden="false" customHeight="true" outlineLevel="0" collapsed="false"/>
    <row r="62541" customFormat="false" ht="12.75" hidden="false" customHeight="true" outlineLevel="0" collapsed="false"/>
    <row r="62542" customFormat="false" ht="12.75" hidden="false" customHeight="true" outlineLevel="0" collapsed="false"/>
    <row r="62543" customFormat="false" ht="12.75" hidden="false" customHeight="true" outlineLevel="0" collapsed="false"/>
    <row r="62544" customFormat="false" ht="12.75" hidden="false" customHeight="true" outlineLevel="0" collapsed="false"/>
    <row r="62545" customFormat="false" ht="12.75" hidden="false" customHeight="true" outlineLevel="0" collapsed="false"/>
    <row r="62546" customFormat="false" ht="12.75" hidden="false" customHeight="true" outlineLevel="0" collapsed="false"/>
    <row r="62547" customFormat="false" ht="12.75" hidden="false" customHeight="true" outlineLevel="0" collapsed="false"/>
    <row r="62548" customFormat="false" ht="12.75" hidden="false" customHeight="true" outlineLevel="0" collapsed="false"/>
    <row r="62549" customFormat="false" ht="12.75" hidden="false" customHeight="true" outlineLevel="0" collapsed="false"/>
    <row r="62550" customFormat="false" ht="12.75" hidden="false" customHeight="true" outlineLevel="0" collapsed="false"/>
    <row r="62551" customFormat="false" ht="12.75" hidden="false" customHeight="true" outlineLevel="0" collapsed="false"/>
    <row r="62552" customFormat="false" ht="12.75" hidden="false" customHeight="true" outlineLevel="0" collapsed="false"/>
    <row r="62553" customFormat="false" ht="12.75" hidden="false" customHeight="true" outlineLevel="0" collapsed="false"/>
    <row r="62554" customFormat="false" ht="12.75" hidden="false" customHeight="true" outlineLevel="0" collapsed="false"/>
    <row r="62555" customFormat="false" ht="12.75" hidden="false" customHeight="true" outlineLevel="0" collapsed="false"/>
    <row r="62556" customFormat="false" ht="12.75" hidden="false" customHeight="true" outlineLevel="0" collapsed="false"/>
    <row r="62557" customFormat="false" ht="12.75" hidden="false" customHeight="true" outlineLevel="0" collapsed="false"/>
    <row r="62558" customFormat="false" ht="12.75" hidden="false" customHeight="true" outlineLevel="0" collapsed="false"/>
    <row r="62559" customFormat="false" ht="12.75" hidden="false" customHeight="true" outlineLevel="0" collapsed="false"/>
    <row r="62560" customFormat="false" ht="12.75" hidden="false" customHeight="true" outlineLevel="0" collapsed="false"/>
    <row r="62561" customFormat="false" ht="12.75" hidden="false" customHeight="true" outlineLevel="0" collapsed="false"/>
    <row r="62562" customFormat="false" ht="12.75" hidden="false" customHeight="true" outlineLevel="0" collapsed="false"/>
    <row r="62563" customFormat="false" ht="12.75" hidden="false" customHeight="true" outlineLevel="0" collapsed="false"/>
    <row r="62564" customFormat="false" ht="12.75" hidden="false" customHeight="true" outlineLevel="0" collapsed="false"/>
    <row r="62565" customFormat="false" ht="12.75" hidden="false" customHeight="true" outlineLevel="0" collapsed="false"/>
    <row r="62566" customFormat="false" ht="12.75" hidden="false" customHeight="true" outlineLevel="0" collapsed="false"/>
    <row r="62567" customFormat="false" ht="12.75" hidden="false" customHeight="true" outlineLevel="0" collapsed="false"/>
    <row r="62568" customFormat="false" ht="12.75" hidden="false" customHeight="true" outlineLevel="0" collapsed="false"/>
    <row r="62569" customFormat="false" ht="12.75" hidden="false" customHeight="true" outlineLevel="0" collapsed="false"/>
    <row r="62570" customFormat="false" ht="12.75" hidden="false" customHeight="true" outlineLevel="0" collapsed="false"/>
    <row r="62571" customFormat="false" ht="12.75" hidden="false" customHeight="true" outlineLevel="0" collapsed="false"/>
    <row r="62572" customFormat="false" ht="12.75" hidden="false" customHeight="true" outlineLevel="0" collapsed="false"/>
    <row r="62573" customFormat="false" ht="12.75" hidden="false" customHeight="true" outlineLevel="0" collapsed="false"/>
    <row r="62574" customFormat="false" ht="12.75" hidden="false" customHeight="true" outlineLevel="0" collapsed="false"/>
    <row r="62575" customFormat="false" ht="12.75" hidden="false" customHeight="true" outlineLevel="0" collapsed="false"/>
    <row r="62576" customFormat="false" ht="12.75" hidden="false" customHeight="true" outlineLevel="0" collapsed="false"/>
    <row r="62577" customFormat="false" ht="12.75" hidden="false" customHeight="true" outlineLevel="0" collapsed="false"/>
    <row r="62578" customFormat="false" ht="12.75" hidden="false" customHeight="true" outlineLevel="0" collapsed="false"/>
    <row r="62579" customFormat="false" ht="12.75" hidden="false" customHeight="true" outlineLevel="0" collapsed="false"/>
    <row r="62580" customFormat="false" ht="12.75" hidden="false" customHeight="true" outlineLevel="0" collapsed="false"/>
    <row r="62581" customFormat="false" ht="12.75" hidden="false" customHeight="true" outlineLevel="0" collapsed="false"/>
    <row r="62582" customFormat="false" ht="12.75" hidden="false" customHeight="true" outlineLevel="0" collapsed="false"/>
    <row r="62583" customFormat="false" ht="12.75" hidden="false" customHeight="true" outlineLevel="0" collapsed="false"/>
    <row r="62584" customFormat="false" ht="12.75" hidden="false" customHeight="true" outlineLevel="0" collapsed="false"/>
    <row r="62585" customFormat="false" ht="12.75" hidden="false" customHeight="true" outlineLevel="0" collapsed="false"/>
    <row r="62586" customFormat="false" ht="12.75" hidden="false" customHeight="true" outlineLevel="0" collapsed="false"/>
    <row r="62587" customFormat="false" ht="12.75" hidden="false" customHeight="true" outlineLevel="0" collapsed="false"/>
    <row r="62588" customFormat="false" ht="12.75" hidden="false" customHeight="true" outlineLevel="0" collapsed="false"/>
    <row r="62589" customFormat="false" ht="12.75" hidden="false" customHeight="true" outlineLevel="0" collapsed="false"/>
    <row r="62590" customFormat="false" ht="12.75" hidden="false" customHeight="true" outlineLevel="0" collapsed="false"/>
    <row r="62591" customFormat="false" ht="12.75" hidden="false" customHeight="true" outlineLevel="0" collapsed="false"/>
    <row r="62592" customFormat="false" ht="12.75" hidden="false" customHeight="true" outlineLevel="0" collapsed="false"/>
    <row r="62593" customFormat="false" ht="12.75" hidden="false" customHeight="true" outlineLevel="0" collapsed="false"/>
    <row r="62594" customFormat="false" ht="12.75" hidden="false" customHeight="true" outlineLevel="0" collapsed="false"/>
    <row r="62595" customFormat="false" ht="12.75" hidden="false" customHeight="true" outlineLevel="0" collapsed="false"/>
    <row r="62596" customFormat="false" ht="12.75" hidden="false" customHeight="true" outlineLevel="0" collapsed="false"/>
    <row r="62597" customFormat="false" ht="12.75" hidden="false" customHeight="true" outlineLevel="0" collapsed="false"/>
    <row r="62598" customFormat="false" ht="12.75" hidden="false" customHeight="true" outlineLevel="0" collapsed="false"/>
    <row r="62599" customFormat="false" ht="12.75" hidden="false" customHeight="true" outlineLevel="0" collapsed="false"/>
    <row r="62600" customFormat="false" ht="12.75" hidden="false" customHeight="true" outlineLevel="0" collapsed="false"/>
    <row r="62601" customFormat="false" ht="12.75" hidden="false" customHeight="true" outlineLevel="0" collapsed="false"/>
    <row r="62602" customFormat="false" ht="12.75" hidden="false" customHeight="true" outlineLevel="0" collapsed="false"/>
    <row r="62603" customFormat="false" ht="12.75" hidden="false" customHeight="true" outlineLevel="0" collapsed="false"/>
    <row r="62604" customFormat="false" ht="12.75" hidden="false" customHeight="true" outlineLevel="0" collapsed="false"/>
    <row r="62605" customFormat="false" ht="12.75" hidden="false" customHeight="true" outlineLevel="0" collapsed="false"/>
    <row r="62606" customFormat="false" ht="12.75" hidden="false" customHeight="true" outlineLevel="0" collapsed="false"/>
    <row r="62607" customFormat="false" ht="12.75" hidden="false" customHeight="true" outlineLevel="0" collapsed="false"/>
    <row r="62608" customFormat="false" ht="12.75" hidden="false" customHeight="true" outlineLevel="0" collapsed="false"/>
    <row r="62609" customFormat="false" ht="12.75" hidden="false" customHeight="true" outlineLevel="0" collapsed="false"/>
    <row r="62610" customFormat="false" ht="12.75" hidden="false" customHeight="true" outlineLevel="0" collapsed="false"/>
    <row r="62611" customFormat="false" ht="12.75" hidden="false" customHeight="true" outlineLevel="0" collapsed="false"/>
    <row r="62612" customFormat="false" ht="12.75" hidden="false" customHeight="true" outlineLevel="0" collapsed="false"/>
    <row r="62613" customFormat="false" ht="12.75" hidden="false" customHeight="true" outlineLevel="0" collapsed="false"/>
    <row r="62614" customFormat="false" ht="12.75" hidden="false" customHeight="true" outlineLevel="0" collapsed="false"/>
    <row r="62615" customFormat="false" ht="12.75" hidden="false" customHeight="true" outlineLevel="0" collapsed="false"/>
    <row r="62616" customFormat="false" ht="12.75" hidden="false" customHeight="true" outlineLevel="0" collapsed="false"/>
    <row r="62617" customFormat="false" ht="12.75" hidden="false" customHeight="true" outlineLevel="0" collapsed="false"/>
    <row r="62618" customFormat="false" ht="12.75" hidden="false" customHeight="true" outlineLevel="0" collapsed="false"/>
    <row r="62619" customFormat="false" ht="12.75" hidden="false" customHeight="true" outlineLevel="0" collapsed="false"/>
    <row r="62620" customFormat="false" ht="12.75" hidden="false" customHeight="true" outlineLevel="0" collapsed="false"/>
    <row r="62621" customFormat="false" ht="12.75" hidden="false" customHeight="true" outlineLevel="0" collapsed="false"/>
    <row r="62622" customFormat="false" ht="12.75" hidden="false" customHeight="true" outlineLevel="0" collapsed="false"/>
    <row r="62623" customFormat="false" ht="12.75" hidden="false" customHeight="true" outlineLevel="0" collapsed="false"/>
    <row r="62624" customFormat="false" ht="12.75" hidden="false" customHeight="true" outlineLevel="0" collapsed="false"/>
    <row r="62625" customFormat="false" ht="12.75" hidden="false" customHeight="true" outlineLevel="0" collapsed="false"/>
    <row r="62626" customFormat="false" ht="12.75" hidden="false" customHeight="true" outlineLevel="0" collapsed="false"/>
    <row r="62627" customFormat="false" ht="12.75" hidden="false" customHeight="true" outlineLevel="0" collapsed="false"/>
    <row r="62628" customFormat="false" ht="12.75" hidden="false" customHeight="true" outlineLevel="0" collapsed="false"/>
    <row r="62629" customFormat="false" ht="12.75" hidden="false" customHeight="true" outlineLevel="0" collapsed="false"/>
    <row r="62630" customFormat="false" ht="12.75" hidden="false" customHeight="true" outlineLevel="0" collapsed="false"/>
    <row r="62631" customFormat="false" ht="12.75" hidden="false" customHeight="true" outlineLevel="0" collapsed="false"/>
    <row r="62632" customFormat="false" ht="12.75" hidden="false" customHeight="true" outlineLevel="0" collapsed="false"/>
    <row r="62633" customFormat="false" ht="12.75" hidden="false" customHeight="true" outlineLevel="0" collapsed="false"/>
    <row r="62634" customFormat="false" ht="12.75" hidden="false" customHeight="true" outlineLevel="0" collapsed="false"/>
    <row r="62635" customFormat="false" ht="12.75" hidden="false" customHeight="true" outlineLevel="0" collapsed="false"/>
    <row r="62636" customFormat="false" ht="12.75" hidden="false" customHeight="true" outlineLevel="0" collapsed="false"/>
    <row r="62637" customFormat="false" ht="12.75" hidden="false" customHeight="true" outlineLevel="0" collapsed="false"/>
    <row r="62638" customFormat="false" ht="12.75" hidden="false" customHeight="true" outlineLevel="0" collapsed="false"/>
    <row r="62639" customFormat="false" ht="12.75" hidden="false" customHeight="true" outlineLevel="0" collapsed="false"/>
    <row r="62640" customFormat="false" ht="12.75" hidden="false" customHeight="true" outlineLevel="0" collapsed="false"/>
    <row r="62641" customFormat="false" ht="12.75" hidden="false" customHeight="true" outlineLevel="0" collapsed="false"/>
    <row r="62642" customFormat="false" ht="12.75" hidden="false" customHeight="true" outlineLevel="0" collapsed="false"/>
    <row r="62643" customFormat="false" ht="12.75" hidden="false" customHeight="true" outlineLevel="0" collapsed="false"/>
    <row r="62644" customFormat="false" ht="12.75" hidden="false" customHeight="true" outlineLevel="0" collapsed="false"/>
    <row r="62645" customFormat="false" ht="12.75" hidden="false" customHeight="true" outlineLevel="0" collapsed="false"/>
    <row r="62646" customFormat="false" ht="12.75" hidden="false" customHeight="true" outlineLevel="0" collapsed="false"/>
    <row r="62647" customFormat="false" ht="12.75" hidden="false" customHeight="true" outlineLevel="0" collapsed="false"/>
    <row r="62648" customFormat="false" ht="12.75" hidden="false" customHeight="true" outlineLevel="0" collapsed="false"/>
    <row r="62649" customFormat="false" ht="12.75" hidden="false" customHeight="true" outlineLevel="0" collapsed="false"/>
    <row r="62650" customFormat="false" ht="12.75" hidden="false" customHeight="true" outlineLevel="0" collapsed="false"/>
    <row r="62651" customFormat="false" ht="12.75" hidden="false" customHeight="true" outlineLevel="0" collapsed="false"/>
    <row r="62652" customFormat="false" ht="12.75" hidden="false" customHeight="true" outlineLevel="0" collapsed="false"/>
    <row r="62653" customFormat="false" ht="12.75" hidden="false" customHeight="true" outlineLevel="0" collapsed="false"/>
    <row r="62654" customFormat="false" ht="12.75" hidden="false" customHeight="true" outlineLevel="0" collapsed="false"/>
    <row r="62655" customFormat="false" ht="12.75" hidden="false" customHeight="true" outlineLevel="0" collapsed="false"/>
    <row r="62656" customFormat="false" ht="12.75" hidden="false" customHeight="true" outlineLevel="0" collapsed="false"/>
    <row r="62657" customFormat="false" ht="12.75" hidden="false" customHeight="true" outlineLevel="0" collapsed="false"/>
    <row r="62658" customFormat="false" ht="12.75" hidden="false" customHeight="true" outlineLevel="0" collapsed="false"/>
    <row r="62659" customFormat="false" ht="12.75" hidden="false" customHeight="true" outlineLevel="0" collapsed="false"/>
    <row r="62660" customFormat="false" ht="12.75" hidden="false" customHeight="true" outlineLevel="0" collapsed="false"/>
    <row r="62661" customFormat="false" ht="12.75" hidden="false" customHeight="true" outlineLevel="0" collapsed="false"/>
    <row r="62662" customFormat="false" ht="12.75" hidden="false" customHeight="true" outlineLevel="0" collapsed="false"/>
    <row r="62663" customFormat="false" ht="12.75" hidden="false" customHeight="true" outlineLevel="0" collapsed="false"/>
    <row r="62664" customFormat="false" ht="12.75" hidden="false" customHeight="true" outlineLevel="0" collapsed="false"/>
    <row r="62665" customFormat="false" ht="12.75" hidden="false" customHeight="true" outlineLevel="0" collapsed="false"/>
    <row r="62666" customFormat="false" ht="12.75" hidden="false" customHeight="true" outlineLevel="0" collapsed="false"/>
    <row r="62667" customFormat="false" ht="12.75" hidden="false" customHeight="true" outlineLevel="0" collapsed="false"/>
    <row r="62668" customFormat="false" ht="12.75" hidden="false" customHeight="true" outlineLevel="0" collapsed="false"/>
    <row r="62669" customFormat="false" ht="12.75" hidden="false" customHeight="true" outlineLevel="0" collapsed="false"/>
    <row r="62670" customFormat="false" ht="12.75" hidden="false" customHeight="true" outlineLevel="0" collapsed="false"/>
    <row r="62671" customFormat="false" ht="12.75" hidden="false" customHeight="true" outlineLevel="0" collapsed="false"/>
    <row r="62672" customFormat="false" ht="12.75" hidden="false" customHeight="true" outlineLevel="0" collapsed="false"/>
    <row r="62673" customFormat="false" ht="12.75" hidden="false" customHeight="true" outlineLevel="0" collapsed="false"/>
    <row r="62674" customFormat="false" ht="12.75" hidden="false" customHeight="true" outlineLevel="0" collapsed="false"/>
    <row r="62675" customFormat="false" ht="12.75" hidden="false" customHeight="true" outlineLevel="0" collapsed="false"/>
    <row r="62676" customFormat="false" ht="12.75" hidden="false" customHeight="true" outlineLevel="0" collapsed="false"/>
    <row r="62677" customFormat="false" ht="12.75" hidden="false" customHeight="true" outlineLevel="0" collapsed="false"/>
    <row r="62678" customFormat="false" ht="12.75" hidden="false" customHeight="true" outlineLevel="0" collapsed="false"/>
    <row r="62679" customFormat="false" ht="12.75" hidden="false" customHeight="true" outlineLevel="0" collapsed="false"/>
    <row r="62680" customFormat="false" ht="12.75" hidden="false" customHeight="true" outlineLevel="0" collapsed="false"/>
    <row r="62681" customFormat="false" ht="12.75" hidden="false" customHeight="true" outlineLevel="0" collapsed="false"/>
    <row r="62682" customFormat="false" ht="12.75" hidden="false" customHeight="true" outlineLevel="0" collapsed="false"/>
    <row r="62683" customFormat="false" ht="12.75" hidden="false" customHeight="true" outlineLevel="0" collapsed="false"/>
    <row r="62684" customFormat="false" ht="12.75" hidden="false" customHeight="true" outlineLevel="0" collapsed="false"/>
    <row r="62685" customFormat="false" ht="12.75" hidden="false" customHeight="true" outlineLevel="0" collapsed="false"/>
    <row r="62686" customFormat="false" ht="12.75" hidden="false" customHeight="true" outlineLevel="0" collapsed="false"/>
    <row r="62687" customFormat="false" ht="12.75" hidden="false" customHeight="true" outlineLevel="0" collapsed="false"/>
    <row r="62688" customFormat="false" ht="12.75" hidden="false" customHeight="true" outlineLevel="0" collapsed="false"/>
    <row r="62689" customFormat="false" ht="12.75" hidden="false" customHeight="true" outlineLevel="0" collapsed="false"/>
    <row r="62690" customFormat="false" ht="12.75" hidden="false" customHeight="true" outlineLevel="0" collapsed="false"/>
    <row r="62691" customFormat="false" ht="12.75" hidden="false" customHeight="true" outlineLevel="0" collapsed="false"/>
    <row r="62692" customFormat="false" ht="12.75" hidden="false" customHeight="true" outlineLevel="0" collapsed="false"/>
    <row r="62693" customFormat="false" ht="12.75" hidden="false" customHeight="true" outlineLevel="0" collapsed="false"/>
    <row r="62694" customFormat="false" ht="12.75" hidden="false" customHeight="true" outlineLevel="0" collapsed="false"/>
    <row r="62695" customFormat="false" ht="12.75" hidden="false" customHeight="true" outlineLevel="0" collapsed="false"/>
    <row r="62696" customFormat="false" ht="12.75" hidden="false" customHeight="true" outlineLevel="0" collapsed="false"/>
    <row r="62697" customFormat="false" ht="12.75" hidden="false" customHeight="true" outlineLevel="0" collapsed="false"/>
    <row r="62698" customFormat="false" ht="12.75" hidden="false" customHeight="true" outlineLevel="0" collapsed="false"/>
    <row r="62699" customFormat="false" ht="12.75" hidden="false" customHeight="true" outlineLevel="0" collapsed="false"/>
    <row r="62700" customFormat="false" ht="12.75" hidden="false" customHeight="true" outlineLevel="0" collapsed="false"/>
    <row r="62701" customFormat="false" ht="12.75" hidden="false" customHeight="true" outlineLevel="0" collapsed="false"/>
    <row r="62702" customFormat="false" ht="12.75" hidden="false" customHeight="true" outlineLevel="0" collapsed="false"/>
    <row r="62703" customFormat="false" ht="12.75" hidden="false" customHeight="true" outlineLevel="0" collapsed="false"/>
    <row r="62704" customFormat="false" ht="12.75" hidden="false" customHeight="true" outlineLevel="0" collapsed="false"/>
    <row r="62705" customFormat="false" ht="12.75" hidden="false" customHeight="true" outlineLevel="0" collapsed="false"/>
    <row r="62706" customFormat="false" ht="12.75" hidden="false" customHeight="true" outlineLevel="0" collapsed="false"/>
    <row r="62707" customFormat="false" ht="12.75" hidden="false" customHeight="true" outlineLevel="0" collapsed="false"/>
    <row r="62708" customFormat="false" ht="12.75" hidden="false" customHeight="true" outlineLevel="0" collapsed="false"/>
    <row r="62709" customFormat="false" ht="12.75" hidden="false" customHeight="true" outlineLevel="0" collapsed="false"/>
    <row r="62710" customFormat="false" ht="12.75" hidden="false" customHeight="true" outlineLevel="0" collapsed="false"/>
    <row r="62711" customFormat="false" ht="12.75" hidden="false" customHeight="true" outlineLevel="0" collapsed="false"/>
    <row r="62712" customFormat="false" ht="12.75" hidden="false" customHeight="true" outlineLevel="0" collapsed="false"/>
    <row r="62713" customFormat="false" ht="12.75" hidden="false" customHeight="true" outlineLevel="0" collapsed="false"/>
    <row r="62714" customFormat="false" ht="12.75" hidden="false" customHeight="true" outlineLevel="0" collapsed="false"/>
    <row r="62715" customFormat="false" ht="12.75" hidden="false" customHeight="true" outlineLevel="0" collapsed="false"/>
    <row r="62716" customFormat="false" ht="12.75" hidden="false" customHeight="true" outlineLevel="0" collapsed="false"/>
    <row r="62717" customFormat="false" ht="12.75" hidden="false" customHeight="true" outlineLevel="0" collapsed="false"/>
    <row r="62718" customFormat="false" ht="12.75" hidden="false" customHeight="true" outlineLevel="0" collapsed="false"/>
    <row r="62719" customFormat="false" ht="12.75" hidden="false" customHeight="true" outlineLevel="0" collapsed="false"/>
    <row r="62720" customFormat="false" ht="12.75" hidden="false" customHeight="true" outlineLevel="0" collapsed="false"/>
    <row r="62721" customFormat="false" ht="12.75" hidden="false" customHeight="true" outlineLevel="0" collapsed="false"/>
    <row r="62722" customFormat="false" ht="12.75" hidden="false" customHeight="true" outlineLevel="0" collapsed="false"/>
    <row r="62723" customFormat="false" ht="12.75" hidden="false" customHeight="true" outlineLevel="0" collapsed="false"/>
    <row r="62724" customFormat="false" ht="12.75" hidden="false" customHeight="true" outlineLevel="0" collapsed="false"/>
    <row r="62725" customFormat="false" ht="12.75" hidden="false" customHeight="true" outlineLevel="0" collapsed="false"/>
    <row r="62726" customFormat="false" ht="12.75" hidden="false" customHeight="true" outlineLevel="0" collapsed="false"/>
    <row r="62727" customFormat="false" ht="12.75" hidden="false" customHeight="true" outlineLevel="0" collapsed="false"/>
    <row r="62728" customFormat="false" ht="12.75" hidden="false" customHeight="true" outlineLevel="0" collapsed="false"/>
    <row r="62729" customFormat="false" ht="12.75" hidden="false" customHeight="true" outlineLevel="0" collapsed="false"/>
    <row r="62730" customFormat="false" ht="12.75" hidden="false" customHeight="true" outlineLevel="0" collapsed="false"/>
    <row r="62731" customFormat="false" ht="12.75" hidden="false" customHeight="true" outlineLevel="0" collapsed="false"/>
    <row r="62732" customFormat="false" ht="12.75" hidden="false" customHeight="true" outlineLevel="0" collapsed="false"/>
    <row r="62733" customFormat="false" ht="12.75" hidden="false" customHeight="true" outlineLevel="0" collapsed="false"/>
    <row r="62734" customFormat="false" ht="12.75" hidden="false" customHeight="true" outlineLevel="0" collapsed="false"/>
    <row r="62735" customFormat="false" ht="12.75" hidden="false" customHeight="true" outlineLevel="0" collapsed="false"/>
    <row r="62736" customFormat="false" ht="12.75" hidden="false" customHeight="true" outlineLevel="0" collapsed="false"/>
    <row r="62737" customFormat="false" ht="12.75" hidden="false" customHeight="true" outlineLevel="0" collapsed="false"/>
    <row r="62738" customFormat="false" ht="12.75" hidden="false" customHeight="true" outlineLevel="0" collapsed="false"/>
    <row r="62739" customFormat="false" ht="12.75" hidden="false" customHeight="true" outlineLevel="0" collapsed="false"/>
    <row r="62740" customFormat="false" ht="12.75" hidden="false" customHeight="true" outlineLevel="0" collapsed="false"/>
    <row r="62741" customFormat="false" ht="12.75" hidden="false" customHeight="true" outlineLevel="0" collapsed="false"/>
    <row r="62742" customFormat="false" ht="12.75" hidden="false" customHeight="true" outlineLevel="0" collapsed="false"/>
    <row r="62743" customFormat="false" ht="12.75" hidden="false" customHeight="true" outlineLevel="0" collapsed="false"/>
    <row r="62744" customFormat="false" ht="12.75" hidden="false" customHeight="true" outlineLevel="0" collapsed="false"/>
    <row r="62745" customFormat="false" ht="12.75" hidden="false" customHeight="true" outlineLevel="0" collapsed="false"/>
    <row r="62746" customFormat="false" ht="12.75" hidden="false" customHeight="true" outlineLevel="0" collapsed="false"/>
    <row r="62747" customFormat="false" ht="12.75" hidden="false" customHeight="true" outlineLevel="0" collapsed="false"/>
    <row r="62748" customFormat="false" ht="12.75" hidden="false" customHeight="true" outlineLevel="0" collapsed="false"/>
    <row r="62749" customFormat="false" ht="12.75" hidden="false" customHeight="true" outlineLevel="0" collapsed="false"/>
    <row r="62750" customFormat="false" ht="12.75" hidden="false" customHeight="true" outlineLevel="0" collapsed="false"/>
    <row r="62751" customFormat="false" ht="12.75" hidden="false" customHeight="true" outlineLevel="0" collapsed="false"/>
    <row r="62752" customFormat="false" ht="12.75" hidden="false" customHeight="true" outlineLevel="0" collapsed="false"/>
    <row r="62753" customFormat="false" ht="12.75" hidden="false" customHeight="true" outlineLevel="0" collapsed="false"/>
    <row r="62754" customFormat="false" ht="12.75" hidden="false" customHeight="true" outlineLevel="0" collapsed="false"/>
    <row r="62755" customFormat="false" ht="12.75" hidden="false" customHeight="true" outlineLevel="0" collapsed="false"/>
    <row r="62756" customFormat="false" ht="12.75" hidden="false" customHeight="true" outlineLevel="0" collapsed="false"/>
    <row r="62757" customFormat="false" ht="12.75" hidden="false" customHeight="true" outlineLevel="0" collapsed="false"/>
    <row r="62758" customFormat="false" ht="12.75" hidden="false" customHeight="true" outlineLevel="0" collapsed="false"/>
    <row r="62759" customFormat="false" ht="12.75" hidden="false" customHeight="true" outlineLevel="0" collapsed="false"/>
    <row r="62760" customFormat="false" ht="12.75" hidden="false" customHeight="true" outlineLevel="0" collapsed="false"/>
    <row r="62761" customFormat="false" ht="12.75" hidden="false" customHeight="true" outlineLevel="0" collapsed="false"/>
    <row r="62762" customFormat="false" ht="12.75" hidden="false" customHeight="true" outlineLevel="0" collapsed="false"/>
    <row r="62763" customFormat="false" ht="12.75" hidden="false" customHeight="true" outlineLevel="0" collapsed="false"/>
    <row r="62764" customFormat="false" ht="12.75" hidden="false" customHeight="true" outlineLevel="0" collapsed="false"/>
    <row r="62765" customFormat="false" ht="12.75" hidden="false" customHeight="true" outlineLevel="0" collapsed="false"/>
    <row r="62766" customFormat="false" ht="12.75" hidden="false" customHeight="true" outlineLevel="0" collapsed="false"/>
    <row r="62767" customFormat="false" ht="12.75" hidden="false" customHeight="true" outlineLevel="0" collapsed="false"/>
    <row r="62768" customFormat="false" ht="12.75" hidden="false" customHeight="true" outlineLevel="0" collapsed="false"/>
    <row r="62769" customFormat="false" ht="12.75" hidden="false" customHeight="true" outlineLevel="0" collapsed="false"/>
    <row r="62770" customFormat="false" ht="12.75" hidden="false" customHeight="true" outlineLevel="0" collapsed="false"/>
    <row r="62771" customFormat="false" ht="12.75" hidden="false" customHeight="true" outlineLevel="0" collapsed="false"/>
    <row r="62772" customFormat="false" ht="12.75" hidden="false" customHeight="true" outlineLevel="0" collapsed="false"/>
    <row r="62773" customFormat="false" ht="12.75" hidden="false" customHeight="true" outlineLevel="0" collapsed="false"/>
    <row r="62774" customFormat="false" ht="12.75" hidden="false" customHeight="true" outlineLevel="0" collapsed="false"/>
    <row r="62775" customFormat="false" ht="12.75" hidden="false" customHeight="true" outlineLevel="0" collapsed="false"/>
    <row r="62776" customFormat="false" ht="12.75" hidden="false" customHeight="true" outlineLevel="0" collapsed="false"/>
    <row r="62777" customFormat="false" ht="12.75" hidden="false" customHeight="true" outlineLevel="0" collapsed="false"/>
    <row r="62778" customFormat="false" ht="12.75" hidden="false" customHeight="true" outlineLevel="0" collapsed="false"/>
    <row r="62779" customFormat="false" ht="12.75" hidden="false" customHeight="true" outlineLevel="0" collapsed="false"/>
    <row r="62780" customFormat="false" ht="12.75" hidden="false" customHeight="true" outlineLevel="0" collapsed="false"/>
    <row r="62781" customFormat="false" ht="12.75" hidden="false" customHeight="true" outlineLevel="0" collapsed="false"/>
    <row r="62782" customFormat="false" ht="12.75" hidden="false" customHeight="true" outlineLevel="0" collapsed="false"/>
    <row r="62783" customFormat="false" ht="12.75" hidden="false" customHeight="true" outlineLevel="0" collapsed="false"/>
    <row r="62784" customFormat="false" ht="12.75" hidden="false" customHeight="true" outlineLevel="0" collapsed="false"/>
    <row r="62785" customFormat="false" ht="12.75" hidden="false" customHeight="true" outlineLevel="0" collapsed="false"/>
    <row r="62786" customFormat="false" ht="12.75" hidden="false" customHeight="true" outlineLevel="0" collapsed="false"/>
    <row r="62787" customFormat="false" ht="12.75" hidden="false" customHeight="true" outlineLevel="0" collapsed="false"/>
    <row r="62788" customFormat="false" ht="12.75" hidden="false" customHeight="true" outlineLevel="0" collapsed="false"/>
    <row r="62789" customFormat="false" ht="12.75" hidden="false" customHeight="true" outlineLevel="0" collapsed="false"/>
    <row r="62790" customFormat="false" ht="12.75" hidden="false" customHeight="true" outlineLevel="0" collapsed="false"/>
    <row r="62791" customFormat="false" ht="12.75" hidden="false" customHeight="true" outlineLevel="0" collapsed="false"/>
    <row r="62792" customFormat="false" ht="12.75" hidden="false" customHeight="true" outlineLevel="0" collapsed="false"/>
    <row r="62793" customFormat="false" ht="12.75" hidden="false" customHeight="true" outlineLevel="0" collapsed="false"/>
    <row r="62794" customFormat="false" ht="12.75" hidden="false" customHeight="true" outlineLevel="0" collapsed="false"/>
    <row r="62795" customFormat="false" ht="12.75" hidden="false" customHeight="true" outlineLevel="0" collapsed="false"/>
    <row r="62796" customFormat="false" ht="12.75" hidden="false" customHeight="true" outlineLevel="0" collapsed="false"/>
    <row r="62797" customFormat="false" ht="12.75" hidden="false" customHeight="true" outlineLevel="0" collapsed="false"/>
    <row r="62798" customFormat="false" ht="12.75" hidden="false" customHeight="true" outlineLevel="0" collapsed="false"/>
    <row r="62799" customFormat="false" ht="12.75" hidden="false" customHeight="true" outlineLevel="0" collapsed="false"/>
    <row r="62800" customFormat="false" ht="12.75" hidden="false" customHeight="true" outlineLevel="0" collapsed="false"/>
    <row r="62801" customFormat="false" ht="12.75" hidden="false" customHeight="true" outlineLevel="0" collapsed="false"/>
    <row r="62802" customFormat="false" ht="12.75" hidden="false" customHeight="true" outlineLevel="0" collapsed="false"/>
    <row r="62803" customFormat="false" ht="12.75" hidden="false" customHeight="true" outlineLevel="0" collapsed="false"/>
    <row r="62804" customFormat="false" ht="12.75" hidden="false" customHeight="true" outlineLevel="0" collapsed="false"/>
    <row r="62805" customFormat="false" ht="12.75" hidden="false" customHeight="true" outlineLevel="0" collapsed="false"/>
    <row r="62806" customFormat="false" ht="12.75" hidden="false" customHeight="true" outlineLevel="0" collapsed="false"/>
    <row r="62807" customFormat="false" ht="12.75" hidden="false" customHeight="true" outlineLevel="0" collapsed="false"/>
    <row r="62808" customFormat="false" ht="12.75" hidden="false" customHeight="true" outlineLevel="0" collapsed="false"/>
    <row r="62809" customFormat="false" ht="12.75" hidden="false" customHeight="true" outlineLevel="0" collapsed="false"/>
    <row r="62810" customFormat="false" ht="12.75" hidden="false" customHeight="true" outlineLevel="0" collapsed="false"/>
    <row r="62811" customFormat="false" ht="12.75" hidden="false" customHeight="true" outlineLevel="0" collapsed="false"/>
    <row r="62812" customFormat="false" ht="12.75" hidden="false" customHeight="true" outlineLevel="0" collapsed="false"/>
    <row r="62813" customFormat="false" ht="12.75" hidden="false" customHeight="true" outlineLevel="0" collapsed="false"/>
    <row r="62814" customFormat="false" ht="12.75" hidden="false" customHeight="true" outlineLevel="0" collapsed="false"/>
    <row r="62815" customFormat="false" ht="12.75" hidden="false" customHeight="true" outlineLevel="0" collapsed="false"/>
    <row r="62816" customFormat="false" ht="12.75" hidden="false" customHeight="true" outlineLevel="0" collapsed="false"/>
    <row r="62817" customFormat="false" ht="12.75" hidden="false" customHeight="true" outlineLevel="0" collapsed="false"/>
    <row r="62818" customFormat="false" ht="12.75" hidden="false" customHeight="true" outlineLevel="0" collapsed="false"/>
    <row r="62819" customFormat="false" ht="12.75" hidden="false" customHeight="true" outlineLevel="0" collapsed="false"/>
    <row r="62820" customFormat="false" ht="12.75" hidden="false" customHeight="true" outlineLevel="0" collapsed="false"/>
    <row r="62821" customFormat="false" ht="12.75" hidden="false" customHeight="true" outlineLevel="0" collapsed="false"/>
    <row r="62822" customFormat="false" ht="12.75" hidden="false" customHeight="true" outlineLevel="0" collapsed="false"/>
    <row r="62823" customFormat="false" ht="12.75" hidden="false" customHeight="true" outlineLevel="0" collapsed="false"/>
    <row r="62824" customFormat="false" ht="12.75" hidden="false" customHeight="true" outlineLevel="0" collapsed="false"/>
    <row r="62825" customFormat="false" ht="12.75" hidden="false" customHeight="true" outlineLevel="0" collapsed="false"/>
    <row r="62826" customFormat="false" ht="12.75" hidden="false" customHeight="true" outlineLevel="0" collapsed="false"/>
    <row r="62827" customFormat="false" ht="12.75" hidden="false" customHeight="true" outlineLevel="0" collapsed="false"/>
    <row r="62828" customFormat="false" ht="12.75" hidden="false" customHeight="true" outlineLevel="0" collapsed="false"/>
    <row r="62829" customFormat="false" ht="12.75" hidden="false" customHeight="true" outlineLevel="0" collapsed="false"/>
    <row r="62830" customFormat="false" ht="12.75" hidden="false" customHeight="true" outlineLevel="0" collapsed="false"/>
    <row r="62831" customFormat="false" ht="12.75" hidden="false" customHeight="true" outlineLevel="0" collapsed="false"/>
    <row r="62832" customFormat="false" ht="12.75" hidden="false" customHeight="true" outlineLevel="0" collapsed="false"/>
    <row r="62833" customFormat="false" ht="12.75" hidden="false" customHeight="true" outlineLevel="0" collapsed="false"/>
    <row r="62834" customFormat="false" ht="12.75" hidden="false" customHeight="true" outlineLevel="0" collapsed="false"/>
    <row r="62835" customFormat="false" ht="12.75" hidden="false" customHeight="true" outlineLevel="0" collapsed="false"/>
    <row r="62836" customFormat="false" ht="12.75" hidden="false" customHeight="true" outlineLevel="0" collapsed="false"/>
    <row r="62837" customFormat="false" ht="12.75" hidden="false" customHeight="true" outlineLevel="0" collapsed="false"/>
    <row r="62838" customFormat="false" ht="12.75" hidden="false" customHeight="true" outlineLevel="0" collapsed="false"/>
    <row r="62839" customFormat="false" ht="12.75" hidden="false" customHeight="true" outlineLevel="0" collapsed="false"/>
    <row r="62840" customFormat="false" ht="12.75" hidden="false" customHeight="true" outlineLevel="0" collapsed="false"/>
    <row r="62841" customFormat="false" ht="12.75" hidden="false" customHeight="true" outlineLevel="0" collapsed="false"/>
    <row r="62842" customFormat="false" ht="12.75" hidden="false" customHeight="true" outlineLevel="0" collapsed="false"/>
    <row r="62843" customFormat="false" ht="12.75" hidden="false" customHeight="true" outlineLevel="0" collapsed="false"/>
    <row r="62844" customFormat="false" ht="12.75" hidden="false" customHeight="true" outlineLevel="0" collapsed="false"/>
    <row r="62845" customFormat="false" ht="12.75" hidden="false" customHeight="true" outlineLevel="0" collapsed="false"/>
    <row r="62846" customFormat="false" ht="12.75" hidden="false" customHeight="true" outlineLevel="0" collapsed="false"/>
    <row r="62847" customFormat="false" ht="12.75" hidden="false" customHeight="true" outlineLevel="0" collapsed="false"/>
    <row r="62848" customFormat="false" ht="12.75" hidden="false" customHeight="true" outlineLevel="0" collapsed="false"/>
    <row r="62849" customFormat="false" ht="12.75" hidden="false" customHeight="true" outlineLevel="0" collapsed="false"/>
    <row r="62850" customFormat="false" ht="12.75" hidden="false" customHeight="true" outlineLevel="0" collapsed="false"/>
    <row r="62851" customFormat="false" ht="12.75" hidden="false" customHeight="true" outlineLevel="0" collapsed="false"/>
    <row r="62852" customFormat="false" ht="12.75" hidden="false" customHeight="true" outlineLevel="0" collapsed="false"/>
    <row r="62853" customFormat="false" ht="12.75" hidden="false" customHeight="true" outlineLevel="0" collapsed="false"/>
    <row r="62854" customFormat="false" ht="12.75" hidden="false" customHeight="true" outlineLevel="0" collapsed="false"/>
    <row r="62855" customFormat="false" ht="12.75" hidden="false" customHeight="true" outlineLevel="0" collapsed="false"/>
    <row r="62856" customFormat="false" ht="12.75" hidden="false" customHeight="true" outlineLevel="0" collapsed="false"/>
    <row r="62857" customFormat="false" ht="12.75" hidden="false" customHeight="true" outlineLevel="0" collapsed="false"/>
    <row r="62858" customFormat="false" ht="12.75" hidden="false" customHeight="true" outlineLevel="0" collapsed="false"/>
    <row r="62859" customFormat="false" ht="12.75" hidden="false" customHeight="true" outlineLevel="0" collapsed="false"/>
    <row r="62860" customFormat="false" ht="12.75" hidden="false" customHeight="true" outlineLevel="0" collapsed="false"/>
    <row r="62861" customFormat="false" ht="12.75" hidden="false" customHeight="true" outlineLevel="0" collapsed="false"/>
    <row r="62862" customFormat="false" ht="12.75" hidden="false" customHeight="true" outlineLevel="0" collapsed="false"/>
    <row r="62863" customFormat="false" ht="12.75" hidden="false" customHeight="true" outlineLevel="0" collapsed="false"/>
    <row r="62864" customFormat="false" ht="12.75" hidden="false" customHeight="true" outlineLevel="0" collapsed="false"/>
    <row r="62865" customFormat="false" ht="12.75" hidden="false" customHeight="true" outlineLevel="0" collapsed="false"/>
    <row r="62866" customFormat="false" ht="12.75" hidden="false" customHeight="true" outlineLevel="0" collapsed="false"/>
    <row r="62867" customFormat="false" ht="12.75" hidden="false" customHeight="true" outlineLevel="0" collapsed="false"/>
    <row r="62868" customFormat="false" ht="12.75" hidden="false" customHeight="true" outlineLevel="0" collapsed="false"/>
    <row r="62869" customFormat="false" ht="12.75" hidden="false" customHeight="true" outlineLevel="0" collapsed="false"/>
    <row r="62870" customFormat="false" ht="12.75" hidden="false" customHeight="true" outlineLevel="0" collapsed="false"/>
    <row r="62871" customFormat="false" ht="12.75" hidden="false" customHeight="true" outlineLevel="0" collapsed="false"/>
    <row r="62872" customFormat="false" ht="12.75" hidden="false" customHeight="true" outlineLevel="0" collapsed="false"/>
    <row r="62873" customFormat="false" ht="12.75" hidden="false" customHeight="true" outlineLevel="0" collapsed="false"/>
    <row r="62874" customFormat="false" ht="12.75" hidden="false" customHeight="true" outlineLevel="0" collapsed="false"/>
    <row r="62875" customFormat="false" ht="12.75" hidden="false" customHeight="true" outlineLevel="0" collapsed="false"/>
    <row r="62876" customFormat="false" ht="12.75" hidden="false" customHeight="true" outlineLevel="0" collapsed="false"/>
    <row r="62877" customFormat="false" ht="12.75" hidden="false" customHeight="true" outlineLevel="0" collapsed="false"/>
    <row r="62878" customFormat="false" ht="12.75" hidden="false" customHeight="true" outlineLevel="0" collapsed="false"/>
    <row r="62879" customFormat="false" ht="12.75" hidden="false" customHeight="true" outlineLevel="0" collapsed="false"/>
    <row r="62880" customFormat="false" ht="12.75" hidden="false" customHeight="true" outlineLevel="0" collapsed="false"/>
    <row r="62881" customFormat="false" ht="12.75" hidden="false" customHeight="true" outlineLevel="0" collapsed="false"/>
    <row r="62882" customFormat="false" ht="12.75" hidden="false" customHeight="true" outlineLevel="0" collapsed="false"/>
    <row r="62883" customFormat="false" ht="12.75" hidden="false" customHeight="true" outlineLevel="0" collapsed="false"/>
    <row r="62884" customFormat="false" ht="12.75" hidden="false" customHeight="true" outlineLevel="0" collapsed="false"/>
    <row r="62885" customFormat="false" ht="12.75" hidden="false" customHeight="true" outlineLevel="0" collapsed="false"/>
    <row r="62886" customFormat="false" ht="12.75" hidden="false" customHeight="true" outlineLevel="0" collapsed="false"/>
    <row r="62887" customFormat="false" ht="12.75" hidden="false" customHeight="true" outlineLevel="0" collapsed="false"/>
    <row r="62888" customFormat="false" ht="12.75" hidden="false" customHeight="true" outlineLevel="0" collapsed="false"/>
    <row r="62889" customFormat="false" ht="12.75" hidden="false" customHeight="true" outlineLevel="0" collapsed="false"/>
    <row r="62890" customFormat="false" ht="12.75" hidden="false" customHeight="true" outlineLevel="0" collapsed="false"/>
    <row r="62891" customFormat="false" ht="12.75" hidden="false" customHeight="true" outlineLevel="0" collapsed="false"/>
    <row r="62892" customFormat="false" ht="12.75" hidden="false" customHeight="true" outlineLevel="0" collapsed="false"/>
    <row r="62893" customFormat="false" ht="12.75" hidden="false" customHeight="true" outlineLevel="0" collapsed="false"/>
    <row r="62894" customFormat="false" ht="12.75" hidden="false" customHeight="true" outlineLevel="0" collapsed="false"/>
    <row r="62895" customFormat="false" ht="12.75" hidden="false" customHeight="true" outlineLevel="0" collapsed="false"/>
    <row r="62896" customFormat="false" ht="12.75" hidden="false" customHeight="true" outlineLevel="0" collapsed="false"/>
    <row r="62897" customFormat="false" ht="12.75" hidden="false" customHeight="true" outlineLevel="0" collapsed="false"/>
    <row r="62898" customFormat="false" ht="12.75" hidden="false" customHeight="true" outlineLevel="0" collapsed="false"/>
    <row r="62899" customFormat="false" ht="12.75" hidden="false" customHeight="true" outlineLevel="0" collapsed="false"/>
    <row r="62900" customFormat="false" ht="12.75" hidden="false" customHeight="true" outlineLevel="0" collapsed="false"/>
    <row r="62901" customFormat="false" ht="12.75" hidden="false" customHeight="true" outlineLevel="0" collapsed="false"/>
    <row r="62902" customFormat="false" ht="12.75" hidden="false" customHeight="true" outlineLevel="0" collapsed="false"/>
    <row r="62903" customFormat="false" ht="12.75" hidden="false" customHeight="true" outlineLevel="0" collapsed="false"/>
    <row r="62904" customFormat="false" ht="12.75" hidden="false" customHeight="true" outlineLevel="0" collapsed="false"/>
    <row r="62905" customFormat="false" ht="12.75" hidden="false" customHeight="true" outlineLevel="0" collapsed="false"/>
    <row r="62906" customFormat="false" ht="12.75" hidden="false" customHeight="true" outlineLevel="0" collapsed="false"/>
    <row r="62907" customFormat="false" ht="12.75" hidden="false" customHeight="true" outlineLevel="0" collapsed="false"/>
    <row r="62908" customFormat="false" ht="12.75" hidden="false" customHeight="true" outlineLevel="0" collapsed="false"/>
    <row r="62909" customFormat="false" ht="12.75" hidden="false" customHeight="true" outlineLevel="0" collapsed="false"/>
    <row r="62910" customFormat="false" ht="12.75" hidden="false" customHeight="true" outlineLevel="0" collapsed="false"/>
    <row r="62911" customFormat="false" ht="12.75" hidden="false" customHeight="true" outlineLevel="0" collapsed="false"/>
    <row r="62912" customFormat="false" ht="12.75" hidden="false" customHeight="true" outlineLevel="0" collapsed="false"/>
    <row r="62913" customFormat="false" ht="12.75" hidden="false" customHeight="true" outlineLevel="0" collapsed="false"/>
    <row r="62914" customFormat="false" ht="12.75" hidden="false" customHeight="true" outlineLevel="0" collapsed="false"/>
    <row r="62915" customFormat="false" ht="12.75" hidden="false" customHeight="true" outlineLevel="0" collapsed="false"/>
    <row r="62916" customFormat="false" ht="12.75" hidden="false" customHeight="true" outlineLevel="0" collapsed="false"/>
    <row r="62917" customFormat="false" ht="12.75" hidden="false" customHeight="true" outlineLevel="0" collapsed="false"/>
    <row r="62918" customFormat="false" ht="12.75" hidden="false" customHeight="true" outlineLevel="0" collapsed="false"/>
    <row r="62919" customFormat="false" ht="12.75" hidden="false" customHeight="true" outlineLevel="0" collapsed="false"/>
    <row r="62920" customFormat="false" ht="12.75" hidden="false" customHeight="true" outlineLevel="0" collapsed="false"/>
    <row r="62921" customFormat="false" ht="12.75" hidden="false" customHeight="true" outlineLevel="0" collapsed="false"/>
    <row r="62922" customFormat="false" ht="12.75" hidden="false" customHeight="true" outlineLevel="0" collapsed="false"/>
    <row r="62923" customFormat="false" ht="12.75" hidden="false" customHeight="true" outlineLevel="0" collapsed="false"/>
    <row r="62924" customFormat="false" ht="12.75" hidden="false" customHeight="true" outlineLevel="0" collapsed="false"/>
    <row r="62925" customFormat="false" ht="12.75" hidden="false" customHeight="true" outlineLevel="0" collapsed="false"/>
    <row r="62926" customFormat="false" ht="12.75" hidden="false" customHeight="true" outlineLevel="0" collapsed="false"/>
    <row r="62927" customFormat="false" ht="12.75" hidden="false" customHeight="true" outlineLevel="0" collapsed="false"/>
    <row r="62928" customFormat="false" ht="12.75" hidden="false" customHeight="true" outlineLevel="0" collapsed="false"/>
    <row r="62929" customFormat="false" ht="12.75" hidden="false" customHeight="true" outlineLevel="0" collapsed="false"/>
    <row r="62930" customFormat="false" ht="12.75" hidden="false" customHeight="true" outlineLevel="0" collapsed="false"/>
    <row r="62931" customFormat="false" ht="12.75" hidden="false" customHeight="true" outlineLevel="0" collapsed="false"/>
    <row r="62932" customFormat="false" ht="12.75" hidden="false" customHeight="true" outlineLevel="0" collapsed="false"/>
    <row r="62933" customFormat="false" ht="12.75" hidden="false" customHeight="true" outlineLevel="0" collapsed="false"/>
    <row r="62934" customFormat="false" ht="12.75" hidden="false" customHeight="true" outlineLevel="0" collapsed="false"/>
    <row r="62935" customFormat="false" ht="12.75" hidden="false" customHeight="true" outlineLevel="0" collapsed="false"/>
    <row r="62936" customFormat="false" ht="12.75" hidden="false" customHeight="true" outlineLevel="0" collapsed="false"/>
    <row r="62937" customFormat="false" ht="12.75" hidden="false" customHeight="true" outlineLevel="0" collapsed="false"/>
    <row r="62938" customFormat="false" ht="12.75" hidden="false" customHeight="true" outlineLevel="0" collapsed="false"/>
    <row r="62939" customFormat="false" ht="12.75" hidden="false" customHeight="true" outlineLevel="0" collapsed="false"/>
    <row r="62940" customFormat="false" ht="12.75" hidden="false" customHeight="true" outlineLevel="0" collapsed="false"/>
    <row r="62941" customFormat="false" ht="12.75" hidden="false" customHeight="true" outlineLevel="0" collapsed="false"/>
    <row r="62942" customFormat="false" ht="12.75" hidden="false" customHeight="true" outlineLevel="0" collapsed="false"/>
    <row r="62943" customFormat="false" ht="12.75" hidden="false" customHeight="true" outlineLevel="0" collapsed="false"/>
    <row r="62944" customFormat="false" ht="12.75" hidden="false" customHeight="true" outlineLevel="0" collapsed="false"/>
    <row r="62945" customFormat="false" ht="12.75" hidden="false" customHeight="true" outlineLevel="0" collapsed="false"/>
    <row r="62946" customFormat="false" ht="12.75" hidden="false" customHeight="true" outlineLevel="0" collapsed="false"/>
    <row r="62947" customFormat="false" ht="12.75" hidden="false" customHeight="true" outlineLevel="0" collapsed="false"/>
    <row r="62948" customFormat="false" ht="12.75" hidden="false" customHeight="true" outlineLevel="0" collapsed="false"/>
    <row r="62949" customFormat="false" ht="12.75" hidden="false" customHeight="true" outlineLevel="0" collapsed="false"/>
    <row r="62950" customFormat="false" ht="12.75" hidden="false" customHeight="true" outlineLevel="0" collapsed="false"/>
    <row r="62951" customFormat="false" ht="12.75" hidden="false" customHeight="true" outlineLevel="0" collapsed="false"/>
    <row r="62952" customFormat="false" ht="12.75" hidden="false" customHeight="true" outlineLevel="0" collapsed="false"/>
    <row r="62953" customFormat="false" ht="12.75" hidden="false" customHeight="true" outlineLevel="0" collapsed="false"/>
    <row r="62954" customFormat="false" ht="12.75" hidden="false" customHeight="true" outlineLevel="0" collapsed="false"/>
    <row r="62955" customFormat="false" ht="12.75" hidden="false" customHeight="true" outlineLevel="0" collapsed="false"/>
    <row r="62956" customFormat="false" ht="12.75" hidden="false" customHeight="true" outlineLevel="0" collapsed="false"/>
    <row r="62957" customFormat="false" ht="12.75" hidden="false" customHeight="true" outlineLevel="0" collapsed="false"/>
    <row r="62958" customFormat="false" ht="12.75" hidden="false" customHeight="true" outlineLevel="0" collapsed="false"/>
    <row r="62959" customFormat="false" ht="12.75" hidden="false" customHeight="true" outlineLevel="0" collapsed="false"/>
    <row r="62960" customFormat="false" ht="12.75" hidden="false" customHeight="true" outlineLevel="0" collapsed="false"/>
    <row r="62961" customFormat="false" ht="12.75" hidden="false" customHeight="true" outlineLevel="0" collapsed="false"/>
    <row r="62962" customFormat="false" ht="12.75" hidden="false" customHeight="true" outlineLevel="0" collapsed="false"/>
    <row r="62963" customFormat="false" ht="12.75" hidden="false" customHeight="true" outlineLevel="0" collapsed="false"/>
    <row r="62964" customFormat="false" ht="12.75" hidden="false" customHeight="true" outlineLevel="0" collapsed="false"/>
    <row r="62965" customFormat="false" ht="12.75" hidden="false" customHeight="true" outlineLevel="0" collapsed="false"/>
    <row r="62966" customFormat="false" ht="12.75" hidden="false" customHeight="true" outlineLevel="0" collapsed="false"/>
    <row r="62967" customFormat="false" ht="12.75" hidden="false" customHeight="true" outlineLevel="0" collapsed="false"/>
    <row r="62968" customFormat="false" ht="12.75" hidden="false" customHeight="true" outlineLevel="0" collapsed="false"/>
    <row r="62969" customFormat="false" ht="12.75" hidden="false" customHeight="true" outlineLevel="0" collapsed="false"/>
    <row r="62970" customFormat="false" ht="12.75" hidden="false" customHeight="true" outlineLevel="0" collapsed="false"/>
    <row r="62971" customFormat="false" ht="12.75" hidden="false" customHeight="true" outlineLevel="0" collapsed="false"/>
    <row r="62972" customFormat="false" ht="12.75" hidden="false" customHeight="true" outlineLevel="0" collapsed="false"/>
    <row r="62973" customFormat="false" ht="12.75" hidden="false" customHeight="true" outlineLevel="0" collapsed="false"/>
    <row r="62974" customFormat="false" ht="12.75" hidden="false" customHeight="true" outlineLevel="0" collapsed="false"/>
    <row r="62975" customFormat="false" ht="12.75" hidden="false" customHeight="true" outlineLevel="0" collapsed="false"/>
    <row r="62976" customFormat="false" ht="12.75" hidden="false" customHeight="true" outlineLevel="0" collapsed="false"/>
    <row r="62977" customFormat="false" ht="12.75" hidden="false" customHeight="true" outlineLevel="0" collapsed="false"/>
    <row r="62978" customFormat="false" ht="12.75" hidden="false" customHeight="true" outlineLevel="0" collapsed="false"/>
    <row r="62979" customFormat="false" ht="12.75" hidden="false" customHeight="true" outlineLevel="0" collapsed="false"/>
    <row r="62980" customFormat="false" ht="12.75" hidden="false" customHeight="true" outlineLevel="0" collapsed="false"/>
    <row r="62981" customFormat="false" ht="12.75" hidden="false" customHeight="true" outlineLevel="0" collapsed="false"/>
    <row r="62982" customFormat="false" ht="12.75" hidden="false" customHeight="true" outlineLevel="0" collapsed="false"/>
    <row r="62983" customFormat="false" ht="12.75" hidden="false" customHeight="true" outlineLevel="0" collapsed="false"/>
    <row r="62984" customFormat="false" ht="12.75" hidden="false" customHeight="true" outlineLevel="0" collapsed="false"/>
    <row r="62985" customFormat="false" ht="12.75" hidden="false" customHeight="true" outlineLevel="0" collapsed="false"/>
    <row r="62986" customFormat="false" ht="12.75" hidden="false" customHeight="true" outlineLevel="0" collapsed="false"/>
    <row r="62987" customFormat="false" ht="12.75" hidden="false" customHeight="true" outlineLevel="0" collapsed="false"/>
    <row r="62988" customFormat="false" ht="12.75" hidden="false" customHeight="true" outlineLevel="0" collapsed="false"/>
    <row r="62989" customFormat="false" ht="12.75" hidden="false" customHeight="true" outlineLevel="0" collapsed="false"/>
    <row r="62990" customFormat="false" ht="12.75" hidden="false" customHeight="true" outlineLevel="0" collapsed="false"/>
    <row r="62991" customFormat="false" ht="12.75" hidden="false" customHeight="true" outlineLevel="0" collapsed="false"/>
    <row r="62992" customFormat="false" ht="12.75" hidden="false" customHeight="true" outlineLevel="0" collapsed="false"/>
    <row r="62993" customFormat="false" ht="12.75" hidden="false" customHeight="true" outlineLevel="0" collapsed="false"/>
    <row r="62994" customFormat="false" ht="12.75" hidden="false" customHeight="true" outlineLevel="0" collapsed="false"/>
    <row r="62995" customFormat="false" ht="12.75" hidden="false" customHeight="true" outlineLevel="0" collapsed="false"/>
    <row r="62996" customFormat="false" ht="12.75" hidden="false" customHeight="true" outlineLevel="0" collapsed="false"/>
    <row r="62997" customFormat="false" ht="12.75" hidden="false" customHeight="true" outlineLevel="0" collapsed="false"/>
    <row r="62998" customFormat="false" ht="12.75" hidden="false" customHeight="true" outlineLevel="0" collapsed="false"/>
    <row r="62999" customFormat="false" ht="12.75" hidden="false" customHeight="true" outlineLevel="0" collapsed="false"/>
    <row r="63000" customFormat="false" ht="12.75" hidden="false" customHeight="true" outlineLevel="0" collapsed="false"/>
    <row r="63001" customFormat="false" ht="12.75" hidden="false" customHeight="true" outlineLevel="0" collapsed="false"/>
    <row r="63002" customFormat="false" ht="12.75" hidden="false" customHeight="true" outlineLevel="0" collapsed="false"/>
    <row r="63003" customFormat="false" ht="12.75" hidden="false" customHeight="true" outlineLevel="0" collapsed="false"/>
    <row r="63004" customFormat="false" ht="12.75" hidden="false" customHeight="true" outlineLevel="0" collapsed="false"/>
    <row r="63005" customFormat="false" ht="12.75" hidden="false" customHeight="true" outlineLevel="0" collapsed="false"/>
    <row r="63006" customFormat="false" ht="12.75" hidden="false" customHeight="true" outlineLevel="0" collapsed="false"/>
    <row r="63007" customFormat="false" ht="12.75" hidden="false" customHeight="true" outlineLevel="0" collapsed="false"/>
    <row r="63008" customFormat="false" ht="12.75" hidden="false" customHeight="true" outlineLevel="0" collapsed="false"/>
    <row r="63009" customFormat="false" ht="12.75" hidden="false" customHeight="true" outlineLevel="0" collapsed="false"/>
    <row r="63010" customFormat="false" ht="12.75" hidden="false" customHeight="true" outlineLevel="0" collapsed="false"/>
    <row r="63011" customFormat="false" ht="12.75" hidden="false" customHeight="true" outlineLevel="0" collapsed="false"/>
    <row r="63012" customFormat="false" ht="12.75" hidden="false" customHeight="true" outlineLevel="0" collapsed="false"/>
    <row r="63013" customFormat="false" ht="12.75" hidden="false" customHeight="true" outlineLevel="0" collapsed="false"/>
    <row r="63014" customFormat="false" ht="12.75" hidden="false" customHeight="true" outlineLevel="0" collapsed="false"/>
    <row r="63015" customFormat="false" ht="12.75" hidden="false" customHeight="true" outlineLevel="0" collapsed="false"/>
    <row r="63016" customFormat="false" ht="12.75" hidden="false" customHeight="true" outlineLevel="0" collapsed="false"/>
    <row r="63017" customFormat="false" ht="12.75" hidden="false" customHeight="true" outlineLevel="0" collapsed="false"/>
    <row r="63018" customFormat="false" ht="12.75" hidden="false" customHeight="true" outlineLevel="0" collapsed="false"/>
    <row r="63019" customFormat="false" ht="12.75" hidden="false" customHeight="true" outlineLevel="0" collapsed="false"/>
    <row r="63020" customFormat="false" ht="12.75" hidden="false" customHeight="true" outlineLevel="0" collapsed="false"/>
    <row r="63021" customFormat="false" ht="12.75" hidden="false" customHeight="true" outlineLevel="0" collapsed="false"/>
    <row r="63022" customFormat="false" ht="12.75" hidden="false" customHeight="true" outlineLevel="0" collapsed="false"/>
    <row r="63023" customFormat="false" ht="12.75" hidden="false" customHeight="true" outlineLevel="0" collapsed="false"/>
    <row r="63024" customFormat="false" ht="12.75" hidden="false" customHeight="true" outlineLevel="0" collapsed="false"/>
    <row r="63025" customFormat="false" ht="12.75" hidden="false" customHeight="true" outlineLevel="0" collapsed="false"/>
    <row r="63026" customFormat="false" ht="12.75" hidden="false" customHeight="true" outlineLevel="0" collapsed="false"/>
    <row r="63027" customFormat="false" ht="12.75" hidden="false" customHeight="true" outlineLevel="0" collapsed="false"/>
    <row r="63028" customFormat="false" ht="12.75" hidden="false" customHeight="true" outlineLevel="0" collapsed="false"/>
    <row r="63029" customFormat="false" ht="12.75" hidden="false" customHeight="true" outlineLevel="0" collapsed="false"/>
    <row r="63030" customFormat="false" ht="12.75" hidden="false" customHeight="true" outlineLevel="0" collapsed="false"/>
    <row r="63031" customFormat="false" ht="12.75" hidden="false" customHeight="true" outlineLevel="0" collapsed="false"/>
    <row r="63032" customFormat="false" ht="12.75" hidden="false" customHeight="true" outlineLevel="0" collapsed="false"/>
    <row r="63033" customFormat="false" ht="12.75" hidden="false" customHeight="true" outlineLevel="0" collapsed="false"/>
    <row r="63034" customFormat="false" ht="12.75" hidden="false" customHeight="true" outlineLevel="0" collapsed="false"/>
    <row r="63035" customFormat="false" ht="12.75" hidden="false" customHeight="true" outlineLevel="0" collapsed="false"/>
    <row r="63036" customFormat="false" ht="12.75" hidden="false" customHeight="true" outlineLevel="0" collapsed="false"/>
    <row r="63037" customFormat="false" ht="12.75" hidden="false" customHeight="true" outlineLevel="0" collapsed="false"/>
    <row r="63038" customFormat="false" ht="12.75" hidden="false" customHeight="true" outlineLevel="0" collapsed="false"/>
    <row r="63039" customFormat="false" ht="12.75" hidden="false" customHeight="true" outlineLevel="0" collapsed="false"/>
    <row r="63040" customFormat="false" ht="12.75" hidden="false" customHeight="true" outlineLevel="0" collapsed="false"/>
    <row r="63041" customFormat="false" ht="12.75" hidden="false" customHeight="true" outlineLevel="0" collapsed="false"/>
    <row r="63042" customFormat="false" ht="12.75" hidden="false" customHeight="true" outlineLevel="0" collapsed="false"/>
    <row r="63043" customFormat="false" ht="12.75" hidden="false" customHeight="true" outlineLevel="0" collapsed="false"/>
    <row r="63044" customFormat="false" ht="12.75" hidden="false" customHeight="true" outlineLevel="0" collapsed="false"/>
    <row r="63045" customFormat="false" ht="12.75" hidden="false" customHeight="true" outlineLevel="0" collapsed="false"/>
    <row r="63046" customFormat="false" ht="12.75" hidden="false" customHeight="true" outlineLevel="0" collapsed="false"/>
    <row r="63047" customFormat="false" ht="12.75" hidden="false" customHeight="true" outlineLevel="0" collapsed="false"/>
    <row r="63048" customFormat="false" ht="12.75" hidden="false" customHeight="true" outlineLevel="0" collapsed="false"/>
    <row r="63049" customFormat="false" ht="12.75" hidden="false" customHeight="true" outlineLevel="0" collapsed="false"/>
    <row r="63050" customFormat="false" ht="12.75" hidden="false" customHeight="true" outlineLevel="0" collapsed="false"/>
    <row r="63051" customFormat="false" ht="12.75" hidden="false" customHeight="true" outlineLevel="0" collapsed="false"/>
    <row r="63052" customFormat="false" ht="12.75" hidden="false" customHeight="true" outlineLevel="0" collapsed="false"/>
    <row r="63053" customFormat="false" ht="12.75" hidden="false" customHeight="true" outlineLevel="0" collapsed="false"/>
    <row r="63054" customFormat="false" ht="12.75" hidden="false" customHeight="true" outlineLevel="0" collapsed="false"/>
    <row r="63055" customFormat="false" ht="12.75" hidden="false" customHeight="true" outlineLevel="0" collapsed="false"/>
    <row r="63056" customFormat="false" ht="12.75" hidden="false" customHeight="true" outlineLevel="0" collapsed="false"/>
    <row r="63057" customFormat="false" ht="12.75" hidden="false" customHeight="true" outlineLevel="0" collapsed="false"/>
    <row r="63058" customFormat="false" ht="12.75" hidden="false" customHeight="true" outlineLevel="0" collapsed="false"/>
    <row r="63059" customFormat="false" ht="12.75" hidden="false" customHeight="true" outlineLevel="0" collapsed="false"/>
    <row r="63060" customFormat="false" ht="12.75" hidden="false" customHeight="true" outlineLevel="0" collapsed="false"/>
    <row r="63061" customFormat="false" ht="12.75" hidden="false" customHeight="true" outlineLevel="0" collapsed="false"/>
    <row r="63062" customFormat="false" ht="12.75" hidden="false" customHeight="true" outlineLevel="0" collapsed="false"/>
    <row r="63063" customFormat="false" ht="12.75" hidden="false" customHeight="true" outlineLevel="0" collapsed="false"/>
    <row r="63064" customFormat="false" ht="12.75" hidden="false" customHeight="true" outlineLevel="0" collapsed="false"/>
    <row r="63065" customFormat="false" ht="12.75" hidden="false" customHeight="true" outlineLevel="0" collapsed="false"/>
    <row r="63066" customFormat="false" ht="12.75" hidden="false" customHeight="true" outlineLevel="0" collapsed="false"/>
    <row r="63067" customFormat="false" ht="12.75" hidden="false" customHeight="true" outlineLevel="0" collapsed="false"/>
    <row r="63068" customFormat="false" ht="12.75" hidden="false" customHeight="true" outlineLevel="0" collapsed="false"/>
    <row r="63069" customFormat="false" ht="12.75" hidden="false" customHeight="true" outlineLevel="0" collapsed="false"/>
    <row r="63070" customFormat="false" ht="12.75" hidden="false" customHeight="true" outlineLevel="0" collapsed="false"/>
    <row r="63071" customFormat="false" ht="12.75" hidden="false" customHeight="true" outlineLevel="0" collapsed="false"/>
    <row r="63072" customFormat="false" ht="12.75" hidden="false" customHeight="true" outlineLevel="0" collapsed="false"/>
    <row r="63073" customFormat="false" ht="12.75" hidden="false" customHeight="true" outlineLevel="0" collapsed="false"/>
    <row r="63074" customFormat="false" ht="12.75" hidden="false" customHeight="true" outlineLevel="0" collapsed="false"/>
    <row r="63075" customFormat="false" ht="12.75" hidden="false" customHeight="true" outlineLevel="0" collapsed="false"/>
    <row r="63076" customFormat="false" ht="12.75" hidden="false" customHeight="true" outlineLevel="0" collapsed="false"/>
    <row r="63077" customFormat="false" ht="12.75" hidden="false" customHeight="true" outlineLevel="0" collapsed="false"/>
    <row r="63078" customFormat="false" ht="12.75" hidden="false" customHeight="true" outlineLevel="0" collapsed="false"/>
    <row r="63079" customFormat="false" ht="12.75" hidden="false" customHeight="true" outlineLevel="0" collapsed="false"/>
    <row r="63080" customFormat="false" ht="12.75" hidden="false" customHeight="true" outlineLevel="0" collapsed="false"/>
    <row r="63081" customFormat="false" ht="12.75" hidden="false" customHeight="true" outlineLevel="0" collapsed="false"/>
    <row r="63082" customFormat="false" ht="12.75" hidden="false" customHeight="true" outlineLevel="0" collapsed="false"/>
    <row r="63083" customFormat="false" ht="12.75" hidden="false" customHeight="true" outlineLevel="0" collapsed="false"/>
    <row r="63084" customFormat="false" ht="12.75" hidden="false" customHeight="true" outlineLevel="0" collapsed="false"/>
    <row r="63085" customFormat="false" ht="12.75" hidden="false" customHeight="true" outlineLevel="0" collapsed="false"/>
    <row r="63086" customFormat="false" ht="12.75" hidden="false" customHeight="true" outlineLevel="0" collapsed="false"/>
    <row r="63087" customFormat="false" ht="12.75" hidden="false" customHeight="true" outlineLevel="0" collapsed="false"/>
    <row r="63088" customFormat="false" ht="12.75" hidden="false" customHeight="true" outlineLevel="0" collapsed="false"/>
    <row r="63089" customFormat="false" ht="12.75" hidden="false" customHeight="true" outlineLevel="0" collapsed="false"/>
    <row r="63090" customFormat="false" ht="12.75" hidden="false" customHeight="true" outlineLevel="0" collapsed="false"/>
    <row r="63091" customFormat="false" ht="12.75" hidden="false" customHeight="true" outlineLevel="0" collapsed="false"/>
    <row r="63092" customFormat="false" ht="12.75" hidden="false" customHeight="true" outlineLevel="0" collapsed="false"/>
    <row r="63093" customFormat="false" ht="12.75" hidden="false" customHeight="true" outlineLevel="0" collapsed="false"/>
    <row r="63094" customFormat="false" ht="12.75" hidden="false" customHeight="true" outlineLevel="0" collapsed="false"/>
    <row r="63095" customFormat="false" ht="12.75" hidden="false" customHeight="true" outlineLevel="0" collapsed="false"/>
    <row r="63096" customFormat="false" ht="12.75" hidden="false" customHeight="true" outlineLevel="0" collapsed="false"/>
    <row r="63097" customFormat="false" ht="12.75" hidden="false" customHeight="true" outlineLevel="0" collapsed="false"/>
    <row r="63098" customFormat="false" ht="12.75" hidden="false" customHeight="true" outlineLevel="0" collapsed="false"/>
    <row r="63099" customFormat="false" ht="12.75" hidden="false" customHeight="true" outlineLevel="0" collapsed="false"/>
    <row r="63100" customFormat="false" ht="12.75" hidden="false" customHeight="true" outlineLevel="0" collapsed="false"/>
    <row r="63101" customFormat="false" ht="12.75" hidden="false" customHeight="true" outlineLevel="0" collapsed="false"/>
    <row r="63102" customFormat="false" ht="12.75" hidden="false" customHeight="true" outlineLevel="0" collapsed="false"/>
    <row r="63103" customFormat="false" ht="12.75" hidden="false" customHeight="true" outlineLevel="0" collapsed="false"/>
    <row r="63104" customFormat="false" ht="12.75" hidden="false" customHeight="true" outlineLevel="0" collapsed="false"/>
    <row r="63105" customFormat="false" ht="12.75" hidden="false" customHeight="true" outlineLevel="0" collapsed="false"/>
    <row r="63106" customFormat="false" ht="12.75" hidden="false" customHeight="true" outlineLevel="0" collapsed="false"/>
    <row r="63107" customFormat="false" ht="12.75" hidden="false" customHeight="true" outlineLevel="0" collapsed="false"/>
    <row r="63108" customFormat="false" ht="12.75" hidden="false" customHeight="true" outlineLevel="0" collapsed="false"/>
    <row r="63109" customFormat="false" ht="12.75" hidden="false" customHeight="true" outlineLevel="0" collapsed="false"/>
    <row r="63110" customFormat="false" ht="12.75" hidden="false" customHeight="true" outlineLevel="0" collapsed="false"/>
    <row r="63111" customFormat="false" ht="12.75" hidden="false" customHeight="true" outlineLevel="0" collapsed="false"/>
    <row r="63112" customFormat="false" ht="12.75" hidden="false" customHeight="true" outlineLevel="0" collapsed="false"/>
    <row r="63113" customFormat="false" ht="12.75" hidden="false" customHeight="true" outlineLevel="0" collapsed="false"/>
    <row r="63114" customFormat="false" ht="12.75" hidden="false" customHeight="true" outlineLevel="0" collapsed="false"/>
    <row r="63115" customFormat="false" ht="12.75" hidden="false" customHeight="true" outlineLevel="0" collapsed="false"/>
    <row r="63116" customFormat="false" ht="12.75" hidden="false" customHeight="true" outlineLevel="0" collapsed="false"/>
    <row r="63117" customFormat="false" ht="12.75" hidden="false" customHeight="true" outlineLevel="0" collapsed="false"/>
    <row r="63118" customFormat="false" ht="12.75" hidden="false" customHeight="true" outlineLevel="0" collapsed="false"/>
    <row r="63119" customFormat="false" ht="12.75" hidden="false" customHeight="true" outlineLevel="0" collapsed="false"/>
    <row r="63120" customFormat="false" ht="12.75" hidden="false" customHeight="true" outlineLevel="0" collapsed="false"/>
    <row r="63121" customFormat="false" ht="12.75" hidden="false" customHeight="true" outlineLevel="0" collapsed="false"/>
    <row r="63122" customFormat="false" ht="12.75" hidden="false" customHeight="true" outlineLevel="0" collapsed="false"/>
    <row r="63123" customFormat="false" ht="12.75" hidden="false" customHeight="true" outlineLevel="0" collapsed="false"/>
    <row r="63124" customFormat="false" ht="12.75" hidden="false" customHeight="true" outlineLevel="0" collapsed="false"/>
    <row r="63125" customFormat="false" ht="12.75" hidden="false" customHeight="true" outlineLevel="0" collapsed="false"/>
    <row r="63126" customFormat="false" ht="12.75" hidden="false" customHeight="true" outlineLevel="0" collapsed="false"/>
    <row r="63127" customFormat="false" ht="12.75" hidden="false" customHeight="true" outlineLevel="0" collapsed="false"/>
    <row r="63128" customFormat="false" ht="12.75" hidden="false" customHeight="true" outlineLevel="0" collapsed="false"/>
    <row r="63129" customFormat="false" ht="12.75" hidden="false" customHeight="true" outlineLevel="0" collapsed="false"/>
    <row r="63130" customFormat="false" ht="12.75" hidden="false" customHeight="true" outlineLevel="0" collapsed="false"/>
    <row r="63131" customFormat="false" ht="12.75" hidden="false" customHeight="true" outlineLevel="0" collapsed="false"/>
    <row r="63132" customFormat="false" ht="12.75" hidden="false" customHeight="true" outlineLevel="0" collapsed="false"/>
    <row r="63133" customFormat="false" ht="12.75" hidden="false" customHeight="true" outlineLevel="0" collapsed="false"/>
    <row r="63134" customFormat="false" ht="12.75" hidden="false" customHeight="true" outlineLevel="0" collapsed="false"/>
    <row r="63135" customFormat="false" ht="12.75" hidden="false" customHeight="true" outlineLevel="0" collapsed="false"/>
    <row r="63136" customFormat="false" ht="12.75" hidden="false" customHeight="true" outlineLevel="0" collapsed="false"/>
    <row r="63137" customFormat="false" ht="12.75" hidden="false" customHeight="true" outlineLevel="0" collapsed="false"/>
    <row r="63138" customFormat="false" ht="12.75" hidden="false" customHeight="true" outlineLevel="0" collapsed="false"/>
    <row r="63139" customFormat="false" ht="12.75" hidden="false" customHeight="true" outlineLevel="0" collapsed="false"/>
    <row r="63140" customFormat="false" ht="12.75" hidden="false" customHeight="true" outlineLevel="0" collapsed="false"/>
    <row r="63141" customFormat="false" ht="12.75" hidden="false" customHeight="true" outlineLevel="0" collapsed="false"/>
    <row r="63142" customFormat="false" ht="12.75" hidden="false" customHeight="true" outlineLevel="0" collapsed="false"/>
    <row r="63143" customFormat="false" ht="12.75" hidden="false" customHeight="true" outlineLevel="0" collapsed="false"/>
    <row r="63144" customFormat="false" ht="12.75" hidden="false" customHeight="true" outlineLevel="0" collapsed="false"/>
    <row r="63145" customFormat="false" ht="12.75" hidden="false" customHeight="true" outlineLevel="0" collapsed="false"/>
    <row r="63146" customFormat="false" ht="12.75" hidden="false" customHeight="true" outlineLevel="0" collapsed="false"/>
    <row r="63147" customFormat="false" ht="12.75" hidden="false" customHeight="true" outlineLevel="0" collapsed="false"/>
    <row r="63148" customFormat="false" ht="12.75" hidden="false" customHeight="true" outlineLevel="0" collapsed="false"/>
    <row r="63149" customFormat="false" ht="12.75" hidden="false" customHeight="true" outlineLevel="0" collapsed="false"/>
    <row r="63150" customFormat="false" ht="12.75" hidden="false" customHeight="true" outlineLevel="0" collapsed="false"/>
    <row r="63151" customFormat="false" ht="12.75" hidden="false" customHeight="true" outlineLevel="0" collapsed="false"/>
    <row r="63152" customFormat="false" ht="12.75" hidden="false" customHeight="true" outlineLevel="0" collapsed="false"/>
    <row r="63153" customFormat="false" ht="12.75" hidden="false" customHeight="true" outlineLevel="0" collapsed="false"/>
    <row r="63154" customFormat="false" ht="12.75" hidden="false" customHeight="true" outlineLevel="0" collapsed="false"/>
    <row r="63155" customFormat="false" ht="12.75" hidden="false" customHeight="true" outlineLevel="0" collapsed="false"/>
    <row r="63156" customFormat="false" ht="12.75" hidden="false" customHeight="true" outlineLevel="0" collapsed="false"/>
    <row r="63157" customFormat="false" ht="12.75" hidden="false" customHeight="true" outlineLevel="0" collapsed="false"/>
    <row r="63158" customFormat="false" ht="12.75" hidden="false" customHeight="true" outlineLevel="0" collapsed="false"/>
    <row r="63159" customFormat="false" ht="12.75" hidden="false" customHeight="true" outlineLevel="0" collapsed="false"/>
    <row r="63160" customFormat="false" ht="12.75" hidden="false" customHeight="true" outlineLevel="0" collapsed="false"/>
    <row r="63161" customFormat="false" ht="12.75" hidden="false" customHeight="true" outlineLevel="0" collapsed="false"/>
    <row r="63162" customFormat="false" ht="12.75" hidden="false" customHeight="true" outlineLevel="0" collapsed="false"/>
    <row r="63163" customFormat="false" ht="12.75" hidden="false" customHeight="true" outlineLevel="0" collapsed="false"/>
    <row r="63164" customFormat="false" ht="12.75" hidden="false" customHeight="true" outlineLevel="0" collapsed="false"/>
    <row r="63165" customFormat="false" ht="12.75" hidden="false" customHeight="true" outlineLevel="0" collapsed="false"/>
    <row r="63166" customFormat="false" ht="12.75" hidden="false" customHeight="true" outlineLevel="0" collapsed="false"/>
    <row r="63167" customFormat="false" ht="12.75" hidden="false" customHeight="true" outlineLevel="0" collapsed="false"/>
    <row r="63168" customFormat="false" ht="12.75" hidden="false" customHeight="true" outlineLevel="0" collapsed="false"/>
    <row r="63169" customFormat="false" ht="12.75" hidden="false" customHeight="true" outlineLevel="0" collapsed="false"/>
    <row r="63170" customFormat="false" ht="12.75" hidden="false" customHeight="true" outlineLevel="0" collapsed="false"/>
    <row r="63171" customFormat="false" ht="12.75" hidden="false" customHeight="true" outlineLevel="0" collapsed="false"/>
    <row r="63172" customFormat="false" ht="12.75" hidden="false" customHeight="true" outlineLevel="0" collapsed="false"/>
    <row r="63173" customFormat="false" ht="12.75" hidden="false" customHeight="true" outlineLevel="0" collapsed="false"/>
    <row r="63174" customFormat="false" ht="12.75" hidden="false" customHeight="true" outlineLevel="0" collapsed="false"/>
    <row r="63175" customFormat="false" ht="12.75" hidden="false" customHeight="true" outlineLevel="0" collapsed="false"/>
    <row r="63176" customFormat="false" ht="12.75" hidden="false" customHeight="true" outlineLevel="0" collapsed="false"/>
    <row r="63177" customFormat="false" ht="12.75" hidden="false" customHeight="true" outlineLevel="0" collapsed="false"/>
    <row r="63178" customFormat="false" ht="12.75" hidden="false" customHeight="true" outlineLevel="0" collapsed="false"/>
    <row r="63179" customFormat="false" ht="12.75" hidden="false" customHeight="true" outlineLevel="0" collapsed="false"/>
    <row r="63180" customFormat="false" ht="12.75" hidden="false" customHeight="true" outlineLevel="0" collapsed="false"/>
    <row r="63181" customFormat="false" ht="12.75" hidden="false" customHeight="true" outlineLevel="0" collapsed="false"/>
    <row r="63182" customFormat="false" ht="12.75" hidden="false" customHeight="true" outlineLevel="0" collapsed="false"/>
    <row r="63183" customFormat="false" ht="12.75" hidden="false" customHeight="true" outlineLevel="0" collapsed="false"/>
    <row r="63184" customFormat="false" ht="12.75" hidden="false" customHeight="true" outlineLevel="0" collapsed="false"/>
    <row r="63185" customFormat="false" ht="12.75" hidden="false" customHeight="true" outlineLevel="0" collapsed="false"/>
    <row r="63186" customFormat="false" ht="12.75" hidden="false" customHeight="true" outlineLevel="0" collapsed="false"/>
    <row r="63187" customFormat="false" ht="12.75" hidden="false" customHeight="true" outlineLevel="0" collapsed="false"/>
    <row r="63188" customFormat="false" ht="12.75" hidden="false" customHeight="true" outlineLevel="0" collapsed="false"/>
    <row r="63189" customFormat="false" ht="12.75" hidden="false" customHeight="true" outlineLevel="0" collapsed="false"/>
    <row r="63190" customFormat="false" ht="12.75" hidden="false" customHeight="true" outlineLevel="0" collapsed="false"/>
    <row r="63191" customFormat="false" ht="12.75" hidden="false" customHeight="true" outlineLevel="0" collapsed="false"/>
    <row r="63192" customFormat="false" ht="12.75" hidden="false" customHeight="true" outlineLevel="0" collapsed="false"/>
    <row r="63193" customFormat="false" ht="12.75" hidden="false" customHeight="true" outlineLevel="0" collapsed="false"/>
    <row r="63194" customFormat="false" ht="12.75" hidden="false" customHeight="true" outlineLevel="0" collapsed="false"/>
    <row r="63195" customFormat="false" ht="12.75" hidden="false" customHeight="true" outlineLevel="0" collapsed="false"/>
    <row r="63196" customFormat="false" ht="12.75" hidden="false" customHeight="true" outlineLevel="0" collapsed="false"/>
    <row r="63197" customFormat="false" ht="12.75" hidden="false" customHeight="true" outlineLevel="0" collapsed="false"/>
    <row r="63198" customFormat="false" ht="12.75" hidden="false" customHeight="true" outlineLevel="0" collapsed="false"/>
    <row r="63199" customFormat="false" ht="12.75" hidden="false" customHeight="true" outlineLevel="0" collapsed="false"/>
    <row r="63200" customFormat="false" ht="12.75" hidden="false" customHeight="true" outlineLevel="0" collapsed="false"/>
    <row r="63201" customFormat="false" ht="12.75" hidden="false" customHeight="true" outlineLevel="0" collapsed="false"/>
    <row r="63202" customFormat="false" ht="12.75" hidden="false" customHeight="true" outlineLevel="0" collapsed="false"/>
    <row r="63203" customFormat="false" ht="12.75" hidden="false" customHeight="true" outlineLevel="0" collapsed="false"/>
    <row r="63204" customFormat="false" ht="12.75" hidden="false" customHeight="true" outlineLevel="0" collapsed="false"/>
    <row r="63205" customFormat="false" ht="12.75" hidden="false" customHeight="true" outlineLevel="0" collapsed="false"/>
    <row r="63206" customFormat="false" ht="12.75" hidden="false" customHeight="true" outlineLevel="0" collapsed="false"/>
    <row r="63207" customFormat="false" ht="12.75" hidden="false" customHeight="true" outlineLevel="0" collapsed="false"/>
    <row r="63208" customFormat="false" ht="12.75" hidden="false" customHeight="true" outlineLevel="0" collapsed="false"/>
    <row r="63209" customFormat="false" ht="12.75" hidden="false" customHeight="true" outlineLevel="0" collapsed="false"/>
    <row r="63210" customFormat="false" ht="12.75" hidden="false" customHeight="true" outlineLevel="0" collapsed="false"/>
    <row r="63211" customFormat="false" ht="12.75" hidden="false" customHeight="true" outlineLevel="0" collapsed="false"/>
    <row r="63212" customFormat="false" ht="12.75" hidden="false" customHeight="true" outlineLevel="0" collapsed="false"/>
    <row r="63213" customFormat="false" ht="12.75" hidden="false" customHeight="true" outlineLevel="0" collapsed="false"/>
    <row r="63214" customFormat="false" ht="12.75" hidden="false" customHeight="true" outlineLevel="0" collapsed="false"/>
    <row r="63215" customFormat="false" ht="12.75" hidden="false" customHeight="true" outlineLevel="0" collapsed="false"/>
    <row r="63216" customFormat="false" ht="12.75" hidden="false" customHeight="true" outlineLevel="0" collapsed="false"/>
    <row r="63217" customFormat="false" ht="12.75" hidden="false" customHeight="true" outlineLevel="0" collapsed="false"/>
    <row r="63218" customFormat="false" ht="12.75" hidden="false" customHeight="true" outlineLevel="0" collapsed="false"/>
    <row r="63219" customFormat="false" ht="12.75" hidden="false" customHeight="true" outlineLevel="0" collapsed="false"/>
    <row r="63220" customFormat="false" ht="12.75" hidden="false" customHeight="true" outlineLevel="0" collapsed="false"/>
    <row r="63221" customFormat="false" ht="12.75" hidden="false" customHeight="true" outlineLevel="0" collapsed="false"/>
    <row r="63222" customFormat="false" ht="12.75" hidden="false" customHeight="true" outlineLevel="0" collapsed="false"/>
    <row r="63223" customFormat="false" ht="12.75" hidden="false" customHeight="true" outlineLevel="0" collapsed="false"/>
    <row r="63224" customFormat="false" ht="12.75" hidden="false" customHeight="true" outlineLevel="0" collapsed="false"/>
    <row r="63225" customFormat="false" ht="12.75" hidden="false" customHeight="true" outlineLevel="0" collapsed="false"/>
    <row r="63226" customFormat="false" ht="12.75" hidden="false" customHeight="true" outlineLevel="0" collapsed="false"/>
    <row r="63227" customFormat="false" ht="12.75" hidden="false" customHeight="true" outlineLevel="0" collapsed="false"/>
    <row r="63228" customFormat="false" ht="12.75" hidden="false" customHeight="true" outlineLevel="0" collapsed="false"/>
    <row r="63229" customFormat="false" ht="12.75" hidden="false" customHeight="true" outlineLevel="0" collapsed="false"/>
    <row r="63230" customFormat="false" ht="12.75" hidden="false" customHeight="true" outlineLevel="0" collapsed="false"/>
    <row r="63231" customFormat="false" ht="12.75" hidden="false" customHeight="true" outlineLevel="0" collapsed="false"/>
    <row r="63232" customFormat="false" ht="12.75" hidden="false" customHeight="true" outlineLevel="0" collapsed="false"/>
    <row r="63233" customFormat="false" ht="12.75" hidden="false" customHeight="true" outlineLevel="0" collapsed="false"/>
    <row r="63234" customFormat="false" ht="12.75" hidden="false" customHeight="true" outlineLevel="0" collapsed="false"/>
    <row r="63235" customFormat="false" ht="12.75" hidden="false" customHeight="true" outlineLevel="0" collapsed="false"/>
    <row r="63236" customFormat="false" ht="12.75" hidden="false" customHeight="true" outlineLevel="0" collapsed="false"/>
    <row r="63237" customFormat="false" ht="12.75" hidden="false" customHeight="true" outlineLevel="0" collapsed="false"/>
    <row r="63238" customFormat="false" ht="12.75" hidden="false" customHeight="true" outlineLevel="0" collapsed="false"/>
    <row r="63239" customFormat="false" ht="12.75" hidden="false" customHeight="true" outlineLevel="0" collapsed="false"/>
    <row r="63240" customFormat="false" ht="12.75" hidden="false" customHeight="true" outlineLevel="0" collapsed="false"/>
    <row r="63241" customFormat="false" ht="12.75" hidden="false" customHeight="true" outlineLevel="0" collapsed="false"/>
    <row r="63242" customFormat="false" ht="12.75" hidden="false" customHeight="true" outlineLevel="0" collapsed="false"/>
    <row r="63243" customFormat="false" ht="12.75" hidden="false" customHeight="true" outlineLevel="0" collapsed="false"/>
    <row r="63244" customFormat="false" ht="12.75" hidden="false" customHeight="true" outlineLevel="0" collapsed="false"/>
    <row r="63245" customFormat="false" ht="12.75" hidden="false" customHeight="true" outlineLevel="0" collapsed="false"/>
    <row r="63246" customFormat="false" ht="12.75" hidden="false" customHeight="true" outlineLevel="0" collapsed="false"/>
    <row r="63247" customFormat="false" ht="12.75" hidden="false" customHeight="true" outlineLevel="0" collapsed="false"/>
    <row r="63248" customFormat="false" ht="12.75" hidden="false" customHeight="true" outlineLevel="0" collapsed="false"/>
    <row r="63249" customFormat="false" ht="12.75" hidden="false" customHeight="true" outlineLevel="0" collapsed="false"/>
    <row r="63250" customFormat="false" ht="12.75" hidden="false" customHeight="true" outlineLevel="0" collapsed="false"/>
    <row r="63251" customFormat="false" ht="12.75" hidden="false" customHeight="true" outlineLevel="0" collapsed="false"/>
    <row r="63252" customFormat="false" ht="12.75" hidden="false" customHeight="true" outlineLevel="0" collapsed="false"/>
    <row r="63253" customFormat="false" ht="12.75" hidden="false" customHeight="true" outlineLevel="0" collapsed="false"/>
    <row r="63254" customFormat="false" ht="12.75" hidden="false" customHeight="true" outlineLevel="0" collapsed="false"/>
    <row r="63255" customFormat="false" ht="12.75" hidden="false" customHeight="true" outlineLevel="0" collapsed="false"/>
    <row r="63256" customFormat="false" ht="12.75" hidden="false" customHeight="true" outlineLevel="0" collapsed="false"/>
    <row r="63257" customFormat="false" ht="12.75" hidden="false" customHeight="true" outlineLevel="0" collapsed="false"/>
    <row r="63258" customFormat="false" ht="12.75" hidden="false" customHeight="true" outlineLevel="0" collapsed="false"/>
    <row r="63259" customFormat="false" ht="12.75" hidden="false" customHeight="true" outlineLevel="0" collapsed="false"/>
    <row r="63260" customFormat="false" ht="12.75" hidden="false" customHeight="true" outlineLevel="0" collapsed="false"/>
    <row r="63261" customFormat="false" ht="12.75" hidden="false" customHeight="true" outlineLevel="0" collapsed="false"/>
    <row r="63262" customFormat="false" ht="12.75" hidden="false" customHeight="true" outlineLevel="0" collapsed="false"/>
    <row r="63263" customFormat="false" ht="12.75" hidden="false" customHeight="true" outlineLevel="0" collapsed="false"/>
    <row r="63264" customFormat="false" ht="12.75" hidden="false" customHeight="true" outlineLevel="0" collapsed="false"/>
    <row r="63265" customFormat="false" ht="12.75" hidden="false" customHeight="true" outlineLevel="0" collapsed="false"/>
    <row r="63266" customFormat="false" ht="12.75" hidden="false" customHeight="true" outlineLevel="0" collapsed="false"/>
    <row r="63267" customFormat="false" ht="12.75" hidden="false" customHeight="true" outlineLevel="0" collapsed="false"/>
    <row r="63268" customFormat="false" ht="12.75" hidden="false" customHeight="true" outlineLevel="0" collapsed="false"/>
    <row r="63269" customFormat="false" ht="12.75" hidden="false" customHeight="true" outlineLevel="0" collapsed="false"/>
    <row r="63270" customFormat="false" ht="12.75" hidden="false" customHeight="true" outlineLevel="0" collapsed="false"/>
    <row r="63271" customFormat="false" ht="12.75" hidden="false" customHeight="true" outlineLevel="0" collapsed="false"/>
    <row r="63272" customFormat="false" ht="12.75" hidden="false" customHeight="true" outlineLevel="0" collapsed="false"/>
    <row r="63273" customFormat="false" ht="12.75" hidden="false" customHeight="true" outlineLevel="0" collapsed="false"/>
    <row r="63274" customFormat="false" ht="12.75" hidden="false" customHeight="true" outlineLevel="0" collapsed="false"/>
    <row r="63275" customFormat="false" ht="12.75" hidden="false" customHeight="true" outlineLevel="0" collapsed="false"/>
    <row r="63276" customFormat="false" ht="12.75" hidden="false" customHeight="true" outlineLevel="0" collapsed="false"/>
    <row r="63277" customFormat="false" ht="12.75" hidden="false" customHeight="true" outlineLevel="0" collapsed="false"/>
    <row r="63278" customFormat="false" ht="12.75" hidden="false" customHeight="true" outlineLevel="0" collapsed="false"/>
    <row r="63279" customFormat="false" ht="12.75" hidden="false" customHeight="true" outlineLevel="0" collapsed="false"/>
    <row r="63280" customFormat="false" ht="12.75" hidden="false" customHeight="true" outlineLevel="0" collapsed="false"/>
    <row r="63281" customFormat="false" ht="12.75" hidden="false" customHeight="true" outlineLevel="0" collapsed="false"/>
    <row r="63282" customFormat="false" ht="12.75" hidden="false" customHeight="true" outlineLevel="0" collapsed="false"/>
    <row r="63283" customFormat="false" ht="12.75" hidden="false" customHeight="true" outlineLevel="0" collapsed="false"/>
    <row r="63284" customFormat="false" ht="12.75" hidden="false" customHeight="true" outlineLevel="0" collapsed="false"/>
    <row r="63285" customFormat="false" ht="12.75" hidden="false" customHeight="true" outlineLevel="0" collapsed="false"/>
    <row r="63286" customFormat="false" ht="12.75" hidden="false" customHeight="true" outlineLevel="0" collapsed="false"/>
    <row r="63287" customFormat="false" ht="12.75" hidden="false" customHeight="true" outlineLevel="0" collapsed="false"/>
    <row r="63288" customFormat="false" ht="12.75" hidden="false" customHeight="true" outlineLevel="0" collapsed="false"/>
    <row r="63289" customFormat="false" ht="12.75" hidden="false" customHeight="true" outlineLevel="0" collapsed="false"/>
    <row r="63290" customFormat="false" ht="12.75" hidden="false" customHeight="true" outlineLevel="0" collapsed="false"/>
    <row r="63291" customFormat="false" ht="12.75" hidden="false" customHeight="true" outlineLevel="0" collapsed="false"/>
    <row r="63292" customFormat="false" ht="12.75" hidden="false" customHeight="true" outlineLevel="0" collapsed="false"/>
    <row r="63293" customFormat="false" ht="12.75" hidden="false" customHeight="true" outlineLevel="0" collapsed="false"/>
    <row r="63294" customFormat="false" ht="12.75" hidden="false" customHeight="true" outlineLevel="0" collapsed="false"/>
    <row r="63295" customFormat="false" ht="12.75" hidden="false" customHeight="true" outlineLevel="0" collapsed="false"/>
    <row r="63296" customFormat="false" ht="12.75" hidden="false" customHeight="true" outlineLevel="0" collapsed="false"/>
    <row r="63297" customFormat="false" ht="12.75" hidden="false" customHeight="true" outlineLevel="0" collapsed="false"/>
    <row r="63298" customFormat="false" ht="12.75" hidden="false" customHeight="true" outlineLevel="0" collapsed="false"/>
    <row r="63299" customFormat="false" ht="12.75" hidden="false" customHeight="true" outlineLevel="0" collapsed="false"/>
    <row r="63300" customFormat="false" ht="12.75" hidden="false" customHeight="true" outlineLevel="0" collapsed="false"/>
    <row r="63301" customFormat="false" ht="12.75" hidden="false" customHeight="true" outlineLevel="0" collapsed="false"/>
    <row r="63302" customFormat="false" ht="12.75" hidden="false" customHeight="true" outlineLevel="0" collapsed="false"/>
    <row r="63303" customFormat="false" ht="12.75" hidden="false" customHeight="true" outlineLevel="0" collapsed="false"/>
    <row r="63304" customFormat="false" ht="12.75" hidden="false" customHeight="true" outlineLevel="0" collapsed="false"/>
    <row r="63305" customFormat="false" ht="12.75" hidden="false" customHeight="true" outlineLevel="0" collapsed="false"/>
    <row r="63306" customFormat="false" ht="12.75" hidden="false" customHeight="true" outlineLevel="0" collapsed="false"/>
    <row r="63307" customFormat="false" ht="12.75" hidden="false" customHeight="true" outlineLevel="0" collapsed="false"/>
    <row r="63308" customFormat="false" ht="12.75" hidden="false" customHeight="true" outlineLevel="0" collapsed="false"/>
    <row r="63309" customFormat="false" ht="12.75" hidden="false" customHeight="true" outlineLevel="0" collapsed="false"/>
    <row r="63310" customFormat="false" ht="12.75" hidden="false" customHeight="true" outlineLevel="0" collapsed="false"/>
    <row r="63311" customFormat="false" ht="12.75" hidden="false" customHeight="true" outlineLevel="0" collapsed="false"/>
    <row r="63312" customFormat="false" ht="12.75" hidden="false" customHeight="true" outlineLevel="0" collapsed="false"/>
    <row r="63313" customFormat="false" ht="12.75" hidden="false" customHeight="true" outlineLevel="0" collapsed="false"/>
    <row r="63314" customFormat="false" ht="12.75" hidden="false" customHeight="true" outlineLevel="0" collapsed="false"/>
    <row r="63315" customFormat="false" ht="12.75" hidden="false" customHeight="true" outlineLevel="0" collapsed="false"/>
    <row r="63316" customFormat="false" ht="12.75" hidden="false" customHeight="true" outlineLevel="0" collapsed="false"/>
    <row r="63317" customFormat="false" ht="12.75" hidden="false" customHeight="true" outlineLevel="0" collapsed="false"/>
    <row r="63318" customFormat="false" ht="12.75" hidden="false" customHeight="true" outlineLevel="0" collapsed="false"/>
    <row r="63319" customFormat="false" ht="12.75" hidden="false" customHeight="true" outlineLevel="0" collapsed="false"/>
    <row r="63320" customFormat="false" ht="12.75" hidden="false" customHeight="true" outlineLevel="0" collapsed="false"/>
    <row r="63321" customFormat="false" ht="12.75" hidden="false" customHeight="true" outlineLevel="0" collapsed="false"/>
    <row r="63322" customFormat="false" ht="12.75" hidden="false" customHeight="true" outlineLevel="0" collapsed="false"/>
    <row r="63323" customFormat="false" ht="12.75" hidden="false" customHeight="true" outlineLevel="0" collapsed="false"/>
    <row r="63324" customFormat="false" ht="12.75" hidden="false" customHeight="true" outlineLevel="0" collapsed="false"/>
    <row r="63325" customFormat="false" ht="12.75" hidden="false" customHeight="true" outlineLevel="0" collapsed="false"/>
    <row r="63326" customFormat="false" ht="12.75" hidden="false" customHeight="true" outlineLevel="0" collapsed="false"/>
    <row r="63327" customFormat="false" ht="12.75" hidden="false" customHeight="true" outlineLevel="0" collapsed="false"/>
    <row r="63328" customFormat="false" ht="12.75" hidden="false" customHeight="true" outlineLevel="0" collapsed="false"/>
    <row r="63329" customFormat="false" ht="12.75" hidden="false" customHeight="true" outlineLevel="0" collapsed="false"/>
    <row r="63330" customFormat="false" ht="12.75" hidden="false" customHeight="true" outlineLevel="0" collapsed="false"/>
    <row r="63331" customFormat="false" ht="12.75" hidden="false" customHeight="true" outlineLevel="0" collapsed="false"/>
    <row r="63332" customFormat="false" ht="12.75" hidden="false" customHeight="true" outlineLevel="0" collapsed="false"/>
    <row r="63333" customFormat="false" ht="12.75" hidden="false" customHeight="true" outlineLevel="0" collapsed="false"/>
    <row r="63334" customFormat="false" ht="12.75" hidden="false" customHeight="true" outlineLevel="0" collapsed="false"/>
    <row r="63335" customFormat="false" ht="12.75" hidden="false" customHeight="true" outlineLevel="0" collapsed="false"/>
    <row r="63336" customFormat="false" ht="12.75" hidden="false" customHeight="true" outlineLevel="0" collapsed="false"/>
    <row r="63337" customFormat="false" ht="12.75" hidden="false" customHeight="true" outlineLevel="0" collapsed="false"/>
    <row r="63338" customFormat="false" ht="12.75" hidden="false" customHeight="true" outlineLevel="0" collapsed="false"/>
    <row r="63339" customFormat="false" ht="12.75" hidden="false" customHeight="true" outlineLevel="0" collapsed="false"/>
    <row r="63340" customFormat="false" ht="12.75" hidden="false" customHeight="true" outlineLevel="0" collapsed="false"/>
    <row r="63341" customFormat="false" ht="12.75" hidden="false" customHeight="true" outlineLevel="0" collapsed="false"/>
    <row r="63342" customFormat="false" ht="12.75" hidden="false" customHeight="true" outlineLevel="0" collapsed="false"/>
    <row r="63343" customFormat="false" ht="12.75" hidden="false" customHeight="true" outlineLevel="0" collapsed="false"/>
    <row r="63344" customFormat="false" ht="12.75" hidden="false" customHeight="true" outlineLevel="0" collapsed="false"/>
    <row r="63345" customFormat="false" ht="12.75" hidden="false" customHeight="true" outlineLevel="0" collapsed="false"/>
    <row r="63346" customFormat="false" ht="12.75" hidden="false" customHeight="true" outlineLevel="0" collapsed="false"/>
    <row r="63347" customFormat="false" ht="12.75" hidden="false" customHeight="true" outlineLevel="0" collapsed="false"/>
    <row r="63348" customFormat="false" ht="12.75" hidden="false" customHeight="true" outlineLevel="0" collapsed="false"/>
    <row r="63349" customFormat="false" ht="12.75" hidden="false" customHeight="true" outlineLevel="0" collapsed="false"/>
    <row r="63350" customFormat="false" ht="12.75" hidden="false" customHeight="true" outlineLevel="0" collapsed="false"/>
    <row r="63351" customFormat="false" ht="12.75" hidden="false" customHeight="true" outlineLevel="0" collapsed="false"/>
    <row r="63352" customFormat="false" ht="12.75" hidden="false" customHeight="true" outlineLevel="0" collapsed="false"/>
    <row r="63353" customFormat="false" ht="12.75" hidden="false" customHeight="true" outlineLevel="0" collapsed="false"/>
    <row r="63354" customFormat="false" ht="12.75" hidden="false" customHeight="true" outlineLevel="0" collapsed="false"/>
    <row r="63355" customFormat="false" ht="12.75" hidden="false" customHeight="true" outlineLevel="0" collapsed="false"/>
    <row r="63356" customFormat="false" ht="12.75" hidden="false" customHeight="true" outlineLevel="0" collapsed="false"/>
    <row r="63357" customFormat="false" ht="12.75" hidden="false" customHeight="true" outlineLevel="0" collapsed="false"/>
    <row r="63358" customFormat="false" ht="12.75" hidden="false" customHeight="true" outlineLevel="0" collapsed="false"/>
    <row r="63359" customFormat="false" ht="12.75" hidden="false" customHeight="true" outlineLevel="0" collapsed="false"/>
    <row r="63360" customFormat="false" ht="12.75" hidden="false" customHeight="true" outlineLevel="0" collapsed="false"/>
    <row r="63361" customFormat="false" ht="12.75" hidden="false" customHeight="true" outlineLevel="0" collapsed="false"/>
    <row r="63362" customFormat="false" ht="12.75" hidden="false" customHeight="true" outlineLevel="0" collapsed="false"/>
    <row r="63363" customFormat="false" ht="12.75" hidden="false" customHeight="true" outlineLevel="0" collapsed="false"/>
    <row r="63364" customFormat="false" ht="12.75" hidden="false" customHeight="true" outlineLevel="0" collapsed="false"/>
    <row r="63365" customFormat="false" ht="12.75" hidden="false" customHeight="true" outlineLevel="0" collapsed="false"/>
    <row r="63366" customFormat="false" ht="12.75" hidden="false" customHeight="true" outlineLevel="0" collapsed="false"/>
    <row r="63367" customFormat="false" ht="12.75" hidden="false" customHeight="true" outlineLevel="0" collapsed="false"/>
    <row r="63368" customFormat="false" ht="12.75" hidden="false" customHeight="true" outlineLevel="0" collapsed="false"/>
    <row r="63369" customFormat="false" ht="12.75" hidden="false" customHeight="true" outlineLevel="0" collapsed="false"/>
    <row r="63370" customFormat="false" ht="12.75" hidden="false" customHeight="true" outlineLevel="0" collapsed="false"/>
    <row r="63371" customFormat="false" ht="12.75" hidden="false" customHeight="true" outlineLevel="0" collapsed="false"/>
    <row r="63372" customFormat="false" ht="12.75" hidden="false" customHeight="true" outlineLevel="0" collapsed="false"/>
    <row r="63373" customFormat="false" ht="12.75" hidden="false" customHeight="true" outlineLevel="0" collapsed="false"/>
    <row r="63374" customFormat="false" ht="12.75" hidden="false" customHeight="true" outlineLevel="0" collapsed="false"/>
    <row r="63375" customFormat="false" ht="12.75" hidden="false" customHeight="true" outlineLevel="0" collapsed="false"/>
    <row r="63376" customFormat="false" ht="12.75" hidden="false" customHeight="true" outlineLevel="0" collapsed="false"/>
    <row r="63377" customFormat="false" ht="12.75" hidden="false" customHeight="true" outlineLevel="0" collapsed="false"/>
    <row r="63378" customFormat="false" ht="12.75" hidden="false" customHeight="true" outlineLevel="0" collapsed="false"/>
    <row r="63379" customFormat="false" ht="12.75" hidden="false" customHeight="true" outlineLevel="0" collapsed="false"/>
    <row r="63380" customFormat="false" ht="12.75" hidden="false" customHeight="true" outlineLevel="0" collapsed="false"/>
    <row r="63381" customFormat="false" ht="12.75" hidden="false" customHeight="true" outlineLevel="0" collapsed="false"/>
    <row r="63382" customFormat="false" ht="12.75" hidden="false" customHeight="true" outlineLevel="0" collapsed="false"/>
    <row r="63383" customFormat="false" ht="12.75" hidden="false" customHeight="true" outlineLevel="0" collapsed="false"/>
    <row r="63384" customFormat="false" ht="12.75" hidden="false" customHeight="true" outlineLevel="0" collapsed="false"/>
    <row r="63385" customFormat="false" ht="12.75" hidden="false" customHeight="true" outlineLevel="0" collapsed="false"/>
    <row r="63386" customFormat="false" ht="12.75" hidden="false" customHeight="true" outlineLevel="0" collapsed="false"/>
    <row r="63387" customFormat="false" ht="12.75" hidden="false" customHeight="true" outlineLevel="0" collapsed="false"/>
    <row r="63388" customFormat="false" ht="12.75" hidden="false" customHeight="true" outlineLevel="0" collapsed="false"/>
    <row r="63389" customFormat="false" ht="12.75" hidden="false" customHeight="true" outlineLevel="0" collapsed="false"/>
    <row r="63390" customFormat="false" ht="12.75" hidden="false" customHeight="true" outlineLevel="0" collapsed="false"/>
    <row r="63391" customFormat="false" ht="12.75" hidden="false" customHeight="true" outlineLevel="0" collapsed="false"/>
    <row r="63392" customFormat="false" ht="12.75" hidden="false" customHeight="true" outlineLevel="0" collapsed="false"/>
    <row r="63393" customFormat="false" ht="12.75" hidden="false" customHeight="true" outlineLevel="0" collapsed="false"/>
    <row r="63394" customFormat="false" ht="12.75" hidden="false" customHeight="true" outlineLevel="0" collapsed="false"/>
    <row r="63395" customFormat="false" ht="12.75" hidden="false" customHeight="true" outlineLevel="0" collapsed="false"/>
    <row r="63396" customFormat="false" ht="12.75" hidden="false" customHeight="true" outlineLevel="0" collapsed="false"/>
    <row r="63397" customFormat="false" ht="12.75" hidden="false" customHeight="true" outlineLevel="0" collapsed="false"/>
    <row r="63398" customFormat="false" ht="12.75" hidden="false" customHeight="true" outlineLevel="0" collapsed="false"/>
    <row r="63399" customFormat="false" ht="12.75" hidden="false" customHeight="true" outlineLevel="0" collapsed="false"/>
    <row r="63400" customFormat="false" ht="12.75" hidden="false" customHeight="true" outlineLevel="0" collapsed="false"/>
    <row r="63401" customFormat="false" ht="12.75" hidden="false" customHeight="true" outlineLevel="0" collapsed="false"/>
    <row r="63402" customFormat="false" ht="12.75" hidden="false" customHeight="true" outlineLevel="0" collapsed="false"/>
    <row r="63403" customFormat="false" ht="12.75" hidden="false" customHeight="true" outlineLevel="0" collapsed="false"/>
    <row r="63404" customFormat="false" ht="12.75" hidden="false" customHeight="true" outlineLevel="0" collapsed="false"/>
    <row r="63405" customFormat="false" ht="12.75" hidden="false" customHeight="true" outlineLevel="0" collapsed="false"/>
    <row r="63406" customFormat="false" ht="12.75" hidden="false" customHeight="true" outlineLevel="0" collapsed="false"/>
    <row r="63407" customFormat="false" ht="12.75" hidden="false" customHeight="true" outlineLevel="0" collapsed="false"/>
    <row r="63408" customFormat="false" ht="12.75" hidden="false" customHeight="true" outlineLevel="0" collapsed="false"/>
    <row r="63409" customFormat="false" ht="12.75" hidden="false" customHeight="true" outlineLevel="0" collapsed="false"/>
    <row r="63410" customFormat="false" ht="12.75" hidden="false" customHeight="true" outlineLevel="0" collapsed="false"/>
    <row r="63411" customFormat="false" ht="12.75" hidden="false" customHeight="true" outlineLevel="0" collapsed="false"/>
    <row r="63412" customFormat="false" ht="12.75" hidden="false" customHeight="true" outlineLevel="0" collapsed="false"/>
    <row r="63413" customFormat="false" ht="12.75" hidden="false" customHeight="true" outlineLevel="0" collapsed="false"/>
    <row r="63414" customFormat="false" ht="12.75" hidden="false" customHeight="true" outlineLevel="0" collapsed="false"/>
    <row r="63415" customFormat="false" ht="12.75" hidden="false" customHeight="true" outlineLevel="0" collapsed="false"/>
    <row r="63416" customFormat="false" ht="12.75" hidden="false" customHeight="true" outlineLevel="0" collapsed="false"/>
    <row r="63417" customFormat="false" ht="12.75" hidden="false" customHeight="true" outlineLevel="0" collapsed="false"/>
    <row r="63418" customFormat="false" ht="12.75" hidden="false" customHeight="true" outlineLevel="0" collapsed="false"/>
    <row r="63419" customFormat="false" ht="12.75" hidden="false" customHeight="true" outlineLevel="0" collapsed="false"/>
    <row r="63420" customFormat="false" ht="12.75" hidden="false" customHeight="true" outlineLevel="0" collapsed="false"/>
    <row r="63421" customFormat="false" ht="12.75" hidden="false" customHeight="true" outlineLevel="0" collapsed="false"/>
    <row r="63422" customFormat="false" ht="12.75" hidden="false" customHeight="true" outlineLevel="0" collapsed="false"/>
    <row r="63423" customFormat="false" ht="12.75" hidden="false" customHeight="true" outlineLevel="0" collapsed="false"/>
    <row r="63424" customFormat="false" ht="12.75" hidden="false" customHeight="true" outlineLevel="0" collapsed="false"/>
    <row r="63425" customFormat="false" ht="12.75" hidden="false" customHeight="true" outlineLevel="0" collapsed="false"/>
    <row r="63426" customFormat="false" ht="12.75" hidden="false" customHeight="true" outlineLevel="0" collapsed="false"/>
    <row r="63427" customFormat="false" ht="12.75" hidden="false" customHeight="true" outlineLevel="0" collapsed="false"/>
    <row r="63428" customFormat="false" ht="12.75" hidden="false" customHeight="true" outlineLevel="0" collapsed="false"/>
    <row r="63429" customFormat="false" ht="12.75" hidden="false" customHeight="true" outlineLevel="0" collapsed="false"/>
    <row r="63430" customFormat="false" ht="12.75" hidden="false" customHeight="true" outlineLevel="0" collapsed="false"/>
    <row r="63431" customFormat="false" ht="12.75" hidden="false" customHeight="true" outlineLevel="0" collapsed="false"/>
    <row r="63432" customFormat="false" ht="12.75" hidden="false" customHeight="true" outlineLevel="0" collapsed="false"/>
    <row r="63433" customFormat="false" ht="12.75" hidden="false" customHeight="true" outlineLevel="0" collapsed="false"/>
    <row r="63434" customFormat="false" ht="12.75" hidden="false" customHeight="true" outlineLevel="0" collapsed="false"/>
    <row r="63435" customFormat="false" ht="12.75" hidden="false" customHeight="true" outlineLevel="0" collapsed="false"/>
    <row r="63436" customFormat="false" ht="12.75" hidden="false" customHeight="true" outlineLevel="0" collapsed="false"/>
    <row r="63437" customFormat="false" ht="12.75" hidden="false" customHeight="true" outlineLevel="0" collapsed="false"/>
    <row r="63438" customFormat="false" ht="12.75" hidden="false" customHeight="true" outlineLevel="0" collapsed="false"/>
    <row r="63439" customFormat="false" ht="12.75" hidden="false" customHeight="true" outlineLevel="0" collapsed="false"/>
    <row r="63440" customFormat="false" ht="12.75" hidden="false" customHeight="true" outlineLevel="0" collapsed="false"/>
    <row r="63441" customFormat="false" ht="12.75" hidden="false" customHeight="true" outlineLevel="0" collapsed="false"/>
    <row r="63442" customFormat="false" ht="12.75" hidden="false" customHeight="true" outlineLevel="0" collapsed="false"/>
    <row r="63443" customFormat="false" ht="12.75" hidden="false" customHeight="true" outlineLevel="0" collapsed="false"/>
    <row r="63444" customFormat="false" ht="12.75" hidden="false" customHeight="true" outlineLevel="0" collapsed="false"/>
    <row r="63445" customFormat="false" ht="12.75" hidden="false" customHeight="true" outlineLevel="0" collapsed="false"/>
    <row r="63446" customFormat="false" ht="12.75" hidden="false" customHeight="true" outlineLevel="0" collapsed="false"/>
    <row r="63447" customFormat="false" ht="12.75" hidden="false" customHeight="true" outlineLevel="0" collapsed="false"/>
    <row r="63448" customFormat="false" ht="12.75" hidden="false" customHeight="true" outlineLevel="0" collapsed="false"/>
    <row r="63449" customFormat="false" ht="12.75" hidden="false" customHeight="true" outlineLevel="0" collapsed="false"/>
    <row r="63450" customFormat="false" ht="12.75" hidden="false" customHeight="true" outlineLevel="0" collapsed="false"/>
    <row r="63451" customFormat="false" ht="12.75" hidden="false" customHeight="true" outlineLevel="0" collapsed="false"/>
    <row r="63452" customFormat="false" ht="12.75" hidden="false" customHeight="true" outlineLevel="0" collapsed="false"/>
    <row r="63453" customFormat="false" ht="12.75" hidden="false" customHeight="true" outlineLevel="0" collapsed="false"/>
    <row r="63454" customFormat="false" ht="12.75" hidden="false" customHeight="true" outlineLevel="0" collapsed="false"/>
    <row r="63455" customFormat="false" ht="12.75" hidden="false" customHeight="true" outlineLevel="0" collapsed="false"/>
    <row r="63456" customFormat="false" ht="12.75" hidden="false" customHeight="true" outlineLevel="0" collapsed="false"/>
    <row r="63457" customFormat="false" ht="12.75" hidden="false" customHeight="true" outlineLevel="0" collapsed="false"/>
    <row r="63458" customFormat="false" ht="12.75" hidden="false" customHeight="true" outlineLevel="0" collapsed="false"/>
    <row r="63459" customFormat="false" ht="12.75" hidden="false" customHeight="true" outlineLevel="0" collapsed="false"/>
    <row r="63460" customFormat="false" ht="12.75" hidden="false" customHeight="true" outlineLevel="0" collapsed="false"/>
    <row r="63461" customFormat="false" ht="12.75" hidden="false" customHeight="true" outlineLevel="0" collapsed="false"/>
    <row r="63462" customFormat="false" ht="12.75" hidden="false" customHeight="true" outlineLevel="0" collapsed="false"/>
    <row r="63463" customFormat="false" ht="12.75" hidden="false" customHeight="true" outlineLevel="0" collapsed="false"/>
    <row r="63464" customFormat="false" ht="12.75" hidden="false" customHeight="true" outlineLevel="0" collapsed="false"/>
    <row r="63465" customFormat="false" ht="12.75" hidden="false" customHeight="true" outlineLevel="0" collapsed="false"/>
    <row r="63466" customFormat="false" ht="12.75" hidden="false" customHeight="true" outlineLevel="0" collapsed="false"/>
    <row r="63467" customFormat="false" ht="12.75" hidden="false" customHeight="true" outlineLevel="0" collapsed="false"/>
    <row r="63468" customFormat="false" ht="12.75" hidden="false" customHeight="true" outlineLevel="0" collapsed="false"/>
    <row r="63469" customFormat="false" ht="12.75" hidden="false" customHeight="true" outlineLevel="0" collapsed="false"/>
    <row r="63470" customFormat="false" ht="12.75" hidden="false" customHeight="true" outlineLevel="0" collapsed="false"/>
    <row r="63471" customFormat="false" ht="12.75" hidden="false" customHeight="true" outlineLevel="0" collapsed="false"/>
    <row r="63472" customFormat="false" ht="12.75" hidden="false" customHeight="true" outlineLevel="0" collapsed="false"/>
    <row r="63473" customFormat="false" ht="12.75" hidden="false" customHeight="true" outlineLevel="0" collapsed="false"/>
    <row r="63474" customFormat="false" ht="12.75" hidden="false" customHeight="true" outlineLevel="0" collapsed="false"/>
    <row r="63475" customFormat="false" ht="12.75" hidden="false" customHeight="true" outlineLevel="0" collapsed="false"/>
    <row r="63476" customFormat="false" ht="12.75" hidden="false" customHeight="true" outlineLevel="0" collapsed="false"/>
    <row r="63477" customFormat="false" ht="12.75" hidden="false" customHeight="true" outlineLevel="0" collapsed="false"/>
    <row r="63478" customFormat="false" ht="12.75" hidden="false" customHeight="true" outlineLevel="0" collapsed="false"/>
    <row r="63479" customFormat="false" ht="12.75" hidden="false" customHeight="true" outlineLevel="0" collapsed="false"/>
    <row r="63480" customFormat="false" ht="12.75" hidden="false" customHeight="true" outlineLevel="0" collapsed="false"/>
    <row r="63481" customFormat="false" ht="12.75" hidden="false" customHeight="true" outlineLevel="0" collapsed="false"/>
    <row r="63482" customFormat="false" ht="12.75" hidden="false" customHeight="true" outlineLevel="0" collapsed="false"/>
    <row r="63483" customFormat="false" ht="12.75" hidden="false" customHeight="true" outlineLevel="0" collapsed="false"/>
    <row r="63484" customFormat="false" ht="12.75" hidden="false" customHeight="true" outlineLevel="0" collapsed="false"/>
    <row r="63485" customFormat="false" ht="12.75" hidden="false" customHeight="true" outlineLevel="0" collapsed="false"/>
    <row r="63486" customFormat="false" ht="12.75" hidden="false" customHeight="true" outlineLevel="0" collapsed="false"/>
    <row r="63487" customFormat="false" ht="12.75" hidden="false" customHeight="true" outlineLevel="0" collapsed="false"/>
    <row r="63488" customFormat="false" ht="12.75" hidden="false" customHeight="true" outlineLevel="0" collapsed="false"/>
    <row r="63489" customFormat="false" ht="12.75" hidden="false" customHeight="true" outlineLevel="0" collapsed="false"/>
    <row r="63490" customFormat="false" ht="12.75" hidden="false" customHeight="true" outlineLevel="0" collapsed="false"/>
    <row r="63491" customFormat="false" ht="12.75" hidden="false" customHeight="true" outlineLevel="0" collapsed="false"/>
    <row r="63492" customFormat="false" ht="12.75" hidden="false" customHeight="true" outlineLevel="0" collapsed="false"/>
    <row r="63493" customFormat="false" ht="12.75" hidden="false" customHeight="true" outlineLevel="0" collapsed="false"/>
    <row r="63494" customFormat="false" ht="12.75" hidden="false" customHeight="true" outlineLevel="0" collapsed="false"/>
    <row r="63495" customFormat="false" ht="12.75" hidden="false" customHeight="true" outlineLevel="0" collapsed="false"/>
    <row r="63496" customFormat="false" ht="12.75" hidden="false" customHeight="true" outlineLevel="0" collapsed="false"/>
    <row r="63497" customFormat="false" ht="12.75" hidden="false" customHeight="true" outlineLevel="0" collapsed="false"/>
    <row r="63498" customFormat="false" ht="12.75" hidden="false" customHeight="true" outlineLevel="0" collapsed="false"/>
    <row r="63499" customFormat="false" ht="12.75" hidden="false" customHeight="true" outlineLevel="0" collapsed="false"/>
    <row r="63500" customFormat="false" ht="12.75" hidden="false" customHeight="true" outlineLevel="0" collapsed="false"/>
    <row r="63501" customFormat="false" ht="12.75" hidden="false" customHeight="true" outlineLevel="0" collapsed="false"/>
    <row r="63502" customFormat="false" ht="12.75" hidden="false" customHeight="true" outlineLevel="0" collapsed="false"/>
    <row r="63503" customFormat="false" ht="12.75" hidden="false" customHeight="true" outlineLevel="0" collapsed="false"/>
    <row r="63504" customFormat="false" ht="12.75" hidden="false" customHeight="true" outlineLevel="0" collapsed="false"/>
    <row r="63505" customFormat="false" ht="12.75" hidden="false" customHeight="true" outlineLevel="0" collapsed="false"/>
    <row r="63506" customFormat="false" ht="12.75" hidden="false" customHeight="true" outlineLevel="0" collapsed="false"/>
    <row r="63507" customFormat="false" ht="12.75" hidden="false" customHeight="true" outlineLevel="0" collapsed="false"/>
    <row r="63508" customFormat="false" ht="12.75" hidden="false" customHeight="true" outlineLevel="0" collapsed="false"/>
    <row r="63509" customFormat="false" ht="12.75" hidden="false" customHeight="true" outlineLevel="0" collapsed="false"/>
    <row r="63510" customFormat="false" ht="12.75" hidden="false" customHeight="true" outlineLevel="0" collapsed="false"/>
    <row r="63511" customFormat="false" ht="12.75" hidden="false" customHeight="true" outlineLevel="0" collapsed="false"/>
    <row r="63512" customFormat="false" ht="12.75" hidden="false" customHeight="true" outlineLevel="0" collapsed="false"/>
    <row r="63513" customFormat="false" ht="12.75" hidden="false" customHeight="true" outlineLevel="0" collapsed="false"/>
    <row r="63514" customFormat="false" ht="12.75" hidden="false" customHeight="true" outlineLevel="0" collapsed="false"/>
    <row r="63515" customFormat="false" ht="12.75" hidden="false" customHeight="true" outlineLevel="0" collapsed="false"/>
    <row r="63516" customFormat="false" ht="12.75" hidden="false" customHeight="true" outlineLevel="0" collapsed="false"/>
    <row r="63517" customFormat="false" ht="12.75" hidden="false" customHeight="true" outlineLevel="0" collapsed="false"/>
    <row r="63518" customFormat="false" ht="12.75" hidden="false" customHeight="true" outlineLevel="0" collapsed="false"/>
    <row r="63519" customFormat="false" ht="12.75" hidden="false" customHeight="true" outlineLevel="0" collapsed="false"/>
    <row r="63520" customFormat="false" ht="12.75" hidden="false" customHeight="true" outlineLevel="0" collapsed="false"/>
    <row r="63521" customFormat="false" ht="12.75" hidden="false" customHeight="true" outlineLevel="0" collapsed="false"/>
    <row r="63522" customFormat="false" ht="12.75" hidden="false" customHeight="true" outlineLevel="0" collapsed="false"/>
    <row r="63523" customFormat="false" ht="12.75" hidden="false" customHeight="true" outlineLevel="0" collapsed="false"/>
    <row r="63524" customFormat="false" ht="12.75" hidden="false" customHeight="true" outlineLevel="0" collapsed="false"/>
    <row r="63525" customFormat="false" ht="12.75" hidden="false" customHeight="true" outlineLevel="0" collapsed="false"/>
    <row r="63526" customFormat="false" ht="12.75" hidden="false" customHeight="true" outlineLevel="0" collapsed="false"/>
    <row r="63527" customFormat="false" ht="12.75" hidden="false" customHeight="true" outlineLevel="0" collapsed="false"/>
    <row r="63528" customFormat="false" ht="12.75" hidden="false" customHeight="true" outlineLevel="0" collapsed="false"/>
    <row r="63529" customFormat="false" ht="12.75" hidden="false" customHeight="true" outlineLevel="0" collapsed="false"/>
    <row r="63530" customFormat="false" ht="12.75" hidden="false" customHeight="true" outlineLevel="0" collapsed="false"/>
    <row r="63531" customFormat="false" ht="12.75" hidden="false" customHeight="true" outlineLevel="0" collapsed="false"/>
    <row r="63532" customFormat="false" ht="12.75" hidden="false" customHeight="true" outlineLevel="0" collapsed="false"/>
    <row r="63533" customFormat="false" ht="12.75" hidden="false" customHeight="true" outlineLevel="0" collapsed="false"/>
    <row r="63534" customFormat="false" ht="12.75" hidden="false" customHeight="true" outlineLevel="0" collapsed="false"/>
    <row r="63535" customFormat="false" ht="12.75" hidden="false" customHeight="true" outlineLevel="0" collapsed="false"/>
    <row r="63536" customFormat="false" ht="12.75" hidden="false" customHeight="true" outlineLevel="0" collapsed="false"/>
    <row r="63537" customFormat="false" ht="12.75" hidden="false" customHeight="true" outlineLevel="0" collapsed="false"/>
    <row r="63538" customFormat="false" ht="12.75" hidden="false" customHeight="true" outlineLevel="0" collapsed="false"/>
    <row r="63539" customFormat="false" ht="12.75" hidden="false" customHeight="true" outlineLevel="0" collapsed="false"/>
    <row r="63540" customFormat="false" ht="12.75" hidden="false" customHeight="true" outlineLevel="0" collapsed="false"/>
    <row r="63541" customFormat="false" ht="12.75" hidden="false" customHeight="true" outlineLevel="0" collapsed="false"/>
    <row r="63542" customFormat="false" ht="12.75" hidden="false" customHeight="true" outlineLevel="0" collapsed="false"/>
    <row r="63543" customFormat="false" ht="12.75" hidden="false" customHeight="true" outlineLevel="0" collapsed="false"/>
    <row r="63544" customFormat="false" ht="12.75" hidden="false" customHeight="true" outlineLevel="0" collapsed="false"/>
    <row r="63545" customFormat="false" ht="12.75" hidden="false" customHeight="true" outlineLevel="0" collapsed="false"/>
    <row r="63546" customFormat="false" ht="12.75" hidden="false" customHeight="true" outlineLevel="0" collapsed="false"/>
    <row r="63547" customFormat="false" ht="12.75" hidden="false" customHeight="true" outlineLevel="0" collapsed="false"/>
    <row r="63548" customFormat="false" ht="12.75" hidden="false" customHeight="true" outlineLevel="0" collapsed="false"/>
    <row r="63549" customFormat="false" ht="12.75" hidden="false" customHeight="true" outlineLevel="0" collapsed="false"/>
    <row r="63550" customFormat="false" ht="12.75" hidden="false" customHeight="true" outlineLevel="0" collapsed="false"/>
    <row r="63551" customFormat="false" ht="12.75" hidden="false" customHeight="true" outlineLevel="0" collapsed="false"/>
    <row r="63552" customFormat="false" ht="12.75" hidden="false" customHeight="true" outlineLevel="0" collapsed="false"/>
    <row r="63553" customFormat="false" ht="12.75" hidden="false" customHeight="true" outlineLevel="0" collapsed="false"/>
    <row r="63554" customFormat="false" ht="12.75" hidden="false" customHeight="true" outlineLevel="0" collapsed="false"/>
    <row r="63555" customFormat="false" ht="12.75" hidden="false" customHeight="true" outlineLevel="0" collapsed="false"/>
    <row r="63556" customFormat="false" ht="12.75" hidden="false" customHeight="true" outlineLevel="0" collapsed="false"/>
    <row r="63557" customFormat="false" ht="12.75" hidden="false" customHeight="true" outlineLevel="0" collapsed="false"/>
    <row r="63558" customFormat="false" ht="12.75" hidden="false" customHeight="true" outlineLevel="0" collapsed="false"/>
    <row r="63559" customFormat="false" ht="12.75" hidden="false" customHeight="true" outlineLevel="0" collapsed="false"/>
    <row r="63560" customFormat="false" ht="12.75" hidden="false" customHeight="true" outlineLevel="0" collapsed="false"/>
    <row r="63561" customFormat="false" ht="12.75" hidden="false" customHeight="true" outlineLevel="0" collapsed="false"/>
    <row r="63562" customFormat="false" ht="12.75" hidden="false" customHeight="true" outlineLevel="0" collapsed="false"/>
    <row r="63563" customFormat="false" ht="12.75" hidden="false" customHeight="true" outlineLevel="0" collapsed="false"/>
    <row r="63564" customFormat="false" ht="12.75" hidden="false" customHeight="true" outlineLevel="0" collapsed="false"/>
    <row r="63565" customFormat="false" ht="12.75" hidden="false" customHeight="true" outlineLevel="0" collapsed="false"/>
    <row r="63566" customFormat="false" ht="12.75" hidden="false" customHeight="true" outlineLevel="0" collapsed="false"/>
    <row r="63567" customFormat="false" ht="12.75" hidden="false" customHeight="true" outlineLevel="0" collapsed="false"/>
    <row r="63568" customFormat="false" ht="12.75" hidden="false" customHeight="true" outlineLevel="0" collapsed="false"/>
    <row r="63569" customFormat="false" ht="12.75" hidden="false" customHeight="true" outlineLevel="0" collapsed="false"/>
    <row r="63570" customFormat="false" ht="12.75" hidden="false" customHeight="true" outlineLevel="0" collapsed="false"/>
    <row r="63571" customFormat="false" ht="12.75" hidden="false" customHeight="true" outlineLevel="0" collapsed="false"/>
    <row r="63572" customFormat="false" ht="12.75" hidden="false" customHeight="true" outlineLevel="0" collapsed="false"/>
    <row r="63573" customFormat="false" ht="12.75" hidden="false" customHeight="true" outlineLevel="0" collapsed="false"/>
    <row r="63574" customFormat="false" ht="12.75" hidden="false" customHeight="true" outlineLevel="0" collapsed="false"/>
    <row r="63575" customFormat="false" ht="12.75" hidden="false" customHeight="true" outlineLevel="0" collapsed="false"/>
    <row r="63576" customFormat="false" ht="12.75" hidden="false" customHeight="true" outlineLevel="0" collapsed="false"/>
    <row r="63577" customFormat="false" ht="12.75" hidden="false" customHeight="true" outlineLevel="0" collapsed="false"/>
    <row r="63578" customFormat="false" ht="12.75" hidden="false" customHeight="true" outlineLevel="0" collapsed="false"/>
    <row r="63579" customFormat="false" ht="12.75" hidden="false" customHeight="true" outlineLevel="0" collapsed="false"/>
    <row r="63580" customFormat="false" ht="12.75" hidden="false" customHeight="true" outlineLevel="0" collapsed="false"/>
    <row r="63581" customFormat="false" ht="12.75" hidden="false" customHeight="true" outlineLevel="0" collapsed="false"/>
    <row r="63582" customFormat="false" ht="12.75" hidden="false" customHeight="true" outlineLevel="0" collapsed="false"/>
    <row r="63583" customFormat="false" ht="12.75" hidden="false" customHeight="true" outlineLevel="0" collapsed="false"/>
    <row r="63584" customFormat="false" ht="12.75" hidden="false" customHeight="true" outlineLevel="0" collapsed="false"/>
    <row r="63585" customFormat="false" ht="12.75" hidden="false" customHeight="true" outlineLevel="0" collapsed="false"/>
    <row r="63586" customFormat="false" ht="12.75" hidden="false" customHeight="true" outlineLevel="0" collapsed="false"/>
    <row r="63587" customFormat="false" ht="12.75" hidden="false" customHeight="true" outlineLevel="0" collapsed="false"/>
    <row r="63588" customFormat="false" ht="12.75" hidden="false" customHeight="true" outlineLevel="0" collapsed="false"/>
    <row r="63589" customFormat="false" ht="12.75" hidden="false" customHeight="true" outlineLevel="0" collapsed="false"/>
    <row r="63590" customFormat="false" ht="12.75" hidden="false" customHeight="true" outlineLevel="0" collapsed="false"/>
    <row r="63591" customFormat="false" ht="12.75" hidden="false" customHeight="true" outlineLevel="0" collapsed="false"/>
    <row r="63592" customFormat="false" ht="12.75" hidden="false" customHeight="true" outlineLevel="0" collapsed="false"/>
    <row r="63593" customFormat="false" ht="12.75" hidden="false" customHeight="true" outlineLevel="0" collapsed="false"/>
    <row r="63594" customFormat="false" ht="12.75" hidden="false" customHeight="true" outlineLevel="0" collapsed="false"/>
    <row r="63595" customFormat="false" ht="12.75" hidden="false" customHeight="true" outlineLevel="0" collapsed="false"/>
    <row r="63596" customFormat="false" ht="12.75" hidden="false" customHeight="true" outlineLevel="0" collapsed="false"/>
    <row r="63597" customFormat="false" ht="12.75" hidden="false" customHeight="true" outlineLevel="0" collapsed="false"/>
    <row r="63598" customFormat="false" ht="12.75" hidden="false" customHeight="true" outlineLevel="0" collapsed="false"/>
    <row r="63599" customFormat="false" ht="12.75" hidden="false" customHeight="true" outlineLevel="0" collapsed="false"/>
    <row r="63600" customFormat="false" ht="12.75" hidden="false" customHeight="true" outlineLevel="0" collapsed="false"/>
    <row r="63601" customFormat="false" ht="12.75" hidden="false" customHeight="true" outlineLevel="0" collapsed="false"/>
    <row r="63602" customFormat="false" ht="12.75" hidden="false" customHeight="true" outlineLevel="0" collapsed="false"/>
    <row r="63603" customFormat="false" ht="12.75" hidden="false" customHeight="true" outlineLevel="0" collapsed="false"/>
    <row r="63604" customFormat="false" ht="12.75" hidden="false" customHeight="true" outlineLevel="0" collapsed="false"/>
    <row r="63605" customFormat="false" ht="12.75" hidden="false" customHeight="true" outlineLevel="0" collapsed="false"/>
    <row r="63606" customFormat="false" ht="12.75" hidden="false" customHeight="true" outlineLevel="0" collapsed="false"/>
    <row r="63607" customFormat="false" ht="12.75" hidden="false" customHeight="true" outlineLevel="0" collapsed="false"/>
    <row r="63608" customFormat="false" ht="12.75" hidden="false" customHeight="true" outlineLevel="0" collapsed="false"/>
    <row r="63609" customFormat="false" ht="12.75" hidden="false" customHeight="true" outlineLevel="0" collapsed="false"/>
    <row r="63610" customFormat="false" ht="12.75" hidden="false" customHeight="true" outlineLevel="0" collapsed="false"/>
    <row r="63611" customFormat="false" ht="12.75" hidden="false" customHeight="true" outlineLevel="0" collapsed="false"/>
    <row r="63612" customFormat="false" ht="12.75" hidden="false" customHeight="true" outlineLevel="0" collapsed="false"/>
    <row r="63613" customFormat="false" ht="12.75" hidden="false" customHeight="true" outlineLevel="0" collapsed="false"/>
    <row r="63614" customFormat="false" ht="12.75" hidden="false" customHeight="true" outlineLevel="0" collapsed="false"/>
    <row r="63615" customFormat="false" ht="12.75" hidden="false" customHeight="true" outlineLevel="0" collapsed="false"/>
    <row r="63616" customFormat="false" ht="12.75" hidden="false" customHeight="true" outlineLevel="0" collapsed="false"/>
    <row r="63617" customFormat="false" ht="12.75" hidden="false" customHeight="true" outlineLevel="0" collapsed="false"/>
    <row r="63618" customFormat="false" ht="12.75" hidden="false" customHeight="true" outlineLevel="0" collapsed="false"/>
    <row r="63619" customFormat="false" ht="12.75" hidden="false" customHeight="true" outlineLevel="0" collapsed="false"/>
    <row r="63620" customFormat="false" ht="12.75" hidden="false" customHeight="true" outlineLevel="0" collapsed="false"/>
    <row r="63621" customFormat="false" ht="12.75" hidden="false" customHeight="true" outlineLevel="0" collapsed="false"/>
    <row r="63622" customFormat="false" ht="12.75" hidden="false" customHeight="true" outlineLevel="0" collapsed="false"/>
    <row r="63623" customFormat="false" ht="12.75" hidden="false" customHeight="true" outlineLevel="0" collapsed="false"/>
    <row r="63624" customFormat="false" ht="12.75" hidden="false" customHeight="true" outlineLevel="0" collapsed="false"/>
    <row r="63625" customFormat="false" ht="12.75" hidden="false" customHeight="true" outlineLevel="0" collapsed="false"/>
    <row r="63626" customFormat="false" ht="12.75" hidden="false" customHeight="true" outlineLevel="0" collapsed="false"/>
    <row r="63627" customFormat="false" ht="12.75" hidden="false" customHeight="true" outlineLevel="0" collapsed="false"/>
    <row r="63628" customFormat="false" ht="12.75" hidden="false" customHeight="true" outlineLevel="0" collapsed="false"/>
    <row r="63629" customFormat="false" ht="12.75" hidden="false" customHeight="true" outlineLevel="0" collapsed="false"/>
    <row r="63630" customFormat="false" ht="12.75" hidden="false" customHeight="true" outlineLevel="0" collapsed="false"/>
    <row r="63631" customFormat="false" ht="12.75" hidden="false" customHeight="true" outlineLevel="0" collapsed="false"/>
    <row r="63632" customFormat="false" ht="12.75" hidden="false" customHeight="true" outlineLevel="0" collapsed="false"/>
    <row r="63633" customFormat="false" ht="12.75" hidden="false" customHeight="true" outlineLevel="0" collapsed="false"/>
    <row r="63634" customFormat="false" ht="12.75" hidden="false" customHeight="true" outlineLevel="0" collapsed="false"/>
    <row r="63635" customFormat="false" ht="12.75" hidden="false" customHeight="true" outlineLevel="0" collapsed="false"/>
    <row r="63636" customFormat="false" ht="12.75" hidden="false" customHeight="true" outlineLevel="0" collapsed="false"/>
    <row r="63637" customFormat="false" ht="12.75" hidden="false" customHeight="true" outlineLevel="0" collapsed="false"/>
    <row r="63638" customFormat="false" ht="12.75" hidden="false" customHeight="true" outlineLevel="0" collapsed="false"/>
    <row r="63639" customFormat="false" ht="12.75" hidden="false" customHeight="true" outlineLevel="0" collapsed="false"/>
    <row r="63640" customFormat="false" ht="12.75" hidden="false" customHeight="true" outlineLevel="0" collapsed="false"/>
    <row r="63641" customFormat="false" ht="12.75" hidden="false" customHeight="true" outlineLevel="0" collapsed="false"/>
    <row r="63642" customFormat="false" ht="12.75" hidden="false" customHeight="true" outlineLevel="0" collapsed="false"/>
    <row r="63643" customFormat="false" ht="12.75" hidden="false" customHeight="true" outlineLevel="0" collapsed="false"/>
    <row r="63644" customFormat="false" ht="12.75" hidden="false" customHeight="true" outlineLevel="0" collapsed="false"/>
    <row r="63645" customFormat="false" ht="12.75" hidden="false" customHeight="true" outlineLevel="0" collapsed="false"/>
    <row r="63646" customFormat="false" ht="12.75" hidden="false" customHeight="true" outlineLevel="0" collapsed="false"/>
    <row r="63647" customFormat="false" ht="12.75" hidden="false" customHeight="true" outlineLevel="0" collapsed="false"/>
    <row r="63648" customFormat="false" ht="12.75" hidden="false" customHeight="true" outlineLevel="0" collapsed="false"/>
    <row r="63649" customFormat="false" ht="12.75" hidden="false" customHeight="true" outlineLevel="0" collapsed="false"/>
    <row r="63650" customFormat="false" ht="12.75" hidden="false" customHeight="true" outlineLevel="0" collapsed="false"/>
    <row r="63651" customFormat="false" ht="12.75" hidden="false" customHeight="true" outlineLevel="0" collapsed="false"/>
    <row r="63652" customFormat="false" ht="12.75" hidden="false" customHeight="true" outlineLevel="0" collapsed="false"/>
    <row r="63653" customFormat="false" ht="12.75" hidden="false" customHeight="true" outlineLevel="0" collapsed="false"/>
    <row r="63654" customFormat="false" ht="12.75" hidden="false" customHeight="true" outlineLevel="0" collapsed="false"/>
    <row r="63655" customFormat="false" ht="12.75" hidden="false" customHeight="true" outlineLevel="0" collapsed="false"/>
    <row r="63656" customFormat="false" ht="12.75" hidden="false" customHeight="true" outlineLevel="0" collapsed="false"/>
    <row r="63657" customFormat="false" ht="12.75" hidden="false" customHeight="true" outlineLevel="0" collapsed="false"/>
    <row r="63658" customFormat="false" ht="12.75" hidden="false" customHeight="true" outlineLevel="0" collapsed="false"/>
    <row r="63659" customFormat="false" ht="12.75" hidden="false" customHeight="true" outlineLevel="0" collapsed="false"/>
    <row r="63660" customFormat="false" ht="12.75" hidden="false" customHeight="true" outlineLevel="0" collapsed="false"/>
    <row r="63661" customFormat="false" ht="12.75" hidden="false" customHeight="true" outlineLevel="0" collapsed="false"/>
    <row r="63662" customFormat="false" ht="12.75" hidden="false" customHeight="true" outlineLevel="0" collapsed="false"/>
    <row r="63663" customFormat="false" ht="12.75" hidden="false" customHeight="true" outlineLevel="0" collapsed="false"/>
    <row r="63664" customFormat="false" ht="12.75" hidden="false" customHeight="true" outlineLevel="0" collapsed="false"/>
    <row r="63665" customFormat="false" ht="12.75" hidden="false" customHeight="true" outlineLevel="0" collapsed="false"/>
    <row r="63666" customFormat="false" ht="12.75" hidden="false" customHeight="true" outlineLevel="0" collapsed="false"/>
    <row r="63667" customFormat="false" ht="12.75" hidden="false" customHeight="true" outlineLevel="0" collapsed="false"/>
    <row r="63668" customFormat="false" ht="12.75" hidden="false" customHeight="true" outlineLevel="0" collapsed="false"/>
    <row r="63669" customFormat="false" ht="12.75" hidden="false" customHeight="true" outlineLevel="0" collapsed="false"/>
    <row r="63670" customFormat="false" ht="12.75" hidden="false" customHeight="true" outlineLevel="0" collapsed="false"/>
    <row r="63671" customFormat="false" ht="12.75" hidden="false" customHeight="true" outlineLevel="0" collapsed="false"/>
    <row r="63672" customFormat="false" ht="12.75" hidden="false" customHeight="true" outlineLevel="0" collapsed="false"/>
    <row r="63673" customFormat="false" ht="12.75" hidden="false" customHeight="true" outlineLevel="0" collapsed="false"/>
    <row r="63674" customFormat="false" ht="12.75" hidden="false" customHeight="true" outlineLevel="0" collapsed="false"/>
    <row r="63675" customFormat="false" ht="12.75" hidden="false" customHeight="true" outlineLevel="0" collapsed="false"/>
    <row r="63676" customFormat="false" ht="12.75" hidden="false" customHeight="true" outlineLevel="0" collapsed="false"/>
    <row r="63677" customFormat="false" ht="12.75" hidden="false" customHeight="true" outlineLevel="0" collapsed="false"/>
    <row r="63678" customFormat="false" ht="12.75" hidden="false" customHeight="true" outlineLevel="0" collapsed="false"/>
    <row r="63679" customFormat="false" ht="12.75" hidden="false" customHeight="true" outlineLevel="0" collapsed="false"/>
    <row r="63680" customFormat="false" ht="12.75" hidden="false" customHeight="true" outlineLevel="0" collapsed="false"/>
    <row r="63681" customFormat="false" ht="12.75" hidden="false" customHeight="true" outlineLevel="0" collapsed="false"/>
    <row r="63682" customFormat="false" ht="12.75" hidden="false" customHeight="true" outlineLevel="0" collapsed="false"/>
    <row r="63683" customFormat="false" ht="12.75" hidden="false" customHeight="true" outlineLevel="0" collapsed="false"/>
    <row r="63684" customFormat="false" ht="12.75" hidden="false" customHeight="true" outlineLevel="0" collapsed="false"/>
    <row r="63685" customFormat="false" ht="12.75" hidden="false" customHeight="true" outlineLevel="0" collapsed="false"/>
    <row r="63686" customFormat="false" ht="12.75" hidden="false" customHeight="true" outlineLevel="0" collapsed="false"/>
    <row r="63687" customFormat="false" ht="12.75" hidden="false" customHeight="true" outlineLevel="0" collapsed="false"/>
    <row r="63688" customFormat="false" ht="12.75" hidden="false" customHeight="true" outlineLevel="0" collapsed="false"/>
    <row r="63689" customFormat="false" ht="12.75" hidden="false" customHeight="true" outlineLevel="0" collapsed="false"/>
    <row r="63690" customFormat="false" ht="12.75" hidden="false" customHeight="true" outlineLevel="0" collapsed="false"/>
    <row r="63691" customFormat="false" ht="12.75" hidden="false" customHeight="true" outlineLevel="0" collapsed="false"/>
    <row r="63692" customFormat="false" ht="12.75" hidden="false" customHeight="true" outlineLevel="0" collapsed="false"/>
    <row r="63693" customFormat="false" ht="12.75" hidden="false" customHeight="true" outlineLevel="0" collapsed="false"/>
    <row r="63694" customFormat="false" ht="12.75" hidden="false" customHeight="true" outlineLevel="0" collapsed="false"/>
    <row r="63695" customFormat="false" ht="12.75" hidden="false" customHeight="true" outlineLevel="0" collapsed="false"/>
    <row r="63696" customFormat="false" ht="12.75" hidden="false" customHeight="true" outlineLevel="0" collapsed="false"/>
    <row r="63697" customFormat="false" ht="12.75" hidden="false" customHeight="true" outlineLevel="0" collapsed="false"/>
    <row r="63698" customFormat="false" ht="12.75" hidden="false" customHeight="true" outlineLevel="0" collapsed="false"/>
    <row r="63699" customFormat="false" ht="12.75" hidden="false" customHeight="true" outlineLevel="0" collapsed="false"/>
    <row r="63700" customFormat="false" ht="12.75" hidden="false" customHeight="true" outlineLevel="0" collapsed="false"/>
    <row r="63701" customFormat="false" ht="12.75" hidden="false" customHeight="true" outlineLevel="0" collapsed="false"/>
    <row r="63702" customFormat="false" ht="12.75" hidden="false" customHeight="true" outlineLevel="0" collapsed="false"/>
    <row r="63703" customFormat="false" ht="12.75" hidden="false" customHeight="true" outlineLevel="0" collapsed="false"/>
    <row r="63704" customFormat="false" ht="12.75" hidden="false" customHeight="true" outlineLevel="0" collapsed="false"/>
    <row r="63705" customFormat="false" ht="12.75" hidden="false" customHeight="true" outlineLevel="0" collapsed="false"/>
    <row r="63706" customFormat="false" ht="12.75" hidden="false" customHeight="true" outlineLevel="0" collapsed="false"/>
    <row r="63707" customFormat="false" ht="12.75" hidden="false" customHeight="true" outlineLevel="0" collapsed="false"/>
    <row r="63708" customFormat="false" ht="12.75" hidden="false" customHeight="true" outlineLevel="0" collapsed="false"/>
    <row r="63709" customFormat="false" ht="12.75" hidden="false" customHeight="true" outlineLevel="0" collapsed="false"/>
    <row r="63710" customFormat="false" ht="12.75" hidden="false" customHeight="true" outlineLevel="0" collapsed="false"/>
    <row r="63711" customFormat="false" ht="12.75" hidden="false" customHeight="true" outlineLevel="0" collapsed="false"/>
    <row r="63712" customFormat="false" ht="12.75" hidden="false" customHeight="true" outlineLevel="0" collapsed="false"/>
    <row r="63713" customFormat="false" ht="12.75" hidden="false" customHeight="true" outlineLevel="0" collapsed="false"/>
    <row r="63714" customFormat="false" ht="12.75" hidden="false" customHeight="true" outlineLevel="0" collapsed="false"/>
    <row r="63715" customFormat="false" ht="12.75" hidden="false" customHeight="true" outlineLevel="0" collapsed="false"/>
    <row r="63716" customFormat="false" ht="12.75" hidden="false" customHeight="true" outlineLevel="0" collapsed="false"/>
    <row r="63717" customFormat="false" ht="12.75" hidden="false" customHeight="true" outlineLevel="0" collapsed="false"/>
    <row r="63718" customFormat="false" ht="12.75" hidden="false" customHeight="true" outlineLevel="0" collapsed="false"/>
    <row r="63719" customFormat="false" ht="12.75" hidden="false" customHeight="true" outlineLevel="0" collapsed="false"/>
    <row r="63720" customFormat="false" ht="12.75" hidden="false" customHeight="true" outlineLevel="0" collapsed="false"/>
    <row r="63721" customFormat="false" ht="12.75" hidden="false" customHeight="true" outlineLevel="0" collapsed="false"/>
    <row r="63722" customFormat="false" ht="12.75" hidden="false" customHeight="true" outlineLevel="0" collapsed="false"/>
    <row r="63723" customFormat="false" ht="12.75" hidden="false" customHeight="true" outlineLevel="0" collapsed="false"/>
    <row r="63724" customFormat="false" ht="12.75" hidden="false" customHeight="true" outlineLevel="0" collapsed="false"/>
    <row r="63725" customFormat="false" ht="12.75" hidden="false" customHeight="true" outlineLevel="0" collapsed="false"/>
    <row r="63726" customFormat="false" ht="12.75" hidden="false" customHeight="true" outlineLevel="0" collapsed="false"/>
    <row r="63727" customFormat="false" ht="12.75" hidden="false" customHeight="true" outlineLevel="0" collapsed="false"/>
    <row r="63728" customFormat="false" ht="12.75" hidden="false" customHeight="true" outlineLevel="0" collapsed="false"/>
    <row r="63729" customFormat="false" ht="12.75" hidden="false" customHeight="true" outlineLevel="0" collapsed="false"/>
    <row r="63730" customFormat="false" ht="12.75" hidden="false" customHeight="true" outlineLevel="0" collapsed="false"/>
    <row r="63731" customFormat="false" ht="12.75" hidden="false" customHeight="true" outlineLevel="0" collapsed="false"/>
    <row r="63732" customFormat="false" ht="12.75" hidden="false" customHeight="true" outlineLevel="0" collapsed="false"/>
    <row r="63733" customFormat="false" ht="12.75" hidden="false" customHeight="true" outlineLevel="0" collapsed="false"/>
    <row r="63734" customFormat="false" ht="12.75" hidden="false" customHeight="true" outlineLevel="0" collapsed="false"/>
    <row r="63735" customFormat="false" ht="12.75" hidden="false" customHeight="true" outlineLevel="0" collapsed="false"/>
    <row r="63736" customFormat="false" ht="12.75" hidden="false" customHeight="true" outlineLevel="0" collapsed="false"/>
    <row r="63737" customFormat="false" ht="12.75" hidden="false" customHeight="true" outlineLevel="0" collapsed="false"/>
    <row r="63738" customFormat="false" ht="12.75" hidden="false" customHeight="true" outlineLevel="0" collapsed="false"/>
    <row r="63739" customFormat="false" ht="12.75" hidden="false" customHeight="true" outlineLevel="0" collapsed="false"/>
    <row r="63740" customFormat="false" ht="12.75" hidden="false" customHeight="true" outlineLevel="0" collapsed="false"/>
    <row r="63741" customFormat="false" ht="12.75" hidden="false" customHeight="true" outlineLevel="0" collapsed="false"/>
    <row r="63742" customFormat="false" ht="12.75" hidden="false" customHeight="true" outlineLevel="0" collapsed="false"/>
    <row r="63743" customFormat="false" ht="12.75" hidden="false" customHeight="true" outlineLevel="0" collapsed="false"/>
    <row r="63744" customFormat="false" ht="12.75" hidden="false" customHeight="true" outlineLevel="0" collapsed="false"/>
    <row r="63745" customFormat="false" ht="12.75" hidden="false" customHeight="true" outlineLevel="0" collapsed="false"/>
    <row r="63746" customFormat="false" ht="12.75" hidden="false" customHeight="true" outlineLevel="0" collapsed="false"/>
    <row r="63747" customFormat="false" ht="12.75" hidden="false" customHeight="true" outlineLevel="0" collapsed="false"/>
    <row r="63748" customFormat="false" ht="12.75" hidden="false" customHeight="true" outlineLevel="0" collapsed="false"/>
    <row r="63749" customFormat="false" ht="12.75" hidden="false" customHeight="true" outlineLevel="0" collapsed="false"/>
    <row r="63750" customFormat="false" ht="12.75" hidden="false" customHeight="true" outlineLevel="0" collapsed="false"/>
    <row r="63751" customFormat="false" ht="12.75" hidden="false" customHeight="true" outlineLevel="0" collapsed="false"/>
    <row r="63752" customFormat="false" ht="12.75" hidden="false" customHeight="true" outlineLevel="0" collapsed="false"/>
    <row r="63753" customFormat="false" ht="12.75" hidden="false" customHeight="true" outlineLevel="0" collapsed="false"/>
    <row r="63754" customFormat="false" ht="12.75" hidden="false" customHeight="true" outlineLevel="0" collapsed="false"/>
    <row r="63755" customFormat="false" ht="12.75" hidden="false" customHeight="true" outlineLevel="0" collapsed="false"/>
    <row r="63756" customFormat="false" ht="12.75" hidden="false" customHeight="true" outlineLevel="0" collapsed="false"/>
    <row r="63757" customFormat="false" ht="12.75" hidden="false" customHeight="true" outlineLevel="0" collapsed="false"/>
    <row r="63758" customFormat="false" ht="12.75" hidden="false" customHeight="true" outlineLevel="0" collapsed="false"/>
    <row r="63759" customFormat="false" ht="12.75" hidden="false" customHeight="true" outlineLevel="0" collapsed="false"/>
    <row r="63760" customFormat="false" ht="12.75" hidden="false" customHeight="true" outlineLevel="0" collapsed="false"/>
    <row r="63761" customFormat="false" ht="12.75" hidden="false" customHeight="true" outlineLevel="0" collapsed="false"/>
    <row r="63762" customFormat="false" ht="12.75" hidden="false" customHeight="true" outlineLevel="0" collapsed="false"/>
    <row r="63763" customFormat="false" ht="12.75" hidden="false" customHeight="true" outlineLevel="0" collapsed="false"/>
    <row r="63764" customFormat="false" ht="12.75" hidden="false" customHeight="true" outlineLevel="0" collapsed="false"/>
    <row r="63765" customFormat="false" ht="12.75" hidden="false" customHeight="true" outlineLevel="0" collapsed="false"/>
    <row r="63766" customFormat="false" ht="12.75" hidden="false" customHeight="true" outlineLevel="0" collapsed="false"/>
    <row r="63767" customFormat="false" ht="12.75" hidden="false" customHeight="true" outlineLevel="0" collapsed="false"/>
    <row r="63768" customFormat="false" ht="12.75" hidden="false" customHeight="true" outlineLevel="0" collapsed="false"/>
    <row r="63769" customFormat="false" ht="12.75" hidden="false" customHeight="true" outlineLevel="0" collapsed="false"/>
    <row r="63770" customFormat="false" ht="12.75" hidden="false" customHeight="true" outlineLevel="0" collapsed="false"/>
    <row r="63771" customFormat="false" ht="12.75" hidden="false" customHeight="true" outlineLevel="0" collapsed="false"/>
    <row r="63772" customFormat="false" ht="12.75" hidden="false" customHeight="true" outlineLevel="0" collapsed="false"/>
    <row r="63773" customFormat="false" ht="12.75" hidden="false" customHeight="true" outlineLevel="0" collapsed="false"/>
    <row r="63774" customFormat="false" ht="12.75" hidden="false" customHeight="true" outlineLevel="0" collapsed="false"/>
    <row r="63775" customFormat="false" ht="12.75" hidden="false" customHeight="true" outlineLevel="0" collapsed="false"/>
    <row r="63776" customFormat="false" ht="12.75" hidden="false" customHeight="true" outlineLevel="0" collapsed="false"/>
    <row r="63777" customFormat="false" ht="12.75" hidden="false" customHeight="true" outlineLevel="0" collapsed="false"/>
    <row r="63778" customFormat="false" ht="12.75" hidden="false" customHeight="true" outlineLevel="0" collapsed="false"/>
    <row r="63779" customFormat="false" ht="12.75" hidden="false" customHeight="true" outlineLevel="0" collapsed="false"/>
    <row r="63780" customFormat="false" ht="12.75" hidden="false" customHeight="true" outlineLevel="0" collapsed="false"/>
    <row r="63781" customFormat="false" ht="12.75" hidden="false" customHeight="true" outlineLevel="0" collapsed="false"/>
    <row r="63782" customFormat="false" ht="12.75" hidden="false" customHeight="true" outlineLevel="0" collapsed="false"/>
    <row r="63783" customFormat="false" ht="12.75" hidden="false" customHeight="true" outlineLevel="0" collapsed="false"/>
    <row r="63784" customFormat="false" ht="12.75" hidden="false" customHeight="true" outlineLevel="0" collapsed="false"/>
    <row r="63785" customFormat="false" ht="12.75" hidden="false" customHeight="true" outlineLevel="0" collapsed="false"/>
    <row r="63786" customFormat="false" ht="12.75" hidden="false" customHeight="true" outlineLevel="0" collapsed="false"/>
    <row r="63787" customFormat="false" ht="12.75" hidden="false" customHeight="true" outlineLevel="0" collapsed="false"/>
    <row r="63788" customFormat="false" ht="12.75" hidden="false" customHeight="true" outlineLevel="0" collapsed="false"/>
    <row r="63789" customFormat="false" ht="12.75" hidden="false" customHeight="true" outlineLevel="0" collapsed="false"/>
    <row r="63790" customFormat="false" ht="12.75" hidden="false" customHeight="true" outlineLevel="0" collapsed="false"/>
    <row r="63791" customFormat="false" ht="12.75" hidden="false" customHeight="true" outlineLevel="0" collapsed="false"/>
    <row r="63792" customFormat="false" ht="12.75" hidden="false" customHeight="true" outlineLevel="0" collapsed="false"/>
    <row r="63793" customFormat="false" ht="12.75" hidden="false" customHeight="true" outlineLevel="0" collapsed="false"/>
    <row r="63794" customFormat="false" ht="12.75" hidden="false" customHeight="true" outlineLevel="0" collapsed="false"/>
    <row r="63795" customFormat="false" ht="12.75" hidden="false" customHeight="true" outlineLevel="0" collapsed="false"/>
    <row r="63796" customFormat="false" ht="12.75" hidden="false" customHeight="true" outlineLevel="0" collapsed="false"/>
    <row r="63797" customFormat="false" ht="12.75" hidden="false" customHeight="true" outlineLevel="0" collapsed="false"/>
    <row r="63798" customFormat="false" ht="12.75" hidden="false" customHeight="true" outlineLevel="0" collapsed="false"/>
    <row r="63799" customFormat="false" ht="12.75" hidden="false" customHeight="true" outlineLevel="0" collapsed="false"/>
    <row r="63800" customFormat="false" ht="12.75" hidden="false" customHeight="true" outlineLevel="0" collapsed="false"/>
    <row r="63801" customFormat="false" ht="12.75" hidden="false" customHeight="true" outlineLevel="0" collapsed="false"/>
    <row r="63802" customFormat="false" ht="12.75" hidden="false" customHeight="true" outlineLevel="0" collapsed="false"/>
    <row r="63803" customFormat="false" ht="12.75" hidden="false" customHeight="true" outlineLevel="0" collapsed="false"/>
    <row r="63804" customFormat="false" ht="12.75" hidden="false" customHeight="true" outlineLevel="0" collapsed="false"/>
    <row r="63805" customFormat="false" ht="12.75" hidden="false" customHeight="true" outlineLevel="0" collapsed="false"/>
    <row r="63806" customFormat="false" ht="12.75" hidden="false" customHeight="true" outlineLevel="0" collapsed="false"/>
    <row r="63807" customFormat="false" ht="12.75" hidden="false" customHeight="true" outlineLevel="0" collapsed="false"/>
    <row r="63808" customFormat="false" ht="12.75" hidden="false" customHeight="true" outlineLevel="0" collapsed="false"/>
    <row r="63809" customFormat="false" ht="12.75" hidden="false" customHeight="true" outlineLevel="0" collapsed="false"/>
    <row r="63810" customFormat="false" ht="12.75" hidden="false" customHeight="true" outlineLevel="0" collapsed="false"/>
    <row r="63811" customFormat="false" ht="12.75" hidden="false" customHeight="true" outlineLevel="0" collapsed="false"/>
    <row r="63812" customFormat="false" ht="12.75" hidden="false" customHeight="true" outlineLevel="0" collapsed="false"/>
    <row r="63813" customFormat="false" ht="12.75" hidden="false" customHeight="true" outlineLevel="0" collapsed="false"/>
    <row r="63814" customFormat="false" ht="12.75" hidden="false" customHeight="true" outlineLevel="0" collapsed="false"/>
    <row r="63815" customFormat="false" ht="12.75" hidden="false" customHeight="true" outlineLevel="0" collapsed="false"/>
    <row r="63816" customFormat="false" ht="12.75" hidden="false" customHeight="true" outlineLevel="0" collapsed="false"/>
    <row r="63817" customFormat="false" ht="12.75" hidden="false" customHeight="true" outlineLevel="0" collapsed="false"/>
    <row r="63818" customFormat="false" ht="12.75" hidden="false" customHeight="true" outlineLevel="0" collapsed="false"/>
    <row r="63819" customFormat="false" ht="12.75" hidden="false" customHeight="true" outlineLevel="0" collapsed="false"/>
    <row r="63820" customFormat="false" ht="12.75" hidden="false" customHeight="true" outlineLevel="0" collapsed="false"/>
    <row r="63821" customFormat="false" ht="12.75" hidden="false" customHeight="true" outlineLevel="0" collapsed="false"/>
    <row r="63822" customFormat="false" ht="12.75" hidden="false" customHeight="true" outlineLevel="0" collapsed="false"/>
    <row r="63823" customFormat="false" ht="12.75" hidden="false" customHeight="true" outlineLevel="0" collapsed="false"/>
    <row r="63824" customFormat="false" ht="12.75" hidden="false" customHeight="true" outlineLevel="0" collapsed="false"/>
    <row r="63825" customFormat="false" ht="12.75" hidden="false" customHeight="true" outlineLevel="0" collapsed="false"/>
    <row r="63826" customFormat="false" ht="12.75" hidden="false" customHeight="true" outlineLevel="0" collapsed="false"/>
    <row r="63827" customFormat="false" ht="12.75" hidden="false" customHeight="true" outlineLevel="0" collapsed="false"/>
    <row r="63828" customFormat="false" ht="12.75" hidden="false" customHeight="true" outlineLevel="0" collapsed="false"/>
    <row r="63829" customFormat="false" ht="12.75" hidden="false" customHeight="true" outlineLevel="0" collapsed="false"/>
    <row r="63830" customFormat="false" ht="12.75" hidden="false" customHeight="true" outlineLevel="0" collapsed="false"/>
    <row r="63831" customFormat="false" ht="12.75" hidden="false" customHeight="true" outlineLevel="0" collapsed="false"/>
    <row r="63832" customFormat="false" ht="12.75" hidden="false" customHeight="true" outlineLevel="0" collapsed="false"/>
    <row r="63833" customFormat="false" ht="12.75" hidden="false" customHeight="true" outlineLevel="0" collapsed="false"/>
    <row r="63834" customFormat="false" ht="12.75" hidden="false" customHeight="true" outlineLevel="0" collapsed="false"/>
    <row r="63835" customFormat="false" ht="12.75" hidden="false" customHeight="true" outlineLevel="0" collapsed="false"/>
    <row r="63836" customFormat="false" ht="12.75" hidden="false" customHeight="true" outlineLevel="0" collapsed="false"/>
    <row r="63837" customFormat="false" ht="12.75" hidden="false" customHeight="true" outlineLevel="0" collapsed="false"/>
    <row r="63838" customFormat="false" ht="12.75" hidden="false" customHeight="true" outlineLevel="0" collapsed="false"/>
    <row r="63839" customFormat="false" ht="12.75" hidden="false" customHeight="true" outlineLevel="0" collapsed="false"/>
    <row r="63840" customFormat="false" ht="12.75" hidden="false" customHeight="true" outlineLevel="0" collapsed="false"/>
    <row r="63841" customFormat="false" ht="12.75" hidden="false" customHeight="true" outlineLevel="0" collapsed="false"/>
    <row r="63842" customFormat="false" ht="12.75" hidden="false" customHeight="true" outlineLevel="0" collapsed="false"/>
    <row r="63843" customFormat="false" ht="12.75" hidden="false" customHeight="true" outlineLevel="0" collapsed="false"/>
    <row r="63844" customFormat="false" ht="12.75" hidden="false" customHeight="true" outlineLevel="0" collapsed="false"/>
    <row r="63845" customFormat="false" ht="12.75" hidden="false" customHeight="true" outlineLevel="0" collapsed="false"/>
    <row r="63846" customFormat="false" ht="12.75" hidden="false" customHeight="true" outlineLevel="0" collapsed="false"/>
    <row r="63847" customFormat="false" ht="12.75" hidden="false" customHeight="true" outlineLevel="0" collapsed="false"/>
    <row r="63848" customFormat="false" ht="12.75" hidden="false" customHeight="true" outlineLevel="0" collapsed="false"/>
    <row r="63849" customFormat="false" ht="12.75" hidden="false" customHeight="true" outlineLevel="0" collapsed="false"/>
    <row r="63850" customFormat="false" ht="12.75" hidden="false" customHeight="true" outlineLevel="0" collapsed="false"/>
    <row r="63851" customFormat="false" ht="12.75" hidden="false" customHeight="true" outlineLevel="0" collapsed="false"/>
    <row r="63852" customFormat="false" ht="12.75" hidden="false" customHeight="true" outlineLevel="0" collapsed="false"/>
    <row r="63853" customFormat="false" ht="12.75" hidden="false" customHeight="true" outlineLevel="0" collapsed="false"/>
    <row r="63854" customFormat="false" ht="12.75" hidden="false" customHeight="true" outlineLevel="0" collapsed="false"/>
    <row r="63855" customFormat="false" ht="12.75" hidden="false" customHeight="true" outlineLevel="0" collapsed="false"/>
    <row r="63856" customFormat="false" ht="12.75" hidden="false" customHeight="true" outlineLevel="0" collapsed="false"/>
    <row r="63857" customFormat="false" ht="12.75" hidden="false" customHeight="true" outlineLevel="0" collapsed="false"/>
    <row r="63858" customFormat="false" ht="12.75" hidden="false" customHeight="true" outlineLevel="0" collapsed="false"/>
    <row r="63859" customFormat="false" ht="12.75" hidden="false" customHeight="true" outlineLevel="0" collapsed="false"/>
    <row r="63860" customFormat="false" ht="12.75" hidden="false" customHeight="true" outlineLevel="0" collapsed="false"/>
    <row r="63861" customFormat="false" ht="12.75" hidden="false" customHeight="true" outlineLevel="0" collapsed="false"/>
    <row r="63862" customFormat="false" ht="12.75" hidden="false" customHeight="true" outlineLevel="0" collapsed="false"/>
    <row r="63863" customFormat="false" ht="12.75" hidden="false" customHeight="true" outlineLevel="0" collapsed="false"/>
    <row r="63864" customFormat="false" ht="12.75" hidden="false" customHeight="true" outlineLevel="0" collapsed="false"/>
    <row r="63865" customFormat="false" ht="12.75" hidden="false" customHeight="true" outlineLevel="0" collapsed="false"/>
    <row r="63866" customFormat="false" ht="12.75" hidden="false" customHeight="true" outlineLevel="0" collapsed="false"/>
    <row r="63867" customFormat="false" ht="12.75" hidden="false" customHeight="true" outlineLevel="0" collapsed="false"/>
    <row r="63868" customFormat="false" ht="12.75" hidden="false" customHeight="true" outlineLevel="0" collapsed="false"/>
    <row r="63869" customFormat="false" ht="12.75" hidden="false" customHeight="true" outlineLevel="0" collapsed="false"/>
    <row r="63870" customFormat="false" ht="12.75" hidden="false" customHeight="true" outlineLevel="0" collapsed="false"/>
    <row r="63871" customFormat="false" ht="12.75" hidden="false" customHeight="true" outlineLevel="0" collapsed="false"/>
    <row r="63872" customFormat="false" ht="12.75" hidden="false" customHeight="true" outlineLevel="0" collapsed="false"/>
    <row r="63873" customFormat="false" ht="12.75" hidden="false" customHeight="true" outlineLevel="0" collapsed="false"/>
    <row r="63874" customFormat="false" ht="12.75" hidden="false" customHeight="true" outlineLevel="0" collapsed="false"/>
    <row r="63875" customFormat="false" ht="12.75" hidden="false" customHeight="true" outlineLevel="0" collapsed="false"/>
    <row r="63876" customFormat="false" ht="12.75" hidden="false" customHeight="true" outlineLevel="0" collapsed="false"/>
    <row r="63877" customFormat="false" ht="12.75" hidden="false" customHeight="true" outlineLevel="0" collapsed="false"/>
    <row r="63878" customFormat="false" ht="12.75" hidden="false" customHeight="true" outlineLevel="0" collapsed="false"/>
    <row r="63879" customFormat="false" ht="12.75" hidden="false" customHeight="true" outlineLevel="0" collapsed="false"/>
    <row r="63880" customFormat="false" ht="12.75" hidden="false" customHeight="true" outlineLevel="0" collapsed="false"/>
    <row r="63881" customFormat="false" ht="12.75" hidden="false" customHeight="true" outlineLevel="0" collapsed="false"/>
    <row r="63882" customFormat="false" ht="12.75" hidden="false" customHeight="true" outlineLevel="0" collapsed="false"/>
    <row r="63883" customFormat="false" ht="12.75" hidden="false" customHeight="true" outlineLevel="0" collapsed="false"/>
    <row r="63884" customFormat="false" ht="12.75" hidden="false" customHeight="true" outlineLevel="0" collapsed="false"/>
    <row r="63885" customFormat="false" ht="12.75" hidden="false" customHeight="true" outlineLevel="0" collapsed="false"/>
    <row r="63886" customFormat="false" ht="12.75" hidden="false" customHeight="true" outlineLevel="0" collapsed="false"/>
    <row r="63887" customFormat="false" ht="12.75" hidden="false" customHeight="true" outlineLevel="0" collapsed="false"/>
    <row r="63888" customFormat="false" ht="12.75" hidden="false" customHeight="true" outlineLevel="0" collapsed="false"/>
    <row r="63889" customFormat="false" ht="12.75" hidden="false" customHeight="true" outlineLevel="0" collapsed="false"/>
    <row r="63890" customFormat="false" ht="12.75" hidden="false" customHeight="true" outlineLevel="0" collapsed="false"/>
    <row r="63891" customFormat="false" ht="12.75" hidden="false" customHeight="true" outlineLevel="0" collapsed="false"/>
    <row r="63892" customFormat="false" ht="12.75" hidden="false" customHeight="true" outlineLevel="0" collapsed="false"/>
    <row r="63893" customFormat="false" ht="12.75" hidden="false" customHeight="true" outlineLevel="0" collapsed="false"/>
    <row r="63894" customFormat="false" ht="12.75" hidden="false" customHeight="true" outlineLevel="0" collapsed="false"/>
    <row r="63895" customFormat="false" ht="12.75" hidden="false" customHeight="true" outlineLevel="0" collapsed="false"/>
    <row r="63896" customFormat="false" ht="12.75" hidden="false" customHeight="true" outlineLevel="0" collapsed="false"/>
    <row r="63897" customFormat="false" ht="12.75" hidden="false" customHeight="true" outlineLevel="0" collapsed="false"/>
    <row r="63898" customFormat="false" ht="12.75" hidden="false" customHeight="true" outlineLevel="0" collapsed="false"/>
    <row r="63899" customFormat="false" ht="12.75" hidden="false" customHeight="true" outlineLevel="0" collapsed="false"/>
    <row r="63900" customFormat="false" ht="12.75" hidden="false" customHeight="true" outlineLevel="0" collapsed="false"/>
    <row r="63901" customFormat="false" ht="12.75" hidden="false" customHeight="true" outlineLevel="0" collapsed="false"/>
    <row r="63902" customFormat="false" ht="12.75" hidden="false" customHeight="true" outlineLevel="0" collapsed="false"/>
    <row r="63903" customFormat="false" ht="12.75" hidden="false" customHeight="true" outlineLevel="0" collapsed="false"/>
    <row r="63904" customFormat="false" ht="12.75" hidden="false" customHeight="true" outlineLevel="0" collapsed="false"/>
    <row r="63905" customFormat="false" ht="12.75" hidden="false" customHeight="true" outlineLevel="0" collapsed="false"/>
    <row r="63906" customFormat="false" ht="12.75" hidden="false" customHeight="true" outlineLevel="0" collapsed="false"/>
    <row r="63907" customFormat="false" ht="12.75" hidden="false" customHeight="true" outlineLevel="0" collapsed="false"/>
    <row r="63908" customFormat="false" ht="12.75" hidden="false" customHeight="true" outlineLevel="0" collapsed="false"/>
    <row r="63909" customFormat="false" ht="12.75" hidden="false" customHeight="true" outlineLevel="0" collapsed="false"/>
    <row r="63910" customFormat="false" ht="12.75" hidden="false" customHeight="true" outlineLevel="0" collapsed="false"/>
    <row r="63911" customFormat="false" ht="12.75" hidden="false" customHeight="true" outlineLevel="0" collapsed="false"/>
    <row r="63912" customFormat="false" ht="12.75" hidden="false" customHeight="true" outlineLevel="0" collapsed="false"/>
    <row r="63913" customFormat="false" ht="12.75" hidden="false" customHeight="true" outlineLevel="0" collapsed="false"/>
    <row r="63914" customFormat="false" ht="12.75" hidden="false" customHeight="true" outlineLevel="0" collapsed="false"/>
    <row r="63915" customFormat="false" ht="12.75" hidden="false" customHeight="true" outlineLevel="0" collapsed="false"/>
    <row r="63916" customFormat="false" ht="12.75" hidden="false" customHeight="true" outlineLevel="0" collapsed="false"/>
    <row r="63917" customFormat="false" ht="12.75" hidden="false" customHeight="true" outlineLevel="0" collapsed="false"/>
    <row r="63918" customFormat="false" ht="12.75" hidden="false" customHeight="true" outlineLevel="0" collapsed="false"/>
    <row r="63919" customFormat="false" ht="12.75" hidden="false" customHeight="true" outlineLevel="0" collapsed="false"/>
    <row r="63920" customFormat="false" ht="12.75" hidden="false" customHeight="true" outlineLevel="0" collapsed="false"/>
    <row r="63921" customFormat="false" ht="12.75" hidden="false" customHeight="true" outlineLevel="0" collapsed="false"/>
    <row r="63922" customFormat="false" ht="12.75" hidden="false" customHeight="true" outlineLevel="0" collapsed="false"/>
    <row r="63923" customFormat="false" ht="12.75" hidden="false" customHeight="true" outlineLevel="0" collapsed="false"/>
    <row r="63924" customFormat="false" ht="12.75" hidden="false" customHeight="true" outlineLevel="0" collapsed="false"/>
    <row r="63925" customFormat="false" ht="12.75" hidden="false" customHeight="true" outlineLevel="0" collapsed="false"/>
    <row r="63926" customFormat="false" ht="12.75" hidden="false" customHeight="true" outlineLevel="0" collapsed="false"/>
    <row r="63927" customFormat="false" ht="12.75" hidden="false" customHeight="true" outlineLevel="0" collapsed="false"/>
    <row r="63928" customFormat="false" ht="12.75" hidden="false" customHeight="true" outlineLevel="0" collapsed="false"/>
    <row r="63929" customFormat="false" ht="12.75" hidden="false" customHeight="true" outlineLevel="0" collapsed="false"/>
    <row r="63930" customFormat="false" ht="12.75" hidden="false" customHeight="true" outlineLevel="0" collapsed="false"/>
    <row r="63931" customFormat="false" ht="12.75" hidden="false" customHeight="true" outlineLevel="0" collapsed="false"/>
    <row r="63932" customFormat="false" ht="12.75" hidden="false" customHeight="true" outlineLevel="0" collapsed="false"/>
    <row r="63933" customFormat="false" ht="12.75" hidden="false" customHeight="true" outlineLevel="0" collapsed="false"/>
    <row r="63934" customFormat="false" ht="12.75" hidden="false" customHeight="true" outlineLevel="0" collapsed="false"/>
    <row r="63935" customFormat="false" ht="12.75" hidden="false" customHeight="true" outlineLevel="0" collapsed="false"/>
    <row r="63936" customFormat="false" ht="12.75" hidden="false" customHeight="true" outlineLevel="0" collapsed="false"/>
    <row r="63937" customFormat="false" ht="12.75" hidden="false" customHeight="true" outlineLevel="0" collapsed="false"/>
    <row r="63938" customFormat="false" ht="12.75" hidden="false" customHeight="true" outlineLevel="0" collapsed="false"/>
    <row r="63939" customFormat="false" ht="12.75" hidden="false" customHeight="true" outlineLevel="0" collapsed="false"/>
    <row r="63940" customFormat="false" ht="12.75" hidden="false" customHeight="true" outlineLevel="0" collapsed="false"/>
    <row r="63941" customFormat="false" ht="12.75" hidden="false" customHeight="true" outlineLevel="0" collapsed="false"/>
    <row r="63942" customFormat="false" ht="12.75" hidden="false" customHeight="true" outlineLevel="0" collapsed="false"/>
    <row r="63943" customFormat="false" ht="12.75" hidden="false" customHeight="true" outlineLevel="0" collapsed="false"/>
    <row r="63944" customFormat="false" ht="12.75" hidden="false" customHeight="true" outlineLevel="0" collapsed="false"/>
    <row r="63945" customFormat="false" ht="12.75" hidden="false" customHeight="true" outlineLevel="0" collapsed="false"/>
    <row r="63946" customFormat="false" ht="12.75" hidden="false" customHeight="true" outlineLevel="0" collapsed="false"/>
    <row r="63947" customFormat="false" ht="12.75" hidden="false" customHeight="true" outlineLevel="0" collapsed="false"/>
    <row r="63948" customFormat="false" ht="12.75" hidden="false" customHeight="true" outlineLevel="0" collapsed="false"/>
    <row r="63949" customFormat="false" ht="12.75" hidden="false" customHeight="true" outlineLevel="0" collapsed="false"/>
    <row r="63950" customFormat="false" ht="12.75" hidden="false" customHeight="true" outlineLevel="0" collapsed="false"/>
    <row r="63951" customFormat="false" ht="12.75" hidden="false" customHeight="true" outlineLevel="0" collapsed="false"/>
    <row r="63952" customFormat="false" ht="12.75" hidden="false" customHeight="true" outlineLevel="0" collapsed="false"/>
    <row r="63953" customFormat="false" ht="12.75" hidden="false" customHeight="true" outlineLevel="0" collapsed="false"/>
    <row r="63954" customFormat="false" ht="12.75" hidden="false" customHeight="true" outlineLevel="0" collapsed="false"/>
    <row r="63955" customFormat="false" ht="12.75" hidden="false" customHeight="true" outlineLevel="0" collapsed="false"/>
    <row r="63956" customFormat="false" ht="12.75" hidden="false" customHeight="true" outlineLevel="0" collapsed="false"/>
    <row r="63957" customFormat="false" ht="12.75" hidden="false" customHeight="true" outlineLevel="0" collapsed="false"/>
    <row r="63958" customFormat="false" ht="12.75" hidden="false" customHeight="true" outlineLevel="0" collapsed="false"/>
    <row r="63959" customFormat="false" ht="12.75" hidden="false" customHeight="true" outlineLevel="0" collapsed="false"/>
    <row r="63960" customFormat="false" ht="12.75" hidden="false" customHeight="true" outlineLevel="0" collapsed="false"/>
    <row r="63961" customFormat="false" ht="12.75" hidden="false" customHeight="true" outlineLevel="0" collapsed="false"/>
    <row r="63962" customFormat="false" ht="12.75" hidden="false" customHeight="true" outlineLevel="0" collapsed="false"/>
    <row r="63963" customFormat="false" ht="12.75" hidden="false" customHeight="true" outlineLevel="0" collapsed="false"/>
    <row r="63964" customFormat="false" ht="12.75" hidden="false" customHeight="true" outlineLevel="0" collapsed="false"/>
    <row r="63965" customFormat="false" ht="12.75" hidden="false" customHeight="true" outlineLevel="0" collapsed="false"/>
    <row r="63966" customFormat="false" ht="12.75" hidden="false" customHeight="true" outlineLevel="0" collapsed="false"/>
    <row r="63967" customFormat="false" ht="12.75" hidden="false" customHeight="true" outlineLevel="0" collapsed="false"/>
    <row r="63968" customFormat="false" ht="12.75" hidden="false" customHeight="true" outlineLevel="0" collapsed="false"/>
    <row r="63969" customFormat="false" ht="12.75" hidden="false" customHeight="true" outlineLevel="0" collapsed="false"/>
    <row r="63970" customFormat="false" ht="12.75" hidden="false" customHeight="true" outlineLevel="0" collapsed="false"/>
    <row r="63971" customFormat="false" ht="12.75" hidden="false" customHeight="true" outlineLevel="0" collapsed="false"/>
    <row r="63972" customFormat="false" ht="12.75" hidden="false" customHeight="true" outlineLevel="0" collapsed="false"/>
    <row r="63973" customFormat="false" ht="12.75" hidden="false" customHeight="true" outlineLevel="0" collapsed="false"/>
    <row r="63974" customFormat="false" ht="12.75" hidden="false" customHeight="true" outlineLevel="0" collapsed="false"/>
    <row r="63975" customFormat="false" ht="12.75" hidden="false" customHeight="true" outlineLevel="0" collapsed="false"/>
    <row r="63976" customFormat="false" ht="12.75" hidden="false" customHeight="true" outlineLevel="0" collapsed="false"/>
    <row r="63977" customFormat="false" ht="12.75" hidden="false" customHeight="true" outlineLevel="0" collapsed="false"/>
    <row r="63978" customFormat="false" ht="12.75" hidden="false" customHeight="true" outlineLevel="0" collapsed="false"/>
    <row r="63979" customFormat="false" ht="12.75" hidden="false" customHeight="true" outlineLevel="0" collapsed="false"/>
    <row r="63980" customFormat="false" ht="12.75" hidden="false" customHeight="true" outlineLevel="0" collapsed="false"/>
    <row r="63981" customFormat="false" ht="12.75" hidden="false" customHeight="true" outlineLevel="0" collapsed="false"/>
    <row r="63982" customFormat="false" ht="12.75" hidden="false" customHeight="true" outlineLevel="0" collapsed="false"/>
    <row r="63983" customFormat="false" ht="12.75" hidden="false" customHeight="true" outlineLevel="0" collapsed="false"/>
    <row r="63984" customFormat="false" ht="12.75" hidden="false" customHeight="true" outlineLevel="0" collapsed="false"/>
    <row r="63985" customFormat="false" ht="12.75" hidden="false" customHeight="true" outlineLevel="0" collapsed="false"/>
    <row r="63986" customFormat="false" ht="12.75" hidden="false" customHeight="true" outlineLevel="0" collapsed="false"/>
    <row r="63987" customFormat="false" ht="12.75" hidden="false" customHeight="true" outlineLevel="0" collapsed="false"/>
    <row r="63988" customFormat="false" ht="12.75" hidden="false" customHeight="true" outlineLevel="0" collapsed="false"/>
    <row r="63989" customFormat="false" ht="12.75" hidden="false" customHeight="true" outlineLevel="0" collapsed="false"/>
    <row r="63990" customFormat="false" ht="12.75" hidden="false" customHeight="true" outlineLevel="0" collapsed="false"/>
    <row r="63991" customFormat="false" ht="12.75" hidden="false" customHeight="true" outlineLevel="0" collapsed="false"/>
    <row r="63992" customFormat="false" ht="12.75" hidden="false" customHeight="true" outlineLevel="0" collapsed="false"/>
    <row r="63993" customFormat="false" ht="12.75" hidden="false" customHeight="true" outlineLevel="0" collapsed="false"/>
    <row r="63994" customFormat="false" ht="12.75" hidden="false" customHeight="true" outlineLevel="0" collapsed="false"/>
    <row r="63995" customFormat="false" ht="12.75" hidden="false" customHeight="true" outlineLevel="0" collapsed="false"/>
    <row r="63996" customFormat="false" ht="12.75" hidden="false" customHeight="true" outlineLevel="0" collapsed="false"/>
    <row r="63997" customFormat="false" ht="12.75" hidden="false" customHeight="true" outlineLevel="0" collapsed="false"/>
    <row r="63998" customFormat="false" ht="12.75" hidden="false" customHeight="true" outlineLevel="0" collapsed="false"/>
    <row r="63999" customFormat="false" ht="12.75" hidden="false" customHeight="true" outlineLevel="0" collapsed="false"/>
    <row r="64000" customFormat="false" ht="12.75" hidden="false" customHeight="true" outlineLevel="0" collapsed="false"/>
    <row r="64001" customFormat="false" ht="12.75" hidden="false" customHeight="true" outlineLevel="0" collapsed="false"/>
    <row r="64002" customFormat="false" ht="12.75" hidden="false" customHeight="true" outlineLevel="0" collapsed="false"/>
    <row r="64003" customFormat="false" ht="12.75" hidden="false" customHeight="true" outlineLevel="0" collapsed="false"/>
    <row r="64004" customFormat="false" ht="12.75" hidden="false" customHeight="true" outlineLevel="0" collapsed="false"/>
    <row r="64005" customFormat="false" ht="12.75" hidden="false" customHeight="true" outlineLevel="0" collapsed="false"/>
    <row r="64006" customFormat="false" ht="12.75" hidden="false" customHeight="true" outlineLevel="0" collapsed="false"/>
    <row r="64007" customFormat="false" ht="12.75" hidden="false" customHeight="true" outlineLevel="0" collapsed="false"/>
    <row r="64008" customFormat="false" ht="12.75" hidden="false" customHeight="true" outlineLevel="0" collapsed="false"/>
    <row r="64009" customFormat="false" ht="12.75" hidden="false" customHeight="true" outlineLevel="0" collapsed="false"/>
    <row r="64010" customFormat="false" ht="12.75" hidden="false" customHeight="true" outlineLevel="0" collapsed="false"/>
    <row r="64011" customFormat="false" ht="12.75" hidden="false" customHeight="true" outlineLevel="0" collapsed="false"/>
    <row r="64012" customFormat="false" ht="12.75" hidden="false" customHeight="true" outlineLevel="0" collapsed="false"/>
    <row r="64013" customFormat="false" ht="12.75" hidden="false" customHeight="true" outlineLevel="0" collapsed="false"/>
    <row r="64014" customFormat="false" ht="12.75" hidden="false" customHeight="true" outlineLevel="0" collapsed="false"/>
    <row r="64015" customFormat="false" ht="12.75" hidden="false" customHeight="true" outlineLevel="0" collapsed="false"/>
    <row r="64016" customFormat="false" ht="12.75" hidden="false" customHeight="true" outlineLevel="0" collapsed="false"/>
    <row r="64017" customFormat="false" ht="12.75" hidden="false" customHeight="true" outlineLevel="0" collapsed="false"/>
    <row r="64018" customFormat="false" ht="12.75" hidden="false" customHeight="true" outlineLevel="0" collapsed="false"/>
    <row r="64019" customFormat="false" ht="12.75" hidden="false" customHeight="true" outlineLevel="0" collapsed="false"/>
    <row r="64020" customFormat="false" ht="12.75" hidden="false" customHeight="true" outlineLevel="0" collapsed="false"/>
    <row r="64021" customFormat="false" ht="12.75" hidden="false" customHeight="true" outlineLevel="0" collapsed="false"/>
    <row r="64022" customFormat="false" ht="12.75" hidden="false" customHeight="true" outlineLevel="0" collapsed="false"/>
    <row r="64023" customFormat="false" ht="12.75" hidden="false" customHeight="true" outlineLevel="0" collapsed="false"/>
    <row r="64024" customFormat="false" ht="12.75" hidden="false" customHeight="true" outlineLevel="0" collapsed="false"/>
    <row r="64025" customFormat="false" ht="12.75" hidden="false" customHeight="true" outlineLevel="0" collapsed="false"/>
    <row r="64026" customFormat="false" ht="12.75" hidden="false" customHeight="true" outlineLevel="0" collapsed="false"/>
    <row r="64027" customFormat="false" ht="12.75" hidden="false" customHeight="true" outlineLevel="0" collapsed="false"/>
    <row r="64028" customFormat="false" ht="12.75" hidden="false" customHeight="true" outlineLevel="0" collapsed="false"/>
    <row r="64029" customFormat="false" ht="12.75" hidden="false" customHeight="true" outlineLevel="0" collapsed="false"/>
    <row r="64030" customFormat="false" ht="12.75" hidden="false" customHeight="true" outlineLevel="0" collapsed="false"/>
    <row r="64031" customFormat="false" ht="12.75" hidden="false" customHeight="true" outlineLevel="0" collapsed="false"/>
    <row r="64032" customFormat="false" ht="12.75" hidden="false" customHeight="true" outlineLevel="0" collapsed="false"/>
    <row r="64033" customFormat="false" ht="12.75" hidden="false" customHeight="true" outlineLevel="0" collapsed="false"/>
    <row r="64034" customFormat="false" ht="12.75" hidden="false" customHeight="true" outlineLevel="0" collapsed="false"/>
    <row r="64035" customFormat="false" ht="12.75" hidden="false" customHeight="true" outlineLevel="0" collapsed="false"/>
    <row r="64036" customFormat="false" ht="12.75" hidden="false" customHeight="true" outlineLevel="0" collapsed="false"/>
    <row r="64037" customFormat="false" ht="12.75" hidden="false" customHeight="true" outlineLevel="0" collapsed="false"/>
    <row r="64038" customFormat="false" ht="12.75" hidden="false" customHeight="true" outlineLevel="0" collapsed="false"/>
    <row r="64039" customFormat="false" ht="12.75" hidden="false" customHeight="true" outlineLevel="0" collapsed="false"/>
    <row r="64040" customFormat="false" ht="12.75" hidden="false" customHeight="true" outlineLevel="0" collapsed="false"/>
    <row r="64041" customFormat="false" ht="12.75" hidden="false" customHeight="true" outlineLevel="0" collapsed="false"/>
    <row r="64042" customFormat="false" ht="12.75" hidden="false" customHeight="true" outlineLevel="0" collapsed="false"/>
    <row r="64043" customFormat="false" ht="12.75" hidden="false" customHeight="true" outlineLevel="0" collapsed="false"/>
    <row r="64044" customFormat="false" ht="12.75" hidden="false" customHeight="true" outlineLevel="0" collapsed="false"/>
    <row r="64045" customFormat="false" ht="12.75" hidden="false" customHeight="true" outlineLevel="0" collapsed="false"/>
    <row r="64046" customFormat="false" ht="12.75" hidden="false" customHeight="true" outlineLevel="0" collapsed="false"/>
    <row r="64047" customFormat="false" ht="12.75" hidden="false" customHeight="true" outlineLevel="0" collapsed="false"/>
    <row r="64048" customFormat="false" ht="12.75" hidden="false" customHeight="true" outlineLevel="0" collapsed="false"/>
    <row r="64049" customFormat="false" ht="12.75" hidden="false" customHeight="true" outlineLevel="0" collapsed="false"/>
    <row r="64050" customFormat="false" ht="12.75" hidden="false" customHeight="true" outlineLevel="0" collapsed="false"/>
    <row r="64051" customFormat="false" ht="12.75" hidden="false" customHeight="true" outlineLevel="0" collapsed="false"/>
    <row r="64052" customFormat="false" ht="12.75" hidden="false" customHeight="true" outlineLevel="0" collapsed="false"/>
    <row r="64053" customFormat="false" ht="12.75" hidden="false" customHeight="true" outlineLevel="0" collapsed="false"/>
    <row r="64054" customFormat="false" ht="12.75" hidden="false" customHeight="true" outlineLevel="0" collapsed="false"/>
    <row r="64055" customFormat="false" ht="12.75" hidden="false" customHeight="true" outlineLevel="0" collapsed="false"/>
    <row r="64056" customFormat="false" ht="12.75" hidden="false" customHeight="true" outlineLevel="0" collapsed="false"/>
    <row r="64057" customFormat="false" ht="12.75" hidden="false" customHeight="true" outlineLevel="0" collapsed="false"/>
    <row r="64058" customFormat="false" ht="12.75" hidden="false" customHeight="true" outlineLevel="0" collapsed="false"/>
    <row r="64059" customFormat="false" ht="12.75" hidden="false" customHeight="true" outlineLevel="0" collapsed="false"/>
    <row r="64060" customFormat="false" ht="12.75" hidden="false" customHeight="true" outlineLevel="0" collapsed="false"/>
    <row r="64061" customFormat="false" ht="12.75" hidden="false" customHeight="true" outlineLevel="0" collapsed="false"/>
    <row r="64062" customFormat="false" ht="12.75" hidden="false" customHeight="true" outlineLevel="0" collapsed="false"/>
    <row r="64063" customFormat="false" ht="12.75" hidden="false" customHeight="true" outlineLevel="0" collapsed="false"/>
    <row r="64064" customFormat="false" ht="12.75" hidden="false" customHeight="true" outlineLevel="0" collapsed="false"/>
    <row r="64065" customFormat="false" ht="12.75" hidden="false" customHeight="true" outlineLevel="0" collapsed="false"/>
    <row r="64066" customFormat="false" ht="12.75" hidden="false" customHeight="true" outlineLevel="0" collapsed="false"/>
    <row r="64067" customFormat="false" ht="12.75" hidden="false" customHeight="true" outlineLevel="0" collapsed="false"/>
    <row r="64068" customFormat="false" ht="12.75" hidden="false" customHeight="true" outlineLevel="0" collapsed="false"/>
    <row r="64069" customFormat="false" ht="12.75" hidden="false" customHeight="true" outlineLevel="0" collapsed="false"/>
    <row r="64070" customFormat="false" ht="12.75" hidden="false" customHeight="true" outlineLevel="0" collapsed="false"/>
    <row r="64071" customFormat="false" ht="12.75" hidden="false" customHeight="true" outlineLevel="0" collapsed="false"/>
    <row r="64072" customFormat="false" ht="12.75" hidden="false" customHeight="true" outlineLevel="0" collapsed="false"/>
    <row r="64073" customFormat="false" ht="12.75" hidden="false" customHeight="true" outlineLevel="0" collapsed="false"/>
    <row r="64074" customFormat="false" ht="12.75" hidden="false" customHeight="true" outlineLevel="0" collapsed="false"/>
    <row r="64075" customFormat="false" ht="12.75" hidden="false" customHeight="true" outlineLevel="0" collapsed="false"/>
    <row r="64076" customFormat="false" ht="12.75" hidden="false" customHeight="true" outlineLevel="0" collapsed="false"/>
    <row r="64077" customFormat="false" ht="12.75" hidden="false" customHeight="true" outlineLevel="0" collapsed="false"/>
    <row r="64078" customFormat="false" ht="12.75" hidden="false" customHeight="true" outlineLevel="0" collapsed="false"/>
    <row r="64079" customFormat="false" ht="12.75" hidden="false" customHeight="true" outlineLevel="0" collapsed="false"/>
    <row r="64080" customFormat="false" ht="12.75" hidden="false" customHeight="true" outlineLevel="0" collapsed="false"/>
    <row r="64081" customFormat="false" ht="12.75" hidden="false" customHeight="true" outlineLevel="0" collapsed="false"/>
    <row r="64082" customFormat="false" ht="12.75" hidden="false" customHeight="true" outlineLevel="0" collapsed="false"/>
    <row r="64083" customFormat="false" ht="12.75" hidden="false" customHeight="true" outlineLevel="0" collapsed="false"/>
    <row r="64084" customFormat="false" ht="12.75" hidden="false" customHeight="true" outlineLevel="0" collapsed="false"/>
    <row r="64085" customFormat="false" ht="12.75" hidden="false" customHeight="true" outlineLevel="0" collapsed="false"/>
    <row r="64086" customFormat="false" ht="12.75" hidden="false" customHeight="true" outlineLevel="0" collapsed="false"/>
    <row r="64087" customFormat="false" ht="12.75" hidden="false" customHeight="true" outlineLevel="0" collapsed="false"/>
    <row r="64088" customFormat="false" ht="12.75" hidden="false" customHeight="true" outlineLevel="0" collapsed="false"/>
    <row r="64089" customFormat="false" ht="12.75" hidden="false" customHeight="true" outlineLevel="0" collapsed="false"/>
    <row r="64090" customFormat="false" ht="12.75" hidden="false" customHeight="true" outlineLevel="0" collapsed="false"/>
    <row r="64091" customFormat="false" ht="12.75" hidden="false" customHeight="true" outlineLevel="0" collapsed="false"/>
    <row r="64092" customFormat="false" ht="12.75" hidden="false" customHeight="true" outlineLevel="0" collapsed="false"/>
    <row r="64093" customFormat="false" ht="12.75" hidden="false" customHeight="true" outlineLevel="0" collapsed="false"/>
    <row r="64094" customFormat="false" ht="12.75" hidden="false" customHeight="true" outlineLevel="0" collapsed="false"/>
    <row r="64095" customFormat="false" ht="12.75" hidden="false" customHeight="true" outlineLevel="0" collapsed="false"/>
    <row r="64096" customFormat="false" ht="12.75" hidden="false" customHeight="true" outlineLevel="0" collapsed="false"/>
    <row r="64097" customFormat="false" ht="12.75" hidden="false" customHeight="true" outlineLevel="0" collapsed="false"/>
    <row r="64098" customFormat="false" ht="12.75" hidden="false" customHeight="true" outlineLevel="0" collapsed="false"/>
    <row r="64099" customFormat="false" ht="12.75" hidden="false" customHeight="true" outlineLevel="0" collapsed="false"/>
    <row r="64100" customFormat="false" ht="12.75" hidden="false" customHeight="true" outlineLevel="0" collapsed="false"/>
    <row r="64101" customFormat="false" ht="12.75" hidden="false" customHeight="true" outlineLevel="0" collapsed="false"/>
    <row r="64102" customFormat="false" ht="12.75" hidden="false" customHeight="true" outlineLevel="0" collapsed="false"/>
    <row r="64103" customFormat="false" ht="12.75" hidden="false" customHeight="true" outlineLevel="0" collapsed="false"/>
    <row r="64104" customFormat="false" ht="12.75" hidden="false" customHeight="true" outlineLevel="0" collapsed="false"/>
    <row r="64105" customFormat="false" ht="12.75" hidden="false" customHeight="true" outlineLevel="0" collapsed="false"/>
    <row r="64106" customFormat="false" ht="12.75" hidden="false" customHeight="true" outlineLevel="0" collapsed="false"/>
    <row r="64107" customFormat="false" ht="12.75" hidden="false" customHeight="true" outlineLevel="0" collapsed="false"/>
    <row r="64108" customFormat="false" ht="12.75" hidden="false" customHeight="true" outlineLevel="0" collapsed="false"/>
    <row r="64109" customFormat="false" ht="12.75" hidden="false" customHeight="true" outlineLevel="0" collapsed="false"/>
    <row r="64110" customFormat="false" ht="12.75" hidden="false" customHeight="true" outlineLevel="0" collapsed="false"/>
    <row r="64111" customFormat="false" ht="12.75" hidden="false" customHeight="true" outlineLevel="0" collapsed="false"/>
    <row r="64112" customFormat="false" ht="12.75" hidden="false" customHeight="true" outlineLevel="0" collapsed="false"/>
    <row r="64113" customFormat="false" ht="12.75" hidden="false" customHeight="true" outlineLevel="0" collapsed="false"/>
    <row r="64114" customFormat="false" ht="12.75" hidden="false" customHeight="true" outlineLevel="0" collapsed="false"/>
    <row r="64115" customFormat="false" ht="12.75" hidden="false" customHeight="true" outlineLevel="0" collapsed="false"/>
    <row r="64116" customFormat="false" ht="12.75" hidden="false" customHeight="true" outlineLevel="0" collapsed="false"/>
    <row r="64117" customFormat="false" ht="12.75" hidden="false" customHeight="true" outlineLevel="0" collapsed="false"/>
    <row r="64118" customFormat="false" ht="12.75" hidden="false" customHeight="true" outlineLevel="0" collapsed="false"/>
    <row r="64119" customFormat="false" ht="12.75" hidden="false" customHeight="true" outlineLevel="0" collapsed="false"/>
    <row r="64120" customFormat="false" ht="12.75" hidden="false" customHeight="true" outlineLevel="0" collapsed="false"/>
    <row r="64121" customFormat="false" ht="12.75" hidden="false" customHeight="true" outlineLevel="0" collapsed="false"/>
    <row r="64122" customFormat="false" ht="12.75" hidden="false" customHeight="true" outlineLevel="0" collapsed="false"/>
    <row r="64123" customFormat="false" ht="12.75" hidden="false" customHeight="true" outlineLevel="0" collapsed="false"/>
    <row r="64124" customFormat="false" ht="12.75" hidden="false" customHeight="true" outlineLevel="0" collapsed="false"/>
    <row r="64125" customFormat="false" ht="12.75" hidden="false" customHeight="true" outlineLevel="0" collapsed="false"/>
    <row r="64126" customFormat="false" ht="12.75" hidden="false" customHeight="true" outlineLevel="0" collapsed="false"/>
    <row r="64127" customFormat="false" ht="12.75" hidden="false" customHeight="true" outlineLevel="0" collapsed="false"/>
    <row r="64128" customFormat="false" ht="12.75" hidden="false" customHeight="true" outlineLevel="0" collapsed="false"/>
    <row r="64129" customFormat="false" ht="12.75" hidden="false" customHeight="true" outlineLevel="0" collapsed="false"/>
    <row r="64130" customFormat="false" ht="12.75" hidden="false" customHeight="true" outlineLevel="0" collapsed="false"/>
    <row r="64131" customFormat="false" ht="12.75" hidden="false" customHeight="true" outlineLevel="0" collapsed="false"/>
    <row r="64132" customFormat="false" ht="12.75" hidden="false" customHeight="true" outlineLevel="0" collapsed="false"/>
    <row r="64133" customFormat="false" ht="12.75" hidden="false" customHeight="true" outlineLevel="0" collapsed="false"/>
    <row r="64134" customFormat="false" ht="12.75" hidden="false" customHeight="true" outlineLevel="0" collapsed="false"/>
    <row r="64135" customFormat="false" ht="12.75" hidden="false" customHeight="true" outlineLevel="0" collapsed="false"/>
    <row r="64136" customFormat="false" ht="12.75" hidden="false" customHeight="true" outlineLevel="0" collapsed="false"/>
    <row r="64137" customFormat="false" ht="12.75" hidden="false" customHeight="true" outlineLevel="0" collapsed="false"/>
    <row r="64138" customFormat="false" ht="12.75" hidden="false" customHeight="true" outlineLevel="0" collapsed="false"/>
    <row r="64139" customFormat="false" ht="12.75" hidden="false" customHeight="true" outlineLevel="0" collapsed="false"/>
    <row r="64140" customFormat="false" ht="12.75" hidden="false" customHeight="true" outlineLevel="0" collapsed="false"/>
    <row r="64141" customFormat="false" ht="12.75" hidden="false" customHeight="true" outlineLevel="0" collapsed="false"/>
    <row r="64142" customFormat="false" ht="12.75" hidden="false" customHeight="true" outlineLevel="0" collapsed="false"/>
    <row r="64143" customFormat="false" ht="12.75" hidden="false" customHeight="true" outlineLevel="0" collapsed="false"/>
    <row r="64144" customFormat="false" ht="12.75" hidden="false" customHeight="true" outlineLevel="0" collapsed="false"/>
    <row r="64145" customFormat="false" ht="12.75" hidden="false" customHeight="true" outlineLevel="0" collapsed="false"/>
    <row r="64146" customFormat="false" ht="12.75" hidden="false" customHeight="true" outlineLevel="0" collapsed="false"/>
    <row r="64147" customFormat="false" ht="12.75" hidden="false" customHeight="true" outlineLevel="0" collapsed="false"/>
    <row r="64148" customFormat="false" ht="12.75" hidden="false" customHeight="true" outlineLevel="0" collapsed="false"/>
    <row r="64149" customFormat="false" ht="12.75" hidden="false" customHeight="true" outlineLevel="0" collapsed="false"/>
    <row r="64150" customFormat="false" ht="12.75" hidden="false" customHeight="true" outlineLevel="0" collapsed="false"/>
    <row r="64151" customFormat="false" ht="12.75" hidden="false" customHeight="true" outlineLevel="0" collapsed="false"/>
    <row r="64152" customFormat="false" ht="12.75" hidden="false" customHeight="true" outlineLevel="0" collapsed="false"/>
    <row r="64153" customFormat="false" ht="12.75" hidden="false" customHeight="true" outlineLevel="0" collapsed="false"/>
    <row r="64154" customFormat="false" ht="12.75" hidden="false" customHeight="true" outlineLevel="0" collapsed="false"/>
    <row r="64155" customFormat="false" ht="12.75" hidden="false" customHeight="true" outlineLevel="0" collapsed="false"/>
    <row r="64156" customFormat="false" ht="12.75" hidden="false" customHeight="true" outlineLevel="0" collapsed="false"/>
    <row r="64157" customFormat="false" ht="12.75" hidden="false" customHeight="true" outlineLevel="0" collapsed="false"/>
    <row r="64158" customFormat="false" ht="12.75" hidden="false" customHeight="true" outlineLevel="0" collapsed="false"/>
    <row r="64159" customFormat="false" ht="12.75" hidden="false" customHeight="true" outlineLevel="0" collapsed="false"/>
    <row r="64160" customFormat="false" ht="12.75" hidden="false" customHeight="true" outlineLevel="0" collapsed="false"/>
    <row r="64161" customFormat="false" ht="12.75" hidden="false" customHeight="true" outlineLevel="0" collapsed="false"/>
    <row r="64162" customFormat="false" ht="12.75" hidden="false" customHeight="true" outlineLevel="0" collapsed="false"/>
    <row r="64163" customFormat="false" ht="12.75" hidden="false" customHeight="true" outlineLevel="0" collapsed="false"/>
    <row r="64164" customFormat="false" ht="12.75" hidden="false" customHeight="true" outlineLevel="0" collapsed="false"/>
    <row r="64165" customFormat="false" ht="12.75" hidden="false" customHeight="true" outlineLevel="0" collapsed="false"/>
    <row r="64166" customFormat="false" ht="12.75" hidden="false" customHeight="true" outlineLevel="0" collapsed="false"/>
    <row r="64167" customFormat="false" ht="12.75" hidden="false" customHeight="true" outlineLevel="0" collapsed="false"/>
    <row r="64168" customFormat="false" ht="12.75" hidden="false" customHeight="true" outlineLevel="0" collapsed="false"/>
    <row r="64169" customFormat="false" ht="12.75" hidden="false" customHeight="true" outlineLevel="0" collapsed="false"/>
    <row r="64170" customFormat="false" ht="12.75" hidden="false" customHeight="true" outlineLevel="0" collapsed="false"/>
    <row r="64171" customFormat="false" ht="12.75" hidden="false" customHeight="true" outlineLevel="0" collapsed="false"/>
    <row r="64172" customFormat="false" ht="12.75" hidden="false" customHeight="true" outlineLevel="0" collapsed="false"/>
    <row r="64173" customFormat="false" ht="12.75" hidden="false" customHeight="true" outlineLevel="0" collapsed="false"/>
    <row r="64174" customFormat="false" ht="12.75" hidden="false" customHeight="true" outlineLevel="0" collapsed="false"/>
    <row r="64175" customFormat="false" ht="12.75" hidden="false" customHeight="true" outlineLevel="0" collapsed="false"/>
    <row r="64176" customFormat="false" ht="12.75" hidden="false" customHeight="true" outlineLevel="0" collapsed="false"/>
    <row r="64177" customFormat="false" ht="12.75" hidden="false" customHeight="true" outlineLevel="0" collapsed="false"/>
    <row r="64178" customFormat="false" ht="12.75" hidden="false" customHeight="true" outlineLevel="0" collapsed="false"/>
    <row r="64179" customFormat="false" ht="12.75" hidden="false" customHeight="true" outlineLevel="0" collapsed="false"/>
    <row r="64180" customFormat="false" ht="12.75" hidden="false" customHeight="true" outlineLevel="0" collapsed="false"/>
    <row r="64181" customFormat="false" ht="12.75" hidden="false" customHeight="true" outlineLevel="0" collapsed="false"/>
    <row r="64182" customFormat="false" ht="12.75" hidden="false" customHeight="true" outlineLevel="0" collapsed="false"/>
    <row r="64183" customFormat="false" ht="12.75" hidden="false" customHeight="true" outlineLevel="0" collapsed="false"/>
    <row r="64184" customFormat="false" ht="12.75" hidden="false" customHeight="true" outlineLevel="0" collapsed="false"/>
    <row r="64185" customFormat="false" ht="12.75" hidden="false" customHeight="true" outlineLevel="0" collapsed="false"/>
    <row r="64186" customFormat="false" ht="12.75" hidden="false" customHeight="true" outlineLevel="0" collapsed="false"/>
    <row r="64187" customFormat="false" ht="12.75" hidden="false" customHeight="true" outlineLevel="0" collapsed="false"/>
    <row r="64188" customFormat="false" ht="12.75" hidden="false" customHeight="true" outlineLevel="0" collapsed="false"/>
    <row r="64189" customFormat="false" ht="12.75" hidden="false" customHeight="true" outlineLevel="0" collapsed="false"/>
    <row r="64190" customFormat="false" ht="12.75" hidden="false" customHeight="true" outlineLevel="0" collapsed="false"/>
    <row r="64191" customFormat="false" ht="12.75" hidden="false" customHeight="true" outlineLevel="0" collapsed="false"/>
    <row r="64192" customFormat="false" ht="12.75" hidden="false" customHeight="true" outlineLevel="0" collapsed="false"/>
    <row r="64193" customFormat="false" ht="12.75" hidden="false" customHeight="true" outlineLevel="0" collapsed="false"/>
    <row r="64194" customFormat="false" ht="12.75" hidden="false" customHeight="true" outlineLevel="0" collapsed="false"/>
    <row r="64195" customFormat="false" ht="12.75" hidden="false" customHeight="true" outlineLevel="0" collapsed="false"/>
    <row r="64196" customFormat="false" ht="12.75" hidden="false" customHeight="true" outlineLevel="0" collapsed="false"/>
    <row r="64197" customFormat="false" ht="12.75" hidden="false" customHeight="true" outlineLevel="0" collapsed="false"/>
    <row r="64198" customFormat="false" ht="12.75" hidden="false" customHeight="true" outlineLevel="0" collapsed="false"/>
    <row r="64199" customFormat="false" ht="12.75" hidden="false" customHeight="true" outlineLevel="0" collapsed="false"/>
    <row r="64200" customFormat="false" ht="12.75" hidden="false" customHeight="true" outlineLevel="0" collapsed="false"/>
    <row r="64201" customFormat="false" ht="12.75" hidden="false" customHeight="true" outlineLevel="0" collapsed="false"/>
    <row r="64202" customFormat="false" ht="12.75" hidden="false" customHeight="true" outlineLevel="0" collapsed="false"/>
    <row r="64203" customFormat="false" ht="12.75" hidden="false" customHeight="true" outlineLevel="0" collapsed="false"/>
    <row r="64204" customFormat="false" ht="12.75" hidden="false" customHeight="true" outlineLevel="0" collapsed="false"/>
    <row r="64205" customFormat="false" ht="12.75" hidden="false" customHeight="true" outlineLevel="0" collapsed="false"/>
    <row r="64206" customFormat="false" ht="12.75" hidden="false" customHeight="true" outlineLevel="0" collapsed="false"/>
    <row r="64207" customFormat="false" ht="12.75" hidden="false" customHeight="true" outlineLevel="0" collapsed="false"/>
    <row r="64208" customFormat="false" ht="12.75" hidden="false" customHeight="true" outlineLevel="0" collapsed="false"/>
    <row r="64209" customFormat="false" ht="12.75" hidden="false" customHeight="true" outlineLevel="0" collapsed="false"/>
    <row r="64210" customFormat="false" ht="12.75" hidden="false" customHeight="true" outlineLevel="0" collapsed="false"/>
    <row r="64211" customFormat="false" ht="12.75" hidden="false" customHeight="true" outlineLevel="0" collapsed="false"/>
    <row r="64212" customFormat="false" ht="12.75" hidden="false" customHeight="true" outlineLevel="0" collapsed="false"/>
    <row r="64213" customFormat="false" ht="12.75" hidden="false" customHeight="true" outlineLevel="0" collapsed="false"/>
    <row r="64214" customFormat="false" ht="12.75" hidden="false" customHeight="true" outlineLevel="0" collapsed="false"/>
    <row r="64215" customFormat="false" ht="12.75" hidden="false" customHeight="true" outlineLevel="0" collapsed="false"/>
    <row r="64216" customFormat="false" ht="12.75" hidden="false" customHeight="true" outlineLevel="0" collapsed="false"/>
    <row r="64217" customFormat="false" ht="12.75" hidden="false" customHeight="true" outlineLevel="0" collapsed="false"/>
    <row r="64218" customFormat="false" ht="12.75" hidden="false" customHeight="true" outlineLevel="0" collapsed="false"/>
    <row r="64219" customFormat="false" ht="12.75" hidden="false" customHeight="true" outlineLevel="0" collapsed="false"/>
    <row r="64220" customFormat="false" ht="12.75" hidden="false" customHeight="true" outlineLevel="0" collapsed="false"/>
    <row r="64221" customFormat="false" ht="12.75" hidden="false" customHeight="true" outlineLevel="0" collapsed="false"/>
    <row r="64222" customFormat="false" ht="12.75" hidden="false" customHeight="true" outlineLevel="0" collapsed="false"/>
    <row r="64223" customFormat="false" ht="12.75" hidden="false" customHeight="true" outlineLevel="0" collapsed="false"/>
    <row r="64224" customFormat="false" ht="12.75" hidden="false" customHeight="true" outlineLevel="0" collapsed="false"/>
    <row r="64225" customFormat="false" ht="12.75" hidden="false" customHeight="true" outlineLevel="0" collapsed="false"/>
    <row r="64226" customFormat="false" ht="12.75" hidden="false" customHeight="true" outlineLevel="0" collapsed="false"/>
    <row r="64227" customFormat="false" ht="12.75" hidden="false" customHeight="true" outlineLevel="0" collapsed="false"/>
    <row r="64228" customFormat="false" ht="12.75" hidden="false" customHeight="true" outlineLevel="0" collapsed="false"/>
    <row r="64229" customFormat="false" ht="12.75" hidden="false" customHeight="true" outlineLevel="0" collapsed="false"/>
    <row r="64230" customFormat="false" ht="12.75" hidden="false" customHeight="true" outlineLevel="0" collapsed="false"/>
    <row r="64231" customFormat="false" ht="12.75" hidden="false" customHeight="true" outlineLevel="0" collapsed="false"/>
    <row r="64232" customFormat="false" ht="12.75" hidden="false" customHeight="true" outlineLevel="0" collapsed="false"/>
    <row r="64233" customFormat="false" ht="12.75" hidden="false" customHeight="true" outlineLevel="0" collapsed="false"/>
    <row r="64234" customFormat="false" ht="12.75" hidden="false" customHeight="true" outlineLevel="0" collapsed="false"/>
    <row r="64235" customFormat="false" ht="12.75" hidden="false" customHeight="true" outlineLevel="0" collapsed="false"/>
    <row r="64236" customFormat="false" ht="12.75" hidden="false" customHeight="true" outlineLevel="0" collapsed="false"/>
    <row r="64237" customFormat="false" ht="12.75" hidden="false" customHeight="true" outlineLevel="0" collapsed="false"/>
    <row r="64238" customFormat="false" ht="12.75" hidden="false" customHeight="true" outlineLevel="0" collapsed="false"/>
    <row r="64239" customFormat="false" ht="12.75" hidden="false" customHeight="true" outlineLevel="0" collapsed="false"/>
    <row r="64240" customFormat="false" ht="12.75" hidden="false" customHeight="true" outlineLevel="0" collapsed="false"/>
    <row r="64241" customFormat="false" ht="12.75" hidden="false" customHeight="true" outlineLevel="0" collapsed="false"/>
    <row r="64242" customFormat="false" ht="12.75" hidden="false" customHeight="true" outlineLevel="0" collapsed="false"/>
    <row r="64243" customFormat="false" ht="12.75" hidden="false" customHeight="true" outlineLevel="0" collapsed="false"/>
    <row r="64244" customFormat="false" ht="12.75" hidden="false" customHeight="true" outlineLevel="0" collapsed="false"/>
    <row r="64245" customFormat="false" ht="12.75" hidden="false" customHeight="true" outlineLevel="0" collapsed="false"/>
    <row r="64246" customFormat="false" ht="12.75" hidden="false" customHeight="true" outlineLevel="0" collapsed="false"/>
    <row r="64247" customFormat="false" ht="12.75" hidden="false" customHeight="true" outlineLevel="0" collapsed="false"/>
    <row r="64248" customFormat="false" ht="12.75" hidden="false" customHeight="true" outlineLevel="0" collapsed="false"/>
    <row r="64249" customFormat="false" ht="12.75" hidden="false" customHeight="true" outlineLevel="0" collapsed="false"/>
    <row r="64250" customFormat="false" ht="12.75" hidden="false" customHeight="true" outlineLevel="0" collapsed="false"/>
    <row r="64251" customFormat="false" ht="12.75" hidden="false" customHeight="true" outlineLevel="0" collapsed="false"/>
    <row r="64252" customFormat="false" ht="12.75" hidden="false" customHeight="true" outlineLevel="0" collapsed="false"/>
    <row r="64253" customFormat="false" ht="12.75" hidden="false" customHeight="true" outlineLevel="0" collapsed="false"/>
    <row r="64254" customFormat="false" ht="12.75" hidden="false" customHeight="true" outlineLevel="0" collapsed="false"/>
    <row r="64255" customFormat="false" ht="12.75" hidden="false" customHeight="true" outlineLevel="0" collapsed="false"/>
    <row r="64256" customFormat="false" ht="12.75" hidden="false" customHeight="true" outlineLevel="0" collapsed="false"/>
    <row r="64257" customFormat="false" ht="12.75" hidden="false" customHeight="true" outlineLevel="0" collapsed="false"/>
    <row r="64258" customFormat="false" ht="12.75" hidden="false" customHeight="true" outlineLevel="0" collapsed="false"/>
    <row r="64259" customFormat="false" ht="12.75" hidden="false" customHeight="true" outlineLevel="0" collapsed="false"/>
    <row r="64260" customFormat="false" ht="12.75" hidden="false" customHeight="true" outlineLevel="0" collapsed="false"/>
    <row r="64261" customFormat="false" ht="12.75" hidden="false" customHeight="true" outlineLevel="0" collapsed="false"/>
    <row r="64262" customFormat="false" ht="12.75" hidden="false" customHeight="true" outlineLevel="0" collapsed="false"/>
    <row r="64263" customFormat="false" ht="12.75" hidden="false" customHeight="true" outlineLevel="0" collapsed="false"/>
    <row r="64264" customFormat="false" ht="12.75" hidden="false" customHeight="true" outlineLevel="0" collapsed="false"/>
    <row r="64265" customFormat="false" ht="12.75" hidden="false" customHeight="true" outlineLevel="0" collapsed="false"/>
    <row r="64266" customFormat="false" ht="12.75" hidden="false" customHeight="true" outlineLevel="0" collapsed="false"/>
    <row r="64267" customFormat="false" ht="12.75" hidden="false" customHeight="true" outlineLevel="0" collapsed="false"/>
    <row r="64268" customFormat="false" ht="12.75" hidden="false" customHeight="true" outlineLevel="0" collapsed="false"/>
    <row r="64269" customFormat="false" ht="12.75" hidden="false" customHeight="true" outlineLevel="0" collapsed="false"/>
    <row r="64270" customFormat="false" ht="12.75" hidden="false" customHeight="true" outlineLevel="0" collapsed="false"/>
    <row r="64271" customFormat="false" ht="12.75" hidden="false" customHeight="true" outlineLevel="0" collapsed="false"/>
    <row r="64272" customFormat="false" ht="12.75" hidden="false" customHeight="true" outlineLevel="0" collapsed="false"/>
    <row r="64273" customFormat="false" ht="12.75" hidden="false" customHeight="true" outlineLevel="0" collapsed="false"/>
    <row r="64274" customFormat="false" ht="12.75" hidden="false" customHeight="true" outlineLevel="0" collapsed="false"/>
    <row r="64275" customFormat="false" ht="12.75" hidden="false" customHeight="true" outlineLevel="0" collapsed="false"/>
    <row r="64276" customFormat="false" ht="12.75" hidden="false" customHeight="true" outlineLevel="0" collapsed="false"/>
    <row r="64277" customFormat="false" ht="12.75" hidden="false" customHeight="true" outlineLevel="0" collapsed="false"/>
    <row r="64278" customFormat="false" ht="12.75" hidden="false" customHeight="true" outlineLevel="0" collapsed="false"/>
    <row r="64279" customFormat="false" ht="12.75" hidden="false" customHeight="true" outlineLevel="0" collapsed="false"/>
    <row r="64280" customFormat="false" ht="12.75" hidden="false" customHeight="true" outlineLevel="0" collapsed="false"/>
    <row r="64281" customFormat="false" ht="12.75" hidden="false" customHeight="true" outlineLevel="0" collapsed="false"/>
    <row r="64282" customFormat="false" ht="12.75" hidden="false" customHeight="true" outlineLevel="0" collapsed="false"/>
    <row r="64283" customFormat="false" ht="12.75" hidden="false" customHeight="true" outlineLevel="0" collapsed="false"/>
    <row r="64284" customFormat="false" ht="12.75" hidden="false" customHeight="true" outlineLevel="0" collapsed="false"/>
    <row r="64285" customFormat="false" ht="12.75" hidden="false" customHeight="true" outlineLevel="0" collapsed="false"/>
    <row r="64286" customFormat="false" ht="12.75" hidden="false" customHeight="true" outlineLevel="0" collapsed="false"/>
    <row r="64287" customFormat="false" ht="12.75" hidden="false" customHeight="true" outlineLevel="0" collapsed="false"/>
    <row r="64288" customFormat="false" ht="12.75" hidden="false" customHeight="true" outlineLevel="0" collapsed="false"/>
    <row r="64289" customFormat="false" ht="12.75" hidden="false" customHeight="true" outlineLevel="0" collapsed="false"/>
    <row r="64290" customFormat="false" ht="12.75" hidden="false" customHeight="true" outlineLevel="0" collapsed="false"/>
    <row r="64291" customFormat="false" ht="12.75" hidden="false" customHeight="true" outlineLevel="0" collapsed="false"/>
    <row r="64292" customFormat="false" ht="12.75" hidden="false" customHeight="true" outlineLevel="0" collapsed="false"/>
    <row r="64293" customFormat="false" ht="12.75" hidden="false" customHeight="true" outlineLevel="0" collapsed="false"/>
    <row r="64294" customFormat="false" ht="12.75" hidden="false" customHeight="true" outlineLevel="0" collapsed="false"/>
    <row r="64295" customFormat="false" ht="12.75" hidden="false" customHeight="true" outlineLevel="0" collapsed="false"/>
    <row r="64296" customFormat="false" ht="12.75" hidden="false" customHeight="true" outlineLevel="0" collapsed="false"/>
    <row r="64297" customFormat="false" ht="12.75" hidden="false" customHeight="true" outlineLevel="0" collapsed="false"/>
    <row r="64298" customFormat="false" ht="12.75" hidden="false" customHeight="true" outlineLevel="0" collapsed="false"/>
    <row r="64299" customFormat="false" ht="12.75" hidden="false" customHeight="true" outlineLevel="0" collapsed="false"/>
    <row r="64300" customFormat="false" ht="12.75" hidden="false" customHeight="true" outlineLevel="0" collapsed="false"/>
    <row r="64301" customFormat="false" ht="12.75" hidden="false" customHeight="true" outlineLevel="0" collapsed="false"/>
    <row r="64302" customFormat="false" ht="12.75" hidden="false" customHeight="true" outlineLevel="0" collapsed="false"/>
    <row r="64303" customFormat="false" ht="12.75" hidden="false" customHeight="true" outlineLevel="0" collapsed="false"/>
    <row r="64304" customFormat="false" ht="12.75" hidden="false" customHeight="true" outlineLevel="0" collapsed="false"/>
    <row r="64305" customFormat="false" ht="12.75" hidden="false" customHeight="true" outlineLevel="0" collapsed="false"/>
    <row r="64306" customFormat="false" ht="12.75" hidden="false" customHeight="true" outlineLevel="0" collapsed="false"/>
    <row r="64307" customFormat="false" ht="12.75" hidden="false" customHeight="true" outlineLevel="0" collapsed="false"/>
    <row r="64308" customFormat="false" ht="12.75" hidden="false" customHeight="true" outlineLevel="0" collapsed="false"/>
    <row r="64309" customFormat="false" ht="12.75" hidden="false" customHeight="true" outlineLevel="0" collapsed="false"/>
    <row r="64310" customFormat="false" ht="12.75" hidden="false" customHeight="true" outlineLevel="0" collapsed="false"/>
    <row r="64311" customFormat="false" ht="12.75" hidden="false" customHeight="true" outlineLevel="0" collapsed="false"/>
    <row r="64312" customFormat="false" ht="12.75" hidden="false" customHeight="true" outlineLevel="0" collapsed="false"/>
    <row r="64313" customFormat="false" ht="12.75" hidden="false" customHeight="true" outlineLevel="0" collapsed="false"/>
    <row r="64314" customFormat="false" ht="12.75" hidden="false" customHeight="true" outlineLevel="0" collapsed="false"/>
    <row r="64315" customFormat="false" ht="12.75" hidden="false" customHeight="true" outlineLevel="0" collapsed="false"/>
    <row r="64316" customFormat="false" ht="12.75" hidden="false" customHeight="true" outlineLevel="0" collapsed="false"/>
    <row r="64317" customFormat="false" ht="12.75" hidden="false" customHeight="true" outlineLevel="0" collapsed="false"/>
    <row r="64318" customFormat="false" ht="12.75" hidden="false" customHeight="true" outlineLevel="0" collapsed="false"/>
    <row r="64319" customFormat="false" ht="12.75" hidden="false" customHeight="true" outlineLevel="0" collapsed="false"/>
    <row r="64320" customFormat="false" ht="12.75" hidden="false" customHeight="true" outlineLevel="0" collapsed="false"/>
    <row r="64321" customFormat="false" ht="12.75" hidden="false" customHeight="true" outlineLevel="0" collapsed="false"/>
    <row r="64322" customFormat="false" ht="12.75" hidden="false" customHeight="true" outlineLevel="0" collapsed="false"/>
    <row r="64323" customFormat="false" ht="12.75" hidden="false" customHeight="true" outlineLevel="0" collapsed="false"/>
    <row r="64324" customFormat="false" ht="12.75" hidden="false" customHeight="true" outlineLevel="0" collapsed="false"/>
    <row r="64325" customFormat="false" ht="12.75" hidden="false" customHeight="true" outlineLevel="0" collapsed="false"/>
    <row r="64326" customFormat="false" ht="12.75" hidden="false" customHeight="true" outlineLevel="0" collapsed="false"/>
    <row r="64327" customFormat="false" ht="12.75" hidden="false" customHeight="true" outlineLevel="0" collapsed="false"/>
    <row r="64328" customFormat="false" ht="12.75" hidden="false" customHeight="true" outlineLevel="0" collapsed="false"/>
    <row r="64329" customFormat="false" ht="12.75" hidden="false" customHeight="true" outlineLevel="0" collapsed="false"/>
    <row r="64330" customFormat="false" ht="12.75" hidden="false" customHeight="true" outlineLevel="0" collapsed="false"/>
    <row r="64331" customFormat="false" ht="12.75" hidden="false" customHeight="true" outlineLevel="0" collapsed="false"/>
    <row r="64332" customFormat="false" ht="12.75" hidden="false" customHeight="true" outlineLevel="0" collapsed="false"/>
    <row r="64333" customFormat="false" ht="12.75" hidden="false" customHeight="true" outlineLevel="0" collapsed="false"/>
    <row r="64334" customFormat="false" ht="12.75" hidden="false" customHeight="true" outlineLevel="0" collapsed="false"/>
    <row r="64335" customFormat="false" ht="12.75" hidden="false" customHeight="true" outlineLevel="0" collapsed="false"/>
    <row r="64336" customFormat="false" ht="12.75" hidden="false" customHeight="true" outlineLevel="0" collapsed="false"/>
    <row r="64337" customFormat="false" ht="12.75" hidden="false" customHeight="true" outlineLevel="0" collapsed="false"/>
    <row r="64338" customFormat="false" ht="12.75" hidden="false" customHeight="true" outlineLevel="0" collapsed="false"/>
    <row r="64339" customFormat="false" ht="12.75" hidden="false" customHeight="true" outlineLevel="0" collapsed="false"/>
    <row r="64340" customFormat="false" ht="12.75" hidden="false" customHeight="true" outlineLevel="0" collapsed="false"/>
    <row r="64341" customFormat="false" ht="12.75" hidden="false" customHeight="true" outlineLevel="0" collapsed="false"/>
    <row r="64342" customFormat="false" ht="12.75" hidden="false" customHeight="true" outlineLevel="0" collapsed="false"/>
    <row r="64343" customFormat="false" ht="12.75" hidden="false" customHeight="true" outlineLevel="0" collapsed="false"/>
    <row r="64344" customFormat="false" ht="12.75" hidden="false" customHeight="true" outlineLevel="0" collapsed="false"/>
    <row r="64345" customFormat="false" ht="12.75" hidden="false" customHeight="true" outlineLevel="0" collapsed="false"/>
    <row r="64346" customFormat="false" ht="12.75" hidden="false" customHeight="true" outlineLevel="0" collapsed="false"/>
    <row r="64347" customFormat="false" ht="12.75" hidden="false" customHeight="true" outlineLevel="0" collapsed="false"/>
    <row r="64348" customFormat="false" ht="12.75" hidden="false" customHeight="true" outlineLevel="0" collapsed="false"/>
    <row r="64349" customFormat="false" ht="12.75" hidden="false" customHeight="true" outlineLevel="0" collapsed="false"/>
    <row r="64350" customFormat="false" ht="12.75" hidden="false" customHeight="true" outlineLevel="0" collapsed="false"/>
    <row r="64351" customFormat="false" ht="12.75" hidden="false" customHeight="true" outlineLevel="0" collapsed="false"/>
    <row r="64352" customFormat="false" ht="12.75" hidden="false" customHeight="true" outlineLevel="0" collapsed="false"/>
    <row r="64353" customFormat="false" ht="12.75" hidden="false" customHeight="true" outlineLevel="0" collapsed="false"/>
    <row r="64354" customFormat="false" ht="12.75" hidden="false" customHeight="true" outlineLevel="0" collapsed="false"/>
    <row r="64355" customFormat="false" ht="12.75" hidden="false" customHeight="true" outlineLevel="0" collapsed="false"/>
    <row r="64356" customFormat="false" ht="12.75" hidden="false" customHeight="true" outlineLevel="0" collapsed="false"/>
    <row r="64357" customFormat="false" ht="12.75" hidden="false" customHeight="true" outlineLevel="0" collapsed="false"/>
    <row r="64358" customFormat="false" ht="12.75" hidden="false" customHeight="true" outlineLevel="0" collapsed="false"/>
    <row r="64359" customFormat="false" ht="12.75" hidden="false" customHeight="true" outlineLevel="0" collapsed="false"/>
    <row r="64360" customFormat="false" ht="12.75" hidden="false" customHeight="true" outlineLevel="0" collapsed="false"/>
    <row r="64361" customFormat="false" ht="12.75" hidden="false" customHeight="true" outlineLevel="0" collapsed="false"/>
    <row r="64362" customFormat="false" ht="12.75" hidden="false" customHeight="true" outlineLevel="0" collapsed="false"/>
    <row r="64363" customFormat="false" ht="12.75" hidden="false" customHeight="true" outlineLevel="0" collapsed="false"/>
    <row r="64364" customFormat="false" ht="12.75" hidden="false" customHeight="true" outlineLevel="0" collapsed="false"/>
    <row r="64365" customFormat="false" ht="12.75" hidden="false" customHeight="true" outlineLevel="0" collapsed="false"/>
    <row r="64366" customFormat="false" ht="12.75" hidden="false" customHeight="true" outlineLevel="0" collapsed="false"/>
    <row r="64367" customFormat="false" ht="12.75" hidden="false" customHeight="true" outlineLevel="0" collapsed="false"/>
    <row r="64368" customFormat="false" ht="12.75" hidden="false" customHeight="true" outlineLevel="0" collapsed="false"/>
    <row r="64369" customFormat="false" ht="12.75" hidden="false" customHeight="true" outlineLevel="0" collapsed="false"/>
    <row r="64370" customFormat="false" ht="12.75" hidden="false" customHeight="true" outlineLevel="0" collapsed="false"/>
    <row r="64371" customFormat="false" ht="12.75" hidden="false" customHeight="true" outlineLevel="0" collapsed="false"/>
    <row r="64372" customFormat="false" ht="12.75" hidden="false" customHeight="true" outlineLevel="0" collapsed="false"/>
    <row r="64373" customFormat="false" ht="12.75" hidden="false" customHeight="true" outlineLevel="0" collapsed="false"/>
    <row r="64374" customFormat="false" ht="12.75" hidden="false" customHeight="true" outlineLevel="0" collapsed="false"/>
    <row r="64375" customFormat="false" ht="12.75" hidden="false" customHeight="true" outlineLevel="0" collapsed="false"/>
    <row r="64376" customFormat="false" ht="12.75" hidden="false" customHeight="true" outlineLevel="0" collapsed="false"/>
    <row r="64377" customFormat="false" ht="12.75" hidden="false" customHeight="true" outlineLevel="0" collapsed="false"/>
    <row r="64378" customFormat="false" ht="12.75" hidden="false" customHeight="true" outlineLevel="0" collapsed="false"/>
    <row r="64379" customFormat="false" ht="12.75" hidden="false" customHeight="true" outlineLevel="0" collapsed="false"/>
    <row r="64380" customFormat="false" ht="12.75" hidden="false" customHeight="true" outlineLevel="0" collapsed="false"/>
    <row r="64381" customFormat="false" ht="12.75" hidden="false" customHeight="true" outlineLevel="0" collapsed="false"/>
    <row r="64382" customFormat="false" ht="12.75" hidden="false" customHeight="true" outlineLevel="0" collapsed="false"/>
    <row r="64383" customFormat="false" ht="12.75" hidden="false" customHeight="true" outlineLevel="0" collapsed="false"/>
    <row r="64384" customFormat="false" ht="12.75" hidden="false" customHeight="true" outlineLevel="0" collapsed="false"/>
    <row r="64385" customFormat="false" ht="12.75" hidden="false" customHeight="true" outlineLevel="0" collapsed="false"/>
    <row r="64386" customFormat="false" ht="12.75" hidden="false" customHeight="true" outlineLevel="0" collapsed="false"/>
    <row r="64387" customFormat="false" ht="12.75" hidden="false" customHeight="true" outlineLevel="0" collapsed="false"/>
    <row r="64388" customFormat="false" ht="12.75" hidden="false" customHeight="true" outlineLevel="0" collapsed="false"/>
    <row r="64389" customFormat="false" ht="12.75" hidden="false" customHeight="true" outlineLevel="0" collapsed="false"/>
    <row r="64390" customFormat="false" ht="12.75" hidden="false" customHeight="true" outlineLevel="0" collapsed="false"/>
    <row r="64391" customFormat="false" ht="12.75" hidden="false" customHeight="true" outlineLevel="0" collapsed="false"/>
    <row r="64392" customFormat="false" ht="12.75" hidden="false" customHeight="true" outlineLevel="0" collapsed="false"/>
    <row r="64393" customFormat="false" ht="12.75" hidden="false" customHeight="true" outlineLevel="0" collapsed="false"/>
    <row r="64394" customFormat="false" ht="12.75" hidden="false" customHeight="true" outlineLevel="0" collapsed="false"/>
    <row r="64395" customFormat="false" ht="12.75" hidden="false" customHeight="true" outlineLevel="0" collapsed="false"/>
    <row r="64396" customFormat="false" ht="12.75" hidden="false" customHeight="true" outlineLevel="0" collapsed="false"/>
    <row r="64397" customFormat="false" ht="12.75" hidden="false" customHeight="true" outlineLevel="0" collapsed="false"/>
    <row r="64398" customFormat="false" ht="12.75" hidden="false" customHeight="true" outlineLevel="0" collapsed="false"/>
    <row r="64399" customFormat="false" ht="12.75" hidden="false" customHeight="true" outlineLevel="0" collapsed="false"/>
    <row r="64400" customFormat="false" ht="12.75" hidden="false" customHeight="true" outlineLevel="0" collapsed="false"/>
    <row r="64401" customFormat="false" ht="12.75" hidden="false" customHeight="true" outlineLevel="0" collapsed="false"/>
    <row r="64402" customFormat="false" ht="12.75" hidden="false" customHeight="true" outlineLevel="0" collapsed="false"/>
    <row r="64403" customFormat="false" ht="12.75" hidden="false" customHeight="true" outlineLevel="0" collapsed="false"/>
    <row r="64404" customFormat="false" ht="12.75" hidden="false" customHeight="true" outlineLevel="0" collapsed="false"/>
    <row r="64405" customFormat="false" ht="12.75" hidden="false" customHeight="true" outlineLevel="0" collapsed="false"/>
    <row r="64406" customFormat="false" ht="12.75" hidden="false" customHeight="true" outlineLevel="0" collapsed="false"/>
    <row r="64407" customFormat="false" ht="12.75" hidden="false" customHeight="true" outlineLevel="0" collapsed="false"/>
    <row r="64408" customFormat="false" ht="12.75" hidden="false" customHeight="true" outlineLevel="0" collapsed="false"/>
    <row r="64409" customFormat="false" ht="12.75" hidden="false" customHeight="true" outlineLevel="0" collapsed="false"/>
    <row r="64410" customFormat="false" ht="12.75" hidden="false" customHeight="true" outlineLevel="0" collapsed="false"/>
    <row r="64411" customFormat="false" ht="12.75" hidden="false" customHeight="true" outlineLevel="0" collapsed="false"/>
    <row r="64412" customFormat="false" ht="12.75" hidden="false" customHeight="true" outlineLevel="0" collapsed="false"/>
    <row r="64413" customFormat="false" ht="12.75" hidden="false" customHeight="true" outlineLevel="0" collapsed="false"/>
    <row r="64414" customFormat="false" ht="12.75" hidden="false" customHeight="true" outlineLevel="0" collapsed="false"/>
    <row r="64415" customFormat="false" ht="12.75" hidden="false" customHeight="true" outlineLevel="0" collapsed="false"/>
    <row r="64416" customFormat="false" ht="12.75" hidden="false" customHeight="true" outlineLevel="0" collapsed="false"/>
    <row r="64417" customFormat="false" ht="12.75" hidden="false" customHeight="true" outlineLevel="0" collapsed="false"/>
    <row r="64418" customFormat="false" ht="12.75" hidden="false" customHeight="true" outlineLevel="0" collapsed="false"/>
    <row r="64419" customFormat="false" ht="12.75" hidden="false" customHeight="true" outlineLevel="0" collapsed="false"/>
    <row r="64420" customFormat="false" ht="12.75" hidden="false" customHeight="true" outlineLevel="0" collapsed="false"/>
    <row r="64421" customFormat="false" ht="12.75" hidden="false" customHeight="true" outlineLevel="0" collapsed="false"/>
    <row r="64422" customFormat="false" ht="12.75" hidden="false" customHeight="true" outlineLevel="0" collapsed="false"/>
    <row r="64423" customFormat="false" ht="12.75" hidden="false" customHeight="true" outlineLevel="0" collapsed="false"/>
    <row r="64424" customFormat="false" ht="12.75" hidden="false" customHeight="true" outlineLevel="0" collapsed="false"/>
    <row r="64425" customFormat="false" ht="12.75" hidden="false" customHeight="true" outlineLevel="0" collapsed="false"/>
    <row r="64426" customFormat="false" ht="12.75" hidden="false" customHeight="true" outlineLevel="0" collapsed="false"/>
    <row r="64427" customFormat="false" ht="12.75" hidden="false" customHeight="true" outlineLevel="0" collapsed="false"/>
    <row r="64428" customFormat="false" ht="12.75" hidden="false" customHeight="true" outlineLevel="0" collapsed="false"/>
    <row r="64429" customFormat="false" ht="12.75" hidden="false" customHeight="true" outlineLevel="0" collapsed="false"/>
    <row r="64430" customFormat="false" ht="12.75" hidden="false" customHeight="true" outlineLevel="0" collapsed="false"/>
    <row r="64431" customFormat="false" ht="12.75" hidden="false" customHeight="true" outlineLevel="0" collapsed="false"/>
    <row r="64432" customFormat="false" ht="12.75" hidden="false" customHeight="true" outlineLevel="0" collapsed="false"/>
    <row r="64433" customFormat="false" ht="12.75" hidden="false" customHeight="true" outlineLevel="0" collapsed="false"/>
    <row r="64434" customFormat="false" ht="12.75" hidden="false" customHeight="true" outlineLevel="0" collapsed="false"/>
    <row r="64435" customFormat="false" ht="12.75" hidden="false" customHeight="true" outlineLevel="0" collapsed="false"/>
    <row r="64436" customFormat="false" ht="12.75" hidden="false" customHeight="true" outlineLevel="0" collapsed="false"/>
    <row r="64437" customFormat="false" ht="12.75" hidden="false" customHeight="true" outlineLevel="0" collapsed="false"/>
    <row r="64438" customFormat="false" ht="12.75" hidden="false" customHeight="true" outlineLevel="0" collapsed="false"/>
    <row r="64439" customFormat="false" ht="12.75" hidden="false" customHeight="true" outlineLevel="0" collapsed="false"/>
    <row r="64440" customFormat="false" ht="12.75" hidden="false" customHeight="true" outlineLevel="0" collapsed="false"/>
    <row r="64441" customFormat="false" ht="12.75" hidden="false" customHeight="true" outlineLevel="0" collapsed="false"/>
    <row r="64442" customFormat="false" ht="12.75" hidden="false" customHeight="true" outlineLevel="0" collapsed="false"/>
    <row r="64443" customFormat="false" ht="12.75" hidden="false" customHeight="true" outlineLevel="0" collapsed="false"/>
    <row r="64444" customFormat="false" ht="12.75" hidden="false" customHeight="true" outlineLevel="0" collapsed="false"/>
    <row r="64445" customFormat="false" ht="12.75" hidden="false" customHeight="true" outlineLevel="0" collapsed="false"/>
    <row r="64446" customFormat="false" ht="12.75" hidden="false" customHeight="true" outlineLevel="0" collapsed="false"/>
    <row r="64447" customFormat="false" ht="12.75" hidden="false" customHeight="true" outlineLevel="0" collapsed="false"/>
    <row r="64448" customFormat="false" ht="12.75" hidden="false" customHeight="true" outlineLevel="0" collapsed="false"/>
    <row r="64449" customFormat="false" ht="12.75" hidden="false" customHeight="true" outlineLevel="0" collapsed="false"/>
    <row r="64450" customFormat="false" ht="12.75" hidden="false" customHeight="true" outlineLevel="0" collapsed="false"/>
    <row r="64451" customFormat="false" ht="12.75" hidden="false" customHeight="true" outlineLevel="0" collapsed="false"/>
    <row r="64452" customFormat="false" ht="12.75" hidden="false" customHeight="true" outlineLevel="0" collapsed="false"/>
    <row r="64453" customFormat="false" ht="12.75" hidden="false" customHeight="true" outlineLevel="0" collapsed="false"/>
    <row r="64454" customFormat="false" ht="12.75" hidden="false" customHeight="true" outlineLevel="0" collapsed="false"/>
    <row r="64455" customFormat="false" ht="12.75" hidden="false" customHeight="true" outlineLevel="0" collapsed="false"/>
    <row r="64456" customFormat="false" ht="12.75" hidden="false" customHeight="true" outlineLevel="0" collapsed="false"/>
    <row r="64457" customFormat="false" ht="12.75" hidden="false" customHeight="true" outlineLevel="0" collapsed="false"/>
    <row r="64458" customFormat="false" ht="12.75" hidden="false" customHeight="true" outlineLevel="0" collapsed="false"/>
    <row r="64459" customFormat="false" ht="12.75" hidden="false" customHeight="true" outlineLevel="0" collapsed="false"/>
    <row r="64460" customFormat="false" ht="12.75" hidden="false" customHeight="true" outlineLevel="0" collapsed="false"/>
    <row r="64461" customFormat="false" ht="12.75" hidden="false" customHeight="true" outlineLevel="0" collapsed="false"/>
    <row r="64462" customFormat="false" ht="12.75" hidden="false" customHeight="true" outlineLevel="0" collapsed="false"/>
    <row r="64463" customFormat="false" ht="12.75" hidden="false" customHeight="true" outlineLevel="0" collapsed="false"/>
    <row r="64464" customFormat="false" ht="12.75" hidden="false" customHeight="true" outlineLevel="0" collapsed="false"/>
    <row r="64465" customFormat="false" ht="12.75" hidden="false" customHeight="true" outlineLevel="0" collapsed="false"/>
    <row r="64466" customFormat="false" ht="12.75" hidden="false" customHeight="true" outlineLevel="0" collapsed="false"/>
    <row r="64467" customFormat="false" ht="12.75" hidden="false" customHeight="true" outlineLevel="0" collapsed="false"/>
    <row r="64468" customFormat="false" ht="12.75" hidden="false" customHeight="true" outlineLevel="0" collapsed="false"/>
    <row r="64469" customFormat="false" ht="12.75" hidden="false" customHeight="true" outlineLevel="0" collapsed="false"/>
    <row r="64470" customFormat="false" ht="12.75" hidden="false" customHeight="true" outlineLevel="0" collapsed="false"/>
    <row r="64471" customFormat="false" ht="12.75" hidden="false" customHeight="true" outlineLevel="0" collapsed="false"/>
    <row r="64472" customFormat="false" ht="12.75" hidden="false" customHeight="true" outlineLevel="0" collapsed="false"/>
    <row r="64473" customFormat="false" ht="12.75" hidden="false" customHeight="true" outlineLevel="0" collapsed="false"/>
    <row r="64474" customFormat="false" ht="12.75" hidden="false" customHeight="true" outlineLevel="0" collapsed="false"/>
    <row r="64475" customFormat="false" ht="12.75" hidden="false" customHeight="true" outlineLevel="0" collapsed="false"/>
    <row r="64476" customFormat="false" ht="12.75" hidden="false" customHeight="true" outlineLevel="0" collapsed="false"/>
    <row r="64477" customFormat="false" ht="12.75" hidden="false" customHeight="true" outlineLevel="0" collapsed="false"/>
    <row r="64478" customFormat="false" ht="12.75" hidden="false" customHeight="true" outlineLevel="0" collapsed="false"/>
    <row r="64479" customFormat="false" ht="12.75" hidden="false" customHeight="true" outlineLevel="0" collapsed="false"/>
    <row r="64480" customFormat="false" ht="12.75" hidden="false" customHeight="true" outlineLevel="0" collapsed="false"/>
    <row r="64481" customFormat="false" ht="12.75" hidden="false" customHeight="true" outlineLevel="0" collapsed="false"/>
    <row r="64482" customFormat="false" ht="12.75" hidden="false" customHeight="true" outlineLevel="0" collapsed="false"/>
    <row r="64483" customFormat="false" ht="12.75" hidden="false" customHeight="true" outlineLevel="0" collapsed="false"/>
    <row r="64484" customFormat="false" ht="12.75" hidden="false" customHeight="true" outlineLevel="0" collapsed="false"/>
    <row r="64485" customFormat="false" ht="12.75" hidden="false" customHeight="true" outlineLevel="0" collapsed="false"/>
    <row r="64486" customFormat="false" ht="12.75" hidden="false" customHeight="true" outlineLevel="0" collapsed="false"/>
    <row r="64487" customFormat="false" ht="12.75" hidden="false" customHeight="true" outlineLevel="0" collapsed="false"/>
    <row r="64488" customFormat="false" ht="12.75" hidden="false" customHeight="true" outlineLevel="0" collapsed="false"/>
    <row r="64489" customFormat="false" ht="12.75" hidden="false" customHeight="true" outlineLevel="0" collapsed="false"/>
    <row r="64490" customFormat="false" ht="12.75" hidden="false" customHeight="true" outlineLevel="0" collapsed="false"/>
    <row r="64491" customFormat="false" ht="12.75" hidden="false" customHeight="true" outlineLevel="0" collapsed="false"/>
    <row r="64492" customFormat="false" ht="12.75" hidden="false" customHeight="true" outlineLevel="0" collapsed="false"/>
    <row r="64493" customFormat="false" ht="12.75" hidden="false" customHeight="true" outlineLevel="0" collapsed="false"/>
    <row r="64494" customFormat="false" ht="12.75" hidden="false" customHeight="true" outlineLevel="0" collapsed="false"/>
    <row r="64495" customFormat="false" ht="12.75" hidden="false" customHeight="true" outlineLevel="0" collapsed="false"/>
    <row r="64496" customFormat="false" ht="12.75" hidden="false" customHeight="true" outlineLevel="0" collapsed="false"/>
    <row r="64497" customFormat="false" ht="12.75" hidden="false" customHeight="true" outlineLevel="0" collapsed="false"/>
    <row r="64498" customFormat="false" ht="12.75" hidden="false" customHeight="true" outlineLevel="0" collapsed="false"/>
    <row r="64499" customFormat="false" ht="12.75" hidden="false" customHeight="true" outlineLevel="0" collapsed="false"/>
    <row r="64500" customFormat="false" ht="12.75" hidden="false" customHeight="true" outlineLevel="0" collapsed="false"/>
    <row r="64501" customFormat="false" ht="12.75" hidden="false" customHeight="true" outlineLevel="0" collapsed="false"/>
    <row r="64502" customFormat="false" ht="12.75" hidden="false" customHeight="true" outlineLevel="0" collapsed="false"/>
    <row r="64503" customFormat="false" ht="12.75" hidden="false" customHeight="true" outlineLevel="0" collapsed="false"/>
    <row r="64504" customFormat="false" ht="12.75" hidden="false" customHeight="true" outlineLevel="0" collapsed="false"/>
    <row r="64505" customFormat="false" ht="12.75" hidden="false" customHeight="true" outlineLevel="0" collapsed="false"/>
    <row r="64506" customFormat="false" ht="12.75" hidden="false" customHeight="true" outlineLevel="0" collapsed="false"/>
    <row r="64507" customFormat="false" ht="12.75" hidden="false" customHeight="true" outlineLevel="0" collapsed="false"/>
    <row r="64508" customFormat="false" ht="12.75" hidden="false" customHeight="true" outlineLevel="0" collapsed="false"/>
    <row r="64509" customFormat="false" ht="12.75" hidden="false" customHeight="true" outlineLevel="0" collapsed="false"/>
    <row r="64510" customFormat="false" ht="12.75" hidden="false" customHeight="true" outlineLevel="0" collapsed="false"/>
    <row r="64511" customFormat="false" ht="12.75" hidden="false" customHeight="true" outlineLevel="0" collapsed="false"/>
    <row r="64512" customFormat="false" ht="12.75" hidden="false" customHeight="true" outlineLevel="0" collapsed="false"/>
    <row r="64513" customFormat="false" ht="12.75" hidden="false" customHeight="true" outlineLevel="0" collapsed="false"/>
    <row r="64514" customFormat="false" ht="12.75" hidden="false" customHeight="true" outlineLevel="0" collapsed="false"/>
    <row r="64515" customFormat="false" ht="12.75" hidden="false" customHeight="true" outlineLevel="0" collapsed="false"/>
    <row r="64516" customFormat="false" ht="12.75" hidden="false" customHeight="true" outlineLevel="0" collapsed="false"/>
    <row r="64517" customFormat="false" ht="12.75" hidden="false" customHeight="true" outlineLevel="0" collapsed="false"/>
    <row r="64518" customFormat="false" ht="12.75" hidden="false" customHeight="true" outlineLevel="0" collapsed="false"/>
    <row r="64519" customFormat="false" ht="12.75" hidden="false" customHeight="true" outlineLevel="0" collapsed="false"/>
    <row r="64520" customFormat="false" ht="12.75" hidden="false" customHeight="true" outlineLevel="0" collapsed="false"/>
    <row r="64521" customFormat="false" ht="12.75" hidden="false" customHeight="true" outlineLevel="0" collapsed="false"/>
    <row r="64522" customFormat="false" ht="12.75" hidden="false" customHeight="true" outlineLevel="0" collapsed="false"/>
    <row r="64523" customFormat="false" ht="12.75" hidden="false" customHeight="true" outlineLevel="0" collapsed="false"/>
    <row r="64524" customFormat="false" ht="12.75" hidden="false" customHeight="true" outlineLevel="0" collapsed="false"/>
    <row r="64525" customFormat="false" ht="12.75" hidden="false" customHeight="true" outlineLevel="0" collapsed="false"/>
    <row r="64526" customFormat="false" ht="12.75" hidden="false" customHeight="true" outlineLevel="0" collapsed="false"/>
    <row r="64527" customFormat="false" ht="12.75" hidden="false" customHeight="true" outlineLevel="0" collapsed="false"/>
    <row r="64528" customFormat="false" ht="12.75" hidden="false" customHeight="true" outlineLevel="0" collapsed="false"/>
    <row r="64529" customFormat="false" ht="12.75" hidden="false" customHeight="true" outlineLevel="0" collapsed="false"/>
    <row r="64530" customFormat="false" ht="12.75" hidden="false" customHeight="true" outlineLevel="0" collapsed="false"/>
    <row r="64531" customFormat="false" ht="12.75" hidden="false" customHeight="true" outlineLevel="0" collapsed="false"/>
    <row r="64532" customFormat="false" ht="12.75" hidden="false" customHeight="true" outlineLevel="0" collapsed="false"/>
    <row r="64533" customFormat="false" ht="12.75" hidden="false" customHeight="true" outlineLevel="0" collapsed="false"/>
    <row r="64534" customFormat="false" ht="12.75" hidden="false" customHeight="true" outlineLevel="0" collapsed="false"/>
    <row r="64535" customFormat="false" ht="12.75" hidden="false" customHeight="true" outlineLevel="0" collapsed="false"/>
    <row r="64536" customFormat="false" ht="12.75" hidden="false" customHeight="true" outlineLevel="0" collapsed="false"/>
    <row r="64537" customFormat="false" ht="12.75" hidden="false" customHeight="true" outlineLevel="0" collapsed="false"/>
    <row r="64538" customFormat="false" ht="12.75" hidden="false" customHeight="true" outlineLevel="0" collapsed="false"/>
    <row r="64539" customFormat="false" ht="12.75" hidden="false" customHeight="true" outlineLevel="0" collapsed="false"/>
    <row r="64540" customFormat="false" ht="12.75" hidden="false" customHeight="true" outlineLevel="0" collapsed="false"/>
    <row r="64541" customFormat="false" ht="12.75" hidden="false" customHeight="true" outlineLevel="0" collapsed="false"/>
    <row r="64542" customFormat="false" ht="12.75" hidden="false" customHeight="true" outlineLevel="0" collapsed="false"/>
    <row r="64543" customFormat="false" ht="12.75" hidden="false" customHeight="true" outlineLevel="0" collapsed="false"/>
    <row r="64544" customFormat="false" ht="12.75" hidden="false" customHeight="true" outlineLevel="0" collapsed="false"/>
    <row r="64545" customFormat="false" ht="12.75" hidden="false" customHeight="true" outlineLevel="0" collapsed="false"/>
    <row r="64546" customFormat="false" ht="12.75" hidden="false" customHeight="true" outlineLevel="0" collapsed="false"/>
    <row r="64547" customFormat="false" ht="12.75" hidden="false" customHeight="true" outlineLevel="0" collapsed="false"/>
    <row r="64548" customFormat="false" ht="12.75" hidden="false" customHeight="true" outlineLevel="0" collapsed="false"/>
    <row r="64549" customFormat="false" ht="12.75" hidden="false" customHeight="true" outlineLevel="0" collapsed="false"/>
    <row r="64550" customFormat="false" ht="12.75" hidden="false" customHeight="true" outlineLevel="0" collapsed="false"/>
    <row r="64551" customFormat="false" ht="12.75" hidden="false" customHeight="true" outlineLevel="0" collapsed="false"/>
    <row r="64552" customFormat="false" ht="12.75" hidden="false" customHeight="true" outlineLevel="0" collapsed="false"/>
    <row r="64553" customFormat="false" ht="12.75" hidden="false" customHeight="true" outlineLevel="0" collapsed="false"/>
    <row r="64554" customFormat="false" ht="12.75" hidden="false" customHeight="true" outlineLevel="0" collapsed="false"/>
    <row r="64555" customFormat="false" ht="12.75" hidden="false" customHeight="true" outlineLevel="0" collapsed="false"/>
    <row r="64556" customFormat="false" ht="12.75" hidden="false" customHeight="true" outlineLevel="0" collapsed="false"/>
    <row r="64557" customFormat="false" ht="12.75" hidden="false" customHeight="true" outlineLevel="0" collapsed="false"/>
    <row r="64558" customFormat="false" ht="12.75" hidden="false" customHeight="true" outlineLevel="0" collapsed="false"/>
    <row r="64559" customFormat="false" ht="12.75" hidden="false" customHeight="true" outlineLevel="0" collapsed="false"/>
    <row r="64560" customFormat="false" ht="12.75" hidden="false" customHeight="true" outlineLevel="0" collapsed="false"/>
    <row r="64561" customFormat="false" ht="12.75" hidden="false" customHeight="true" outlineLevel="0" collapsed="false"/>
    <row r="64562" customFormat="false" ht="12.75" hidden="false" customHeight="true" outlineLevel="0" collapsed="false"/>
    <row r="64563" customFormat="false" ht="12.75" hidden="false" customHeight="true" outlineLevel="0" collapsed="false"/>
    <row r="64564" customFormat="false" ht="12.75" hidden="false" customHeight="true" outlineLevel="0" collapsed="false"/>
    <row r="64565" customFormat="false" ht="12.75" hidden="false" customHeight="true" outlineLevel="0" collapsed="false"/>
    <row r="64566" customFormat="false" ht="12.75" hidden="false" customHeight="true" outlineLevel="0" collapsed="false"/>
    <row r="64567" customFormat="false" ht="12.75" hidden="false" customHeight="true" outlineLevel="0" collapsed="false"/>
    <row r="64568" customFormat="false" ht="12.75" hidden="false" customHeight="true" outlineLevel="0" collapsed="false"/>
    <row r="64569" customFormat="false" ht="12.75" hidden="false" customHeight="true" outlineLevel="0" collapsed="false"/>
    <row r="64570" customFormat="false" ht="12.75" hidden="false" customHeight="true" outlineLevel="0" collapsed="false"/>
    <row r="64571" customFormat="false" ht="12.75" hidden="false" customHeight="true" outlineLevel="0" collapsed="false"/>
    <row r="64572" customFormat="false" ht="12.75" hidden="false" customHeight="true" outlineLevel="0" collapsed="false"/>
    <row r="64573" customFormat="false" ht="12.75" hidden="false" customHeight="true" outlineLevel="0" collapsed="false"/>
    <row r="64574" customFormat="false" ht="12.75" hidden="false" customHeight="true" outlineLevel="0" collapsed="false"/>
    <row r="64575" customFormat="false" ht="12.75" hidden="false" customHeight="true" outlineLevel="0" collapsed="false"/>
    <row r="64576" customFormat="false" ht="12.75" hidden="false" customHeight="true" outlineLevel="0" collapsed="false"/>
    <row r="64577" customFormat="false" ht="12.75" hidden="false" customHeight="true" outlineLevel="0" collapsed="false"/>
    <row r="64578" customFormat="false" ht="12.75" hidden="false" customHeight="true" outlineLevel="0" collapsed="false"/>
    <row r="64579" customFormat="false" ht="12.75" hidden="false" customHeight="true" outlineLevel="0" collapsed="false"/>
    <row r="64580" customFormat="false" ht="12.75" hidden="false" customHeight="true" outlineLevel="0" collapsed="false"/>
    <row r="64581" customFormat="false" ht="12.75" hidden="false" customHeight="true" outlineLevel="0" collapsed="false"/>
    <row r="64582" customFormat="false" ht="12.75" hidden="false" customHeight="true" outlineLevel="0" collapsed="false"/>
    <row r="64583" customFormat="false" ht="12.75" hidden="false" customHeight="true" outlineLevel="0" collapsed="false"/>
    <row r="64584" customFormat="false" ht="12.75" hidden="false" customHeight="true" outlineLevel="0" collapsed="false"/>
    <row r="64585" customFormat="false" ht="12.75" hidden="false" customHeight="true" outlineLevel="0" collapsed="false"/>
    <row r="64586" customFormat="false" ht="12.75" hidden="false" customHeight="true" outlineLevel="0" collapsed="false"/>
    <row r="64587" customFormat="false" ht="12.75" hidden="false" customHeight="true" outlineLevel="0" collapsed="false"/>
    <row r="64588" customFormat="false" ht="12.75" hidden="false" customHeight="true" outlineLevel="0" collapsed="false"/>
    <row r="64589" customFormat="false" ht="12.75" hidden="false" customHeight="true" outlineLevel="0" collapsed="false"/>
    <row r="64590" customFormat="false" ht="12.75" hidden="false" customHeight="true" outlineLevel="0" collapsed="false"/>
    <row r="64591" customFormat="false" ht="12.75" hidden="false" customHeight="true" outlineLevel="0" collapsed="false"/>
    <row r="64592" customFormat="false" ht="12.75" hidden="false" customHeight="true" outlineLevel="0" collapsed="false"/>
    <row r="64593" customFormat="false" ht="12.75" hidden="false" customHeight="true" outlineLevel="0" collapsed="false"/>
    <row r="64594" customFormat="false" ht="12.75" hidden="false" customHeight="true" outlineLevel="0" collapsed="false"/>
    <row r="64595" customFormat="false" ht="12.75" hidden="false" customHeight="true" outlineLevel="0" collapsed="false"/>
    <row r="64596" customFormat="false" ht="12.75" hidden="false" customHeight="true" outlineLevel="0" collapsed="false"/>
    <row r="64597" customFormat="false" ht="12.75" hidden="false" customHeight="true" outlineLevel="0" collapsed="false"/>
    <row r="64598" customFormat="false" ht="12.75" hidden="false" customHeight="true" outlineLevel="0" collapsed="false"/>
    <row r="64599" customFormat="false" ht="12.75" hidden="false" customHeight="true" outlineLevel="0" collapsed="false"/>
    <row r="64600" customFormat="false" ht="12.75" hidden="false" customHeight="true" outlineLevel="0" collapsed="false"/>
    <row r="64601" customFormat="false" ht="12.75" hidden="false" customHeight="true" outlineLevel="0" collapsed="false"/>
    <row r="64602" customFormat="false" ht="12.75" hidden="false" customHeight="true" outlineLevel="0" collapsed="false"/>
    <row r="64603" customFormat="false" ht="12.75" hidden="false" customHeight="true" outlineLevel="0" collapsed="false"/>
    <row r="64604" customFormat="false" ht="12.75" hidden="false" customHeight="true" outlineLevel="0" collapsed="false"/>
    <row r="64605" customFormat="false" ht="12.75" hidden="false" customHeight="true" outlineLevel="0" collapsed="false"/>
    <row r="64606" customFormat="false" ht="12.75" hidden="false" customHeight="true" outlineLevel="0" collapsed="false"/>
    <row r="64607" customFormat="false" ht="12.75" hidden="false" customHeight="true" outlineLevel="0" collapsed="false"/>
    <row r="64608" customFormat="false" ht="12.75" hidden="false" customHeight="true" outlineLevel="0" collapsed="false"/>
    <row r="64609" customFormat="false" ht="12.75" hidden="false" customHeight="true" outlineLevel="0" collapsed="false"/>
    <row r="64610" customFormat="false" ht="12.75" hidden="false" customHeight="true" outlineLevel="0" collapsed="false"/>
    <row r="64611" customFormat="false" ht="12.75" hidden="false" customHeight="true" outlineLevel="0" collapsed="false"/>
    <row r="64612" customFormat="false" ht="12.75" hidden="false" customHeight="true" outlineLevel="0" collapsed="false"/>
    <row r="64613" customFormat="false" ht="12.75" hidden="false" customHeight="true" outlineLevel="0" collapsed="false"/>
    <row r="64614" customFormat="false" ht="12.75" hidden="false" customHeight="true" outlineLevel="0" collapsed="false"/>
    <row r="64615" customFormat="false" ht="12.75" hidden="false" customHeight="true" outlineLevel="0" collapsed="false"/>
    <row r="64616" customFormat="false" ht="12.75" hidden="false" customHeight="true" outlineLevel="0" collapsed="false"/>
    <row r="64617" customFormat="false" ht="12.75" hidden="false" customHeight="true" outlineLevel="0" collapsed="false"/>
    <row r="64618" customFormat="false" ht="12.75" hidden="false" customHeight="true" outlineLevel="0" collapsed="false"/>
    <row r="64619" customFormat="false" ht="12.75" hidden="false" customHeight="true" outlineLevel="0" collapsed="false"/>
    <row r="64620" customFormat="false" ht="12.75" hidden="false" customHeight="true" outlineLevel="0" collapsed="false"/>
    <row r="64621" customFormat="false" ht="12.75" hidden="false" customHeight="true" outlineLevel="0" collapsed="false"/>
    <row r="64622" customFormat="false" ht="12.75" hidden="false" customHeight="true" outlineLevel="0" collapsed="false"/>
    <row r="64623" customFormat="false" ht="12.75" hidden="false" customHeight="true" outlineLevel="0" collapsed="false"/>
    <row r="64624" customFormat="false" ht="12.75" hidden="false" customHeight="true" outlineLevel="0" collapsed="false"/>
    <row r="64625" customFormat="false" ht="12.75" hidden="false" customHeight="true" outlineLevel="0" collapsed="false"/>
    <row r="64626" customFormat="false" ht="12.75" hidden="false" customHeight="true" outlineLevel="0" collapsed="false"/>
    <row r="64627" customFormat="false" ht="12.75" hidden="false" customHeight="true" outlineLevel="0" collapsed="false"/>
    <row r="64628" customFormat="false" ht="12.75" hidden="false" customHeight="true" outlineLevel="0" collapsed="false"/>
    <row r="64629" customFormat="false" ht="12.75" hidden="false" customHeight="true" outlineLevel="0" collapsed="false"/>
    <row r="64630" customFormat="false" ht="12.75" hidden="false" customHeight="true" outlineLevel="0" collapsed="false"/>
    <row r="64631" customFormat="false" ht="12.75" hidden="false" customHeight="true" outlineLevel="0" collapsed="false"/>
    <row r="64632" customFormat="false" ht="12.75" hidden="false" customHeight="true" outlineLevel="0" collapsed="false"/>
    <row r="64633" customFormat="false" ht="12.75" hidden="false" customHeight="true" outlineLevel="0" collapsed="false"/>
    <row r="64634" customFormat="false" ht="12.75" hidden="false" customHeight="true" outlineLevel="0" collapsed="false"/>
    <row r="64635" customFormat="false" ht="12.75" hidden="false" customHeight="true" outlineLevel="0" collapsed="false"/>
    <row r="64636" customFormat="false" ht="12.75" hidden="false" customHeight="true" outlineLevel="0" collapsed="false"/>
    <row r="64637" customFormat="false" ht="12.75" hidden="false" customHeight="true" outlineLevel="0" collapsed="false"/>
    <row r="64638" customFormat="false" ht="12.75" hidden="false" customHeight="true" outlineLevel="0" collapsed="false"/>
    <row r="64639" customFormat="false" ht="12.75" hidden="false" customHeight="true" outlineLevel="0" collapsed="false"/>
    <row r="64640" customFormat="false" ht="12.75" hidden="false" customHeight="true" outlineLevel="0" collapsed="false"/>
    <row r="64641" customFormat="false" ht="12.75" hidden="false" customHeight="true" outlineLevel="0" collapsed="false"/>
    <row r="64642" customFormat="false" ht="12.75" hidden="false" customHeight="true" outlineLevel="0" collapsed="false"/>
    <row r="64643" customFormat="false" ht="12.75" hidden="false" customHeight="true" outlineLevel="0" collapsed="false"/>
    <row r="64644" customFormat="false" ht="12.75" hidden="false" customHeight="true" outlineLevel="0" collapsed="false"/>
    <row r="64645" customFormat="false" ht="12.75" hidden="false" customHeight="true" outlineLevel="0" collapsed="false"/>
    <row r="64646" customFormat="false" ht="12.75" hidden="false" customHeight="true" outlineLevel="0" collapsed="false"/>
    <row r="64647" customFormat="false" ht="12.75" hidden="false" customHeight="true" outlineLevel="0" collapsed="false"/>
    <row r="64648" customFormat="false" ht="12.75" hidden="false" customHeight="true" outlineLevel="0" collapsed="false"/>
    <row r="64649" customFormat="false" ht="12.75" hidden="false" customHeight="true" outlineLevel="0" collapsed="false"/>
    <row r="64650" customFormat="false" ht="12.75" hidden="false" customHeight="true" outlineLevel="0" collapsed="false"/>
    <row r="64651" customFormat="false" ht="12.75" hidden="false" customHeight="true" outlineLevel="0" collapsed="false"/>
    <row r="64652" customFormat="false" ht="12.75" hidden="false" customHeight="true" outlineLevel="0" collapsed="false"/>
    <row r="64653" customFormat="false" ht="12.75" hidden="false" customHeight="true" outlineLevel="0" collapsed="false"/>
    <row r="64654" customFormat="false" ht="12.75" hidden="false" customHeight="true" outlineLevel="0" collapsed="false"/>
    <row r="64655" customFormat="false" ht="12.75" hidden="false" customHeight="true" outlineLevel="0" collapsed="false"/>
    <row r="64656" customFormat="false" ht="12.75" hidden="false" customHeight="true" outlineLevel="0" collapsed="false"/>
    <row r="64657" customFormat="false" ht="12.75" hidden="false" customHeight="true" outlineLevel="0" collapsed="false"/>
    <row r="64658" customFormat="false" ht="12.75" hidden="false" customHeight="true" outlineLevel="0" collapsed="false"/>
    <row r="64659" customFormat="false" ht="12.75" hidden="false" customHeight="true" outlineLevel="0" collapsed="false"/>
    <row r="64660" customFormat="false" ht="12.75" hidden="false" customHeight="true" outlineLevel="0" collapsed="false"/>
    <row r="64661" customFormat="false" ht="12.75" hidden="false" customHeight="true" outlineLevel="0" collapsed="false"/>
    <row r="64662" customFormat="false" ht="12.75" hidden="false" customHeight="true" outlineLevel="0" collapsed="false"/>
    <row r="64663" customFormat="false" ht="12.75" hidden="false" customHeight="true" outlineLevel="0" collapsed="false"/>
    <row r="64664" customFormat="false" ht="12.75" hidden="false" customHeight="true" outlineLevel="0" collapsed="false"/>
    <row r="64665" customFormat="false" ht="12.75" hidden="false" customHeight="true" outlineLevel="0" collapsed="false"/>
    <row r="64666" customFormat="false" ht="12.75" hidden="false" customHeight="true" outlineLevel="0" collapsed="false"/>
    <row r="64667" customFormat="false" ht="12.75" hidden="false" customHeight="true" outlineLevel="0" collapsed="false"/>
    <row r="64668" customFormat="false" ht="12.75" hidden="false" customHeight="true" outlineLevel="0" collapsed="false"/>
    <row r="64669" customFormat="false" ht="12.75" hidden="false" customHeight="true" outlineLevel="0" collapsed="false"/>
    <row r="64670" customFormat="false" ht="12.75" hidden="false" customHeight="true" outlineLevel="0" collapsed="false"/>
    <row r="64671" customFormat="false" ht="12.75" hidden="false" customHeight="true" outlineLevel="0" collapsed="false"/>
    <row r="64672" customFormat="false" ht="12.75" hidden="false" customHeight="true" outlineLevel="0" collapsed="false"/>
    <row r="64673" customFormat="false" ht="12.75" hidden="false" customHeight="true" outlineLevel="0" collapsed="false"/>
    <row r="64674" customFormat="false" ht="12.75" hidden="false" customHeight="true" outlineLevel="0" collapsed="false"/>
    <row r="64675" customFormat="false" ht="12.75" hidden="false" customHeight="true" outlineLevel="0" collapsed="false"/>
    <row r="64676" customFormat="false" ht="12.75" hidden="false" customHeight="true" outlineLevel="0" collapsed="false"/>
    <row r="64677" customFormat="false" ht="12.75" hidden="false" customHeight="true" outlineLevel="0" collapsed="false"/>
    <row r="64678" customFormat="false" ht="12.75" hidden="false" customHeight="true" outlineLevel="0" collapsed="false"/>
    <row r="64679" customFormat="false" ht="12.75" hidden="false" customHeight="true" outlineLevel="0" collapsed="false"/>
    <row r="64680" customFormat="false" ht="12.75" hidden="false" customHeight="true" outlineLevel="0" collapsed="false"/>
    <row r="64681" customFormat="false" ht="12.75" hidden="false" customHeight="true" outlineLevel="0" collapsed="false"/>
    <row r="64682" customFormat="false" ht="12.75" hidden="false" customHeight="true" outlineLevel="0" collapsed="false"/>
    <row r="64683" customFormat="false" ht="12.75" hidden="false" customHeight="true" outlineLevel="0" collapsed="false"/>
    <row r="64684" customFormat="false" ht="12.75" hidden="false" customHeight="true" outlineLevel="0" collapsed="false"/>
    <row r="64685" customFormat="false" ht="12.75" hidden="false" customHeight="true" outlineLevel="0" collapsed="false"/>
    <row r="64686" customFormat="false" ht="12.75" hidden="false" customHeight="true" outlineLevel="0" collapsed="false"/>
    <row r="64687" customFormat="false" ht="12.75" hidden="false" customHeight="true" outlineLevel="0" collapsed="false"/>
    <row r="64688" customFormat="false" ht="12.75" hidden="false" customHeight="true" outlineLevel="0" collapsed="false"/>
    <row r="64689" customFormat="false" ht="12.75" hidden="false" customHeight="true" outlineLevel="0" collapsed="false"/>
    <row r="64690" customFormat="false" ht="12.75" hidden="false" customHeight="true" outlineLevel="0" collapsed="false"/>
    <row r="64691" customFormat="false" ht="12.75" hidden="false" customHeight="true" outlineLevel="0" collapsed="false"/>
    <row r="64692" customFormat="false" ht="12.75" hidden="false" customHeight="true" outlineLevel="0" collapsed="false"/>
    <row r="64693" customFormat="false" ht="12.75" hidden="false" customHeight="true" outlineLevel="0" collapsed="false"/>
    <row r="64694" customFormat="false" ht="12.75" hidden="false" customHeight="true" outlineLevel="0" collapsed="false"/>
    <row r="64695" customFormat="false" ht="12.75" hidden="false" customHeight="true" outlineLevel="0" collapsed="false"/>
    <row r="64696" customFormat="false" ht="12.75" hidden="false" customHeight="true" outlineLevel="0" collapsed="false"/>
    <row r="64697" customFormat="false" ht="12.75" hidden="false" customHeight="true" outlineLevel="0" collapsed="false"/>
    <row r="64698" customFormat="false" ht="12.75" hidden="false" customHeight="true" outlineLevel="0" collapsed="false"/>
    <row r="64699" customFormat="false" ht="12.75" hidden="false" customHeight="true" outlineLevel="0" collapsed="false"/>
    <row r="64700" customFormat="false" ht="12.75" hidden="false" customHeight="true" outlineLevel="0" collapsed="false"/>
    <row r="64701" customFormat="false" ht="12.75" hidden="false" customHeight="true" outlineLevel="0" collapsed="false"/>
    <row r="64702" customFormat="false" ht="12.75" hidden="false" customHeight="true" outlineLevel="0" collapsed="false"/>
    <row r="64703" customFormat="false" ht="12.75" hidden="false" customHeight="true" outlineLevel="0" collapsed="false"/>
    <row r="64704" customFormat="false" ht="12.75" hidden="false" customHeight="true" outlineLevel="0" collapsed="false"/>
    <row r="64705" customFormat="false" ht="12.75" hidden="false" customHeight="true" outlineLevel="0" collapsed="false"/>
    <row r="64706" customFormat="false" ht="12.75" hidden="false" customHeight="true" outlineLevel="0" collapsed="false"/>
    <row r="64707" customFormat="false" ht="12.75" hidden="false" customHeight="true" outlineLevel="0" collapsed="false"/>
    <row r="64708" customFormat="false" ht="12.75" hidden="false" customHeight="true" outlineLevel="0" collapsed="false"/>
    <row r="64709" customFormat="false" ht="12.75" hidden="false" customHeight="true" outlineLevel="0" collapsed="false"/>
    <row r="64710" customFormat="false" ht="12.75" hidden="false" customHeight="true" outlineLevel="0" collapsed="false"/>
    <row r="64711" customFormat="false" ht="12.75" hidden="false" customHeight="true" outlineLevel="0" collapsed="false"/>
    <row r="64712" customFormat="false" ht="12.75" hidden="false" customHeight="true" outlineLevel="0" collapsed="false"/>
    <row r="64713" customFormat="false" ht="12.75" hidden="false" customHeight="true" outlineLevel="0" collapsed="false"/>
    <row r="64714" customFormat="false" ht="12.75" hidden="false" customHeight="true" outlineLevel="0" collapsed="false"/>
    <row r="64715" customFormat="false" ht="12.75" hidden="false" customHeight="true" outlineLevel="0" collapsed="false"/>
    <row r="64716" customFormat="false" ht="12.75" hidden="false" customHeight="true" outlineLevel="0" collapsed="false"/>
    <row r="64717" customFormat="false" ht="12.75" hidden="false" customHeight="true" outlineLevel="0" collapsed="false"/>
    <row r="64718" customFormat="false" ht="12.75" hidden="false" customHeight="true" outlineLevel="0" collapsed="false"/>
    <row r="64719" customFormat="false" ht="12.75" hidden="false" customHeight="true" outlineLevel="0" collapsed="false"/>
    <row r="64720" customFormat="false" ht="12.75" hidden="false" customHeight="true" outlineLevel="0" collapsed="false"/>
    <row r="64721" customFormat="false" ht="12.75" hidden="false" customHeight="true" outlineLevel="0" collapsed="false"/>
    <row r="64722" customFormat="false" ht="12.75" hidden="false" customHeight="true" outlineLevel="0" collapsed="false"/>
    <row r="64723" customFormat="false" ht="12.75" hidden="false" customHeight="true" outlineLevel="0" collapsed="false"/>
    <row r="64724" customFormat="false" ht="12.75" hidden="false" customHeight="true" outlineLevel="0" collapsed="false"/>
    <row r="64725" customFormat="false" ht="12.75" hidden="false" customHeight="true" outlineLevel="0" collapsed="false"/>
    <row r="64726" customFormat="false" ht="12.75" hidden="false" customHeight="true" outlineLevel="0" collapsed="false"/>
    <row r="64727" customFormat="false" ht="12.75" hidden="false" customHeight="true" outlineLevel="0" collapsed="false"/>
    <row r="64728" customFormat="false" ht="12.75" hidden="false" customHeight="true" outlineLevel="0" collapsed="false"/>
    <row r="64729" customFormat="false" ht="12.75" hidden="false" customHeight="true" outlineLevel="0" collapsed="false"/>
    <row r="64730" customFormat="false" ht="12.75" hidden="false" customHeight="true" outlineLevel="0" collapsed="false"/>
    <row r="64731" customFormat="false" ht="12.75" hidden="false" customHeight="true" outlineLevel="0" collapsed="false"/>
    <row r="64732" customFormat="false" ht="12.75" hidden="false" customHeight="true" outlineLevel="0" collapsed="false"/>
    <row r="64733" customFormat="false" ht="12.75" hidden="false" customHeight="true" outlineLevel="0" collapsed="false"/>
    <row r="64734" customFormat="false" ht="12.75" hidden="false" customHeight="true" outlineLevel="0" collapsed="false"/>
    <row r="64735" customFormat="false" ht="12.75" hidden="false" customHeight="true" outlineLevel="0" collapsed="false"/>
    <row r="64736" customFormat="false" ht="12.75" hidden="false" customHeight="true" outlineLevel="0" collapsed="false"/>
    <row r="64737" customFormat="false" ht="12.75" hidden="false" customHeight="true" outlineLevel="0" collapsed="false"/>
    <row r="64738" customFormat="false" ht="12.75" hidden="false" customHeight="true" outlineLevel="0" collapsed="false"/>
    <row r="64739" customFormat="false" ht="12.75" hidden="false" customHeight="true" outlineLevel="0" collapsed="false"/>
    <row r="64740" customFormat="false" ht="12.75" hidden="false" customHeight="true" outlineLevel="0" collapsed="false"/>
    <row r="64741" customFormat="false" ht="12.75" hidden="false" customHeight="true" outlineLevel="0" collapsed="false"/>
    <row r="64742" customFormat="false" ht="12.75" hidden="false" customHeight="true" outlineLevel="0" collapsed="false"/>
    <row r="64743" customFormat="false" ht="12.75" hidden="false" customHeight="true" outlineLevel="0" collapsed="false"/>
    <row r="64744" customFormat="false" ht="12.75" hidden="false" customHeight="true" outlineLevel="0" collapsed="false"/>
    <row r="64745" customFormat="false" ht="12.75" hidden="false" customHeight="true" outlineLevel="0" collapsed="false"/>
    <row r="64746" customFormat="false" ht="12.75" hidden="false" customHeight="true" outlineLevel="0" collapsed="false"/>
    <row r="64747" customFormat="false" ht="12.75" hidden="false" customHeight="true" outlineLevel="0" collapsed="false"/>
    <row r="64748" customFormat="false" ht="12.75" hidden="false" customHeight="true" outlineLevel="0" collapsed="false"/>
    <row r="64749" customFormat="false" ht="12.75" hidden="false" customHeight="true" outlineLevel="0" collapsed="false"/>
    <row r="64750" customFormat="false" ht="12.75" hidden="false" customHeight="true" outlineLevel="0" collapsed="false"/>
    <row r="64751" customFormat="false" ht="12.75" hidden="false" customHeight="true" outlineLevel="0" collapsed="false"/>
    <row r="64752" customFormat="false" ht="12.75" hidden="false" customHeight="true" outlineLevel="0" collapsed="false"/>
    <row r="64753" customFormat="false" ht="12.75" hidden="false" customHeight="true" outlineLevel="0" collapsed="false"/>
    <row r="64754" customFormat="false" ht="12.75" hidden="false" customHeight="true" outlineLevel="0" collapsed="false"/>
    <row r="64755" customFormat="false" ht="12.75" hidden="false" customHeight="true" outlineLevel="0" collapsed="false"/>
    <row r="64756" customFormat="false" ht="12.75" hidden="false" customHeight="true" outlineLevel="0" collapsed="false"/>
    <row r="64757" customFormat="false" ht="12.75" hidden="false" customHeight="true" outlineLevel="0" collapsed="false"/>
    <row r="64758" customFormat="false" ht="12.75" hidden="false" customHeight="true" outlineLevel="0" collapsed="false"/>
    <row r="64759" customFormat="false" ht="12.75" hidden="false" customHeight="true" outlineLevel="0" collapsed="false"/>
    <row r="64760" customFormat="false" ht="12.75" hidden="false" customHeight="true" outlineLevel="0" collapsed="false"/>
    <row r="64761" customFormat="false" ht="12.75" hidden="false" customHeight="true" outlineLevel="0" collapsed="false"/>
    <row r="64762" customFormat="false" ht="12.75" hidden="false" customHeight="true" outlineLevel="0" collapsed="false"/>
    <row r="64763" customFormat="false" ht="12.75" hidden="false" customHeight="true" outlineLevel="0" collapsed="false"/>
    <row r="64764" customFormat="false" ht="12.75" hidden="false" customHeight="true" outlineLevel="0" collapsed="false"/>
    <row r="64765" customFormat="false" ht="12.75" hidden="false" customHeight="true" outlineLevel="0" collapsed="false"/>
    <row r="64766" customFormat="false" ht="12.75" hidden="false" customHeight="true" outlineLevel="0" collapsed="false"/>
    <row r="64767" customFormat="false" ht="12.75" hidden="false" customHeight="true" outlineLevel="0" collapsed="false"/>
    <row r="64768" customFormat="false" ht="12.75" hidden="false" customHeight="true" outlineLevel="0" collapsed="false"/>
    <row r="64769" customFormat="false" ht="12.75" hidden="false" customHeight="true" outlineLevel="0" collapsed="false"/>
    <row r="64770" customFormat="false" ht="12.75" hidden="false" customHeight="true" outlineLevel="0" collapsed="false"/>
    <row r="64771" customFormat="false" ht="12.75" hidden="false" customHeight="true" outlineLevel="0" collapsed="false"/>
    <row r="64772" customFormat="false" ht="12.75" hidden="false" customHeight="true" outlineLevel="0" collapsed="false"/>
    <row r="64773" customFormat="false" ht="12.75" hidden="false" customHeight="true" outlineLevel="0" collapsed="false"/>
    <row r="64774" customFormat="false" ht="12.75" hidden="false" customHeight="true" outlineLevel="0" collapsed="false"/>
    <row r="64775" customFormat="false" ht="12.75" hidden="false" customHeight="true" outlineLevel="0" collapsed="false"/>
    <row r="64776" customFormat="false" ht="12.75" hidden="false" customHeight="true" outlineLevel="0" collapsed="false"/>
    <row r="64777" customFormat="false" ht="12.75" hidden="false" customHeight="true" outlineLevel="0" collapsed="false"/>
    <row r="64778" customFormat="false" ht="12.75" hidden="false" customHeight="true" outlineLevel="0" collapsed="false"/>
    <row r="64779" customFormat="false" ht="12.75" hidden="false" customHeight="true" outlineLevel="0" collapsed="false"/>
    <row r="64780" customFormat="false" ht="12.75" hidden="false" customHeight="true" outlineLevel="0" collapsed="false"/>
    <row r="64781" customFormat="false" ht="12.75" hidden="false" customHeight="true" outlineLevel="0" collapsed="false"/>
    <row r="64782" customFormat="false" ht="12.75" hidden="false" customHeight="true" outlineLevel="0" collapsed="false"/>
    <row r="64783" customFormat="false" ht="12.75" hidden="false" customHeight="true" outlineLevel="0" collapsed="false"/>
    <row r="64784" customFormat="false" ht="12.75" hidden="false" customHeight="true" outlineLevel="0" collapsed="false"/>
    <row r="64785" customFormat="false" ht="12.75" hidden="false" customHeight="true" outlineLevel="0" collapsed="false"/>
    <row r="64786" customFormat="false" ht="12.75" hidden="false" customHeight="true" outlineLevel="0" collapsed="false"/>
    <row r="64787" customFormat="false" ht="12.75" hidden="false" customHeight="true" outlineLevel="0" collapsed="false"/>
    <row r="64788" customFormat="false" ht="12.75" hidden="false" customHeight="true" outlineLevel="0" collapsed="false"/>
    <row r="64789" customFormat="false" ht="12.75" hidden="false" customHeight="true" outlineLevel="0" collapsed="false"/>
    <row r="64790" customFormat="false" ht="12.75" hidden="false" customHeight="true" outlineLevel="0" collapsed="false"/>
    <row r="64791" customFormat="false" ht="12.75" hidden="false" customHeight="true" outlineLevel="0" collapsed="false"/>
    <row r="64792" customFormat="false" ht="12.75" hidden="false" customHeight="true" outlineLevel="0" collapsed="false"/>
    <row r="64793" customFormat="false" ht="12.75" hidden="false" customHeight="true" outlineLevel="0" collapsed="false"/>
    <row r="64794" customFormat="false" ht="12.75" hidden="false" customHeight="true" outlineLevel="0" collapsed="false"/>
    <row r="64795" customFormat="false" ht="12.75" hidden="false" customHeight="true" outlineLevel="0" collapsed="false"/>
    <row r="64796" customFormat="false" ht="12.75" hidden="false" customHeight="true" outlineLevel="0" collapsed="false"/>
    <row r="64797" customFormat="false" ht="12.75" hidden="false" customHeight="true" outlineLevel="0" collapsed="false"/>
    <row r="64798" customFormat="false" ht="12.75" hidden="false" customHeight="true" outlineLevel="0" collapsed="false"/>
    <row r="64799" customFormat="false" ht="12.75" hidden="false" customHeight="true" outlineLevel="0" collapsed="false"/>
    <row r="64800" customFormat="false" ht="12.75" hidden="false" customHeight="true" outlineLevel="0" collapsed="false"/>
    <row r="64801" customFormat="false" ht="12.75" hidden="false" customHeight="true" outlineLevel="0" collapsed="false"/>
    <row r="64802" customFormat="false" ht="12.75" hidden="false" customHeight="true" outlineLevel="0" collapsed="false"/>
    <row r="64803" customFormat="false" ht="12.75" hidden="false" customHeight="true" outlineLevel="0" collapsed="false"/>
    <row r="64804" customFormat="false" ht="12.75" hidden="false" customHeight="true" outlineLevel="0" collapsed="false"/>
    <row r="64805" customFormat="false" ht="12.75" hidden="false" customHeight="true" outlineLevel="0" collapsed="false"/>
    <row r="64806" customFormat="false" ht="12.75" hidden="false" customHeight="true" outlineLevel="0" collapsed="false"/>
    <row r="64807" customFormat="false" ht="12.75" hidden="false" customHeight="true" outlineLevel="0" collapsed="false"/>
    <row r="64808" customFormat="false" ht="12.75" hidden="false" customHeight="true" outlineLevel="0" collapsed="false"/>
    <row r="64809" customFormat="false" ht="12.75" hidden="false" customHeight="true" outlineLevel="0" collapsed="false"/>
    <row r="64810" customFormat="false" ht="12.75" hidden="false" customHeight="true" outlineLevel="0" collapsed="false"/>
    <row r="64811" customFormat="false" ht="12.75" hidden="false" customHeight="true" outlineLevel="0" collapsed="false"/>
    <row r="64812" customFormat="false" ht="12.75" hidden="false" customHeight="true" outlineLevel="0" collapsed="false"/>
    <row r="64813" customFormat="false" ht="12.75" hidden="false" customHeight="true" outlineLevel="0" collapsed="false"/>
    <row r="64814" customFormat="false" ht="12.75" hidden="false" customHeight="true" outlineLevel="0" collapsed="false"/>
    <row r="64815" customFormat="false" ht="12.75" hidden="false" customHeight="true" outlineLevel="0" collapsed="false"/>
    <row r="64816" customFormat="false" ht="12.75" hidden="false" customHeight="true" outlineLevel="0" collapsed="false"/>
    <row r="64817" customFormat="false" ht="12.75" hidden="false" customHeight="true" outlineLevel="0" collapsed="false"/>
    <row r="64818" customFormat="false" ht="12.75" hidden="false" customHeight="true" outlineLevel="0" collapsed="false"/>
    <row r="64819" customFormat="false" ht="12.75" hidden="false" customHeight="true" outlineLevel="0" collapsed="false"/>
    <row r="64820" customFormat="false" ht="12.75" hidden="false" customHeight="true" outlineLevel="0" collapsed="false"/>
    <row r="64821" customFormat="false" ht="12.75" hidden="false" customHeight="true" outlineLevel="0" collapsed="false"/>
    <row r="64822" customFormat="false" ht="12.75" hidden="false" customHeight="true" outlineLevel="0" collapsed="false"/>
    <row r="64823" customFormat="false" ht="12.75" hidden="false" customHeight="true" outlineLevel="0" collapsed="false"/>
    <row r="64824" customFormat="false" ht="12.75" hidden="false" customHeight="true" outlineLevel="0" collapsed="false"/>
    <row r="64825" customFormat="false" ht="12.75" hidden="false" customHeight="true" outlineLevel="0" collapsed="false"/>
    <row r="64826" customFormat="false" ht="12.75" hidden="false" customHeight="true" outlineLevel="0" collapsed="false"/>
    <row r="64827" customFormat="false" ht="12.75" hidden="false" customHeight="true" outlineLevel="0" collapsed="false"/>
    <row r="64828" customFormat="false" ht="12.75" hidden="false" customHeight="true" outlineLevel="0" collapsed="false"/>
    <row r="64829" customFormat="false" ht="12.75" hidden="false" customHeight="true" outlineLevel="0" collapsed="false"/>
    <row r="64830" customFormat="false" ht="12.75" hidden="false" customHeight="true" outlineLevel="0" collapsed="false"/>
    <row r="64831" customFormat="false" ht="12.75" hidden="false" customHeight="true" outlineLevel="0" collapsed="false"/>
    <row r="64832" customFormat="false" ht="12.75" hidden="false" customHeight="true" outlineLevel="0" collapsed="false"/>
    <row r="64833" customFormat="false" ht="12.75" hidden="false" customHeight="true" outlineLevel="0" collapsed="false"/>
    <row r="64834" customFormat="false" ht="12.75" hidden="false" customHeight="true" outlineLevel="0" collapsed="false"/>
    <row r="64835" customFormat="false" ht="12.75" hidden="false" customHeight="true" outlineLevel="0" collapsed="false"/>
    <row r="64836" customFormat="false" ht="12.75" hidden="false" customHeight="true" outlineLevel="0" collapsed="false"/>
    <row r="64837" customFormat="false" ht="12.75" hidden="false" customHeight="true" outlineLevel="0" collapsed="false"/>
    <row r="64838" customFormat="false" ht="12.75" hidden="false" customHeight="true" outlineLevel="0" collapsed="false"/>
    <row r="64839" customFormat="false" ht="12.75" hidden="false" customHeight="true" outlineLevel="0" collapsed="false"/>
    <row r="64840" customFormat="false" ht="12.75" hidden="false" customHeight="true" outlineLevel="0" collapsed="false"/>
    <row r="64841" customFormat="false" ht="12.75" hidden="false" customHeight="true" outlineLevel="0" collapsed="false"/>
    <row r="64842" customFormat="false" ht="12.75" hidden="false" customHeight="true" outlineLevel="0" collapsed="false"/>
    <row r="64843" customFormat="false" ht="12.75" hidden="false" customHeight="true" outlineLevel="0" collapsed="false"/>
    <row r="64844" customFormat="false" ht="12.75" hidden="false" customHeight="true" outlineLevel="0" collapsed="false"/>
    <row r="64845" customFormat="false" ht="12.75" hidden="false" customHeight="true" outlineLevel="0" collapsed="false"/>
    <row r="64846" customFormat="false" ht="12.75" hidden="false" customHeight="true" outlineLevel="0" collapsed="false"/>
    <row r="64847" customFormat="false" ht="12.75" hidden="false" customHeight="true" outlineLevel="0" collapsed="false"/>
    <row r="64848" customFormat="false" ht="12.75" hidden="false" customHeight="true" outlineLevel="0" collapsed="false"/>
    <row r="64849" customFormat="false" ht="12.75" hidden="false" customHeight="true" outlineLevel="0" collapsed="false"/>
    <row r="64850" customFormat="false" ht="12.75" hidden="false" customHeight="true" outlineLevel="0" collapsed="false"/>
    <row r="64851" customFormat="false" ht="12.75" hidden="false" customHeight="true" outlineLevel="0" collapsed="false"/>
    <row r="64852" customFormat="false" ht="12.75" hidden="false" customHeight="true" outlineLevel="0" collapsed="false"/>
    <row r="64853" customFormat="false" ht="12.75" hidden="false" customHeight="true" outlineLevel="0" collapsed="false"/>
    <row r="64854" customFormat="false" ht="12.75" hidden="false" customHeight="true" outlineLevel="0" collapsed="false"/>
    <row r="64855" customFormat="false" ht="12.75" hidden="false" customHeight="true" outlineLevel="0" collapsed="false"/>
    <row r="64856" customFormat="false" ht="12.75" hidden="false" customHeight="true" outlineLevel="0" collapsed="false"/>
    <row r="64857" customFormat="false" ht="12.75" hidden="false" customHeight="true" outlineLevel="0" collapsed="false"/>
    <row r="64858" customFormat="false" ht="12.75" hidden="false" customHeight="true" outlineLevel="0" collapsed="false"/>
    <row r="64859" customFormat="false" ht="12.75" hidden="false" customHeight="true" outlineLevel="0" collapsed="false"/>
    <row r="64860" customFormat="false" ht="12.75" hidden="false" customHeight="true" outlineLevel="0" collapsed="false"/>
    <row r="64861" customFormat="false" ht="12.75" hidden="false" customHeight="true" outlineLevel="0" collapsed="false"/>
    <row r="64862" customFormat="false" ht="12.75" hidden="false" customHeight="true" outlineLevel="0" collapsed="false"/>
    <row r="64863" customFormat="false" ht="12.75" hidden="false" customHeight="true" outlineLevel="0" collapsed="false"/>
    <row r="64864" customFormat="false" ht="12.75" hidden="false" customHeight="true" outlineLevel="0" collapsed="false"/>
    <row r="64865" customFormat="false" ht="12.75" hidden="false" customHeight="true" outlineLevel="0" collapsed="false"/>
    <row r="64866" customFormat="false" ht="12.75" hidden="false" customHeight="true" outlineLevel="0" collapsed="false"/>
    <row r="64867" customFormat="false" ht="12.75" hidden="false" customHeight="true" outlineLevel="0" collapsed="false"/>
    <row r="64868" customFormat="false" ht="12.75" hidden="false" customHeight="true" outlineLevel="0" collapsed="false"/>
    <row r="64869" customFormat="false" ht="12.75" hidden="false" customHeight="true" outlineLevel="0" collapsed="false"/>
    <row r="64870" customFormat="false" ht="12.75" hidden="false" customHeight="true" outlineLevel="0" collapsed="false"/>
    <row r="64871" customFormat="false" ht="12.75" hidden="false" customHeight="true" outlineLevel="0" collapsed="false"/>
    <row r="64872" customFormat="false" ht="12.75" hidden="false" customHeight="true" outlineLevel="0" collapsed="false"/>
    <row r="64873" customFormat="false" ht="12.75" hidden="false" customHeight="true" outlineLevel="0" collapsed="false"/>
    <row r="64874" customFormat="false" ht="12.75" hidden="false" customHeight="true" outlineLevel="0" collapsed="false"/>
    <row r="64875" customFormat="false" ht="12.75" hidden="false" customHeight="true" outlineLevel="0" collapsed="false"/>
    <row r="64876" customFormat="false" ht="12.75" hidden="false" customHeight="true" outlineLevel="0" collapsed="false"/>
    <row r="64877" customFormat="false" ht="12.75" hidden="false" customHeight="true" outlineLevel="0" collapsed="false"/>
    <row r="64878" customFormat="false" ht="12.75" hidden="false" customHeight="true" outlineLevel="0" collapsed="false"/>
    <row r="64879" customFormat="false" ht="12.75" hidden="false" customHeight="true" outlineLevel="0" collapsed="false"/>
    <row r="64880" customFormat="false" ht="12.75" hidden="false" customHeight="true" outlineLevel="0" collapsed="false"/>
    <row r="64881" customFormat="false" ht="12.75" hidden="false" customHeight="true" outlineLevel="0" collapsed="false"/>
    <row r="64882" customFormat="false" ht="12.75" hidden="false" customHeight="true" outlineLevel="0" collapsed="false"/>
    <row r="64883" customFormat="false" ht="12.75" hidden="false" customHeight="true" outlineLevel="0" collapsed="false"/>
    <row r="64884" customFormat="false" ht="12.75" hidden="false" customHeight="true" outlineLevel="0" collapsed="false"/>
    <row r="64885" customFormat="false" ht="12.75" hidden="false" customHeight="true" outlineLevel="0" collapsed="false"/>
    <row r="64886" customFormat="false" ht="12.75" hidden="false" customHeight="true" outlineLevel="0" collapsed="false"/>
    <row r="64887" customFormat="false" ht="12.75" hidden="false" customHeight="true" outlineLevel="0" collapsed="false"/>
    <row r="64888" customFormat="false" ht="12.75" hidden="false" customHeight="true" outlineLevel="0" collapsed="false"/>
    <row r="64889" customFormat="false" ht="12.75" hidden="false" customHeight="true" outlineLevel="0" collapsed="false"/>
    <row r="64890" customFormat="false" ht="12.75" hidden="false" customHeight="true" outlineLevel="0" collapsed="false"/>
    <row r="64891" customFormat="false" ht="12.75" hidden="false" customHeight="true" outlineLevel="0" collapsed="false"/>
    <row r="64892" customFormat="false" ht="12.75" hidden="false" customHeight="true" outlineLevel="0" collapsed="false"/>
    <row r="64893" customFormat="false" ht="12.75" hidden="false" customHeight="true" outlineLevel="0" collapsed="false"/>
    <row r="64894" customFormat="false" ht="12.75" hidden="false" customHeight="true" outlineLevel="0" collapsed="false"/>
    <row r="64895" customFormat="false" ht="12.75" hidden="false" customHeight="true" outlineLevel="0" collapsed="false"/>
    <row r="64896" customFormat="false" ht="12.75" hidden="false" customHeight="true" outlineLevel="0" collapsed="false"/>
    <row r="64897" customFormat="false" ht="12.75" hidden="false" customHeight="true" outlineLevel="0" collapsed="false"/>
    <row r="64898" customFormat="false" ht="12.75" hidden="false" customHeight="true" outlineLevel="0" collapsed="false"/>
    <row r="64899" customFormat="false" ht="12.75" hidden="false" customHeight="true" outlineLevel="0" collapsed="false"/>
    <row r="64900" customFormat="false" ht="12.75" hidden="false" customHeight="true" outlineLevel="0" collapsed="false"/>
    <row r="64901" customFormat="false" ht="12.75" hidden="false" customHeight="true" outlineLevel="0" collapsed="false"/>
    <row r="64902" customFormat="false" ht="12.75" hidden="false" customHeight="true" outlineLevel="0" collapsed="false"/>
    <row r="64903" customFormat="false" ht="12.75" hidden="false" customHeight="true" outlineLevel="0" collapsed="false"/>
    <row r="64904" customFormat="false" ht="12.75" hidden="false" customHeight="true" outlineLevel="0" collapsed="false"/>
    <row r="64905" customFormat="false" ht="12.75" hidden="false" customHeight="true" outlineLevel="0" collapsed="false"/>
    <row r="64906" customFormat="false" ht="12.75" hidden="false" customHeight="true" outlineLevel="0" collapsed="false"/>
    <row r="64907" customFormat="false" ht="12.75" hidden="false" customHeight="true" outlineLevel="0" collapsed="false"/>
    <row r="64908" customFormat="false" ht="12.75" hidden="false" customHeight="true" outlineLevel="0" collapsed="false"/>
    <row r="64909" customFormat="false" ht="12.75" hidden="false" customHeight="true" outlineLevel="0" collapsed="false"/>
    <row r="64910" customFormat="false" ht="12.75" hidden="false" customHeight="true" outlineLevel="0" collapsed="false"/>
    <row r="64911" customFormat="false" ht="12.75" hidden="false" customHeight="true" outlineLevel="0" collapsed="false"/>
    <row r="64912" customFormat="false" ht="12.75" hidden="false" customHeight="true" outlineLevel="0" collapsed="false"/>
    <row r="64913" customFormat="false" ht="12.75" hidden="false" customHeight="true" outlineLevel="0" collapsed="false"/>
    <row r="64914" customFormat="false" ht="12.75" hidden="false" customHeight="true" outlineLevel="0" collapsed="false"/>
    <row r="64915" customFormat="false" ht="12.75" hidden="false" customHeight="true" outlineLevel="0" collapsed="false"/>
    <row r="64916" customFormat="false" ht="12.75" hidden="false" customHeight="true" outlineLevel="0" collapsed="false"/>
    <row r="64917" customFormat="false" ht="12.75" hidden="false" customHeight="true" outlineLevel="0" collapsed="false"/>
    <row r="64918" customFormat="false" ht="12.75" hidden="false" customHeight="true" outlineLevel="0" collapsed="false"/>
    <row r="64919" customFormat="false" ht="12.75" hidden="false" customHeight="true" outlineLevel="0" collapsed="false"/>
    <row r="64920" customFormat="false" ht="12.75" hidden="false" customHeight="true" outlineLevel="0" collapsed="false"/>
    <row r="64921" customFormat="false" ht="12.75" hidden="false" customHeight="true" outlineLevel="0" collapsed="false"/>
    <row r="64922" customFormat="false" ht="12.75" hidden="false" customHeight="true" outlineLevel="0" collapsed="false"/>
    <row r="64923" customFormat="false" ht="12.75" hidden="false" customHeight="true" outlineLevel="0" collapsed="false"/>
    <row r="64924" customFormat="false" ht="12.75" hidden="false" customHeight="true" outlineLevel="0" collapsed="false"/>
    <row r="64925" customFormat="false" ht="12.75" hidden="false" customHeight="true" outlineLevel="0" collapsed="false"/>
    <row r="64926" customFormat="false" ht="12.75" hidden="false" customHeight="true" outlineLevel="0" collapsed="false"/>
    <row r="64927" customFormat="false" ht="12.75" hidden="false" customHeight="true" outlineLevel="0" collapsed="false"/>
    <row r="64928" customFormat="false" ht="12.75" hidden="false" customHeight="true" outlineLevel="0" collapsed="false"/>
    <row r="64929" customFormat="false" ht="12.75" hidden="false" customHeight="true" outlineLevel="0" collapsed="false"/>
    <row r="64930" customFormat="false" ht="12.75" hidden="false" customHeight="true" outlineLevel="0" collapsed="false"/>
    <row r="64931" customFormat="false" ht="12.75" hidden="false" customHeight="true" outlineLevel="0" collapsed="false"/>
    <row r="64932" customFormat="false" ht="12.75" hidden="false" customHeight="true" outlineLevel="0" collapsed="false"/>
    <row r="64933" customFormat="false" ht="12.75" hidden="false" customHeight="true" outlineLevel="0" collapsed="false"/>
    <row r="64934" customFormat="false" ht="12.75" hidden="false" customHeight="true" outlineLevel="0" collapsed="false"/>
    <row r="64935" customFormat="false" ht="12.75" hidden="false" customHeight="true" outlineLevel="0" collapsed="false"/>
    <row r="64936" customFormat="false" ht="12.75" hidden="false" customHeight="true" outlineLevel="0" collapsed="false"/>
    <row r="64937" customFormat="false" ht="12.75" hidden="false" customHeight="true" outlineLevel="0" collapsed="false"/>
    <row r="64938" customFormat="false" ht="12.75" hidden="false" customHeight="true" outlineLevel="0" collapsed="false"/>
    <row r="64939" customFormat="false" ht="12.75" hidden="false" customHeight="true" outlineLevel="0" collapsed="false"/>
    <row r="64940" customFormat="false" ht="12.75" hidden="false" customHeight="true" outlineLevel="0" collapsed="false"/>
    <row r="64941" customFormat="false" ht="12.75" hidden="false" customHeight="true" outlineLevel="0" collapsed="false"/>
    <row r="64942" customFormat="false" ht="12.75" hidden="false" customHeight="true" outlineLevel="0" collapsed="false"/>
    <row r="64943" customFormat="false" ht="12.75" hidden="false" customHeight="true" outlineLevel="0" collapsed="false"/>
    <row r="64944" customFormat="false" ht="12.75" hidden="false" customHeight="true" outlineLevel="0" collapsed="false"/>
    <row r="64945" customFormat="false" ht="12.75" hidden="false" customHeight="true" outlineLevel="0" collapsed="false"/>
    <row r="64946" customFormat="false" ht="12.75" hidden="false" customHeight="true" outlineLevel="0" collapsed="false"/>
    <row r="64947" customFormat="false" ht="12.75" hidden="false" customHeight="true" outlineLevel="0" collapsed="false"/>
    <row r="64948" customFormat="false" ht="12.75" hidden="false" customHeight="true" outlineLevel="0" collapsed="false"/>
    <row r="64949" customFormat="false" ht="12.75" hidden="false" customHeight="true" outlineLevel="0" collapsed="false"/>
    <row r="64950" customFormat="false" ht="12.75" hidden="false" customHeight="true" outlineLevel="0" collapsed="false"/>
    <row r="64951" customFormat="false" ht="12.75" hidden="false" customHeight="true" outlineLevel="0" collapsed="false"/>
    <row r="64952" customFormat="false" ht="12.75" hidden="false" customHeight="true" outlineLevel="0" collapsed="false"/>
    <row r="64953" customFormat="false" ht="12.75" hidden="false" customHeight="true" outlineLevel="0" collapsed="false"/>
    <row r="64954" customFormat="false" ht="12.75" hidden="false" customHeight="true" outlineLevel="0" collapsed="false"/>
    <row r="64955" customFormat="false" ht="12.75" hidden="false" customHeight="true" outlineLevel="0" collapsed="false"/>
    <row r="64956" customFormat="false" ht="12.75" hidden="false" customHeight="true" outlineLevel="0" collapsed="false"/>
    <row r="64957" customFormat="false" ht="12.75" hidden="false" customHeight="true" outlineLevel="0" collapsed="false"/>
    <row r="64958" customFormat="false" ht="12.75" hidden="false" customHeight="true" outlineLevel="0" collapsed="false"/>
    <row r="64959" customFormat="false" ht="12.75" hidden="false" customHeight="true" outlineLevel="0" collapsed="false"/>
    <row r="64960" customFormat="false" ht="12.75" hidden="false" customHeight="true" outlineLevel="0" collapsed="false"/>
    <row r="64961" customFormat="false" ht="12.75" hidden="false" customHeight="true" outlineLevel="0" collapsed="false"/>
    <row r="64962" customFormat="false" ht="12.75" hidden="false" customHeight="true" outlineLevel="0" collapsed="false"/>
    <row r="64963" customFormat="false" ht="12.75" hidden="false" customHeight="true" outlineLevel="0" collapsed="false"/>
    <row r="64964" customFormat="false" ht="12.75" hidden="false" customHeight="true" outlineLevel="0" collapsed="false"/>
    <row r="64965" customFormat="false" ht="12.75" hidden="false" customHeight="true" outlineLevel="0" collapsed="false"/>
    <row r="64966" customFormat="false" ht="12.75" hidden="false" customHeight="true" outlineLevel="0" collapsed="false"/>
    <row r="64967" customFormat="false" ht="12.75" hidden="false" customHeight="true" outlineLevel="0" collapsed="false"/>
    <row r="64968" customFormat="false" ht="12.75" hidden="false" customHeight="true" outlineLevel="0" collapsed="false"/>
    <row r="64969" customFormat="false" ht="12.75" hidden="false" customHeight="true" outlineLevel="0" collapsed="false"/>
    <row r="64970" customFormat="false" ht="12.75" hidden="false" customHeight="true" outlineLevel="0" collapsed="false"/>
    <row r="64971" customFormat="false" ht="12.75" hidden="false" customHeight="true" outlineLevel="0" collapsed="false"/>
    <row r="64972" customFormat="false" ht="12.75" hidden="false" customHeight="true" outlineLevel="0" collapsed="false"/>
    <row r="64973" customFormat="false" ht="12.75" hidden="false" customHeight="true" outlineLevel="0" collapsed="false"/>
    <row r="64974" customFormat="false" ht="12.75" hidden="false" customHeight="true" outlineLevel="0" collapsed="false"/>
    <row r="64975" customFormat="false" ht="12.75" hidden="false" customHeight="true" outlineLevel="0" collapsed="false"/>
    <row r="64976" customFormat="false" ht="12.75" hidden="false" customHeight="true" outlineLevel="0" collapsed="false"/>
    <row r="64977" customFormat="false" ht="12.75" hidden="false" customHeight="true" outlineLevel="0" collapsed="false"/>
    <row r="64978" customFormat="false" ht="12.75" hidden="false" customHeight="true" outlineLevel="0" collapsed="false"/>
    <row r="64979" customFormat="false" ht="12.75" hidden="false" customHeight="true" outlineLevel="0" collapsed="false"/>
    <row r="64980" customFormat="false" ht="12.75" hidden="false" customHeight="true" outlineLevel="0" collapsed="false"/>
    <row r="64981" customFormat="false" ht="12.75" hidden="false" customHeight="true" outlineLevel="0" collapsed="false"/>
    <row r="64982" customFormat="false" ht="12.75" hidden="false" customHeight="true" outlineLevel="0" collapsed="false"/>
    <row r="64983" customFormat="false" ht="12.75" hidden="false" customHeight="true" outlineLevel="0" collapsed="false"/>
    <row r="64984" customFormat="false" ht="12.75" hidden="false" customHeight="true" outlineLevel="0" collapsed="false"/>
    <row r="64985" customFormat="false" ht="12.75" hidden="false" customHeight="true" outlineLevel="0" collapsed="false"/>
    <row r="64986" customFormat="false" ht="12.75" hidden="false" customHeight="true" outlineLevel="0" collapsed="false"/>
    <row r="64987" customFormat="false" ht="12.75" hidden="false" customHeight="true" outlineLevel="0" collapsed="false"/>
    <row r="64988" customFormat="false" ht="12.75" hidden="false" customHeight="true" outlineLevel="0" collapsed="false"/>
    <row r="64989" customFormat="false" ht="12.75" hidden="false" customHeight="true" outlineLevel="0" collapsed="false"/>
    <row r="64990" customFormat="false" ht="12.75" hidden="false" customHeight="true" outlineLevel="0" collapsed="false"/>
    <row r="64991" customFormat="false" ht="12.75" hidden="false" customHeight="true" outlineLevel="0" collapsed="false"/>
    <row r="64992" customFormat="false" ht="12.75" hidden="false" customHeight="true" outlineLevel="0" collapsed="false"/>
    <row r="64993" customFormat="false" ht="12.75" hidden="false" customHeight="true" outlineLevel="0" collapsed="false"/>
    <row r="64994" customFormat="false" ht="12.75" hidden="false" customHeight="true" outlineLevel="0" collapsed="false"/>
    <row r="64995" customFormat="false" ht="12.75" hidden="false" customHeight="true" outlineLevel="0" collapsed="false"/>
    <row r="64996" customFormat="false" ht="12.75" hidden="false" customHeight="true" outlineLevel="0" collapsed="false"/>
    <row r="64997" customFormat="false" ht="12.75" hidden="false" customHeight="true" outlineLevel="0" collapsed="false"/>
    <row r="64998" customFormat="false" ht="12.75" hidden="false" customHeight="true" outlineLevel="0" collapsed="false"/>
    <row r="64999" customFormat="false" ht="12.75" hidden="false" customHeight="true" outlineLevel="0" collapsed="false"/>
    <row r="65000" customFormat="false" ht="12.75" hidden="false" customHeight="true" outlineLevel="0" collapsed="false"/>
    <row r="65001" customFormat="false" ht="12.75" hidden="false" customHeight="true" outlineLevel="0" collapsed="false"/>
    <row r="65002" customFormat="false" ht="12.75" hidden="false" customHeight="true" outlineLevel="0" collapsed="false"/>
    <row r="65003" customFormat="false" ht="12.75" hidden="false" customHeight="true" outlineLevel="0" collapsed="false"/>
    <row r="65004" customFormat="false" ht="12.75" hidden="false" customHeight="true" outlineLevel="0" collapsed="false"/>
    <row r="65005" customFormat="false" ht="12.75" hidden="false" customHeight="true" outlineLevel="0" collapsed="false"/>
    <row r="65006" customFormat="false" ht="12.75" hidden="false" customHeight="true" outlineLevel="0" collapsed="false"/>
    <row r="65007" customFormat="false" ht="12.75" hidden="false" customHeight="true" outlineLevel="0" collapsed="false"/>
    <row r="65008" customFormat="false" ht="12.75" hidden="false" customHeight="true" outlineLevel="0" collapsed="false"/>
    <row r="65009" customFormat="false" ht="12.75" hidden="false" customHeight="true" outlineLevel="0" collapsed="false"/>
    <row r="65010" customFormat="false" ht="12.75" hidden="false" customHeight="true" outlineLevel="0" collapsed="false"/>
    <row r="65011" customFormat="false" ht="12.75" hidden="false" customHeight="true" outlineLevel="0" collapsed="false"/>
    <row r="65012" customFormat="false" ht="12.75" hidden="false" customHeight="true" outlineLevel="0" collapsed="false"/>
    <row r="65013" customFormat="false" ht="12.75" hidden="false" customHeight="true" outlineLevel="0" collapsed="false"/>
    <row r="65014" customFormat="false" ht="12.75" hidden="false" customHeight="true" outlineLevel="0" collapsed="false"/>
    <row r="65015" customFormat="false" ht="12.75" hidden="false" customHeight="true" outlineLevel="0" collapsed="false"/>
    <row r="65016" customFormat="false" ht="12.75" hidden="false" customHeight="true" outlineLevel="0" collapsed="false"/>
    <row r="65017" customFormat="false" ht="12.75" hidden="false" customHeight="true" outlineLevel="0" collapsed="false"/>
    <row r="65018" customFormat="false" ht="12.75" hidden="false" customHeight="true" outlineLevel="0" collapsed="false"/>
    <row r="65019" customFormat="false" ht="12.75" hidden="false" customHeight="true" outlineLevel="0" collapsed="false"/>
    <row r="65020" customFormat="false" ht="12.75" hidden="false" customHeight="true" outlineLevel="0" collapsed="false"/>
    <row r="65021" customFormat="false" ht="12.75" hidden="false" customHeight="true" outlineLevel="0" collapsed="false"/>
    <row r="65022" customFormat="false" ht="12.75" hidden="false" customHeight="true" outlineLevel="0" collapsed="false"/>
    <row r="65023" customFormat="false" ht="12.75" hidden="false" customHeight="true" outlineLevel="0" collapsed="false"/>
    <row r="65024" customFormat="false" ht="12.75" hidden="false" customHeight="true" outlineLevel="0" collapsed="false"/>
    <row r="65025" customFormat="false" ht="12.75" hidden="false" customHeight="true" outlineLevel="0" collapsed="false"/>
    <row r="65026" customFormat="false" ht="12.75" hidden="false" customHeight="true" outlineLevel="0" collapsed="false"/>
    <row r="65027" customFormat="false" ht="12.75" hidden="false" customHeight="true" outlineLevel="0" collapsed="false"/>
    <row r="65028" customFormat="false" ht="12.75" hidden="false" customHeight="true" outlineLevel="0" collapsed="false"/>
    <row r="65029" customFormat="false" ht="12.75" hidden="false" customHeight="true" outlineLevel="0" collapsed="false"/>
    <row r="65030" customFormat="false" ht="12.75" hidden="false" customHeight="true" outlineLevel="0" collapsed="false"/>
    <row r="65031" customFormat="false" ht="12.75" hidden="false" customHeight="true" outlineLevel="0" collapsed="false"/>
    <row r="65032" customFormat="false" ht="12.75" hidden="false" customHeight="true" outlineLevel="0" collapsed="false"/>
    <row r="65033" customFormat="false" ht="12.75" hidden="false" customHeight="true" outlineLevel="0" collapsed="false"/>
    <row r="65034" customFormat="false" ht="12.75" hidden="false" customHeight="true" outlineLevel="0" collapsed="false"/>
    <row r="65035" customFormat="false" ht="12.75" hidden="false" customHeight="true" outlineLevel="0" collapsed="false"/>
    <row r="65036" customFormat="false" ht="12.75" hidden="false" customHeight="true" outlineLevel="0" collapsed="false"/>
    <row r="65037" customFormat="false" ht="12.75" hidden="false" customHeight="true" outlineLevel="0" collapsed="false"/>
    <row r="65038" customFormat="false" ht="12.75" hidden="false" customHeight="true" outlineLevel="0" collapsed="false"/>
    <row r="65039" customFormat="false" ht="12.75" hidden="false" customHeight="true" outlineLevel="0" collapsed="false"/>
    <row r="65040" customFormat="false" ht="12.75" hidden="false" customHeight="true" outlineLevel="0" collapsed="false"/>
    <row r="65041" customFormat="false" ht="12.75" hidden="false" customHeight="true" outlineLevel="0" collapsed="false"/>
    <row r="65042" customFormat="false" ht="12.75" hidden="false" customHeight="true" outlineLevel="0" collapsed="false"/>
    <row r="65043" customFormat="false" ht="12.75" hidden="false" customHeight="true" outlineLevel="0" collapsed="false"/>
    <row r="65044" customFormat="false" ht="12.75" hidden="false" customHeight="true" outlineLevel="0" collapsed="false"/>
    <row r="65045" customFormat="false" ht="12.75" hidden="false" customHeight="true" outlineLevel="0" collapsed="false"/>
    <row r="65046" customFormat="false" ht="12.75" hidden="false" customHeight="true" outlineLevel="0" collapsed="false"/>
    <row r="65047" customFormat="false" ht="12.75" hidden="false" customHeight="true" outlineLevel="0" collapsed="false"/>
    <row r="65048" customFormat="false" ht="12.75" hidden="false" customHeight="true" outlineLevel="0" collapsed="false"/>
    <row r="65049" customFormat="false" ht="12.75" hidden="false" customHeight="true" outlineLevel="0" collapsed="false"/>
    <row r="65050" customFormat="false" ht="12.75" hidden="false" customHeight="true" outlineLevel="0" collapsed="false"/>
    <row r="65051" customFormat="false" ht="12.75" hidden="false" customHeight="true" outlineLevel="0" collapsed="false"/>
    <row r="65052" customFormat="false" ht="12.75" hidden="false" customHeight="true" outlineLevel="0" collapsed="false"/>
    <row r="65053" customFormat="false" ht="12.75" hidden="false" customHeight="true" outlineLevel="0" collapsed="false"/>
    <row r="65054" customFormat="false" ht="12.75" hidden="false" customHeight="true" outlineLevel="0" collapsed="false"/>
    <row r="65055" customFormat="false" ht="12.75" hidden="false" customHeight="true" outlineLevel="0" collapsed="false"/>
    <row r="65056" customFormat="false" ht="12.75" hidden="false" customHeight="true" outlineLevel="0" collapsed="false"/>
    <row r="65057" customFormat="false" ht="12.75" hidden="false" customHeight="true" outlineLevel="0" collapsed="false"/>
    <row r="65058" customFormat="false" ht="12.75" hidden="false" customHeight="true" outlineLevel="0" collapsed="false"/>
    <row r="65059" customFormat="false" ht="12.75" hidden="false" customHeight="true" outlineLevel="0" collapsed="false"/>
    <row r="65060" customFormat="false" ht="12.75" hidden="false" customHeight="true" outlineLevel="0" collapsed="false"/>
    <row r="65061" customFormat="false" ht="12.75" hidden="false" customHeight="true" outlineLevel="0" collapsed="false"/>
    <row r="65062" customFormat="false" ht="12.75" hidden="false" customHeight="true" outlineLevel="0" collapsed="false"/>
    <row r="65063" customFormat="false" ht="12.75" hidden="false" customHeight="true" outlineLevel="0" collapsed="false"/>
    <row r="65064" customFormat="false" ht="12.75" hidden="false" customHeight="true" outlineLevel="0" collapsed="false"/>
    <row r="65065" customFormat="false" ht="12.75" hidden="false" customHeight="true" outlineLevel="0" collapsed="false"/>
    <row r="65066" customFormat="false" ht="12.75" hidden="false" customHeight="true" outlineLevel="0" collapsed="false"/>
    <row r="65067" customFormat="false" ht="12.75" hidden="false" customHeight="true" outlineLevel="0" collapsed="false"/>
    <row r="65068" customFormat="false" ht="12.75" hidden="false" customHeight="true" outlineLevel="0" collapsed="false"/>
    <row r="65069" customFormat="false" ht="12.75" hidden="false" customHeight="true" outlineLevel="0" collapsed="false"/>
    <row r="65070" customFormat="false" ht="12.75" hidden="false" customHeight="true" outlineLevel="0" collapsed="false"/>
    <row r="65071" customFormat="false" ht="12.75" hidden="false" customHeight="true" outlineLevel="0" collapsed="false"/>
    <row r="65072" customFormat="false" ht="12.75" hidden="false" customHeight="true" outlineLevel="0" collapsed="false"/>
    <row r="65073" customFormat="false" ht="12.75" hidden="false" customHeight="true" outlineLevel="0" collapsed="false"/>
    <row r="65074" customFormat="false" ht="12.75" hidden="false" customHeight="true" outlineLevel="0" collapsed="false"/>
    <row r="65075" customFormat="false" ht="12.75" hidden="false" customHeight="true" outlineLevel="0" collapsed="false"/>
    <row r="65076" customFormat="false" ht="12.75" hidden="false" customHeight="true" outlineLevel="0" collapsed="false"/>
    <row r="65077" customFormat="false" ht="12.75" hidden="false" customHeight="true" outlineLevel="0" collapsed="false"/>
    <row r="65078" customFormat="false" ht="12.75" hidden="false" customHeight="true" outlineLevel="0" collapsed="false"/>
    <row r="65079" customFormat="false" ht="12.75" hidden="false" customHeight="true" outlineLevel="0" collapsed="false"/>
    <row r="65080" customFormat="false" ht="12.75" hidden="false" customHeight="true" outlineLevel="0" collapsed="false"/>
    <row r="65081" customFormat="false" ht="12.75" hidden="false" customHeight="true" outlineLevel="0" collapsed="false"/>
    <row r="65082" customFormat="false" ht="12.75" hidden="false" customHeight="true" outlineLevel="0" collapsed="false"/>
    <row r="65083" customFormat="false" ht="12.75" hidden="false" customHeight="true" outlineLevel="0" collapsed="false"/>
    <row r="65084" customFormat="false" ht="12.75" hidden="false" customHeight="true" outlineLevel="0" collapsed="false"/>
    <row r="65085" customFormat="false" ht="12.75" hidden="false" customHeight="true" outlineLevel="0" collapsed="false"/>
    <row r="65086" customFormat="false" ht="12.75" hidden="false" customHeight="true" outlineLevel="0" collapsed="false"/>
    <row r="65087" customFormat="false" ht="12.75" hidden="false" customHeight="true" outlineLevel="0" collapsed="false"/>
    <row r="65088" customFormat="false" ht="12.75" hidden="false" customHeight="true" outlineLevel="0" collapsed="false"/>
    <row r="65089" customFormat="false" ht="12.75" hidden="false" customHeight="true" outlineLevel="0" collapsed="false"/>
    <row r="65090" customFormat="false" ht="12.75" hidden="false" customHeight="true" outlineLevel="0" collapsed="false"/>
    <row r="65091" customFormat="false" ht="12.75" hidden="false" customHeight="true" outlineLevel="0" collapsed="false"/>
    <row r="65092" customFormat="false" ht="12.75" hidden="false" customHeight="true" outlineLevel="0" collapsed="false"/>
    <row r="65093" customFormat="false" ht="12.75" hidden="false" customHeight="true" outlineLevel="0" collapsed="false"/>
    <row r="65094" customFormat="false" ht="12.75" hidden="false" customHeight="true" outlineLevel="0" collapsed="false"/>
    <row r="65095" customFormat="false" ht="12.75" hidden="false" customHeight="true" outlineLevel="0" collapsed="false"/>
    <row r="65096" customFormat="false" ht="12.75" hidden="false" customHeight="true" outlineLevel="0" collapsed="false"/>
    <row r="65097" customFormat="false" ht="12.75" hidden="false" customHeight="true" outlineLevel="0" collapsed="false"/>
    <row r="65098" customFormat="false" ht="12.75" hidden="false" customHeight="true" outlineLevel="0" collapsed="false"/>
    <row r="65099" customFormat="false" ht="12.75" hidden="false" customHeight="true" outlineLevel="0" collapsed="false"/>
    <row r="65100" customFormat="false" ht="12.75" hidden="false" customHeight="true" outlineLevel="0" collapsed="false"/>
    <row r="65101" customFormat="false" ht="12.75" hidden="false" customHeight="true" outlineLevel="0" collapsed="false"/>
    <row r="65102" customFormat="false" ht="12.75" hidden="false" customHeight="true" outlineLevel="0" collapsed="false"/>
    <row r="65103" customFormat="false" ht="12.75" hidden="false" customHeight="true" outlineLevel="0" collapsed="false"/>
    <row r="65104" customFormat="false" ht="12.75" hidden="false" customHeight="true" outlineLevel="0" collapsed="false"/>
    <row r="65105" customFormat="false" ht="12.75" hidden="false" customHeight="true" outlineLevel="0" collapsed="false"/>
    <row r="65106" customFormat="false" ht="12.75" hidden="false" customHeight="true" outlineLevel="0" collapsed="false"/>
    <row r="65107" customFormat="false" ht="12.75" hidden="false" customHeight="true" outlineLevel="0" collapsed="false"/>
    <row r="65108" customFormat="false" ht="12.75" hidden="false" customHeight="true" outlineLevel="0" collapsed="false"/>
    <row r="65109" customFormat="false" ht="12.75" hidden="false" customHeight="true" outlineLevel="0" collapsed="false"/>
    <row r="65110" customFormat="false" ht="12.75" hidden="false" customHeight="true" outlineLevel="0" collapsed="false"/>
    <row r="65111" customFormat="false" ht="12.75" hidden="false" customHeight="true" outlineLevel="0" collapsed="false"/>
    <row r="65112" customFormat="false" ht="12.75" hidden="false" customHeight="true" outlineLevel="0" collapsed="false"/>
    <row r="65113" customFormat="false" ht="12.75" hidden="false" customHeight="true" outlineLevel="0" collapsed="false"/>
    <row r="65114" customFormat="false" ht="12.75" hidden="false" customHeight="true" outlineLevel="0" collapsed="false"/>
    <row r="65115" customFormat="false" ht="12.75" hidden="false" customHeight="true" outlineLevel="0" collapsed="false"/>
    <row r="65116" customFormat="false" ht="12.75" hidden="false" customHeight="true" outlineLevel="0" collapsed="false"/>
    <row r="65117" customFormat="false" ht="12.75" hidden="false" customHeight="true" outlineLevel="0" collapsed="false"/>
    <row r="65118" customFormat="false" ht="12.75" hidden="false" customHeight="true" outlineLevel="0" collapsed="false"/>
    <row r="65119" customFormat="false" ht="12.75" hidden="false" customHeight="true" outlineLevel="0" collapsed="false"/>
    <row r="65120" customFormat="false" ht="12.75" hidden="false" customHeight="true" outlineLevel="0" collapsed="false"/>
    <row r="65121" customFormat="false" ht="12.75" hidden="false" customHeight="true" outlineLevel="0" collapsed="false"/>
    <row r="65122" customFormat="false" ht="12.75" hidden="false" customHeight="true" outlineLevel="0" collapsed="false"/>
    <row r="65123" customFormat="false" ht="12.75" hidden="false" customHeight="true" outlineLevel="0" collapsed="false"/>
    <row r="65124" customFormat="false" ht="12.75" hidden="false" customHeight="true" outlineLevel="0" collapsed="false"/>
    <row r="65125" customFormat="false" ht="12.75" hidden="false" customHeight="true" outlineLevel="0" collapsed="false"/>
    <row r="65126" customFormat="false" ht="12.75" hidden="false" customHeight="true" outlineLevel="0" collapsed="false"/>
    <row r="65127" customFormat="false" ht="12.75" hidden="false" customHeight="true" outlineLevel="0" collapsed="false"/>
    <row r="65128" customFormat="false" ht="12.75" hidden="false" customHeight="true" outlineLevel="0" collapsed="false"/>
    <row r="65129" customFormat="false" ht="12.75" hidden="false" customHeight="true" outlineLevel="0" collapsed="false"/>
    <row r="65130" customFormat="false" ht="12.75" hidden="false" customHeight="true" outlineLevel="0" collapsed="false"/>
    <row r="65131" customFormat="false" ht="12.75" hidden="false" customHeight="true" outlineLevel="0" collapsed="false"/>
    <row r="65132" customFormat="false" ht="12.75" hidden="false" customHeight="true" outlineLevel="0" collapsed="false"/>
    <row r="65133" customFormat="false" ht="12.75" hidden="false" customHeight="true" outlineLevel="0" collapsed="false"/>
    <row r="65134" customFormat="false" ht="12.75" hidden="false" customHeight="true" outlineLevel="0" collapsed="false"/>
    <row r="65135" customFormat="false" ht="12.75" hidden="false" customHeight="true" outlineLevel="0" collapsed="false"/>
    <row r="65136" customFormat="false" ht="12.75" hidden="false" customHeight="true" outlineLevel="0" collapsed="false"/>
    <row r="65137" customFormat="false" ht="12.75" hidden="false" customHeight="true" outlineLevel="0" collapsed="false"/>
    <row r="65138" customFormat="false" ht="12.75" hidden="false" customHeight="true" outlineLevel="0" collapsed="false"/>
    <row r="65139" customFormat="false" ht="12.75" hidden="false" customHeight="true" outlineLevel="0" collapsed="false"/>
    <row r="65140" customFormat="false" ht="12.75" hidden="false" customHeight="true" outlineLevel="0" collapsed="false"/>
    <row r="65141" customFormat="false" ht="12.75" hidden="false" customHeight="true" outlineLevel="0" collapsed="false"/>
    <row r="65142" customFormat="false" ht="12.75" hidden="false" customHeight="true" outlineLevel="0" collapsed="false"/>
    <row r="65143" customFormat="false" ht="12.75" hidden="false" customHeight="true" outlineLevel="0" collapsed="false"/>
    <row r="65144" customFormat="false" ht="12.75" hidden="false" customHeight="true" outlineLevel="0" collapsed="false"/>
    <row r="65145" customFormat="false" ht="12.75" hidden="false" customHeight="true" outlineLevel="0" collapsed="false"/>
    <row r="65146" customFormat="false" ht="12.75" hidden="false" customHeight="true" outlineLevel="0" collapsed="false"/>
    <row r="65147" customFormat="false" ht="12.75" hidden="false" customHeight="true" outlineLevel="0" collapsed="false"/>
    <row r="65148" customFormat="false" ht="12.75" hidden="false" customHeight="true" outlineLevel="0" collapsed="false"/>
    <row r="65149" customFormat="false" ht="12.75" hidden="false" customHeight="true" outlineLevel="0" collapsed="false"/>
    <row r="65150" customFormat="false" ht="12.75" hidden="false" customHeight="true" outlineLevel="0" collapsed="false"/>
    <row r="65151" customFormat="false" ht="12.75" hidden="false" customHeight="true" outlineLevel="0" collapsed="false"/>
    <row r="65152" customFormat="false" ht="12.75" hidden="false" customHeight="true" outlineLevel="0" collapsed="false"/>
    <row r="65153" customFormat="false" ht="12.75" hidden="false" customHeight="true" outlineLevel="0" collapsed="false"/>
    <row r="65154" customFormat="false" ht="12.75" hidden="false" customHeight="true" outlineLevel="0" collapsed="false"/>
    <row r="65155" customFormat="false" ht="12.75" hidden="false" customHeight="true" outlineLevel="0" collapsed="false"/>
    <row r="65156" customFormat="false" ht="12.75" hidden="false" customHeight="true" outlineLevel="0" collapsed="false"/>
    <row r="65157" customFormat="false" ht="12.75" hidden="false" customHeight="true" outlineLevel="0" collapsed="false"/>
    <row r="65158" customFormat="false" ht="12.75" hidden="false" customHeight="true" outlineLevel="0" collapsed="false"/>
    <row r="65159" customFormat="false" ht="12.75" hidden="false" customHeight="true" outlineLevel="0" collapsed="false"/>
    <row r="65160" customFormat="false" ht="12.75" hidden="false" customHeight="true" outlineLevel="0" collapsed="false"/>
    <row r="65161" customFormat="false" ht="12.75" hidden="false" customHeight="true" outlineLevel="0" collapsed="false"/>
    <row r="65162" customFormat="false" ht="12.75" hidden="false" customHeight="true" outlineLevel="0" collapsed="false"/>
    <row r="65163" customFormat="false" ht="12.75" hidden="false" customHeight="true" outlineLevel="0" collapsed="false"/>
    <row r="65164" customFormat="false" ht="12.75" hidden="false" customHeight="true" outlineLevel="0" collapsed="false"/>
    <row r="65165" customFormat="false" ht="12.75" hidden="false" customHeight="true" outlineLevel="0" collapsed="false"/>
    <row r="65166" customFormat="false" ht="12.75" hidden="false" customHeight="true" outlineLevel="0" collapsed="false"/>
    <row r="65167" customFormat="false" ht="12.75" hidden="false" customHeight="true" outlineLevel="0" collapsed="false"/>
    <row r="65168" customFormat="false" ht="12.75" hidden="false" customHeight="true" outlineLevel="0" collapsed="false"/>
    <row r="65169" customFormat="false" ht="12.75" hidden="false" customHeight="true" outlineLevel="0" collapsed="false"/>
    <row r="65170" customFormat="false" ht="12.75" hidden="false" customHeight="true" outlineLevel="0" collapsed="false"/>
    <row r="65171" customFormat="false" ht="12.75" hidden="false" customHeight="true" outlineLevel="0" collapsed="false"/>
    <row r="65172" customFormat="false" ht="12.75" hidden="false" customHeight="true" outlineLevel="0" collapsed="false"/>
    <row r="65173" customFormat="false" ht="12.75" hidden="false" customHeight="true" outlineLevel="0" collapsed="false"/>
    <row r="65174" customFormat="false" ht="12.75" hidden="false" customHeight="true" outlineLevel="0" collapsed="false"/>
    <row r="65175" customFormat="false" ht="12.75" hidden="false" customHeight="true" outlineLevel="0" collapsed="false"/>
    <row r="65176" customFormat="false" ht="12.75" hidden="false" customHeight="true" outlineLevel="0" collapsed="false"/>
    <row r="65177" customFormat="false" ht="12.75" hidden="false" customHeight="true" outlineLevel="0" collapsed="false"/>
    <row r="65178" customFormat="false" ht="12.75" hidden="false" customHeight="true" outlineLevel="0" collapsed="false"/>
    <row r="65179" customFormat="false" ht="12.75" hidden="false" customHeight="true" outlineLevel="0" collapsed="false"/>
    <row r="65180" customFormat="false" ht="12.75" hidden="false" customHeight="true" outlineLevel="0" collapsed="false"/>
    <row r="65181" customFormat="false" ht="12.75" hidden="false" customHeight="true" outlineLevel="0" collapsed="false"/>
    <row r="65182" customFormat="false" ht="12.75" hidden="false" customHeight="true" outlineLevel="0" collapsed="false"/>
    <row r="65183" customFormat="false" ht="12.75" hidden="false" customHeight="true" outlineLevel="0" collapsed="false"/>
    <row r="65184" customFormat="false" ht="12.75" hidden="false" customHeight="true" outlineLevel="0" collapsed="false"/>
    <row r="65185" customFormat="false" ht="12.75" hidden="false" customHeight="true" outlineLevel="0" collapsed="false"/>
    <row r="65186" customFormat="false" ht="12.75" hidden="false" customHeight="true" outlineLevel="0" collapsed="false"/>
    <row r="65187" customFormat="false" ht="12.75" hidden="false" customHeight="true" outlineLevel="0" collapsed="false"/>
    <row r="65188" customFormat="false" ht="12.75" hidden="false" customHeight="true" outlineLevel="0" collapsed="false"/>
    <row r="65189" customFormat="false" ht="12.75" hidden="false" customHeight="true" outlineLevel="0" collapsed="false"/>
    <row r="65190" customFormat="false" ht="12.75" hidden="false" customHeight="true" outlineLevel="0" collapsed="false"/>
    <row r="65191" customFormat="false" ht="12.75" hidden="false" customHeight="true" outlineLevel="0" collapsed="false"/>
    <row r="65192" customFormat="false" ht="12.75" hidden="false" customHeight="true" outlineLevel="0" collapsed="false"/>
    <row r="65193" customFormat="false" ht="12.75" hidden="false" customHeight="true" outlineLevel="0" collapsed="false"/>
    <row r="65194" customFormat="false" ht="12.75" hidden="false" customHeight="true" outlineLevel="0" collapsed="false"/>
    <row r="65195" customFormat="false" ht="12.75" hidden="false" customHeight="true" outlineLevel="0" collapsed="false"/>
    <row r="65196" customFormat="false" ht="12.75" hidden="false" customHeight="true" outlineLevel="0" collapsed="false"/>
    <row r="65197" customFormat="false" ht="12.75" hidden="false" customHeight="true" outlineLevel="0" collapsed="false"/>
    <row r="65198" customFormat="false" ht="12.75" hidden="false" customHeight="true" outlineLevel="0" collapsed="false"/>
    <row r="65199" customFormat="false" ht="12.75" hidden="false" customHeight="true" outlineLevel="0" collapsed="false"/>
    <row r="65200" customFormat="false" ht="12.75" hidden="false" customHeight="true" outlineLevel="0" collapsed="false"/>
    <row r="65201" customFormat="false" ht="12.75" hidden="false" customHeight="true" outlineLevel="0" collapsed="false"/>
    <row r="65202" customFormat="false" ht="12.75" hidden="false" customHeight="true" outlineLevel="0" collapsed="false"/>
    <row r="65203" customFormat="false" ht="12.75" hidden="false" customHeight="true" outlineLevel="0" collapsed="false"/>
    <row r="65204" customFormat="false" ht="12.75" hidden="false" customHeight="true" outlineLevel="0" collapsed="false"/>
    <row r="65205" customFormat="false" ht="12.75" hidden="false" customHeight="true" outlineLevel="0" collapsed="false"/>
    <row r="65206" customFormat="false" ht="12.75" hidden="false" customHeight="true" outlineLevel="0" collapsed="false"/>
    <row r="65207" customFormat="false" ht="12.75" hidden="false" customHeight="true" outlineLevel="0" collapsed="false"/>
    <row r="65208" customFormat="false" ht="12.75" hidden="false" customHeight="true" outlineLevel="0" collapsed="false"/>
    <row r="65209" customFormat="false" ht="12.75" hidden="false" customHeight="true" outlineLevel="0" collapsed="false"/>
    <row r="65210" customFormat="false" ht="12.75" hidden="false" customHeight="true" outlineLevel="0" collapsed="false"/>
    <row r="65211" customFormat="false" ht="12.75" hidden="false" customHeight="true" outlineLevel="0" collapsed="false"/>
    <row r="65212" customFormat="false" ht="12.75" hidden="false" customHeight="true" outlineLevel="0" collapsed="false"/>
    <row r="65213" customFormat="false" ht="12.75" hidden="false" customHeight="true" outlineLevel="0" collapsed="false"/>
    <row r="65214" customFormat="false" ht="12.75" hidden="false" customHeight="true" outlineLevel="0" collapsed="false"/>
    <row r="65215" customFormat="false" ht="12.75" hidden="false" customHeight="true" outlineLevel="0" collapsed="false"/>
    <row r="65216" customFormat="false" ht="12.75" hidden="false" customHeight="true" outlineLevel="0" collapsed="false"/>
    <row r="65217" customFormat="false" ht="12.75" hidden="false" customHeight="true" outlineLevel="0" collapsed="false"/>
    <row r="65218" customFormat="false" ht="12.75" hidden="false" customHeight="true" outlineLevel="0" collapsed="false"/>
    <row r="65219" customFormat="false" ht="12.75" hidden="false" customHeight="true" outlineLevel="0" collapsed="false"/>
    <row r="65220" customFormat="false" ht="12.75" hidden="false" customHeight="true" outlineLevel="0" collapsed="false"/>
    <row r="65221" customFormat="false" ht="12.75" hidden="false" customHeight="true" outlineLevel="0" collapsed="false"/>
    <row r="65222" customFormat="false" ht="12.75" hidden="false" customHeight="true" outlineLevel="0" collapsed="false"/>
    <row r="65223" customFormat="false" ht="12.75" hidden="false" customHeight="true" outlineLevel="0" collapsed="false"/>
    <row r="65224" customFormat="false" ht="12.75" hidden="false" customHeight="true" outlineLevel="0" collapsed="false"/>
    <row r="65225" customFormat="false" ht="12.75" hidden="false" customHeight="true" outlineLevel="0" collapsed="false"/>
    <row r="65226" customFormat="false" ht="12.75" hidden="false" customHeight="true" outlineLevel="0" collapsed="false"/>
    <row r="65227" customFormat="false" ht="12.75" hidden="false" customHeight="true" outlineLevel="0" collapsed="false"/>
    <row r="65228" customFormat="false" ht="12.75" hidden="false" customHeight="true" outlineLevel="0" collapsed="false"/>
    <row r="65229" customFormat="false" ht="12.75" hidden="false" customHeight="true" outlineLevel="0" collapsed="false"/>
    <row r="65230" customFormat="false" ht="12.75" hidden="false" customHeight="true" outlineLevel="0" collapsed="false"/>
    <row r="65231" customFormat="false" ht="12.75" hidden="false" customHeight="true" outlineLevel="0" collapsed="false"/>
    <row r="65232" customFormat="false" ht="12.75" hidden="false" customHeight="true" outlineLevel="0" collapsed="false"/>
    <row r="65233" customFormat="false" ht="12.75" hidden="false" customHeight="true" outlineLevel="0" collapsed="false"/>
    <row r="65234" customFormat="false" ht="12.75" hidden="false" customHeight="true" outlineLevel="0" collapsed="false"/>
    <row r="65235" customFormat="false" ht="12.75" hidden="false" customHeight="true" outlineLevel="0" collapsed="false"/>
    <row r="65236" customFormat="false" ht="12.75" hidden="false" customHeight="true" outlineLevel="0" collapsed="false"/>
    <row r="65237" customFormat="false" ht="12.75" hidden="false" customHeight="true" outlineLevel="0" collapsed="false"/>
    <row r="65238" customFormat="false" ht="12.75" hidden="false" customHeight="true" outlineLevel="0" collapsed="false"/>
    <row r="65239" customFormat="false" ht="12.75" hidden="false" customHeight="true" outlineLevel="0" collapsed="false"/>
    <row r="65240" customFormat="false" ht="12.75" hidden="false" customHeight="true" outlineLevel="0" collapsed="false"/>
    <row r="65241" customFormat="false" ht="12.75" hidden="false" customHeight="true" outlineLevel="0" collapsed="false"/>
    <row r="65242" customFormat="false" ht="12.75" hidden="false" customHeight="true" outlineLevel="0" collapsed="false"/>
    <row r="65243" customFormat="false" ht="12.75" hidden="false" customHeight="true" outlineLevel="0" collapsed="false"/>
    <row r="65244" customFormat="false" ht="12.75" hidden="false" customHeight="true" outlineLevel="0" collapsed="false"/>
    <row r="65245" customFormat="false" ht="12.75" hidden="false" customHeight="true" outlineLevel="0" collapsed="false"/>
    <row r="65246" customFormat="false" ht="12.75" hidden="false" customHeight="true" outlineLevel="0" collapsed="false"/>
    <row r="65247" customFormat="false" ht="12.75" hidden="false" customHeight="true" outlineLevel="0" collapsed="false"/>
    <row r="65248" customFormat="false" ht="12.75" hidden="false" customHeight="true" outlineLevel="0" collapsed="false"/>
    <row r="65249" customFormat="false" ht="12.75" hidden="false" customHeight="true" outlineLevel="0" collapsed="false"/>
    <row r="65250" customFormat="false" ht="12.75" hidden="false" customHeight="true" outlineLevel="0" collapsed="false"/>
    <row r="65251" customFormat="false" ht="12.75" hidden="false" customHeight="true" outlineLevel="0" collapsed="false"/>
    <row r="65252" customFormat="false" ht="12.75" hidden="false" customHeight="true" outlineLevel="0" collapsed="false"/>
    <row r="65253" customFormat="false" ht="12.75" hidden="false" customHeight="true" outlineLevel="0" collapsed="false"/>
    <row r="65254" customFormat="false" ht="12.75" hidden="false" customHeight="true" outlineLevel="0" collapsed="false"/>
    <row r="65255" customFormat="false" ht="12.75" hidden="false" customHeight="true" outlineLevel="0" collapsed="false"/>
    <row r="65256" customFormat="false" ht="12.75" hidden="false" customHeight="true" outlineLevel="0" collapsed="false"/>
    <row r="65257" customFormat="false" ht="12.75" hidden="false" customHeight="true" outlineLevel="0" collapsed="false"/>
    <row r="65258" customFormat="false" ht="12.75" hidden="false" customHeight="true" outlineLevel="0" collapsed="false"/>
    <row r="65259" customFormat="false" ht="12.75" hidden="false" customHeight="true" outlineLevel="0" collapsed="false"/>
    <row r="65260" customFormat="false" ht="12.75" hidden="false" customHeight="true" outlineLevel="0" collapsed="false"/>
    <row r="65261" customFormat="false" ht="12.75" hidden="false" customHeight="true" outlineLevel="0" collapsed="false"/>
    <row r="65262" customFormat="false" ht="12.75" hidden="false" customHeight="true" outlineLevel="0" collapsed="false"/>
    <row r="65263" customFormat="false" ht="12.75" hidden="false" customHeight="true" outlineLevel="0" collapsed="false"/>
    <row r="65264" customFormat="false" ht="12.75" hidden="false" customHeight="true" outlineLevel="0" collapsed="false"/>
    <row r="65265" customFormat="false" ht="12.75" hidden="false" customHeight="true" outlineLevel="0" collapsed="false"/>
    <row r="65266" customFormat="false" ht="12.75" hidden="false" customHeight="true" outlineLevel="0" collapsed="false"/>
    <row r="65267" customFormat="false" ht="12.75" hidden="false" customHeight="true" outlineLevel="0" collapsed="false"/>
    <row r="65268" customFormat="false" ht="12.75" hidden="false" customHeight="true" outlineLevel="0" collapsed="false"/>
    <row r="65269" customFormat="false" ht="12.75" hidden="false" customHeight="true" outlineLevel="0" collapsed="false"/>
    <row r="65270" customFormat="false" ht="12.75" hidden="false" customHeight="true" outlineLevel="0" collapsed="false"/>
    <row r="65271" customFormat="false" ht="12.75" hidden="false" customHeight="true" outlineLevel="0" collapsed="false"/>
    <row r="65272" customFormat="false" ht="12.75" hidden="false" customHeight="true" outlineLevel="0" collapsed="false"/>
    <row r="65273" customFormat="false" ht="12.75" hidden="false" customHeight="true" outlineLevel="0" collapsed="false"/>
    <row r="65274" customFormat="false" ht="12.75" hidden="false" customHeight="true" outlineLevel="0" collapsed="false"/>
    <row r="65275" customFormat="false" ht="12.75" hidden="false" customHeight="true" outlineLevel="0" collapsed="false"/>
    <row r="65276" customFormat="false" ht="12.75" hidden="false" customHeight="true" outlineLevel="0" collapsed="false"/>
    <row r="65277" customFormat="false" ht="12.75" hidden="false" customHeight="true" outlineLevel="0" collapsed="false"/>
    <row r="65278" customFormat="false" ht="12.75" hidden="false" customHeight="true" outlineLevel="0" collapsed="false"/>
    <row r="65279" customFormat="false" ht="12.75" hidden="false" customHeight="true" outlineLevel="0" collapsed="false"/>
    <row r="65280" customFormat="false" ht="12.75" hidden="false" customHeight="true" outlineLevel="0" collapsed="false"/>
    <row r="65281" customFormat="false" ht="12.75" hidden="false" customHeight="true" outlineLevel="0" collapsed="false"/>
    <row r="65282" customFormat="false" ht="12.75" hidden="false" customHeight="true" outlineLevel="0" collapsed="false"/>
    <row r="65283" customFormat="false" ht="12.75" hidden="false" customHeight="true" outlineLevel="0" collapsed="false"/>
    <row r="65284" customFormat="false" ht="12.75" hidden="false" customHeight="true" outlineLevel="0" collapsed="false"/>
    <row r="65285" customFormat="false" ht="12.75" hidden="false" customHeight="true" outlineLevel="0" collapsed="false"/>
    <row r="65286" customFormat="false" ht="12.75" hidden="false" customHeight="true" outlineLevel="0" collapsed="false"/>
    <row r="65287" customFormat="false" ht="12.75" hidden="false" customHeight="true" outlineLevel="0" collapsed="false"/>
    <row r="65288" customFormat="false" ht="12.75" hidden="false" customHeight="true" outlineLevel="0" collapsed="false"/>
    <row r="65289" customFormat="false" ht="12.75" hidden="false" customHeight="true" outlineLevel="0" collapsed="false"/>
    <row r="65290" customFormat="false" ht="12.75" hidden="false" customHeight="true" outlineLevel="0" collapsed="false"/>
    <row r="65291" customFormat="false" ht="12.75" hidden="false" customHeight="true" outlineLevel="0" collapsed="false"/>
    <row r="65292" customFormat="false" ht="12.75" hidden="false" customHeight="true" outlineLevel="0" collapsed="false"/>
    <row r="65293" customFormat="false" ht="12.75" hidden="false" customHeight="true" outlineLevel="0" collapsed="false"/>
    <row r="65294" customFormat="false" ht="12.75" hidden="false" customHeight="true" outlineLevel="0" collapsed="false"/>
    <row r="65295" customFormat="false" ht="12.75" hidden="false" customHeight="true" outlineLevel="0" collapsed="false"/>
    <row r="65296" customFormat="false" ht="12.75" hidden="false" customHeight="true" outlineLevel="0" collapsed="false"/>
    <row r="65297" customFormat="false" ht="12.75" hidden="false" customHeight="true" outlineLevel="0" collapsed="false"/>
    <row r="65298" customFormat="false" ht="12.75" hidden="false" customHeight="true" outlineLevel="0" collapsed="false"/>
    <row r="65299" customFormat="false" ht="12.75" hidden="false" customHeight="true" outlineLevel="0" collapsed="false"/>
    <row r="65300" customFormat="false" ht="12.75" hidden="false" customHeight="true" outlineLevel="0" collapsed="false"/>
    <row r="65301" customFormat="false" ht="12.75" hidden="false" customHeight="true" outlineLevel="0" collapsed="false"/>
    <row r="65302" customFormat="false" ht="12.75" hidden="false" customHeight="true" outlineLevel="0" collapsed="false"/>
    <row r="65303" customFormat="false" ht="12.75" hidden="false" customHeight="true" outlineLevel="0" collapsed="false"/>
    <row r="65304" customFormat="false" ht="12.75" hidden="false" customHeight="true" outlineLevel="0" collapsed="false"/>
    <row r="65305" customFormat="false" ht="12.75" hidden="false" customHeight="true" outlineLevel="0" collapsed="false"/>
    <row r="65306" customFormat="false" ht="12.75" hidden="false" customHeight="true" outlineLevel="0" collapsed="false"/>
    <row r="65307" customFormat="false" ht="12.75" hidden="false" customHeight="true" outlineLevel="0" collapsed="false"/>
    <row r="65308" customFormat="false" ht="12.75" hidden="false" customHeight="true" outlineLevel="0" collapsed="false"/>
    <row r="65309" customFormat="false" ht="12.75" hidden="false" customHeight="true" outlineLevel="0" collapsed="false"/>
    <row r="65310" customFormat="false" ht="12.75" hidden="false" customHeight="true" outlineLevel="0" collapsed="false"/>
    <row r="65311" customFormat="false" ht="12.75" hidden="false" customHeight="true" outlineLevel="0" collapsed="false"/>
    <row r="65312" customFormat="false" ht="12.75" hidden="false" customHeight="true" outlineLevel="0" collapsed="false"/>
    <row r="65313" customFormat="false" ht="12.75" hidden="false" customHeight="true" outlineLevel="0" collapsed="false"/>
    <row r="65314" customFormat="false" ht="12.75" hidden="false" customHeight="true" outlineLevel="0" collapsed="false"/>
    <row r="65315" customFormat="false" ht="12.75" hidden="false" customHeight="true" outlineLevel="0" collapsed="false"/>
    <row r="65316" customFormat="false" ht="12.75" hidden="false" customHeight="true" outlineLevel="0" collapsed="false"/>
    <row r="65317" customFormat="false" ht="12.75" hidden="false" customHeight="true" outlineLevel="0" collapsed="false"/>
    <row r="65318" customFormat="false" ht="12.75" hidden="false" customHeight="true" outlineLevel="0" collapsed="false"/>
    <row r="65319" customFormat="false" ht="12.75" hidden="false" customHeight="true" outlineLevel="0" collapsed="false"/>
    <row r="65320" customFormat="false" ht="12.75" hidden="false" customHeight="true" outlineLevel="0" collapsed="false"/>
    <row r="65321" customFormat="false" ht="12.75" hidden="false" customHeight="true" outlineLevel="0" collapsed="false"/>
    <row r="65322" customFormat="false" ht="12.75" hidden="false" customHeight="true" outlineLevel="0" collapsed="false"/>
    <row r="65323" customFormat="false" ht="12.75" hidden="false" customHeight="true" outlineLevel="0" collapsed="false"/>
    <row r="65324" customFormat="false" ht="12.75" hidden="false" customHeight="true" outlineLevel="0" collapsed="false"/>
    <row r="65325" customFormat="false" ht="12.75" hidden="false" customHeight="true" outlineLevel="0" collapsed="false"/>
    <row r="65326" customFormat="false" ht="12.75" hidden="false" customHeight="true" outlineLevel="0" collapsed="false"/>
    <row r="65327" customFormat="false" ht="12.75" hidden="false" customHeight="true" outlineLevel="0" collapsed="false"/>
    <row r="65328" customFormat="false" ht="12.75" hidden="false" customHeight="true" outlineLevel="0" collapsed="false"/>
    <row r="65329" customFormat="false" ht="12.75" hidden="false" customHeight="true" outlineLevel="0" collapsed="false"/>
    <row r="65330" customFormat="false" ht="12.75" hidden="false" customHeight="true" outlineLevel="0" collapsed="false"/>
    <row r="65331" customFormat="false" ht="12.75" hidden="false" customHeight="true" outlineLevel="0" collapsed="false"/>
    <row r="65332" customFormat="false" ht="12.75" hidden="false" customHeight="true" outlineLevel="0" collapsed="false"/>
    <row r="65333" customFormat="false" ht="12.75" hidden="false" customHeight="true" outlineLevel="0" collapsed="false"/>
    <row r="65334" customFormat="false" ht="12.75" hidden="false" customHeight="true" outlineLevel="0" collapsed="false"/>
    <row r="65335" customFormat="false" ht="12.75" hidden="false" customHeight="true" outlineLevel="0" collapsed="false"/>
    <row r="65336" customFormat="false" ht="12.75" hidden="false" customHeight="true" outlineLevel="0" collapsed="false"/>
    <row r="65337" customFormat="false" ht="12.75" hidden="false" customHeight="true" outlineLevel="0" collapsed="false"/>
    <row r="65338" customFormat="false" ht="12.75" hidden="false" customHeight="true" outlineLevel="0" collapsed="false"/>
    <row r="65339" customFormat="false" ht="12.75" hidden="false" customHeight="true" outlineLevel="0" collapsed="false"/>
    <row r="65340" customFormat="false" ht="12.75" hidden="false" customHeight="true" outlineLevel="0" collapsed="false"/>
    <row r="65341" customFormat="false" ht="12.75" hidden="false" customHeight="true" outlineLevel="0" collapsed="false"/>
    <row r="65342" customFormat="false" ht="12.75" hidden="false" customHeight="true" outlineLevel="0" collapsed="false"/>
    <row r="65343" customFormat="false" ht="12.75" hidden="false" customHeight="true" outlineLevel="0" collapsed="false"/>
    <row r="65344" customFormat="false" ht="12.75" hidden="false" customHeight="true" outlineLevel="0" collapsed="false"/>
    <row r="65345" customFormat="false" ht="12.75" hidden="false" customHeight="true" outlineLevel="0" collapsed="false"/>
    <row r="65346" customFormat="false" ht="12.75" hidden="false" customHeight="true" outlineLevel="0" collapsed="false"/>
    <row r="65347" customFormat="false" ht="12.75" hidden="false" customHeight="true" outlineLevel="0" collapsed="false"/>
    <row r="65348" customFormat="false" ht="12.75" hidden="false" customHeight="true" outlineLevel="0" collapsed="false"/>
    <row r="65349" customFormat="false" ht="12.75" hidden="false" customHeight="true" outlineLevel="0" collapsed="false"/>
    <row r="65350" customFormat="false" ht="12.75" hidden="false" customHeight="true" outlineLevel="0" collapsed="false"/>
    <row r="65351" customFormat="false" ht="12.75" hidden="false" customHeight="true" outlineLevel="0" collapsed="false"/>
    <row r="65352" customFormat="false" ht="12.75" hidden="false" customHeight="true" outlineLevel="0" collapsed="false"/>
    <row r="65353" customFormat="false" ht="12.75" hidden="false" customHeight="true" outlineLevel="0" collapsed="false"/>
    <row r="65354" customFormat="false" ht="12.75" hidden="false" customHeight="true" outlineLevel="0" collapsed="false"/>
    <row r="65355" customFormat="false" ht="12.75" hidden="false" customHeight="true" outlineLevel="0" collapsed="false"/>
    <row r="65356" customFormat="false" ht="12.75" hidden="false" customHeight="true" outlineLevel="0" collapsed="false"/>
    <row r="65357" customFormat="false" ht="12.75" hidden="false" customHeight="true" outlineLevel="0" collapsed="false"/>
    <row r="65358" customFormat="false" ht="12.75" hidden="false" customHeight="true" outlineLevel="0" collapsed="false"/>
    <row r="65359" customFormat="false" ht="12.75" hidden="false" customHeight="true" outlineLevel="0" collapsed="false"/>
    <row r="65360" customFormat="false" ht="12.75" hidden="false" customHeight="true" outlineLevel="0" collapsed="false"/>
    <row r="65361" customFormat="false" ht="12.75" hidden="false" customHeight="true" outlineLevel="0" collapsed="false"/>
    <row r="65362" customFormat="false" ht="12.75" hidden="false" customHeight="true" outlineLevel="0" collapsed="false"/>
    <row r="65363" customFormat="false" ht="12.75" hidden="false" customHeight="true" outlineLevel="0" collapsed="false"/>
    <row r="65364" customFormat="false" ht="12.75" hidden="false" customHeight="true" outlineLevel="0" collapsed="false"/>
    <row r="65365" customFormat="false" ht="12.75" hidden="false" customHeight="true" outlineLevel="0" collapsed="false"/>
    <row r="65366" customFormat="false" ht="12.75" hidden="false" customHeight="true" outlineLevel="0" collapsed="false"/>
    <row r="65367" customFormat="false" ht="12.75" hidden="false" customHeight="true" outlineLevel="0" collapsed="false"/>
    <row r="65368" customFormat="false" ht="12.75" hidden="false" customHeight="true" outlineLevel="0" collapsed="false"/>
    <row r="65369" customFormat="false" ht="12.75" hidden="false" customHeight="true" outlineLevel="0" collapsed="false"/>
    <row r="65370" customFormat="false" ht="12.75" hidden="false" customHeight="true" outlineLevel="0" collapsed="false"/>
    <row r="65371" customFormat="false" ht="12.75" hidden="false" customHeight="true" outlineLevel="0" collapsed="false"/>
    <row r="65372" customFormat="false" ht="12.75" hidden="false" customHeight="true" outlineLevel="0" collapsed="false"/>
    <row r="65373" customFormat="false" ht="12.75" hidden="false" customHeight="true" outlineLevel="0" collapsed="false"/>
    <row r="65374" customFormat="false" ht="12.75" hidden="false" customHeight="true" outlineLevel="0" collapsed="false"/>
    <row r="65375" customFormat="false" ht="12.75" hidden="false" customHeight="true" outlineLevel="0" collapsed="false"/>
    <row r="65376" customFormat="false" ht="12.75" hidden="false" customHeight="true" outlineLevel="0" collapsed="false"/>
    <row r="65377" customFormat="false" ht="12.75" hidden="false" customHeight="true" outlineLevel="0" collapsed="false"/>
    <row r="65378" customFormat="false" ht="12.75" hidden="false" customHeight="true" outlineLevel="0" collapsed="false"/>
    <row r="65379" customFormat="false" ht="12.75" hidden="false" customHeight="true" outlineLevel="0" collapsed="false"/>
    <row r="65380" customFormat="false" ht="12.75" hidden="false" customHeight="true" outlineLevel="0" collapsed="false"/>
    <row r="65381" customFormat="false" ht="12.75" hidden="false" customHeight="true" outlineLevel="0" collapsed="false"/>
    <row r="65382" customFormat="false" ht="12.75" hidden="false" customHeight="true" outlineLevel="0" collapsed="false"/>
    <row r="65383" customFormat="false" ht="12.75" hidden="false" customHeight="true" outlineLevel="0" collapsed="false"/>
    <row r="65384" customFormat="false" ht="12.75" hidden="false" customHeight="true" outlineLevel="0" collapsed="false"/>
    <row r="65385" customFormat="false" ht="12.75" hidden="false" customHeight="true" outlineLevel="0" collapsed="false"/>
    <row r="65386" customFormat="false" ht="12.75" hidden="false" customHeight="true" outlineLevel="0" collapsed="false"/>
    <row r="65387" customFormat="false" ht="12.75" hidden="false" customHeight="true" outlineLevel="0" collapsed="false"/>
    <row r="65388" customFormat="false" ht="12.75" hidden="false" customHeight="true" outlineLevel="0" collapsed="false"/>
    <row r="65389" customFormat="false" ht="12.75" hidden="false" customHeight="true" outlineLevel="0" collapsed="false"/>
    <row r="65390" customFormat="false" ht="12.75" hidden="false" customHeight="true" outlineLevel="0" collapsed="false"/>
    <row r="65391" customFormat="false" ht="12.75" hidden="false" customHeight="true" outlineLevel="0" collapsed="false"/>
    <row r="65392" customFormat="false" ht="12.75" hidden="false" customHeight="true" outlineLevel="0" collapsed="false"/>
    <row r="65393" customFormat="false" ht="12.75" hidden="false" customHeight="true" outlineLevel="0" collapsed="false"/>
    <row r="65394" customFormat="false" ht="12.75" hidden="false" customHeight="true" outlineLevel="0" collapsed="false"/>
    <row r="65395" customFormat="false" ht="12.75" hidden="false" customHeight="true" outlineLevel="0" collapsed="false"/>
    <row r="65396" customFormat="false" ht="12.75" hidden="false" customHeight="true" outlineLevel="0" collapsed="false"/>
    <row r="65397" customFormat="false" ht="12.75" hidden="false" customHeight="true" outlineLevel="0" collapsed="false"/>
    <row r="65398" customFormat="false" ht="12.75" hidden="false" customHeight="true" outlineLevel="0" collapsed="false"/>
    <row r="65399" customFormat="false" ht="12.75" hidden="false" customHeight="true" outlineLevel="0" collapsed="false"/>
    <row r="65400" customFormat="false" ht="12.75" hidden="false" customHeight="true" outlineLevel="0" collapsed="false"/>
    <row r="65401" customFormat="false" ht="12.75" hidden="false" customHeight="true" outlineLevel="0" collapsed="false"/>
    <row r="65402" customFormat="false" ht="12.75" hidden="false" customHeight="true" outlineLevel="0" collapsed="false"/>
    <row r="65403" customFormat="false" ht="12.75" hidden="false" customHeight="true" outlineLevel="0" collapsed="false"/>
    <row r="65404" customFormat="false" ht="12.75" hidden="false" customHeight="true" outlineLevel="0" collapsed="false"/>
    <row r="65405" customFormat="false" ht="12.75" hidden="false" customHeight="true" outlineLevel="0" collapsed="false"/>
    <row r="65406" customFormat="false" ht="12.75" hidden="false" customHeight="true" outlineLevel="0" collapsed="false"/>
    <row r="65407" customFormat="false" ht="12.75" hidden="false" customHeight="true" outlineLevel="0" collapsed="false"/>
    <row r="65408" customFormat="false" ht="12.75" hidden="false" customHeight="true" outlineLevel="0" collapsed="false"/>
    <row r="65409" customFormat="false" ht="12.75" hidden="false" customHeight="true" outlineLevel="0" collapsed="false"/>
    <row r="65410" customFormat="false" ht="12.75" hidden="false" customHeight="true" outlineLevel="0" collapsed="false"/>
    <row r="65411" customFormat="false" ht="12.75" hidden="false" customHeight="true" outlineLevel="0" collapsed="false"/>
    <row r="65412" customFormat="false" ht="12.75" hidden="false" customHeight="true" outlineLevel="0" collapsed="false"/>
    <row r="65413" customFormat="false" ht="12.75" hidden="false" customHeight="true" outlineLevel="0" collapsed="false"/>
    <row r="65414" customFormat="false" ht="12.75" hidden="false" customHeight="true" outlineLevel="0" collapsed="false"/>
    <row r="65415" customFormat="false" ht="12.75" hidden="false" customHeight="true" outlineLevel="0" collapsed="false"/>
    <row r="65416" customFormat="false" ht="12.75" hidden="false" customHeight="true" outlineLevel="0" collapsed="false"/>
    <row r="65417" customFormat="false" ht="12.75" hidden="false" customHeight="true" outlineLevel="0" collapsed="false"/>
    <row r="65418" customFormat="false" ht="12.75" hidden="false" customHeight="true" outlineLevel="0" collapsed="false"/>
    <row r="65419" customFormat="false" ht="12.75" hidden="false" customHeight="true" outlineLevel="0" collapsed="false"/>
    <row r="65420" customFormat="false" ht="12.75" hidden="false" customHeight="true" outlineLevel="0" collapsed="false"/>
    <row r="65421" customFormat="false" ht="12.75" hidden="false" customHeight="true" outlineLevel="0" collapsed="false"/>
    <row r="65422" customFormat="false" ht="12.75" hidden="false" customHeight="true" outlineLevel="0" collapsed="false"/>
    <row r="65423" customFormat="false" ht="12.75" hidden="false" customHeight="true" outlineLevel="0" collapsed="false"/>
    <row r="65424" customFormat="false" ht="12.75" hidden="false" customHeight="true" outlineLevel="0" collapsed="false"/>
    <row r="65425" customFormat="false" ht="12.75" hidden="false" customHeight="true" outlineLevel="0" collapsed="false"/>
    <row r="65426" customFormat="false" ht="12.75" hidden="false" customHeight="true" outlineLevel="0" collapsed="false"/>
    <row r="65427" customFormat="false" ht="12.75" hidden="false" customHeight="true" outlineLevel="0" collapsed="false"/>
    <row r="65428" customFormat="false" ht="12.75" hidden="false" customHeight="true" outlineLevel="0" collapsed="false"/>
    <row r="65429" customFormat="false" ht="12.75" hidden="false" customHeight="true" outlineLevel="0" collapsed="false"/>
    <row r="65430" customFormat="false" ht="12.75" hidden="false" customHeight="true" outlineLevel="0" collapsed="false"/>
    <row r="65431" customFormat="false" ht="12.75" hidden="false" customHeight="true" outlineLevel="0" collapsed="false"/>
    <row r="65432" customFormat="false" ht="12.75" hidden="false" customHeight="true" outlineLevel="0" collapsed="false"/>
    <row r="65433" customFormat="false" ht="12.75" hidden="false" customHeight="true" outlineLevel="0" collapsed="false"/>
    <row r="65434" customFormat="false" ht="12.75" hidden="false" customHeight="true" outlineLevel="0" collapsed="false"/>
    <row r="65435" customFormat="false" ht="12.75" hidden="false" customHeight="true" outlineLevel="0" collapsed="false"/>
    <row r="65436" customFormat="false" ht="12.75" hidden="false" customHeight="true" outlineLevel="0" collapsed="false"/>
    <row r="65437" customFormat="false" ht="12.75" hidden="false" customHeight="true" outlineLevel="0" collapsed="false"/>
    <row r="65438" customFormat="false" ht="12.75" hidden="false" customHeight="true" outlineLevel="0" collapsed="false"/>
    <row r="65439" customFormat="false" ht="12.75" hidden="false" customHeight="true" outlineLevel="0" collapsed="false"/>
    <row r="65440" customFormat="false" ht="12.75" hidden="false" customHeight="true" outlineLevel="0" collapsed="false"/>
    <row r="65441" customFormat="false" ht="12.75" hidden="false" customHeight="true" outlineLevel="0" collapsed="false"/>
    <row r="65442" customFormat="false" ht="12.75" hidden="false" customHeight="true" outlineLevel="0" collapsed="false"/>
    <row r="65443" customFormat="false" ht="12.75" hidden="false" customHeight="true" outlineLevel="0" collapsed="false"/>
    <row r="65444" customFormat="false" ht="12.75" hidden="false" customHeight="true" outlineLevel="0" collapsed="false"/>
    <row r="65445" customFormat="false" ht="12.75" hidden="false" customHeight="true" outlineLevel="0" collapsed="false"/>
    <row r="65446" customFormat="false" ht="12.75" hidden="false" customHeight="true" outlineLevel="0" collapsed="false"/>
    <row r="65447" customFormat="false" ht="12.75" hidden="false" customHeight="true" outlineLevel="0" collapsed="false"/>
    <row r="65448" customFormat="false" ht="12.75" hidden="false" customHeight="true" outlineLevel="0" collapsed="false"/>
    <row r="65449" customFormat="false" ht="12.75" hidden="false" customHeight="true" outlineLevel="0" collapsed="false"/>
    <row r="65450" customFormat="false" ht="12.75" hidden="false" customHeight="true" outlineLevel="0" collapsed="false"/>
    <row r="65451" customFormat="false" ht="12.75" hidden="false" customHeight="true" outlineLevel="0" collapsed="false"/>
    <row r="65452" customFormat="false" ht="12.75" hidden="false" customHeight="true" outlineLevel="0" collapsed="false"/>
    <row r="65453" customFormat="false" ht="12.75" hidden="false" customHeight="true" outlineLevel="0" collapsed="false"/>
    <row r="65454" customFormat="false" ht="12.75" hidden="false" customHeight="true" outlineLevel="0" collapsed="false"/>
    <row r="65455" customFormat="false" ht="12.75" hidden="false" customHeight="true" outlineLevel="0" collapsed="false"/>
    <row r="65456" customFormat="false" ht="12.75" hidden="false" customHeight="true" outlineLevel="0" collapsed="false"/>
    <row r="65457" customFormat="false" ht="12.75" hidden="false" customHeight="true" outlineLevel="0" collapsed="false"/>
    <row r="65458" customFormat="false" ht="12.75" hidden="false" customHeight="true" outlineLevel="0" collapsed="false"/>
    <row r="65459" customFormat="false" ht="12.75" hidden="false" customHeight="true" outlineLevel="0" collapsed="false"/>
    <row r="65460" customFormat="false" ht="12.75" hidden="false" customHeight="true" outlineLevel="0" collapsed="false"/>
    <row r="65461" customFormat="false" ht="12.75" hidden="false" customHeight="true" outlineLevel="0" collapsed="false"/>
    <row r="65462" customFormat="false" ht="12.75" hidden="false" customHeight="true" outlineLevel="0" collapsed="false"/>
    <row r="65463" customFormat="false" ht="12.75" hidden="false" customHeight="true" outlineLevel="0" collapsed="false"/>
    <row r="65464" customFormat="false" ht="12.75" hidden="false" customHeight="true" outlineLevel="0" collapsed="false"/>
    <row r="65465" customFormat="false" ht="12.75" hidden="false" customHeight="true" outlineLevel="0" collapsed="false"/>
    <row r="65466" customFormat="false" ht="12.75" hidden="false" customHeight="true" outlineLevel="0" collapsed="false"/>
    <row r="65467" customFormat="false" ht="12.75" hidden="false" customHeight="true" outlineLevel="0" collapsed="false"/>
    <row r="65468" customFormat="false" ht="12.75" hidden="false" customHeight="true" outlineLevel="0" collapsed="false"/>
    <row r="65469" customFormat="false" ht="12.75" hidden="false" customHeight="true" outlineLevel="0" collapsed="false"/>
    <row r="65470" customFormat="false" ht="12.75" hidden="false" customHeight="true" outlineLevel="0" collapsed="false"/>
    <row r="65471" customFormat="false" ht="12.75" hidden="false" customHeight="true" outlineLevel="0" collapsed="false"/>
    <row r="65472" customFormat="false" ht="12.75" hidden="false" customHeight="true" outlineLevel="0" collapsed="false"/>
    <row r="65473" customFormat="false" ht="12.75" hidden="false" customHeight="true" outlineLevel="0" collapsed="false"/>
  </sheetData>
  <sheetProtection algorithmName="SHA-512" hashValue="lI9bir9nfsIx7dqprCkZI21DYmqeTKuQOAHp+QlH5CPifQNOoxoN0DOmxDo9i0MwqmQDW7dXJpxZHDRk21wjzg==" saltValue="NncCht9crQpwxnldL55nfQ==" spinCount="100000" sheet="true" objects="true" scenarios="true" autoFilter="false"/>
  <autoFilter ref="C15:C205"/>
  <mergeCells count="27">
    <mergeCell ref="F6:H6"/>
    <mergeCell ref="Q6:R6"/>
    <mergeCell ref="Y6:Z6"/>
    <mergeCell ref="AG6:AH6"/>
    <mergeCell ref="AO6:AP6"/>
    <mergeCell ref="F7:H7"/>
    <mergeCell ref="Q7:R7"/>
    <mergeCell ref="Y7:Z7"/>
    <mergeCell ref="AG7:AH7"/>
    <mergeCell ref="AO7:AP7"/>
    <mergeCell ref="E9:F9"/>
    <mergeCell ref="G9:H9"/>
    <mergeCell ref="S9:T9"/>
    <mergeCell ref="U9:Z9"/>
    <mergeCell ref="AA9:AB9"/>
    <mergeCell ref="AC9:AH9"/>
    <mergeCell ref="AI9:AJ9"/>
    <mergeCell ref="AK9:AP9"/>
    <mergeCell ref="E10:F10"/>
    <mergeCell ref="G10:H10"/>
    <mergeCell ref="S10:T10"/>
    <mergeCell ref="U10:Z10"/>
    <mergeCell ref="AA10:AB10"/>
    <mergeCell ref="AC10:AH10"/>
    <mergeCell ref="AI10:AJ10"/>
    <mergeCell ref="AK10:AP10"/>
    <mergeCell ref="E15:H15"/>
  </mergeCells>
  <conditionalFormatting sqref="N51">
    <cfRule type="expression" priority="2" aboveAverage="0" equalAverage="0" bottom="0" percent="0" rank="0" text="" dxfId="247">
      <formula>$J51="►"</formula>
    </cfRule>
  </conditionalFormatting>
  <conditionalFormatting sqref="D51:I51">
    <cfRule type="expression" priority="3" aboveAverage="0" equalAverage="0" bottom="0" percent="0" rank="0" text="" dxfId="248">
      <formula>$B51=1</formula>
    </cfRule>
    <cfRule type="expression" priority="4" aboveAverage="0" equalAverage="0" bottom="0" percent="0" rank="0" text="" dxfId="249">
      <formula>OR($B51=0,$B51=2,$B51=3,$B51=4)</formula>
    </cfRule>
  </conditionalFormatting>
  <conditionalFormatting sqref="N23">
    <cfRule type="expression" priority="5" aboveAverage="0" equalAverage="0" bottom="0" percent="0" rank="0" text="" dxfId="250">
      <formula>$J23="►"</formula>
    </cfRule>
  </conditionalFormatting>
  <conditionalFormatting sqref="D23:I23">
    <cfRule type="expression" priority="6" aboveAverage="0" equalAverage="0" bottom="0" percent="0" rank="0" text="" dxfId="251">
      <formula>$B23=1</formula>
    </cfRule>
    <cfRule type="expression" priority="7" aboveAverage="0" equalAverage="0" bottom="0" percent="0" rank="0" text="" dxfId="252">
      <formula>OR($B23=0,$B23=2,$B23=3,$B23=4)</formula>
    </cfRule>
  </conditionalFormatting>
  <conditionalFormatting sqref="D25:I26">
    <cfRule type="expression" priority="8" aboveAverage="0" equalAverage="0" bottom="0" percent="0" rank="0" text="" dxfId="253">
      <formula>$B25=1</formula>
    </cfRule>
    <cfRule type="expression" priority="9" aboveAverage="0" equalAverage="0" bottom="0" percent="0" rank="0" text="" dxfId="254">
      <formula>OR($B25=0,$B25=2,$B25=3,$B25=4)</formula>
    </cfRule>
  </conditionalFormatting>
  <conditionalFormatting sqref="D67:I67">
    <cfRule type="expression" priority="10" aboveAverage="0" equalAverage="0" bottom="0" percent="0" rank="0" text="" dxfId="255">
      <formula>$B67=1</formula>
    </cfRule>
    <cfRule type="expression" priority="11" aboveAverage="0" equalAverage="0" bottom="0" percent="0" rank="0" text="" dxfId="256">
      <formula>OR($B67=0,$B67=2,$B67=3,$B67=4)</formula>
    </cfRule>
  </conditionalFormatting>
  <conditionalFormatting sqref="D66:I66">
    <cfRule type="expression" priority="12" aboveAverage="0" equalAverage="0" bottom="0" percent="0" rank="0" text="" dxfId="257">
      <formula>$B66=1</formula>
    </cfRule>
    <cfRule type="expression" priority="13" aboveAverage="0" equalAverage="0" bottom="0" percent="0" rank="0" text="" dxfId="258">
      <formula>OR($B66=0,$B66=2,$B66=3,$B66=4)</formula>
    </cfRule>
  </conditionalFormatting>
  <conditionalFormatting sqref="N45">
    <cfRule type="expression" priority="14" aboveAverage="0" equalAverage="0" bottom="0" percent="0" rank="0" text="" dxfId="259">
      <formula>$J45="►"</formula>
    </cfRule>
  </conditionalFormatting>
  <conditionalFormatting sqref="D45:I45">
    <cfRule type="expression" priority="15" aboveAverage="0" equalAverage="0" bottom="0" percent="0" rank="0" text="" dxfId="260">
      <formula>$B45=1</formula>
    </cfRule>
    <cfRule type="expression" priority="16" aboveAverage="0" equalAverage="0" bottom="0" percent="0" rank="0" text="" dxfId="261">
      <formula>OR($B45=0,$B45=2,$B45=3,$B45=4)</formula>
    </cfRule>
  </conditionalFormatting>
  <conditionalFormatting sqref="N60">
    <cfRule type="expression" priority="17" aboveAverage="0" equalAverage="0" bottom="0" percent="0" rank="0" text="" dxfId="262">
      <formula>$J60="►"</formula>
    </cfRule>
  </conditionalFormatting>
  <conditionalFormatting sqref="D60:I60">
    <cfRule type="expression" priority="18" aboveAverage="0" equalAverage="0" bottom="0" percent="0" rank="0" text="" dxfId="263">
      <formula>$B60=1</formula>
    </cfRule>
    <cfRule type="expression" priority="19" aboveAverage="0" equalAverage="0" bottom="0" percent="0" rank="0" text="" dxfId="264">
      <formula>OR($B60=0,$B60=2,$B60=3,$B60=4)</formula>
    </cfRule>
  </conditionalFormatting>
  <conditionalFormatting sqref="N57">
    <cfRule type="expression" priority="20" aboveAverage="0" equalAverage="0" bottom="0" percent="0" rank="0" text="" dxfId="265">
      <formula>$J57="►"</formula>
    </cfRule>
  </conditionalFormatting>
  <conditionalFormatting sqref="D57:I57">
    <cfRule type="expression" priority="21" aboveAverage="0" equalAverage="0" bottom="0" percent="0" rank="0" text="" dxfId="266">
      <formula>$B57=1</formula>
    </cfRule>
    <cfRule type="expression" priority="22" aboveAverage="0" equalAverage="0" bottom="0" percent="0" rank="0" text="" dxfId="267">
      <formula>OR($B57=0,$B57=2,$B57=3,$B57=4)</formula>
    </cfRule>
  </conditionalFormatting>
  <conditionalFormatting sqref="N49">
    <cfRule type="expression" priority="23" aboveAverage="0" equalAverage="0" bottom="0" percent="0" rank="0" text="" dxfId="268">
      <formula>$J49="►"</formula>
    </cfRule>
  </conditionalFormatting>
  <conditionalFormatting sqref="D49:I49">
    <cfRule type="expression" priority="24" aboveAverage="0" equalAverage="0" bottom="0" percent="0" rank="0" text="" dxfId="269">
      <formula>$B49=1</formula>
    </cfRule>
    <cfRule type="expression" priority="25" aboveAverage="0" equalAverage="0" bottom="0" percent="0" rank="0" text="" dxfId="270">
      <formula>OR($B49=0,$B49=2,$B49=3,$B49=4)</formula>
    </cfRule>
  </conditionalFormatting>
  <conditionalFormatting sqref="N46:N47">
    <cfRule type="expression" priority="26" aboveAverage="0" equalAverage="0" bottom="0" percent="0" rank="0" text="" dxfId="271">
      <formula>$J46="►"</formula>
    </cfRule>
  </conditionalFormatting>
  <conditionalFormatting sqref="D46:I47">
    <cfRule type="expression" priority="27" aboveAverage="0" equalAverage="0" bottom="0" percent="0" rank="0" text="" dxfId="272">
      <formula>$B46=1</formula>
    </cfRule>
    <cfRule type="expression" priority="28" aboveAverage="0" equalAverage="0" bottom="0" percent="0" rank="0" text="" dxfId="273">
      <formula>OR($B46=0,$B46=2,$B46=3,$B46=4)</formula>
    </cfRule>
  </conditionalFormatting>
  <conditionalFormatting sqref="N44">
    <cfRule type="expression" priority="29" aboveAverage="0" equalAverage="0" bottom="0" percent="0" rank="0" text="" dxfId="274">
      <formula>$J44="►"</formula>
    </cfRule>
  </conditionalFormatting>
  <conditionalFormatting sqref="D44:I44">
    <cfRule type="expression" priority="30" aboveAverage="0" equalAverage="0" bottom="0" percent="0" rank="0" text="" dxfId="275">
      <formula>$B44=1</formula>
    </cfRule>
    <cfRule type="expression" priority="31" aboveAverage="0" equalAverage="0" bottom="0" percent="0" rank="0" text="" dxfId="276">
      <formula>OR($B44=0,$B44=2,$B44=3,$B44=4)</formula>
    </cfRule>
  </conditionalFormatting>
  <conditionalFormatting sqref="N24">
    <cfRule type="expression" priority="32" aboveAverage="0" equalAverage="0" bottom="0" percent="0" rank="0" text="" dxfId="277">
      <formula>$J24="►"</formula>
    </cfRule>
  </conditionalFormatting>
  <conditionalFormatting sqref="D24:I24">
    <cfRule type="expression" priority="33" aboveAverage="0" equalAverage="0" bottom="0" percent="0" rank="0" text="" dxfId="278">
      <formula>$B24=1</formula>
    </cfRule>
    <cfRule type="expression" priority="34" aboveAverage="0" equalAverage="0" bottom="0" percent="0" rank="0" text="" dxfId="279">
      <formula>OR($B24=0,$B24=2,$B24=3,$B24=4)</formula>
    </cfRule>
  </conditionalFormatting>
  <conditionalFormatting sqref="N89:N97">
    <cfRule type="expression" priority="35" aboveAverage="0" equalAverage="0" bottom="0" percent="0" rank="0" text="" dxfId="280">
      <formula>$J89="►"</formula>
    </cfRule>
  </conditionalFormatting>
  <conditionalFormatting sqref="D89:I97">
    <cfRule type="expression" priority="36" aboveAverage="0" equalAverage="0" bottom="0" percent="0" rank="0" text="" dxfId="281">
      <formula>$B89=1</formula>
    </cfRule>
    <cfRule type="expression" priority="37" aboveAverage="0" equalAverage="0" bottom="0" percent="0" rank="0" text="" dxfId="282">
      <formula>OR($B89=0,$B89=2,$B89=3,$B89=4)</formula>
    </cfRule>
  </conditionalFormatting>
  <conditionalFormatting sqref="N74:N81">
    <cfRule type="expression" priority="38" aboveAverage="0" equalAverage="0" bottom="0" percent="0" rank="0" text="" dxfId="283">
      <formula>$J74="►"</formula>
    </cfRule>
  </conditionalFormatting>
  <conditionalFormatting sqref="D74:I81">
    <cfRule type="expression" priority="39" aboveAverage="0" equalAverage="0" bottom="0" percent="0" rank="0" text="" dxfId="284">
      <formula>$B74=1</formula>
    </cfRule>
    <cfRule type="expression" priority="40" aboveAverage="0" equalAverage="0" bottom="0" percent="0" rank="0" text="" dxfId="285">
      <formula>OR($B74=0,$B74=2,$B74=3,$B74=4)</formula>
    </cfRule>
  </conditionalFormatting>
  <conditionalFormatting sqref="N56 N65">
    <cfRule type="expression" priority="41" aboveAverage="0" equalAverage="0" bottom="0" percent="0" rank="0" text="" dxfId="286">
      <formula>$J56="►"</formula>
    </cfRule>
  </conditionalFormatting>
  <conditionalFormatting sqref="D56:I56 D65:I65">
    <cfRule type="expression" priority="42" aboveAverage="0" equalAverage="0" bottom="0" percent="0" rank="0" text="" dxfId="287">
      <formula>$B56=1</formula>
    </cfRule>
    <cfRule type="expression" priority="43" aboveAverage="0" equalAverage="0" bottom="0" percent="0" rank="0" text="" dxfId="288">
      <formula>OR($B56=0,$B56=2,$B56=3,$B56=4)</formula>
    </cfRule>
  </conditionalFormatting>
  <conditionalFormatting sqref="N48 N50 N52">
    <cfRule type="expression" priority="44" aboveAverage="0" equalAverage="0" bottom="0" percent="0" rank="0" text="" dxfId="289">
      <formula>$J48="►"</formula>
    </cfRule>
  </conditionalFormatting>
  <conditionalFormatting sqref="D48:I48 D50:I50 D52:I52">
    <cfRule type="expression" priority="45" aboveAverage="0" equalAverage="0" bottom="0" percent="0" rank="0" text="" dxfId="290">
      <formula>$B48=1</formula>
    </cfRule>
    <cfRule type="expression" priority="46" aboveAverage="0" equalAverage="0" bottom="0" percent="0" rank="0" text="" dxfId="291">
      <formula>OR($B48=0,$B48=2,$B48=3,$B48=4)</formula>
    </cfRule>
  </conditionalFormatting>
  <conditionalFormatting sqref="N16:N22">
    <cfRule type="expression" priority="47" aboveAverage="0" equalAverage="0" bottom="0" percent="0" rank="0" text="" dxfId="292">
      <formula>$J16="►"</formula>
    </cfRule>
  </conditionalFormatting>
  <conditionalFormatting sqref="D16:I22">
    <cfRule type="expression" priority="48" aboveAverage="0" equalAverage="0" bottom="0" percent="0" rank="0" text="" dxfId="293">
      <formula>$B16=1</formula>
    </cfRule>
    <cfRule type="expression" priority="49" aboveAverage="0" equalAverage="0" bottom="0" percent="0" rank="0" text="" dxfId="294">
      <formula>OR($B16=0,$B16=2,$B16=3,$B16=4)</formula>
    </cfRule>
  </conditionalFormatting>
  <conditionalFormatting sqref="N12">
    <cfRule type="cellIs" priority="50" operator="notEqual" aboveAverage="0" equalAverage="0" bottom="0" percent="0" rank="0" text="" dxfId="295">
      <formula>"FRENTES DE OBRA:"</formula>
    </cfRule>
  </conditionalFormatting>
  <conditionalFormatting sqref="N14 N53:N55 N58:N59 N61:N64 N66:N73 N82:N88 N98:N204 N25:N43">
    <cfRule type="expression" priority="51" aboveAverage="0" equalAverage="0" bottom="0" percent="0" rank="0" text="" dxfId="296">
      <formula>$J14="►"</formula>
    </cfRule>
  </conditionalFormatting>
  <conditionalFormatting sqref="O15">
    <cfRule type="expression" priority="52" aboveAverage="0" equalAverage="0" bottom="0" percent="0" rank="0" text="" dxfId="297">
      <formula>O$11="▼"</formula>
    </cfRule>
  </conditionalFormatting>
  <conditionalFormatting sqref="O12:AQ205">
    <cfRule type="expression" priority="53" aboveAverage="0" equalAverage="0" bottom="0" percent="0" rank="0" text="" dxfId="298">
      <formula>ACOMPANHAMENTO="BM"</formula>
    </cfRule>
    <cfRule type="expression" priority="54" aboveAverage="0" equalAverage="0" bottom="0" percent="0" rank="0" text="" dxfId="299">
      <formula>AND(O$12&lt;&gt;".",OR($B12=0,$B12=2,$B12=3,$B12=4,AND(O$12="",$B12&lt;&gt;"Empty"),OFFSET(O$1,0,-1)=0))</formula>
    </cfRule>
    <cfRule type="expression" priority="55" aboveAverage="0" equalAverage="0" bottom="0" percent="0" rank="0" text="" dxfId="300">
      <formula>AND($B12=1,O$1=1)</formula>
    </cfRule>
  </conditionalFormatting>
  <conditionalFormatting sqref="D14:I14 D68:I73 D53:I55 D58:I59 D61:I64 D82:I88 D98:I204 D27:I43">
    <cfRule type="expression" priority="56" aboveAverage="0" equalAverage="0" bottom="0" percent="0" rank="0" text="" dxfId="301">
      <formula>$B14=1</formula>
    </cfRule>
    <cfRule type="expression" priority="57" aboveAverage="0" equalAverage="0" bottom="0" percent="0" rank="0" text="" dxfId="302">
      <formula>OR($B14=0,$B14=2,$B14=3,$B14=4)</formula>
    </cfRule>
  </conditionalFormatting>
  <conditionalFormatting sqref="M12:N205">
    <cfRule type="expression" priority="58" aboveAverage="0" equalAverage="0" bottom="0" percent="0" rank="0" text="" dxfId="303">
      <formula>ACOMPANHAMENTO="BM"</formula>
    </cfRule>
    <cfRule type="expression" priority="59" aboveAverage="0" equalAverage="0" bottom="0" percent="0" rank="0" text="" dxfId="304">
      <formula>OR($B12=0,$B12=2,$B12=3,$B12=4)</formula>
    </cfRule>
    <cfRule type="expression" priority="60" aboveAverage="0" equalAverage="0" bottom="0" percent="0" rank="0" text="" dxfId="305">
      <formula>$B12=1</formula>
    </cfRule>
  </conditionalFormatting>
  <conditionalFormatting sqref="K12:K205">
    <cfRule type="expression" priority="61" aboveAverage="0" equalAverage="0" bottom="0" percent="0" rank="0" text="" dxfId="306">
      <formula>OR(ACOMPANHAMENTO="BM",$A$12&lt;&gt;"Manual")</formula>
    </cfRule>
    <cfRule type="expression" priority="62" aboveAverage="0" equalAverage="0" bottom="0" percent="0" rank="0" text="" dxfId="307">
      <formula>$B12=1</formula>
    </cfRule>
    <cfRule type="expression" priority="63" aboveAverage="0" equalAverage="0" bottom="0" percent="0" rank="0" text="" dxfId="308">
      <formula>OR($B12=2,$B12=3,$B12=4,$B12=0)</formula>
    </cfRule>
  </conditionalFormatting>
  <conditionalFormatting sqref="Q15:AP15">
    <cfRule type="expression" priority="64" aboveAverage="0" equalAverage="0" bottom="0" percent="0" rank="0" text="" dxfId="309">
      <formula>Q$11="▼"</formula>
    </cfRule>
  </conditionalFormatting>
  <dataValidations count="4">
    <dataValidation allowBlank="true" error="Apenas números decimais maiores que zero." errorStyle="stop" operator="greaterThan" showDropDown="false" showErrorMessage="true" showInputMessage="false" sqref="O14 Q14:AP14 O16:O204 Q16:AP204" type="decimal">
      <formula1>0</formula1>
      <formula2>0</formula2>
    </dataValidation>
    <dataValidation allowBlank="true" errorStyle="stop" operator="between" prompt="A quantidade é digitada nas colunas Q em diante, após preencher o nome das frentes de obra na célula Q12 em diante" showDropDown="false" showErrorMessage="true" showInputMessage="true" sqref="H14 H16:H204" type="none">
      <formula1>0</formula1>
      <formula2>0</formula2>
    </dataValidation>
    <dataValidation allowBlank="true" errorStyle="stop" operator="between" prompt="A frente de obra é uma porção física da obra. Exemplos: Única; Rua A; Rua B; Trecho 01; Trecho 02; 1º Andar; 2º Andar; Copa; Banheiro" showDropDown="false" showErrorMessage="true" showInputMessage="true" sqref="Q12" type="none">
      <formula1>0</formula1>
      <formula2>0</formula2>
    </dataValidation>
    <dataValidation allowBlank="true" error="Selecione um dos eventos da lista suspensa." errorStyle="stop" errorTitle="Erro:" operator="between" prompt="Selecione um dos eventos da lista suspensa.&#10;" showDropDown="false" showErrorMessage="true" showInputMessage="true" sqref="K14 K16:K204" type="list">
      <formula1>EVENTOS.ListaValidacao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65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&amp;LPMv3.12&amp;R&amp;P / &amp;N</oddFooter>
  </headerFooter>
  <colBreaks count="1" manualBreakCount="1">
    <brk id="43" man="true" max="65535" min="0"/>
  </col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D7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13" topLeftCell="P14" activePane="bottomRight" state="frozen"/>
      <selection pane="topLeft" activeCell="A1" activeCellId="0" sqref="A1"/>
      <selection pane="topRight" activeCell="P1" activeCellId="0" sqref="P1"/>
      <selection pane="bottomLeft" activeCell="A14" activeCellId="0" sqref="A14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1" width="3.57"/>
    <col collapsed="false" customWidth="true" hidden="false" outlineLevel="0" max="2" min="2" style="1" width="8.15"/>
    <col collapsed="false" customWidth="true" hidden="false" outlineLevel="0" max="3" min="3" style="1" width="36.86"/>
    <col collapsed="false" customWidth="true" hidden="false" outlineLevel="0" max="4" min="4" style="1" width="0.86"/>
    <col collapsed="false" customWidth="true" hidden="true" outlineLevel="0" max="6" min="5" style="1" width="9.14"/>
    <col collapsed="false" customWidth="true" hidden="false" outlineLevel="0" max="56" min="7" style="1" width="5.57"/>
    <col collapsed="false" customWidth="true" hidden="true" outlineLevel="0" max="57" min="57" style="1" width="5.57"/>
  </cols>
  <sheetData>
    <row r="1" customFormat="false" ht="12.75" hidden="true" customHeight="false" outlineLevel="0" collapsed="false">
      <c r="A1" s="50" t="e">
        <f aca="false">IF(AUTOEVENTO="Manual",IF(EVENTOS!$F1&gt;0,"F",""),IF(AND(B1&gt;0,B1&lt;=MAX(CÁLCULO!$M$15:$M$205)),"F",""))</f>
        <v>#VALUE!</v>
      </c>
      <c r="B1" s="374" t="e">
        <f aca="true">OFFSET(B1,-1,0)+1</f>
        <v>#VALUE!</v>
      </c>
      <c r="C1" s="375" t="e">
        <f aca="true">IF(AUTOEVENTO="Manual",IF($B1&gt;0,OFFSET(EVENTOS!$D$15,$B1-$B$15,0),0),IF(B1&lt;=MAX(CÁLCULO!$M$15:$M$205),VLOOKUP($B1,CÁLCULO!$M$15:$N$205,2,FALSE()),0))</f>
        <v>#VALUE!</v>
      </c>
      <c r="D1" s="376"/>
      <c r="E1" s="377"/>
      <c r="F1" s="38" t="e">
        <f aca="false">IF($C1=0,"",CONCATENATE($B1,". ",$C1))</f>
        <v>#VALUE!</v>
      </c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AC1" s="378"/>
      <c r="AD1" s="378"/>
      <c r="AE1" s="378"/>
      <c r="AF1" s="378"/>
      <c r="AG1" s="378"/>
      <c r="AH1" s="378"/>
      <c r="AI1" s="378"/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</row>
    <row r="2" customFormat="false" ht="30" hidden="false" customHeight="true" outlineLevel="0" collapsed="false">
      <c r="G2" s="158" t="s">
        <v>987</v>
      </c>
      <c r="AC2" s="379" t="s">
        <v>865</v>
      </c>
      <c r="AD2" s="379"/>
      <c r="AE2" s="379"/>
      <c r="AF2" s="158" t="s">
        <v>987</v>
      </c>
      <c r="BB2" s="379" t="s">
        <v>865</v>
      </c>
      <c r="BC2" s="379"/>
      <c r="BD2" s="379"/>
    </row>
    <row r="3" customFormat="false" ht="12.75" hidden="false" customHeight="true" outlineLevel="0" collapsed="false">
      <c r="G3" s="158"/>
      <c r="AD3" s="380"/>
      <c r="AE3" s="380"/>
      <c r="AF3" s="158"/>
      <c r="BC3" s="380"/>
      <c r="BD3" s="380"/>
    </row>
    <row r="4" customFormat="false" ht="12.75" hidden="false" customHeight="true" outlineLevel="0" collapsed="false">
      <c r="B4" s="103" t="s">
        <v>679</v>
      </c>
      <c r="C4" s="103"/>
      <c r="D4" s="103"/>
      <c r="G4" s="172" t="s">
        <v>677</v>
      </c>
      <c r="H4" s="172"/>
      <c r="I4" s="172"/>
      <c r="J4" s="172" t="s">
        <v>737</v>
      </c>
      <c r="K4" s="172"/>
      <c r="L4" s="172"/>
      <c r="M4" s="266" t="s">
        <v>866</v>
      </c>
      <c r="N4" s="381"/>
      <c r="P4" s="382"/>
      <c r="Q4" s="382"/>
      <c r="R4" s="382"/>
      <c r="U4" s="267"/>
      <c r="V4" s="382"/>
      <c r="W4" s="382"/>
      <c r="X4" s="382"/>
      <c r="Y4" s="382"/>
      <c r="AD4" s="380"/>
      <c r="AE4" s="383"/>
      <c r="AF4" s="172" t="s">
        <v>677</v>
      </c>
      <c r="AG4" s="172"/>
      <c r="AH4" s="172"/>
      <c r="AI4" s="172" t="s">
        <v>737</v>
      </c>
      <c r="AJ4" s="172"/>
      <c r="AK4" s="172"/>
      <c r="AL4" s="266" t="s">
        <v>866</v>
      </c>
      <c r="AM4" s="381"/>
      <c r="AO4" s="382"/>
      <c r="AP4" s="382"/>
      <c r="AQ4" s="382"/>
      <c r="AT4" s="267"/>
      <c r="AU4" s="382"/>
      <c r="AV4" s="382"/>
      <c r="AW4" s="382"/>
      <c r="AX4" s="382"/>
      <c r="BC4" s="380"/>
      <c r="BD4" s="383"/>
    </row>
    <row r="5" customFormat="false" ht="12.75" hidden="false" customHeight="true" outlineLevel="0" collapsed="false">
      <c r="B5" s="104" t="str">
        <f aca="false">Import.Proponente</f>
        <v>PREFEITURA MUNICIPAL DE SALINAS</v>
      </c>
      <c r="C5" s="104"/>
      <c r="D5" s="104"/>
      <c r="G5" s="179" t="str">
        <f aca="false">Import.CR</f>
        <v>1100251-88</v>
      </c>
      <c r="H5" s="179"/>
      <c r="I5" s="179"/>
      <c r="J5" s="179" t="str">
        <f aca="false">Import.SICONV</f>
        <v>974240/2024</v>
      </c>
      <c r="K5" s="179"/>
      <c r="L5" s="179"/>
      <c r="M5" s="271" t="str">
        <f aca="false">Import.Apelido</f>
        <v>CONSTRUÇÃO DE UNIDADES HABITACIONAIS EM ÁREAS URBANAS</v>
      </c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71"/>
      <c r="AF5" s="179" t="str">
        <f aca="false">Import.CR</f>
        <v>1100251-88</v>
      </c>
      <c r="AG5" s="179"/>
      <c r="AH5" s="179"/>
      <c r="AI5" s="179" t="str">
        <f aca="false">Import.SICONV</f>
        <v>974240/2024</v>
      </c>
      <c r="AJ5" s="179"/>
      <c r="AK5" s="179"/>
      <c r="AL5" s="271" t="str">
        <f aca="false">Import.Apelido</f>
        <v>CONSTRUÇÃO DE UNIDADES HABITACIONAIS EM ÁREAS URBANAS</v>
      </c>
      <c r="AM5" s="271"/>
      <c r="AN5" s="271"/>
      <c r="AO5" s="271"/>
      <c r="AP5" s="271"/>
      <c r="AQ5" s="271"/>
      <c r="AR5" s="271"/>
      <c r="AS5" s="271"/>
      <c r="AT5" s="271"/>
      <c r="AU5" s="271"/>
      <c r="AV5" s="271"/>
      <c r="AW5" s="271"/>
      <c r="AX5" s="271"/>
      <c r="AY5" s="271"/>
      <c r="AZ5" s="271"/>
      <c r="BA5" s="271"/>
      <c r="BB5" s="271"/>
      <c r="BC5" s="271"/>
      <c r="BD5" s="271"/>
    </row>
    <row r="6" customFormat="false" ht="14.25" hidden="false" customHeight="true" outlineLevel="0" collapsed="false">
      <c r="B6" s="64" t="str">
        <f aca="true" t="array" ref="B6:B6">IF(ACOMPANHAMENTO="BM","NO ACOMPANHAMENTO POR BM, UTILIZE A ABA CRONO",
  IF(MAX($B$14:$B$47)&lt;MAX(CÁLCULO!$M$15:$M$205),"ERRO: NÚMERO DE EVENTOS INSUFICIENTE, CLIQUE EM ATUALIZAR LINHAS",
  IF(ROUND(OFFSET(CRONO!$BE$192,0,-1),2)&lt;&gt;CRONO!$R$183,"ERRO: CRONOGRAMA NÃO FECHA 100%","")))</f>
        <v/>
      </c>
    </row>
    <row r="7" customFormat="false" ht="15" hidden="false" customHeight="true" outlineLevel="0" collapsed="false">
      <c r="B7" s="336" t="str">
        <f aca="false" t="array" ref="B7:B7">IF(AdmLocal="Automática","","1. Selecione o Título do Evento da Administração Local:")</f>
        <v>1. Selecione o Título do Evento da Administração Local:</v>
      </c>
    </row>
    <row r="8" customFormat="false" ht="12.75" hidden="false" customHeight="false" outlineLevel="0" collapsed="false">
      <c r="A8" s="384" t="str">
        <f aca="false">MID(Import.EventoAdmLocal,1,SEARCH(".",Import.EventoAdmLocal)-1)</f>
        <v>1</v>
      </c>
      <c r="B8" s="272" t="s">
        <v>988</v>
      </c>
      <c r="C8" s="272"/>
      <c r="D8" s="111" t="str">
        <f aca="false">IF($B$7="","",IF(AND($B$15=0,$B$8=""),"◄ Não foi indicado o Evento de Administração Local",IF(ISERROR(MATCH(Import.EventoAdmLocal,$F$15:$F$47,0)),"◄ Selecione um Título de Evento válido para a Administração Local","")))</f>
        <v/>
      </c>
    </row>
    <row r="9" customFormat="false" ht="3.75" hidden="false" customHeight="true" outlineLevel="0" collapsed="false">
      <c r="A9" s="384"/>
    </row>
    <row r="10" customFormat="false" ht="15" hidden="false" customHeight="true" outlineLevel="0" collapsed="false">
      <c r="A10" s="384" t="n">
        <f aca="false">MATCH(VALUE(A8),CÁLCULO!$M$15:$M$205,0)-2</f>
        <v>2</v>
      </c>
      <c r="B10" s="336" t="str">
        <f aca="false">CONCATENATE(IF(AdmLocal="Automática",1,2),". Digite nas células em amarelo o número do período em que os eventos serão concluídos:")</f>
        <v>2. Digite nas células em amarelo o número do período em que os eventos serão concluídos:</v>
      </c>
    </row>
    <row r="11" customFormat="false" ht="65.25" hidden="false" customHeight="true" outlineLevel="0" collapsed="false">
      <c r="A11" s="322" t="s">
        <v>682</v>
      </c>
      <c r="C11" s="385"/>
      <c r="E11" s="386" t="str">
        <f aca="true">IF(E$12&gt;CÁLCULO.FrentesPreenchidas,"",OFFSET(CÁLCULO!$P$12,0,E$12))</f>
        <v>CASA 01</v>
      </c>
      <c r="G11" s="386" t="str">
        <f aca="true">IF(G$12&gt;CÁLCULO.FrentesPreenchidas,"",OFFSET(CÁLCULO!$P$12,0,G$12))</f>
        <v>CASA 01</v>
      </c>
      <c r="H11" s="386" t="str">
        <f aca="true">IF(H$12&gt;CÁLCULO.FrentesPreenchidas,"",OFFSET(CÁLCULO!$P$12,0,H$12))</f>
        <v>CASA 02</v>
      </c>
      <c r="I11" s="386" t="str">
        <f aca="true">IF(I$12&gt;CÁLCULO.FrentesPreenchidas,"",OFFSET(CÁLCULO!$P$12,0,I$12))</f>
        <v>CASA 03</v>
      </c>
      <c r="J11" s="386" t="str">
        <f aca="true">IF(J$12&gt;CÁLCULO.FrentesPreenchidas,"",OFFSET(CÁLCULO!$P$12,0,J$12))</f>
        <v>CASA 04</v>
      </c>
      <c r="K11" s="386" t="str">
        <f aca="true">IF(K$12&gt;CÁLCULO.FrentesPreenchidas,"",OFFSET(CÁLCULO!$P$12,0,K$12))</f>
        <v>CASA 05</v>
      </c>
      <c r="L11" s="386" t="str">
        <f aca="true">IF(L$12&gt;CÁLCULO.FrentesPreenchidas,"",OFFSET(CÁLCULO!$P$12,0,L$12))</f>
        <v>CASA 06</v>
      </c>
      <c r="M11" s="386" t="str">
        <f aca="true">IF(M$12&gt;CÁLCULO.FrentesPreenchidas,"",OFFSET(CÁLCULO!$P$12,0,M$12))</f>
        <v>CASA 07</v>
      </c>
      <c r="N11" s="386" t="str">
        <f aca="true">IF(N$12&gt;CÁLCULO.FrentesPreenchidas,"",OFFSET(CÁLCULO!$P$12,0,N$12))</f>
        <v>CASA 08</v>
      </c>
      <c r="O11" s="386" t="str">
        <f aca="true">IF(O$12&gt;CÁLCULO.FrentesPreenchidas,"",OFFSET(CÁLCULO!$P$12,0,O$12))</f>
        <v>CASA 09</v>
      </c>
      <c r="P11" s="386" t="str">
        <f aca="true">IF(P$12&gt;CÁLCULO.FrentesPreenchidas,"",OFFSET(CÁLCULO!$P$12,0,P$12))</f>
        <v>CASA 10</v>
      </c>
      <c r="Q11" s="386" t="str">
        <f aca="true">IF(Q$12&gt;CÁLCULO.FrentesPreenchidas,"",OFFSET(CÁLCULO!$P$12,0,Q$12))</f>
        <v>CASA 11</v>
      </c>
      <c r="R11" s="386" t="str">
        <f aca="true">IF(R$12&gt;CÁLCULO.FrentesPreenchidas,"",OFFSET(CÁLCULO!$P$12,0,R$12))</f>
        <v>CASA 12</v>
      </c>
      <c r="S11" s="386" t="str">
        <f aca="true">IF(S$12&gt;CÁLCULO.FrentesPreenchidas,"",OFFSET(CÁLCULO!$P$12,0,S$12))</f>
        <v>CASA 13</v>
      </c>
      <c r="T11" s="386" t="str">
        <f aca="true">IF(T$12&gt;CÁLCULO.FrentesPreenchidas,"",OFFSET(CÁLCULO!$P$12,0,T$12))</f>
        <v>CASA 14</v>
      </c>
      <c r="U11" s="386" t="str">
        <f aca="true">IF(U$12&gt;CÁLCULO.FrentesPreenchidas,"",OFFSET(CÁLCULO!$P$12,0,U$12))</f>
        <v>CASA 15</v>
      </c>
      <c r="V11" s="386" t="str">
        <f aca="true">IF(V$12&gt;CÁLCULO.FrentesPreenchidas,"",OFFSET(CÁLCULO!$P$12,0,V$12))</f>
        <v>CASA 16</v>
      </c>
      <c r="W11" s="386" t="str">
        <f aca="true">IF(W$12&gt;CÁLCULO.FrentesPreenchidas,"",OFFSET(CÁLCULO!$P$12,0,W$12))</f>
        <v>CASA 17</v>
      </c>
      <c r="X11" s="386" t="str">
        <f aca="true">IF(X$12&gt;CÁLCULO.FrentesPreenchidas,"",OFFSET(CÁLCULO!$P$12,0,X$12))</f>
        <v>CASA 18</v>
      </c>
      <c r="Y11" s="386" t="str">
        <f aca="true">IF(Y$12&gt;CÁLCULO.FrentesPreenchidas,"",OFFSET(CÁLCULO!$P$12,0,Y$12))</f>
        <v>CASA 19</v>
      </c>
      <c r="Z11" s="386" t="str">
        <f aca="true">IF(Z$12&gt;CÁLCULO.FrentesPreenchidas,"",OFFSET(CÁLCULO!$P$12,0,Z$12))</f>
        <v>CASA 20</v>
      </c>
      <c r="AA11" s="386" t="str">
        <f aca="true">IF(AA$12&gt;CÁLCULO.FrentesPreenchidas,"",OFFSET(CÁLCULO!$P$12,0,AA$12))</f>
        <v>CASA 21</v>
      </c>
      <c r="AB11" s="386" t="str">
        <f aca="true">IF(AB$12&gt;CÁLCULO.FrentesPreenchidas,"",OFFSET(CÁLCULO!$P$12,0,AB$12))</f>
        <v>CASA 22</v>
      </c>
      <c r="AC11" s="386" t="str">
        <f aca="true">IF(AC$12&gt;CÁLCULO.FrentesPreenchidas,"",OFFSET(CÁLCULO!$P$12,0,AC$12))</f>
        <v>CASA 23</v>
      </c>
      <c r="AD11" s="386" t="str">
        <f aca="true">IF(AD$12&gt;CÁLCULO.FrentesPreenchidas,"",OFFSET(CÁLCULO!$P$12,0,AD$12))</f>
        <v>CASA 24</v>
      </c>
      <c r="AE11" s="386" t="str">
        <f aca="true">IF(AE$12&gt;CÁLCULO.FrentesPreenchidas,"",OFFSET(CÁLCULO!$P$12,0,AE$12))</f>
        <v>CASA 25</v>
      </c>
      <c r="AF11" s="386" t="str">
        <f aca="true">IF(AF$12&gt;CÁLCULO.FrentesPreenchidas,"",OFFSET(CÁLCULO!$P$12,0,AF$12))</f>
        <v/>
      </c>
      <c r="AG11" s="386" t="str">
        <f aca="true">IF(AG$12&gt;CÁLCULO.FrentesPreenchidas,"",OFFSET(CÁLCULO!$P$12,0,AG$12))</f>
        <v/>
      </c>
      <c r="AH11" s="386" t="str">
        <f aca="true">IF(AH$12&gt;CÁLCULO.FrentesPreenchidas,"",OFFSET(CÁLCULO!$P$12,0,AH$12))</f>
        <v/>
      </c>
      <c r="AI11" s="386" t="str">
        <f aca="true">IF(AI$12&gt;CÁLCULO.FrentesPreenchidas,"",OFFSET(CÁLCULO!$P$12,0,AI$12))</f>
        <v/>
      </c>
      <c r="AJ11" s="386" t="str">
        <f aca="true">IF(AJ$12&gt;CÁLCULO.FrentesPreenchidas,"",OFFSET(CÁLCULO!$P$12,0,AJ$12))</f>
        <v/>
      </c>
      <c r="AK11" s="386" t="str">
        <f aca="true">IF(AK$12&gt;CÁLCULO.FrentesPreenchidas,"",OFFSET(CÁLCULO!$P$12,0,AK$12))</f>
        <v/>
      </c>
      <c r="AL11" s="386" t="str">
        <f aca="true">IF(AL$12&gt;CÁLCULO.FrentesPreenchidas,"",OFFSET(CÁLCULO!$P$12,0,AL$12))</f>
        <v/>
      </c>
      <c r="AM11" s="386" t="str">
        <f aca="true">IF(AM$12&gt;CÁLCULO.FrentesPreenchidas,"",OFFSET(CÁLCULO!$P$12,0,AM$12))</f>
        <v/>
      </c>
      <c r="AN11" s="386" t="str">
        <f aca="true">IF(AN$12&gt;CÁLCULO.FrentesPreenchidas,"",OFFSET(CÁLCULO!$P$12,0,AN$12))</f>
        <v/>
      </c>
      <c r="AO11" s="386" t="str">
        <f aca="true">IF(AO$12&gt;CÁLCULO.FrentesPreenchidas,"",OFFSET(CÁLCULO!$P$12,0,AO$12))</f>
        <v/>
      </c>
      <c r="AP11" s="386" t="str">
        <f aca="true">IF(AP$12&gt;CÁLCULO.FrentesPreenchidas,"",OFFSET(CÁLCULO!$P$12,0,AP$12))</f>
        <v/>
      </c>
      <c r="AQ11" s="386" t="str">
        <f aca="true">IF(AQ$12&gt;CÁLCULO.FrentesPreenchidas,"",OFFSET(CÁLCULO!$P$12,0,AQ$12))</f>
        <v/>
      </c>
      <c r="AR11" s="386" t="str">
        <f aca="true">IF(AR$12&gt;CÁLCULO.FrentesPreenchidas,"",OFFSET(CÁLCULO!$P$12,0,AR$12))</f>
        <v/>
      </c>
      <c r="AS11" s="386" t="str">
        <f aca="true">IF(AS$12&gt;CÁLCULO.FrentesPreenchidas,"",OFFSET(CÁLCULO!$P$12,0,AS$12))</f>
        <v/>
      </c>
      <c r="AT11" s="386" t="str">
        <f aca="true">IF(AT$12&gt;CÁLCULO.FrentesPreenchidas,"",OFFSET(CÁLCULO!$P$12,0,AT$12))</f>
        <v/>
      </c>
      <c r="AU11" s="386" t="str">
        <f aca="true">IF(AU$12&gt;CÁLCULO.FrentesPreenchidas,"",OFFSET(CÁLCULO!$P$12,0,AU$12))</f>
        <v/>
      </c>
      <c r="AV11" s="386" t="str">
        <f aca="true">IF(AV$12&gt;CÁLCULO.FrentesPreenchidas,"",OFFSET(CÁLCULO!$P$12,0,AV$12))</f>
        <v/>
      </c>
      <c r="AW11" s="386" t="str">
        <f aca="true">IF(AW$12&gt;CÁLCULO.FrentesPreenchidas,"",OFFSET(CÁLCULO!$P$12,0,AW$12))</f>
        <v/>
      </c>
      <c r="AX11" s="386" t="str">
        <f aca="true">IF(AX$12&gt;CÁLCULO.FrentesPreenchidas,"",OFFSET(CÁLCULO!$P$12,0,AX$12))</f>
        <v/>
      </c>
      <c r="AY11" s="386" t="str">
        <f aca="true">IF(AY$12&gt;CÁLCULO.FrentesPreenchidas,"",OFFSET(CÁLCULO!$P$12,0,AY$12))</f>
        <v/>
      </c>
      <c r="AZ11" s="386" t="str">
        <f aca="true">IF(AZ$12&gt;CÁLCULO.FrentesPreenchidas,"",OFFSET(CÁLCULO!$P$12,0,AZ$12))</f>
        <v/>
      </c>
      <c r="BA11" s="386" t="str">
        <f aca="true">IF(BA$12&gt;CÁLCULO.FrentesPreenchidas,"",OFFSET(CÁLCULO!$P$12,0,BA$12))</f>
        <v/>
      </c>
      <c r="BB11" s="386" t="str">
        <f aca="true">IF(BB$12&gt;CÁLCULO.FrentesPreenchidas,"",OFFSET(CÁLCULO!$P$12,0,BB$12))</f>
        <v/>
      </c>
      <c r="BC11" s="386" t="str">
        <f aca="true">IF(BC$12&gt;CÁLCULO.FrentesPreenchidas,"",OFFSET(CÁLCULO!$P$12,0,BC$12))</f>
        <v/>
      </c>
      <c r="BD11" s="386" t="str">
        <f aca="true">IF(BD$12&gt;CÁLCULO.FrentesPreenchidas,"",OFFSET(CÁLCULO!$P$12,0,BD$12))</f>
        <v/>
      </c>
    </row>
    <row r="12" customFormat="false" ht="12.75" hidden="false" customHeight="true" outlineLevel="0" collapsed="false">
      <c r="A12" s="335" t="s">
        <v>687</v>
      </c>
      <c r="B12" s="387" t="s">
        <v>872</v>
      </c>
      <c r="C12" s="387" t="s">
        <v>989</v>
      </c>
      <c r="E12" s="388" t="n">
        <f aca="true">OFFSET(E12,0,-1)+1</f>
        <v>1</v>
      </c>
      <c r="G12" s="388" t="n">
        <f aca="true">OFFSET(G12,0,-1)+1</f>
        <v>1</v>
      </c>
      <c r="H12" s="388" t="n">
        <f aca="true">OFFSET(H12,0,-1)+1</f>
        <v>2</v>
      </c>
      <c r="I12" s="388" t="n">
        <f aca="true">OFFSET(I12,0,-1)+1</f>
        <v>3</v>
      </c>
      <c r="J12" s="388" t="n">
        <f aca="true">OFFSET(J12,0,-1)+1</f>
        <v>4</v>
      </c>
      <c r="K12" s="388" t="n">
        <f aca="true">OFFSET(K12,0,-1)+1</f>
        <v>5</v>
      </c>
      <c r="L12" s="388" t="n">
        <f aca="true">OFFSET(L12,0,-1)+1</f>
        <v>6</v>
      </c>
      <c r="M12" s="388" t="n">
        <f aca="true">OFFSET(M12,0,-1)+1</f>
        <v>7</v>
      </c>
      <c r="N12" s="388" t="n">
        <f aca="true">OFFSET(N12,0,-1)+1</f>
        <v>8</v>
      </c>
      <c r="O12" s="388" t="n">
        <f aca="true">OFFSET(O12,0,-1)+1</f>
        <v>9</v>
      </c>
      <c r="P12" s="388" t="n">
        <f aca="true">OFFSET(P12,0,-1)+1</f>
        <v>10</v>
      </c>
      <c r="Q12" s="388" t="n">
        <f aca="true">OFFSET(Q12,0,-1)+1</f>
        <v>11</v>
      </c>
      <c r="R12" s="388" t="n">
        <f aca="true">OFFSET(R12,0,-1)+1</f>
        <v>12</v>
      </c>
      <c r="S12" s="388" t="n">
        <f aca="true">OFFSET(S12,0,-1)+1</f>
        <v>13</v>
      </c>
      <c r="T12" s="388" t="n">
        <f aca="true">OFFSET(T12,0,-1)+1</f>
        <v>14</v>
      </c>
      <c r="U12" s="388" t="n">
        <f aca="true">OFFSET(U12,0,-1)+1</f>
        <v>15</v>
      </c>
      <c r="V12" s="388" t="n">
        <f aca="true">OFFSET(V12,0,-1)+1</f>
        <v>16</v>
      </c>
      <c r="W12" s="388" t="n">
        <f aca="true">OFFSET(W12,0,-1)+1</f>
        <v>17</v>
      </c>
      <c r="X12" s="388" t="n">
        <f aca="true">OFFSET(X12,0,-1)+1</f>
        <v>18</v>
      </c>
      <c r="Y12" s="388" t="n">
        <f aca="true">OFFSET(Y12,0,-1)+1</f>
        <v>19</v>
      </c>
      <c r="Z12" s="388" t="n">
        <f aca="true">OFFSET(Z12,0,-1)+1</f>
        <v>20</v>
      </c>
      <c r="AA12" s="388" t="n">
        <f aca="true">OFFSET(AA12,0,-1)+1</f>
        <v>21</v>
      </c>
      <c r="AB12" s="388" t="n">
        <f aca="true">OFFSET(AB12,0,-1)+1</f>
        <v>22</v>
      </c>
      <c r="AC12" s="388" t="n">
        <f aca="true">OFFSET(AC12,0,-1)+1</f>
        <v>23</v>
      </c>
      <c r="AD12" s="388" t="n">
        <f aca="true">OFFSET(AD12,0,-1)+1</f>
        <v>24</v>
      </c>
      <c r="AE12" s="388" t="n">
        <f aca="true">OFFSET(AE12,0,-1)+1</f>
        <v>25</v>
      </c>
      <c r="AF12" s="388" t="n">
        <f aca="true">OFFSET(AF12,0,-1)+1</f>
        <v>26</v>
      </c>
      <c r="AG12" s="388" t="n">
        <f aca="true">OFFSET(AG12,0,-1)+1</f>
        <v>27</v>
      </c>
      <c r="AH12" s="388" t="n">
        <f aca="true">OFFSET(AH12,0,-1)+1</f>
        <v>28</v>
      </c>
      <c r="AI12" s="388" t="n">
        <f aca="true">OFFSET(AI12,0,-1)+1</f>
        <v>29</v>
      </c>
      <c r="AJ12" s="388" t="n">
        <f aca="true">OFFSET(AJ12,0,-1)+1</f>
        <v>30</v>
      </c>
      <c r="AK12" s="388" t="n">
        <f aca="true">OFFSET(AK12,0,-1)+1</f>
        <v>31</v>
      </c>
      <c r="AL12" s="388" t="n">
        <f aca="true">OFFSET(AL12,0,-1)+1</f>
        <v>32</v>
      </c>
      <c r="AM12" s="388" t="n">
        <f aca="true">OFFSET(AM12,0,-1)+1</f>
        <v>33</v>
      </c>
      <c r="AN12" s="388" t="n">
        <f aca="true">OFFSET(AN12,0,-1)+1</f>
        <v>34</v>
      </c>
      <c r="AO12" s="388" t="n">
        <f aca="true">OFFSET(AO12,0,-1)+1</f>
        <v>35</v>
      </c>
      <c r="AP12" s="388" t="n">
        <f aca="true">OFFSET(AP12,0,-1)+1</f>
        <v>36</v>
      </c>
      <c r="AQ12" s="388" t="n">
        <f aca="true">OFFSET(AQ12,0,-1)+1</f>
        <v>37</v>
      </c>
      <c r="AR12" s="388" t="n">
        <f aca="true">OFFSET(AR12,0,-1)+1</f>
        <v>38</v>
      </c>
      <c r="AS12" s="388" t="n">
        <f aca="true">OFFSET(AS12,0,-1)+1</f>
        <v>39</v>
      </c>
      <c r="AT12" s="388" t="n">
        <f aca="true">OFFSET(AT12,0,-1)+1</f>
        <v>40</v>
      </c>
      <c r="AU12" s="388" t="n">
        <f aca="true">OFFSET(AU12,0,-1)+1</f>
        <v>41</v>
      </c>
      <c r="AV12" s="388" t="n">
        <f aca="true">OFFSET(AV12,0,-1)+1</f>
        <v>42</v>
      </c>
      <c r="AW12" s="388" t="n">
        <f aca="true">OFFSET(AW12,0,-1)+1</f>
        <v>43</v>
      </c>
      <c r="AX12" s="388" t="n">
        <f aca="true">OFFSET(AX12,0,-1)+1</f>
        <v>44</v>
      </c>
      <c r="AY12" s="388" t="n">
        <f aca="true">OFFSET(AY12,0,-1)+1</f>
        <v>45</v>
      </c>
      <c r="AZ12" s="388" t="n">
        <f aca="true">OFFSET(AZ12,0,-1)+1</f>
        <v>46</v>
      </c>
      <c r="BA12" s="388" t="n">
        <f aca="true">OFFSET(BA12,0,-1)+1</f>
        <v>47</v>
      </c>
      <c r="BB12" s="388" t="n">
        <f aca="true">OFFSET(BB12,0,-1)+1</f>
        <v>48</v>
      </c>
      <c r="BC12" s="388" t="n">
        <f aca="true">OFFSET(BC12,0,-1)+1</f>
        <v>49</v>
      </c>
      <c r="BD12" s="388" t="n">
        <f aca="true">OFFSET(BD12,0,-1)+1</f>
        <v>50</v>
      </c>
    </row>
    <row r="13" customFormat="false" ht="12.75" hidden="false" customHeight="false" outlineLevel="0" collapsed="false">
      <c r="A13" s="38" t="s">
        <v>682</v>
      </c>
      <c r="B13" s="387"/>
      <c r="C13" s="387"/>
      <c r="E13" s="389"/>
      <c r="G13" s="390"/>
      <c r="H13" s="389"/>
      <c r="I13" s="389"/>
      <c r="J13" s="389"/>
      <c r="K13" s="389"/>
      <c r="L13" s="389"/>
      <c r="M13" s="391" t="str">
        <f aca="false">IF(CRONOPLE.Erro="ERRO: CRONOGRAMA NÃO FECHA 100%","Informe abaixo o NÚMERO DO PERÍODO em que os eventos serão concluídos","")</f>
        <v/>
      </c>
      <c r="N13" s="389"/>
      <c r="O13" s="389"/>
      <c r="P13" s="389"/>
      <c r="Q13" s="389"/>
      <c r="R13" s="389"/>
      <c r="S13" s="389"/>
      <c r="T13" s="389"/>
      <c r="U13" s="389"/>
      <c r="V13" s="389"/>
      <c r="W13" s="389"/>
      <c r="X13" s="389"/>
      <c r="Y13" s="389"/>
      <c r="Z13" s="389"/>
      <c r="AA13" s="389"/>
      <c r="AB13" s="389"/>
      <c r="AC13" s="389"/>
      <c r="AD13" s="389"/>
      <c r="AE13" s="392"/>
      <c r="AF13" s="390"/>
      <c r="AG13" s="389"/>
      <c r="AH13" s="389"/>
      <c r="AI13" s="389"/>
      <c r="AJ13" s="389"/>
      <c r="AK13" s="389"/>
      <c r="AL13" s="391"/>
      <c r="AM13" s="389"/>
      <c r="AN13" s="389"/>
      <c r="AO13" s="389"/>
      <c r="AP13" s="389"/>
      <c r="AQ13" s="389"/>
      <c r="AR13" s="389"/>
      <c r="AS13" s="389"/>
      <c r="AT13" s="389"/>
      <c r="AU13" s="389"/>
      <c r="AV13" s="389"/>
      <c r="AW13" s="389"/>
      <c r="AX13" s="389"/>
      <c r="AY13" s="389"/>
      <c r="AZ13" s="389"/>
      <c r="BA13" s="389"/>
      <c r="BB13" s="389"/>
      <c r="BC13" s="389"/>
      <c r="BD13" s="392"/>
    </row>
    <row r="14" customFormat="false" ht="4.5" hidden="false" customHeight="true" outlineLevel="0" collapsed="false">
      <c r="A14" s="50" t="s">
        <v>563</v>
      </c>
    </row>
    <row r="15" customFormat="false" ht="12.75" hidden="false" customHeight="false" outlineLevel="0" collapsed="false">
      <c r="A15" s="50" t="str">
        <f aca="false">IF(AUTOEVENTO="Manual",IF(EVENTOS!$F15&gt;0,"F",""),IF(AND(B15&gt;0,B15&lt;=MAX(CÁLCULO!$M$15:$M$205)),"F",""))</f>
        <v/>
      </c>
      <c r="B15" s="393" t="n">
        <f aca="false">EVENTOS!$C$15</f>
        <v>0</v>
      </c>
      <c r="C15" s="394" t="str">
        <f aca="false">EVENTOS!$D$15</f>
        <v/>
      </c>
      <c r="D15" s="376"/>
      <c r="E15" s="395"/>
      <c r="F15" s="1" t="str">
        <f aca="false">IF($C15="","",CONCATENATE($B15,". ",$C15))</f>
        <v/>
      </c>
      <c r="G15" s="396" t="str">
        <f aca="false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95"/>
      <c r="I15" s="395"/>
      <c r="J15" s="395"/>
      <c r="K15" s="395"/>
      <c r="L15" s="395"/>
      <c r="M15" s="395"/>
      <c r="N15" s="395"/>
      <c r="O15" s="395"/>
      <c r="P15" s="395"/>
      <c r="Q15" s="395"/>
      <c r="R15" s="395"/>
      <c r="S15" s="395"/>
      <c r="T15" s="395"/>
      <c r="U15" s="395"/>
      <c r="V15" s="395"/>
      <c r="W15" s="395"/>
      <c r="X15" s="395"/>
      <c r="Y15" s="395"/>
      <c r="Z15" s="395"/>
      <c r="AA15" s="395"/>
      <c r="AB15" s="395"/>
      <c r="AC15" s="395"/>
      <c r="AD15" s="395"/>
      <c r="AE15" s="397"/>
      <c r="AF15" s="396"/>
      <c r="AG15" s="395"/>
      <c r="AH15" s="395"/>
      <c r="AI15" s="395"/>
      <c r="AJ15" s="395"/>
      <c r="AK15" s="395"/>
      <c r="AL15" s="395"/>
      <c r="AM15" s="395"/>
      <c r="AN15" s="395"/>
      <c r="AO15" s="395"/>
      <c r="AP15" s="395"/>
      <c r="AQ15" s="395"/>
      <c r="AR15" s="395"/>
      <c r="AS15" s="395"/>
      <c r="AT15" s="395"/>
      <c r="AU15" s="395"/>
      <c r="AV15" s="395"/>
      <c r="AW15" s="395"/>
      <c r="AX15" s="395"/>
      <c r="AY15" s="395"/>
      <c r="AZ15" s="395"/>
      <c r="BA15" s="395"/>
      <c r="BB15" s="395"/>
      <c r="BC15" s="395"/>
      <c r="BD15" s="397"/>
    </row>
    <row r="16" customFormat="false" ht="12.75" hidden="false" customHeight="false" outlineLevel="0" collapsed="false">
      <c r="A16" s="50" t="str">
        <f aca="false">IF(AUTOEVENTO="Manual",IF(EVENTOS!$F16&gt;0,"F",""),IF(AND(B16&gt;0,B16&lt;=MAX(CÁLCULO!$M$15:$M$205)),"F",""))</f>
        <v>F</v>
      </c>
      <c r="B16" s="374" t="n">
        <f aca="true">OFFSET(B16,-1,0)+1</f>
        <v>1</v>
      </c>
      <c r="C16" s="375" t="str">
        <f aca="true">IF(AUTOEVENTO="Manual",IF($B16&gt;0,OFFSET(EVENTOS!$D$15,$B16-$B$15,0),0),IF(B16&lt;=MAX(CÁLCULO!$M$15:$M$205),VLOOKUP($B16,CÁLCULO!$M$15:$N$205,2,FALSE()),0))</f>
        <v>SERVIÇOS PRELIMINARES</v>
      </c>
      <c r="D16" s="376"/>
      <c r="E16" s="377"/>
      <c r="F16" s="1" t="str">
        <f aca="false">IF($C16=0,"",CONCATENATE($B16,". ",$C16))</f>
        <v>1. SERVIÇOS PRELIMINARES</v>
      </c>
      <c r="G16" s="378" t="n">
        <v>1</v>
      </c>
      <c r="H16" s="378" t="n">
        <v>2</v>
      </c>
      <c r="I16" s="378" t="n">
        <v>3</v>
      </c>
      <c r="J16" s="378" t="n">
        <v>4</v>
      </c>
      <c r="K16" s="378" t="n">
        <v>5</v>
      </c>
      <c r="L16" s="378" t="n">
        <v>6</v>
      </c>
      <c r="M16" s="378" t="n">
        <v>7</v>
      </c>
      <c r="N16" s="378" t="n">
        <v>8</v>
      </c>
      <c r="O16" s="378" t="n">
        <v>9</v>
      </c>
      <c r="P16" s="378" t="n">
        <v>10</v>
      </c>
      <c r="Q16" s="378" t="n">
        <v>11</v>
      </c>
      <c r="R16" s="378" t="n">
        <v>12</v>
      </c>
      <c r="S16" s="378" t="n">
        <v>13</v>
      </c>
      <c r="T16" s="378" t="n">
        <v>14</v>
      </c>
      <c r="U16" s="378" t="n">
        <v>15</v>
      </c>
      <c r="V16" s="378" t="n">
        <v>16</v>
      </c>
      <c r="W16" s="378" t="n">
        <v>17</v>
      </c>
      <c r="X16" s="378" t="n">
        <v>18</v>
      </c>
      <c r="Y16" s="378" t="n">
        <v>19</v>
      </c>
      <c r="Z16" s="378" t="n">
        <v>20</v>
      </c>
      <c r="AA16" s="378" t="n">
        <v>21</v>
      </c>
      <c r="AB16" s="378" t="n">
        <v>22</v>
      </c>
      <c r="AC16" s="378" t="n">
        <v>23</v>
      </c>
      <c r="AD16" s="378" t="n">
        <v>24</v>
      </c>
      <c r="AE16" s="378" t="n">
        <v>25</v>
      </c>
      <c r="AF16" s="378"/>
      <c r="AG16" s="378"/>
      <c r="AH16" s="378"/>
      <c r="AI16" s="378"/>
      <c r="AJ16" s="378"/>
      <c r="AK16" s="378"/>
      <c r="AL16" s="378"/>
      <c r="AM16" s="378"/>
      <c r="AN16" s="378"/>
      <c r="AO16" s="378"/>
      <c r="AP16" s="378"/>
      <c r="AQ16" s="378"/>
      <c r="AR16" s="378"/>
      <c r="AS16" s="378"/>
      <c r="AT16" s="378"/>
      <c r="AU16" s="378"/>
      <c r="AV16" s="378"/>
      <c r="AW16" s="378"/>
      <c r="AX16" s="378"/>
      <c r="AY16" s="378"/>
      <c r="AZ16" s="378"/>
      <c r="BA16" s="378"/>
      <c r="BB16" s="378"/>
      <c r="BC16" s="378"/>
      <c r="BD16" s="378"/>
    </row>
    <row r="17" customFormat="false" ht="12.75" hidden="false" customHeight="false" outlineLevel="0" collapsed="false">
      <c r="A17" s="50" t="str">
        <f aca="false">IF(AUTOEVENTO="Manual",IF(EVENTOS!$F17&gt;0,"F",""),IF(AND(B17&gt;0,B17&lt;=MAX(CÁLCULO!$M$15:$M$205)),"F",""))</f>
        <v>F</v>
      </c>
      <c r="B17" s="374" t="n">
        <f aca="true">OFFSET(B17,-1,0)+1</f>
        <v>2</v>
      </c>
      <c r="C17" s="375" t="str">
        <f aca="true">IF(AUTOEVENTO="Manual",IF($B17&gt;0,OFFSET(EVENTOS!$D$15,$B17-$B$15,0),0),IF(B17&lt;=MAX(CÁLCULO!$M$15:$M$205),VLOOKUP($B17,CÁLCULO!$M$15:$N$205,2,FALSE()),0))</f>
        <v>ADMINISRAÇÃO LOCAL</v>
      </c>
      <c r="D17" s="376"/>
      <c r="E17" s="377"/>
      <c r="F17" s="1" t="str">
        <f aca="false">IF($C17=0,"",CONCATENATE($B17,". ",$C17))</f>
        <v>2. ADMINISRAÇÃO LOCAL</v>
      </c>
      <c r="G17" s="378" t="n">
        <v>1</v>
      </c>
      <c r="H17" s="378" t="n">
        <v>2</v>
      </c>
      <c r="I17" s="378" t="n">
        <v>3</v>
      </c>
      <c r="J17" s="378" t="n">
        <v>4</v>
      </c>
      <c r="K17" s="378" t="n">
        <v>5</v>
      </c>
      <c r="L17" s="378" t="n">
        <v>6</v>
      </c>
      <c r="M17" s="378" t="n">
        <v>7</v>
      </c>
      <c r="N17" s="378" t="n">
        <v>8</v>
      </c>
      <c r="O17" s="378" t="n">
        <v>9</v>
      </c>
      <c r="P17" s="378" t="n">
        <v>10</v>
      </c>
      <c r="Q17" s="378" t="n">
        <v>11</v>
      </c>
      <c r="R17" s="378" t="n">
        <v>12</v>
      </c>
      <c r="S17" s="378" t="n">
        <v>13</v>
      </c>
      <c r="T17" s="378" t="n">
        <v>14</v>
      </c>
      <c r="U17" s="378" t="n">
        <v>15</v>
      </c>
      <c r="V17" s="378" t="n">
        <v>16</v>
      </c>
      <c r="W17" s="378" t="n">
        <v>17</v>
      </c>
      <c r="X17" s="378" t="n">
        <v>18</v>
      </c>
      <c r="Y17" s="378" t="n">
        <v>19</v>
      </c>
      <c r="Z17" s="378" t="n">
        <v>20</v>
      </c>
      <c r="AA17" s="378" t="n">
        <v>21</v>
      </c>
      <c r="AB17" s="378" t="n">
        <v>22</v>
      </c>
      <c r="AC17" s="378" t="n">
        <v>23</v>
      </c>
      <c r="AD17" s="378" t="n">
        <v>24</v>
      </c>
      <c r="AE17" s="378" t="n">
        <v>25</v>
      </c>
      <c r="AF17" s="378"/>
      <c r="AG17" s="378"/>
      <c r="AH17" s="378"/>
      <c r="AI17" s="378"/>
      <c r="AJ17" s="378"/>
      <c r="AK17" s="378"/>
      <c r="AL17" s="378"/>
      <c r="AM17" s="378"/>
      <c r="AN17" s="378"/>
      <c r="AO17" s="378"/>
      <c r="AP17" s="378"/>
      <c r="AQ17" s="378"/>
      <c r="AR17" s="378"/>
      <c r="AS17" s="378"/>
      <c r="AT17" s="378"/>
      <c r="AU17" s="378"/>
      <c r="AV17" s="378"/>
      <c r="AW17" s="378"/>
      <c r="AX17" s="378"/>
      <c r="AY17" s="378"/>
      <c r="AZ17" s="378"/>
      <c r="BA17" s="378"/>
      <c r="BB17" s="378"/>
      <c r="BC17" s="378"/>
      <c r="BD17" s="378"/>
    </row>
    <row r="18" customFormat="false" ht="12.75" hidden="false" customHeight="false" outlineLevel="0" collapsed="false">
      <c r="A18" s="50" t="str">
        <f aca="false">IF(AUTOEVENTO="Manual",IF(EVENTOS!$F18&gt;0,"F",""),IF(AND(B18&gt;0,B18&lt;=MAX(CÁLCULO!$M$15:$M$205)),"F",""))</f>
        <v>F</v>
      </c>
      <c r="B18" s="374" t="n">
        <f aca="true">OFFSET(B18,-1,0)+1</f>
        <v>3</v>
      </c>
      <c r="C18" s="375" t="str">
        <f aca="true">IF(AUTOEVENTO="Manual",IF($B18&gt;0,OFFSET(EVENTOS!$D$15,$B18-$B$15,0),0),IF(B18&lt;=MAX(CÁLCULO!$M$15:$M$205),VLOOKUP($B18,CÁLCULO!$M$15:$N$205,2,FALSE()),0))</f>
        <v>SAPATA</v>
      </c>
      <c r="D18" s="376"/>
      <c r="E18" s="377"/>
      <c r="F18" s="1" t="str">
        <f aca="false">IF($C18=0,"",CONCATENATE($B18,". ",$C18))</f>
        <v>3. SAPATA</v>
      </c>
      <c r="G18" s="378" t="n">
        <v>1</v>
      </c>
      <c r="H18" s="378" t="n">
        <v>2</v>
      </c>
      <c r="I18" s="378" t="n">
        <v>3</v>
      </c>
      <c r="J18" s="378" t="n">
        <v>4</v>
      </c>
      <c r="K18" s="378" t="n">
        <v>5</v>
      </c>
      <c r="L18" s="378" t="n">
        <v>6</v>
      </c>
      <c r="M18" s="378" t="n">
        <v>7</v>
      </c>
      <c r="N18" s="378" t="n">
        <v>8</v>
      </c>
      <c r="O18" s="378" t="n">
        <v>9</v>
      </c>
      <c r="P18" s="378" t="n">
        <v>10</v>
      </c>
      <c r="Q18" s="378" t="n">
        <v>11</v>
      </c>
      <c r="R18" s="378" t="n">
        <v>12</v>
      </c>
      <c r="S18" s="378" t="n">
        <v>13</v>
      </c>
      <c r="T18" s="378" t="n">
        <v>14</v>
      </c>
      <c r="U18" s="378" t="n">
        <v>15</v>
      </c>
      <c r="V18" s="378" t="n">
        <v>16</v>
      </c>
      <c r="W18" s="378" t="n">
        <v>17</v>
      </c>
      <c r="X18" s="378" t="n">
        <v>18</v>
      </c>
      <c r="Y18" s="378" t="n">
        <v>19</v>
      </c>
      <c r="Z18" s="378" t="n">
        <v>20</v>
      </c>
      <c r="AA18" s="378" t="n">
        <v>21</v>
      </c>
      <c r="AB18" s="378" t="n">
        <v>22</v>
      </c>
      <c r="AC18" s="378" t="n">
        <v>23</v>
      </c>
      <c r="AD18" s="378" t="n">
        <v>24</v>
      </c>
      <c r="AE18" s="378" t="n">
        <v>25</v>
      </c>
      <c r="AF18" s="378"/>
      <c r="AG18" s="378"/>
      <c r="AH18" s="378"/>
      <c r="AI18" s="378"/>
      <c r="AJ18" s="378"/>
      <c r="AK18" s="378"/>
      <c r="AL18" s="378"/>
      <c r="AM18" s="378"/>
      <c r="AN18" s="378"/>
      <c r="AO18" s="378"/>
      <c r="AP18" s="378"/>
      <c r="AQ18" s="378"/>
      <c r="AR18" s="378"/>
      <c r="AS18" s="378"/>
      <c r="AT18" s="378"/>
      <c r="AU18" s="378"/>
      <c r="AV18" s="378"/>
      <c r="AW18" s="378"/>
      <c r="AX18" s="378"/>
      <c r="AY18" s="378"/>
      <c r="AZ18" s="378"/>
      <c r="BA18" s="378"/>
      <c r="BB18" s="378"/>
      <c r="BC18" s="378"/>
      <c r="BD18" s="378"/>
    </row>
    <row r="19" customFormat="false" ht="12.75" hidden="false" customHeight="false" outlineLevel="0" collapsed="false">
      <c r="A19" s="50" t="str">
        <f aca="false">IF(AUTOEVENTO="Manual",IF(EVENTOS!$F19&gt;0,"F",""),IF(AND(B19&gt;0,B19&lt;=MAX(CÁLCULO!$M$15:$M$205)),"F",""))</f>
        <v>F</v>
      </c>
      <c r="B19" s="374" t="n">
        <f aca="true">OFFSET(B19,-1,0)+1</f>
        <v>4</v>
      </c>
      <c r="C19" s="375" t="str">
        <f aca="true">IF(AUTOEVENTO="Manual",IF($B19&gt;0,OFFSET(EVENTOS!$D$15,$B19-$B$15,0),0),IF(B19&lt;=MAX(CÁLCULO!$M$15:$M$205),VLOOKUP($B19,CÁLCULO!$M$15:$N$205,2,FALSE()),0))</f>
        <v>BALDRAMES</v>
      </c>
      <c r="D19" s="376"/>
      <c r="E19" s="377"/>
      <c r="F19" s="1" t="str">
        <f aca="false">IF($C19=0,"",CONCATENATE($B19,". ",$C19))</f>
        <v>4. BALDRAMES</v>
      </c>
      <c r="G19" s="378" t="n">
        <v>1</v>
      </c>
      <c r="H19" s="378" t="n">
        <v>2</v>
      </c>
      <c r="I19" s="378" t="n">
        <v>3</v>
      </c>
      <c r="J19" s="378" t="n">
        <v>4</v>
      </c>
      <c r="K19" s="378" t="n">
        <v>5</v>
      </c>
      <c r="L19" s="378" t="n">
        <v>6</v>
      </c>
      <c r="M19" s="378" t="n">
        <v>7</v>
      </c>
      <c r="N19" s="378" t="n">
        <v>8</v>
      </c>
      <c r="O19" s="378" t="n">
        <v>9</v>
      </c>
      <c r="P19" s="378" t="n">
        <v>10</v>
      </c>
      <c r="Q19" s="378" t="n">
        <v>11</v>
      </c>
      <c r="R19" s="378" t="n">
        <v>12</v>
      </c>
      <c r="S19" s="378" t="n">
        <v>13</v>
      </c>
      <c r="T19" s="378" t="n">
        <v>14</v>
      </c>
      <c r="U19" s="378" t="n">
        <v>15</v>
      </c>
      <c r="V19" s="378" t="n">
        <v>16</v>
      </c>
      <c r="W19" s="378" t="n">
        <v>17</v>
      </c>
      <c r="X19" s="378" t="n">
        <v>18</v>
      </c>
      <c r="Y19" s="378" t="n">
        <v>19</v>
      </c>
      <c r="Z19" s="378" t="n">
        <v>20</v>
      </c>
      <c r="AA19" s="378" t="n">
        <v>21</v>
      </c>
      <c r="AB19" s="378" t="n">
        <v>22</v>
      </c>
      <c r="AC19" s="378" t="n">
        <v>23</v>
      </c>
      <c r="AD19" s="378" t="n">
        <v>24</v>
      </c>
      <c r="AE19" s="378" t="n">
        <v>25</v>
      </c>
      <c r="AF19" s="378"/>
      <c r="AG19" s="378"/>
      <c r="AH19" s="378"/>
      <c r="AI19" s="378"/>
      <c r="AJ19" s="378"/>
      <c r="AK19" s="378"/>
      <c r="AL19" s="378"/>
      <c r="AM19" s="378"/>
      <c r="AN19" s="378"/>
      <c r="AO19" s="378"/>
      <c r="AP19" s="378"/>
      <c r="AQ19" s="378"/>
      <c r="AR19" s="378"/>
      <c r="AS19" s="378"/>
      <c r="AT19" s="378"/>
      <c r="AU19" s="378"/>
      <c r="AV19" s="378"/>
      <c r="AW19" s="378"/>
      <c r="AX19" s="378"/>
      <c r="AY19" s="378"/>
      <c r="AZ19" s="378"/>
      <c r="BA19" s="378"/>
      <c r="BB19" s="378"/>
      <c r="BC19" s="378"/>
      <c r="BD19" s="378"/>
    </row>
    <row r="20" customFormat="false" ht="12.75" hidden="false" customHeight="false" outlineLevel="0" collapsed="false">
      <c r="A20" s="50" t="str">
        <f aca="false">IF(AUTOEVENTO="Manual",IF(EVENTOS!$F20&gt;0,"F",""),IF(AND(B20&gt;0,B20&lt;=MAX(CÁLCULO!$M$15:$M$205)),"F",""))</f>
        <v>F</v>
      </c>
      <c r="B20" s="374" t="n">
        <f aca="true">OFFSET(B20,-1,0)+1</f>
        <v>5</v>
      </c>
      <c r="C20" s="375" t="str">
        <f aca="true">IF(AUTOEVENTO="Manual",IF($B20&gt;0,OFFSET(EVENTOS!$D$15,$B20-$B$15,0),0),IF(B20&lt;=MAX(CÁLCULO!$M$15:$M$205),VLOOKUP($B20,CÁLCULO!$M$15:$N$205,2,FALSE()),0))</f>
        <v>IMPERMEABILIZAÇÃO</v>
      </c>
      <c r="D20" s="376"/>
      <c r="E20" s="377"/>
      <c r="F20" s="1" t="str">
        <f aca="false">IF($C20=0,"",CONCATENATE($B20,". ",$C20))</f>
        <v>5. IMPERMEABILIZAÇÃO</v>
      </c>
      <c r="G20" s="378" t="n">
        <v>1</v>
      </c>
      <c r="H20" s="378" t="n">
        <v>2</v>
      </c>
      <c r="I20" s="378" t="n">
        <v>3</v>
      </c>
      <c r="J20" s="378" t="n">
        <v>4</v>
      </c>
      <c r="K20" s="378" t="n">
        <v>5</v>
      </c>
      <c r="L20" s="378" t="n">
        <v>6</v>
      </c>
      <c r="M20" s="378" t="n">
        <v>7</v>
      </c>
      <c r="N20" s="378" t="n">
        <v>8</v>
      </c>
      <c r="O20" s="378" t="n">
        <v>9</v>
      </c>
      <c r="P20" s="378" t="n">
        <v>10</v>
      </c>
      <c r="Q20" s="378" t="n">
        <v>11</v>
      </c>
      <c r="R20" s="378" t="n">
        <v>12</v>
      </c>
      <c r="S20" s="378" t="n">
        <v>13</v>
      </c>
      <c r="T20" s="378" t="n">
        <v>14</v>
      </c>
      <c r="U20" s="378" t="n">
        <v>15</v>
      </c>
      <c r="V20" s="378" t="n">
        <v>16</v>
      </c>
      <c r="W20" s="378" t="n">
        <v>17</v>
      </c>
      <c r="X20" s="378" t="n">
        <v>18</v>
      </c>
      <c r="Y20" s="378" t="n">
        <v>19</v>
      </c>
      <c r="Z20" s="378" t="n">
        <v>20</v>
      </c>
      <c r="AA20" s="378" t="n">
        <v>21</v>
      </c>
      <c r="AB20" s="378" t="n">
        <v>22</v>
      </c>
      <c r="AC20" s="378" t="n">
        <v>23</v>
      </c>
      <c r="AD20" s="378" t="n">
        <v>24</v>
      </c>
      <c r="AE20" s="378" t="n">
        <v>25</v>
      </c>
      <c r="AF20" s="378"/>
      <c r="AG20" s="378"/>
      <c r="AH20" s="378"/>
      <c r="AI20" s="378"/>
      <c r="AJ20" s="378"/>
      <c r="AK20" s="378"/>
      <c r="AL20" s="378"/>
      <c r="AM20" s="378"/>
      <c r="AN20" s="378"/>
      <c r="AO20" s="378"/>
      <c r="AP20" s="378"/>
      <c r="AQ20" s="378"/>
      <c r="AR20" s="378"/>
      <c r="AS20" s="378"/>
      <c r="AT20" s="378"/>
      <c r="AU20" s="378"/>
      <c r="AV20" s="378"/>
      <c r="AW20" s="378"/>
      <c r="AX20" s="378"/>
      <c r="AY20" s="378"/>
      <c r="AZ20" s="378"/>
      <c r="BA20" s="378"/>
      <c r="BB20" s="378"/>
      <c r="BC20" s="378"/>
      <c r="BD20" s="378"/>
    </row>
    <row r="21" customFormat="false" ht="12.75" hidden="false" customHeight="false" outlineLevel="0" collapsed="false">
      <c r="A21" s="50" t="str">
        <f aca="false">IF(AUTOEVENTO="Manual",IF(EVENTOS!$F21&gt;0,"F",""),IF(AND(B21&gt;0,B21&lt;=MAX(CÁLCULO!$M$15:$M$205)),"F",""))</f>
        <v>F</v>
      </c>
      <c r="B21" s="374" t="n">
        <f aca="true">OFFSET(B21,-1,0)+1</f>
        <v>6</v>
      </c>
      <c r="C21" s="375" t="str">
        <f aca="true">IF(AUTOEVENTO="Manual",IF($B21&gt;0,OFFSET(EVENTOS!$D$15,$B21-$B$15,0),0),IF(B21&lt;=MAX(CÁLCULO!$M$15:$M$205),VLOOKUP($B21,CÁLCULO!$M$15:$N$205,2,FALSE()),0))</f>
        <v>PILARES, VIGAS E LAJES</v>
      </c>
      <c r="D21" s="376"/>
      <c r="E21" s="377"/>
      <c r="F21" s="1" t="str">
        <f aca="false">IF($C21=0,"",CONCATENATE($B21,". ",$C21))</f>
        <v>6. PILARES, VIGAS E LAJES</v>
      </c>
      <c r="G21" s="378" t="n">
        <v>1</v>
      </c>
      <c r="H21" s="378" t="n">
        <v>2</v>
      </c>
      <c r="I21" s="378" t="n">
        <v>3</v>
      </c>
      <c r="J21" s="378" t="n">
        <v>4</v>
      </c>
      <c r="K21" s="378" t="n">
        <v>5</v>
      </c>
      <c r="L21" s="378" t="n">
        <v>6</v>
      </c>
      <c r="M21" s="378" t="n">
        <v>7</v>
      </c>
      <c r="N21" s="378" t="n">
        <v>8</v>
      </c>
      <c r="O21" s="378" t="n">
        <v>9</v>
      </c>
      <c r="P21" s="378" t="n">
        <v>10</v>
      </c>
      <c r="Q21" s="378" t="n">
        <v>11</v>
      </c>
      <c r="R21" s="378" t="n">
        <v>12</v>
      </c>
      <c r="S21" s="378" t="n">
        <v>13</v>
      </c>
      <c r="T21" s="378" t="n">
        <v>14</v>
      </c>
      <c r="U21" s="378" t="n">
        <v>15</v>
      </c>
      <c r="V21" s="378" t="n">
        <v>16</v>
      </c>
      <c r="W21" s="378" t="n">
        <v>17</v>
      </c>
      <c r="X21" s="378" t="n">
        <v>18</v>
      </c>
      <c r="Y21" s="378" t="n">
        <v>19</v>
      </c>
      <c r="Z21" s="378" t="n">
        <v>20</v>
      </c>
      <c r="AA21" s="378" t="n">
        <v>21</v>
      </c>
      <c r="AB21" s="378" t="n">
        <v>22</v>
      </c>
      <c r="AC21" s="378" t="n">
        <v>23</v>
      </c>
      <c r="AD21" s="378" t="n">
        <v>24</v>
      </c>
      <c r="AE21" s="378" t="n">
        <v>25</v>
      </c>
      <c r="AF21" s="378"/>
      <c r="AG21" s="378"/>
      <c r="AH21" s="378"/>
      <c r="AI21" s="378"/>
      <c r="AJ21" s="378"/>
      <c r="AK21" s="378"/>
      <c r="AL21" s="378"/>
      <c r="AM21" s="378"/>
      <c r="AN21" s="378"/>
      <c r="AO21" s="378"/>
      <c r="AP21" s="378"/>
      <c r="AQ21" s="378"/>
      <c r="AR21" s="378"/>
      <c r="AS21" s="378"/>
      <c r="AT21" s="378"/>
      <c r="AU21" s="378"/>
      <c r="AV21" s="378"/>
      <c r="AW21" s="378"/>
      <c r="AX21" s="378"/>
      <c r="AY21" s="378"/>
      <c r="AZ21" s="378"/>
      <c r="BA21" s="378"/>
      <c r="BB21" s="378"/>
      <c r="BC21" s="378"/>
      <c r="BD21" s="378"/>
    </row>
    <row r="22" customFormat="false" ht="12.75" hidden="false" customHeight="false" outlineLevel="0" collapsed="false">
      <c r="A22" s="50" t="str">
        <f aca="false">IF(AUTOEVENTO="Manual",IF(EVENTOS!$F22&gt;0,"F",""),IF(AND(B22&gt;0,B22&lt;=MAX(CÁLCULO!$M$15:$M$205)),"F",""))</f>
        <v>F</v>
      </c>
      <c r="B22" s="374" t="n">
        <f aca="true">OFFSET(B22,-1,0)+1</f>
        <v>7</v>
      </c>
      <c r="C22" s="375" t="str">
        <f aca="true">IF(AUTOEVENTO="Manual",IF($B22&gt;0,OFFSET(EVENTOS!$D$15,$B22-$B$15,0),0),IF(B22&lt;=MAX(CÁLCULO!$M$15:$M$205),VLOOKUP($B22,CÁLCULO!$M$15:$N$205,2,FALSE()),0))</f>
        <v>ALVENARIA/FECHAMENTOS</v>
      </c>
      <c r="D22" s="376"/>
      <c r="E22" s="377"/>
      <c r="F22" s="1" t="str">
        <f aca="false">IF($C22=0,"",CONCATENATE($B22,". ",$C22))</f>
        <v>7. ALVENARIA/FECHAMENTOS</v>
      </c>
      <c r="G22" s="378" t="n">
        <v>1</v>
      </c>
      <c r="H22" s="378" t="n">
        <v>2</v>
      </c>
      <c r="I22" s="378" t="n">
        <v>3</v>
      </c>
      <c r="J22" s="378" t="n">
        <v>4</v>
      </c>
      <c r="K22" s="378" t="n">
        <v>5</v>
      </c>
      <c r="L22" s="378" t="n">
        <v>6</v>
      </c>
      <c r="M22" s="378" t="n">
        <v>7</v>
      </c>
      <c r="N22" s="378" t="n">
        <v>8</v>
      </c>
      <c r="O22" s="378" t="n">
        <v>9</v>
      </c>
      <c r="P22" s="378" t="n">
        <v>10</v>
      </c>
      <c r="Q22" s="378" t="n">
        <v>11</v>
      </c>
      <c r="R22" s="378" t="n">
        <v>12</v>
      </c>
      <c r="S22" s="378" t="n">
        <v>13</v>
      </c>
      <c r="T22" s="378" t="n">
        <v>14</v>
      </c>
      <c r="U22" s="378" t="n">
        <v>15</v>
      </c>
      <c r="V22" s="378" t="n">
        <v>16</v>
      </c>
      <c r="W22" s="378" t="n">
        <v>17</v>
      </c>
      <c r="X22" s="378" t="n">
        <v>18</v>
      </c>
      <c r="Y22" s="378" t="n">
        <v>19</v>
      </c>
      <c r="Z22" s="378" t="n">
        <v>20</v>
      </c>
      <c r="AA22" s="378" t="n">
        <v>21</v>
      </c>
      <c r="AB22" s="378" t="n">
        <v>22</v>
      </c>
      <c r="AC22" s="378" t="n">
        <v>23</v>
      </c>
      <c r="AD22" s="378" t="n">
        <v>24</v>
      </c>
      <c r="AE22" s="378" t="n">
        <v>25</v>
      </c>
      <c r="AF22" s="378"/>
      <c r="AG22" s="378"/>
      <c r="AH22" s="378"/>
      <c r="AI22" s="378"/>
      <c r="AJ22" s="378"/>
      <c r="AK22" s="378"/>
      <c r="AL22" s="378"/>
      <c r="AM22" s="378"/>
      <c r="AN22" s="378"/>
      <c r="AO22" s="378"/>
      <c r="AP22" s="378"/>
      <c r="AQ22" s="378"/>
      <c r="AR22" s="378"/>
      <c r="AS22" s="378"/>
      <c r="AT22" s="378"/>
      <c r="AU22" s="378"/>
      <c r="AV22" s="378"/>
      <c r="AW22" s="378"/>
      <c r="AX22" s="378"/>
      <c r="AY22" s="378"/>
      <c r="AZ22" s="378"/>
      <c r="BA22" s="378"/>
      <c r="BB22" s="378"/>
      <c r="BC22" s="378"/>
      <c r="BD22" s="378"/>
    </row>
    <row r="23" customFormat="false" ht="12.75" hidden="false" customHeight="false" outlineLevel="0" collapsed="false">
      <c r="A23" s="50" t="str">
        <f aca="false">IF(AUTOEVENTO="Manual",IF(EVENTOS!$F23&gt;0,"F",""),IF(AND(B23&gt;0,B23&lt;=MAX(CÁLCULO!$M$15:$M$205)),"F",""))</f>
        <v>F</v>
      </c>
      <c r="B23" s="374" t="n">
        <f aca="true">OFFSET(B23,-1,0)+1</f>
        <v>8</v>
      </c>
      <c r="C23" s="375" t="str">
        <f aca="true">IF(AUTOEVENTO="Manual",IF($B23&gt;0,OFFSET(EVENTOS!$D$15,$B23-$B$15,0),0),IF(B23&lt;=MAX(CÁLCULO!$M$15:$M$205),VLOOKUP($B23,CÁLCULO!$M$15:$N$205,2,FALSE()),0))</f>
        <v>ESQUADRIAS METÁLICAS</v>
      </c>
      <c r="D23" s="376"/>
      <c r="E23" s="377"/>
      <c r="F23" s="1" t="str">
        <f aca="false">IF($C23=0,"",CONCATENATE($B23,". ",$C23))</f>
        <v>8. ESQUADRIAS METÁLICAS</v>
      </c>
      <c r="G23" s="378" t="n">
        <v>1</v>
      </c>
      <c r="H23" s="378" t="n">
        <v>2</v>
      </c>
      <c r="I23" s="378" t="n">
        <v>3</v>
      </c>
      <c r="J23" s="378" t="n">
        <v>4</v>
      </c>
      <c r="K23" s="378" t="n">
        <v>5</v>
      </c>
      <c r="L23" s="378" t="n">
        <v>6</v>
      </c>
      <c r="M23" s="378" t="n">
        <v>7</v>
      </c>
      <c r="N23" s="378" t="n">
        <v>8</v>
      </c>
      <c r="O23" s="378" t="n">
        <v>9</v>
      </c>
      <c r="P23" s="378" t="n">
        <v>10</v>
      </c>
      <c r="Q23" s="378" t="n">
        <v>11</v>
      </c>
      <c r="R23" s="378" t="n">
        <v>12</v>
      </c>
      <c r="S23" s="378" t="n">
        <v>13</v>
      </c>
      <c r="T23" s="378" t="n">
        <v>14</v>
      </c>
      <c r="U23" s="378" t="n">
        <v>15</v>
      </c>
      <c r="V23" s="378" t="n">
        <v>16</v>
      </c>
      <c r="W23" s="378" t="n">
        <v>17</v>
      </c>
      <c r="X23" s="378" t="n">
        <v>18</v>
      </c>
      <c r="Y23" s="378" t="n">
        <v>19</v>
      </c>
      <c r="Z23" s="378" t="n">
        <v>20</v>
      </c>
      <c r="AA23" s="378" t="n">
        <v>21</v>
      </c>
      <c r="AB23" s="378" t="n">
        <v>22</v>
      </c>
      <c r="AC23" s="378" t="n">
        <v>23</v>
      </c>
      <c r="AD23" s="378" t="n">
        <v>24</v>
      </c>
      <c r="AE23" s="378" t="n">
        <v>25</v>
      </c>
      <c r="AF23" s="378"/>
      <c r="AG23" s="378"/>
      <c r="AH23" s="378"/>
      <c r="AI23" s="378"/>
      <c r="AJ23" s="378"/>
      <c r="AK23" s="378"/>
      <c r="AL23" s="378"/>
      <c r="AM23" s="378"/>
      <c r="AN23" s="378"/>
      <c r="AO23" s="378"/>
      <c r="AP23" s="378"/>
      <c r="AQ23" s="378"/>
      <c r="AR23" s="378"/>
      <c r="AS23" s="378"/>
      <c r="AT23" s="378"/>
      <c r="AU23" s="378"/>
      <c r="AV23" s="378"/>
      <c r="AW23" s="378"/>
      <c r="AX23" s="378"/>
      <c r="AY23" s="378"/>
      <c r="AZ23" s="378"/>
      <c r="BA23" s="378"/>
      <c r="BB23" s="378"/>
      <c r="BC23" s="378"/>
      <c r="BD23" s="378"/>
    </row>
    <row r="24" customFormat="false" ht="12.75" hidden="false" customHeight="false" outlineLevel="0" collapsed="false">
      <c r="A24" s="50" t="str">
        <f aca="false">IF(AUTOEVENTO="Manual",IF(EVENTOS!$F24&gt;0,"F",""),IF(AND(B24&gt;0,B24&lt;=MAX(CÁLCULO!$M$15:$M$205)),"F",""))</f>
        <v>F</v>
      </c>
      <c r="B24" s="374" t="n">
        <f aca="true">OFFSET(B24,-1,0)+1</f>
        <v>9</v>
      </c>
      <c r="C24" s="375" t="str">
        <f aca="true">IF(AUTOEVENTO="Manual",IF($B24&gt;0,OFFSET(EVENTOS!$D$15,$B24-$B$15,0),0),IF(B24&lt;=MAX(CÁLCULO!$M$15:$M$205),VLOOKUP($B24,CÁLCULO!$M$15:$N$205,2,FALSE()),0))</f>
        <v>ESQUADRIAS DE MADEIRAS</v>
      </c>
      <c r="D24" s="376"/>
      <c r="E24" s="377"/>
      <c r="F24" s="1" t="str">
        <f aca="false">IF($C24=0,"",CONCATENATE($B24,". ",$C24))</f>
        <v>9. ESQUADRIAS DE MADEIRAS</v>
      </c>
      <c r="G24" s="378" t="n">
        <v>1</v>
      </c>
      <c r="H24" s="378" t="n">
        <v>2</v>
      </c>
      <c r="I24" s="378" t="n">
        <v>3</v>
      </c>
      <c r="J24" s="378" t="n">
        <v>4</v>
      </c>
      <c r="K24" s="378" t="n">
        <v>5</v>
      </c>
      <c r="L24" s="378" t="n">
        <v>6</v>
      </c>
      <c r="M24" s="378" t="n">
        <v>7</v>
      </c>
      <c r="N24" s="378" t="n">
        <v>8</v>
      </c>
      <c r="O24" s="378" t="n">
        <v>9</v>
      </c>
      <c r="P24" s="378" t="n">
        <v>10</v>
      </c>
      <c r="Q24" s="378" t="n">
        <v>11</v>
      </c>
      <c r="R24" s="378" t="n">
        <v>12</v>
      </c>
      <c r="S24" s="378" t="n">
        <v>13</v>
      </c>
      <c r="T24" s="378" t="n">
        <v>14</v>
      </c>
      <c r="U24" s="378" t="n">
        <v>15</v>
      </c>
      <c r="V24" s="378" t="n">
        <v>16</v>
      </c>
      <c r="W24" s="378" t="n">
        <v>17</v>
      </c>
      <c r="X24" s="378" t="n">
        <v>18</v>
      </c>
      <c r="Y24" s="378" t="n">
        <v>19</v>
      </c>
      <c r="Z24" s="378" t="n">
        <v>20</v>
      </c>
      <c r="AA24" s="378" t="n">
        <v>21</v>
      </c>
      <c r="AB24" s="378" t="n">
        <v>22</v>
      </c>
      <c r="AC24" s="378" t="n">
        <v>23</v>
      </c>
      <c r="AD24" s="378" t="n">
        <v>24</v>
      </c>
      <c r="AE24" s="378" t="n">
        <v>25</v>
      </c>
      <c r="AF24" s="378"/>
      <c r="AG24" s="378"/>
      <c r="AH24" s="378"/>
      <c r="AI24" s="378"/>
      <c r="AJ24" s="378"/>
      <c r="AK24" s="378"/>
      <c r="AL24" s="378"/>
      <c r="AM24" s="378"/>
      <c r="AN24" s="378"/>
      <c r="AO24" s="378"/>
      <c r="AP24" s="378"/>
      <c r="AQ24" s="378"/>
      <c r="AR24" s="378"/>
      <c r="AS24" s="378"/>
      <c r="AT24" s="378"/>
      <c r="AU24" s="378"/>
      <c r="AV24" s="378"/>
      <c r="AW24" s="378"/>
      <c r="AX24" s="378"/>
      <c r="AY24" s="378"/>
      <c r="AZ24" s="378"/>
      <c r="BA24" s="378"/>
      <c r="BB24" s="378"/>
      <c r="BC24" s="378"/>
      <c r="BD24" s="378"/>
    </row>
    <row r="25" customFormat="false" ht="12.75" hidden="false" customHeight="false" outlineLevel="0" collapsed="false">
      <c r="A25" s="50" t="str">
        <f aca="false">IF(AUTOEVENTO="Manual",IF(EVENTOS!$F25&gt;0,"F",""),IF(AND(B25&gt;0,B25&lt;=MAX(CÁLCULO!$M$15:$M$205)),"F",""))</f>
        <v>F</v>
      </c>
      <c r="B25" s="374" t="n">
        <f aca="true">OFFSET(B25,-1,0)+1</f>
        <v>10</v>
      </c>
      <c r="C25" s="375" t="str">
        <f aca="true">IF(AUTOEVENTO="Manual",IF($B25&gt;0,OFFSET(EVENTOS!$D$15,$B25-$B$15,0),0),IF(B25&lt;=MAX(CÁLCULO!$M$15:$M$205),VLOOKUP($B25,CÁLCULO!$M$15:$N$205,2,FALSE()),0))</f>
        <v>VIDROS E ESQUADRIAS ESPECIAIS</v>
      </c>
      <c r="D25" s="376"/>
      <c r="E25" s="377"/>
      <c r="F25" s="1" t="str">
        <f aca="false">IF($C25=0,"",CONCATENATE($B25,". ",$C25))</f>
        <v>10. VIDROS E ESQUADRIAS ESPECIAIS</v>
      </c>
      <c r="G25" s="378" t="n">
        <v>1</v>
      </c>
      <c r="H25" s="378" t="n">
        <v>2</v>
      </c>
      <c r="I25" s="378" t="n">
        <v>3</v>
      </c>
      <c r="J25" s="378" t="n">
        <v>4</v>
      </c>
      <c r="K25" s="378" t="n">
        <v>5</v>
      </c>
      <c r="L25" s="378" t="n">
        <v>6</v>
      </c>
      <c r="M25" s="378" t="n">
        <v>7</v>
      </c>
      <c r="N25" s="378" t="n">
        <v>8</v>
      </c>
      <c r="O25" s="378" t="n">
        <v>9</v>
      </c>
      <c r="P25" s="378" t="n">
        <v>10</v>
      </c>
      <c r="Q25" s="378" t="n">
        <v>11</v>
      </c>
      <c r="R25" s="378" t="n">
        <v>12</v>
      </c>
      <c r="S25" s="378" t="n">
        <v>13</v>
      </c>
      <c r="T25" s="378" t="n">
        <v>14</v>
      </c>
      <c r="U25" s="378" t="n">
        <v>15</v>
      </c>
      <c r="V25" s="378" t="n">
        <v>16</v>
      </c>
      <c r="W25" s="378" t="n">
        <v>17</v>
      </c>
      <c r="X25" s="378" t="n">
        <v>18</v>
      </c>
      <c r="Y25" s="378" t="n">
        <v>19</v>
      </c>
      <c r="Z25" s="378" t="n">
        <v>20</v>
      </c>
      <c r="AA25" s="378" t="n">
        <v>21</v>
      </c>
      <c r="AB25" s="378" t="n">
        <v>22</v>
      </c>
      <c r="AC25" s="378" t="n">
        <v>23</v>
      </c>
      <c r="AD25" s="378" t="n">
        <v>24</v>
      </c>
      <c r="AE25" s="378" t="n">
        <v>25</v>
      </c>
      <c r="AF25" s="378"/>
      <c r="AG25" s="378"/>
      <c r="AH25" s="378"/>
      <c r="AI25" s="378"/>
      <c r="AJ25" s="378"/>
      <c r="AK25" s="378"/>
      <c r="AL25" s="378"/>
      <c r="AM25" s="378"/>
      <c r="AN25" s="378"/>
      <c r="AO25" s="378"/>
      <c r="AP25" s="378"/>
      <c r="AQ25" s="378"/>
      <c r="AR25" s="378"/>
      <c r="AS25" s="378"/>
      <c r="AT25" s="378"/>
      <c r="AU25" s="378"/>
      <c r="AV25" s="378"/>
      <c r="AW25" s="378"/>
      <c r="AX25" s="378"/>
      <c r="AY25" s="378"/>
      <c r="AZ25" s="378"/>
      <c r="BA25" s="378"/>
      <c r="BB25" s="378"/>
      <c r="BC25" s="378"/>
      <c r="BD25" s="378"/>
    </row>
    <row r="26" customFormat="false" ht="12.75" hidden="false" customHeight="false" outlineLevel="0" collapsed="false">
      <c r="A26" s="50" t="str">
        <f aca="false">IF(AUTOEVENTO="Manual",IF(EVENTOS!$F26&gt;0,"F",""),IF(AND(B26&gt;0,B26&lt;=MAX(CÁLCULO!$M$15:$M$205)),"F",""))</f>
        <v>F</v>
      </c>
      <c r="B26" s="374" t="n">
        <f aca="true">OFFSET(B26,-1,0)+1</f>
        <v>11</v>
      </c>
      <c r="C26" s="375" t="str">
        <f aca="true">IF(AUTOEVENTO="Manual",IF($B26&gt;0,OFFSET(EVENTOS!$D$15,$B26-$B$15,0),0),IF(B26&lt;=MAX(CÁLCULO!$M$15:$M$205),VLOOKUP($B26,CÁLCULO!$M$15:$N$205,2,FALSE()),0))</f>
        <v>COBERTURA E PROTEÇÕES</v>
      </c>
      <c r="D26" s="376"/>
      <c r="E26" s="377"/>
      <c r="F26" s="1" t="str">
        <f aca="false">IF($C26=0,"",CONCATENATE($B26,". ",$C26))</f>
        <v>11. COBERTURA E PROTEÇÕES</v>
      </c>
      <c r="G26" s="378" t="n">
        <v>1</v>
      </c>
      <c r="H26" s="378" t="n">
        <v>2</v>
      </c>
      <c r="I26" s="378" t="n">
        <v>3</v>
      </c>
      <c r="J26" s="378" t="n">
        <v>4</v>
      </c>
      <c r="K26" s="378" t="n">
        <v>5</v>
      </c>
      <c r="L26" s="378" t="n">
        <v>6</v>
      </c>
      <c r="M26" s="378" t="n">
        <v>7</v>
      </c>
      <c r="N26" s="378" t="n">
        <v>8</v>
      </c>
      <c r="O26" s="378" t="n">
        <v>9</v>
      </c>
      <c r="P26" s="378" t="n">
        <v>10</v>
      </c>
      <c r="Q26" s="378" t="n">
        <v>11</v>
      </c>
      <c r="R26" s="378" t="n">
        <v>12</v>
      </c>
      <c r="S26" s="378" t="n">
        <v>13</v>
      </c>
      <c r="T26" s="378" t="n">
        <v>14</v>
      </c>
      <c r="U26" s="378" t="n">
        <v>15</v>
      </c>
      <c r="V26" s="378" t="n">
        <v>16</v>
      </c>
      <c r="W26" s="378" t="n">
        <v>17</v>
      </c>
      <c r="X26" s="378" t="n">
        <v>18</v>
      </c>
      <c r="Y26" s="378" t="n">
        <v>19</v>
      </c>
      <c r="Z26" s="378" t="n">
        <v>20</v>
      </c>
      <c r="AA26" s="378" t="n">
        <v>21</v>
      </c>
      <c r="AB26" s="378" t="n">
        <v>22</v>
      </c>
      <c r="AC26" s="378" t="n">
        <v>23</v>
      </c>
      <c r="AD26" s="378" t="n">
        <v>24</v>
      </c>
      <c r="AE26" s="378" t="n">
        <v>25</v>
      </c>
      <c r="AF26" s="378"/>
      <c r="AG26" s="378"/>
      <c r="AH26" s="378"/>
      <c r="AI26" s="378"/>
      <c r="AJ26" s="378"/>
      <c r="AK26" s="378"/>
      <c r="AL26" s="378"/>
      <c r="AM26" s="378"/>
      <c r="AN26" s="378"/>
      <c r="AO26" s="378"/>
      <c r="AP26" s="378"/>
      <c r="AQ26" s="378"/>
      <c r="AR26" s="378"/>
      <c r="AS26" s="378"/>
      <c r="AT26" s="378"/>
      <c r="AU26" s="378"/>
      <c r="AV26" s="378"/>
      <c r="AW26" s="378"/>
      <c r="AX26" s="378"/>
      <c r="AY26" s="378"/>
      <c r="AZ26" s="378"/>
      <c r="BA26" s="378"/>
      <c r="BB26" s="378"/>
      <c r="BC26" s="378"/>
      <c r="BD26" s="378"/>
    </row>
    <row r="27" customFormat="false" ht="12.75" hidden="false" customHeight="false" outlineLevel="0" collapsed="false">
      <c r="A27" s="50" t="str">
        <f aca="false">IF(AUTOEVENTO="Manual",IF(EVENTOS!$F27&gt;0,"F",""),IF(AND(B27&gt;0,B27&lt;=MAX(CÁLCULO!$M$15:$M$205)),"F",""))</f>
        <v>F</v>
      </c>
      <c r="B27" s="374" t="n">
        <f aca="true">OFFSET(B27,-1,0)+1</f>
        <v>12</v>
      </c>
      <c r="C27" s="375" t="str">
        <f aca="true">IF(AUTOEVENTO="Manual",IF($B27&gt;0,OFFSET(EVENTOS!$D$15,$B27-$B$15,0),0),IF(B27&lt;=MAX(CÁLCULO!$M$15:$M$205),VLOOKUP($B27,CÁLCULO!$M$15:$N$205,2,FALSE()),0))</f>
        <v>REVESTIMENTOS INTERNOS</v>
      </c>
      <c r="D27" s="376"/>
      <c r="E27" s="377"/>
      <c r="F27" s="1" t="str">
        <f aca="false">IF($C27=0,"",CONCATENATE($B27,". ",$C27))</f>
        <v>12. REVESTIMENTOS INTERNOS</v>
      </c>
      <c r="G27" s="378" t="n">
        <v>1</v>
      </c>
      <c r="H27" s="378" t="n">
        <v>2</v>
      </c>
      <c r="I27" s="378" t="n">
        <v>3</v>
      </c>
      <c r="J27" s="378" t="n">
        <v>4</v>
      </c>
      <c r="K27" s="378" t="n">
        <v>5</v>
      </c>
      <c r="L27" s="378" t="n">
        <v>6</v>
      </c>
      <c r="M27" s="378" t="n">
        <v>7</v>
      </c>
      <c r="N27" s="378" t="n">
        <v>8</v>
      </c>
      <c r="O27" s="378" t="n">
        <v>9</v>
      </c>
      <c r="P27" s="378" t="n">
        <v>10</v>
      </c>
      <c r="Q27" s="378" t="n">
        <v>11</v>
      </c>
      <c r="R27" s="378" t="n">
        <v>12</v>
      </c>
      <c r="S27" s="378" t="n">
        <v>13</v>
      </c>
      <c r="T27" s="378" t="n">
        <v>14</v>
      </c>
      <c r="U27" s="378" t="n">
        <v>15</v>
      </c>
      <c r="V27" s="378" t="n">
        <v>16</v>
      </c>
      <c r="W27" s="378" t="n">
        <v>17</v>
      </c>
      <c r="X27" s="378" t="n">
        <v>18</v>
      </c>
      <c r="Y27" s="378" t="n">
        <v>19</v>
      </c>
      <c r="Z27" s="378" t="n">
        <v>20</v>
      </c>
      <c r="AA27" s="378" t="n">
        <v>21</v>
      </c>
      <c r="AB27" s="378" t="n">
        <v>22</v>
      </c>
      <c r="AC27" s="378" t="n">
        <v>23</v>
      </c>
      <c r="AD27" s="378" t="n">
        <v>24</v>
      </c>
      <c r="AE27" s="378" t="n">
        <v>25</v>
      </c>
      <c r="AF27" s="378"/>
      <c r="AG27" s="378"/>
      <c r="AH27" s="378"/>
      <c r="AI27" s="378"/>
      <c r="AJ27" s="378"/>
      <c r="AK27" s="378"/>
      <c r="AL27" s="378"/>
      <c r="AM27" s="378"/>
      <c r="AN27" s="378"/>
      <c r="AO27" s="378"/>
      <c r="AP27" s="378"/>
      <c r="AQ27" s="378"/>
      <c r="AR27" s="378"/>
      <c r="AS27" s="378"/>
      <c r="AT27" s="378"/>
      <c r="AU27" s="378"/>
      <c r="AV27" s="378"/>
      <c r="AW27" s="378"/>
      <c r="AX27" s="378"/>
      <c r="AY27" s="378"/>
      <c r="AZ27" s="378"/>
      <c r="BA27" s="378"/>
      <c r="BB27" s="378"/>
      <c r="BC27" s="378"/>
      <c r="BD27" s="378"/>
    </row>
    <row r="28" customFormat="false" ht="12.75" hidden="false" customHeight="false" outlineLevel="0" collapsed="false">
      <c r="A28" s="50" t="str">
        <f aca="false">IF(AUTOEVENTO="Manual",IF(EVENTOS!$F28&gt;0,"F",""),IF(AND(B28&gt;0,B28&lt;=MAX(CÁLCULO!$M$15:$M$205)),"F",""))</f>
        <v>F</v>
      </c>
      <c r="B28" s="374" t="n">
        <f aca="true">OFFSET(B28,-1,0)+1</f>
        <v>13</v>
      </c>
      <c r="C28" s="375" t="str">
        <f aca="true">IF(AUTOEVENTO="Manual",IF($B28&gt;0,OFFSET(EVENTOS!$D$15,$B28-$B$15,0),0),IF(B28&lt;=MAX(CÁLCULO!$M$15:$M$205),VLOOKUP($B28,CÁLCULO!$M$15:$N$205,2,FALSE()),0))</f>
        <v>REVESTIMENTOS CERÂMICOS</v>
      </c>
      <c r="D28" s="376"/>
      <c r="E28" s="377"/>
      <c r="F28" s="1" t="str">
        <f aca="false">IF($C28=0,"",CONCATENATE($B28,". ",$C28))</f>
        <v>13. REVESTIMENTOS CERÂMICOS</v>
      </c>
      <c r="G28" s="378" t="n">
        <v>1</v>
      </c>
      <c r="H28" s="378" t="n">
        <v>2</v>
      </c>
      <c r="I28" s="378" t="n">
        <v>3</v>
      </c>
      <c r="J28" s="378" t="n">
        <v>4</v>
      </c>
      <c r="K28" s="378" t="n">
        <v>5</v>
      </c>
      <c r="L28" s="378" t="n">
        <v>6</v>
      </c>
      <c r="M28" s="378" t="n">
        <v>7</v>
      </c>
      <c r="N28" s="378" t="n">
        <v>8</v>
      </c>
      <c r="O28" s="378" t="n">
        <v>9</v>
      </c>
      <c r="P28" s="378" t="n">
        <v>10</v>
      </c>
      <c r="Q28" s="378" t="n">
        <v>11</v>
      </c>
      <c r="R28" s="378" t="n">
        <v>12</v>
      </c>
      <c r="S28" s="378" t="n">
        <v>13</v>
      </c>
      <c r="T28" s="378" t="n">
        <v>14</v>
      </c>
      <c r="U28" s="378" t="n">
        <v>15</v>
      </c>
      <c r="V28" s="378" t="n">
        <v>16</v>
      </c>
      <c r="W28" s="378" t="n">
        <v>17</v>
      </c>
      <c r="X28" s="378" t="n">
        <v>18</v>
      </c>
      <c r="Y28" s="378" t="n">
        <v>19</v>
      </c>
      <c r="Z28" s="378" t="n">
        <v>20</v>
      </c>
      <c r="AA28" s="378" t="n">
        <v>21</v>
      </c>
      <c r="AB28" s="378" t="n">
        <v>22</v>
      </c>
      <c r="AC28" s="378" t="n">
        <v>23</v>
      </c>
      <c r="AD28" s="378" t="n">
        <v>24</v>
      </c>
      <c r="AE28" s="378" t="n">
        <v>25</v>
      </c>
      <c r="AF28" s="378"/>
      <c r="AG28" s="378"/>
      <c r="AH28" s="378"/>
      <c r="AI28" s="378"/>
      <c r="AJ28" s="378"/>
      <c r="AK28" s="378"/>
      <c r="AL28" s="378"/>
      <c r="AM28" s="378"/>
      <c r="AN28" s="378"/>
      <c r="AO28" s="378"/>
      <c r="AP28" s="378"/>
      <c r="AQ28" s="378"/>
      <c r="AR28" s="378"/>
      <c r="AS28" s="378"/>
      <c r="AT28" s="378"/>
      <c r="AU28" s="378"/>
      <c r="AV28" s="378"/>
      <c r="AW28" s="378"/>
      <c r="AX28" s="378"/>
      <c r="AY28" s="378"/>
      <c r="AZ28" s="378"/>
      <c r="BA28" s="378"/>
      <c r="BB28" s="378"/>
      <c r="BC28" s="378"/>
      <c r="BD28" s="378"/>
    </row>
    <row r="29" customFormat="false" ht="12.75" hidden="false" customHeight="false" outlineLevel="0" collapsed="false">
      <c r="A29" s="50" t="str">
        <f aca="false">IF(AUTOEVENTO="Manual",IF(EVENTOS!$F29&gt;0,"F",""),IF(AND(B29&gt;0,B29&lt;=MAX(CÁLCULO!$M$15:$M$205)),"F",""))</f>
        <v>F</v>
      </c>
      <c r="B29" s="374" t="n">
        <f aca="true">OFFSET(B29,-1,0)+1</f>
        <v>14</v>
      </c>
      <c r="C29" s="375" t="str">
        <f aca="true">IF(AUTOEVENTO="Manual",IF($B29&gt;0,OFFSET(EVENTOS!$D$15,$B29-$B$15,0),0),IF(B29&lt;=MAX(CÁLCULO!$M$15:$M$205),VLOOKUP($B29,CÁLCULO!$M$15:$N$205,2,FALSE()),0))</f>
        <v>REVESTIMENTOS EXTERNOS</v>
      </c>
      <c r="D29" s="376"/>
      <c r="E29" s="377"/>
      <c r="F29" s="1" t="str">
        <f aca="false">IF($C29=0,"",CONCATENATE($B29,". ",$C29))</f>
        <v>14. REVESTIMENTOS EXTERNOS</v>
      </c>
      <c r="G29" s="378" t="n">
        <v>1</v>
      </c>
      <c r="H29" s="378" t="n">
        <v>2</v>
      </c>
      <c r="I29" s="378" t="n">
        <v>3</v>
      </c>
      <c r="J29" s="378" t="n">
        <v>4</v>
      </c>
      <c r="K29" s="378" t="n">
        <v>5</v>
      </c>
      <c r="L29" s="378" t="n">
        <v>6</v>
      </c>
      <c r="M29" s="378" t="n">
        <v>7</v>
      </c>
      <c r="N29" s="378" t="n">
        <v>8</v>
      </c>
      <c r="O29" s="378" t="n">
        <v>9</v>
      </c>
      <c r="P29" s="378" t="n">
        <v>10</v>
      </c>
      <c r="Q29" s="378" t="n">
        <v>11</v>
      </c>
      <c r="R29" s="378" t="n">
        <v>12</v>
      </c>
      <c r="S29" s="378" t="n">
        <v>13</v>
      </c>
      <c r="T29" s="378" t="n">
        <v>14</v>
      </c>
      <c r="U29" s="378" t="n">
        <v>15</v>
      </c>
      <c r="V29" s="378" t="n">
        <v>16</v>
      </c>
      <c r="W29" s="378" t="n">
        <v>17</v>
      </c>
      <c r="X29" s="378" t="n">
        <v>18</v>
      </c>
      <c r="Y29" s="378" t="n">
        <v>19</v>
      </c>
      <c r="Z29" s="378" t="n">
        <v>20</v>
      </c>
      <c r="AA29" s="378" t="n">
        <v>21</v>
      </c>
      <c r="AB29" s="378" t="n">
        <v>22</v>
      </c>
      <c r="AC29" s="378" t="n">
        <v>23</v>
      </c>
      <c r="AD29" s="378" t="n">
        <v>24</v>
      </c>
      <c r="AE29" s="378" t="n">
        <v>25</v>
      </c>
      <c r="AF29" s="378"/>
      <c r="AG29" s="378"/>
      <c r="AH29" s="378"/>
      <c r="AI29" s="378"/>
      <c r="AJ29" s="378"/>
      <c r="AK29" s="378"/>
      <c r="AL29" s="378"/>
      <c r="AM29" s="378"/>
      <c r="AN29" s="378"/>
      <c r="AO29" s="378"/>
      <c r="AP29" s="378"/>
      <c r="AQ29" s="378"/>
      <c r="AR29" s="378"/>
      <c r="AS29" s="378"/>
      <c r="AT29" s="378"/>
      <c r="AU29" s="378"/>
      <c r="AV29" s="378"/>
      <c r="AW29" s="378"/>
      <c r="AX29" s="378"/>
      <c r="AY29" s="378"/>
      <c r="AZ29" s="378"/>
      <c r="BA29" s="378"/>
      <c r="BB29" s="378"/>
      <c r="BC29" s="378"/>
      <c r="BD29" s="378"/>
    </row>
    <row r="30" customFormat="false" ht="12.75" hidden="false" customHeight="false" outlineLevel="0" collapsed="false">
      <c r="A30" s="50" t="str">
        <f aca="false">IF(AUTOEVENTO="Manual",IF(EVENTOS!$F30&gt;0,"F",""),IF(AND(B30&gt;0,B30&lt;=MAX(CÁLCULO!$M$15:$M$205)),"F",""))</f>
        <v>F</v>
      </c>
      <c r="B30" s="374" t="n">
        <f aca="true">OFFSET(B30,-1,0)+1</f>
        <v>15</v>
      </c>
      <c r="C30" s="375" t="str">
        <f aca="true">IF(AUTOEVENTO="Manual",IF($B30&gt;0,OFFSET(EVENTOS!$D$15,$B30-$B$15,0),0),IF(B30&lt;=MAX(CÁLCULO!$M$15:$M$205),VLOOKUP($B30,CÁLCULO!$M$15:$N$205,2,FALSE()),0))</f>
        <v>PINTURAS INTERNAS</v>
      </c>
      <c r="D30" s="376"/>
      <c r="E30" s="377"/>
      <c r="F30" s="1" t="str">
        <f aca="false">IF($C30=0,"",CONCATENATE($B30,". ",$C30))</f>
        <v>15. PINTURAS INTERNAS</v>
      </c>
      <c r="G30" s="378" t="n">
        <v>1</v>
      </c>
      <c r="H30" s="378" t="n">
        <v>2</v>
      </c>
      <c r="I30" s="378" t="n">
        <v>3</v>
      </c>
      <c r="J30" s="378" t="n">
        <v>4</v>
      </c>
      <c r="K30" s="378" t="n">
        <v>5</v>
      </c>
      <c r="L30" s="378" t="n">
        <v>6</v>
      </c>
      <c r="M30" s="378" t="n">
        <v>7</v>
      </c>
      <c r="N30" s="378" t="n">
        <v>8</v>
      </c>
      <c r="O30" s="378" t="n">
        <v>9</v>
      </c>
      <c r="P30" s="378" t="n">
        <v>10</v>
      </c>
      <c r="Q30" s="378" t="n">
        <v>11</v>
      </c>
      <c r="R30" s="378" t="n">
        <v>12</v>
      </c>
      <c r="S30" s="378" t="n">
        <v>13</v>
      </c>
      <c r="T30" s="378" t="n">
        <v>14</v>
      </c>
      <c r="U30" s="378" t="n">
        <v>15</v>
      </c>
      <c r="V30" s="378" t="n">
        <v>16</v>
      </c>
      <c r="W30" s="378" t="n">
        <v>17</v>
      </c>
      <c r="X30" s="378" t="n">
        <v>18</v>
      </c>
      <c r="Y30" s="378" t="n">
        <v>19</v>
      </c>
      <c r="Z30" s="378" t="n">
        <v>20</v>
      </c>
      <c r="AA30" s="378" t="n">
        <v>21</v>
      </c>
      <c r="AB30" s="378" t="n">
        <v>22</v>
      </c>
      <c r="AC30" s="378" t="n">
        <v>23</v>
      </c>
      <c r="AD30" s="378" t="n">
        <v>24</v>
      </c>
      <c r="AE30" s="378" t="n">
        <v>25</v>
      </c>
      <c r="AF30" s="378"/>
      <c r="AG30" s="378"/>
      <c r="AH30" s="378"/>
      <c r="AI30" s="378"/>
      <c r="AJ30" s="378"/>
      <c r="AK30" s="378"/>
      <c r="AL30" s="378"/>
      <c r="AM30" s="378"/>
      <c r="AN30" s="378"/>
      <c r="AO30" s="378"/>
      <c r="AP30" s="378"/>
      <c r="AQ30" s="378"/>
      <c r="AR30" s="378"/>
      <c r="AS30" s="378"/>
      <c r="AT30" s="378"/>
      <c r="AU30" s="378"/>
      <c r="AV30" s="378"/>
      <c r="AW30" s="378"/>
      <c r="AX30" s="378"/>
      <c r="AY30" s="378"/>
      <c r="AZ30" s="378"/>
      <c r="BA30" s="378"/>
      <c r="BB30" s="378"/>
      <c r="BC30" s="378"/>
      <c r="BD30" s="378"/>
    </row>
    <row r="31" customFormat="false" ht="12.75" hidden="false" customHeight="false" outlineLevel="0" collapsed="false">
      <c r="A31" s="50" t="str">
        <f aca="false">IF(AUTOEVENTO="Manual",IF(EVENTOS!$F31&gt;0,"F",""),IF(AND(B31&gt;0,B31&lt;=MAX(CÁLCULO!$M$15:$M$205)),"F",""))</f>
        <v>F</v>
      </c>
      <c r="B31" s="374" t="n">
        <f aca="true">OFFSET(B31,-1,0)+1</f>
        <v>16</v>
      </c>
      <c r="C31" s="375" t="str">
        <f aca="true">IF(AUTOEVENTO="Manual",IF($B31&gt;0,OFFSET(EVENTOS!$D$15,$B31-$B$15,0),0),IF(B31&lt;=MAX(CÁLCULO!$M$15:$M$205),VLOOKUP($B31,CÁLCULO!$M$15:$N$205,2,FALSE()),0))</f>
        <v>PINTURAS EXTERNAS</v>
      </c>
      <c r="D31" s="376"/>
      <c r="E31" s="377"/>
      <c r="F31" s="1" t="str">
        <f aca="false">IF($C31=0,"",CONCATENATE($B31,". ",$C31))</f>
        <v>16. PINTURAS EXTERNAS</v>
      </c>
      <c r="G31" s="378" t="n">
        <v>1</v>
      </c>
      <c r="H31" s="378" t="n">
        <v>2</v>
      </c>
      <c r="I31" s="378" t="n">
        <v>3</v>
      </c>
      <c r="J31" s="378" t="n">
        <v>4</v>
      </c>
      <c r="K31" s="378" t="n">
        <v>5</v>
      </c>
      <c r="L31" s="378" t="n">
        <v>6</v>
      </c>
      <c r="M31" s="378" t="n">
        <v>7</v>
      </c>
      <c r="N31" s="378" t="n">
        <v>8</v>
      </c>
      <c r="O31" s="378" t="n">
        <v>9</v>
      </c>
      <c r="P31" s="378" t="n">
        <v>10</v>
      </c>
      <c r="Q31" s="378" t="n">
        <v>11</v>
      </c>
      <c r="R31" s="378" t="n">
        <v>12</v>
      </c>
      <c r="S31" s="378" t="n">
        <v>13</v>
      </c>
      <c r="T31" s="378" t="n">
        <v>14</v>
      </c>
      <c r="U31" s="378" t="n">
        <v>15</v>
      </c>
      <c r="V31" s="378" t="n">
        <v>16</v>
      </c>
      <c r="W31" s="378" t="n">
        <v>17</v>
      </c>
      <c r="X31" s="378" t="n">
        <v>18</v>
      </c>
      <c r="Y31" s="378" t="n">
        <v>19</v>
      </c>
      <c r="Z31" s="378" t="n">
        <v>20</v>
      </c>
      <c r="AA31" s="378" t="n">
        <v>21</v>
      </c>
      <c r="AB31" s="378" t="n">
        <v>22</v>
      </c>
      <c r="AC31" s="378" t="n">
        <v>23</v>
      </c>
      <c r="AD31" s="378" t="n">
        <v>24</v>
      </c>
      <c r="AE31" s="378" t="n">
        <v>25</v>
      </c>
      <c r="AF31" s="378"/>
      <c r="AG31" s="378"/>
      <c r="AH31" s="378"/>
      <c r="AI31" s="378"/>
      <c r="AJ31" s="378"/>
      <c r="AK31" s="378"/>
      <c r="AL31" s="378"/>
      <c r="AM31" s="378"/>
      <c r="AN31" s="378"/>
      <c r="AO31" s="378"/>
      <c r="AP31" s="378"/>
      <c r="AQ31" s="378"/>
      <c r="AR31" s="378"/>
      <c r="AS31" s="378"/>
      <c r="AT31" s="378"/>
      <c r="AU31" s="378"/>
      <c r="AV31" s="378"/>
      <c r="AW31" s="378"/>
      <c r="AX31" s="378"/>
      <c r="AY31" s="378"/>
      <c r="AZ31" s="378"/>
      <c r="BA31" s="378"/>
      <c r="BB31" s="378"/>
      <c r="BC31" s="378"/>
      <c r="BD31" s="378"/>
    </row>
    <row r="32" customFormat="false" ht="12.75" hidden="false" customHeight="false" outlineLevel="0" collapsed="false">
      <c r="A32" s="50" t="str">
        <f aca="false">IF(AUTOEVENTO="Manual",IF(EVENTOS!$F32&gt;0,"F",""),IF(AND(B32&gt;0,B32&lt;=MAX(CÁLCULO!$M$15:$M$205)),"F",""))</f>
        <v>F</v>
      </c>
      <c r="B32" s="374" t="n">
        <f aca="true">OFFSET(B32,-1,0)+1</f>
        <v>17</v>
      </c>
      <c r="C32" s="375" t="str">
        <f aca="true">IF(AUTOEVENTO="Manual",IF($B32&gt;0,OFFSET(EVENTOS!$D$15,$B32-$B$15,0),0),IF(B32&lt;=MAX(CÁLCULO!$M$15:$M$205),VLOOKUP($B32,CÁLCULO!$M$15:$N$205,2,FALSE()),0))</f>
        <v>PINTURA ESQUADRIAS</v>
      </c>
      <c r="D32" s="376"/>
      <c r="E32" s="377"/>
      <c r="F32" s="1" t="str">
        <f aca="false">IF($C32=0,"",CONCATENATE($B32,". ",$C32))</f>
        <v>17. PINTURA ESQUADRIAS</v>
      </c>
      <c r="G32" s="378" t="n">
        <v>1</v>
      </c>
      <c r="H32" s="378" t="n">
        <v>2</v>
      </c>
      <c r="I32" s="378" t="n">
        <v>3</v>
      </c>
      <c r="J32" s="378" t="n">
        <v>4</v>
      </c>
      <c r="K32" s="378" t="n">
        <v>5</v>
      </c>
      <c r="L32" s="378" t="n">
        <v>6</v>
      </c>
      <c r="M32" s="378" t="n">
        <v>7</v>
      </c>
      <c r="N32" s="378" t="n">
        <v>8</v>
      </c>
      <c r="O32" s="378" t="n">
        <v>9</v>
      </c>
      <c r="P32" s="378" t="n">
        <v>10</v>
      </c>
      <c r="Q32" s="378" t="n">
        <v>11</v>
      </c>
      <c r="R32" s="378" t="n">
        <v>12</v>
      </c>
      <c r="S32" s="378" t="n">
        <v>13</v>
      </c>
      <c r="T32" s="378" t="n">
        <v>14</v>
      </c>
      <c r="U32" s="378" t="n">
        <v>15</v>
      </c>
      <c r="V32" s="378" t="n">
        <v>16</v>
      </c>
      <c r="W32" s="378" t="n">
        <v>17</v>
      </c>
      <c r="X32" s="378" t="n">
        <v>18</v>
      </c>
      <c r="Y32" s="378" t="n">
        <v>19</v>
      </c>
      <c r="Z32" s="378" t="n">
        <v>20</v>
      </c>
      <c r="AA32" s="378" t="n">
        <v>21</v>
      </c>
      <c r="AB32" s="378" t="n">
        <v>22</v>
      </c>
      <c r="AC32" s="378" t="n">
        <v>23</v>
      </c>
      <c r="AD32" s="378" t="n">
        <v>24</v>
      </c>
      <c r="AE32" s="378" t="n">
        <v>25</v>
      </c>
      <c r="AF32" s="378"/>
      <c r="AG32" s="378"/>
      <c r="AH32" s="378"/>
      <c r="AI32" s="378"/>
      <c r="AJ32" s="378"/>
      <c r="AK32" s="378"/>
      <c r="AL32" s="378"/>
      <c r="AM32" s="378"/>
      <c r="AN32" s="378"/>
      <c r="AO32" s="378"/>
      <c r="AP32" s="378"/>
      <c r="AQ32" s="378"/>
      <c r="AR32" s="378"/>
      <c r="AS32" s="378"/>
      <c r="AT32" s="378"/>
      <c r="AU32" s="378"/>
      <c r="AV32" s="378"/>
      <c r="AW32" s="378"/>
      <c r="AX32" s="378"/>
      <c r="AY32" s="378"/>
      <c r="AZ32" s="378"/>
      <c r="BA32" s="378"/>
      <c r="BB32" s="378"/>
      <c r="BC32" s="378"/>
      <c r="BD32" s="378"/>
    </row>
    <row r="33" customFormat="false" ht="12.75" hidden="false" customHeight="false" outlineLevel="0" collapsed="false">
      <c r="A33" s="50" t="str">
        <f aca="false">IF(AUTOEVENTO="Manual",IF(EVENTOS!$F33&gt;0,"F",""),IF(AND(B33&gt;0,B33&lt;=MAX(CÁLCULO!$M$15:$M$205)),"F",""))</f>
        <v>F</v>
      </c>
      <c r="B33" s="374" t="n">
        <f aca="true">OFFSET(B33,-1,0)+1</f>
        <v>18</v>
      </c>
      <c r="C33" s="375" t="str">
        <f aca="true">IF(AUTOEVENTO="Manual",IF($B33&gt;0,OFFSET(EVENTOS!$D$15,$B33-$B$15,0),0),IF(B33&lt;=MAX(CÁLCULO!$M$15:$M$205),VLOOKUP($B33,CÁLCULO!$M$15:$N$205,2,FALSE()),0))</f>
        <v>CERÂMICA</v>
      </c>
      <c r="D33" s="376"/>
      <c r="E33" s="377"/>
      <c r="F33" s="1" t="str">
        <f aca="false">IF($C33=0,"",CONCATENATE($B33,". ",$C33))</f>
        <v>18. CERÂMICA</v>
      </c>
      <c r="G33" s="378" t="n">
        <v>1</v>
      </c>
      <c r="H33" s="378" t="n">
        <v>2</v>
      </c>
      <c r="I33" s="378" t="n">
        <v>3</v>
      </c>
      <c r="J33" s="378" t="n">
        <v>4</v>
      </c>
      <c r="K33" s="378" t="n">
        <v>5</v>
      </c>
      <c r="L33" s="378" t="n">
        <v>6</v>
      </c>
      <c r="M33" s="378" t="n">
        <v>7</v>
      </c>
      <c r="N33" s="378" t="n">
        <v>8</v>
      </c>
      <c r="O33" s="378" t="n">
        <v>9</v>
      </c>
      <c r="P33" s="378" t="n">
        <v>10</v>
      </c>
      <c r="Q33" s="378" t="n">
        <v>11</v>
      </c>
      <c r="R33" s="378" t="n">
        <v>12</v>
      </c>
      <c r="S33" s="378" t="n">
        <v>13</v>
      </c>
      <c r="T33" s="378" t="n">
        <v>14</v>
      </c>
      <c r="U33" s="378" t="n">
        <v>15</v>
      </c>
      <c r="V33" s="378" t="n">
        <v>16</v>
      </c>
      <c r="W33" s="378" t="n">
        <v>17</v>
      </c>
      <c r="X33" s="378" t="n">
        <v>18</v>
      </c>
      <c r="Y33" s="378" t="n">
        <v>19</v>
      </c>
      <c r="Z33" s="378" t="n">
        <v>20</v>
      </c>
      <c r="AA33" s="378" t="n">
        <v>21</v>
      </c>
      <c r="AB33" s="378" t="n">
        <v>22</v>
      </c>
      <c r="AC33" s="378" t="n">
        <v>23</v>
      </c>
      <c r="AD33" s="378" t="n">
        <v>24</v>
      </c>
      <c r="AE33" s="378" t="n">
        <v>25</v>
      </c>
      <c r="AF33" s="378"/>
      <c r="AG33" s="378"/>
      <c r="AH33" s="378"/>
      <c r="AI33" s="378"/>
      <c r="AJ33" s="378"/>
      <c r="AK33" s="378"/>
      <c r="AL33" s="378"/>
      <c r="AM33" s="378"/>
      <c r="AN33" s="378"/>
      <c r="AO33" s="378"/>
      <c r="AP33" s="378"/>
      <c r="AQ33" s="378"/>
      <c r="AR33" s="378"/>
      <c r="AS33" s="378"/>
      <c r="AT33" s="378"/>
      <c r="AU33" s="378"/>
      <c r="AV33" s="378"/>
      <c r="AW33" s="378"/>
      <c r="AX33" s="378"/>
      <c r="AY33" s="378"/>
      <c r="AZ33" s="378"/>
      <c r="BA33" s="378"/>
      <c r="BB33" s="378"/>
      <c r="BC33" s="378"/>
      <c r="BD33" s="378"/>
    </row>
    <row r="34" customFormat="false" ht="12.75" hidden="false" customHeight="false" outlineLevel="0" collapsed="false">
      <c r="A34" s="50" t="str">
        <f aca="false">IF(AUTOEVENTO="Manual",IF(EVENTOS!$F34&gt;0,"F",""),IF(AND(B34&gt;0,B34&lt;=MAX(CÁLCULO!$M$15:$M$205)),"F",""))</f>
        <v>F</v>
      </c>
      <c r="B34" s="374" t="n">
        <f aca="true">OFFSET(B34,-1,0)+1</f>
        <v>19</v>
      </c>
      <c r="C34" s="375" t="str">
        <f aca="true">IF(AUTOEVENTO="Manual",IF($B34&gt;0,OFFSET(EVENTOS!$D$15,$B34-$B$15,0),0),IF(B34&lt;=MAX(CÁLCULO!$M$15:$M$205),VLOOKUP($B34,CÁLCULO!$M$15:$N$205,2,FALSE()),0))</f>
        <v>CIMENTADOS</v>
      </c>
      <c r="D34" s="376"/>
      <c r="E34" s="377"/>
      <c r="F34" s="1" t="str">
        <f aca="false">IF($C34=0,"",CONCATENATE($B34,". ",$C34))</f>
        <v>19. CIMENTADOS</v>
      </c>
      <c r="G34" s="378" t="n">
        <v>1</v>
      </c>
      <c r="H34" s="378" t="n">
        <v>2</v>
      </c>
      <c r="I34" s="378" t="n">
        <v>3</v>
      </c>
      <c r="J34" s="378" t="n">
        <v>4</v>
      </c>
      <c r="K34" s="378" t="n">
        <v>5</v>
      </c>
      <c r="L34" s="378" t="n">
        <v>6</v>
      </c>
      <c r="M34" s="378" t="n">
        <v>7</v>
      </c>
      <c r="N34" s="378" t="n">
        <v>8</v>
      </c>
      <c r="O34" s="378" t="n">
        <v>9</v>
      </c>
      <c r="P34" s="378" t="n">
        <v>10</v>
      </c>
      <c r="Q34" s="378" t="n">
        <v>11</v>
      </c>
      <c r="R34" s="378" t="n">
        <v>12</v>
      </c>
      <c r="S34" s="378" t="n">
        <v>13</v>
      </c>
      <c r="T34" s="378" t="n">
        <v>14</v>
      </c>
      <c r="U34" s="378" t="n">
        <v>15</v>
      </c>
      <c r="V34" s="378" t="n">
        <v>16</v>
      </c>
      <c r="W34" s="378" t="n">
        <v>17</v>
      </c>
      <c r="X34" s="378" t="n">
        <v>18</v>
      </c>
      <c r="Y34" s="378" t="n">
        <v>19</v>
      </c>
      <c r="Z34" s="378" t="n">
        <v>20</v>
      </c>
      <c r="AA34" s="378" t="n">
        <v>21</v>
      </c>
      <c r="AB34" s="378" t="n">
        <v>22</v>
      </c>
      <c r="AC34" s="378" t="n">
        <v>23</v>
      </c>
      <c r="AD34" s="378" t="n">
        <v>24</v>
      </c>
      <c r="AE34" s="378" t="n">
        <v>25</v>
      </c>
      <c r="AF34" s="378"/>
      <c r="AG34" s="378"/>
      <c r="AH34" s="378"/>
      <c r="AI34" s="378"/>
      <c r="AJ34" s="378"/>
      <c r="AK34" s="378"/>
      <c r="AL34" s="378"/>
      <c r="AM34" s="378"/>
      <c r="AN34" s="378"/>
      <c r="AO34" s="378"/>
      <c r="AP34" s="378"/>
      <c r="AQ34" s="378"/>
      <c r="AR34" s="378"/>
      <c r="AS34" s="378"/>
      <c r="AT34" s="378"/>
      <c r="AU34" s="378"/>
      <c r="AV34" s="378"/>
      <c r="AW34" s="378"/>
      <c r="AX34" s="378"/>
      <c r="AY34" s="378"/>
      <c r="AZ34" s="378"/>
      <c r="BA34" s="378"/>
      <c r="BB34" s="378"/>
      <c r="BC34" s="378"/>
      <c r="BD34" s="378"/>
    </row>
    <row r="35" customFormat="false" ht="12.75" hidden="false" customHeight="false" outlineLevel="0" collapsed="false">
      <c r="A35" s="50" t="str">
        <f aca="false">IF(AUTOEVENTO="Manual",IF(EVENTOS!$F35&gt;0,"F",""),IF(AND(B35&gt;0,B35&lt;=MAX(CÁLCULO!$M$15:$M$205)),"F",""))</f>
        <v>F</v>
      </c>
      <c r="B35" s="374" t="n">
        <f aca="true">OFFSET(B35,-1,0)+1</f>
        <v>20</v>
      </c>
      <c r="C35" s="375" t="str">
        <f aca="true">IF(AUTOEVENTO="Manual",IF($B35&gt;0,OFFSET(EVENTOS!$D$15,$B35-$B$15,0),0),IF(B35&lt;=MAX(CÁLCULO!$M$15:$M$205),VLOOKUP($B35,CÁLCULO!$M$15:$N$205,2,FALSE()),0))</f>
        <v>RODAPÉS, SOLEIRAS E PEITORIS</v>
      </c>
      <c r="D35" s="376"/>
      <c r="E35" s="377"/>
      <c r="F35" s="1" t="str">
        <f aca="false">IF($C35=0,"",CONCATENATE($B35,". ",$C35))</f>
        <v>20. RODAPÉS, SOLEIRAS E PEITORIS</v>
      </c>
      <c r="G35" s="378" t="n">
        <v>1</v>
      </c>
      <c r="H35" s="378" t="n">
        <v>2</v>
      </c>
      <c r="I35" s="378" t="n">
        <v>3</v>
      </c>
      <c r="J35" s="378" t="n">
        <v>4</v>
      </c>
      <c r="K35" s="378" t="n">
        <v>5</v>
      </c>
      <c r="L35" s="378" t="n">
        <v>6</v>
      </c>
      <c r="M35" s="378" t="n">
        <v>7</v>
      </c>
      <c r="N35" s="378" t="n">
        <v>8</v>
      </c>
      <c r="O35" s="378" t="n">
        <v>9</v>
      </c>
      <c r="P35" s="378" t="n">
        <v>10</v>
      </c>
      <c r="Q35" s="378" t="n">
        <v>11</v>
      </c>
      <c r="R35" s="378" t="n">
        <v>12</v>
      </c>
      <c r="S35" s="378" t="n">
        <v>13</v>
      </c>
      <c r="T35" s="378" t="n">
        <v>14</v>
      </c>
      <c r="U35" s="378" t="n">
        <v>15</v>
      </c>
      <c r="V35" s="378" t="n">
        <v>16</v>
      </c>
      <c r="W35" s="378" t="n">
        <v>17</v>
      </c>
      <c r="X35" s="378" t="n">
        <v>18</v>
      </c>
      <c r="Y35" s="378" t="n">
        <v>19</v>
      </c>
      <c r="Z35" s="378" t="n">
        <v>20</v>
      </c>
      <c r="AA35" s="378" t="n">
        <v>21</v>
      </c>
      <c r="AB35" s="378" t="n">
        <v>22</v>
      </c>
      <c r="AC35" s="378" t="n">
        <v>23</v>
      </c>
      <c r="AD35" s="378" t="n">
        <v>24</v>
      </c>
      <c r="AE35" s="378" t="n">
        <v>25</v>
      </c>
      <c r="AF35" s="378"/>
      <c r="AG35" s="378"/>
      <c r="AH35" s="378"/>
      <c r="AI35" s="378"/>
      <c r="AJ35" s="378"/>
      <c r="AK35" s="378"/>
      <c r="AL35" s="378"/>
      <c r="AM35" s="378"/>
      <c r="AN35" s="378"/>
      <c r="AO35" s="378"/>
      <c r="AP35" s="378"/>
      <c r="AQ35" s="378"/>
      <c r="AR35" s="378"/>
      <c r="AS35" s="378"/>
      <c r="AT35" s="378"/>
      <c r="AU35" s="378"/>
      <c r="AV35" s="378"/>
      <c r="AW35" s="378"/>
      <c r="AX35" s="378"/>
      <c r="AY35" s="378"/>
      <c r="AZ35" s="378"/>
      <c r="BA35" s="378"/>
      <c r="BB35" s="378"/>
      <c r="BC35" s="378"/>
      <c r="BD35" s="378"/>
    </row>
    <row r="36" customFormat="false" ht="12.75" hidden="false" customHeight="false" outlineLevel="0" collapsed="false">
      <c r="A36" s="50" t="str">
        <f aca="false">IF(AUTOEVENTO="Manual",IF(EVENTOS!$F36&gt;0,"F",""),IF(AND(B36&gt;0,B36&lt;=MAX(CÁLCULO!$M$15:$M$205)),"F",""))</f>
        <v>F</v>
      </c>
      <c r="B36" s="374" t="n">
        <f aca="true">OFFSET(B36,-1,0)+1</f>
        <v>21</v>
      </c>
      <c r="C36" s="375" t="str">
        <f aca="true">IF(AUTOEVENTO="Manual",IF($B36&gt;0,OFFSET(EVENTOS!$D$15,$B36-$B$15,0),0),IF(B36&lt;=MAX(CÁLCULO!$M$15:$M$205),VLOOKUP($B36,CÁLCULO!$M$15:$N$205,2,FALSE()),0))</f>
        <v>CENTRO DE DISTRIBUIÇÃO</v>
      </c>
      <c r="D36" s="376"/>
      <c r="E36" s="377"/>
      <c r="F36" s="1" t="str">
        <f aca="false">IF($C36=0,"",CONCATENATE($B36,". ",$C36))</f>
        <v>21. CENTRO DE DISTRIBUIÇÃO</v>
      </c>
      <c r="G36" s="378" t="n">
        <v>1</v>
      </c>
      <c r="H36" s="378" t="n">
        <v>2</v>
      </c>
      <c r="I36" s="378" t="n">
        <v>3</v>
      </c>
      <c r="J36" s="378" t="n">
        <v>4</v>
      </c>
      <c r="K36" s="378" t="n">
        <v>5</v>
      </c>
      <c r="L36" s="378" t="n">
        <v>6</v>
      </c>
      <c r="M36" s="378" t="n">
        <v>7</v>
      </c>
      <c r="N36" s="378" t="n">
        <v>8</v>
      </c>
      <c r="O36" s="378" t="n">
        <v>9</v>
      </c>
      <c r="P36" s="378" t="n">
        <v>10</v>
      </c>
      <c r="Q36" s="378" t="n">
        <v>11</v>
      </c>
      <c r="R36" s="378" t="n">
        <v>12</v>
      </c>
      <c r="S36" s="378" t="n">
        <v>13</v>
      </c>
      <c r="T36" s="378" t="n">
        <v>14</v>
      </c>
      <c r="U36" s="378" t="n">
        <v>15</v>
      </c>
      <c r="V36" s="378" t="n">
        <v>16</v>
      </c>
      <c r="W36" s="378" t="n">
        <v>17</v>
      </c>
      <c r="X36" s="378" t="n">
        <v>18</v>
      </c>
      <c r="Y36" s="378" t="n">
        <v>19</v>
      </c>
      <c r="Z36" s="378" t="n">
        <v>20</v>
      </c>
      <c r="AA36" s="378" t="n">
        <v>21</v>
      </c>
      <c r="AB36" s="378" t="n">
        <v>22</v>
      </c>
      <c r="AC36" s="378" t="n">
        <v>23</v>
      </c>
      <c r="AD36" s="378" t="n">
        <v>24</v>
      </c>
      <c r="AE36" s="378" t="n">
        <v>25</v>
      </c>
      <c r="AF36" s="378"/>
      <c r="AG36" s="378"/>
      <c r="AH36" s="378"/>
      <c r="AI36" s="378"/>
      <c r="AJ36" s="378"/>
      <c r="AK36" s="378"/>
      <c r="AL36" s="378"/>
      <c r="AM36" s="378"/>
      <c r="AN36" s="378"/>
      <c r="AO36" s="378"/>
      <c r="AP36" s="378"/>
      <c r="AQ36" s="378"/>
      <c r="AR36" s="378"/>
      <c r="AS36" s="378"/>
      <c r="AT36" s="378"/>
      <c r="AU36" s="378"/>
      <c r="AV36" s="378"/>
      <c r="AW36" s="378"/>
      <c r="AX36" s="378"/>
      <c r="AY36" s="378"/>
      <c r="AZ36" s="378"/>
      <c r="BA36" s="378"/>
      <c r="BB36" s="378"/>
      <c r="BC36" s="378"/>
      <c r="BD36" s="378"/>
    </row>
    <row r="37" customFormat="false" ht="12.75" hidden="false" customHeight="false" outlineLevel="0" collapsed="false">
      <c r="A37" s="50" t="str">
        <f aca="false">IF(AUTOEVENTO="Manual",IF(EVENTOS!$F37&gt;0,"F",""),IF(AND(B37&gt;0,B37&lt;=MAX(CÁLCULO!$M$15:$M$205)),"F",""))</f>
        <v>F</v>
      </c>
      <c r="B37" s="374" t="n">
        <f aca="true">OFFSET(B37,-1,0)+1</f>
        <v>22</v>
      </c>
      <c r="C37" s="375" t="str">
        <f aca="true">IF(AUTOEVENTO="Manual",IF($B37&gt;0,OFFSET(EVENTOS!$D$15,$B37-$B$15,0),0),IF(B37&lt;=MAX(CÁLCULO!$M$15:$M$205),VLOOKUP($B37,CÁLCULO!$M$15:$N$205,2,FALSE()),0))</f>
        <v>ILUMINAÇÃO, TOMADAS E INTERRUPTORES</v>
      </c>
      <c r="D37" s="376"/>
      <c r="E37" s="377"/>
      <c r="F37" s="1" t="str">
        <f aca="false">IF($C37=0,"",CONCATENATE($B37,". ",$C37))</f>
        <v>22. ILUMINAÇÃO, TOMADAS E INTERRUPTORES</v>
      </c>
      <c r="G37" s="378" t="n">
        <v>1</v>
      </c>
      <c r="H37" s="378" t="n">
        <v>2</v>
      </c>
      <c r="I37" s="378" t="n">
        <v>3</v>
      </c>
      <c r="J37" s="378" t="n">
        <v>4</v>
      </c>
      <c r="K37" s="378" t="n">
        <v>5</v>
      </c>
      <c r="L37" s="378" t="n">
        <v>6</v>
      </c>
      <c r="M37" s="378" t="n">
        <v>7</v>
      </c>
      <c r="N37" s="378" t="n">
        <v>8</v>
      </c>
      <c r="O37" s="378" t="n">
        <v>9</v>
      </c>
      <c r="P37" s="378" t="n">
        <v>10</v>
      </c>
      <c r="Q37" s="378" t="n">
        <v>11</v>
      </c>
      <c r="R37" s="378" t="n">
        <v>12</v>
      </c>
      <c r="S37" s="378" t="n">
        <v>13</v>
      </c>
      <c r="T37" s="378" t="n">
        <v>14</v>
      </c>
      <c r="U37" s="378" t="n">
        <v>15</v>
      </c>
      <c r="V37" s="378" t="n">
        <v>16</v>
      </c>
      <c r="W37" s="378" t="n">
        <v>17</v>
      </c>
      <c r="X37" s="378" t="n">
        <v>18</v>
      </c>
      <c r="Y37" s="378" t="n">
        <v>19</v>
      </c>
      <c r="Z37" s="378" t="n">
        <v>20</v>
      </c>
      <c r="AA37" s="378" t="n">
        <v>21</v>
      </c>
      <c r="AB37" s="378" t="n">
        <v>22</v>
      </c>
      <c r="AC37" s="378" t="n">
        <v>23</v>
      </c>
      <c r="AD37" s="378" t="n">
        <v>24</v>
      </c>
      <c r="AE37" s="378" t="n">
        <v>25</v>
      </c>
      <c r="AF37" s="378"/>
      <c r="AG37" s="378"/>
      <c r="AH37" s="378"/>
      <c r="AI37" s="378"/>
      <c r="AJ37" s="378"/>
      <c r="AK37" s="378"/>
      <c r="AL37" s="378"/>
      <c r="AM37" s="378"/>
      <c r="AN37" s="378"/>
      <c r="AO37" s="378"/>
      <c r="AP37" s="378"/>
      <c r="AQ37" s="378"/>
      <c r="AR37" s="378"/>
      <c r="AS37" s="378"/>
      <c r="AT37" s="378"/>
      <c r="AU37" s="378"/>
      <c r="AV37" s="378"/>
      <c r="AW37" s="378"/>
      <c r="AX37" s="378"/>
      <c r="AY37" s="378"/>
      <c r="AZ37" s="378"/>
      <c r="BA37" s="378"/>
      <c r="BB37" s="378"/>
      <c r="BC37" s="378"/>
      <c r="BD37" s="378"/>
    </row>
    <row r="38" customFormat="false" ht="12.75" hidden="false" customHeight="false" outlineLevel="0" collapsed="false">
      <c r="A38" s="50" t="str">
        <f aca="false">IF(AUTOEVENTO="Manual",IF(EVENTOS!$F38&gt;0,"F",""),IF(AND(B38&gt;0,B38&lt;=MAX(CÁLCULO!$M$15:$M$205)),"F",""))</f>
        <v>F</v>
      </c>
      <c r="B38" s="374" t="n">
        <f aca="true">OFFSET(B38,-1,0)+1</f>
        <v>23</v>
      </c>
      <c r="C38" s="375" t="str">
        <f aca="true">IF(AUTOEVENTO="Manual",IF($B38&gt;0,OFFSET(EVENTOS!$D$15,$B38-$B$15,0),0),IF(B38&lt;=MAX(CÁLCULO!$M$15:$M$205),VLOOKUP($B38,CÁLCULO!$M$15:$N$205,2,FALSE()),0))</f>
        <v>FIOS E CABOS</v>
      </c>
      <c r="D38" s="376"/>
      <c r="E38" s="377"/>
      <c r="F38" s="1" t="str">
        <f aca="false">IF($C38=0,"",CONCATENATE($B38,". ",$C38))</f>
        <v>23. FIOS E CABOS</v>
      </c>
      <c r="G38" s="378" t="n">
        <v>1</v>
      </c>
      <c r="H38" s="378" t="n">
        <v>2</v>
      </c>
      <c r="I38" s="378" t="n">
        <v>3</v>
      </c>
      <c r="J38" s="378" t="n">
        <v>4</v>
      </c>
      <c r="K38" s="378" t="n">
        <v>5</v>
      </c>
      <c r="L38" s="378" t="n">
        <v>6</v>
      </c>
      <c r="M38" s="378" t="n">
        <v>7</v>
      </c>
      <c r="N38" s="378" t="n">
        <v>8</v>
      </c>
      <c r="O38" s="378" t="n">
        <v>9</v>
      </c>
      <c r="P38" s="378" t="n">
        <v>10</v>
      </c>
      <c r="Q38" s="378" t="n">
        <v>11</v>
      </c>
      <c r="R38" s="378" t="n">
        <v>12</v>
      </c>
      <c r="S38" s="378" t="n">
        <v>13</v>
      </c>
      <c r="T38" s="378" t="n">
        <v>14</v>
      </c>
      <c r="U38" s="378" t="n">
        <v>15</v>
      </c>
      <c r="V38" s="378" t="n">
        <v>16</v>
      </c>
      <c r="W38" s="378" t="n">
        <v>17</v>
      </c>
      <c r="X38" s="378" t="n">
        <v>18</v>
      </c>
      <c r="Y38" s="378" t="n">
        <v>19</v>
      </c>
      <c r="Z38" s="378" t="n">
        <v>20</v>
      </c>
      <c r="AA38" s="378" t="n">
        <v>21</v>
      </c>
      <c r="AB38" s="378" t="n">
        <v>22</v>
      </c>
      <c r="AC38" s="378" t="n">
        <v>23</v>
      </c>
      <c r="AD38" s="378" t="n">
        <v>24</v>
      </c>
      <c r="AE38" s="378" t="n">
        <v>25</v>
      </c>
      <c r="AF38" s="378"/>
      <c r="AG38" s="378"/>
      <c r="AH38" s="378"/>
      <c r="AI38" s="378"/>
      <c r="AJ38" s="378"/>
      <c r="AK38" s="378"/>
      <c r="AL38" s="378"/>
      <c r="AM38" s="378"/>
      <c r="AN38" s="378"/>
      <c r="AO38" s="378"/>
      <c r="AP38" s="378"/>
      <c r="AQ38" s="378"/>
      <c r="AR38" s="378"/>
      <c r="AS38" s="378"/>
      <c r="AT38" s="378"/>
      <c r="AU38" s="378"/>
      <c r="AV38" s="378"/>
      <c r="AW38" s="378"/>
      <c r="AX38" s="378"/>
      <c r="AY38" s="378"/>
      <c r="AZ38" s="378"/>
      <c r="BA38" s="378"/>
      <c r="BB38" s="378"/>
      <c r="BC38" s="378"/>
      <c r="BD38" s="378"/>
    </row>
    <row r="39" customFormat="false" ht="12.75" hidden="false" customHeight="false" outlineLevel="0" collapsed="false">
      <c r="A39" s="50" t="str">
        <f aca="false">IF(AUTOEVENTO="Manual",IF(EVENTOS!$F39&gt;0,"F",""),IF(AND(B39&gt;0,B39&lt;=MAX(CÁLCULO!$M$15:$M$205)),"F",""))</f>
        <v>F</v>
      </c>
      <c r="B39" s="374" t="n">
        <f aca="true">OFFSET(B39,-1,0)+1</f>
        <v>24</v>
      </c>
      <c r="C39" s="375" t="str">
        <f aca="true">IF(AUTOEVENTO="Manual",IF($B39&gt;0,OFFSET(EVENTOS!$D$15,$B39-$B$15,0),0),IF(B39&lt;=MAX(CÁLCULO!$M$15:$M$205),VLOOKUP($B39,CÁLCULO!$M$15:$N$205,2,FALSE()),0))</f>
        <v>TUBULAÇÕES E CONEXÕES</v>
      </c>
      <c r="D39" s="376"/>
      <c r="E39" s="377"/>
      <c r="F39" s="1" t="str">
        <f aca="false">IF($C39=0,"",CONCATENATE($B39,". ",$C39))</f>
        <v>24. TUBULAÇÕES E CONEXÕES</v>
      </c>
      <c r="G39" s="378" t="n">
        <v>1</v>
      </c>
      <c r="H39" s="378" t="n">
        <v>2</v>
      </c>
      <c r="I39" s="378" t="n">
        <v>3</v>
      </c>
      <c r="J39" s="378" t="n">
        <v>4</v>
      </c>
      <c r="K39" s="378" t="n">
        <v>5</v>
      </c>
      <c r="L39" s="378" t="n">
        <v>6</v>
      </c>
      <c r="M39" s="378" t="n">
        <v>7</v>
      </c>
      <c r="N39" s="378" t="n">
        <v>8</v>
      </c>
      <c r="O39" s="378" t="n">
        <v>9</v>
      </c>
      <c r="P39" s="378" t="n">
        <v>10</v>
      </c>
      <c r="Q39" s="378" t="n">
        <v>11</v>
      </c>
      <c r="R39" s="378" t="n">
        <v>12</v>
      </c>
      <c r="S39" s="378" t="n">
        <v>13</v>
      </c>
      <c r="T39" s="378" t="n">
        <v>14</v>
      </c>
      <c r="U39" s="378" t="n">
        <v>15</v>
      </c>
      <c r="V39" s="378" t="n">
        <v>16</v>
      </c>
      <c r="W39" s="378" t="n">
        <v>17</v>
      </c>
      <c r="X39" s="378" t="n">
        <v>18</v>
      </c>
      <c r="Y39" s="378" t="n">
        <v>19</v>
      </c>
      <c r="Z39" s="378" t="n">
        <v>20</v>
      </c>
      <c r="AA39" s="378" t="n">
        <v>21</v>
      </c>
      <c r="AB39" s="378" t="n">
        <v>22</v>
      </c>
      <c r="AC39" s="378" t="n">
        <v>23</v>
      </c>
      <c r="AD39" s="378" t="n">
        <v>24</v>
      </c>
      <c r="AE39" s="378" t="n">
        <v>25</v>
      </c>
      <c r="AF39" s="378"/>
      <c r="AG39" s="378"/>
      <c r="AH39" s="378"/>
      <c r="AI39" s="378"/>
      <c r="AJ39" s="378"/>
      <c r="AK39" s="378"/>
      <c r="AL39" s="378"/>
      <c r="AM39" s="378"/>
      <c r="AN39" s="378"/>
      <c r="AO39" s="378"/>
      <c r="AP39" s="378"/>
      <c r="AQ39" s="378"/>
      <c r="AR39" s="378"/>
      <c r="AS39" s="378"/>
      <c r="AT39" s="378"/>
      <c r="AU39" s="378"/>
      <c r="AV39" s="378"/>
      <c r="AW39" s="378"/>
      <c r="AX39" s="378"/>
      <c r="AY39" s="378"/>
      <c r="AZ39" s="378"/>
      <c r="BA39" s="378"/>
      <c r="BB39" s="378"/>
      <c r="BC39" s="378"/>
      <c r="BD39" s="378"/>
    </row>
    <row r="40" customFormat="false" ht="12.75" hidden="false" customHeight="false" outlineLevel="0" collapsed="false">
      <c r="A40" s="50" t="str">
        <f aca="false">IF(AUTOEVENTO="Manual",IF(EVENTOS!$F40&gt;0,"F",""),IF(AND(B40&gt;0,B40&lt;=MAX(CÁLCULO!$M$15:$M$205)),"F",""))</f>
        <v>F</v>
      </c>
      <c r="B40" s="374" t="n">
        <f aca="true">OFFSET(B40,-1,0)+1</f>
        <v>25</v>
      </c>
      <c r="C40" s="375" t="str">
        <f aca="true">IF(AUTOEVENTO="Manual",IF($B40&gt;0,OFFSET(EVENTOS!$D$15,$B40-$B$15,0),0),IF(B40&lt;=MAX(CÁLCULO!$M$15:$M$205),VLOOKUP($B40,CÁLCULO!$M$15:$N$205,2,FALSE()),0))</f>
        <v>REGISTROS </v>
      </c>
      <c r="D40" s="376"/>
      <c r="E40" s="377"/>
      <c r="F40" s="1" t="str">
        <f aca="false">IF($C40=0,"",CONCATENATE($B40,". ",$C40))</f>
        <v>25. REGISTROS </v>
      </c>
      <c r="G40" s="378" t="n">
        <v>1</v>
      </c>
      <c r="H40" s="378" t="n">
        <v>2</v>
      </c>
      <c r="I40" s="378" t="n">
        <v>3</v>
      </c>
      <c r="J40" s="378" t="n">
        <v>4</v>
      </c>
      <c r="K40" s="378" t="n">
        <v>5</v>
      </c>
      <c r="L40" s="378" t="n">
        <v>6</v>
      </c>
      <c r="M40" s="378" t="n">
        <v>7</v>
      </c>
      <c r="N40" s="378" t="n">
        <v>8</v>
      </c>
      <c r="O40" s="378" t="n">
        <v>9</v>
      </c>
      <c r="P40" s="378" t="n">
        <v>10</v>
      </c>
      <c r="Q40" s="378" t="n">
        <v>11</v>
      </c>
      <c r="R40" s="378" t="n">
        <v>12</v>
      </c>
      <c r="S40" s="378" t="n">
        <v>13</v>
      </c>
      <c r="T40" s="378" t="n">
        <v>14</v>
      </c>
      <c r="U40" s="378" t="n">
        <v>15</v>
      </c>
      <c r="V40" s="378" t="n">
        <v>16</v>
      </c>
      <c r="W40" s="378" t="n">
        <v>17</v>
      </c>
      <c r="X40" s="378" t="n">
        <v>18</v>
      </c>
      <c r="Y40" s="378" t="n">
        <v>19</v>
      </c>
      <c r="Z40" s="378" t="n">
        <v>20</v>
      </c>
      <c r="AA40" s="378" t="n">
        <v>21</v>
      </c>
      <c r="AB40" s="378" t="n">
        <v>22</v>
      </c>
      <c r="AC40" s="378" t="n">
        <v>23</v>
      </c>
      <c r="AD40" s="378" t="n">
        <v>24</v>
      </c>
      <c r="AE40" s="378" t="n">
        <v>25</v>
      </c>
      <c r="AF40" s="378"/>
      <c r="AG40" s="378"/>
      <c r="AH40" s="378"/>
      <c r="AI40" s="378"/>
      <c r="AJ40" s="378"/>
      <c r="AK40" s="378"/>
      <c r="AL40" s="378"/>
      <c r="AM40" s="378"/>
      <c r="AN40" s="378"/>
      <c r="AO40" s="378"/>
      <c r="AP40" s="378"/>
      <c r="AQ40" s="378"/>
      <c r="AR40" s="378"/>
      <c r="AS40" s="378"/>
      <c r="AT40" s="378"/>
      <c r="AU40" s="378"/>
      <c r="AV40" s="378"/>
      <c r="AW40" s="378"/>
      <c r="AX40" s="378"/>
      <c r="AY40" s="378"/>
      <c r="AZ40" s="378"/>
      <c r="BA40" s="378"/>
      <c r="BB40" s="378"/>
      <c r="BC40" s="378"/>
      <c r="BD40" s="378"/>
    </row>
    <row r="41" customFormat="false" ht="12.75" hidden="false" customHeight="false" outlineLevel="0" collapsed="false">
      <c r="A41" s="50" t="str">
        <f aca="false">IF(AUTOEVENTO="Manual",IF(EVENTOS!$F41&gt;0,"F",""),IF(AND(B41&gt;0,B41&lt;=MAX(CÁLCULO!$M$15:$M$205)),"F",""))</f>
        <v>F</v>
      </c>
      <c r="B41" s="374" t="n">
        <f aca="true">OFFSET(B41,-1,0)+1</f>
        <v>26</v>
      </c>
      <c r="C41" s="375" t="str">
        <f aca="true">IF(AUTOEVENTO="Manual",IF($B41&gt;0,OFFSET(EVENTOS!$D$15,$B41-$B$15,0),0),IF(B41&lt;=MAX(CÁLCULO!$M$15:$M$205),VLOOKUP($B41,CÁLCULO!$M$15:$N$205,2,FALSE()),0))</f>
        <v>ENTRADA / ALIMENTAÇÃO</v>
      </c>
      <c r="D41" s="376"/>
      <c r="E41" s="377"/>
      <c r="F41" s="1" t="str">
        <f aca="false">IF($C41=0,"",CONCATENATE($B41,". ",$C41))</f>
        <v>26. ENTRADA / ALIMENTAÇÃO</v>
      </c>
      <c r="G41" s="378" t="n">
        <v>1</v>
      </c>
      <c r="H41" s="378" t="n">
        <v>2</v>
      </c>
      <c r="I41" s="378" t="n">
        <v>3</v>
      </c>
      <c r="J41" s="378" t="n">
        <v>4</v>
      </c>
      <c r="K41" s="378" t="n">
        <v>5</v>
      </c>
      <c r="L41" s="378" t="n">
        <v>6</v>
      </c>
      <c r="M41" s="378" t="n">
        <v>7</v>
      </c>
      <c r="N41" s="378" t="n">
        <v>8</v>
      </c>
      <c r="O41" s="378" t="n">
        <v>9</v>
      </c>
      <c r="P41" s="378" t="n">
        <v>10</v>
      </c>
      <c r="Q41" s="378" t="n">
        <v>11</v>
      </c>
      <c r="R41" s="378" t="n">
        <v>12</v>
      </c>
      <c r="S41" s="378" t="n">
        <v>13</v>
      </c>
      <c r="T41" s="378" t="n">
        <v>14</v>
      </c>
      <c r="U41" s="378" t="n">
        <v>15</v>
      </c>
      <c r="V41" s="378" t="n">
        <v>16</v>
      </c>
      <c r="W41" s="378" t="n">
        <v>17</v>
      </c>
      <c r="X41" s="378" t="n">
        <v>18</v>
      </c>
      <c r="Y41" s="378" t="n">
        <v>19</v>
      </c>
      <c r="Z41" s="378" t="n">
        <v>20</v>
      </c>
      <c r="AA41" s="378" t="n">
        <v>21</v>
      </c>
      <c r="AB41" s="378" t="n">
        <v>22</v>
      </c>
      <c r="AC41" s="378" t="n">
        <v>23</v>
      </c>
      <c r="AD41" s="378" t="n">
        <v>24</v>
      </c>
      <c r="AE41" s="378" t="n">
        <v>25</v>
      </c>
      <c r="AF41" s="378"/>
      <c r="AG41" s="378"/>
      <c r="AH41" s="378"/>
      <c r="AI41" s="378"/>
      <c r="AJ41" s="378"/>
      <c r="AK41" s="378"/>
      <c r="AL41" s="378"/>
      <c r="AM41" s="378"/>
      <c r="AN41" s="378"/>
      <c r="AO41" s="378"/>
      <c r="AP41" s="378"/>
      <c r="AQ41" s="378"/>
      <c r="AR41" s="378"/>
      <c r="AS41" s="378"/>
      <c r="AT41" s="378"/>
      <c r="AU41" s="378"/>
      <c r="AV41" s="378"/>
      <c r="AW41" s="378"/>
      <c r="AX41" s="378"/>
      <c r="AY41" s="378"/>
      <c r="AZ41" s="378"/>
      <c r="BA41" s="378"/>
      <c r="BB41" s="378"/>
      <c r="BC41" s="378"/>
      <c r="BD41" s="378"/>
    </row>
    <row r="42" customFormat="false" ht="12.75" hidden="false" customHeight="false" outlineLevel="0" collapsed="false">
      <c r="A42" s="50" t="str">
        <f aca="false">IF(AUTOEVENTO="Manual",IF(EVENTOS!$F42&gt;0,"F",""),IF(AND(B42&gt;0,B42&lt;=MAX(CÁLCULO!$M$15:$M$205)),"F",""))</f>
        <v>F</v>
      </c>
      <c r="B42" s="374" t="n">
        <f aca="true">OFFSET(B42,-1,0)+1</f>
        <v>27</v>
      </c>
      <c r="C42" s="375" t="str">
        <f aca="true">IF(AUTOEVENTO="Manual",IF($B42&gt;0,OFFSET(EVENTOS!$D$15,$B42-$B$15,0),0),IF(B42&lt;=MAX(CÁLCULO!$M$15:$M$205),VLOOKUP($B42,CÁLCULO!$M$15:$N$205,2,FALSE()),0))</f>
        <v>CAIXA D'ÁGUA E BARRILETE</v>
      </c>
      <c r="D42" s="376"/>
      <c r="E42" s="377"/>
      <c r="F42" s="1" t="str">
        <f aca="false">IF($C42=0,"",CONCATENATE($B42,". ",$C42))</f>
        <v>27. CAIXA D'ÁGUA E BARRILETE</v>
      </c>
      <c r="G42" s="378" t="n">
        <v>1</v>
      </c>
      <c r="H42" s="378" t="n">
        <v>2</v>
      </c>
      <c r="I42" s="378" t="n">
        <v>3</v>
      </c>
      <c r="J42" s="378" t="n">
        <v>4</v>
      </c>
      <c r="K42" s="378" t="n">
        <v>5</v>
      </c>
      <c r="L42" s="378" t="n">
        <v>6</v>
      </c>
      <c r="M42" s="378" t="n">
        <v>7</v>
      </c>
      <c r="N42" s="378" t="n">
        <v>8</v>
      </c>
      <c r="O42" s="378" t="n">
        <v>9</v>
      </c>
      <c r="P42" s="378" t="n">
        <v>10</v>
      </c>
      <c r="Q42" s="378" t="n">
        <v>11</v>
      </c>
      <c r="R42" s="378" t="n">
        <v>12</v>
      </c>
      <c r="S42" s="378" t="n">
        <v>13</v>
      </c>
      <c r="T42" s="378" t="n">
        <v>14</v>
      </c>
      <c r="U42" s="378" t="n">
        <v>15</v>
      </c>
      <c r="V42" s="378" t="n">
        <v>16</v>
      </c>
      <c r="W42" s="378" t="n">
        <v>17</v>
      </c>
      <c r="X42" s="378" t="n">
        <v>18</v>
      </c>
      <c r="Y42" s="378" t="n">
        <v>19</v>
      </c>
      <c r="Z42" s="378" t="n">
        <v>20</v>
      </c>
      <c r="AA42" s="378" t="n">
        <v>21</v>
      </c>
      <c r="AB42" s="378" t="n">
        <v>22</v>
      </c>
      <c r="AC42" s="378" t="n">
        <v>23</v>
      </c>
      <c r="AD42" s="378" t="n">
        <v>24</v>
      </c>
      <c r="AE42" s="378" t="n">
        <v>25</v>
      </c>
      <c r="AF42" s="378"/>
      <c r="AG42" s="378"/>
      <c r="AH42" s="378"/>
      <c r="AI42" s="378"/>
      <c r="AJ42" s="378"/>
      <c r="AK42" s="378"/>
      <c r="AL42" s="378"/>
      <c r="AM42" s="378"/>
      <c r="AN42" s="378"/>
      <c r="AO42" s="378"/>
      <c r="AP42" s="378"/>
      <c r="AQ42" s="378"/>
      <c r="AR42" s="378"/>
      <c r="AS42" s="378"/>
      <c r="AT42" s="378"/>
      <c r="AU42" s="378"/>
      <c r="AV42" s="378"/>
      <c r="AW42" s="378"/>
      <c r="AX42" s="378"/>
      <c r="AY42" s="378"/>
      <c r="AZ42" s="378"/>
      <c r="BA42" s="378"/>
      <c r="BB42" s="378"/>
      <c r="BC42" s="378"/>
      <c r="BD42" s="378"/>
    </row>
    <row r="43" customFormat="false" ht="12.75" hidden="false" customHeight="false" outlineLevel="0" collapsed="false">
      <c r="A43" s="50" t="str">
        <f aca="false">IF(AUTOEVENTO="Manual",IF(EVENTOS!$F43&gt;0,"F",""),IF(AND(B43&gt;0,B43&lt;=MAX(CÁLCULO!$M$15:$M$205)),"F",""))</f>
        <v>F</v>
      </c>
      <c r="B43" s="374" t="n">
        <f aca="true">OFFSET(B43,-1,0)+1</f>
        <v>28</v>
      </c>
      <c r="C43" s="375" t="str">
        <f aca="true">IF(AUTOEVENTO="Manual",IF($B43&gt;0,OFFSET(EVENTOS!$D$15,$B43-$B$15,0),0),IF(B43&lt;=MAX(CÁLCULO!$M$15:$M$205),VLOOKUP($B43,CÁLCULO!$M$15:$N$205,2,FALSE()),0))</f>
        <v>TUBULAÇÕES E CONEXÕES</v>
      </c>
      <c r="D43" s="376"/>
      <c r="E43" s="377"/>
      <c r="F43" s="1" t="str">
        <f aca="false">IF($C43=0,"",CONCATENATE($B43,". ",$C43))</f>
        <v>28. TUBULAÇÕES E CONEXÕES</v>
      </c>
      <c r="G43" s="378" t="n">
        <v>1</v>
      </c>
      <c r="H43" s="378" t="n">
        <v>2</v>
      </c>
      <c r="I43" s="378" t="n">
        <v>3</v>
      </c>
      <c r="J43" s="378" t="n">
        <v>4</v>
      </c>
      <c r="K43" s="378" t="n">
        <v>5</v>
      </c>
      <c r="L43" s="378" t="n">
        <v>6</v>
      </c>
      <c r="M43" s="378" t="n">
        <v>7</v>
      </c>
      <c r="N43" s="378" t="n">
        <v>8</v>
      </c>
      <c r="O43" s="378" t="n">
        <v>9</v>
      </c>
      <c r="P43" s="378" t="n">
        <v>10</v>
      </c>
      <c r="Q43" s="378" t="n">
        <v>11</v>
      </c>
      <c r="R43" s="378" t="n">
        <v>12</v>
      </c>
      <c r="S43" s="378" t="n">
        <v>13</v>
      </c>
      <c r="T43" s="378" t="n">
        <v>14</v>
      </c>
      <c r="U43" s="378" t="n">
        <v>15</v>
      </c>
      <c r="V43" s="378" t="n">
        <v>16</v>
      </c>
      <c r="W43" s="378" t="n">
        <v>17</v>
      </c>
      <c r="X43" s="378" t="n">
        <v>18</v>
      </c>
      <c r="Y43" s="378" t="n">
        <v>19</v>
      </c>
      <c r="Z43" s="378" t="n">
        <v>20</v>
      </c>
      <c r="AA43" s="378" t="n">
        <v>21</v>
      </c>
      <c r="AB43" s="378" t="n">
        <v>22</v>
      </c>
      <c r="AC43" s="378" t="n">
        <v>23</v>
      </c>
      <c r="AD43" s="378" t="n">
        <v>24</v>
      </c>
      <c r="AE43" s="378" t="n">
        <v>25</v>
      </c>
      <c r="AF43" s="378"/>
      <c r="AG43" s="378"/>
      <c r="AH43" s="378"/>
      <c r="AI43" s="378"/>
      <c r="AJ43" s="378"/>
      <c r="AK43" s="378"/>
      <c r="AL43" s="378"/>
      <c r="AM43" s="378"/>
      <c r="AN43" s="378"/>
      <c r="AO43" s="378"/>
      <c r="AP43" s="378"/>
      <c r="AQ43" s="378"/>
      <c r="AR43" s="378"/>
      <c r="AS43" s="378"/>
      <c r="AT43" s="378"/>
      <c r="AU43" s="378"/>
      <c r="AV43" s="378"/>
      <c r="AW43" s="378"/>
      <c r="AX43" s="378"/>
      <c r="AY43" s="378"/>
      <c r="AZ43" s="378"/>
      <c r="BA43" s="378"/>
      <c r="BB43" s="378"/>
      <c r="BC43" s="378"/>
      <c r="BD43" s="378"/>
    </row>
    <row r="44" customFormat="false" ht="12.75" hidden="false" customHeight="false" outlineLevel="0" collapsed="false">
      <c r="A44" s="50" t="str">
        <f aca="false">IF(AUTOEVENTO="Manual",IF(EVENTOS!$F44&gt;0,"F",""),IF(AND(B44&gt;0,B44&lt;=MAX(CÁLCULO!$M$15:$M$205)),"F",""))</f>
        <v>F</v>
      </c>
      <c r="B44" s="374" t="n">
        <f aca="true">OFFSET(B44,-1,0)+1</f>
        <v>29</v>
      </c>
      <c r="C44" s="375" t="str">
        <f aca="true">IF(AUTOEVENTO="Manual",IF($B44&gt;0,OFFSET(EVENTOS!$D$15,$B44-$B$15,0),0),IF(B44&lt;=MAX(CÁLCULO!$M$15:$M$205),VLOOKUP($B44,CÁLCULO!$M$15:$N$205,2,FALSE()),0))</f>
        <v>ACESSÓRIOS/CAIXAS</v>
      </c>
      <c r="D44" s="376"/>
      <c r="E44" s="377"/>
      <c r="F44" s="1" t="str">
        <f aca="false">IF($C44=0,"",CONCATENATE($B44,". ",$C44))</f>
        <v>29. ACESSÓRIOS/CAIXAS</v>
      </c>
      <c r="G44" s="378" t="n">
        <v>1</v>
      </c>
      <c r="H44" s="378" t="n">
        <v>2</v>
      </c>
      <c r="I44" s="378" t="n">
        <v>3</v>
      </c>
      <c r="J44" s="378" t="n">
        <v>4</v>
      </c>
      <c r="K44" s="378" t="n">
        <v>5</v>
      </c>
      <c r="L44" s="378" t="n">
        <v>6</v>
      </c>
      <c r="M44" s="378" t="n">
        <v>7</v>
      </c>
      <c r="N44" s="378" t="n">
        <v>8</v>
      </c>
      <c r="O44" s="378" t="n">
        <v>9</v>
      </c>
      <c r="P44" s="378" t="n">
        <v>10</v>
      </c>
      <c r="Q44" s="378" t="n">
        <v>11</v>
      </c>
      <c r="R44" s="378" t="n">
        <v>12</v>
      </c>
      <c r="S44" s="378" t="n">
        <v>13</v>
      </c>
      <c r="T44" s="378" t="n">
        <v>14</v>
      </c>
      <c r="U44" s="378" t="n">
        <v>15</v>
      </c>
      <c r="V44" s="378" t="n">
        <v>16</v>
      </c>
      <c r="W44" s="378" t="n">
        <v>17</v>
      </c>
      <c r="X44" s="378" t="n">
        <v>18</v>
      </c>
      <c r="Y44" s="378" t="n">
        <v>19</v>
      </c>
      <c r="Z44" s="378" t="n">
        <v>20</v>
      </c>
      <c r="AA44" s="378" t="n">
        <v>21</v>
      </c>
      <c r="AB44" s="378" t="n">
        <v>22</v>
      </c>
      <c r="AC44" s="378" t="n">
        <v>23</v>
      </c>
      <c r="AD44" s="378" t="n">
        <v>24</v>
      </c>
      <c r="AE44" s="378" t="n">
        <v>25</v>
      </c>
      <c r="AF44" s="378"/>
      <c r="AG44" s="378"/>
      <c r="AH44" s="378"/>
      <c r="AI44" s="378"/>
      <c r="AJ44" s="378"/>
      <c r="AK44" s="378"/>
      <c r="AL44" s="378"/>
      <c r="AM44" s="378"/>
      <c r="AN44" s="378"/>
      <c r="AO44" s="378"/>
      <c r="AP44" s="378"/>
      <c r="AQ44" s="378"/>
      <c r="AR44" s="378"/>
      <c r="AS44" s="378"/>
      <c r="AT44" s="378"/>
      <c r="AU44" s="378"/>
      <c r="AV44" s="378"/>
      <c r="AW44" s="378"/>
      <c r="AX44" s="378"/>
      <c r="AY44" s="378"/>
      <c r="AZ44" s="378"/>
      <c r="BA44" s="378"/>
      <c r="BB44" s="378"/>
      <c r="BC44" s="378"/>
      <c r="BD44" s="378"/>
    </row>
    <row r="45" customFormat="false" ht="12.75" hidden="false" customHeight="false" outlineLevel="0" collapsed="false">
      <c r="A45" s="50" t="str">
        <f aca="false">IF(AUTOEVENTO="Manual",IF(EVENTOS!$F45&gt;0,"F",""),IF(AND(B45&gt;0,B45&lt;=MAX(CÁLCULO!$M$15:$M$205)),"F",""))</f>
        <v>F</v>
      </c>
      <c r="B45" s="374" t="n">
        <f aca="true">OFFSET(B45,-1,0)+1</f>
        <v>30</v>
      </c>
      <c r="C45" s="375" t="str">
        <f aca="true">IF(AUTOEVENTO="Manual",IF($B45&gt;0,OFFSET(EVENTOS!$D$15,$B45-$B$15,0),0),IF(B45&lt;=MAX(CÁLCULO!$M$15:$M$205),VLOOKUP($B45,CÁLCULO!$M$15:$N$205,2,FALSE()),0))</f>
        <v>APARELHOS, METAIS E BANCADAS</v>
      </c>
      <c r="D45" s="376"/>
      <c r="E45" s="377"/>
      <c r="F45" s="1" t="str">
        <f aca="false">IF($C45=0,"",CONCATENATE($B45,". ",$C45))</f>
        <v>30. APARELHOS, METAIS E BANCADAS</v>
      </c>
      <c r="G45" s="378" t="n">
        <v>1</v>
      </c>
      <c r="H45" s="378" t="n">
        <v>2</v>
      </c>
      <c r="I45" s="378" t="n">
        <v>3</v>
      </c>
      <c r="J45" s="378" t="n">
        <v>4</v>
      </c>
      <c r="K45" s="378" t="n">
        <v>5</v>
      </c>
      <c r="L45" s="378" t="n">
        <v>6</v>
      </c>
      <c r="M45" s="378" t="n">
        <v>7</v>
      </c>
      <c r="N45" s="378" t="n">
        <v>8</v>
      </c>
      <c r="O45" s="378" t="n">
        <v>9</v>
      </c>
      <c r="P45" s="378" t="n">
        <v>10</v>
      </c>
      <c r="Q45" s="378" t="n">
        <v>11</v>
      </c>
      <c r="R45" s="378" t="n">
        <v>12</v>
      </c>
      <c r="S45" s="378" t="n">
        <v>13</v>
      </c>
      <c r="T45" s="378" t="n">
        <v>14</v>
      </c>
      <c r="U45" s="378" t="n">
        <v>15</v>
      </c>
      <c r="V45" s="378" t="n">
        <v>16</v>
      </c>
      <c r="W45" s="378" t="n">
        <v>17</v>
      </c>
      <c r="X45" s="378" t="n">
        <v>18</v>
      </c>
      <c r="Y45" s="378" t="n">
        <v>19</v>
      </c>
      <c r="Z45" s="378" t="n">
        <v>20</v>
      </c>
      <c r="AA45" s="378" t="n">
        <v>21</v>
      </c>
      <c r="AB45" s="378" t="n">
        <v>22</v>
      </c>
      <c r="AC45" s="378" t="n">
        <v>23</v>
      </c>
      <c r="AD45" s="378" t="n">
        <v>24</v>
      </c>
      <c r="AE45" s="378" t="n">
        <v>25</v>
      </c>
      <c r="AF45" s="378"/>
      <c r="AG45" s="378"/>
      <c r="AH45" s="378"/>
      <c r="AI45" s="378"/>
      <c r="AJ45" s="378"/>
      <c r="AK45" s="378"/>
      <c r="AL45" s="378"/>
      <c r="AM45" s="378"/>
      <c r="AN45" s="378"/>
      <c r="AO45" s="378"/>
      <c r="AP45" s="378"/>
      <c r="AQ45" s="378"/>
      <c r="AR45" s="378"/>
      <c r="AS45" s="378"/>
      <c r="AT45" s="378"/>
      <c r="AU45" s="378"/>
      <c r="AV45" s="378"/>
      <c r="AW45" s="378"/>
      <c r="AX45" s="378"/>
      <c r="AY45" s="378"/>
      <c r="AZ45" s="378"/>
      <c r="BA45" s="378"/>
      <c r="BB45" s="378"/>
      <c r="BC45" s="378"/>
      <c r="BD45" s="378"/>
    </row>
    <row r="46" customFormat="false" ht="12.75" hidden="false" customHeight="false" outlineLevel="0" collapsed="false">
      <c r="A46" s="50" t="str">
        <f aca="false">IF(AUTOEVENTO="Manual",IF(EVENTOS!$F46&gt;0,"F",""),IF(AND(B46&gt;0,B46&lt;=MAX(CÁLCULO!$M$15:$M$205)),"F",""))</f>
        <v>F</v>
      </c>
      <c r="B46" s="374" t="n">
        <f aca="true">OFFSET(B46,-1,0)+1</f>
        <v>31</v>
      </c>
      <c r="C46" s="375" t="str">
        <f aca="true">IF(AUTOEVENTO="Manual",IF($B46&gt;0,OFFSET(EVENTOS!$D$15,$B46-$B$15,0),0),IF(B46&lt;=MAX(CÁLCULO!$M$15:$M$205),VLOOKUP($B46,CÁLCULO!$M$15:$N$205,2,FALSE()),0))</f>
        <v>CALAFETE / LIMPEZA</v>
      </c>
      <c r="D46" s="376"/>
      <c r="E46" s="377"/>
      <c r="F46" s="1" t="str">
        <f aca="false">IF($C46=0,"",CONCATENATE($B46,". ",$C46))</f>
        <v>31. CALAFETE / LIMPEZA</v>
      </c>
      <c r="G46" s="378" t="n">
        <v>1</v>
      </c>
      <c r="H46" s="378" t="n">
        <v>2</v>
      </c>
      <c r="I46" s="378" t="n">
        <v>3</v>
      </c>
      <c r="J46" s="378" t="n">
        <v>4</v>
      </c>
      <c r="K46" s="378" t="n">
        <v>5</v>
      </c>
      <c r="L46" s="378" t="n">
        <v>6</v>
      </c>
      <c r="M46" s="378" t="n">
        <v>7</v>
      </c>
      <c r="N46" s="378" t="n">
        <v>8</v>
      </c>
      <c r="O46" s="378" t="n">
        <v>9</v>
      </c>
      <c r="P46" s="378" t="n">
        <v>10</v>
      </c>
      <c r="Q46" s="378" t="n">
        <v>11</v>
      </c>
      <c r="R46" s="378" t="n">
        <v>12</v>
      </c>
      <c r="S46" s="378" t="n">
        <v>13</v>
      </c>
      <c r="T46" s="378" t="n">
        <v>14</v>
      </c>
      <c r="U46" s="378" t="n">
        <v>15</v>
      </c>
      <c r="V46" s="378" t="n">
        <v>16</v>
      </c>
      <c r="W46" s="378" t="n">
        <v>17</v>
      </c>
      <c r="X46" s="378" t="n">
        <v>18</v>
      </c>
      <c r="Y46" s="378" t="n">
        <v>19</v>
      </c>
      <c r="Z46" s="378" t="n">
        <v>20</v>
      </c>
      <c r="AA46" s="378" t="n">
        <v>21</v>
      </c>
      <c r="AB46" s="378" t="n">
        <v>22</v>
      </c>
      <c r="AC46" s="378" t="n">
        <v>23</v>
      </c>
      <c r="AD46" s="378" t="n">
        <v>24</v>
      </c>
      <c r="AE46" s="378" t="n">
        <v>25</v>
      </c>
      <c r="AF46" s="378"/>
      <c r="AG46" s="378"/>
      <c r="AH46" s="378"/>
      <c r="AI46" s="378"/>
      <c r="AJ46" s="378"/>
      <c r="AK46" s="378"/>
      <c r="AL46" s="378"/>
      <c r="AM46" s="378"/>
      <c r="AN46" s="378"/>
      <c r="AO46" s="378"/>
      <c r="AP46" s="378"/>
      <c r="AQ46" s="378"/>
      <c r="AR46" s="378"/>
      <c r="AS46" s="378"/>
      <c r="AT46" s="378"/>
      <c r="AU46" s="378"/>
      <c r="AV46" s="378"/>
      <c r="AW46" s="378"/>
      <c r="AX46" s="378"/>
      <c r="AY46" s="378"/>
      <c r="AZ46" s="378"/>
      <c r="BA46" s="378"/>
      <c r="BB46" s="378"/>
      <c r="BC46" s="378"/>
      <c r="BD46" s="378"/>
    </row>
    <row r="47" customFormat="false" ht="4.5" hidden="false" customHeight="true" outlineLevel="0" collapsed="false">
      <c r="A47" s="1" t="s">
        <v>563</v>
      </c>
      <c r="B47" s="398"/>
      <c r="C47" s="399"/>
      <c r="D47" s="400"/>
      <c r="E47" s="401"/>
      <c r="F47" s="401"/>
      <c r="G47" s="398"/>
      <c r="H47" s="402"/>
      <c r="I47" s="402"/>
      <c r="J47" s="402"/>
      <c r="K47" s="402"/>
      <c r="L47" s="402"/>
      <c r="M47" s="402"/>
      <c r="N47" s="402"/>
      <c r="O47" s="402"/>
      <c r="P47" s="402"/>
      <c r="Q47" s="402"/>
      <c r="R47" s="402"/>
      <c r="S47" s="402"/>
      <c r="T47" s="402"/>
      <c r="U47" s="402"/>
      <c r="V47" s="402"/>
      <c r="W47" s="402"/>
      <c r="X47" s="402"/>
      <c r="Y47" s="402"/>
      <c r="Z47" s="402"/>
      <c r="AA47" s="402"/>
      <c r="AB47" s="402"/>
      <c r="AC47" s="402"/>
      <c r="AD47" s="402"/>
      <c r="AE47" s="399"/>
      <c r="AF47" s="398"/>
      <c r="AG47" s="402"/>
      <c r="AH47" s="402"/>
      <c r="AI47" s="402"/>
      <c r="AJ47" s="402"/>
      <c r="AK47" s="402"/>
      <c r="AL47" s="402"/>
      <c r="AM47" s="402"/>
      <c r="AN47" s="402"/>
      <c r="AO47" s="402"/>
      <c r="AP47" s="402"/>
      <c r="AQ47" s="402"/>
      <c r="AR47" s="402"/>
      <c r="AS47" s="402"/>
      <c r="AT47" s="402"/>
      <c r="AU47" s="402"/>
      <c r="AV47" s="402"/>
      <c r="AW47" s="402"/>
      <c r="AX47" s="402"/>
      <c r="AY47" s="402"/>
      <c r="AZ47" s="402"/>
      <c r="BA47" s="402"/>
      <c r="BB47" s="402"/>
      <c r="BC47" s="402"/>
      <c r="BD47" s="399"/>
    </row>
    <row r="48" customFormat="false" ht="6" hidden="false" customHeight="true" outlineLevel="0" collapsed="false">
      <c r="A48" s="50" t="s">
        <v>563</v>
      </c>
    </row>
    <row r="49" customFormat="false" ht="13.8" hidden="false" customHeight="false" outlineLevel="0" collapsed="false">
      <c r="A49" s="50" t="s">
        <v>563</v>
      </c>
      <c r="C49" s="403" t="s">
        <v>990</v>
      </c>
      <c r="H49" s="404" t="n">
        <f aca="false">(ROW($G49)-ROW($G$49))/8*12+1</f>
        <v>1</v>
      </c>
      <c r="I49" s="404"/>
      <c r="J49" s="404" t="n">
        <f aca="false">H49+1</f>
        <v>2</v>
      </c>
      <c r="K49" s="404"/>
      <c r="L49" s="404" t="n">
        <f aca="false">J49+1</f>
        <v>3</v>
      </c>
      <c r="M49" s="404"/>
      <c r="N49" s="404" t="n">
        <f aca="false">L49+1</f>
        <v>4</v>
      </c>
      <c r="O49" s="404"/>
      <c r="P49" s="404" t="n">
        <f aca="false">N49+1</f>
        <v>5</v>
      </c>
      <c r="Q49" s="404"/>
      <c r="R49" s="404" t="n">
        <f aca="false">P49+1</f>
        <v>6</v>
      </c>
      <c r="S49" s="404"/>
      <c r="T49" s="404" t="n">
        <f aca="false">R49+1</f>
        <v>7</v>
      </c>
      <c r="U49" s="404"/>
      <c r="V49" s="404" t="n">
        <f aca="false">T49+1</f>
        <v>8</v>
      </c>
      <c r="W49" s="404"/>
      <c r="X49" s="404" t="n">
        <f aca="false">V49+1</f>
        <v>9</v>
      </c>
      <c r="Y49" s="404"/>
      <c r="Z49" s="404" t="n">
        <f aca="false">X49+1</f>
        <v>10</v>
      </c>
      <c r="AA49" s="404"/>
      <c r="AB49" s="404" t="n">
        <f aca="false">Z49+1</f>
        <v>11</v>
      </c>
      <c r="AC49" s="404"/>
      <c r="AD49" s="404" t="n">
        <f aca="false">AB49+1</f>
        <v>12</v>
      </c>
      <c r="AE49" s="404"/>
      <c r="AG49" s="404" t="n">
        <f aca="false">(ROW($G49)-ROW($G$49))/8*12+1</f>
        <v>1</v>
      </c>
      <c r="AH49" s="404"/>
      <c r="AI49" s="404" t="n">
        <f aca="false">AG49+1</f>
        <v>2</v>
      </c>
      <c r="AJ49" s="404"/>
      <c r="AK49" s="404" t="n">
        <f aca="false">AI49+1</f>
        <v>3</v>
      </c>
      <c r="AL49" s="404"/>
      <c r="AM49" s="404" t="n">
        <f aca="false">AK49+1</f>
        <v>4</v>
      </c>
      <c r="AN49" s="404"/>
      <c r="AO49" s="404" t="n">
        <f aca="false">AM49+1</f>
        <v>5</v>
      </c>
      <c r="AP49" s="404"/>
      <c r="AQ49" s="404" t="n">
        <f aca="false">AO49+1</f>
        <v>6</v>
      </c>
      <c r="AR49" s="404"/>
      <c r="AS49" s="404" t="n">
        <f aca="false">AQ49+1</f>
        <v>7</v>
      </c>
      <c r="AT49" s="404"/>
      <c r="AU49" s="404" t="n">
        <f aca="false">AS49+1</f>
        <v>8</v>
      </c>
      <c r="AV49" s="404"/>
      <c r="AW49" s="404" t="n">
        <f aca="false">AU49+1</f>
        <v>9</v>
      </c>
      <c r="AX49" s="404"/>
      <c r="AY49" s="404" t="n">
        <f aca="false">AW49+1</f>
        <v>10</v>
      </c>
      <c r="AZ49" s="404"/>
      <c r="BA49" s="404" t="n">
        <f aca="false">AY49+1</f>
        <v>11</v>
      </c>
      <c r="BB49" s="404"/>
      <c r="BC49" s="404" t="n">
        <f aca="false">BA49+1</f>
        <v>12</v>
      </c>
      <c r="BD49" s="404"/>
    </row>
    <row r="50" customFormat="false" ht="12.75" hidden="false" customHeight="true" outlineLevel="0" collapsed="false">
      <c r="A50" s="50" t="s">
        <v>563</v>
      </c>
      <c r="C50" s="405" t="s">
        <v>991</v>
      </c>
      <c r="G50" s="406" t="s">
        <v>992</v>
      </c>
      <c r="H50" s="407" t="n">
        <f aca="true">OFFSET(CRONO!$T$183,0,CRONOPLE!H49)</f>
        <v>0.0452290856448283</v>
      </c>
      <c r="I50" s="407"/>
      <c r="J50" s="407" t="n">
        <f aca="true">OFFSET(CRONO!$T$183,0,CRONOPLE!J49)</f>
        <v>0.0435596840199663</v>
      </c>
      <c r="K50" s="407"/>
      <c r="L50" s="407" t="n">
        <f aca="true">OFFSET(CRONO!$T$183,0,CRONOPLE!L49)</f>
        <v>0.0400047043027996</v>
      </c>
      <c r="M50" s="407"/>
      <c r="N50" s="407" t="n">
        <f aca="true">OFFSET(CRONO!$T$183,0,CRONOPLE!N49)</f>
        <v>0.0396002966378366</v>
      </c>
      <c r="O50" s="407"/>
      <c r="P50" s="407" t="n">
        <f aca="true">OFFSET(CRONO!$T$183,0,CRONOPLE!P49)</f>
        <v>0.0396002966378366</v>
      </c>
      <c r="Q50" s="407"/>
      <c r="R50" s="407" t="n">
        <f aca="true">OFFSET(CRONO!$T$183,0,CRONOPLE!R49)</f>
        <v>0.0396002966378366</v>
      </c>
      <c r="S50" s="407"/>
      <c r="T50" s="407" t="n">
        <f aca="true">OFFSET(CRONO!$T$183,0,CRONOPLE!T49)</f>
        <v>0.0396002966378366</v>
      </c>
      <c r="U50" s="407"/>
      <c r="V50" s="407" t="n">
        <f aca="true">OFFSET(CRONO!$T$183,0,CRONOPLE!V49)</f>
        <v>0.0396002966378366</v>
      </c>
      <c r="W50" s="407"/>
      <c r="X50" s="407" t="n">
        <f aca="true">OFFSET(CRONO!$T$183,0,CRONOPLE!X49)</f>
        <v>0.0396002966378366</v>
      </c>
      <c r="Y50" s="407"/>
      <c r="Z50" s="407" t="n">
        <f aca="true">OFFSET(CRONO!$T$183,0,CRONOPLE!Z49)</f>
        <v>0.0396002966378366</v>
      </c>
      <c r="AA50" s="407"/>
      <c r="AB50" s="407" t="n">
        <f aca="true">OFFSET(CRONO!$T$183,0,CRONOPLE!AB49)</f>
        <v>0.0396002966378366</v>
      </c>
      <c r="AC50" s="407"/>
      <c r="AD50" s="407" t="n">
        <f aca="true">OFFSET(CRONO!$T$183,0,CRONOPLE!AD49)</f>
        <v>0.0396002966378366</v>
      </c>
      <c r="AE50" s="407"/>
      <c r="AF50" s="406" t="s">
        <v>992</v>
      </c>
      <c r="AG50" s="407" t="n">
        <f aca="true">OFFSET(CRONO!$T$183,0,CRONOPLE!AG49)</f>
        <v>0.0452290856448283</v>
      </c>
      <c r="AH50" s="407"/>
      <c r="AI50" s="407" t="n">
        <f aca="true">OFFSET(CRONO!$T$183,0,CRONOPLE!AI49)</f>
        <v>0.0435596840199663</v>
      </c>
      <c r="AJ50" s="407"/>
      <c r="AK50" s="407" t="n">
        <f aca="true">OFFSET(CRONO!$T$183,0,CRONOPLE!AK49)</f>
        <v>0.0400047043027996</v>
      </c>
      <c r="AL50" s="407"/>
      <c r="AM50" s="407" t="n">
        <f aca="true">OFFSET(CRONO!$T$183,0,CRONOPLE!AM49)</f>
        <v>0.0396002966378366</v>
      </c>
      <c r="AN50" s="407"/>
      <c r="AO50" s="407" t="n">
        <f aca="true">OFFSET(CRONO!$T$183,0,CRONOPLE!AO49)</f>
        <v>0.0396002966378366</v>
      </c>
      <c r="AP50" s="407"/>
      <c r="AQ50" s="407" t="n">
        <f aca="true">OFFSET(CRONO!$T$183,0,CRONOPLE!AQ49)</f>
        <v>0.0396002966378366</v>
      </c>
      <c r="AR50" s="407"/>
      <c r="AS50" s="407" t="n">
        <f aca="true">OFFSET(CRONO!$T$183,0,CRONOPLE!AS49)</f>
        <v>0.0396002966378366</v>
      </c>
      <c r="AT50" s="407"/>
      <c r="AU50" s="407" t="n">
        <f aca="true">OFFSET(CRONO!$T$183,0,CRONOPLE!AU49)</f>
        <v>0.0396002966378366</v>
      </c>
      <c r="AV50" s="407"/>
      <c r="AW50" s="407" t="n">
        <f aca="true">OFFSET(CRONO!$T$183,0,CRONOPLE!AW49)</f>
        <v>0.0396002966378366</v>
      </c>
      <c r="AX50" s="407"/>
      <c r="AY50" s="407" t="n">
        <f aca="true">OFFSET(CRONO!$T$183,0,CRONOPLE!AY49)</f>
        <v>0.0396002966378366</v>
      </c>
      <c r="AZ50" s="407"/>
      <c r="BA50" s="407" t="n">
        <f aca="true">OFFSET(CRONO!$T$183,0,CRONOPLE!BA49)</f>
        <v>0.0396002966378366</v>
      </c>
      <c r="BB50" s="407"/>
      <c r="BC50" s="407" t="n">
        <f aca="true">OFFSET(CRONO!$T$183,0,CRONOPLE!BC49)</f>
        <v>0.0396002966378366</v>
      </c>
      <c r="BD50" s="407"/>
    </row>
    <row r="51" customFormat="false" ht="12.75" hidden="false" customHeight="true" outlineLevel="0" collapsed="false">
      <c r="A51" s="50" t="s">
        <v>563</v>
      </c>
      <c r="C51" s="405"/>
      <c r="G51" s="408" t="s">
        <v>993</v>
      </c>
      <c r="H51" s="409" t="n">
        <f aca="true">OFFSET(CRONO!$T$187,0,CRONOPLE!H49)</f>
        <v>165344.74</v>
      </c>
      <c r="I51" s="409"/>
      <c r="J51" s="409" t="n">
        <f aca="true">OFFSET(CRONO!$T$187,0,CRONOPLE!J49)</f>
        <v>159241.88</v>
      </c>
      <c r="K51" s="409"/>
      <c r="L51" s="409" t="n">
        <f aca="true">OFFSET(CRONO!$T$187,0,CRONOPLE!L49)</f>
        <v>146245.88</v>
      </c>
      <c r="M51" s="409"/>
      <c r="N51" s="409" t="n">
        <f aca="true">OFFSET(CRONO!$T$187,0,CRONOPLE!N49)</f>
        <v>144767.48</v>
      </c>
      <c r="O51" s="409"/>
      <c r="P51" s="409" t="n">
        <f aca="true">OFFSET(CRONO!$T$187,0,CRONOPLE!P49)</f>
        <v>144767.48</v>
      </c>
      <c r="Q51" s="409"/>
      <c r="R51" s="409" t="n">
        <f aca="true">OFFSET(CRONO!$T$187,0,CRONOPLE!R49)</f>
        <v>144767.48</v>
      </c>
      <c r="S51" s="409"/>
      <c r="T51" s="409" t="n">
        <f aca="true">OFFSET(CRONO!$T$187,0,CRONOPLE!T49)</f>
        <v>144767.48</v>
      </c>
      <c r="U51" s="409"/>
      <c r="V51" s="409" t="n">
        <f aca="true">OFFSET(CRONO!$T$187,0,CRONOPLE!V49)</f>
        <v>144767.48</v>
      </c>
      <c r="W51" s="409"/>
      <c r="X51" s="409" t="n">
        <f aca="true">OFFSET(CRONO!$T$187,0,CRONOPLE!X49)</f>
        <v>144767.48</v>
      </c>
      <c r="Y51" s="409"/>
      <c r="Z51" s="409" t="n">
        <f aca="true">OFFSET(CRONO!$T$187,0,CRONOPLE!Z49)</f>
        <v>144767.48</v>
      </c>
      <c r="AA51" s="409"/>
      <c r="AB51" s="409" t="n">
        <f aca="true">OFFSET(CRONO!$T$187,0,CRONOPLE!AB49)</f>
        <v>144767.48</v>
      </c>
      <c r="AC51" s="409"/>
      <c r="AD51" s="409" t="n">
        <f aca="true">OFFSET(CRONO!$T$187,0,CRONOPLE!AD49)</f>
        <v>144767.48</v>
      </c>
      <c r="AE51" s="409"/>
      <c r="AF51" s="408" t="s">
        <v>993</v>
      </c>
      <c r="AG51" s="409" t="n">
        <f aca="true">OFFSET(CRONO!$T$187,0,CRONOPLE!AG49)</f>
        <v>165344.74</v>
      </c>
      <c r="AH51" s="409"/>
      <c r="AI51" s="409" t="n">
        <f aca="true">OFFSET(CRONO!$T$187,0,CRONOPLE!AI49)</f>
        <v>159241.88</v>
      </c>
      <c r="AJ51" s="409"/>
      <c r="AK51" s="409" t="n">
        <f aca="true">OFFSET(CRONO!$T$187,0,CRONOPLE!AK49)</f>
        <v>146245.88</v>
      </c>
      <c r="AL51" s="409"/>
      <c r="AM51" s="409" t="n">
        <f aca="true">OFFSET(CRONO!$T$187,0,CRONOPLE!AM49)</f>
        <v>144767.48</v>
      </c>
      <c r="AN51" s="409"/>
      <c r="AO51" s="409" t="n">
        <f aca="true">OFFSET(CRONO!$T$187,0,CRONOPLE!AO49)</f>
        <v>144767.48</v>
      </c>
      <c r="AP51" s="409"/>
      <c r="AQ51" s="409" t="n">
        <f aca="true">OFFSET(CRONO!$T$187,0,CRONOPLE!AQ49)</f>
        <v>144767.48</v>
      </c>
      <c r="AR51" s="409"/>
      <c r="AS51" s="409" t="n">
        <f aca="true">OFFSET(CRONO!$T$187,0,CRONOPLE!AS49)</f>
        <v>144767.48</v>
      </c>
      <c r="AT51" s="409"/>
      <c r="AU51" s="409" t="n">
        <f aca="true">OFFSET(CRONO!$T$187,0,CRONOPLE!AU49)</f>
        <v>144767.48</v>
      </c>
      <c r="AV51" s="409"/>
      <c r="AW51" s="409" t="n">
        <f aca="true">OFFSET(CRONO!$T$187,0,CRONOPLE!AW49)</f>
        <v>144767.48</v>
      </c>
      <c r="AX51" s="409"/>
      <c r="AY51" s="409" t="n">
        <f aca="true">OFFSET(CRONO!$T$187,0,CRONOPLE!AY49)</f>
        <v>144767.48</v>
      </c>
      <c r="AZ51" s="409"/>
      <c r="BA51" s="409" t="n">
        <f aca="true">OFFSET(CRONO!$T$187,0,CRONOPLE!BA49)</f>
        <v>144767.48</v>
      </c>
      <c r="BB51" s="409"/>
      <c r="BC51" s="409" t="n">
        <f aca="true">OFFSET(CRONO!$T$187,0,CRONOPLE!BC49)</f>
        <v>144767.48</v>
      </c>
      <c r="BD51" s="409"/>
    </row>
    <row r="52" customFormat="false" ht="12.75" hidden="false" customHeight="true" outlineLevel="0" collapsed="false">
      <c r="A52" s="50" t="s">
        <v>563</v>
      </c>
      <c r="C52" s="410" t="s">
        <v>994</v>
      </c>
      <c r="G52" s="406" t="s">
        <v>992</v>
      </c>
      <c r="H52" s="407" t="n">
        <f aca="true">OFFSET(CRONO!$T$188,0,CRONOPLE!H49)</f>
        <v>0.0452</v>
      </c>
      <c r="I52" s="407"/>
      <c r="J52" s="407" t="n">
        <f aca="true">OFFSET(CRONO!$T$188,0,CRONOPLE!J49)</f>
        <v>0.0888</v>
      </c>
      <c r="K52" s="407"/>
      <c r="L52" s="407" t="n">
        <f aca="true">OFFSET(CRONO!$T$188,0,CRONOPLE!L49)</f>
        <v>0.1288</v>
      </c>
      <c r="M52" s="407"/>
      <c r="N52" s="407" t="n">
        <f aca="true">OFFSET(CRONO!$T$188,0,CRONOPLE!N49)</f>
        <v>0.1684</v>
      </c>
      <c r="O52" s="407"/>
      <c r="P52" s="407" t="n">
        <f aca="true">OFFSET(CRONO!$T$188,0,CRONOPLE!P49)</f>
        <v>0.208</v>
      </c>
      <c r="Q52" s="407"/>
      <c r="R52" s="407" t="n">
        <f aca="true">OFFSET(CRONO!$T$188,0,CRONOPLE!R49)</f>
        <v>0.2476</v>
      </c>
      <c r="S52" s="407"/>
      <c r="T52" s="407" t="n">
        <f aca="true">OFFSET(CRONO!$T$188,0,CRONOPLE!T49)</f>
        <v>0.2872</v>
      </c>
      <c r="U52" s="407"/>
      <c r="V52" s="407" t="n">
        <f aca="true">OFFSET(CRONO!$T$188,0,CRONOPLE!V49)</f>
        <v>0.3268</v>
      </c>
      <c r="W52" s="407"/>
      <c r="X52" s="407" t="n">
        <f aca="true">OFFSET(CRONO!$T$188,0,CRONOPLE!X49)</f>
        <v>0.3664</v>
      </c>
      <c r="Y52" s="407"/>
      <c r="Z52" s="407" t="n">
        <f aca="true">OFFSET(CRONO!$T$188,0,CRONOPLE!Z49)</f>
        <v>0.406</v>
      </c>
      <c r="AA52" s="407"/>
      <c r="AB52" s="407" t="n">
        <f aca="true">OFFSET(CRONO!$T$188,0,CRONOPLE!AB49)</f>
        <v>0.4456</v>
      </c>
      <c r="AC52" s="407"/>
      <c r="AD52" s="407" t="n">
        <f aca="true">OFFSET(CRONO!$T$188,0,CRONOPLE!AD49)</f>
        <v>0.4852</v>
      </c>
      <c r="AE52" s="407"/>
      <c r="AF52" s="406" t="s">
        <v>992</v>
      </c>
      <c r="AG52" s="407" t="n">
        <f aca="true">OFFSET(CRONO!$T$188,0,CRONOPLE!AG49)</f>
        <v>0.0452</v>
      </c>
      <c r="AH52" s="407"/>
      <c r="AI52" s="407" t="n">
        <f aca="true">OFFSET(CRONO!$T$188,0,CRONOPLE!AI49)</f>
        <v>0.0888</v>
      </c>
      <c r="AJ52" s="407"/>
      <c r="AK52" s="407" t="n">
        <f aca="true">OFFSET(CRONO!$T$188,0,CRONOPLE!AK49)</f>
        <v>0.1288</v>
      </c>
      <c r="AL52" s="407"/>
      <c r="AM52" s="407" t="n">
        <f aca="true">OFFSET(CRONO!$T$188,0,CRONOPLE!AM49)</f>
        <v>0.1684</v>
      </c>
      <c r="AN52" s="407"/>
      <c r="AO52" s="407" t="n">
        <f aca="true">OFFSET(CRONO!$T$188,0,CRONOPLE!AO49)</f>
        <v>0.208</v>
      </c>
      <c r="AP52" s="407"/>
      <c r="AQ52" s="407" t="n">
        <f aca="true">OFFSET(CRONO!$T$188,0,CRONOPLE!AQ49)</f>
        <v>0.2476</v>
      </c>
      <c r="AR52" s="407"/>
      <c r="AS52" s="407" t="n">
        <f aca="true">OFFSET(CRONO!$T$188,0,CRONOPLE!AS49)</f>
        <v>0.2872</v>
      </c>
      <c r="AT52" s="407"/>
      <c r="AU52" s="407" t="n">
        <f aca="true">OFFSET(CRONO!$T$188,0,CRONOPLE!AU49)</f>
        <v>0.3268</v>
      </c>
      <c r="AV52" s="407"/>
      <c r="AW52" s="407" t="n">
        <f aca="true">OFFSET(CRONO!$T$188,0,CRONOPLE!AW49)</f>
        <v>0.3664</v>
      </c>
      <c r="AX52" s="407"/>
      <c r="AY52" s="407" t="n">
        <f aca="true">OFFSET(CRONO!$T$188,0,CRONOPLE!AY49)</f>
        <v>0.406</v>
      </c>
      <c r="AZ52" s="407"/>
      <c r="BA52" s="407" t="n">
        <f aca="true">OFFSET(CRONO!$T$188,0,CRONOPLE!BA49)</f>
        <v>0.4456</v>
      </c>
      <c r="BB52" s="407"/>
      <c r="BC52" s="407" t="n">
        <f aca="true">OFFSET(CRONO!$T$188,0,CRONOPLE!BC49)</f>
        <v>0.4852</v>
      </c>
      <c r="BD52" s="407"/>
    </row>
    <row r="53" customFormat="false" ht="12.75" hidden="false" customHeight="true" outlineLevel="0" collapsed="false">
      <c r="A53" s="50" t="s">
        <v>563</v>
      </c>
      <c r="C53" s="410"/>
      <c r="G53" s="408" t="s">
        <v>993</v>
      </c>
      <c r="H53" s="411" t="n">
        <f aca="true">OFFSET(CRONO!$T$192,0,CRONOPLE!H49)</f>
        <v>165344.74</v>
      </c>
      <c r="I53" s="411"/>
      <c r="J53" s="411" t="n">
        <f aca="true">OFFSET(CRONO!$T$192,0,CRONOPLE!J49)</f>
        <v>324586.62</v>
      </c>
      <c r="K53" s="411"/>
      <c r="L53" s="411" t="n">
        <f aca="true">OFFSET(CRONO!$T$192,0,CRONOPLE!L49)</f>
        <v>470832.5</v>
      </c>
      <c r="M53" s="411"/>
      <c r="N53" s="411" t="n">
        <f aca="true">OFFSET(CRONO!$T$192,0,CRONOPLE!N49)</f>
        <v>615599.98</v>
      </c>
      <c r="O53" s="411"/>
      <c r="P53" s="411" t="n">
        <f aca="true">OFFSET(CRONO!$T$192,0,CRONOPLE!P49)</f>
        <v>760367.46</v>
      </c>
      <c r="Q53" s="411"/>
      <c r="R53" s="411" t="n">
        <f aca="true">OFFSET(CRONO!$T$192,0,CRONOPLE!R49)</f>
        <v>905134.94</v>
      </c>
      <c r="S53" s="411"/>
      <c r="T53" s="411" t="n">
        <f aca="true">OFFSET(CRONO!$T$192,0,CRONOPLE!T49)</f>
        <v>1049902.42</v>
      </c>
      <c r="U53" s="411"/>
      <c r="V53" s="411" t="n">
        <f aca="true">OFFSET(CRONO!$T$192,0,CRONOPLE!V49)</f>
        <v>1194669.9</v>
      </c>
      <c r="W53" s="411"/>
      <c r="X53" s="411" t="n">
        <f aca="true">OFFSET(CRONO!$T$192,0,CRONOPLE!X49)</f>
        <v>1339437.38</v>
      </c>
      <c r="Y53" s="411"/>
      <c r="Z53" s="411" t="n">
        <f aca="true">OFFSET(CRONO!$T$192,0,CRONOPLE!Z49)</f>
        <v>1484204.86</v>
      </c>
      <c r="AA53" s="411"/>
      <c r="AB53" s="411" t="n">
        <f aca="true">OFFSET(CRONO!$T$192,0,CRONOPLE!AB49)</f>
        <v>1628972.34</v>
      </c>
      <c r="AC53" s="411"/>
      <c r="AD53" s="411" t="n">
        <f aca="true">OFFSET(CRONO!$T$192,0,CRONOPLE!AD49)</f>
        <v>1773739.82</v>
      </c>
      <c r="AE53" s="411"/>
      <c r="AF53" s="408" t="s">
        <v>993</v>
      </c>
      <c r="AG53" s="411" t="n">
        <f aca="true">OFFSET(CRONO!$T$192,0,CRONOPLE!AG49)</f>
        <v>165344.74</v>
      </c>
      <c r="AH53" s="411"/>
      <c r="AI53" s="411" t="n">
        <f aca="true">OFFSET(CRONO!$T$192,0,CRONOPLE!AI49)</f>
        <v>324586.62</v>
      </c>
      <c r="AJ53" s="411"/>
      <c r="AK53" s="411" t="n">
        <f aca="true">OFFSET(CRONO!$T$192,0,CRONOPLE!AK49)</f>
        <v>470832.5</v>
      </c>
      <c r="AL53" s="411"/>
      <c r="AM53" s="411" t="n">
        <f aca="true">OFFSET(CRONO!$T$192,0,CRONOPLE!AM49)</f>
        <v>615599.98</v>
      </c>
      <c r="AN53" s="411"/>
      <c r="AO53" s="411" t="n">
        <f aca="true">OFFSET(CRONO!$T$192,0,CRONOPLE!AO49)</f>
        <v>760367.46</v>
      </c>
      <c r="AP53" s="411"/>
      <c r="AQ53" s="411" t="n">
        <f aca="true">OFFSET(CRONO!$T$192,0,CRONOPLE!AQ49)</f>
        <v>905134.94</v>
      </c>
      <c r="AR53" s="411"/>
      <c r="AS53" s="411" t="n">
        <f aca="true">OFFSET(CRONO!$T$192,0,CRONOPLE!AS49)</f>
        <v>1049902.42</v>
      </c>
      <c r="AT53" s="411"/>
      <c r="AU53" s="411" t="n">
        <f aca="true">OFFSET(CRONO!$T$192,0,CRONOPLE!AU49)</f>
        <v>1194669.9</v>
      </c>
      <c r="AV53" s="411"/>
      <c r="AW53" s="411" t="n">
        <f aca="true">OFFSET(CRONO!$T$192,0,CRONOPLE!AW49)</f>
        <v>1339437.38</v>
      </c>
      <c r="AX53" s="411"/>
      <c r="AY53" s="411" t="n">
        <f aca="true">OFFSET(CRONO!$T$192,0,CRONOPLE!AY49)</f>
        <v>1484204.86</v>
      </c>
      <c r="AZ53" s="411"/>
      <c r="BA53" s="411" t="n">
        <f aca="true">OFFSET(CRONO!$T$192,0,CRONOPLE!BA49)</f>
        <v>1628972.34</v>
      </c>
      <c r="BB53" s="411"/>
      <c r="BC53" s="411" t="n">
        <f aca="true">OFFSET(CRONO!$T$192,0,CRONOPLE!BC49)</f>
        <v>1773739.82</v>
      </c>
      <c r="BD53" s="411"/>
    </row>
    <row r="54" customFormat="false" ht="12.75" hidden="false" customHeight="true" outlineLevel="0" collapsed="false">
      <c r="A54" s="50" t="s">
        <v>563</v>
      </c>
      <c r="C54" s="412" t="s">
        <v>995</v>
      </c>
      <c r="D54" s="413"/>
      <c r="G54" s="406" t="s">
        <v>992</v>
      </c>
      <c r="H54" s="407" t="n">
        <f aca="true">OFFSET(CRONO!$T$193,0,CRONOPLE!H49)</f>
        <v>0.563296638439685</v>
      </c>
      <c r="I54" s="407"/>
      <c r="J54" s="414" t="n">
        <f aca="true">OFFSET(CRONO!$T$193,0,CRONOPLE!J49)</f>
        <v>0.959529220592575</v>
      </c>
      <c r="K54" s="414"/>
      <c r="L54" s="414" t="n">
        <f aca="true">OFFSET(CRONO!$T$193,0,CRONOPLE!L49)</f>
        <v>1</v>
      </c>
      <c r="M54" s="414"/>
      <c r="N54" s="414" t="n">
        <f aca="true">OFFSET(CRONO!$T$193,0,CRONOPLE!N49)</f>
        <v>1</v>
      </c>
      <c r="O54" s="414"/>
      <c r="P54" s="414" t="n">
        <f aca="true">OFFSET(CRONO!$T$193,0,CRONOPLE!P49)</f>
        <v>1</v>
      </c>
      <c r="Q54" s="414"/>
      <c r="R54" s="414" t="n">
        <f aca="true">OFFSET(CRONO!$T$193,0,CRONOPLE!R49)</f>
        <v>1</v>
      </c>
      <c r="S54" s="414"/>
      <c r="T54" s="414" t="n">
        <f aca="true">OFFSET(CRONO!$T$193,0,CRONOPLE!T49)</f>
        <v>1</v>
      </c>
      <c r="U54" s="414"/>
      <c r="V54" s="414" t="n">
        <f aca="true">OFFSET(CRONO!$T$193,0,CRONOPLE!V49)</f>
        <v>1</v>
      </c>
      <c r="W54" s="414"/>
      <c r="X54" s="414" t="n">
        <f aca="true">OFFSET(CRONO!$T$193,0,CRONOPLE!X49)</f>
        <v>1</v>
      </c>
      <c r="Y54" s="414"/>
      <c r="Z54" s="414" t="n">
        <f aca="true">OFFSET(CRONO!$T$193,0,CRONOPLE!Z49)</f>
        <v>1</v>
      </c>
      <c r="AA54" s="414"/>
      <c r="AB54" s="414" t="n">
        <f aca="true">OFFSET(CRONO!$T$193,0,CRONOPLE!AB49)</f>
        <v>1</v>
      </c>
      <c r="AC54" s="414"/>
      <c r="AD54" s="414" t="n">
        <f aca="true">OFFSET(CRONO!$T$193,0,CRONOPLE!AD49)</f>
        <v>1</v>
      </c>
      <c r="AE54" s="414"/>
      <c r="AF54" s="406" t="s">
        <v>992</v>
      </c>
      <c r="AG54" s="407" t="n">
        <f aca="true">OFFSET(CRONO!$T$193,0,CRONOPLE!AG49)</f>
        <v>0.563296638439685</v>
      </c>
      <c r="AH54" s="407"/>
      <c r="AI54" s="414" t="n">
        <f aca="true">OFFSET(CRONO!$T$193,0,CRONOPLE!AI49)</f>
        <v>0.959529220592575</v>
      </c>
      <c r="AJ54" s="414"/>
      <c r="AK54" s="414" t="n">
        <f aca="true">OFFSET(CRONO!$T$193,0,CRONOPLE!AK49)</f>
        <v>1</v>
      </c>
      <c r="AL54" s="414"/>
      <c r="AM54" s="414" t="n">
        <f aca="true">OFFSET(CRONO!$T$193,0,CRONOPLE!AM49)</f>
        <v>1</v>
      </c>
      <c r="AN54" s="414"/>
      <c r="AO54" s="414" t="n">
        <f aca="true">OFFSET(CRONO!$T$193,0,CRONOPLE!AO49)</f>
        <v>1</v>
      </c>
      <c r="AP54" s="414"/>
      <c r="AQ54" s="414" t="n">
        <f aca="true">OFFSET(CRONO!$T$193,0,CRONOPLE!AQ49)</f>
        <v>1</v>
      </c>
      <c r="AR54" s="414"/>
      <c r="AS54" s="414" t="n">
        <f aca="true">OFFSET(CRONO!$T$193,0,CRONOPLE!AS49)</f>
        <v>1</v>
      </c>
      <c r="AT54" s="414"/>
      <c r="AU54" s="414" t="n">
        <f aca="true">OFFSET(CRONO!$T$193,0,CRONOPLE!AU49)</f>
        <v>1</v>
      </c>
      <c r="AV54" s="414"/>
      <c r="AW54" s="414" t="n">
        <f aca="true">OFFSET(CRONO!$T$193,0,CRONOPLE!AW49)</f>
        <v>1</v>
      </c>
      <c r="AX54" s="414"/>
      <c r="AY54" s="414" t="n">
        <f aca="true">OFFSET(CRONO!$T$193,0,CRONOPLE!AY49)</f>
        <v>1</v>
      </c>
      <c r="AZ54" s="414"/>
      <c r="BA54" s="414" t="n">
        <f aca="true">OFFSET(CRONO!$T$193,0,CRONOPLE!BA49)</f>
        <v>1</v>
      </c>
      <c r="BB54" s="414"/>
      <c r="BC54" s="414" t="n">
        <f aca="true">OFFSET(CRONO!$T$193,0,CRONOPLE!BC49)</f>
        <v>1</v>
      </c>
      <c r="BD54" s="414"/>
    </row>
    <row r="55" customFormat="false" ht="15" hidden="false" customHeight="true" outlineLevel="0" collapsed="false">
      <c r="A55" s="50" t="s">
        <v>563</v>
      </c>
      <c r="C55" s="415"/>
      <c r="G55" s="416" t="str">
        <f aca="false">IF(COUNTIF(H55:BE55,"%Adm&gt;%Global")&gt;0,"Verificar proporcionalidade da Administração Local","")</f>
        <v>Verificar proporcionalidade da Administração Local</v>
      </c>
      <c r="H55" s="417" t="str">
        <f aca="false">IF(H54="","",IF(ROUND(H54,4)&gt;ROUND(H52,4),"%Adm&gt;%Global",""))</f>
        <v>%Adm&gt;%Global</v>
      </c>
      <c r="J55" s="417" t="str">
        <f aca="false">IF(J54="","",IF(ROUND(J54,4)&gt;ROUND(J52,4),"%Adm&gt;%Global",""))</f>
        <v>%Adm&gt;%Global</v>
      </c>
      <c r="L55" s="417" t="str">
        <f aca="false">IF(L54="","",IF(ROUND(L54,4)&gt;ROUND(L52,4),"%Adm&gt;%Global",""))</f>
        <v>%Adm&gt;%Global</v>
      </c>
      <c r="N55" s="417" t="str">
        <f aca="false">IF(N54="","",IF(ROUND(N54,4)&gt;ROUND(N52,4),"%Adm&gt;%Global",""))</f>
        <v>%Adm&gt;%Global</v>
      </c>
      <c r="P55" s="417" t="str">
        <f aca="false">IF(P54="","",IF(ROUND(P54,4)&gt;ROUND(P52,4),"%Adm&gt;%Global",""))</f>
        <v>%Adm&gt;%Global</v>
      </c>
      <c r="R55" s="417" t="str">
        <f aca="false">IF(R54="","",IF(ROUND(R54,4)&gt;ROUND(R52,4),"%Adm&gt;%Global",""))</f>
        <v>%Adm&gt;%Global</v>
      </c>
      <c r="T55" s="417" t="str">
        <f aca="false">IF(T54="","",IF(ROUND(T54,4)&gt;ROUND(T52,4),"%Adm&gt;%Global",""))</f>
        <v>%Adm&gt;%Global</v>
      </c>
      <c r="V55" s="417" t="str">
        <f aca="false">IF(V54="","",IF(ROUND(V54,4)&gt;ROUND(V52,4),"%Adm&gt;%Global",""))</f>
        <v>%Adm&gt;%Global</v>
      </c>
      <c r="X55" s="417" t="str">
        <f aca="false">IF(X54="","",IF(ROUND(X54,4)&gt;ROUND(X52,4),"%Adm&gt;%Global",""))</f>
        <v>%Adm&gt;%Global</v>
      </c>
      <c r="Z55" s="417" t="str">
        <f aca="false">IF(Z54="","",IF(ROUND(Z54,4)&gt;ROUND(Z52,4),"%Adm&gt;%Global",""))</f>
        <v>%Adm&gt;%Global</v>
      </c>
      <c r="AB55" s="417" t="str">
        <f aca="false">IF(AB54="","",IF(ROUND(AB54,4)&gt;ROUND(AB52,4),"%Adm&gt;%Global",""))</f>
        <v>%Adm&gt;%Global</v>
      </c>
      <c r="AD55" s="417" t="str">
        <f aca="false">IF(AD54="","",IF(ROUND(AD54,4)&gt;ROUND(AD52,4),"%Adm&gt;%Global",""))</f>
        <v>%Adm&gt;%Global</v>
      </c>
      <c r="AF55" s="416" t="str">
        <f aca="false">IF(COUNTIF(AG55:CD55,"%Adm&gt;%Global")&gt;0,"Verificar proporcionalidade da Administração Local","")</f>
        <v>Verificar proporcionalidade da Administração Local</v>
      </c>
      <c r="AG55" s="417" t="str">
        <f aca="false">IF(AG54="","",IF(ROUND(AG54,4)&gt;ROUND(AG52,4),"%Adm&gt;%Global",""))</f>
        <v>%Adm&gt;%Global</v>
      </c>
      <c r="AI55" s="417" t="str">
        <f aca="false">IF(AI54="","",IF(ROUND(AI54,4)&gt;ROUND(AI52,4),"%Adm&gt;%Global",""))</f>
        <v>%Adm&gt;%Global</v>
      </c>
      <c r="AK55" s="417" t="str">
        <f aca="false">IF(AK54="","",IF(ROUND(AK54,4)&gt;ROUND(AK52,4),"%Adm&gt;%Global",""))</f>
        <v>%Adm&gt;%Global</v>
      </c>
      <c r="AM55" s="417" t="str">
        <f aca="false">IF(AM54="","",IF(ROUND(AM54,4)&gt;ROUND(AM52,4),"%Adm&gt;%Global",""))</f>
        <v>%Adm&gt;%Global</v>
      </c>
      <c r="AO55" s="417" t="str">
        <f aca="false">IF(AO54="","",IF(ROUND(AO54,4)&gt;ROUND(AO52,4),"%Adm&gt;%Global",""))</f>
        <v>%Adm&gt;%Global</v>
      </c>
      <c r="AQ55" s="417" t="str">
        <f aca="false">IF(AQ54="","",IF(ROUND(AQ54,4)&gt;ROUND(AQ52,4),"%Adm&gt;%Global",""))</f>
        <v>%Adm&gt;%Global</v>
      </c>
      <c r="AS55" s="417" t="str">
        <f aca="false">IF(AS54="","",IF(ROUND(AS54,4)&gt;ROUND(AS52,4),"%Adm&gt;%Global",""))</f>
        <v>%Adm&gt;%Global</v>
      </c>
      <c r="AU55" s="417" t="str">
        <f aca="false">IF(AU54="","",IF(ROUND(AU54,4)&gt;ROUND(AU52,4),"%Adm&gt;%Global",""))</f>
        <v>%Adm&gt;%Global</v>
      </c>
      <c r="AW55" s="417" t="str">
        <f aca="false">IF(AW54="","",IF(ROUND(AW54,4)&gt;ROUND(AW52,4),"%Adm&gt;%Global",""))</f>
        <v>%Adm&gt;%Global</v>
      </c>
      <c r="AY55" s="417" t="str">
        <f aca="false">IF(AY54="","",IF(ROUND(AY54,4)&gt;ROUND(AY52,4),"%Adm&gt;%Global",""))</f>
        <v>%Adm&gt;%Global</v>
      </c>
      <c r="BA55" s="417" t="str">
        <f aca="false">IF(BA54="","",IF(ROUND(BA54,4)&gt;ROUND(BA52,4),"%Adm&gt;%Global",""))</f>
        <v>%Adm&gt;%Global</v>
      </c>
      <c r="BC55" s="417" t="str">
        <f aca="false">IF(BC54="","",IF(ROUND(BC54,4)&gt;ROUND(BC52,4),"%Adm&gt;%Global",""))</f>
        <v>%Adm&gt;%Global</v>
      </c>
    </row>
    <row r="56" customFormat="false" ht="6" hidden="false" customHeight="true" outlineLevel="0" collapsed="false">
      <c r="A56" s="50" t="s">
        <v>563</v>
      </c>
    </row>
    <row r="57" customFormat="false" ht="13.8" hidden="false" customHeight="false" outlineLevel="0" collapsed="false">
      <c r="A57" s="50" t="s">
        <v>563</v>
      </c>
      <c r="C57" s="403" t="s">
        <v>990</v>
      </c>
      <c r="H57" s="404" t="n">
        <f aca="false">(ROW($G57)-ROW($G$49))/8*12+1</f>
        <v>13</v>
      </c>
      <c r="I57" s="404"/>
      <c r="J57" s="404" t="n">
        <f aca="false">H57+1</f>
        <v>14</v>
      </c>
      <c r="K57" s="404"/>
      <c r="L57" s="404" t="n">
        <f aca="false">J57+1</f>
        <v>15</v>
      </c>
      <c r="M57" s="404"/>
      <c r="N57" s="404" t="n">
        <f aca="false">L57+1</f>
        <v>16</v>
      </c>
      <c r="O57" s="404"/>
      <c r="P57" s="404" t="n">
        <f aca="false">N57+1</f>
        <v>17</v>
      </c>
      <c r="Q57" s="404"/>
      <c r="R57" s="404" t="n">
        <f aca="false">P57+1</f>
        <v>18</v>
      </c>
      <c r="S57" s="404"/>
      <c r="T57" s="404" t="n">
        <f aca="false">R57+1</f>
        <v>19</v>
      </c>
      <c r="U57" s="404"/>
      <c r="V57" s="404" t="n">
        <f aca="false">T57+1</f>
        <v>20</v>
      </c>
      <c r="W57" s="404"/>
      <c r="X57" s="404" t="n">
        <f aca="false">V57+1</f>
        <v>21</v>
      </c>
      <c r="Y57" s="404"/>
      <c r="Z57" s="404" t="n">
        <f aca="false">X57+1</f>
        <v>22</v>
      </c>
      <c r="AA57" s="404"/>
      <c r="AB57" s="404" t="n">
        <f aca="false">Z57+1</f>
        <v>23</v>
      </c>
      <c r="AC57" s="404"/>
      <c r="AD57" s="404" t="n">
        <f aca="false">AB57+1</f>
        <v>24</v>
      </c>
      <c r="AE57" s="404"/>
      <c r="AG57" s="404" t="n">
        <f aca="false">(ROW($G57)-ROW($G$49))/8*12+1</f>
        <v>13</v>
      </c>
      <c r="AH57" s="404"/>
      <c r="AI57" s="404" t="n">
        <f aca="false">AG57+1</f>
        <v>14</v>
      </c>
      <c r="AJ57" s="404"/>
      <c r="AK57" s="404" t="n">
        <f aca="false">AI57+1</f>
        <v>15</v>
      </c>
      <c r="AL57" s="404"/>
      <c r="AM57" s="404" t="n">
        <f aca="false">AK57+1</f>
        <v>16</v>
      </c>
      <c r="AN57" s="404"/>
      <c r="AO57" s="404" t="n">
        <f aca="false">AM57+1</f>
        <v>17</v>
      </c>
      <c r="AP57" s="404"/>
      <c r="AQ57" s="404" t="n">
        <f aca="false">AO57+1</f>
        <v>18</v>
      </c>
      <c r="AR57" s="404"/>
      <c r="AS57" s="404" t="n">
        <f aca="false">AQ57+1</f>
        <v>19</v>
      </c>
      <c r="AT57" s="404"/>
      <c r="AU57" s="404" t="n">
        <f aca="false">AS57+1</f>
        <v>20</v>
      </c>
      <c r="AV57" s="404"/>
      <c r="AW57" s="404" t="n">
        <f aca="false">AU57+1</f>
        <v>21</v>
      </c>
      <c r="AX57" s="404"/>
      <c r="AY57" s="404" t="n">
        <f aca="false">AW57+1</f>
        <v>22</v>
      </c>
      <c r="AZ57" s="404"/>
      <c r="BA57" s="404" t="n">
        <f aca="false">AY57+1</f>
        <v>23</v>
      </c>
      <c r="BB57" s="404"/>
      <c r="BC57" s="404" t="n">
        <f aca="false">BA57+1</f>
        <v>24</v>
      </c>
      <c r="BD57" s="404"/>
    </row>
    <row r="58" customFormat="false" ht="12.75" hidden="false" customHeight="true" outlineLevel="0" collapsed="false">
      <c r="A58" s="50" t="s">
        <v>563</v>
      </c>
      <c r="C58" s="405" t="s">
        <v>991</v>
      </c>
      <c r="G58" s="406" t="s">
        <v>992</v>
      </c>
      <c r="H58" s="407" t="n">
        <f aca="true">OFFSET(CRONO!$T$183,0,CRONOPLE!H57)</f>
        <v>0.0396002966378366</v>
      </c>
      <c r="I58" s="407"/>
      <c r="J58" s="407" t="n">
        <f aca="true">OFFSET(CRONO!$T$183,0,CRONOPLE!J57)</f>
        <v>0.0396002966378366</v>
      </c>
      <c r="K58" s="407"/>
      <c r="L58" s="407" t="n">
        <f aca="true">OFFSET(CRONO!$T$183,0,CRONOPLE!L57)</f>
        <v>0.0396002966378366</v>
      </c>
      <c r="M58" s="407"/>
      <c r="N58" s="407" t="n">
        <f aca="true">OFFSET(CRONO!$T$183,0,CRONOPLE!N57)</f>
        <v>0.0396002966378366</v>
      </c>
      <c r="O58" s="407"/>
      <c r="P58" s="407" t="n">
        <f aca="true">OFFSET(CRONO!$T$183,0,CRONOPLE!P57)</f>
        <v>0.0396002966378366</v>
      </c>
      <c r="Q58" s="407"/>
      <c r="R58" s="407" t="n">
        <f aca="true">OFFSET(CRONO!$T$183,0,CRONOPLE!R57)</f>
        <v>0.0396002966378366</v>
      </c>
      <c r="S58" s="407"/>
      <c r="T58" s="407" t="n">
        <f aca="true">OFFSET(CRONO!$T$183,0,CRONOPLE!T57)</f>
        <v>0.0396002966378366</v>
      </c>
      <c r="U58" s="407"/>
      <c r="V58" s="407" t="n">
        <f aca="true">OFFSET(CRONO!$T$183,0,CRONOPLE!V57)</f>
        <v>0.0396002966378366</v>
      </c>
      <c r="W58" s="407"/>
      <c r="X58" s="407" t="n">
        <f aca="true">OFFSET(CRONO!$T$183,0,CRONOPLE!X57)</f>
        <v>0.0396002966378366</v>
      </c>
      <c r="Y58" s="407"/>
      <c r="Z58" s="407" t="n">
        <f aca="true">OFFSET(CRONO!$T$183,0,CRONOPLE!Z57)</f>
        <v>0.0396002966378366</v>
      </c>
      <c r="AA58" s="407"/>
      <c r="AB58" s="407" t="n">
        <f aca="true">OFFSET(CRONO!$T$183,0,CRONOPLE!AB57)</f>
        <v>0.0396002966378366</v>
      </c>
      <c r="AC58" s="407"/>
      <c r="AD58" s="407" t="n">
        <f aca="true">OFFSET(CRONO!$T$183,0,CRONOPLE!AD57)</f>
        <v>0.0396002966378366</v>
      </c>
      <c r="AE58" s="407"/>
      <c r="AF58" s="406" t="s">
        <v>992</v>
      </c>
      <c r="AG58" s="407" t="n">
        <f aca="true">OFFSET(CRONO!$T$183,0,CRONOPLE!AG57)</f>
        <v>0.0396002966378366</v>
      </c>
      <c r="AH58" s="407"/>
      <c r="AI58" s="407" t="n">
        <f aca="true">OFFSET(CRONO!$T$183,0,CRONOPLE!AI57)</f>
        <v>0.0396002966378366</v>
      </c>
      <c r="AJ58" s="407"/>
      <c r="AK58" s="407" t="n">
        <f aca="true">OFFSET(CRONO!$T$183,0,CRONOPLE!AK57)</f>
        <v>0.0396002966378366</v>
      </c>
      <c r="AL58" s="407"/>
      <c r="AM58" s="407" t="n">
        <f aca="true">OFFSET(CRONO!$T$183,0,CRONOPLE!AM57)</f>
        <v>0.0396002966378366</v>
      </c>
      <c r="AN58" s="407"/>
      <c r="AO58" s="407" t="n">
        <f aca="true">OFFSET(CRONO!$T$183,0,CRONOPLE!AO57)</f>
        <v>0.0396002966378366</v>
      </c>
      <c r="AP58" s="407"/>
      <c r="AQ58" s="407" t="n">
        <f aca="true">OFFSET(CRONO!$T$183,0,CRONOPLE!AQ57)</f>
        <v>0.0396002966378366</v>
      </c>
      <c r="AR58" s="407"/>
      <c r="AS58" s="407" t="n">
        <f aca="true">OFFSET(CRONO!$T$183,0,CRONOPLE!AS57)</f>
        <v>0.0396002966378366</v>
      </c>
      <c r="AT58" s="407"/>
      <c r="AU58" s="407" t="n">
        <f aca="true">OFFSET(CRONO!$T$183,0,CRONOPLE!AU57)</f>
        <v>0.0396002966378366</v>
      </c>
      <c r="AV58" s="407"/>
      <c r="AW58" s="407" t="n">
        <f aca="true">OFFSET(CRONO!$T$183,0,CRONOPLE!AW57)</f>
        <v>0.0396002966378366</v>
      </c>
      <c r="AX58" s="407"/>
      <c r="AY58" s="407" t="n">
        <f aca="true">OFFSET(CRONO!$T$183,0,CRONOPLE!AY57)</f>
        <v>0.0396002966378366</v>
      </c>
      <c r="AZ58" s="407"/>
      <c r="BA58" s="407" t="n">
        <f aca="true">OFFSET(CRONO!$T$183,0,CRONOPLE!BA57)</f>
        <v>0.0396002966378366</v>
      </c>
      <c r="BB58" s="407"/>
      <c r="BC58" s="407" t="n">
        <f aca="true">OFFSET(CRONO!$T$183,0,CRONOPLE!BC57)</f>
        <v>0.0396002966378366</v>
      </c>
      <c r="BD58" s="407"/>
    </row>
    <row r="59" customFormat="false" ht="12.75" hidden="false" customHeight="true" outlineLevel="0" collapsed="false">
      <c r="A59" s="50" t="s">
        <v>563</v>
      </c>
      <c r="C59" s="405"/>
      <c r="G59" s="408" t="s">
        <v>993</v>
      </c>
      <c r="H59" s="409" t="n">
        <f aca="true">OFFSET(CRONO!$T$187,0,CRONOPLE!H57)</f>
        <v>144767.48</v>
      </c>
      <c r="I59" s="409"/>
      <c r="J59" s="409" t="n">
        <f aca="true">OFFSET(CRONO!$T$187,0,CRONOPLE!J57)</f>
        <v>144767.48</v>
      </c>
      <c r="K59" s="409"/>
      <c r="L59" s="409" t="n">
        <f aca="true">OFFSET(CRONO!$T$187,0,CRONOPLE!L57)</f>
        <v>144767.48</v>
      </c>
      <c r="M59" s="409"/>
      <c r="N59" s="409" t="n">
        <f aca="true">OFFSET(CRONO!$T$187,0,CRONOPLE!N57)</f>
        <v>144767.48</v>
      </c>
      <c r="O59" s="409"/>
      <c r="P59" s="409" t="n">
        <f aca="true">OFFSET(CRONO!$T$187,0,CRONOPLE!P57)</f>
        <v>144767.48</v>
      </c>
      <c r="Q59" s="409"/>
      <c r="R59" s="409" t="n">
        <f aca="true">OFFSET(CRONO!$T$187,0,CRONOPLE!R57)</f>
        <v>144767.48</v>
      </c>
      <c r="S59" s="409"/>
      <c r="T59" s="409" t="n">
        <f aca="true">OFFSET(CRONO!$T$187,0,CRONOPLE!T57)</f>
        <v>144767.48</v>
      </c>
      <c r="U59" s="409"/>
      <c r="V59" s="409" t="n">
        <f aca="true">OFFSET(CRONO!$T$187,0,CRONOPLE!V57)</f>
        <v>144767.48</v>
      </c>
      <c r="W59" s="409"/>
      <c r="X59" s="409" t="n">
        <f aca="true">OFFSET(CRONO!$T$187,0,CRONOPLE!X57)</f>
        <v>144767.48</v>
      </c>
      <c r="Y59" s="409"/>
      <c r="Z59" s="409" t="n">
        <f aca="true">OFFSET(CRONO!$T$187,0,CRONOPLE!Z57)</f>
        <v>144767.48</v>
      </c>
      <c r="AA59" s="409"/>
      <c r="AB59" s="409" t="n">
        <f aca="true">OFFSET(CRONO!$T$187,0,CRONOPLE!AB57)</f>
        <v>144767.48</v>
      </c>
      <c r="AC59" s="409"/>
      <c r="AD59" s="409" t="n">
        <f aca="true">OFFSET(CRONO!$T$187,0,CRONOPLE!AD57)</f>
        <v>144767.48</v>
      </c>
      <c r="AE59" s="409"/>
      <c r="AF59" s="408" t="s">
        <v>993</v>
      </c>
      <c r="AG59" s="409" t="n">
        <f aca="true">OFFSET(CRONO!$T$187,0,CRONOPLE!AG57)</f>
        <v>144767.48</v>
      </c>
      <c r="AH59" s="409"/>
      <c r="AI59" s="409" t="n">
        <f aca="true">OFFSET(CRONO!$T$187,0,CRONOPLE!AI57)</f>
        <v>144767.48</v>
      </c>
      <c r="AJ59" s="409"/>
      <c r="AK59" s="409" t="n">
        <f aca="true">OFFSET(CRONO!$T$187,0,CRONOPLE!AK57)</f>
        <v>144767.48</v>
      </c>
      <c r="AL59" s="409"/>
      <c r="AM59" s="409" t="n">
        <f aca="true">OFFSET(CRONO!$T$187,0,CRONOPLE!AM57)</f>
        <v>144767.48</v>
      </c>
      <c r="AN59" s="409"/>
      <c r="AO59" s="409" t="n">
        <f aca="true">OFFSET(CRONO!$T$187,0,CRONOPLE!AO57)</f>
        <v>144767.48</v>
      </c>
      <c r="AP59" s="409"/>
      <c r="AQ59" s="409" t="n">
        <f aca="true">OFFSET(CRONO!$T$187,0,CRONOPLE!AQ57)</f>
        <v>144767.48</v>
      </c>
      <c r="AR59" s="409"/>
      <c r="AS59" s="409" t="n">
        <f aca="true">OFFSET(CRONO!$T$187,0,CRONOPLE!AS57)</f>
        <v>144767.48</v>
      </c>
      <c r="AT59" s="409"/>
      <c r="AU59" s="409" t="n">
        <f aca="true">OFFSET(CRONO!$T$187,0,CRONOPLE!AU57)</f>
        <v>144767.48</v>
      </c>
      <c r="AV59" s="409"/>
      <c r="AW59" s="409" t="n">
        <f aca="true">OFFSET(CRONO!$T$187,0,CRONOPLE!AW57)</f>
        <v>144767.48</v>
      </c>
      <c r="AX59" s="409"/>
      <c r="AY59" s="409" t="n">
        <f aca="true">OFFSET(CRONO!$T$187,0,CRONOPLE!AY57)</f>
        <v>144767.48</v>
      </c>
      <c r="AZ59" s="409"/>
      <c r="BA59" s="409" t="n">
        <f aca="true">OFFSET(CRONO!$T$187,0,CRONOPLE!BA57)</f>
        <v>144767.48</v>
      </c>
      <c r="BB59" s="409"/>
      <c r="BC59" s="409" t="n">
        <f aca="true">OFFSET(CRONO!$T$187,0,CRONOPLE!BC57)</f>
        <v>144767.48</v>
      </c>
      <c r="BD59" s="409"/>
    </row>
    <row r="60" customFormat="false" ht="12.75" hidden="false" customHeight="true" outlineLevel="0" collapsed="false">
      <c r="A60" s="50" t="s">
        <v>563</v>
      </c>
      <c r="C60" s="410" t="s">
        <v>994</v>
      </c>
      <c r="G60" s="406" t="s">
        <v>992</v>
      </c>
      <c r="H60" s="407" t="n">
        <f aca="true">OFFSET(CRONO!$T$188,0,CRONOPLE!H57)</f>
        <v>0.5248</v>
      </c>
      <c r="I60" s="407"/>
      <c r="J60" s="407" t="n">
        <f aca="true">OFFSET(CRONO!$T$188,0,CRONOPLE!J57)</f>
        <v>0.5644</v>
      </c>
      <c r="K60" s="407"/>
      <c r="L60" s="407" t="n">
        <f aca="true">OFFSET(CRONO!$T$188,0,CRONOPLE!L57)</f>
        <v>0.604</v>
      </c>
      <c r="M60" s="407"/>
      <c r="N60" s="407" t="n">
        <f aca="true">OFFSET(CRONO!$T$188,0,CRONOPLE!N57)</f>
        <v>0.6436</v>
      </c>
      <c r="O60" s="407"/>
      <c r="P60" s="407" t="n">
        <f aca="true">OFFSET(CRONO!$T$188,0,CRONOPLE!P57)</f>
        <v>0.6832</v>
      </c>
      <c r="Q60" s="407"/>
      <c r="R60" s="407" t="n">
        <f aca="true">OFFSET(CRONO!$T$188,0,CRONOPLE!R57)</f>
        <v>0.7228</v>
      </c>
      <c r="S60" s="407"/>
      <c r="T60" s="407" t="n">
        <f aca="true">OFFSET(CRONO!$T$188,0,CRONOPLE!T57)</f>
        <v>0.7624</v>
      </c>
      <c r="U60" s="407"/>
      <c r="V60" s="407" t="n">
        <f aca="true">OFFSET(CRONO!$T$188,0,CRONOPLE!V57)</f>
        <v>0.802</v>
      </c>
      <c r="W60" s="407"/>
      <c r="X60" s="407" t="n">
        <f aca="true">OFFSET(CRONO!$T$188,0,CRONOPLE!X57)</f>
        <v>0.8416</v>
      </c>
      <c r="Y60" s="407"/>
      <c r="Z60" s="407" t="n">
        <f aca="true">OFFSET(CRONO!$T$188,0,CRONOPLE!Z57)</f>
        <v>0.8812</v>
      </c>
      <c r="AA60" s="407"/>
      <c r="AB60" s="407" t="n">
        <f aca="true">OFFSET(CRONO!$T$188,0,CRONOPLE!AB57)</f>
        <v>0.9208</v>
      </c>
      <c r="AC60" s="407"/>
      <c r="AD60" s="407" t="n">
        <f aca="true">OFFSET(CRONO!$T$188,0,CRONOPLE!AD57)</f>
        <v>0.9604</v>
      </c>
      <c r="AE60" s="407"/>
      <c r="AF60" s="406" t="s">
        <v>992</v>
      </c>
      <c r="AG60" s="407" t="n">
        <f aca="true">OFFSET(CRONO!$T$188,0,CRONOPLE!AG57)</f>
        <v>0.5248</v>
      </c>
      <c r="AH60" s="407"/>
      <c r="AI60" s="407" t="n">
        <f aca="true">OFFSET(CRONO!$T$188,0,CRONOPLE!AI57)</f>
        <v>0.5644</v>
      </c>
      <c r="AJ60" s="407"/>
      <c r="AK60" s="407" t="n">
        <f aca="true">OFFSET(CRONO!$T$188,0,CRONOPLE!AK57)</f>
        <v>0.604</v>
      </c>
      <c r="AL60" s="407"/>
      <c r="AM60" s="407" t="n">
        <f aca="true">OFFSET(CRONO!$T$188,0,CRONOPLE!AM57)</f>
        <v>0.6436</v>
      </c>
      <c r="AN60" s="407"/>
      <c r="AO60" s="407" t="n">
        <f aca="true">OFFSET(CRONO!$T$188,0,CRONOPLE!AO57)</f>
        <v>0.6832</v>
      </c>
      <c r="AP60" s="407"/>
      <c r="AQ60" s="407" t="n">
        <f aca="true">OFFSET(CRONO!$T$188,0,CRONOPLE!AQ57)</f>
        <v>0.7228</v>
      </c>
      <c r="AR60" s="407"/>
      <c r="AS60" s="407" t="n">
        <f aca="true">OFFSET(CRONO!$T$188,0,CRONOPLE!AS57)</f>
        <v>0.7624</v>
      </c>
      <c r="AT60" s="407"/>
      <c r="AU60" s="407" t="n">
        <f aca="true">OFFSET(CRONO!$T$188,0,CRONOPLE!AU57)</f>
        <v>0.802</v>
      </c>
      <c r="AV60" s="407"/>
      <c r="AW60" s="407" t="n">
        <f aca="true">OFFSET(CRONO!$T$188,0,CRONOPLE!AW57)</f>
        <v>0.8416</v>
      </c>
      <c r="AX60" s="407"/>
      <c r="AY60" s="407" t="n">
        <f aca="true">OFFSET(CRONO!$T$188,0,CRONOPLE!AY57)</f>
        <v>0.8812</v>
      </c>
      <c r="AZ60" s="407"/>
      <c r="BA60" s="407" t="n">
        <f aca="true">OFFSET(CRONO!$T$188,0,CRONOPLE!BA57)</f>
        <v>0.9208</v>
      </c>
      <c r="BB60" s="407"/>
      <c r="BC60" s="407" t="n">
        <f aca="true">OFFSET(CRONO!$T$188,0,CRONOPLE!BC57)</f>
        <v>0.9604</v>
      </c>
      <c r="BD60" s="407"/>
    </row>
    <row r="61" customFormat="false" ht="12.75" hidden="false" customHeight="true" outlineLevel="0" collapsed="false">
      <c r="A61" s="50" t="s">
        <v>563</v>
      </c>
      <c r="C61" s="410"/>
      <c r="G61" s="408" t="s">
        <v>993</v>
      </c>
      <c r="H61" s="411" t="n">
        <f aca="true">OFFSET(CRONO!$T$192,0,CRONOPLE!H57)</f>
        <v>1918507.3</v>
      </c>
      <c r="I61" s="411"/>
      <c r="J61" s="411" t="n">
        <f aca="true">OFFSET(CRONO!$T$192,0,CRONOPLE!J57)</f>
        <v>2063274.78</v>
      </c>
      <c r="K61" s="411"/>
      <c r="L61" s="411" t="n">
        <f aca="true">OFFSET(CRONO!$T$192,0,CRONOPLE!L57)</f>
        <v>2208042.26</v>
      </c>
      <c r="M61" s="411"/>
      <c r="N61" s="411" t="n">
        <f aca="true">OFFSET(CRONO!$T$192,0,CRONOPLE!N57)</f>
        <v>2352809.74</v>
      </c>
      <c r="O61" s="411"/>
      <c r="P61" s="411" t="n">
        <f aca="true">OFFSET(CRONO!$T$192,0,CRONOPLE!P57)</f>
        <v>2497577.22</v>
      </c>
      <c r="Q61" s="411"/>
      <c r="R61" s="411" t="n">
        <f aca="true">OFFSET(CRONO!$T$192,0,CRONOPLE!R57)</f>
        <v>2642344.7</v>
      </c>
      <c r="S61" s="411"/>
      <c r="T61" s="411" t="n">
        <f aca="true">OFFSET(CRONO!$T$192,0,CRONOPLE!T57)</f>
        <v>2787112.18</v>
      </c>
      <c r="U61" s="411"/>
      <c r="V61" s="411" t="n">
        <f aca="true">OFFSET(CRONO!$T$192,0,CRONOPLE!V57)</f>
        <v>2931879.66</v>
      </c>
      <c r="W61" s="411"/>
      <c r="X61" s="411" t="n">
        <f aca="true">OFFSET(CRONO!$T$192,0,CRONOPLE!X57)</f>
        <v>3076647.14</v>
      </c>
      <c r="Y61" s="411"/>
      <c r="Z61" s="411" t="n">
        <f aca="true">OFFSET(CRONO!$T$192,0,CRONOPLE!Z57)</f>
        <v>3221414.62</v>
      </c>
      <c r="AA61" s="411"/>
      <c r="AB61" s="411" t="n">
        <f aca="true">OFFSET(CRONO!$T$192,0,CRONOPLE!AB57)</f>
        <v>3366182.1</v>
      </c>
      <c r="AC61" s="411"/>
      <c r="AD61" s="411" t="n">
        <f aca="true">OFFSET(CRONO!$T$192,0,CRONOPLE!AD57)</f>
        <v>3510949.58</v>
      </c>
      <c r="AE61" s="411"/>
      <c r="AF61" s="408" t="s">
        <v>993</v>
      </c>
      <c r="AG61" s="411" t="n">
        <f aca="true">OFFSET(CRONO!$T$192,0,CRONOPLE!AG57)</f>
        <v>1918507.3</v>
      </c>
      <c r="AH61" s="411"/>
      <c r="AI61" s="411" t="n">
        <f aca="true">OFFSET(CRONO!$T$192,0,CRONOPLE!AI57)</f>
        <v>2063274.78</v>
      </c>
      <c r="AJ61" s="411"/>
      <c r="AK61" s="411" t="n">
        <f aca="true">OFFSET(CRONO!$T$192,0,CRONOPLE!AK57)</f>
        <v>2208042.26</v>
      </c>
      <c r="AL61" s="411"/>
      <c r="AM61" s="411" t="n">
        <f aca="true">OFFSET(CRONO!$T$192,0,CRONOPLE!AM57)</f>
        <v>2352809.74</v>
      </c>
      <c r="AN61" s="411"/>
      <c r="AO61" s="411" t="n">
        <f aca="true">OFFSET(CRONO!$T$192,0,CRONOPLE!AO57)</f>
        <v>2497577.22</v>
      </c>
      <c r="AP61" s="411"/>
      <c r="AQ61" s="411" t="n">
        <f aca="true">OFFSET(CRONO!$T$192,0,CRONOPLE!AQ57)</f>
        <v>2642344.7</v>
      </c>
      <c r="AR61" s="411"/>
      <c r="AS61" s="411" t="n">
        <f aca="true">OFFSET(CRONO!$T$192,0,CRONOPLE!AS57)</f>
        <v>2787112.18</v>
      </c>
      <c r="AT61" s="411"/>
      <c r="AU61" s="411" t="n">
        <f aca="true">OFFSET(CRONO!$T$192,0,CRONOPLE!AU57)</f>
        <v>2931879.66</v>
      </c>
      <c r="AV61" s="411"/>
      <c r="AW61" s="411" t="n">
        <f aca="true">OFFSET(CRONO!$T$192,0,CRONOPLE!AW57)</f>
        <v>3076647.14</v>
      </c>
      <c r="AX61" s="411"/>
      <c r="AY61" s="411" t="n">
        <f aca="true">OFFSET(CRONO!$T$192,0,CRONOPLE!AY57)</f>
        <v>3221414.62</v>
      </c>
      <c r="AZ61" s="411"/>
      <c r="BA61" s="411" t="n">
        <f aca="true">OFFSET(CRONO!$T$192,0,CRONOPLE!BA57)</f>
        <v>3366182.1</v>
      </c>
      <c r="BB61" s="411"/>
      <c r="BC61" s="411" t="n">
        <f aca="true">OFFSET(CRONO!$T$192,0,CRONOPLE!BC57)</f>
        <v>3510949.58</v>
      </c>
      <c r="BD61" s="411"/>
    </row>
    <row r="62" customFormat="false" ht="12.75" hidden="false" customHeight="true" outlineLevel="0" collapsed="false">
      <c r="A62" s="50" t="s">
        <v>563</v>
      </c>
      <c r="C62" s="412" t="s">
        <v>995</v>
      </c>
      <c r="D62" s="413"/>
      <c r="G62" s="406" t="s">
        <v>992</v>
      </c>
      <c r="H62" s="407" t="n">
        <f aca="true">OFFSET(CRONO!$T$193,0,CRONOPLE!H57)</f>
        <v>1</v>
      </c>
      <c r="I62" s="407"/>
      <c r="J62" s="414" t="n">
        <f aca="true">OFFSET(CRONO!$T$193,0,CRONOPLE!J57)</f>
        <v>1</v>
      </c>
      <c r="K62" s="414"/>
      <c r="L62" s="414" t="n">
        <f aca="true">OFFSET(CRONO!$T$193,0,CRONOPLE!L57)</f>
        <v>1</v>
      </c>
      <c r="M62" s="414"/>
      <c r="N62" s="414" t="n">
        <f aca="true">OFFSET(CRONO!$T$193,0,CRONOPLE!N57)</f>
        <v>1</v>
      </c>
      <c r="O62" s="414"/>
      <c r="P62" s="414" t="n">
        <f aca="true">OFFSET(CRONO!$T$193,0,CRONOPLE!P57)</f>
        <v>1</v>
      </c>
      <c r="Q62" s="414"/>
      <c r="R62" s="414" t="n">
        <f aca="true">OFFSET(CRONO!$T$193,0,CRONOPLE!R57)</f>
        <v>1</v>
      </c>
      <c r="S62" s="414"/>
      <c r="T62" s="414" t="n">
        <f aca="true">OFFSET(CRONO!$T$193,0,CRONOPLE!T57)</f>
        <v>1</v>
      </c>
      <c r="U62" s="414"/>
      <c r="V62" s="414" t="n">
        <f aca="true">OFFSET(CRONO!$T$193,0,CRONOPLE!V57)</f>
        <v>1</v>
      </c>
      <c r="W62" s="414"/>
      <c r="X62" s="414" t="n">
        <f aca="true">OFFSET(CRONO!$T$193,0,CRONOPLE!X57)</f>
        <v>1</v>
      </c>
      <c r="Y62" s="414"/>
      <c r="Z62" s="414" t="n">
        <f aca="true">OFFSET(CRONO!$T$193,0,CRONOPLE!Z57)</f>
        <v>1</v>
      </c>
      <c r="AA62" s="414"/>
      <c r="AB62" s="414" t="n">
        <f aca="true">OFFSET(CRONO!$T$193,0,CRONOPLE!AB57)</f>
        <v>1</v>
      </c>
      <c r="AC62" s="414"/>
      <c r="AD62" s="414" t="n">
        <f aca="true">OFFSET(CRONO!$T$193,0,CRONOPLE!AD57)</f>
        <v>1</v>
      </c>
      <c r="AE62" s="414"/>
      <c r="AF62" s="406" t="s">
        <v>992</v>
      </c>
      <c r="AG62" s="407" t="n">
        <f aca="true">OFFSET(CRONO!$T$193,0,CRONOPLE!AG57)</f>
        <v>1</v>
      </c>
      <c r="AH62" s="407"/>
      <c r="AI62" s="414" t="n">
        <f aca="true">OFFSET(CRONO!$T$193,0,CRONOPLE!AI57)</f>
        <v>1</v>
      </c>
      <c r="AJ62" s="414"/>
      <c r="AK62" s="414" t="n">
        <f aca="true">OFFSET(CRONO!$T$193,0,CRONOPLE!AK57)</f>
        <v>1</v>
      </c>
      <c r="AL62" s="414"/>
      <c r="AM62" s="414" t="n">
        <f aca="true">OFFSET(CRONO!$T$193,0,CRONOPLE!AM57)</f>
        <v>1</v>
      </c>
      <c r="AN62" s="414"/>
      <c r="AO62" s="414" t="n">
        <f aca="true">OFFSET(CRONO!$T$193,0,CRONOPLE!AO57)</f>
        <v>1</v>
      </c>
      <c r="AP62" s="414"/>
      <c r="AQ62" s="414" t="n">
        <f aca="true">OFFSET(CRONO!$T$193,0,CRONOPLE!AQ57)</f>
        <v>1</v>
      </c>
      <c r="AR62" s="414"/>
      <c r="AS62" s="414" t="n">
        <f aca="true">OFFSET(CRONO!$T$193,0,CRONOPLE!AS57)</f>
        <v>1</v>
      </c>
      <c r="AT62" s="414"/>
      <c r="AU62" s="414" t="n">
        <f aca="true">OFFSET(CRONO!$T$193,0,CRONOPLE!AU57)</f>
        <v>1</v>
      </c>
      <c r="AV62" s="414"/>
      <c r="AW62" s="414" t="n">
        <f aca="true">OFFSET(CRONO!$T$193,0,CRONOPLE!AW57)</f>
        <v>1</v>
      </c>
      <c r="AX62" s="414"/>
      <c r="AY62" s="414" t="n">
        <f aca="true">OFFSET(CRONO!$T$193,0,CRONOPLE!AY57)</f>
        <v>1</v>
      </c>
      <c r="AZ62" s="414"/>
      <c r="BA62" s="414" t="n">
        <f aca="true">OFFSET(CRONO!$T$193,0,CRONOPLE!BA57)</f>
        <v>1</v>
      </c>
      <c r="BB62" s="414"/>
      <c r="BC62" s="414" t="n">
        <f aca="true">OFFSET(CRONO!$T$193,0,CRONOPLE!BC57)</f>
        <v>1</v>
      </c>
      <c r="BD62" s="414"/>
    </row>
    <row r="63" customFormat="false" ht="15" hidden="false" customHeight="true" outlineLevel="0" collapsed="false">
      <c r="A63" s="50" t="s">
        <v>563</v>
      </c>
      <c r="C63" s="415"/>
      <c r="G63" s="416" t="str">
        <f aca="false">IF(COUNTIF(H63:BE63,"%Adm&gt;%Global")&gt;0,"Verificar proporcionalidade da Administração Local","")</f>
        <v>Verificar proporcionalidade da Administração Local</v>
      </c>
      <c r="H63" s="417" t="str">
        <f aca="false">IF(H62="","",IF(ROUND(H62,4)&gt;ROUND(H60,4),"%Adm&gt;%Global",""))</f>
        <v>%Adm&gt;%Global</v>
      </c>
      <c r="J63" s="417" t="str">
        <f aca="false">IF(J62="","",IF(ROUND(J62,4)&gt;ROUND(J60,4),"%Adm&gt;%Global",""))</f>
        <v>%Adm&gt;%Global</v>
      </c>
      <c r="L63" s="417" t="str">
        <f aca="false">IF(L62="","",IF(ROUND(L62,4)&gt;ROUND(L60,4),"%Adm&gt;%Global",""))</f>
        <v>%Adm&gt;%Global</v>
      </c>
      <c r="N63" s="417" t="str">
        <f aca="false">IF(N62="","",IF(ROUND(N62,4)&gt;ROUND(N60,4),"%Adm&gt;%Global",""))</f>
        <v>%Adm&gt;%Global</v>
      </c>
      <c r="P63" s="417" t="str">
        <f aca="false">IF(P62="","",IF(ROUND(P62,4)&gt;ROUND(P60,4),"%Adm&gt;%Global",""))</f>
        <v>%Adm&gt;%Global</v>
      </c>
      <c r="R63" s="417" t="str">
        <f aca="false">IF(R62="","",IF(ROUND(R62,4)&gt;ROUND(R60,4),"%Adm&gt;%Global",""))</f>
        <v>%Adm&gt;%Global</v>
      </c>
      <c r="T63" s="417" t="str">
        <f aca="false">IF(T62="","",IF(ROUND(T62,4)&gt;ROUND(T60,4),"%Adm&gt;%Global",""))</f>
        <v>%Adm&gt;%Global</v>
      </c>
      <c r="V63" s="417" t="str">
        <f aca="false">IF(V62="","",IF(ROUND(V62,4)&gt;ROUND(V60,4),"%Adm&gt;%Global",""))</f>
        <v>%Adm&gt;%Global</v>
      </c>
      <c r="X63" s="417" t="str">
        <f aca="false">IF(X62="","",IF(ROUND(X62,4)&gt;ROUND(X60,4),"%Adm&gt;%Global",""))</f>
        <v>%Adm&gt;%Global</v>
      </c>
      <c r="Z63" s="417" t="str">
        <f aca="false">IF(Z62="","",IF(ROUND(Z62,4)&gt;ROUND(Z60,4),"%Adm&gt;%Global",""))</f>
        <v>%Adm&gt;%Global</v>
      </c>
      <c r="AB63" s="417" t="str">
        <f aca="false">IF(AB62="","",IF(ROUND(AB62,4)&gt;ROUND(AB60,4),"%Adm&gt;%Global",""))</f>
        <v>%Adm&gt;%Global</v>
      </c>
      <c r="AD63" s="417" t="str">
        <f aca="false">IF(AD62="","",IF(ROUND(AD62,4)&gt;ROUND(AD60,4),"%Adm&gt;%Global",""))</f>
        <v>%Adm&gt;%Global</v>
      </c>
      <c r="AF63" s="416" t="str">
        <f aca="false">IF(COUNTIF(AG63:CD63,"%Adm&gt;%Global")&gt;0,"Verificar proporcionalidade da Administração Local","")</f>
        <v>Verificar proporcionalidade da Administração Local</v>
      </c>
      <c r="AG63" s="417" t="str">
        <f aca="false">IF(AG62="","",IF(ROUND(AG62,4)&gt;ROUND(AG60,4),"%Adm&gt;%Global",""))</f>
        <v>%Adm&gt;%Global</v>
      </c>
      <c r="AI63" s="417" t="str">
        <f aca="false">IF(AI62="","",IF(ROUND(AI62,4)&gt;ROUND(AI60,4),"%Adm&gt;%Global",""))</f>
        <v>%Adm&gt;%Global</v>
      </c>
      <c r="AK63" s="417" t="str">
        <f aca="false">IF(AK62="","",IF(ROUND(AK62,4)&gt;ROUND(AK60,4),"%Adm&gt;%Global",""))</f>
        <v>%Adm&gt;%Global</v>
      </c>
      <c r="AM63" s="417" t="str">
        <f aca="false">IF(AM62="","",IF(ROUND(AM62,4)&gt;ROUND(AM60,4),"%Adm&gt;%Global",""))</f>
        <v>%Adm&gt;%Global</v>
      </c>
      <c r="AO63" s="417" t="str">
        <f aca="false">IF(AO62="","",IF(ROUND(AO62,4)&gt;ROUND(AO60,4),"%Adm&gt;%Global",""))</f>
        <v>%Adm&gt;%Global</v>
      </c>
      <c r="AQ63" s="417" t="str">
        <f aca="false">IF(AQ62="","",IF(ROUND(AQ62,4)&gt;ROUND(AQ60,4),"%Adm&gt;%Global",""))</f>
        <v>%Adm&gt;%Global</v>
      </c>
      <c r="AS63" s="417" t="str">
        <f aca="false">IF(AS62="","",IF(ROUND(AS62,4)&gt;ROUND(AS60,4),"%Adm&gt;%Global",""))</f>
        <v>%Adm&gt;%Global</v>
      </c>
      <c r="AU63" s="417" t="str">
        <f aca="false">IF(AU62="","",IF(ROUND(AU62,4)&gt;ROUND(AU60,4),"%Adm&gt;%Global",""))</f>
        <v>%Adm&gt;%Global</v>
      </c>
      <c r="AW63" s="417" t="str">
        <f aca="false">IF(AW62="","",IF(ROUND(AW62,4)&gt;ROUND(AW60,4),"%Adm&gt;%Global",""))</f>
        <v>%Adm&gt;%Global</v>
      </c>
      <c r="AY63" s="417" t="str">
        <f aca="false">IF(AY62="","",IF(ROUND(AY62,4)&gt;ROUND(AY60,4),"%Adm&gt;%Global",""))</f>
        <v>%Adm&gt;%Global</v>
      </c>
      <c r="BA63" s="417" t="str">
        <f aca="false">IF(BA62="","",IF(ROUND(BA62,4)&gt;ROUND(BA60,4),"%Adm&gt;%Global",""))</f>
        <v>%Adm&gt;%Global</v>
      </c>
      <c r="BC63" s="417" t="str">
        <f aca="false">IF(BC62="","",IF(ROUND(BC62,4)&gt;ROUND(BC60,4),"%Adm&gt;%Global",""))</f>
        <v>%Adm&gt;%Global</v>
      </c>
    </row>
    <row r="64" customFormat="false" ht="6" hidden="false" customHeight="true" outlineLevel="0" collapsed="false">
      <c r="A64" s="50" t="s">
        <v>563</v>
      </c>
    </row>
    <row r="65" customFormat="false" ht="13.8" hidden="false" customHeight="false" outlineLevel="0" collapsed="false">
      <c r="A65" s="50" t="s">
        <v>563</v>
      </c>
      <c r="C65" s="403" t="s">
        <v>990</v>
      </c>
      <c r="H65" s="404" t="n">
        <f aca="false">(ROW($G65)-ROW($G$49))/8*12+1</f>
        <v>25</v>
      </c>
      <c r="I65" s="404"/>
      <c r="J65" s="404" t="n">
        <f aca="false">H65+1</f>
        <v>26</v>
      </c>
      <c r="K65" s="404"/>
      <c r="L65" s="404" t="n">
        <f aca="false">J65+1</f>
        <v>27</v>
      </c>
      <c r="M65" s="404"/>
      <c r="N65" s="404" t="n">
        <f aca="false">L65+1</f>
        <v>28</v>
      </c>
      <c r="O65" s="404"/>
      <c r="P65" s="404" t="n">
        <f aca="false">N65+1</f>
        <v>29</v>
      </c>
      <c r="Q65" s="404"/>
      <c r="R65" s="404" t="n">
        <f aca="false">P65+1</f>
        <v>30</v>
      </c>
      <c r="S65" s="404"/>
      <c r="T65" s="404" t="n">
        <f aca="false">R65+1</f>
        <v>31</v>
      </c>
      <c r="U65" s="404"/>
      <c r="V65" s="404" t="n">
        <f aca="false">T65+1</f>
        <v>32</v>
      </c>
      <c r="W65" s="404"/>
      <c r="X65" s="404" t="n">
        <f aca="false">V65+1</f>
        <v>33</v>
      </c>
      <c r="Y65" s="404"/>
      <c r="Z65" s="404" t="n">
        <f aca="false">X65+1</f>
        <v>34</v>
      </c>
      <c r="AA65" s="404"/>
      <c r="AB65" s="404" t="n">
        <f aca="false">Z65+1</f>
        <v>35</v>
      </c>
      <c r="AC65" s="404"/>
      <c r="AD65" s="404" t="n">
        <f aca="false">AB65+1</f>
        <v>36</v>
      </c>
      <c r="AE65" s="404"/>
      <c r="AG65" s="404" t="n">
        <f aca="false">(ROW($G65)-ROW($G$49))/8*12+1</f>
        <v>25</v>
      </c>
      <c r="AH65" s="404"/>
      <c r="AI65" s="404" t="n">
        <f aca="false">AG65+1</f>
        <v>26</v>
      </c>
      <c r="AJ65" s="404"/>
      <c r="AK65" s="404" t="n">
        <f aca="false">AI65+1</f>
        <v>27</v>
      </c>
      <c r="AL65" s="404"/>
      <c r="AM65" s="404" t="n">
        <f aca="false">AK65+1</f>
        <v>28</v>
      </c>
      <c r="AN65" s="404"/>
      <c r="AO65" s="404" t="n">
        <f aca="false">AM65+1</f>
        <v>29</v>
      </c>
      <c r="AP65" s="404"/>
      <c r="AQ65" s="404" t="n">
        <f aca="false">AO65+1</f>
        <v>30</v>
      </c>
      <c r="AR65" s="404"/>
      <c r="AS65" s="404" t="n">
        <f aca="false">AQ65+1</f>
        <v>31</v>
      </c>
      <c r="AT65" s="404"/>
      <c r="AU65" s="404" t="n">
        <f aca="false">AS65+1</f>
        <v>32</v>
      </c>
      <c r="AV65" s="404"/>
      <c r="AW65" s="404" t="n">
        <f aca="false">AU65+1</f>
        <v>33</v>
      </c>
      <c r="AX65" s="404"/>
      <c r="AY65" s="404" t="n">
        <f aca="false">AW65+1</f>
        <v>34</v>
      </c>
      <c r="AZ65" s="404"/>
      <c r="BA65" s="404" t="n">
        <f aca="false">AY65+1</f>
        <v>35</v>
      </c>
      <c r="BB65" s="404"/>
      <c r="BC65" s="404" t="n">
        <f aca="false">BA65+1</f>
        <v>36</v>
      </c>
      <c r="BD65" s="404"/>
    </row>
    <row r="66" customFormat="false" ht="12.75" hidden="false" customHeight="true" outlineLevel="0" collapsed="false">
      <c r="A66" s="50" t="s">
        <v>563</v>
      </c>
      <c r="C66" s="405" t="s">
        <v>991</v>
      </c>
      <c r="G66" s="406" t="s">
        <v>992</v>
      </c>
      <c r="H66" s="407" t="n">
        <f aca="true">OFFSET(CRONO!$T$183,0,CRONOPLE!H65)</f>
        <v>0.0396002966378366</v>
      </c>
      <c r="I66" s="407"/>
      <c r="J66" s="407" t="n">
        <f aca="true">OFFSET(CRONO!$T$183,0,CRONOPLE!J65)</f>
        <v>0</v>
      </c>
      <c r="K66" s="407"/>
      <c r="L66" s="407" t="n">
        <f aca="true">OFFSET(CRONO!$T$183,0,CRONOPLE!L65)</f>
        <v>0</v>
      </c>
      <c r="M66" s="407"/>
      <c r="N66" s="407" t="n">
        <f aca="true">OFFSET(CRONO!$T$183,0,CRONOPLE!N65)</f>
        <v>0</v>
      </c>
      <c r="O66" s="407"/>
      <c r="P66" s="407" t="n">
        <f aca="true">OFFSET(CRONO!$T$183,0,CRONOPLE!P65)</f>
        <v>0</v>
      </c>
      <c r="Q66" s="407"/>
      <c r="R66" s="407" t="n">
        <f aca="true">OFFSET(CRONO!$T$183,0,CRONOPLE!R65)</f>
        <v>0</v>
      </c>
      <c r="S66" s="407"/>
      <c r="T66" s="407" t="n">
        <f aca="true">OFFSET(CRONO!$T$183,0,CRONOPLE!T65)</f>
        <v>0</v>
      </c>
      <c r="U66" s="407"/>
      <c r="V66" s="407" t="n">
        <f aca="true">OFFSET(CRONO!$T$183,0,CRONOPLE!V65)</f>
        <v>0</v>
      </c>
      <c r="W66" s="407"/>
      <c r="X66" s="407" t="n">
        <f aca="true">OFFSET(CRONO!$T$183,0,CRONOPLE!X65)</f>
        <v>0</v>
      </c>
      <c r="Y66" s="407"/>
      <c r="Z66" s="407" t="n">
        <f aca="true">OFFSET(CRONO!$T$183,0,CRONOPLE!Z65)</f>
        <v>0</v>
      </c>
      <c r="AA66" s="407"/>
      <c r="AB66" s="407" t="n">
        <f aca="true">OFFSET(CRONO!$T$183,0,CRONOPLE!AB65)</f>
        <v>0</v>
      </c>
      <c r="AC66" s="407"/>
      <c r="AD66" s="407" t="n">
        <f aca="true">OFFSET(CRONO!$T$183,0,CRONOPLE!AD65)</f>
        <v>0</v>
      </c>
      <c r="AE66" s="407"/>
      <c r="AF66" s="406" t="s">
        <v>992</v>
      </c>
      <c r="AG66" s="407" t="n">
        <f aca="true">OFFSET(CRONO!$T$183,0,CRONOPLE!AG65)</f>
        <v>0.0396002966378366</v>
      </c>
      <c r="AH66" s="407"/>
      <c r="AI66" s="407" t="n">
        <f aca="true">OFFSET(CRONO!$T$183,0,CRONOPLE!AI65)</f>
        <v>0</v>
      </c>
      <c r="AJ66" s="407"/>
      <c r="AK66" s="407" t="n">
        <f aca="true">OFFSET(CRONO!$T$183,0,CRONOPLE!AK65)</f>
        <v>0</v>
      </c>
      <c r="AL66" s="407"/>
      <c r="AM66" s="407" t="n">
        <f aca="true">OFFSET(CRONO!$T$183,0,CRONOPLE!AM65)</f>
        <v>0</v>
      </c>
      <c r="AN66" s="407"/>
      <c r="AO66" s="407" t="n">
        <f aca="true">OFFSET(CRONO!$T$183,0,CRONOPLE!AO65)</f>
        <v>0</v>
      </c>
      <c r="AP66" s="407"/>
      <c r="AQ66" s="407" t="n">
        <f aca="true">OFFSET(CRONO!$T$183,0,CRONOPLE!AQ65)</f>
        <v>0</v>
      </c>
      <c r="AR66" s="407"/>
      <c r="AS66" s="407" t="n">
        <f aca="true">OFFSET(CRONO!$T$183,0,CRONOPLE!AS65)</f>
        <v>0</v>
      </c>
      <c r="AT66" s="407"/>
      <c r="AU66" s="407" t="n">
        <f aca="true">OFFSET(CRONO!$T$183,0,CRONOPLE!AU65)</f>
        <v>0</v>
      </c>
      <c r="AV66" s="407"/>
      <c r="AW66" s="407" t="n">
        <f aca="true">OFFSET(CRONO!$T$183,0,CRONOPLE!AW65)</f>
        <v>0</v>
      </c>
      <c r="AX66" s="407"/>
      <c r="AY66" s="407" t="n">
        <f aca="true">OFFSET(CRONO!$T$183,0,CRONOPLE!AY65)</f>
        <v>0</v>
      </c>
      <c r="AZ66" s="407"/>
      <c r="BA66" s="407" t="n">
        <f aca="true">OFFSET(CRONO!$T$183,0,CRONOPLE!BA65)</f>
        <v>0</v>
      </c>
      <c r="BB66" s="407"/>
      <c r="BC66" s="407" t="n">
        <f aca="true">OFFSET(CRONO!$T$183,0,CRONOPLE!BC65)</f>
        <v>0</v>
      </c>
      <c r="BD66" s="407"/>
    </row>
    <row r="67" customFormat="false" ht="12.75" hidden="false" customHeight="true" outlineLevel="0" collapsed="false">
      <c r="A67" s="50" t="s">
        <v>563</v>
      </c>
      <c r="C67" s="405"/>
      <c r="G67" s="408" t="s">
        <v>993</v>
      </c>
      <c r="H67" s="409" t="n">
        <f aca="true">OFFSET(CRONO!$T$187,0,CRONOPLE!H65)</f>
        <v>144767.48</v>
      </c>
      <c r="I67" s="409"/>
      <c r="J67" s="409" t="n">
        <f aca="true">OFFSET(CRONO!$T$187,0,CRONOPLE!J65)</f>
        <v>0</v>
      </c>
      <c r="K67" s="409"/>
      <c r="L67" s="409" t="n">
        <f aca="true">OFFSET(CRONO!$T$187,0,CRONOPLE!L65)</f>
        <v>0</v>
      </c>
      <c r="M67" s="409"/>
      <c r="N67" s="409" t="n">
        <f aca="true">OFFSET(CRONO!$T$187,0,CRONOPLE!N65)</f>
        <v>0</v>
      </c>
      <c r="O67" s="409"/>
      <c r="P67" s="409" t="n">
        <f aca="true">OFFSET(CRONO!$T$187,0,CRONOPLE!P65)</f>
        <v>0</v>
      </c>
      <c r="Q67" s="409"/>
      <c r="R67" s="409" t="n">
        <f aca="true">OFFSET(CRONO!$T$187,0,CRONOPLE!R65)</f>
        <v>0</v>
      </c>
      <c r="S67" s="409"/>
      <c r="T67" s="409" t="n">
        <f aca="true">OFFSET(CRONO!$T$187,0,CRONOPLE!T65)</f>
        <v>0</v>
      </c>
      <c r="U67" s="409"/>
      <c r="V67" s="409" t="n">
        <f aca="true">OFFSET(CRONO!$T$187,0,CRONOPLE!V65)</f>
        <v>0</v>
      </c>
      <c r="W67" s="409"/>
      <c r="X67" s="409" t="n">
        <f aca="true">OFFSET(CRONO!$T$187,0,CRONOPLE!X65)</f>
        <v>0</v>
      </c>
      <c r="Y67" s="409"/>
      <c r="Z67" s="409" t="n">
        <f aca="true">OFFSET(CRONO!$T$187,0,CRONOPLE!Z65)</f>
        <v>0</v>
      </c>
      <c r="AA67" s="409"/>
      <c r="AB67" s="409" t="n">
        <f aca="true">OFFSET(CRONO!$T$187,0,CRONOPLE!AB65)</f>
        <v>0</v>
      </c>
      <c r="AC67" s="409"/>
      <c r="AD67" s="409" t="n">
        <f aca="true">OFFSET(CRONO!$T$187,0,CRONOPLE!AD65)</f>
        <v>0</v>
      </c>
      <c r="AE67" s="409"/>
      <c r="AF67" s="408" t="s">
        <v>993</v>
      </c>
      <c r="AG67" s="409" t="n">
        <f aca="true">OFFSET(CRONO!$T$187,0,CRONOPLE!AG65)</f>
        <v>144767.48</v>
      </c>
      <c r="AH67" s="409"/>
      <c r="AI67" s="409" t="n">
        <f aca="true">OFFSET(CRONO!$T$187,0,CRONOPLE!AI65)</f>
        <v>0</v>
      </c>
      <c r="AJ67" s="409"/>
      <c r="AK67" s="409" t="n">
        <f aca="true">OFFSET(CRONO!$T$187,0,CRONOPLE!AK65)</f>
        <v>0</v>
      </c>
      <c r="AL67" s="409"/>
      <c r="AM67" s="409" t="n">
        <f aca="true">OFFSET(CRONO!$T$187,0,CRONOPLE!AM65)</f>
        <v>0</v>
      </c>
      <c r="AN67" s="409"/>
      <c r="AO67" s="409" t="n">
        <f aca="true">OFFSET(CRONO!$T$187,0,CRONOPLE!AO65)</f>
        <v>0</v>
      </c>
      <c r="AP67" s="409"/>
      <c r="AQ67" s="409" t="n">
        <f aca="true">OFFSET(CRONO!$T$187,0,CRONOPLE!AQ65)</f>
        <v>0</v>
      </c>
      <c r="AR67" s="409"/>
      <c r="AS67" s="409" t="n">
        <f aca="true">OFFSET(CRONO!$T$187,0,CRONOPLE!AS65)</f>
        <v>0</v>
      </c>
      <c r="AT67" s="409"/>
      <c r="AU67" s="409" t="n">
        <f aca="true">OFFSET(CRONO!$T$187,0,CRONOPLE!AU65)</f>
        <v>0</v>
      </c>
      <c r="AV67" s="409"/>
      <c r="AW67" s="409" t="n">
        <f aca="true">OFFSET(CRONO!$T$187,0,CRONOPLE!AW65)</f>
        <v>0</v>
      </c>
      <c r="AX67" s="409"/>
      <c r="AY67" s="409" t="n">
        <f aca="true">OFFSET(CRONO!$T$187,0,CRONOPLE!AY65)</f>
        <v>0</v>
      </c>
      <c r="AZ67" s="409"/>
      <c r="BA67" s="409" t="n">
        <f aca="true">OFFSET(CRONO!$T$187,0,CRONOPLE!BA65)</f>
        <v>0</v>
      </c>
      <c r="BB67" s="409"/>
      <c r="BC67" s="409" t="n">
        <f aca="true">OFFSET(CRONO!$T$187,0,CRONOPLE!BC65)</f>
        <v>0</v>
      </c>
      <c r="BD67" s="409"/>
    </row>
    <row r="68" customFormat="false" ht="12.75" hidden="false" customHeight="true" outlineLevel="0" collapsed="false">
      <c r="A68" s="50" t="s">
        <v>563</v>
      </c>
      <c r="C68" s="410" t="s">
        <v>994</v>
      </c>
      <c r="G68" s="406" t="s">
        <v>992</v>
      </c>
      <c r="H68" s="407" t="n">
        <f aca="true">OFFSET(CRONO!$T$188,0,CRONOPLE!H65)</f>
        <v>1</v>
      </c>
      <c r="I68" s="407"/>
      <c r="J68" s="407" t="n">
        <f aca="true">OFFSET(CRONO!$T$188,0,CRONOPLE!J65)</f>
        <v>1</v>
      </c>
      <c r="K68" s="407"/>
      <c r="L68" s="407" t="n">
        <f aca="true">OFFSET(CRONO!$T$188,0,CRONOPLE!L65)</f>
        <v>1</v>
      </c>
      <c r="M68" s="407"/>
      <c r="N68" s="407" t="n">
        <f aca="true">OFFSET(CRONO!$T$188,0,CRONOPLE!N65)</f>
        <v>1</v>
      </c>
      <c r="O68" s="407"/>
      <c r="P68" s="407" t="n">
        <f aca="true">OFFSET(CRONO!$T$188,0,CRONOPLE!P65)</f>
        <v>1</v>
      </c>
      <c r="Q68" s="407"/>
      <c r="R68" s="407" t="n">
        <f aca="true">OFFSET(CRONO!$T$188,0,CRONOPLE!R65)</f>
        <v>1</v>
      </c>
      <c r="S68" s="407"/>
      <c r="T68" s="407" t="n">
        <f aca="true">OFFSET(CRONO!$T$188,0,CRONOPLE!T65)</f>
        <v>1</v>
      </c>
      <c r="U68" s="407"/>
      <c r="V68" s="407" t="n">
        <f aca="true">OFFSET(CRONO!$T$188,0,CRONOPLE!V65)</f>
        <v>1</v>
      </c>
      <c r="W68" s="407"/>
      <c r="X68" s="407" t="n">
        <f aca="true">OFFSET(CRONO!$T$188,0,CRONOPLE!X65)</f>
        <v>1</v>
      </c>
      <c r="Y68" s="407"/>
      <c r="Z68" s="407" t="n">
        <f aca="true">OFFSET(CRONO!$T$188,0,CRONOPLE!Z65)</f>
        <v>1</v>
      </c>
      <c r="AA68" s="407"/>
      <c r="AB68" s="407" t="n">
        <f aca="true">OFFSET(CRONO!$T$188,0,CRONOPLE!AB65)</f>
        <v>1</v>
      </c>
      <c r="AC68" s="407"/>
      <c r="AD68" s="407" t="n">
        <f aca="true">OFFSET(CRONO!$T$188,0,CRONOPLE!AD65)</f>
        <v>1</v>
      </c>
      <c r="AE68" s="407"/>
      <c r="AF68" s="406" t="s">
        <v>992</v>
      </c>
      <c r="AG68" s="407" t="n">
        <f aca="true">OFFSET(CRONO!$T$188,0,CRONOPLE!AG65)</f>
        <v>1</v>
      </c>
      <c r="AH68" s="407"/>
      <c r="AI68" s="407" t="n">
        <f aca="true">OFFSET(CRONO!$T$188,0,CRONOPLE!AI65)</f>
        <v>1</v>
      </c>
      <c r="AJ68" s="407"/>
      <c r="AK68" s="407" t="n">
        <f aca="true">OFFSET(CRONO!$T$188,0,CRONOPLE!AK65)</f>
        <v>1</v>
      </c>
      <c r="AL68" s="407"/>
      <c r="AM68" s="407" t="n">
        <f aca="true">OFFSET(CRONO!$T$188,0,CRONOPLE!AM65)</f>
        <v>1</v>
      </c>
      <c r="AN68" s="407"/>
      <c r="AO68" s="407" t="n">
        <f aca="true">OFFSET(CRONO!$T$188,0,CRONOPLE!AO65)</f>
        <v>1</v>
      </c>
      <c r="AP68" s="407"/>
      <c r="AQ68" s="407" t="n">
        <f aca="true">OFFSET(CRONO!$T$188,0,CRONOPLE!AQ65)</f>
        <v>1</v>
      </c>
      <c r="AR68" s="407"/>
      <c r="AS68" s="407" t="n">
        <f aca="true">OFFSET(CRONO!$T$188,0,CRONOPLE!AS65)</f>
        <v>1</v>
      </c>
      <c r="AT68" s="407"/>
      <c r="AU68" s="407" t="n">
        <f aca="true">OFFSET(CRONO!$T$188,0,CRONOPLE!AU65)</f>
        <v>1</v>
      </c>
      <c r="AV68" s="407"/>
      <c r="AW68" s="407" t="n">
        <f aca="true">OFFSET(CRONO!$T$188,0,CRONOPLE!AW65)</f>
        <v>1</v>
      </c>
      <c r="AX68" s="407"/>
      <c r="AY68" s="407" t="n">
        <f aca="true">OFFSET(CRONO!$T$188,0,CRONOPLE!AY65)</f>
        <v>1</v>
      </c>
      <c r="AZ68" s="407"/>
      <c r="BA68" s="407" t="n">
        <f aca="true">OFFSET(CRONO!$T$188,0,CRONOPLE!BA65)</f>
        <v>1</v>
      </c>
      <c r="BB68" s="407"/>
      <c r="BC68" s="407" t="n">
        <f aca="true">OFFSET(CRONO!$T$188,0,CRONOPLE!BC65)</f>
        <v>1</v>
      </c>
      <c r="BD68" s="407"/>
    </row>
    <row r="69" customFormat="false" ht="12.75" hidden="false" customHeight="true" outlineLevel="0" collapsed="false">
      <c r="A69" s="50" t="s">
        <v>563</v>
      </c>
      <c r="C69" s="410"/>
      <c r="G69" s="408" t="s">
        <v>993</v>
      </c>
      <c r="H69" s="411" t="n">
        <f aca="true">OFFSET(CRONO!$T$192,0,CRONOPLE!H65)</f>
        <v>3655717.06</v>
      </c>
      <c r="I69" s="411"/>
      <c r="J69" s="411" t="n">
        <f aca="true">OFFSET(CRONO!$T$192,0,CRONOPLE!J65)</f>
        <v>3655717.06</v>
      </c>
      <c r="K69" s="411"/>
      <c r="L69" s="411" t="n">
        <f aca="true">OFFSET(CRONO!$T$192,0,CRONOPLE!L65)</f>
        <v>3655717.06</v>
      </c>
      <c r="M69" s="411"/>
      <c r="N69" s="411" t="n">
        <f aca="true">OFFSET(CRONO!$T$192,0,CRONOPLE!N65)</f>
        <v>3655717.06</v>
      </c>
      <c r="O69" s="411"/>
      <c r="P69" s="411" t="n">
        <f aca="true">OFFSET(CRONO!$T$192,0,CRONOPLE!P65)</f>
        <v>3655717.06</v>
      </c>
      <c r="Q69" s="411"/>
      <c r="R69" s="411" t="n">
        <f aca="true">OFFSET(CRONO!$T$192,0,CRONOPLE!R65)</f>
        <v>3655717.06</v>
      </c>
      <c r="S69" s="411"/>
      <c r="T69" s="411" t="n">
        <f aca="true">OFFSET(CRONO!$T$192,0,CRONOPLE!T65)</f>
        <v>3655717.06</v>
      </c>
      <c r="U69" s="411"/>
      <c r="V69" s="411" t="n">
        <f aca="true">OFFSET(CRONO!$T$192,0,CRONOPLE!V65)</f>
        <v>3655717.06</v>
      </c>
      <c r="W69" s="411"/>
      <c r="X69" s="411" t="n">
        <f aca="true">OFFSET(CRONO!$T$192,0,CRONOPLE!X65)</f>
        <v>3655717.06</v>
      </c>
      <c r="Y69" s="411"/>
      <c r="Z69" s="411" t="n">
        <f aca="true">OFFSET(CRONO!$T$192,0,CRONOPLE!Z65)</f>
        <v>3655717.06</v>
      </c>
      <c r="AA69" s="411"/>
      <c r="AB69" s="411" t="n">
        <f aca="true">OFFSET(CRONO!$T$192,0,CRONOPLE!AB65)</f>
        <v>3655717.06</v>
      </c>
      <c r="AC69" s="411"/>
      <c r="AD69" s="411" t="n">
        <f aca="true">OFFSET(CRONO!$T$192,0,CRONOPLE!AD65)</f>
        <v>3655717.06</v>
      </c>
      <c r="AE69" s="411"/>
      <c r="AF69" s="408" t="s">
        <v>993</v>
      </c>
      <c r="AG69" s="411" t="n">
        <f aca="true">OFFSET(CRONO!$T$192,0,CRONOPLE!AG65)</f>
        <v>3655717.06</v>
      </c>
      <c r="AH69" s="411"/>
      <c r="AI69" s="411" t="n">
        <f aca="true">OFFSET(CRONO!$T$192,0,CRONOPLE!AI65)</f>
        <v>3655717.06</v>
      </c>
      <c r="AJ69" s="411"/>
      <c r="AK69" s="411" t="n">
        <f aca="true">OFFSET(CRONO!$T$192,0,CRONOPLE!AK65)</f>
        <v>3655717.06</v>
      </c>
      <c r="AL69" s="411"/>
      <c r="AM69" s="411" t="n">
        <f aca="true">OFFSET(CRONO!$T$192,0,CRONOPLE!AM65)</f>
        <v>3655717.06</v>
      </c>
      <c r="AN69" s="411"/>
      <c r="AO69" s="411" t="n">
        <f aca="true">OFFSET(CRONO!$T$192,0,CRONOPLE!AO65)</f>
        <v>3655717.06</v>
      </c>
      <c r="AP69" s="411"/>
      <c r="AQ69" s="411" t="n">
        <f aca="true">OFFSET(CRONO!$T$192,0,CRONOPLE!AQ65)</f>
        <v>3655717.06</v>
      </c>
      <c r="AR69" s="411"/>
      <c r="AS69" s="411" t="n">
        <f aca="true">OFFSET(CRONO!$T$192,0,CRONOPLE!AS65)</f>
        <v>3655717.06</v>
      </c>
      <c r="AT69" s="411"/>
      <c r="AU69" s="411" t="n">
        <f aca="true">OFFSET(CRONO!$T$192,0,CRONOPLE!AU65)</f>
        <v>3655717.06</v>
      </c>
      <c r="AV69" s="411"/>
      <c r="AW69" s="411" t="n">
        <f aca="true">OFFSET(CRONO!$T$192,0,CRONOPLE!AW65)</f>
        <v>3655717.06</v>
      </c>
      <c r="AX69" s="411"/>
      <c r="AY69" s="411" t="n">
        <f aca="true">OFFSET(CRONO!$T$192,0,CRONOPLE!AY65)</f>
        <v>3655717.06</v>
      </c>
      <c r="AZ69" s="411"/>
      <c r="BA69" s="411" t="n">
        <f aca="true">OFFSET(CRONO!$T$192,0,CRONOPLE!BA65)</f>
        <v>3655717.06</v>
      </c>
      <c r="BB69" s="411"/>
      <c r="BC69" s="411" t="n">
        <f aca="true">OFFSET(CRONO!$T$192,0,CRONOPLE!BC65)</f>
        <v>3655717.06</v>
      </c>
      <c r="BD69" s="411"/>
    </row>
    <row r="70" customFormat="false" ht="12.75" hidden="false" customHeight="true" outlineLevel="0" collapsed="false">
      <c r="A70" s="50" t="s">
        <v>563</v>
      </c>
      <c r="C70" s="412" t="s">
        <v>995</v>
      </c>
      <c r="D70" s="413"/>
      <c r="G70" s="406" t="s">
        <v>992</v>
      </c>
      <c r="H70" s="407" t="n">
        <f aca="true">OFFSET(CRONO!$T$193,0,CRONOPLE!H65)</f>
        <v>1</v>
      </c>
      <c r="I70" s="407"/>
      <c r="J70" s="414" t="n">
        <f aca="true">OFFSET(CRONO!$T$193,0,CRONOPLE!J65)</f>
        <v>1</v>
      </c>
      <c r="K70" s="414"/>
      <c r="L70" s="414" t="n">
        <f aca="true">OFFSET(CRONO!$T$193,0,CRONOPLE!L65)</f>
        <v>1</v>
      </c>
      <c r="M70" s="414"/>
      <c r="N70" s="414" t="n">
        <f aca="true">OFFSET(CRONO!$T$193,0,CRONOPLE!N65)</f>
        <v>1</v>
      </c>
      <c r="O70" s="414"/>
      <c r="P70" s="414" t="n">
        <f aca="true">OFFSET(CRONO!$T$193,0,CRONOPLE!P65)</f>
        <v>1</v>
      </c>
      <c r="Q70" s="414"/>
      <c r="R70" s="414" t="n">
        <f aca="true">OFFSET(CRONO!$T$193,0,CRONOPLE!R65)</f>
        <v>1</v>
      </c>
      <c r="S70" s="414"/>
      <c r="T70" s="414" t="n">
        <f aca="true">OFFSET(CRONO!$T$193,0,CRONOPLE!T65)</f>
        <v>1</v>
      </c>
      <c r="U70" s="414"/>
      <c r="V70" s="414" t="n">
        <f aca="true">OFFSET(CRONO!$T$193,0,CRONOPLE!V65)</f>
        <v>1</v>
      </c>
      <c r="W70" s="414"/>
      <c r="X70" s="414" t="n">
        <f aca="true">OFFSET(CRONO!$T$193,0,CRONOPLE!X65)</f>
        <v>1</v>
      </c>
      <c r="Y70" s="414"/>
      <c r="Z70" s="414" t="n">
        <f aca="true">OFFSET(CRONO!$T$193,0,CRONOPLE!Z65)</f>
        <v>1</v>
      </c>
      <c r="AA70" s="414"/>
      <c r="AB70" s="414" t="n">
        <f aca="true">OFFSET(CRONO!$T$193,0,CRONOPLE!AB65)</f>
        <v>1</v>
      </c>
      <c r="AC70" s="414"/>
      <c r="AD70" s="414" t="n">
        <f aca="true">OFFSET(CRONO!$T$193,0,CRONOPLE!AD65)</f>
        <v>1</v>
      </c>
      <c r="AE70" s="414"/>
      <c r="AF70" s="406" t="s">
        <v>992</v>
      </c>
      <c r="AG70" s="407" t="n">
        <f aca="true">OFFSET(CRONO!$T$193,0,CRONOPLE!AG65)</f>
        <v>1</v>
      </c>
      <c r="AH70" s="407"/>
      <c r="AI70" s="414" t="n">
        <f aca="true">OFFSET(CRONO!$T$193,0,CRONOPLE!AI65)</f>
        <v>1</v>
      </c>
      <c r="AJ70" s="414"/>
      <c r="AK70" s="414" t="n">
        <f aca="true">OFFSET(CRONO!$T$193,0,CRONOPLE!AK65)</f>
        <v>1</v>
      </c>
      <c r="AL70" s="414"/>
      <c r="AM70" s="414" t="n">
        <f aca="true">OFFSET(CRONO!$T$193,0,CRONOPLE!AM65)</f>
        <v>1</v>
      </c>
      <c r="AN70" s="414"/>
      <c r="AO70" s="414" t="n">
        <f aca="true">OFFSET(CRONO!$T$193,0,CRONOPLE!AO65)</f>
        <v>1</v>
      </c>
      <c r="AP70" s="414"/>
      <c r="AQ70" s="414" t="n">
        <f aca="true">OFFSET(CRONO!$T$193,0,CRONOPLE!AQ65)</f>
        <v>1</v>
      </c>
      <c r="AR70" s="414"/>
      <c r="AS70" s="414" t="n">
        <f aca="true">OFFSET(CRONO!$T$193,0,CRONOPLE!AS65)</f>
        <v>1</v>
      </c>
      <c r="AT70" s="414"/>
      <c r="AU70" s="414" t="n">
        <f aca="true">OFFSET(CRONO!$T$193,0,CRONOPLE!AU65)</f>
        <v>1</v>
      </c>
      <c r="AV70" s="414"/>
      <c r="AW70" s="414" t="n">
        <f aca="true">OFFSET(CRONO!$T$193,0,CRONOPLE!AW65)</f>
        <v>1</v>
      </c>
      <c r="AX70" s="414"/>
      <c r="AY70" s="414" t="n">
        <f aca="true">OFFSET(CRONO!$T$193,0,CRONOPLE!AY65)</f>
        <v>1</v>
      </c>
      <c r="AZ70" s="414"/>
      <c r="BA70" s="414" t="n">
        <f aca="true">OFFSET(CRONO!$T$193,0,CRONOPLE!BA65)</f>
        <v>1</v>
      </c>
      <c r="BB70" s="414"/>
      <c r="BC70" s="414" t="n">
        <f aca="true">OFFSET(CRONO!$T$193,0,CRONOPLE!BC65)</f>
        <v>1</v>
      </c>
      <c r="BD70" s="414"/>
    </row>
    <row r="71" customFormat="false" ht="15" hidden="false" customHeight="true" outlineLevel="0" collapsed="false">
      <c r="A71" s="50" t="s">
        <v>563</v>
      </c>
      <c r="C71" s="415"/>
      <c r="G71" s="416" t="str">
        <f aca="false">IF(COUNTIF(H71:BE71,"%Adm&gt;%Global")&gt;0,"Verificar proporcionalidade da Administração Local","")</f>
        <v/>
      </c>
      <c r="H71" s="417" t="str">
        <f aca="false">IF(H70="","",IF(ROUND(H70,4)&gt;ROUND(H68,4),"%Adm&gt;%Global",""))</f>
        <v/>
      </c>
      <c r="J71" s="417" t="str">
        <f aca="false">IF(J70="","",IF(ROUND(J70,4)&gt;ROUND(J68,4),"%Adm&gt;%Global",""))</f>
        <v/>
      </c>
      <c r="L71" s="417" t="str">
        <f aca="false">IF(L70="","",IF(ROUND(L70,4)&gt;ROUND(L68,4),"%Adm&gt;%Global",""))</f>
        <v/>
      </c>
      <c r="N71" s="417" t="str">
        <f aca="false">IF(N70="","",IF(ROUND(N70,4)&gt;ROUND(N68,4),"%Adm&gt;%Global",""))</f>
        <v/>
      </c>
      <c r="P71" s="417" t="str">
        <f aca="false">IF(P70="","",IF(ROUND(P70,4)&gt;ROUND(P68,4),"%Adm&gt;%Global",""))</f>
        <v/>
      </c>
      <c r="R71" s="417" t="str">
        <f aca="false">IF(R70="","",IF(ROUND(R70,4)&gt;ROUND(R68,4),"%Adm&gt;%Global",""))</f>
        <v/>
      </c>
      <c r="T71" s="417" t="str">
        <f aca="false">IF(T70="","",IF(ROUND(T70,4)&gt;ROUND(T68,4),"%Adm&gt;%Global",""))</f>
        <v/>
      </c>
      <c r="V71" s="417" t="str">
        <f aca="false">IF(V70="","",IF(ROUND(V70,4)&gt;ROUND(V68,4),"%Adm&gt;%Global",""))</f>
        <v/>
      </c>
      <c r="X71" s="417" t="str">
        <f aca="false">IF(X70="","",IF(ROUND(X70,4)&gt;ROUND(X68,4),"%Adm&gt;%Global",""))</f>
        <v/>
      </c>
      <c r="Z71" s="417" t="str">
        <f aca="false">IF(Z70="","",IF(ROUND(Z70,4)&gt;ROUND(Z68,4),"%Adm&gt;%Global",""))</f>
        <v/>
      </c>
      <c r="AB71" s="417" t="str">
        <f aca="false">IF(AB70="","",IF(ROUND(AB70,4)&gt;ROUND(AB68,4),"%Adm&gt;%Global",""))</f>
        <v/>
      </c>
      <c r="AD71" s="417" t="str">
        <f aca="false">IF(AD70="","",IF(ROUND(AD70,4)&gt;ROUND(AD68,4),"%Adm&gt;%Global",""))</f>
        <v/>
      </c>
      <c r="AF71" s="416" t="str">
        <f aca="false">IF(COUNTIF(AG71:CD71,"%Adm&gt;%Global")&gt;0,"Verificar proporcionalidade da Administração Local","")</f>
        <v/>
      </c>
      <c r="AG71" s="417" t="str">
        <f aca="false">IF(AG70="","",IF(ROUND(AG70,4)&gt;ROUND(AG68,4),"%Adm&gt;%Global",""))</f>
        <v/>
      </c>
      <c r="AI71" s="417" t="str">
        <f aca="false">IF(AI70="","",IF(ROUND(AI70,4)&gt;ROUND(AI68,4),"%Adm&gt;%Global",""))</f>
        <v/>
      </c>
      <c r="AK71" s="417" t="str">
        <f aca="false">IF(AK70="","",IF(ROUND(AK70,4)&gt;ROUND(AK68,4),"%Adm&gt;%Global",""))</f>
        <v/>
      </c>
      <c r="AM71" s="417" t="str">
        <f aca="false">IF(AM70="","",IF(ROUND(AM70,4)&gt;ROUND(AM68,4),"%Adm&gt;%Global",""))</f>
        <v/>
      </c>
      <c r="AO71" s="417" t="str">
        <f aca="false">IF(AO70="","",IF(ROUND(AO70,4)&gt;ROUND(AO68,4),"%Adm&gt;%Global",""))</f>
        <v/>
      </c>
      <c r="AQ71" s="417" t="str">
        <f aca="false">IF(AQ70="","",IF(ROUND(AQ70,4)&gt;ROUND(AQ68,4),"%Adm&gt;%Global",""))</f>
        <v/>
      </c>
      <c r="AS71" s="417" t="str">
        <f aca="false">IF(AS70="","",IF(ROUND(AS70,4)&gt;ROUND(AS68,4),"%Adm&gt;%Global",""))</f>
        <v/>
      </c>
      <c r="AU71" s="417" t="str">
        <f aca="false">IF(AU70="","",IF(ROUND(AU70,4)&gt;ROUND(AU68,4),"%Adm&gt;%Global",""))</f>
        <v/>
      </c>
      <c r="AW71" s="417" t="str">
        <f aca="false">IF(AW70="","",IF(ROUND(AW70,4)&gt;ROUND(AW68,4),"%Adm&gt;%Global",""))</f>
        <v/>
      </c>
      <c r="AY71" s="417" t="str">
        <f aca="false">IF(AY70="","",IF(ROUND(AY70,4)&gt;ROUND(AY68,4),"%Adm&gt;%Global",""))</f>
        <v/>
      </c>
      <c r="BA71" s="417" t="str">
        <f aca="false">IF(BA70="","",IF(ROUND(BA70,4)&gt;ROUND(BA68,4),"%Adm&gt;%Global",""))</f>
        <v/>
      </c>
      <c r="BC71" s="417" t="str">
        <f aca="false">IF(BC70="","",IF(ROUND(BC70,4)&gt;ROUND(BC68,4),"%Adm&gt;%Global",""))</f>
        <v/>
      </c>
    </row>
    <row r="72" customFormat="false" ht="12.75" hidden="false" customHeight="false" outlineLevel="0" collapsed="false">
      <c r="A72" s="50" t="s">
        <v>563</v>
      </c>
    </row>
    <row r="73" customFormat="false" ht="13.8" hidden="false" customHeight="false" outlineLevel="0" collapsed="false">
      <c r="A73" s="50" t="s">
        <v>563</v>
      </c>
      <c r="B73" s="254" t="str">
        <f aca="false">Import.Município</f>
        <v>SALINAS</v>
      </c>
      <c r="C73" s="254"/>
      <c r="E73" s="418"/>
      <c r="F73" s="418"/>
      <c r="G73" s="418"/>
      <c r="H73" s="418"/>
      <c r="I73" s="418"/>
      <c r="J73" s="418"/>
      <c r="K73" s="418"/>
      <c r="L73" s="418"/>
      <c r="V73" s="255"/>
      <c r="W73" s="48"/>
      <c r="X73" s="48"/>
      <c r="Y73" s="48"/>
      <c r="Z73" s="48"/>
      <c r="AA73" s="48"/>
      <c r="AB73" s="48"/>
      <c r="AC73" s="48"/>
      <c r="AD73" s="48"/>
      <c r="AE73" s="48"/>
      <c r="AF73" s="418"/>
      <c r="AG73" s="418"/>
      <c r="AH73" s="418"/>
      <c r="AI73" s="418"/>
      <c r="AJ73" s="418"/>
      <c r="AK73" s="418"/>
      <c r="AU73" s="255"/>
      <c r="AV73" s="48"/>
      <c r="AW73" s="48"/>
      <c r="AX73" s="48"/>
      <c r="AY73" s="48"/>
      <c r="AZ73" s="48"/>
      <c r="BA73" s="48"/>
      <c r="BB73" s="48"/>
      <c r="BC73" s="48"/>
      <c r="BD73" s="48"/>
    </row>
    <row r="74" customFormat="false" ht="12.75" hidden="false" customHeight="false" outlineLevel="0" collapsed="false">
      <c r="A74" s="50" t="s">
        <v>563</v>
      </c>
      <c r="B74" s="58" t="s">
        <v>722</v>
      </c>
      <c r="F74" s="419"/>
      <c r="G74" s="419"/>
      <c r="H74" s="419"/>
      <c r="I74" s="419"/>
      <c r="J74" s="419"/>
      <c r="K74" s="419"/>
      <c r="L74" s="420"/>
      <c r="V74" s="256" t="s">
        <v>725</v>
      </c>
      <c r="AF74" s="419"/>
      <c r="AG74" s="419"/>
      <c r="AH74" s="419"/>
      <c r="AI74" s="419"/>
      <c r="AJ74" s="419"/>
      <c r="AK74" s="420"/>
      <c r="AU74" s="256" t="s">
        <v>725</v>
      </c>
    </row>
    <row r="75" customFormat="false" ht="12.75" hidden="false" customHeight="false" outlineLevel="0" collapsed="false">
      <c r="A75" s="50" t="s">
        <v>563</v>
      </c>
      <c r="F75" s="419"/>
      <c r="G75" s="419"/>
      <c r="H75" s="419"/>
      <c r="I75" s="419"/>
      <c r="J75" s="419"/>
      <c r="K75" s="419"/>
      <c r="L75" s="420"/>
      <c r="V75" s="301" t="str">
        <f aca="true" t="array" ref="V75:V77">OFFSET(Import.RespOrçamento,0,-1) &amp; " " &amp; Import.RespOrçamento</f>
        <v>Nome: DEBHORA DOS SANTOS GUIMARÃES</v>
      </c>
      <c r="AF75" s="419"/>
      <c r="AG75" s="419"/>
      <c r="AH75" s="419"/>
      <c r="AI75" s="419"/>
      <c r="AJ75" s="419"/>
      <c r="AK75" s="420"/>
      <c r="AU75" s="301" t="str">
        <f aca="true" t="array" ref="AU75:AU77">OFFSET(Import.RespOrçamento,0,-1) &amp; " " &amp; Import.RespOrçamento</f>
        <v>Nome: DEBHORA DOS SANTOS GUIMARÃES</v>
      </c>
    </row>
    <row r="76" customFormat="false" ht="13.8" hidden="false" customHeight="false" outlineLevel="0" collapsed="false">
      <c r="A76" s="50" t="s">
        <v>563</v>
      </c>
      <c r="B76" s="421" t="n">
        <f aca="false">DADOS!$C$25</f>
        <v>45845</v>
      </c>
      <c r="C76" s="421"/>
      <c r="F76" s="419"/>
      <c r="G76" s="419"/>
      <c r="H76" s="419"/>
      <c r="I76" s="419"/>
      <c r="J76" s="419"/>
      <c r="K76" s="419"/>
      <c r="L76" s="420"/>
      <c r="V76" s="301" t="str">
        <v>CREA/CAU: 111769/D</v>
      </c>
      <c r="AF76" s="419"/>
      <c r="AG76" s="419"/>
      <c r="AH76" s="419"/>
      <c r="AI76" s="419"/>
      <c r="AJ76" s="419"/>
      <c r="AK76" s="420"/>
      <c r="AU76" s="301" t="str">
        <v>CREA/CAU: 111769/D</v>
      </c>
    </row>
    <row r="77" customFormat="false" ht="12.75" hidden="false" customHeight="false" outlineLevel="0" collapsed="false">
      <c r="A77" s="50" t="s">
        <v>563</v>
      </c>
      <c r="B77" s="58" t="s">
        <v>723</v>
      </c>
      <c r="F77" s="419"/>
      <c r="G77" s="419"/>
      <c r="H77" s="419"/>
      <c r="I77" s="419"/>
      <c r="J77" s="419"/>
      <c r="K77" s="419"/>
      <c r="L77" s="420"/>
      <c r="V77" s="301" t="str">
        <v>ART/RRT: MG20254000676</v>
      </c>
      <c r="AF77" s="419"/>
      <c r="AG77" s="419"/>
      <c r="AH77" s="419"/>
      <c r="AI77" s="419"/>
      <c r="AJ77" s="419"/>
      <c r="AK77" s="420"/>
      <c r="AU77" s="301" t="str">
        <v>ART/RRT: MG20254000676</v>
      </c>
    </row>
  </sheetData>
  <sheetProtection algorithmName="SHA-512" hashValue="IFkCp0Tc5hJVo8JYmEseG9wUJYPMXhYicjmPgd1L9Kc4ueDevQeKkbynJ9hDYjl1StTaAiULYiVHBXC7PHFGGQ==" saltValue="Zbq+A0mE6ZeAqpgfthZVhw==" spinCount="100000" sheet="true" objects="true" scenarios="true" autoFilter="false"/>
  <autoFilter ref="A13:A77"/>
  <mergeCells count="456">
    <mergeCell ref="AC2:AE2"/>
    <mergeCell ref="BB2:BD2"/>
    <mergeCell ref="B4:D4"/>
    <mergeCell ref="G4:I4"/>
    <mergeCell ref="J4:L4"/>
    <mergeCell ref="AF4:AH4"/>
    <mergeCell ref="AI4:AK4"/>
    <mergeCell ref="B5:D5"/>
    <mergeCell ref="G5:I5"/>
    <mergeCell ref="J5:L5"/>
    <mergeCell ref="M5:AE5"/>
    <mergeCell ref="AF5:AH5"/>
    <mergeCell ref="AI5:AK5"/>
    <mergeCell ref="AL5:BD5"/>
    <mergeCell ref="B8:C8"/>
    <mergeCell ref="B12:B13"/>
    <mergeCell ref="C12:C13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G49:AH49"/>
    <mergeCell ref="AI49:AJ49"/>
    <mergeCell ref="AK49:AL49"/>
    <mergeCell ref="AM49:AN49"/>
    <mergeCell ref="AO49:AP49"/>
    <mergeCell ref="AQ49:AR49"/>
    <mergeCell ref="AS49:AT49"/>
    <mergeCell ref="AU49:AV49"/>
    <mergeCell ref="AW49:AX49"/>
    <mergeCell ref="AY49:AZ49"/>
    <mergeCell ref="BA49:BB49"/>
    <mergeCell ref="BC49:BD49"/>
    <mergeCell ref="C50:C51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G50:AH50"/>
    <mergeCell ref="AI50:AJ50"/>
    <mergeCell ref="AK50:AL50"/>
    <mergeCell ref="AM50:AN50"/>
    <mergeCell ref="AO50:AP50"/>
    <mergeCell ref="AQ50:AR50"/>
    <mergeCell ref="AS50:AT50"/>
    <mergeCell ref="AU50:AV50"/>
    <mergeCell ref="AW50:AX50"/>
    <mergeCell ref="AY50:AZ50"/>
    <mergeCell ref="BA50:BB50"/>
    <mergeCell ref="BC50:BD50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G51:AH51"/>
    <mergeCell ref="AI51:AJ51"/>
    <mergeCell ref="AK51:AL51"/>
    <mergeCell ref="AM51:AN51"/>
    <mergeCell ref="AO51:AP51"/>
    <mergeCell ref="AQ51:AR51"/>
    <mergeCell ref="AS51:AT51"/>
    <mergeCell ref="AU51:AV51"/>
    <mergeCell ref="AW51:AX51"/>
    <mergeCell ref="AY51:AZ51"/>
    <mergeCell ref="BA51:BB51"/>
    <mergeCell ref="BC51:BD51"/>
    <mergeCell ref="C52:C53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G52:AH52"/>
    <mergeCell ref="AI52:AJ52"/>
    <mergeCell ref="AK52:AL52"/>
    <mergeCell ref="AM52:AN52"/>
    <mergeCell ref="AO52:AP52"/>
    <mergeCell ref="AQ52:AR52"/>
    <mergeCell ref="AS52:AT52"/>
    <mergeCell ref="AU52:AV52"/>
    <mergeCell ref="AW52:AX52"/>
    <mergeCell ref="AY52:AZ52"/>
    <mergeCell ref="BA52:BB52"/>
    <mergeCell ref="BC52:BD52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D53:AE53"/>
    <mergeCell ref="AG53:AH53"/>
    <mergeCell ref="AI53:AJ53"/>
    <mergeCell ref="AK53:AL53"/>
    <mergeCell ref="AM53:AN53"/>
    <mergeCell ref="AO53:AP53"/>
    <mergeCell ref="AQ53:AR53"/>
    <mergeCell ref="AS53:AT53"/>
    <mergeCell ref="AU53:AV53"/>
    <mergeCell ref="AW53:AX53"/>
    <mergeCell ref="AY53:AZ53"/>
    <mergeCell ref="BA53:BB53"/>
    <mergeCell ref="BC53:BD53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G54:AH54"/>
    <mergeCell ref="AI54:AJ54"/>
    <mergeCell ref="AK54:AL54"/>
    <mergeCell ref="AM54:AN54"/>
    <mergeCell ref="AO54:AP54"/>
    <mergeCell ref="AQ54:AR54"/>
    <mergeCell ref="AS54:AT54"/>
    <mergeCell ref="AU54:AV54"/>
    <mergeCell ref="AW54:AX54"/>
    <mergeCell ref="AY54:AZ54"/>
    <mergeCell ref="BA54:BB54"/>
    <mergeCell ref="BC54:BD54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G57:AH57"/>
    <mergeCell ref="AI57:AJ57"/>
    <mergeCell ref="AK57:AL57"/>
    <mergeCell ref="AM57:AN57"/>
    <mergeCell ref="AO57:AP57"/>
    <mergeCell ref="AQ57:AR57"/>
    <mergeCell ref="AS57:AT57"/>
    <mergeCell ref="AU57:AV57"/>
    <mergeCell ref="AW57:AX57"/>
    <mergeCell ref="AY57:AZ57"/>
    <mergeCell ref="BA57:BB57"/>
    <mergeCell ref="BC57:BD57"/>
    <mergeCell ref="C58:C59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G58:AH58"/>
    <mergeCell ref="AI58:AJ58"/>
    <mergeCell ref="AK58:AL58"/>
    <mergeCell ref="AM58:AN58"/>
    <mergeCell ref="AO58:AP58"/>
    <mergeCell ref="AQ58:AR58"/>
    <mergeCell ref="AS58:AT58"/>
    <mergeCell ref="AU58:AV58"/>
    <mergeCell ref="AW58:AX58"/>
    <mergeCell ref="AY58:AZ58"/>
    <mergeCell ref="BA58:BB58"/>
    <mergeCell ref="BC58:BD58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E59"/>
    <mergeCell ref="AG59:AH59"/>
    <mergeCell ref="AI59:AJ59"/>
    <mergeCell ref="AK59:AL59"/>
    <mergeCell ref="AM59:AN59"/>
    <mergeCell ref="AO59:AP59"/>
    <mergeCell ref="AQ59:AR59"/>
    <mergeCell ref="AS59:AT59"/>
    <mergeCell ref="AU59:AV59"/>
    <mergeCell ref="AW59:AX59"/>
    <mergeCell ref="AY59:AZ59"/>
    <mergeCell ref="BA59:BB59"/>
    <mergeCell ref="BC59:BD59"/>
    <mergeCell ref="C60:C61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D60:AE60"/>
    <mergeCell ref="AG60:AH60"/>
    <mergeCell ref="AI60:AJ60"/>
    <mergeCell ref="AK60:AL60"/>
    <mergeCell ref="AM60:AN60"/>
    <mergeCell ref="AO60:AP60"/>
    <mergeCell ref="AQ60:AR60"/>
    <mergeCell ref="AS60:AT60"/>
    <mergeCell ref="AU60:AV60"/>
    <mergeCell ref="AW60:AX60"/>
    <mergeCell ref="AY60:AZ60"/>
    <mergeCell ref="BA60:BB60"/>
    <mergeCell ref="BC60:BD60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G61:AH61"/>
    <mergeCell ref="AI61:AJ61"/>
    <mergeCell ref="AK61:AL61"/>
    <mergeCell ref="AM61:AN61"/>
    <mergeCell ref="AO61:AP61"/>
    <mergeCell ref="AQ61:AR61"/>
    <mergeCell ref="AS61:AT61"/>
    <mergeCell ref="AU61:AV61"/>
    <mergeCell ref="AW61:AX61"/>
    <mergeCell ref="AY61:AZ61"/>
    <mergeCell ref="BA61:BB61"/>
    <mergeCell ref="BC61:BD61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G62:AH62"/>
    <mergeCell ref="AI62:AJ62"/>
    <mergeCell ref="AK62:AL62"/>
    <mergeCell ref="AM62:AN62"/>
    <mergeCell ref="AO62:AP62"/>
    <mergeCell ref="AQ62:AR62"/>
    <mergeCell ref="AS62:AT62"/>
    <mergeCell ref="AU62:AV62"/>
    <mergeCell ref="AW62:AX62"/>
    <mergeCell ref="AY62:AZ62"/>
    <mergeCell ref="BA62:BB62"/>
    <mergeCell ref="BC62:BD62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G65:AH65"/>
    <mergeCell ref="AI65:AJ65"/>
    <mergeCell ref="AK65:AL65"/>
    <mergeCell ref="AM65:AN65"/>
    <mergeCell ref="AO65:AP65"/>
    <mergeCell ref="AQ65:AR65"/>
    <mergeCell ref="AS65:AT65"/>
    <mergeCell ref="AU65:AV65"/>
    <mergeCell ref="AW65:AX65"/>
    <mergeCell ref="AY65:AZ65"/>
    <mergeCell ref="BA65:BB65"/>
    <mergeCell ref="BC65:BD65"/>
    <mergeCell ref="C66:C67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D66:AE66"/>
    <mergeCell ref="AG66:AH66"/>
    <mergeCell ref="AI66:AJ66"/>
    <mergeCell ref="AK66:AL66"/>
    <mergeCell ref="AM66:AN66"/>
    <mergeCell ref="AO66:AP66"/>
    <mergeCell ref="AQ66:AR66"/>
    <mergeCell ref="AS66:AT66"/>
    <mergeCell ref="AU66:AV66"/>
    <mergeCell ref="AW66:AX66"/>
    <mergeCell ref="AY66:AZ66"/>
    <mergeCell ref="BA66:BB66"/>
    <mergeCell ref="BC66:BD66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G67:AH67"/>
    <mergeCell ref="AI67:AJ67"/>
    <mergeCell ref="AK67:AL67"/>
    <mergeCell ref="AM67:AN67"/>
    <mergeCell ref="AO67:AP67"/>
    <mergeCell ref="AQ67:AR67"/>
    <mergeCell ref="AS67:AT67"/>
    <mergeCell ref="AU67:AV67"/>
    <mergeCell ref="AW67:AX67"/>
    <mergeCell ref="AY67:AZ67"/>
    <mergeCell ref="BA67:BB67"/>
    <mergeCell ref="BC67:BD67"/>
    <mergeCell ref="C68:C69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G68:AH68"/>
    <mergeCell ref="AI68:AJ68"/>
    <mergeCell ref="AK68:AL68"/>
    <mergeCell ref="AM68:AN68"/>
    <mergeCell ref="AO68:AP68"/>
    <mergeCell ref="AQ68:AR68"/>
    <mergeCell ref="AS68:AT68"/>
    <mergeCell ref="AU68:AV68"/>
    <mergeCell ref="AW68:AX68"/>
    <mergeCell ref="AY68:AZ68"/>
    <mergeCell ref="BA68:BB68"/>
    <mergeCell ref="BC68:BD68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D69:AE69"/>
    <mergeCell ref="AG69:AH69"/>
    <mergeCell ref="AI69:AJ69"/>
    <mergeCell ref="AK69:AL69"/>
    <mergeCell ref="AM69:AN69"/>
    <mergeCell ref="AO69:AP69"/>
    <mergeCell ref="AQ69:AR69"/>
    <mergeCell ref="AS69:AT69"/>
    <mergeCell ref="AU69:AV69"/>
    <mergeCell ref="AW69:AX69"/>
    <mergeCell ref="AY69:AZ69"/>
    <mergeCell ref="BA69:BB69"/>
    <mergeCell ref="BC69:BD69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D70:AE70"/>
    <mergeCell ref="AG70:AH70"/>
    <mergeCell ref="AI70:AJ70"/>
    <mergeCell ref="AK70:AL70"/>
    <mergeCell ref="AM70:AN70"/>
    <mergeCell ref="AO70:AP70"/>
    <mergeCell ref="AQ70:AR70"/>
    <mergeCell ref="AS70:AT70"/>
    <mergeCell ref="AU70:AV70"/>
    <mergeCell ref="AW70:AX70"/>
    <mergeCell ref="AY70:AZ70"/>
    <mergeCell ref="BA70:BB70"/>
    <mergeCell ref="BC70:BD70"/>
    <mergeCell ref="B76:C76"/>
  </mergeCells>
  <conditionalFormatting sqref="H70:AE70 AG70:BD70">
    <cfRule type="expression" priority="2" aboveAverage="0" equalAverage="0" bottom="0" percent="0" rank="0" text="" dxfId="310">
      <formula>ROUND(H70,4)&gt;ROUND(H68,4)</formula>
    </cfRule>
  </conditionalFormatting>
  <conditionalFormatting sqref="J70:AE70 AI70:BD70">
    <cfRule type="expression" priority="3" aboveAverage="0" equalAverage="0" bottom="0" percent="0" rank="0" text="" dxfId="311">
      <formula>OFFSET(J70,-2,-2)=1</formula>
    </cfRule>
  </conditionalFormatting>
  <conditionalFormatting sqref="J69:AE69 AI69:BD69">
    <cfRule type="expression" priority="4" aboveAverage="0" equalAverage="0" bottom="0" percent="0" rank="0" text="" dxfId="312">
      <formula>OFFSET(J69,-1,-2)=1</formula>
    </cfRule>
  </conditionalFormatting>
  <conditionalFormatting sqref="J68:AE68 AI68:BD68">
    <cfRule type="expression" priority="5" aboveAverage="0" equalAverage="0" bottom="0" percent="0" rank="0" text="" dxfId="313">
      <formula>OFFSET(J68,0,-2)=1</formula>
    </cfRule>
  </conditionalFormatting>
  <conditionalFormatting sqref="J67:AE67 AI67:BD67">
    <cfRule type="expression" priority="6" aboveAverage="0" equalAverage="0" bottom="0" percent="0" rank="0" text="" dxfId="314">
      <formula>OFFSET(J67,1,-2)=1</formula>
    </cfRule>
  </conditionalFormatting>
  <conditionalFormatting sqref="J66:AE66 AI66:BD66">
    <cfRule type="expression" priority="7" aboveAverage="0" equalAverage="0" bottom="0" percent="0" rank="0" text="" dxfId="315">
      <formula>OFFSET(J66,2,-2)=1</formula>
    </cfRule>
  </conditionalFormatting>
  <conditionalFormatting sqref="J65:AE65 AI65:BD65">
    <cfRule type="expression" priority="8" aboveAverage="0" equalAverage="0" bottom="0" percent="0" rank="0" text="" dxfId="316">
      <formula>OFFSET(J65,3,-2)=1</formula>
    </cfRule>
  </conditionalFormatting>
  <conditionalFormatting sqref="H62:AE62 AG62:BD62">
    <cfRule type="expression" priority="9" aboveAverage="0" equalAverage="0" bottom="0" percent="0" rank="0" text="" dxfId="317">
      <formula>ROUND(H62,4)&gt;ROUND(H60,4)</formula>
    </cfRule>
  </conditionalFormatting>
  <conditionalFormatting sqref="J62:AE62 AI62:BD62">
    <cfRule type="expression" priority="10" aboveAverage="0" equalAverage="0" bottom="0" percent="0" rank="0" text="" dxfId="318">
      <formula>OFFSET(J62,-2,-2)=1</formula>
    </cfRule>
  </conditionalFormatting>
  <conditionalFormatting sqref="J61:AE61 AI61:BD61">
    <cfRule type="expression" priority="11" aboveAverage="0" equalAverage="0" bottom="0" percent="0" rank="0" text="" dxfId="319">
      <formula>OFFSET(J61,-1,-2)=1</formula>
    </cfRule>
  </conditionalFormatting>
  <conditionalFormatting sqref="J60:AE60 AI60:BD60">
    <cfRule type="expression" priority="12" aboveAverage="0" equalAverage="0" bottom="0" percent="0" rank="0" text="" dxfId="320">
      <formula>OFFSET(J60,0,-2)=1</formula>
    </cfRule>
  </conditionalFormatting>
  <conditionalFormatting sqref="J59:AE59 AI59:BD59">
    <cfRule type="expression" priority="13" aboveAverage="0" equalAverage="0" bottom="0" percent="0" rank="0" text="" dxfId="321">
      <formula>OFFSET(J59,1,-2)=1</formula>
    </cfRule>
  </conditionalFormatting>
  <conditionalFormatting sqref="J58:AE58 AI58:BD58">
    <cfRule type="expression" priority="14" aboveAverage="0" equalAverage="0" bottom="0" percent="0" rank="0" text="" dxfId="322">
      <formula>OFFSET(J58,2,-2)=1</formula>
    </cfRule>
  </conditionalFormatting>
  <conditionalFormatting sqref="J57:AE57 AI57:BD57">
    <cfRule type="expression" priority="15" aboveAverage="0" equalAverage="0" bottom="0" percent="0" rank="0" text="" dxfId="323">
      <formula>OFFSET(J57,3,-2)=1</formula>
    </cfRule>
  </conditionalFormatting>
  <conditionalFormatting sqref="AT4:AX4">
    <cfRule type="expression" priority="16" aboveAverage="0" equalAverage="0" bottom="0" percent="0" rank="0" text="" dxfId="324">
      <formula>QCI.ExisteManual</formula>
    </cfRule>
  </conditionalFormatting>
  <conditionalFormatting sqref="E25:E26">
    <cfRule type="expression" priority="17" aboveAverage="0" equalAverage="0" bottom="0" percent="0" rank="0" text="" dxfId="325">
      <formula>IF(OR(E$12&gt;CÁLCULO.NúmeroDeFrentes,ACOMPANHAMENTO="BM"),1,CRONOPLE.ValorDoEvento=0)</formula>
    </cfRule>
  </conditionalFormatting>
  <conditionalFormatting sqref="E16:E24">
    <cfRule type="expression" priority="18" aboveAverage="0" equalAverage="0" bottom="0" percent="0" rank="0" text="" dxfId="326">
      <formula>IF(OR(E$12&gt;CÁLCULO.NúmeroDeFrentes,ACOMPANHAMENTO="BM"),1,CRONOPLE.ValorDoEvento=0)</formula>
    </cfRule>
  </conditionalFormatting>
  <conditionalFormatting sqref="H54:AE54 AG54:BD54">
    <cfRule type="expression" priority="19" aboveAverage="0" equalAverage="0" bottom="0" percent="0" rank="0" text="" dxfId="327">
      <formula>ROUND(H54,4)&gt;ROUND(H52,4)</formula>
    </cfRule>
  </conditionalFormatting>
  <conditionalFormatting sqref="J54:AE54 AI54:BD54">
    <cfRule type="expression" priority="20" aboveAverage="0" equalAverage="0" bottom="0" percent="0" rank="0" text="" dxfId="328">
      <formula>OFFSET(J54,-2,-2)=1</formula>
    </cfRule>
  </conditionalFormatting>
  <conditionalFormatting sqref="B8:C8">
    <cfRule type="expression" priority="21" aboveAverage="0" equalAverage="0" bottom="0" percent="0" rank="0" text="" dxfId="329">
      <formula>$B$7=""</formula>
    </cfRule>
  </conditionalFormatting>
  <conditionalFormatting sqref="B15:C15 E15 G15:BE15">
    <cfRule type="expression" priority="22" aboveAverage="0" equalAverage="0" bottom="0" percent="0" rank="0" text="" dxfId="330">
      <formula>$B$15=0</formula>
    </cfRule>
  </conditionalFormatting>
  <conditionalFormatting sqref="J53:AE53 AI53:BD53">
    <cfRule type="expression" priority="23" aboveAverage="0" equalAverage="0" bottom="0" percent="0" rank="0" text="" dxfId="331">
      <formula>OFFSET(J53,-1,-2)=1</formula>
    </cfRule>
  </conditionalFormatting>
  <conditionalFormatting sqref="J52:AE52 AI52:BD52">
    <cfRule type="expression" priority="24" aboveAverage="0" equalAverage="0" bottom="0" percent="0" rank="0" text="" dxfId="332">
      <formula>OFFSET(J52,0,-2)=1</formula>
    </cfRule>
  </conditionalFormatting>
  <conditionalFormatting sqref="J51:AE51 AI51:BD51">
    <cfRule type="expression" priority="25" aboveAverage="0" equalAverage="0" bottom="0" percent="0" rank="0" text="" dxfId="333">
      <formula>OFFSET(J51,1,-2)=1</formula>
    </cfRule>
  </conditionalFormatting>
  <conditionalFormatting sqref="J50:AE50 AI50:BD50">
    <cfRule type="expression" priority="26" aboveAverage="0" equalAverage="0" bottom="0" percent="0" rank="0" text="" dxfId="334">
      <formula>OFFSET(J50,2,-2)=1</formula>
    </cfRule>
  </conditionalFormatting>
  <conditionalFormatting sqref="J49:AE49 AI49:BD49">
    <cfRule type="expression" priority="27" aboveAverage="0" equalAverage="0" bottom="0" percent="0" rank="0" text="" dxfId="335">
      <formula>OFFSET(J49,3,-2)=1</formula>
    </cfRule>
  </conditionalFormatting>
  <conditionalFormatting sqref="U4:Y4">
    <cfRule type="expression" priority="28" aboveAverage="0" equalAverage="0" bottom="0" percent="0" rank="0" text="" dxfId="336">
      <formula>QCI.ExisteManual</formula>
    </cfRule>
  </conditionalFormatting>
  <conditionalFormatting sqref="E1 G1:BD1 E27:E46 G16:BD46">
    <cfRule type="expression" priority="29" aboveAverage="0" equalAverage="0" bottom="0" percent="0" rank="0" text="" dxfId="337">
      <formula>IF(OR(E$12&gt;CÁLCULO.NúmeroDeFrentes,ACOMPANHAMENTO="BM"),1,CRONOPLE.ValorDoEvento=0)</formula>
    </cfRule>
  </conditionalFormatting>
  <dataValidations count="2">
    <dataValidation allowBlank="true" errorStyle="stop" operator="greaterThan" showDropDown="false" showErrorMessage="true" showInputMessage="false" sqref="E1:E8 G1:BD1 H2:AB2 AG2:BA2 JZ2:JZ6 KC2:KW2 TV2:TV6 TY2:US2 ADR2:ADR6 ADU2:AEO2 ANN2:ANN6 ANQ2:AOK2 AXJ2:AXJ6 AXM2:AYG2 BHF2:BHF6 BHI2:BIC2 BRB2:BRB6 BRE2:BRY2 CAX2:CAX6 CBA2:CBU2 CKT2:CKT6 CKW2:CLQ2 CUP2:CUP6 CUS2:CVM2 DEL2:DEL6 DEO2:DFI2 DOH2:DOH6 DOK2:DPE2 DYD2:DYD6 DYG2:DZA2 EHZ2:EHZ6 EIC2:EIW2 ERV2:ERV6 ERY2:ESS2 FBR2:FBR6 FBU2:FCO2 FLN2:FLN6 FLQ2:FMK2 FVJ2:FVJ6 FVM2:FWG2 GFF2:GFF6 GFI2:GGC2 GPB2:GPB6 GPE2:GPY2 GYX2:GYX6 GZA2:GZU2 HIT2:HIT6 HIW2:HJQ2 HSP2:HSP6 HSS2:HTM2 ICL2:ICL6 ICO2:IDI2 IMH2:IMH6 IMK2:INE2 IWD2:IWD6 IWG2:IXA2 JFZ2:JFZ6 JGC2:JGW2 JPV2:JPV6 JPY2:JQS2 JZR2:JZR6 JZU2:KAO2 KJN2:KJN6 KJQ2:KKK2 KTJ2:KTJ6 KTM2:KUG2 LDF2:LDF6 LDI2:LEC2 LNB2:LNB6 LNE2:LNY2 LWX2:LWX6 LXA2:LXU2 MGT2:MGT6 MGW2:MHQ2 MQP2:MQP6 MQS2:MRM2 NAL2:NAL6 NAO2:NBI2 NKH2:NKH6 NKK2:NLE2 NUD2:NUD6 NUG2:NVA2 ODZ2:ODZ6 OEC2:OEW2 ONV2:ONV6 ONY2:OOS2 OXR2:OXR6 OXU2:OYO2 PHN2:PHN6 PHQ2:PIK2 PRJ2:PRJ6 PRM2:PSG2 QBF2:QBF6 QBI2:QCC2 QLB2:QLB6 QLE2:QLY2 QUX2:QUX6 QVA2:QVU2 RET2:RET6 REW2:RFQ2 ROP2:ROP6 ROS2:RPM2 RYL2:RYL6 RYO2:RZI2 SIH2:SIH6 SIK2:SJE2 SSD2:SSD6 SSG2:STA2 TBZ2:TBZ6 TCC2:TCW2 TLV2:TLV6 TLY2:TMS2 TVR2:TVR6 TVU2:TWO2 UFN2:UFN6 UFQ2:UGK2 UPJ2:UPJ6 UPM2:UQG2 UZF2:UZF6 UZI2:VAC2 VJB2:VJB6 VJE2:VJY2 VSX2:VSX6 VTA2:VTU2 WCT2:WCT6 WCW2:WDQ2 WMP2:WMP6 WMS2:WNM2 WWL2:WWL6 WWO2:WXI2 G3:AC3 AF3:BB3 KB3:KX3 TX3:UT3 ADT3:AEP3 ANP3:AOL3 AXL3:AYH3 BHH3:BID3 BRD3:BRZ3 CAZ3:CBV3 CKV3:CLR3 CUR3:CVN3 DEN3:DFJ3 DOJ3:DPF3 DYF3:DZB3 EIB3:EIX3 ERX3:EST3 FBT3:FCP3 FLP3:FML3 FVL3:FWH3 GFH3:GGD3 GPD3:GPZ3 GYZ3:GZV3 HIV3:HJR3 HSR3:HTN3 ICN3:IDJ3 IMJ3:INF3 IWF3:IXB3 JGB3:JGX3 JPX3:JQT3 JZT3:KAP3 KJP3:KKL3 KTL3:KUH3 LDH3:LED3 LND3:LNZ3 LWZ3:LXV3 MGV3:MHR3 MQR3:MRN3 NAN3:NBJ3 NKJ3:NLF3 NUF3:NVB3 OEB3:OEX3 ONX3:OOT3 OXT3:OYP3 PHP3:PIL3 PRL3:PSH3 QBH3:QCD3 QLD3:QLZ3 QUZ3:QVV3 REV3:RFR3 ROR3:RPN3 RYN3:RZJ3 SIJ3:SJF3 SSF3:STB3 TCB3:TCX3 TLX3:TMT3 TVT3:TWP3 UFP3:UGL3 UPL3:UQH3 UZH3:VAD3 VJD3:VJZ3 VSZ3:VTV3 WCV3:WDR3 WMR3:WNN3 WWN3:WXJ3 S4:T4 Z4:AC4 AR4:AS4 AY4:BB4 KN4:KO4 KW4:KX4 UJ4:UK4 US4:UT4 AEF4:AEG4 AEO4:AEP4 AOB4:AOC4 AOK4:AOL4 AXX4:AXY4 AYG4:AYH4 BHT4:BHU4 BIC4:BID4 BRP4:BRQ4 BRY4:BRZ4 CBL4:CBM4 CBU4:CBV4 CLH4:CLI4 CLQ4:CLR4 CVD4:CVE4 CVM4:CVN4 DEZ4:DFA4 DFI4:DFJ4 DOV4:DOW4 DPE4:DPF4 DYR4:DYS4 DZA4:DZB4 EIN4:EIO4 EIW4:EIX4 ESJ4:ESK4 ESS4:EST4 FCF4:FCG4 FCO4:FCP4 FMB4:FMC4 FMK4:FML4 FVX4:FVY4 FWG4:FWH4 GFT4:GFU4 GGC4:GGD4 GPP4:GPQ4 GPY4:GPZ4 GZL4:GZM4 GZU4:GZV4 HJH4:HJI4 HJQ4:HJR4 HTD4:HTE4 HTM4:HTN4 ICZ4:IDA4 IDI4:IDJ4 IMV4:IMW4 INE4:INF4 IWR4:IWS4 IXA4:IXB4 JGN4:JGO4 JGW4:JGX4 JQJ4:JQK4 JQS4:JQT4 KAF4:KAG4 KAO4:KAP4 KKB4:KKC4 KKK4:KKL4 KTX4:KTY4 KUG4:KUH4 LDT4:LDU4 LEC4:LED4 LNP4:LNQ4 LNY4:LNZ4 LXL4:LXM4 LXU4:LXV4 MHH4:MHI4 MHQ4:MHR4 MRD4:MRE4 MRM4:MRN4 NAZ4:NBA4 NBI4:NBJ4 NKV4:NKW4 NLE4:NLF4 NUR4:NUS4 NVA4:NVB4 OEN4:OEO4 OEW4:OEX4 OOJ4:OOK4 OOS4:OOT4 OYF4:OYG4 OYO4:OYP4 PIB4:PIC4 PIK4:PIL4 PRX4:PRY4 PSG4:PSH4 QBT4:QBU4 QCC4:QCD4 QLP4:QLQ4 QLY4:QLZ4 QVL4:QVM4 QVU4:QVV4 RFH4:RFI4 RFQ4:RFR4 RPD4:RPE4 RPM4:RPN4 RYZ4:RZA4 RZI4:RZJ4 SIV4:SIW4 SJE4:SJF4 SSR4:SSS4 STA4:STB4 TCN4:TCO4 TCW4:TCX4 TMJ4:TMK4 TMS4:TMT4 TWF4:TWG4 TWO4:TWP4 UGB4:UGC4 UGK4:UGL4 UPX4:UPY4 UQG4:UQH4 UZT4:UZU4 VAC4:VAD4 VJP4:VJQ4 VJY4:VJZ4 VTL4:VTM4 VTU4:VTV4 WDH4:WDI4 WDQ4:WDR4 WND4:WNE4 WNM4:WNN4 WWZ4:WXA4 WXI4:WXJ4 G6:BD8 E16:E46 G16:BD46" type="whole">
      <formula1>0</formula1>
      <formula2>0</formula2>
    </dataValidation>
    <dataValidation allowBlank="true" error="Selecione uma opção da lista." errorStyle="stop" errorTitle="Atenção" operator="between" showDropDown="false" showErrorMessage="true" showInputMessage="false" sqref="B8:C8" type="list">
      <formula1>$F$15:$F$47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&amp;LPMv3.12&amp;R&amp;P /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false"/>
  </sheetPr>
  <dimension ref="A1:BE19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0" ySplit="13" topLeftCell="U14" activePane="bottomRight" state="frozen"/>
      <selection pane="topLeft" activeCell="A1" activeCellId="0" sqref="A1"/>
      <selection pane="topRight" activeCell="U1" activeCellId="0" sqref="U1"/>
      <selection pane="bottomLeft" activeCell="A14" activeCellId="0" sqref="A14"/>
      <selection pane="bottomRight" activeCell="A1" activeCellId="0" sqref="A1"/>
    </sheetView>
  </sheetViews>
  <sheetFormatPr defaultColWidth="9.1484375" defaultRowHeight="12.75" customHeight="true" zeroHeight="false" outlineLevelRow="0" outlineLevelCol="0"/>
  <cols>
    <col collapsed="false" customWidth="false" hidden="true" outlineLevel="0" max="1" min="1" style="382" width="9.14"/>
    <col collapsed="false" customWidth="false" hidden="true" outlineLevel="0" max="4" min="2" style="419" width="9.14"/>
    <col collapsed="false" customWidth="true" hidden="true" outlineLevel="0" max="5" min="5" style="382" width="11"/>
    <col collapsed="false" customWidth="true" hidden="true" outlineLevel="0" max="6" min="6" style="419" width="19"/>
    <col collapsed="false" customWidth="true" hidden="false" outlineLevel="0" max="7" min="7" style="382" width="3.57"/>
    <col collapsed="false" customWidth="true" hidden="false" outlineLevel="0" max="8" min="8" style="419" width="12.57"/>
    <col collapsed="false" customWidth="true" hidden="false" outlineLevel="0" max="9" min="9" style="382" width="7.16"/>
    <col collapsed="false" customWidth="true" hidden="false" outlineLevel="0" max="10" min="10" style="382" width="11.57"/>
    <col collapsed="false" customWidth="true" hidden="false" outlineLevel="0" max="11" min="11" style="382" width="12"/>
    <col collapsed="false" customWidth="true" hidden="false" outlineLevel="0" max="12" min="12" style="382" width="11"/>
    <col collapsed="false" customWidth="false" hidden="true" outlineLevel="0" max="18" min="13" style="419" width="9.14"/>
    <col collapsed="false" customWidth="true" hidden="false" outlineLevel="0" max="19" min="19" style="420" width="11.43"/>
    <col collapsed="false" customWidth="true" hidden="false" outlineLevel="0" max="20" min="20" style="420" width="9.57"/>
    <col collapsed="false" customWidth="true" hidden="false" outlineLevel="0" max="56" min="21" style="382" width="11"/>
    <col collapsed="false" customWidth="true" hidden="true" outlineLevel="0" max="57" min="57" style="382" width="5.57"/>
    <col collapsed="false" customWidth="false" hidden="false" outlineLevel="0" max="16384" min="58" style="382" width="9.14"/>
  </cols>
  <sheetData>
    <row r="1" customFormat="false" ht="12.75" hidden="true" customHeight="false" outlineLevel="0" collapsed="false">
      <c r="A1" s="382" t="e">
        <f aca="false">IF($M1&gt;1,_xlfn.CONCAT($I1," ",$J1),"")</f>
        <v>#VALUE!</v>
      </c>
      <c r="B1" s="419" t="e">
        <f aca="true">OFFSET(B1,-3,0)+1</f>
        <v>#VALUE!</v>
      </c>
      <c r="C1" s="419" t="e">
        <f aca="true">IF($R1&lt;&gt;2,0,IF($S1=0,1,IF(F2&gt;0,OFFSET(QCI!$M$13,SUBSTITUTE(F2,".",""),0),OFFSET(ORÇAMENTO!$AA$15,CRONO!$F1,0))/$S1))</f>
        <v>#VALUE!</v>
      </c>
      <c r="D1" s="419" t="e">
        <f aca="true">IF($R1&lt;&gt;2,0,IF($S1=0,1,IF(F2&gt;0,OFFSET(QCI!$N$13,SUBSTITUTE(F2,".",""),0),OFFSET(ORÇAMENTO!$AB$15,CRONO!$F1,0))/$S1))</f>
        <v>#VALUE!</v>
      </c>
      <c r="E1" s="422" t="e">
        <f aca="false" t="array" ref="E1:E1">IF(AND($R1=2,ACOMPANHAMENTO="BM"),ROUND(E2,4),E3/$S1)</f>
        <v>#VALUE!</v>
      </c>
      <c r="F1" s="419" t="e">
        <f aca="true">IF(B1&lt;=ORÇAMENTO.MáximoListaCrono,MATCH(B1,ORÇAMENTO.ListaCrono,0),NA())</f>
        <v>#VALUE!</v>
      </c>
      <c r="G1" s="419" t="e">
        <f aca="false">IF(AND($F2&lt;&gt;-1,$S1&gt;0),"F","")</f>
        <v>#VALUE!</v>
      </c>
      <c r="H1" s="423" t="e">
        <f aca="false" t="array" ref="H1:H1">IF(OR(S1=0,S1=""),"Linha",IF(AND(OR(ACOMPANHAMENTO="PLE",$R1&lt;&gt;2),$F2=0),"Linha",ROUND(1-SUM(U1:BE1),4)))</f>
        <v>#VALUE!</v>
      </c>
      <c r="I1" s="424" t="e">
        <f aca="true">IF($F2=0,OFFSET(ORÇAMENTO!O$15,$F1,0),IF($F2&lt;&gt;-1,OFFSET(QCI!$D$13,$F2,0),""))</f>
        <v>#VALUE!</v>
      </c>
      <c r="J1" s="425" t="e">
        <f aca="true">IF($F2=0,OFFSET(ORÇAMENTO!R$15,$F1,0),IF($F2&lt;&gt;-1,OFFSET(QCI!$G$13,$F2,0),""))</f>
        <v>#VALUE!</v>
      </c>
      <c r="K1" s="425"/>
      <c r="L1" s="425"/>
      <c r="M1" s="426" t="e">
        <f aca="true">IF($F2=0,OFFSET(ORÇAMENTO!C$15,$F1,0),1)</f>
        <v>#VALUE!</v>
      </c>
      <c r="N1" s="427" t="e">
        <f aca="true">IF($F2=-1,0,IF(N$13&lt;=$M1,IF(ISERROR(MATCH(N$13,OFFSET($M1,1,0,ROW($M$182)-ROW($M1)-1),0)),ROW($M$182)-ROW($M1)-1,MATCH(N$13,OFFSET($M1,1,0,ROW($M$182)-ROW($M1)-1),0)-1),0))</f>
        <v>#VALUE!</v>
      </c>
      <c r="O1" s="427" t="e">
        <f aca="true">IF($F2=-1,0,IF(O$13&lt;=$M1,IF(ISERROR(MATCH(O$13,OFFSET($M1,1,0,ROW($M$182)-ROW($M1)-1),0)),ROW($M$182)-ROW($M1)-1,MATCH(O$13,OFFSET($M1,1,0,ROW($M$182)-ROW($M1)-1),0)-1),0))</f>
        <v>#VALUE!</v>
      </c>
      <c r="P1" s="427" t="e">
        <f aca="true">IF($F2=-1,0,IF(P$13&lt;=$M1,IF(ISERROR(MATCH(P$13,OFFSET($M1,1,0,ROW($M$182)-ROW($M1)-1),0)),ROW($M$182)-ROW($M1)-1,MATCH(P$13,OFFSET($M1,1,0,ROW($M$182)-ROW($M1)-1),0)-1),0))</f>
        <v>#VALUE!</v>
      </c>
      <c r="Q1" s="427" t="e">
        <f aca="true">IF($F2=-1,0,IF(Q$13&lt;=$M1,IF(ISERROR(MATCH(Q$13,OFFSET($M1,1,0,ROW($M$182)-ROW($M1)-1),0)),ROW($M$182)-ROW($M1)-1,MATCH(Q$13,OFFSET($M1,1,0,ROW($M$182)-ROW($M1)-1),0)-1),0))</f>
        <v>#VALUE!</v>
      </c>
      <c r="R1" s="427" t="e">
        <f aca="true">MIN(OFFSET(M1,0,1,,M1))</f>
        <v>#VALUE!</v>
      </c>
      <c r="S1" s="428" t="e">
        <f aca="true">IF($F2=0,OFFSET(ORÇAMENTO!X$15,$F1,0),IF($F2&lt;&gt;-1,OFFSET(QCI!$O$13,$F2,0),""))</f>
        <v>#VALUE!</v>
      </c>
      <c r="T1" s="429" t="s">
        <v>996</v>
      </c>
      <c r="U1" s="422" t="e">
        <f aca="false" t="array" ref="U1:U1">IF(AND($R1=2,ACOMPANHAMENTO="BM"),ROUND(U2,4),U3/$S1)</f>
        <v>#VALUE!</v>
      </c>
      <c r="V1" s="422" t="e">
        <f aca="false" t="array" ref="V1:V1">IF(AND($R1=2,ACOMPANHAMENTO="BM"),ROUND(V2,4),V3/$S1)</f>
        <v>#VALUE!</v>
      </c>
      <c r="W1" s="422" t="e">
        <f aca="false" t="array" ref="W1:W1">IF(AND($R1=2,ACOMPANHAMENTO="BM"),ROUND(W2,4),W3/$S1)</f>
        <v>#VALUE!</v>
      </c>
      <c r="X1" s="422" t="e">
        <f aca="false" t="array" ref="X1:X1">IF(AND($R1=2,ACOMPANHAMENTO="BM"),ROUND(X2,4),X3/$S1)</f>
        <v>#VALUE!</v>
      </c>
      <c r="Y1" s="422" t="e">
        <f aca="false" t="array" ref="Y1:Y1">IF(AND($R1=2,ACOMPANHAMENTO="BM"),ROUND(Y2,4),Y3/$S1)</f>
        <v>#VALUE!</v>
      </c>
      <c r="Z1" s="422" t="e">
        <f aca="false" t="array" ref="Z1:Z1">IF(AND($R1=2,ACOMPANHAMENTO="BM"),ROUND(Z2,4),Z3/$S1)</f>
        <v>#VALUE!</v>
      </c>
      <c r="AA1" s="422" t="e">
        <f aca="false" t="array" ref="AA1:AA1">IF(AND($R1=2,ACOMPANHAMENTO="BM"),ROUND(AA2,4),AA3/$S1)</f>
        <v>#VALUE!</v>
      </c>
      <c r="AB1" s="422" t="e">
        <f aca="false" t="array" ref="AB1:AB1">IF(AND($R1=2,ACOMPANHAMENTO="BM"),ROUND(AB2,4),AB3/$S1)</f>
        <v>#VALUE!</v>
      </c>
      <c r="AC1" s="422" t="e">
        <f aca="false" t="array" ref="AC1:AC1">IF(AND($R1=2,ACOMPANHAMENTO="BM"),ROUND(AC2,4),AC3/$S1)</f>
        <v>#VALUE!</v>
      </c>
      <c r="AD1" s="422" t="e">
        <f aca="false" t="array" ref="AD1:AD1">IF(AND($R1=2,ACOMPANHAMENTO="BM"),ROUND(AD2,4),AD3/$S1)</f>
        <v>#VALUE!</v>
      </c>
      <c r="AE1" s="422" t="e">
        <f aca="false" t="array" ref="AE1:AE1">IF(AND($R1=2,ACOMPANHAMENTO="BM"),ROUND(AE2,4),AE3/$S1)</f>
        <v>#VALUE!</v>
      </c>
      <c r="AF1" s="422" t="e">
        <f aca="false" t="array" ref="AF1:AF1">IF(AND($R1=2,ACOMPANHAMENTO="BM"),ROUND(AF2,4),AF3/$S1)</f>
        <v>#VALUE!</v>
      </c>
      <c r="AG1" s="422" t="e">
        <f aca="false" t="array" ref="AG1:AG1">IF(AND($R1=2,ACOMPANHAMENTO="BM"),ROUND(AG2,4),AG3/$S1)</f>
        <v>#VALUE!</v>
      </c>
      <c r="AH1" s="422" t="e">
        <f aca="false" t="array" ref="AH1:AH1">IF(AND($R1=2,ACOMPANHAMENTO="BM"),ROUND(AH2,4),AH3/$S1)</f>
        <v>#VALUE!</v>
      </c>
      <c r="AI1" s="422" t="e">
        <f aca="false" t="array" ref="AI1:AI1">IF(AND($R1=2,ACOMPANHAMENTO="BM"),ROUND(AI2,4),AI3/$S1)</f>
        <v>#VALUE!</v>
      </c>
      <c r="AJ1" s="422" t="e">
        <f aca="false" t="array" ref="AJ1:AJ1">IF(AND($R1=2,ACOMPANHAMENTO="BM"),ROUND(AJ2,4),AJ3/$S1)</f>
        <v>#VALUE!</v>
      </c>
      <c r="AK1" s="422" t="e">
        <f aca="false" t="array" ref="AK1:AK1">IF(AND($R1=2,ACOMPANHAMENTO="BM"),ROUND(AK2,4),AK3/$S1)</f>
        <v>#VALUE!</v>
      </c>
      <c r="AL1" s="422" t="e">
        <f aca="false" t="array" ref="AL1:AL1">IF(AND($R1=2,ACOMPANHAMENTO="BM"),ROUND(AL2,4),AL3/$S1)</f>
        <v>#VALUE!</v>
      </c>
      <c r="AM1" s="422" t="e">
        <f aca="false" t="array" ref="AM1:AM1">IF(AND($R1=2,ACOMPANHAMENTO="BM"),ROUND(AM2,4),AM3/$S1)</f>
        <v>#VALUE!</v>
      </c>
      <c r="AN1" s="422" t="e">
        <f aca="false" t="array" ref="AN1:AN1">IF(AND($R1=2,ACOMPANHAMENTO="BM"),ROUND(AN2,4),AN3/$S1)</f>
        <v>#VALUE!</v>
      </c>
      <c r="AO1" s="422" t="e">
        <f aca="false" t="array" ref="AO1:AO1">IF(AND($R1=2,ACOMPANHAMENTO="BM"),ROUND(AO2,4),AO3/$S1)</f>
        <v>#VALUE!</v>
      </c>
      <c r="AP1" s="422" t="e">
        <f aca="false" t="array" ref="AP1:AP1">IF(AND($R1=2,ACOMPANHAMENTO="BM"),ROUND(AP2,4),AP3/$S1)</f>
        <v>#VALUE!</v>
      </c>
      <c r="AQ1" s="422" t="e">
        <f aca="false" t="array" ref="AQ1:AQ1">IF(AND($R1=2,ACOMPANHAMENTO="BM"),ROUND(AQ2,4),AQ3/$S1)</f>
        <v>#VALUE!</v>
      </c>
      <c r="AR1" s="422" t="e">
        <f aca="false" t="array" ref="AR1:AR1">IF(AND($R1=2,ACOMPANHAMENTO="BM"),ROUND(AR2,4),AR3/$S1)</f>
        <v>#VALUE!</v>
      </c>
      <c r="AS1" s="422" t="e">
        <f aca="false" t="array" ref="AS1:AS1">IF(AND($R1=2,ACOMPANHAMENTO="BM"),ROUND(AS2,4),AS3/$S1)</f>
        <v>#VALUE!</v>
      </c>
      <c r="AT1" s="422" t="e">
        <f aca="false" t="array" ref="AT1:AT1">IF(AND($R1=2,ACOMPANHAMENTO="BM"),ROUND(AT2,4),AT3/$S1)</f>
        <v>#VALUE!</v>
      </c>
      <c r="AU1" s="422" t="e">
        <f aca="false" t="array" ref="AU1:AU1">IF(AND($R1=2,ACOMPANHAMENTO="BM"),ROUND(AU2,4),AU3/$S1)</f>
        <v>#VALUE!</v>
      </c>
      <c r="AV1" s="422" t="e">
        <f aca="false" t="array" ref="AV1:AV1">IF(AND($R1=2,ACOMPANHAMENTO="BM"),ROUND(AV2,4),AV3/$S1)</f>
        <v>#VALUE!</v>
      </c>
      <c r="AW1" s="422" t="e">
        <f aca="false" t="array" ref="AW1:AW1">IF(AND($R1=2,ACOMPANHAMENTO="BM"),ROUND(AW2,4),AW3/$S1)</f>
        <v>#VALUE!</v>
      </c>
      <c r="AX1" s="422" t="e">
        <f aca="false" t="array" ref="AX1:AX1">IF(AND($R1=2,ACOMPANHAMENTO="BM"),ROUND(AX2,4),AX3/$S1)</f>
        <v>#VALUE!</v>
      </c>
      <c r="AY1" s="422" t="e">
        <f aca="false" t="array" ref="AY1:AY1">IF(AND($R1=2,ACOMPANHAMENTO="BM"),ROUND(AY2,4),AY3/$S1)</f>
        <v>#VALUE!</v>
      </c>
      <c r="AZ1" s="422" t="e">
        <f aca="false" t="array" ref="AZ1:AZ1">IF(AND($R1=2,ACOMPANHAMENTO="BM"),ROUND(AZ2,4),AZ3/$S1)</f>
        <v>#VALUE!</v>
      </c>
      <c r="BA1" s="422" t="e">
        <f aca="false" t="array" ref="BA1:BA1">IF(AND($R1=2,ACOMPANHAMENTO="BM"),ROUND(BA2,4),BA3/$S1)</f>
        <v>#VALUE!</v>
      </c>
      <c r="BB1" s="422" t="e">
        <f aca="false" t="array" ref="BB1:BB1">IF(AND($R1=2,ACOMPANHAMENTO="BM"),ROUND(BB2,4),BB3/$S1)</f>
        <v>#VALUE!</v>
      </c>
      <c r="BC1" s="422" t="e">
        <f aca="false" t="array" ref="BC1:BC1">IF(AND($R1=2,ACOMPANHAMENTO="BM"),ROUND(BC2,4),BC3/$S1)</f>
        <v>#VALUE!</v>
      </c>
      <c r="BD1" s="422" t="e">
        <f aca="false" t="array" ref="BD1:BD1">IF(AND($R1=2,ACOMPANHAMENTO="BM"),ROUND(BD2,4),BD3/$S1)</f>
        <v>#VALUE!</v>
      </c>
      <c r="BE1" s="430"/>
    </row>
    <row r="2" customFormat="false" ht="12.75" hidden="true" customHeight="true" outlineLevel="0" collapsed="false">
      <c r="E2" s="431"/>
      <c r="F2" s="419" t="e">
        <f aca="true">IF(ISERROR(F1),IF(1+COUNTIF($M$13:OFFSET(M1,-1,0),1)&lt;=MAX(QCI!$D$13:$D$15),1+COUNTIF($M$13:OFFSET(M1,-1,0),1),-1),0)</f>
        <v>#VALUE!</v>
      </c>
      <c r="G2" s="419" t="str">
        <f aca="true" t="array" ref="G2:G2">IF(ACOMPANHAMENTO="BM",OFFSET(G2,-1,0),"")</f>
        <v/>
      </c>
      <c r="H2" s="432" t="e">
        <f aca="false" t="array" ref="H2:H2">IF(OR(S1=0,S1=""),"vazia",IF(AND(OR(ACOMPANHAMENTO="PLE",$R1&lt;&gt;2),$F2=0),"calculada","--&gt;"))</f>
        <v>#VALUE!</v>
      </c>
      <c r="I2" s="433"/>
      <c r="J2" s="434" t="e">
        <f aca="false">IF(AND(H1&lt;&gt;0,ISNUMBER(H1)),"PREENCHA ESTA LINHA --&gt;","")</f>
        <v>#VALUE!</v>
      </c>
      <c r="K2" s="434"/>
      <c r="L2" s="434"/>
      <c r="M2" s="435"/>
      <c r="N2" s="435"/>
      <c r="O2" s="435"/>
      <c r="P2" s="435"/>
      <c r="Q2" s="435"/>
      <c r="R2" s="435"/>
      <c r="S2" s="436"/>
      <c r="T2" s="437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1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  <c r="AT2" s="431"/>
      <c r="AU2" s="431"/>
      <c r="AV2" s="431"/>
      <c r="AW2" s="431"/>
      <c r="AX2" s="431"/>
      <c r="AY2" s="431"/>
      <c r="AZ2" s="431"/>
      <c r="BA2" s="431"/>
      <c r="BB2" s="431"/>
      <c r="BC2" s="431"/>
      <c r="BD2" s="431"/>
      <c r="BE2" s="430"/>
    </row>
    <row r="3" customFormat="false" ht="12.75" hidden="true" customHeight="true" outlineLevel="0" collapsed="false">
      <c r="D3" s="438"/>
      <c r="E3" s="439" t="e">
        <f aca="false" t="array" ref="E3:E3">IF($R1=2,
         IF(AND(ACOMPANHAMENTO="PLE",ISNUMBER($F1)),
                SUMIF((OFFSET(CÁLCULO!$BS$15:$CS$15,$F1,0,OFFSET(ORÇAMENTO!$D$15,CRONO!$F1,0))),CRONO!E$12,OFFSET(CÁLCULO!$AR$15:$BR$15,$F1,0,OFFSET(ORÇAMENTO!$D$15,CRONO!$F1,0)))
                +IF(AND($F3&lt;&gt;"",$F3&lt;&gt;0),
                        SUMIF(CÁLCULO!$BS$15:$CS$205,CRONO!E$12,CÁLCULO!$AR$15:$BR$205)/(ORÇAMENTO!$X$15-_xlfn.single(CÁLCULO.TotalAdmLocal))*CRONO!$F3,
                        0),
                 E2*$S1),
          SUMIF(OFFSET($S3,1,0,$R1-2),($M1+1)&amp;"$",OFFSET(E3,1,0,$R1-2)))</f>
        <v>#VALUE!</v>
      </c>
      <c r="F3" s="419" t="e">
        <f aca="true">IF(OR($R1&lt;&gt;2,AUTOEVENTO&lt;&gt;"manual",$F2&gt;0),"",
        IF(Import.TipoArredondamento="Tradicional",
              SUMIF(OFFSET(CÁLCULO!$M$15,CRONO!$F1,0,OFFSET(ORÇAMENTO!$D$15,CRONO!$F1,0)),1,OFFSET(ORÇAMENTO!$X$15,CRONO!$F1,0,OFFSET(ORÇAMENTO!$D$15,CRONO!$F1,0))),
              0))</f>
        <v>#VALUE!</v>
      </c>
      <c r="H3" s="440"/>
      <c r="S3" s="441" t="e">
        <f aca="false">M1&amp;"$"</f>
        <v>#VALUE!</v>
      </c>
      <c r="T3" s="442"/>
      <c r="U3" s="439" t="e">
        <f aca="false" t="array" ref="U3:U3">IF($R1=2,
         IF(AND(ACOMPANHAMENTO="PLE",ISNUMBER($F1)),
                SUMIF((OFFSET(CÁLCULO!$BS$15:$CS$15,$F1,0,OFFSET(ORÇAMENTO!$D$15,CRONO!$F1,0))),CRONO!U$12,OFFSET(CÁLCULO!$AR$15:$BR$15,$F1,0,OFFSET(ORÇAMENTO!$D$15,CRONO!$F1,0)))
                +IF(AND($F3&lt;&gt;"",$F3&lt;&gt;0),
                        SUMIF(CÁLCULO!$BS$15:$CS$205,CRONO!U$12,CÁLCULO!$AR$15:$BR$205)/(ORÇAMENTO!$X$15-_xlfn.single(CÁLCULO.TotalAdmLocal))*CRONO!$F3,
                        0),
                 U2*$S1),
          SUMIF(OFFSET($S3,1,0,$R1-2),($M1+1)&amp;"$",OFFSET(U3,1,0,$R1-2)))</f>
        <v>#VALUE!</v>
      </c>
      <c r="V3" s="439" t="e">
        <f aca="false" t="array" ref="V3:V3">IF($R1=2,
         IF(AND(ACOMPANHAMENTO="PLE",ISNUMBER($F1)),
                SUMIF((OFFSET(CÁLCULO!$BS$15:$CS$15,$F1,0,OFFSET(ORÇAMENTO!$D$15,CRONO!$F1,0))),CRONO!V$12,OFFSET(CÁLCULO!$AR$15:$BR$15,$F1,0,OFFSET(ORÇAMENTO!$D$15,CRONO!$F1,0)))
                +IF(AND($F3&lt;&gt;"",$F3&lt;&gt;0),
                        SUMIF(CÁLCULO!$BS$15:$CS$205,CRONO!V$12,CÁLCULO!$AR$15:$BR$205)/(ORÇAMENTO!$X$15-_xlfn.single(CÁLCULO.TotalAdmLocal))*CRONO!$F3,
                        0),
                 V2*$S1),
          SUMIF(OFFSET($S3,1,0,$R1-2),($M1+1)&amp;"$",OFFSET(V3,1,0,$R1-2)))</f>
        <v>#VALUE!</v>
      </c>
      <c r="W3" s="439" t="e">
        <f aca="false" t="array" ref="W3:W3">IF($R1=2,
         IF(AND(ACOMPANHAMENTO="PLE",ISNUMBER($F1)),
                SUMIF((OFFSET(CÁLCULO!$BS$15:$CS$15,$F1,0,OFFSET(ORÇAMENTO!$D$15,CRONO!$F1,0))),CRONO!W$12,OFFSET(CÁLCULO!$AR$15:$BR$15,$F1,0,OFFSET(ORÇAMENTO!$D$15,CRONO!$F1,0)))
                +IF(AND($F3&lt;&gt;"",$F3&lt;&gt;0),
                        SUMIF(CÁLCULO!$BS$15:$CS$205,CRONO!W$12,CÁLCULO!$AR$15:$BR$205)/(ORÇAMENTO!$X$15-_xlfn.single(CÁLCULO.TotalAdmLocal))*CRONO!$F3,
                        0),
                 W2*$S1),
          SUMIF(OFFSET($S3,1,0,$R1-2),($M1+1)&amp;"$",OFFSET(W3,1,0,$R1-2)))</f>
        <v>#VALUE!</v>
      </c>
      <c r="X3" s="439" t="e">
        <f aca="false" t="array" ref="X3:X3">IF($R1=2,
         IF(AND(ACOMPANHAMENTO="PLE",ISNUMBER($F1)),
                SUMIF((OFFSET(CÁLCULO!$BS$15:$CS$15,$F1,0,OFFSET(ORÇAMENTO!$D$15,CRONO!$F1,0))),CRONO!X$12,OFFSET(CÁLCULO!$AR$15:$BR$15,$F1,0,OFFSET(ORÇAMENTO!$D$15,CRONO!$F1,0)))
                +IF(AND($F3&lt;&gt;"",$F3&lt;&gt;0),
                        SUMIF(CÁLCULO!$BS$15:$CS$205,CRONO!X$12,CÁLCULO!$AR$15:$BR$205)/(ORÇAMENTO!$X$15-_xlfn.single(CÁLCULO.TotalAdmLocal))*CRONO!$F3,
                        0),
                 X2*$S1),
          SUMIF(OFFSET($S3,1,0,$R1-2),($M1+1)&amp;"$",OFFSET(X3,1,0,$R1-2)))</f>
        <v>#VALUE!</v>
      </c>
      <c r="Y3" s="439" t="e">
        <f aca="false" t="array" ref="Y3:Y3">IF($R1=2,
         IF(AND(ACOMPANHAMENTO="PLE",ISNUMBER($F1)),
                SUMIF((OFFSET(CÁLCULO!$BS$15:$CS$15,$F1,0,OFFSET(ORÇAMENTO!$D$15,CRONO!$F1,0))),CRONO!Y$12,OFFSET(CÁLCULO!$AR$15:$BR$15,$F1,0,OFFSET(ORÇAMENTO!$D$15,CRONO!$F1,0)))
                +IF(AND($F3&lt;&gt;"",$F3&lt;&gt;0),
                        SUMIF(CÁLCULO!$BS$15:$CS$205,CRONO!Y$12,CÁLCULO!$AR$15:$BR$205)/(ORÇAMENTO!$X$15-_xlfn.single(CÁLCULO.TotalAdmLocal))*CRONO!$F3,
                        0),
                 Y2*$S1),
          SUMIF(OFFSET($S3,1,0,$R1-2),($M1+1)&amp;"$",OFFSET(Y3,1,0,$R1-2)))</f>
        <v>#VALUE!</v>
      </c>
      <c r="Z3" s="439" t="e">
        <f aca="false" t="array" ref="Z3:Z3">IF($R1=2,
         IF(AND(ACOMPANHAMENTO="PLE",ISNUMBER($F1)),
                SUMIF((OFFSET(CÁLCULO!$BS$15:$CS$15,$F1,0,OFFSET(ORÇAMENTO!$D$15,CRONO!$F1,0))),CRONO!Z$12,OFFSET(CÁLCULO!$AR$15:$BR$15,$F1,0,OFFSET(ORÇAMENTO!$D$15,CRONO!$F1,0)))
                +IF(AND($F3&lt;&gt;"",$F3&lt;&gt;0),
                        SUMIF(CÁLCULO!$BS$15:$CS$205,CRONO!Z$12,CÁLCULO!$AR$15:$BR$205)/(ORÇAMENTO!$X$15-_xlfn.single(CÁLCULO.TotalAdmLocal))*CRONO!$F3,
                        0),
                 Z2*$S1),
          SUMIF(OFFSET($S3,1,0,$R1-2),($M1+1)&amp;"$",OFFSET(Z3,1,0,$R1-2)))</f>
        <v>#VALUE!</v>
      </c>
      <c r="AA3" s="439" t="e">
        <f aca="false" t="array" ref="AA3:AA3">IF($R1=2,
         IF(AND(ACOMPANHAMENTO="PLE",ISNUMBER($F1)),
                SUMIF((OFFSET(CÁLCULO!$BS$15:$CS$15,$F1,0,OFFSET(ORÇAMENTO!$D$15,CRONO!$F1,0))),CRONO!AA$12,OFFSET(CÁLCULO!$AR$15:$BR$15,$F1,0,OFFSET(ORÇAMENTO!$D$15,CRONO!$F1,0)))
                +IF(AND($F3&lt;&gt;"",$F3&lt;&gt;0),
                        SUMIF(CÁLCULO!$BS$15:$CS$205,CRONO!AA$12,CÁLCULO!$AR$15:$BR$205)/(ORÇAMENTO!$X$15-_xlfn.single(CÁLCULO.TotalAdmLocal))*CRONO!$F3,
                        0),
                 AA2*$S1),
          SUMIF(OFFSET($S3,1,0,$R1-2),($M1+1)&amp;"$",OFFSET(AA3,1,0,$R1-2)))</f>
        <v>#VALUE!</v>
      </c>
      <c r="AB3" s="439" t="e">
        <f aca="false" t="array" ref="AB3:AB3">IF($R1=2,
         IF(AND(ACOMPANHAMENTO="PLE",ISNUMBER($F1)),
                SUMIF((OFFSET(CÁLCULO!$BS$15:$CS$15,$F1,0,OFFSET(ORÇAMENTO!$D$15,CRONO!$F1,0))),CRONO!AB$12,OFFSET(CÁLCULO!$AR$15:$BR$15,$F1,0,OFFSET(ORÇAMENTO!$D$15,CRONO!$F1,0)))
                +IF(AND($F3&lt;&gt;"",$F3&lt;&gt;0),
                        SUMIF(CÁLCULO!$BS$15:$CS$205,CRONO!AB$12,CÁLCULO!$AR$15:$BR$205)/(ORÇAMENTO!$X$15-_xlfn.single(CÁLCULO.TotalAdmLocal))*CRONO!$F3,
                        0),
                 AB2*$S1),
          SUMIF(OFFSET($S3,1,0,$R1-2),($M1+1)&amp;"$",OFFSET(AB3,1,0,$R1-2)))</f>
        <v>#VALUE!</v>
      </c>
      <c r="AC3" s="439" t="e">
        <f aca="false" t="array" ref="AC3:AC3">IF($R1=2,
         IF(AND(ACOMPANHAMENTO="PLE",ISNUMBER($F1)),
                SUMIF((OFFSET(CÁLCULO!$BS$15:$CS$15,$F1,0,OFFSET(ORÇAMENTO!$D$15,CRONO!$F1,0))),CRONO!AC$12,OFFSET(CÁLCULO!$AR$15:$BR$15,$F1,0,OFFSET(ORÇAMENTO!$D$15,CRONO!$F1,0)))
                +IF(AND($F3&lt;&gt;"",$F3&lt;&gt;0),
                        SUMIF(CÁLCULO!$BS$15:$CS$205,CRONO!AC$12,CÁLCULO!$AR$15:$BR$205)/(ORÇAMENTO!$X$15-_xlfn.single(CÁLCULO.TotalAdmLocal))*CRONO!$F3,
                        0),
                 AC2*$S1),
          SUMIF(OFFSET($S3,1,0,$R1-2),($M1+1)&amp;"$",OFFSET(AC3,1,0,$R1-2)))</f>
        <v>#VALUE!</v>
      </c>
      <c r="AD3" s="439" t="e">
        <f aca="false" t="array" ref="AD3:AD3">IF($R1=2,
         IF(AND(ACOMPANHAMENTO="PLE",ISNUMBER($F1)),
                SUMIF((OFFSET(CÁLCULO!$BS$15:$CS$15,$F1,0,OFFSET(ORÇAMENTO!$D$15,CRONO!$F1,0))),CRONO!AD$12,OFFSET(CÁLCULO!$AR$15:$BR$15,$F1,0,OFFSET(ORÇAMENTO!$D$15,CRONO!$F1,0)))
                +IF(AND($F3&lt;&gt;"",$F3&lt;&gt;0),
                        SUMIF(CÁLCULO!$BS$15:$CS$205,CRONO!AD$12,CÁLCULO!$AR$15:$BR$205)/(ORÇAMENTO!$X$15-_xlfn.single(CÁLCULO.TotalAdmLocal))*CRONO!$F3,
                        0),
                 AD2*$S1),
          SUMIF(OFFSET($S3,1,0,$R1-2),($M1+1)&amp;"$",OFFSET(AD3,1,0,$R1-2)))</f>
        <v>#VALUE!</v>
      </c>
      <c r="AE3" s="439" t="e">
        <f aca="false" t="array" ref="AE3:AE3">IF($R1=2,
         IF(AND(ACOMPANHAMENTO="PLE",ISNUMBER($F1)),
                SUMIF((OFFSET(CÁLCULO!$BS$15:$CS$15,$F1,0,OFFSET(ORÇAMENTO!$D$15,CRONO!$F1,0))),CRONO!AE$12,OFFSET(CÁLCULO!$AR$15:$BR$15,$F1,0,OFFSET(ORÇAMENTO!$D$15,CRONO!$F1,0)))
                +IF(AND($F3&lt;&gt;"",$F3&lt;&gt;0),
                        SUMIF(CÁLCULO!$BS$15:$CS$205,CRONO!AE$12,CÁLCULO!$AR$15:$BR$205)/(ORÇAMENTO!$X$15-_xlfn.single(CÁLCULO.TotalAdmLocal))*CRONO!$F3,
                        0),
                 AE2*$S1),
          SUMIF(OFFSET($S3,1,0,$R1-2),($M1+1)&amp;"$",OFFSET(AE3,1,0,$R1-2)))</f>
        <v>#VALUE!</v>
      </c>
      <c r="AF3" s="439" t="e">
        <f aca="false" t="array" ref="AF3:AF3">IF($R1=2,
         IF(AND(ACOMPANHAMENTO="PLE",ISNUMBER($F1)),
                SUMIF((OFFSET(CÁLCULO!$BS$15:$CS$15,$F1,0,OFFSET(ORÇAMENTO!$D$15,CRONO!$F1,0))),CRONO!AF$12,OFFSET(CÁLCULO!$AR$15:$BR$15,$F1,0,OFFSET(ORÇAMENTO!$D$15,CRONO!$F1,0)))
                +IF(AND($F3&lt;&gt;"",$F3&lt;&gt;0),
                        SUMIF(CÁLCULO!$BS$15:$CS$205,CRONO!AF$12,CÁLCULO!$AR$15:$BR$205)/(ORÇAMENTO!$X$15-_xlfn.single(CÁLCULO.TotalAdmLocal))*CRONO!$F3,
                        0),
                 AF2*$S1),
          SUMIF(OFFSET($S3,1,0,$R1-2),($M1+1)&amp;"$",OFFSET(AF3,1,0,$R1-2)))</f>
        <v>#VALUE!</v>
      </c>
      <c r="AG3" s="439" t="e">
        <f aca="false" t="array" ref="AG3:AG3">IF($R1=2,
         IF(AND(ACOMPANHAMENTO="PLE",ISNUMBER($F1)),
                SUMIF((OFFSET(CÁLCULO!$BS$15:$CS$15,$F1,0,OFFSET(ORÇAMENTO!$D$15,CRONO!$F1,0))),CRONO!AG$12,OFFSET(CÁLCULO!$AR$15:$BR$15,$F1,0,OFFSET(ORÇAMENTO!$D$15,CRONO!$F1,0)))
                +IF(AND($F3&lt;&gt;"",$F3&lt;&gt;0),
                        SUMIF(CÁLCULO!$BS$15:$CS$205,CRONO!AG$12,CÁLCULO!$AR$15:$BR$205)/(ORÇAMENTO!$X$15-_xlfn.single(CÁLCULO.TotalAdmLocal))*CRONO!$F3,
                        0),
                 AG2*$S1),
          SUMIF(OFFSET($S3,1,0,$R1-2),($M1+1)&amp;"$",OFFSET(AG3,1,0,$R1-2)))</f>
        <v>#VALUE!</v>
      </c>
      <c r="AH3" s="439" t="e">
        <f aca="false" t="array" ref="AH3:AH3">IF($R1=2,
         IF(AND(ACOMPANHAMENTO="PLE",ISNUMBER($F1)),
                SUMIF((OFFSET(CÁLCULO!$BS$15:$CS$15,$F1,0,OFFSET(ORÇAMENTO!$D$15,CRONO!$F1,0))),CRONO!AH$12,OFFSET(CÁLCULO!$AR$15:$BR$15,$F1,0,OFFSET(ORÇAMENTO!$D$15,CRONO!$F1,0)))
                +IF(AND($F3&lt;&gt;"",$F3&lt;&gt;0),
                        SUMIF(CÁLCULO!$BS$15:$CS$205,CRONO!AH$12,CÁLCULO!$AR$15:$BR$205)/(ORÇAMENTO!$X$15-_xlfn.single(CÁLCULO.TotalAdmLocal))*CRONO!$F3,
                        0),
                 AH2*$S1),
          SUMIF(OFFSET($S3,1,0,$R1-2),($M1+1)&amp;"$",OFFSET(AH3,1,0,$R1-2)))</f>
        <v>#VALUE!</v>
      </c>
      <c r="AI3" s="439" t="e">
        <f aca="false" t="array" ref="AI3:AI3">IF($R1=2,
         IF(AND(ACOMPANHAMENTO="PLE",ISNUMBER($F1)),
                SUMIF((OFFSET(CÁLCULO!$BS$15:$CS$15,$F1,0,OFFSET(ORÇAMENTO!$D$15,CRONO!$F1,0))),CRONO!AI$12,OFFSET(CÁLCULO!$AR$15:$BR$15,$F1,0,OFFSET(ORÇAMENTO!$D$15,CRONO!$F1,0)))
                +IF(AND($F3&lt;&gt;"",$F3&lt;&gt;0),
                        SUMIF(CÁLCULO!$BS$15:$CS$205,CRONO!AI$12,CÁLCULO!$AR$15:$BR$205)/(ORÇAMENTO!$X$15-_xlfn.single(CÁLCULO.TotalAdmLocal))*CRONO!$F3,
                        0),
                 AI2*$S1),
          SUMIF(OFFSET($S3,1,0,$R1-2),($M1+1)&amp;"$",OFFSET(AI3,1,0,$R1-2)))</f>
        <v>#VALUE!</v>
      </c>
      <c r="AJ3" s="439" t="e">
        <f aca="false" t="array" ref="AJ3:AJ3">IF($R1=2,
         IF(AND(ACOMPANHAMENTO="PLE",ISNUMBER($F1)),
                SUMIF((OFFSET(CÁLCULO!$BS$15:$CS$15,$F1,0,OFFSET(ORÇAMENTO!$D$15,CRONO!$F1,0))),CRONO!AJ$12,OFFSET(CÁLCULO!$AR$15:$BR$15,$F1,0,OFFSET(ORÇAMENTO!$D$15,CRONO!$F1,0)))
                +IF(AND($F3&lt;&gt;"",$F3&lt;&gt;0),
                        SUMIF(CÁLCULO!$BS$15:$CS$205,CRONO!AJ$12,CÁLCULO!$AR$15:$BR$205)/(ORÇAMENTO!$X$15-_xlfn.single(CÁLCULO.TotalAdmLocal))*CRONO!$F3,
                        0),
                 AJ2*$S1),
          SUMIF(OFFSET($S3,1,0,$R1-2),($M1+1)&amp;"$",OFFSET(AJ3,1,0,$R1-2)))</f>
        <v>#VALUE!</v>
      </c>
      <c r="AK3" s="439" t="e">
        <f aca="false" t="array" ref="AK3:AK3">IF($R1=2,
         IF(AND(ACOMPANHAMENTO="PLE",ISNUMBER($F1)),
                SUMIF((OFFSET(CÁLCULO!$BS$15:$CS$15,$F1,0,OFFSET(ORÇAMENTO!$D$15,CRONO!$F1,0))),CRONO!AK$12,OFFSET(CÁLCULO!$AR$15:$BR$15,$F1,0,OFFSET(ORÇAMENTO!$D$15,CRONO!$F1,0)))
                +IF(AND($F3&lt;&gt;"",$F3&lt;&gt;0),
                        SUMIF(CÁLCULO!$BS$15:$CS$205,CRONO!AK$12,CÁLCULO!$AR$15:$BR$205)/(ORÇAMENTO!$X$15-_xlfn.single(CÁLCULO.TotalAdmLocal))*CRONO!$F3,
                        0),
                 AK2*$S1),
          SUMIF(OFFSET($S3,1,0,$R1-2),($M1+1)&amp;"$",OFFSET(AK3,1,0,$R1-2)))</f>
        <v>#VALUE!</v>
      </c>
      <c r="AL3" s="439" t="e">
        <f aca="false" t="array" ref="AL3:AL3">IF($R1=2,
         IF(AND(ACOMPANHAMENTO="PLE",ISNUMBER($F1)),
                SUMIF((OFFSET(CÁLCULO!$BS$15:$CS$15,$F1,0,OFFSET(ORÇAMENTO!$D$15,CRONO!$F1,0))),CRONO!AL$12,OFFSET(CÁLCULO!$AR$15:$BR$15,$F1,0,OFFSET(ORÇAMENTO!$D$15,CRONO!$F1,0)))
                +IF(AND($F3&lt;&gt;"",$F3&lt;&gt;0),
                        SUMIF(CÁLCULO!$BS$15:$CS$205,CRONO!AL$12,CÁLCULO!$AR$15:$BR$205)/(ORÇAMENTO!$X$15-_xlfn.single(CÁLCULO.TotalAdmLocal))*CRONO!$F3,
                        0),
                 AL2*$S1),
          SUMIF(OFFSET($S3,1,0,$R1-2),($M1+1)&amp;"$",OFFSET(AL3,1,0,$R1-2)))</f>
        <v>#VALUE!</v>
      </c>
      <c r="AM3" s="439" t="e">
        <f aca="false" t="array" ref="AM3:AM3">IF($R1=2,
         IF(AND(ACOMPANHAMENTO="PLE",ISNUMBER($F1)),
                SUMIF((OFFSET(CÁLCULO!$BS$15:$CS$15,$F1,0,OFFSET(ORÇAMENTO!$D$15,CRONO!$F1,0))),CRONO!AM$12,OFFSET(CÁLCULO!$AR$15:$BR$15,$F1,0,OFFSET(ORÇAMENTO!$D$15,CRONO!$F1,0)))
                +IF(AND($F3&lt;&gt;"",$F3&lt;&gt;0),
                        SUMIF(CÁLCULO!$BS$15:$CS$205,CRONO!AM$12,CÁLCULO!$AR$15:$BR$205)/(ORÇAMENTO!$X$15-_xlfn.single(CÁLCULO.TotalAdmLocal))*CRONO!$F3,
                        0),
                 AM2*$S1),
          SUMIF(OFFSET($S3,1,0,$R1-2),($M1+1)&amp;"$",OFFSET(AM3,1,0,$R1-2)))</f>
        <v>#VALUE!</v>
      </c>
      <c r="AN3" s="439" t="e">
        <f aca="false" t="array" ref="AN3:AN3">IF($R1=2,
         IF(AND(ACOMPANHAMENTO="PLE",ISNUMBER($F1)),
                SUMIF((OFFSET(CÁLCULO!$BS$15:$CS$15,$F1,0,OFFSET(ORÇAMENTO!$D$15,CRONO!$F1,0))),CRONO!AN$12,OFFSET(CÁLCULO!$AR$15:$BR$15,$F1,0,OFFSET(ORÇAMENTO!$D$15,CRONO!$F1,0)))
                +IF(AND($F3&lt;&gt;"",$F3&lt;&gt;0),
                        SUMIF(CÁLCULO!$BS$15:$CS$205,CRONO!AN$12,CÁLCULO!$AR$15:$BR$205)/(ORÇAMENTO!$X$15-_xlfn.single(CÁLCULO.TotalAdmLocal))*CRONO!$F3,
                        0),
                 AN2*$S1),
          SUMIF(OFFSET($S3,1,0,$R1-2),($M1+1)&amp;"$",OFFSET(AN3,1,0,$R1-2)))</f>
        <v>#VALUE!</v>
      </c>
      <c r="AO3" s="439" t="e">
        <f aca="false" t="array" ref="AO3:AO3">IF($R1=2,
         IF(AND(ACOMPANHAMENTO="PLE",ISNUMBER($F1)),
                SUMIF((OFFSET(CÁLCULO!$BS$15:$CS$15,$F1,0,OFFSET(ORÇAMENTO!$D$15,CRONO!$F1,0))),CRONO!AO$12,OFFSET(CÁLCULO!$AR$15:$BR$15,$F1,0,OFFSET(ORÇAMENTO!$D$15,CRONO!$F1,0)))
                +IF(AND($F3&lt;&gt;"",$F3&lt;&gt;0),
                        SUMIF(CÁLCULO!$BS$15:$CS$205,CRONO!AO$12,CÁLCULO!$AR$15:$BR$205)/(ORÇAMENTO!$X$15-_xlfn.single(CÁLCULO.TotalAdmLocal))*CRONO!$F3,
                        0),
                 AO2*$S1),
          SUMIF(OFFSET($S3,1,0,$R1-2),($M1+1)&amp;"$",OFFSET(AO3,1,0,$R1-2)))</f>
        <v>#VALUE!</v>
      </c>
      <c r="AP3" s="439" t="e">
        <f aca="false" t="array" ref="AP3:AP3">IF($R1=2,
         IF(AND(ACOMPANHAMENTO="PLE",ISNUMBER($F1)),
                SUMIF((OFFSET(CÁLCULO!$BS$15:$CS$15,$F1,0,OFFSET(ORÇAMENTO!$D$15,CRONO!$F1,0))),CRONO!AP$12,OFFSET(CÁLCULO!$AR$15:$BR$15,$F1,0,OFFSET(ORÇAMENTO!$D$15,CRONO!$F1,0)))
                +IF(AND($F3&lt;&gt;"",$F3&lt;&gt;0),
                        SUMIF(CÁLCULO!$BS$15:$CS$205,CRONO!AP$12,CÁLCULO!$AR$15:$BR$205)/(ORÇAMENTO!$X$15-_xlfn.single(CÁLCULO.TotalAdmLocal))*CRONO!$F3,
                        0),
                 AP2*$S1),
          SUMIF(OFFSET($S3,1,0,$R1-2),($M1+1)&amp;"$",OFFSET(AP3,1,0,$R1-2)))</f>
        <v>#VALUE!</v>
      </c>
      <c r="AQ3" s="439" t="e">
        <f aca="false" t="array" ref="AQ3:AQ3">IF($R1=2,
         IF(AND(ACOMPANHAMENTO="PLE",ISNUMBER($F1)),
                SUMIF((OFFSET(CÁLCULO!$BS$15:$CS$15,$F1,0,OFFSET(ORÇAMENTO!$D$15,CRONO!$F1,0))),CRONO!AQ$12,OFFSET(CÁLCULO!$AR$15:$BR$15,$F1,0,OFFSET(ORÇAMENTO!$D$15,CRONO!$F1,0)))
                +IF(AND($F3&lt;&gt;"",$F3&lt;&gt;0),
                        SUMIF(CÁLCULO!$BS$15:$CS$205,CRONO!AQ$12,CÁLCULO!$AR$15:$BR$205)/(ORÇAMENTO!$X$15-_xlfn.single(CÁLCULO.TotalAdmLocal))*CRONO!$F3,
                        0),
                 AQ2*$S1),
          SUMIF(OFFSET($S3,1,0,$R1-2),($M1+1)&amp;"$",OFFSET(AQ3,1,0,$R1-2)))</f>
        <v>#VALUE!</v>
      </c>
      <c r="AR3" s="439" t="e">
        <f aca="false" t="array" ref="AR3:AR3">IF($R1=2,
         IF(AND(ACOMPANHAMENTO="PLE",ISNUMBER($F1)),
                SUMIF((OFFSET(CÁLCULO!$BS$15:$CS$15,$F1,0,OFFSET(ORÇAMENTO!$D$15,CRONO!$F1,0))),CRONO!AR$12,OFFSET(CÁLCULO!$AR$15:$BR$15,$F1,0,OFFSET(ORÇAMENTO!$D$15,CRONO!$F1,0)))
                +IF(AND($F3&lt;&gt;"",$F3&lt;&gt;0),
                        SUMIF(CÁLCULO!$BS$15:$CS$205,CRONO!AR$12,CÁLCULO!$AR$15:$BR$205)/(ORÇAMENTO!$X$15-_xlfn.single(CÁLCULO.TotalAdmLocal))*CRONO!$F3,
                        0),
                 AR2*$S1),
          SUMIF(OFFSET($S3,1,0,$R1-2),($M1+1)&amp;"$",OFFSET(AR3,1,0,$R1-2)))</f>
        <v>#VALUE!</v>
      </c>
      <c r="AS3" s="439" t="e">
        <f aca="false" t="array" ref="AS3:AS3">IF($R1=2,
         IF(AND(ACOMPANHAMENTO="PLE",ISNUMBER($F1)),
                SUMIF((OFFSET(CÁLCULO!$BS$15:$CS$15,$F1,0,OFFSET(ORÇAMENTO!$D$15,CRONO!$F1,0))),CRONO!AS$12,OFFSET(CÁLCULO!$AR$15:$BR$15,$F1,0,OFFSET(ORÇAMENTO!$D$15,CRONO!$F1,0)))
                +IF(AND($F3&lt;&gt;"",$F3&lt;&gt;0),
                        SUMIF(CÁLCULO!$BS$15:$CS$205,CRONO!AS$12,CÁLCULO!$AR$15:$BR$205)/(ORÇAMENTO!$X$15-_xlfn.single(CÁLCULO.TotalAdmLocal))*CRONO!$F3,
                        0),
                 AS2*$S1),
          SUMIF(OFFSET($S3,1,0,$R1-2),($M1+1)&amp;"$",OFFSET(AS3,1,0,$R1-2)))</f>
        <v>#VALUE!</v>
      </c>
      <c r="AT3" s="439" t="e">
        <f aca="false" t="array" ref="AT3:AT3">IF($R1=2,
         IF(AND(ACOMPANHAMENTO="PLE",ISNUMBER($F1)),
                SUMIF((OFFSET(CÁLCULO!$BS$15:$CS$15,$F1,0,OFFSET(ORÇAMENTO!$D$15,CRONO!$F1,0))),CRONO!AT$12,OFFSET(CÁLCULO!$AR$15:$BR$15,$F1,0,OFFSET(ORÇAMENTO!$D$15,CRONO!$F1,0)))
                +IF(AND($F3&lt;&gt;"",$F3&lt;&gt;0),
                        SUMIF(CÁLCULO!$BS$15:$CS$205,CRONO!AT$12,CÁLCULO!$AR$15:$BR$205)/(ORÇAMENTO!$X$15-_xlfn.single(CÁLCULO.TotalAdmLocal))*CRONO!$F3,
                        0),
                 AT2*$S1),
          SUMIF(OFFSET($S3,1,0,$R1-2),($M1+1)&amp;"$",OFFSET(AT3,1,0,$R1-2)))</f>
        <v>#VALUE!</v>
      </c>
      <c r="AU3" s="439" t="e">
        <f aca="false" t="array" ref="AU3:AU3">IF($R1=2,
         IF(AND(ACOMPANHAMENTO="PLE",ISNUMBER($F1)),
                SUMIF((OFFSET(CÁLCULO!$BS$15:$CS$15,$F1,0,OFFSET(ORÇAMENTO!$D$15,CRONO!$F1,0))),CRONO!AU$12,OFFSET(CÁLCULO!$AR$15:$BR$15,$F1,0,OFFSET(ORÇAMENTO!$D$15,CRONO!$F1,0)))
                +IF(AND($F3&lt;&gt;"",$F3&lt;&gt;0),
                        SUMIF(CÁLCULO!$BS$15:$CS$205,CRONO!AU$12,CÁLCULO!$AR$15:$BR$205)/(ORÇAMENTO!$X$15-_xlfn.single(CÁLCULO.TotalAdmLocal))*CRONO!$F3,
                        0),
                 AU2*$S1),
          SUMIF(OFFSET($S3,1,0,$R1-2),($M1+1)&amp;"$",OFFSET(AU3,1,0,$R1-2)))</f>
        <v>#VALUE!</v>
      </c>
      <c r="AV3" s="439" t="e">
        <f aca="false" t="array" ref="AV3:AV3">IF($R1=2,
         IF(AND(ACOMPANHAMENTO="PLE",ISNUMBER($F1)),
                SUMIF((OFFSET(CÁLCULO!$BS$15:$CS$15,$F1,0,OFFSET(ORÇAMENTO!$D$15,CRONO!$F1,0))),CRONO!AV$12,OFFSET(CÁLCULO!$AR$15:$BR$15,$F1,0,OFFSET(ORÇAMENTO!$D$15,CRONO!$F1,0)))
                +IF(AND($F3&lt;&gt;"",$F3&lt;&gt;0),
                        SUMIF(CÁLCULO!$BS$15:$CS$205,CRONO!AV$12,CÁLCULO!$AR$15:$BR$205)/(ORÇAMENTO!$X$15-_xlfn.single(CÁLCULO.TotalAdmLocal))*CRONO!$F3,
                        0),
                 AV2*$S1),
          SUMIF(OFFSET($S3,1,0,$R1-2),($M1+1)&amp;"$",OFFSET(AV3,1,0,$R1-2)))</f>
        <v>#VALUE!</v>
      </c>
      <c r="AW3" s="439" t="e">
        <f aca="false" t="array" ref="AW3:AW3">IF($R1=2,
         IF(AND(ACOMPANHAMENTO="PLE",ISNUMBER($F1)),
                SUMIF((OFFSET(CÁLCULO!$BS$15:$CS$15,$F1,0,OFFSET(ORÇAMENTO!$D$15,CRONO!$F1,0))),CRONO!AW$12,OFFSET(CÁLCULO!$AR$15:$BR$15,$F1,0,OFFSET(ORÇAMENTO!$D$15,CRONO!$F1,0)))
                +IF(AND($F3&lt;&gt;"",$F3&lt;&gt;0),
                        SUMIF(CÁLCULO!$BS$15:$CS$205,CRONO!AW$12,CÁLCULO!$AR$15:$BR$205)/(ORÇAMENTO!$X$15-_xlfn.single(CÁLCULO.TotalAdmLocal))*CRONO!$F3,
                        0),
                 AW2*$S1),
          SUMIF(OFFSET($S3,1,0,$R1-2),($M1+1)&amp;"$",OFFSET(AW3,1,0,$R1-2)))</f>
        <v>#VALUE!</v>
      </c>
      <c r="AX3" s="439" t="e">
        <f aca="false" t="array" ref="AX3:AX3">IF($R1=2,
         IF(AND(ACOMPANHAMENTO="PLE",ISNUMBER($F1)),
                SUMIF((OFFSET(CÁLCULO!$BS$15:$CS$15,$F1,0,OFFSET(ORÇAMENTO!$D$15,CRONO!$F1,0))),CRONO!AX$12,OFFSET(CÁLCULO!$AR$15:$BR$15,$F1,0,OFFSET(ORÇAMENTO!$D$15,CRONO!$F1,0)))
                +IF(AND($F3&lt;&gt;"",$F3&lt;&gt;0),
                        SUMIF(CÁLCULO!$BS$15:$CS$205,CRONO!AX$12,CÁLCULO!$AR$15:$BR$205)/(ORÇAMENTO!$X$15-_xlfn.single(CÁLCULO.TotalAdmLocal))*CRONO!$F3,
                        0),
                 AX2*$S1),
          SUMIF(OFFSET($S3,1,0,$R1-2),($M1+1)&amp;"$",OFFSET(AX3,1,0,$R1-2)))</f>
        <v>#VALUE!</v>
      </c>
      <c r="AY3" s="439" t="e">
        <f aca="false" t="array" ref="AY3:AY3">IF($R1=2,
         IF(AND(ACOMPANHAMENTO="PLE",ISNUMBER($F1)),
                SUMIF((OFFSET(CÁLCULO!$BS$15:$CS$15,$F1,0,OFFSET(ORÇAMENTO!$D$15,CRONO!$F1,0))),CRONO!AY$12,OFFSET(CÁLCULO!$AR$15:$BR$15,$F1,0,OFFSET(ORÇAMENTO!$D$15,CRONO!$F1,0)))
                +IF(AND($F3&lt;&gt;"",$F3&lt;&gt;0),
                        SUMIF(CÁLCULO!$BS$15:$CS$205,CRONO!AY$12,CÁLCULO!$AR$15:$BR$205)/(ORÇAMENTO!$X$15-_xlfn.single(CÁLCULO.TotalAdmLocal))*CRONO!$F3,
                        0),
                 AY2*$S1),
          SUMIF(OFFSET($S3,1,0,$R1-2),($M1+1)&amp;"$",OFFSET(AY3,1,0,$R1-2)))</f>
        <v>#VALUE!</v>
      </c>
      <c r="AZ3" s="439" t="e">
        <f aca="false" t="array" ref="AZ3:AZ3">IF($R1=2,
         IF(AND(ACOMPANHAMENTO="PLE",ISNUMBER($F1)),
                SUMIF((OFFSET(CÁLCULO!$BS$15:$CS$15,$F1,0,OFFSET(ORÇAMENTO!$D$15,CRONO!$F1,0))),CRONO!AZ$12,OFFSET(CÁLCULO!$AR$15:$BR$15,$F1,0,OFFSET(ORÇAMENTO!$D$15,CRONO!$F1,0)))
                +IF(AND($F3&lt;&gt;"",$F3&lt;&gt;0),
                        SUMIF(CÁLCULO!$BS$15:$CS$205,CRONO!AZ$12,CÁLCULO!$AR$15:$BR$205)/(ORÇAMENTO!$X$15-_xlfn.single(CÁLCULO.TotalAdmLocal))*CRONO!$F3,
                        0),
                 AZ2*$S1),
          SUMIF(OFFSET($S3,1,0,$R1-2),($M1+1)&amp;"$",OFFSET(AZ3,1,0,$R1-2)))</f>
        <v>#VALUE!</v>
      </c>
      <c r="BA3" s="439" t="e">
        <f aca="false" t="array" ref="BA3:BA3">IF($R1=2,
         IF(AND(ACOMPANHAMENTO="PLE",ISNUMBER($F1)),
                SUMIF((OFFSET(CÁLCULO!$BS$15:$CS$15,$F1,0,OFFSET(ORÇAMENTO!$D$15,CRONO!$F1,0))),CRONO!BA$12,OFFSET(CÁLCULO!$AR$15:$BR$15,$F1,0,OFFSET(ORÇAMENTO!$D$15,CRONO!$F1,0)))
                +IF(AND($F3&lt;&gt;"",$F3&lt;&gt;0),
                        SUMIF(CÁLCULO!$BS$15:$CS$205,CRONO!BA$12,CÁLCULO!$AR$15:$BR$205)/(ORÇAMENTO!$X$15-_xlfn.single(CÁLCULO.TotalAdmLocal))*CRONO!$F3,
                        0),
                 BA2*$S1),
          SUMIF(OFFSET($S3,1,0,$R1-2),($M1+1)&amp;"$",OFFSET(BA3,1,0,$R1-2)))</f>
        <v>#VALUE!</v>
      </c>
      <c r="BB3" s="439" t="e">
        <f aca="false" t="array" ref="BB3:BB3">IF($R1=2,
         IF(AND(ACOMPANHAMENTO="PLE",ISNUMBER($F1)),
                SUMIF((OFFSET(CÁLCULO!$BS$15:$CS$15,$F1,0,OFFSET(ORÇAMENTO!$D$15,CRONO!$F1,0))),CRONO!BB$12,OFFSET(CÁLCULO!$AR$15:$BR$15,$F1,0,OFFSET(ORÇAMENTO!$D$15,CRONO!$F1,0)))
                +IF(AND($F3&lt;&gt;"",$F3&lt;&gt;0),
                        SUMIF(CÁLCULO!$BS$15:$CS$205,CRONO!BB$12,CÁLCULO!$AR$15:$BR$205)/(ORÇAMENTO!$X$15-_xlfn.single(CÁLCULO.TotalAdmLocal))*CRONO!$F3,
                        0),
                 BB2*$S1),
          SUMIF(OFFSET($S3,1,0,$R1-2),($M1+1)&amp;"$",OFFSET(BB3,1,0,$R1-2)))</f>
        <v>#VALUE!</v>
      </c>
      <c r="BC3" s="439" t="e">
        <f aca="false" t="array" ref="BC3:BC3">IF($R1=2,
         IF(AND(ACOMPANHAMENTO="PLE",ISNUMBER($F1)),
                SUMIF((OFFSET(CÁLCULO!$BS$15:$CS$15,$F1,0,OFFSET(ORÇAMENTO!$D$15,CRONO!$F1,0))),CRONO!BC$12,OFFSET(CÁLCULO!$AR$15:$BR$15,$F1,0,OFFSET(ORÇAMENTO!$D$15,CRONO!$F1,0)))
                +IF(AND($F3&lt;&gt;"",$F3&lt;&gt;0),
                        SUMIF(CÁLCULO!$BS$15:$CS$205,CRONO!BC$12,CÁLCULO!$AR$15:$BR$205)/(ORÇAMENTO!$X$15-_xlfn.single(CÁLCULO.TotalAdmLocal))*CRONO!$F3,
                        0),
                 BC2*$S1),
          SUMIF(OFFSET($S3,1,0,$R1-2),($M1+1)&amp;"$",OFFSET(BC3,1,0,$R1-2)))</f>
        <v>#VALUE!</v>
      </c>
      <c r="BD3" s="439" t="e">
        <f aca="false" t="array" ref="BD3:BD3">IF($R1=2,
         IF(AND(ACOMPANHAMENTO="PLE",ISNUMBER($F1)),
                SUMIF((OFFSET(CÁLCULO!$BS$15:$CS$15,$F1,0,OFFSET(ORÇAMENTO!$D$15,CRONO!$F1,0))),CRONO!BD$12,OFFSET(CÁLCULO!$AR$15:$BR$15,$F1,0,OFFSET(ORÇAMENTO!$D$15,CRONO!$F1,0)))
                +IF(AND($F3&lt;&gt;"",$F3&lt;&gt;0),
                        SUMIF(CÁLCULO!$BS$15:$CS$205,CRONO!BD$12,CÁLCULO!$AR$15:$BR$205)/(ORÇAMENTO!$X$15-_xlfn.single(CÁLCULO.TotalAdmLocal))*CRONO!$F3,
                        0),
                 BD2*$S1),
          SUMIF(OFFSET($S3,1,0,$R1-2),($M1+1)&amp;"$",OFFSET(BD3,1,0,$R1-2)))</f>
        <v>#VALUE!</v>
      </c>
      <c r="BE3" s="430"/>
    </row>
    <row r="4" customFormat="false" ht="15" hidden="false" customHeight="true" outlineLevel="0" collapsed="false">
      <c r="S4" s="443" t="str">
        <f aca="false">IF(TIPOORCAMENTO="licitado","CFF - CRONOGRAMA FÍSICO-FINANCEIRO LICITADO","CFF - CRONOGRAMA FÍSICO-FINANCEIRO")</f>
        <v>CFF - CRONOGRAMA FÍSICO-FINANCEIRO</v>
      </c>
      <c r="AE4" s="100" t="s">
        <v>671</v>
      </c>
      <c r="AF4" s="100"/>
      <c r="AQ4" s="100" t="s">
        <v>671</v>
      </c>
      <c r="AR4" s="100"/>
      <c r="BC4" s="100" t="s">
        <v>671</v>
      </c>
      <c r="BD4" s="100"/>
    </row>
    <row r="5" customFormat="false" ht="15" hidden="false" customHeight="false" outlineLevel="0" collapsed="false">
      <c r="S5" s="159" t="str">
        <f aca="false">import.recurso</f>
        <v>OGU</v>
      </c>
      <c r="AE5" s="60" t="s">
        <v>674</v>
      </c>
      <c r="AF5" s="60"/>
      <c r="AQ5" s="60" t="s">
        <v>674</v>
      </c>
      <c r="AR5" s="60"/>
      <c r="BC5" s="60" t="s">
        <v>674</v>
      </c>
      <c r="BD5" s="60"/>
    </row>
    <row r="6" customFormat="false" ht="12.75" hidden="false" customHeight="true" outlineLevel="0" collapsed="false"/>
    <row r="7" customFormat="false" ht="12.75" hidden="false" customHeight="true" outlineLevel="0" collapsed="false">
      <c r="F7" s="444"/>
      <c r="H7" s="445" t="s">
        <v>997</v>
      </c>
      <c r="I7" s="266" t="s">
        <v>677</v>
      </c>
      <c r="J7" s="446"/>
      <c r="K7" s="447" t="s">
        <v>998</v>
      </c>
      <c r="L7" s="448" t="s">
        <v>999</v>
      </c>
      <c r="M7" s="382"/>
      <c r="N7" s="382"/>
      <c r="O7" s="382"/>
      <c r="T7" s="381"/>
      <c r="U7" s="266" t="s">
        <v>866</v>
      </c>
      <c r="Y7" s="446"/>
      <c r="Z7" s="266" t="str">
        <f aca="false">IF(TIPOORCAMENTO="Licitado","NOME DA EMPRESA","DESCRIÇÃO DO LOTE")</f>
        <v>DESCRIÇÃO DO LOTE</v>
      </c>
      <c r="AF7" s="449" t="str">
        <f aca="false">IF(TIPOORCAMENTO="Licitado","Nº CTEF","")</f>
        <v/>
      </c>
      <c r="AG7" s="266" t="s">
        <v>866</v>
      </c>
      <c r="AK7" s="446"/>
      <c r="AL7" s="266" t="str">
        <f aca="false">IF(TIPOORCAMENTO="Licitado","NOME DA EMPRESA","DESCRIÇÃO DO LOTE")</f>
        <v>DESCRIÇÃO DO LOTE</v>
      </c>
      <c r="AR7" s="449" t="str">
        <f aca="false">IF(TIPOORCAMENTO="Licitado","Nº CTEF","")</f>
        <v/>
      </c>
      <c r="AS7" s="266" t="s">
        <v>866</v>
      </c>
      <c r="AW7" s="446"/>
      <c r="AX7" s="266" t="str">
        <f aca="false">IF(TIPOORCAMENTO="Licitado","NOME DA EMPRESA","DESCRIÇÃO DO LOTE")</f>
        <v>DESCRIÇÃO DO LOTE</v>
      </c>
      <c r="BD7" s="449" t="str">
        <f aca="false">IF(TIPOORCAMENTO="Licitado","Nº CTEF","")</f>
        <v/>
      </c>
    </row>
    <row r="8" customFormat="false" ht="12.75" hidden="false" customHeight="false" outlineLevel="0" collapsed="false">
      <c r="E8" s="419"/>
      <c r="F8" s="199"/>
      <c r="G8" s="105" t="s">
        <v>682</v>
      </c>
      <c r="H8" s="445"/>
      <c r="I8" s="271" t="str">
        <f aca="false">Import.CR</f>
        <v>1100251-88</v>
      </c>
      <c r="J8" s="271"/>
      <c r="K8" s="450" t="str">
        <f aca="false">Import.TransfereGOV</f>
        <v>974240/2024</v>
      </c>
      <c r="L8" s="451" t="str">
        <f aca="false">Import.Proponente</f>
        <v>PREFEITURA MUNICIPAL DE SALINAS</v>
      </c>
      <c r="M8" s="451"/>
      <c r="N8" s="451"/>
      <c r="O8" s="451"/>
      <c r="P8" s="451"/>
      <c r="Q8" s="451"/>
      <c r="R8" s="451"/>
      <c r="S8" s="451"/>
      <c r="T8" s="451"/>
      <c r="U8" s="271" t="str">
        <f aca="false">Import.Apelido</f>
        <v>CONSTRUÇÃO DE UNIDADES HABITACIONAIS EM ÁREAS URBANAS</v>
      </c>
      <c r="V8" s="271"/>
      <c r="W8" s="271"/>
      <c r="X8" s="271"/>
      <c r="Y8" s="271"/>
      <c r="Z8" s="452" t="str">
        <f aca="false">IF(TIPOORCAMENTO="Licitado",Import.empresa,Import.DescLote)</f>
        <v>CONSTRUÇÃO DE UNIDADES HABITACIONAIS EM ÁREAS URBANAS, NO MUNICIPIO DE SALINAS/MG, UTILIZANDO RECURSOS DO FNHIS, PELO PROGRAMA MINHA CASA MINHA VIDA</v>
      </c>
      <c r="AA8" s="452"/>
      <c r="AB8" s="452"/>
      <c r="AC8" s="452"/>
      <c r="AD8" s="452"/>
      <c r="AE8" s="452"/>
      <c r="AF8" s="440" t="str">
        <f aca="false">IF(TIPOORCAMENTO="Licitado",Import.CTEF,"")</f>
        <v/>
      </c>
      <c r="AG8" s="271" t="str">
        <f aca="false">Import.Apelido</f>
        <v>CONSTRUÇÃO DE UNIDADES HABITACIONAIS EM ÁREAS URBANAS</v>
      </c>
      <c r="AH8" s="271"/>
      <c r="AI8" s="271"/>
      <c r="AJ8" s="271"/>
      <c r="AK8" s="271"/>
      <c r="AL8" s="452" t="str">
        <f aca="false">IF(TIPOORCAMENTO="Licitado",Import.empresa,Import.DescLote)</f>
        <v>CONSTRUÇÃO DE UNIDADES HABITACIONAIS EM ÁREAS URBANAS, NO MUNICIPIO DE SALINAS/MG, UTILIZANDO RECURSOS DO FNHIS, PELO PROGRAMA MINHA CASA MINHA VIDA</v>
      </c>
      <c r="AM8" s="452"/>
      <c r="AN8" s="452"/>
      <c r="AO8" s="452"/>
      <c r="AP8" s="452"/>
      <c r="AQ8" s="452"/>
      <c r="AR8" s="440" t="str">
        <f aca="false">IF(TIPOORCAMENTO="Licitado",Import.CTEF,"")</f>
        <v/>
      </c>
      <c r="AS8" s="271" t="str">
        <f aca="false">Import.Apelido</f>
        <v>CONSTRUÇÃO DE UNIDADES HABITACIONAIS EM ÁREAS URBANAS</v>
      </c>
      <c r="AT8" s="271"/>
      <c r="AU8" s="271"/>
      <c r="AV8" s="271"/>
      <c r="AW8" s="271"/>
      <c r="AX8" s="452" t="str">
        <f aca="false">IF(TIPOORCAMENTO="Licitado",Import.empresa,Import.DescLote)</f>
        <v>CONSTRUÇÃO DE UNIDADES HABITACIONAIS EM ÁREAS URBANAS, NO MUNICIPIO DE SALINAS/MG, UTILIZANDO RECURSOS DO FNHIS, PELO PROGRAMA MINHA CASA MINHA VIDA</v>
      </c>
      <c r="AY8" s="452"/>
      <c r="AZ8" s="452"/>
      <c r="BA8" s="452"/>
      <c r="BB8" s="452"/>
      <c r="BC8" s="452"/>
      <c r="BD8" s="440" t="str">
        <f aca="false">IF(TIPOORCAMENTO="Licitado",Import.CTEF,"")</f>
        <v/>
      </c>
    </row>
    <row r="9" customFormat="false" ht="12.75" hidden="false" customHeight="false" outlineLevel="0" collapsed="false">
      <c r="F9" s="199"/>
      <c r="G9" s="105"/>
      <c r="H9" s="445"/>
    </row>
    <row r="10" customFormat="false" ht="12.75" hidden="false" customHeight="false" outlineLevel="0" collapsed="false">
      <c r="F10" s="419" t="n">
        <f aca="true" t="array" ref="F10:F10">CRONO.LinhasNecessarias</f>
        <v>56</v>
      </c>
      <c r="G10" s="105"/>
      <c r="H10" s="453" t="n">
        <v>2</v>
      </c>
      <c r="K10" s="454" t="str">
        <f aca="true" t="array" ref="K10:K10">IF(MAX($B$13:$B$182)&lt;CRONO.LinhasNecessarias,"ERRO: NÚMERO DE LINHAS DO CRONOGRAMA INSUFICIENTE. CLIQUE EM ATUALIZAR LINHAS.",IF(AND(ACOMPANHAMENTO="PLE",ROUND(OFFSET($BE$192,0,-1),2)=0),"CRONOGRAMA DEVE SER PREENCHIDO POR EVENTOS",IF(ROUND(OFFSET($BE$192,0,-1),2)&lt;&gt;$R$183,"ERRO: CRONOGRAMA NÃO FECHA 100%","")))</f>
        <v/>
      </c>
      <c r="L10" s="454"/>
      <c r="M10" s="454"/>
      <c r="N10" s="454"/>
      <c r="O10" s="454"/>
      <c r="P10" s="454"/>
      <c r="Q10" s="454"/>
      <c r="R10" s="454"/>
      <c r="S10" s="454"/>
      <c r="T10" s="454"/>
    </row>
    <row r="11" customFormat="false" ht="12.75" hidden="false" customHeight="true" outlineLevel="0" collapsed="false">
      <c r="F11" s="419" t="n">
        <f aca="false" t="array" ref="F11:F11">CRONO.ParcelaFinal</f>
        <v>25</v>
      </c>
      <c r="G11" s="105"/>
      <c r="I11" s="455"/>
      <c r="J11" s="455"/>
      <c r="K11" s="454"/>
      <c r="L11" s="454"/>
      <c r="M11" s="454"/>
      <c r="N11" s="454"/>
      <c r="O11" s="454"/>
      <c r="P11" s="454"/>
      <c r="Q11" s="454"/>
      <c r="R11" s="454"/>
      <c r="S11" s="454"/>
      <c r="T11" s="454"/>
    </row>
    <row r="12" customFormat="false" ht="12.75" hidden="false" customHeight="true" outlineLevel="0" collapsed="false">
      <c r="A12" s="382" t="s">
        <v>1000</v>
      </c>
      <c r="E12" s="456" t="n">
        <f aca="true">OFFSET(E12,0,-1)+1</f>
        <v>1</v>
      </c>
      <c r="G12" s="112" t="s">
        <v>687</v>
      </c>
      <c r="H12" s="457" t="s">
        <v>1001</v>
      </c>
      <c r="I12" s="458" t="s">
        <v>765</v>
      </c>
      <c r="J12" s="459" t="s">
        <v>132</v>
      </c>
      <c r="K12" s="460"/>
      <c r="L12" s="460"/>
      <c r="M12" s="461"/>
      <c r="N12" s="461"/>
      <c r="O12" s="461"/>
      <c r="P12" s="461"/>
      <c r="Q12" s="461"/>
      <c r="R12" s="461"/>
      <c r="S12" s="462" t="s">
        <v>1002</v>
      </c>
      <c r="T12" s="463" t="s">
        <v>1003</v>
      </c>
      <c r="U12" s="464" t="n">
        <v>1</v>
      </c>
      <c r="V12" s="456" t="n">
        <f aca="true">OFFSET(V12,0,-1)+1</f>
        <v>2</v>
      </c>
      <c r="W12" s="456" t="n">
        <f aca="true">OFFSET(W12,0,-1)+1</f>
        <v>3</v>
      </c>
      <c r="X12" s="456" t="n">
        <f aca="true">OFFSET(X12,0,-1)+1</f>
        <v>4</v>
      </c>
      <c r="Y12" s="456" t="n">
        <f aca="true">OFFSET(Y12,0,-1)+1</f>
        <v>5</v>
      </c>
      <c r="Z12" s="456" t="n">
        <f aca="true">OFFSET(Z12,0,-1)+1</f>
        <v>6</v>
      </c>
      <c r="AA12" s="456" t="n">
        <f aca="true">OFFSET(AA12,0,-1)+1</f>
        <v>7</v>
      </c>
      <c r="AB12" s="456" t="n">
        <f aca="true">OFFSET(AB12,0,-1)+1</f>
        <v>8</v>
      </c>
      <c r="AC12" s="456" t="n">
        <f aca="true">OFFSET(AC12,0,-1)+1</f>
        <v>9</v>
      </c>
      <c r="AD12" s="456" t="n">
        <f aca="true">OFFSET(AD12,0,-1)+1</f>
        <v>10</v>
      </c>
      <c r="AE12" s="456" t="n">
        <f aca="true">OFFSET(AE12,0,-1)+1</f>
        <v>11</v>
      </c>
      <c r="AF12" s="465" t="n">
        <f aca="true">OFFSET(AF12,0,-1)+1</f>
        <v>12</v>
      </c>
      <c r="AG12" s="464" t="n">
        <f aca="true">OFFSET(AG12,0,-1)+1</f>
        <v>13</v>
      </c>
      <c r="AH12" s="456" t="n">
        <f aca="true">OFFSET(AH12,0,-1)+1</f>
        <v>14</v>
      </c>
      <c r="AI12" s="456" t="n">
        <f aca="true">OFFSET(AI12,0,-1)+1</f>
        <v>15</v>
      </c>
      <c r="AJ12" s="456" t="n">
        <f aca="true">OFFSET(AJ12,0,-1)+1</f>
        <v>16</v>
      </c>
      <c r="AK12" s="456" t="n">
        <f aca="true">OFFSET(AK12,0,-1)+1</f>
        <v>17</v>
      </c>
      <c r="AL12" s="456" t="n">
        <f aca="true">OFFSET(AL12,0,-1)+1</f>
        <v>18</v>
      </c>
      <c r="AM12" s="456" t="n">
        <f aca="true">OFFSET(AM12,0,-1)+1</f>
        <v>19</v>
      </c>
      <c r="AN12" s="456" t="n">
        <f aca="true">OFFSET(AN12,0,-1)+1</f>
        <v>20</v>
      </c>
      <c r="AO12" s="456" t="n">
        <f aca="true">OFFSET(AO12,0,-1)+1</f>
        <v>21</v>
      </c>
      <c r="AP12" s="456" t="n">
        <f aca="true">OFFSET(AP12,0,-1)+1</f>
        <v>22</v>
      </c>
      <c r="AQ12" s="456" t="n">
        <f aca="true">OFFSET(AQ12,0,-1)+1</f>
        <v>23</v>
      </c>
      <c r="AR12" s="465" t="n">
        <f aca="true">OFFSET(AR12,0,-1)+1</f>
        <v>24</v>
      </c>
      <c r="AS12" s="464" t="n">
        <f aca="true">OFFSET(AS12,0,-1)+1</f>
        <v>25</v>
      </c>
      <c r="AT12" s="456" t="n">
        <f aca="true">OFFSET(AT12,0,-1)+1</f>
        <v>26</v>
      </c>
      <c r="AU12" s="456" t="n">
        <f aca="true">OFFSET(AU12,0,-1)+1</f>
        <v>27</v>
      </c>
      <c r="AV12" s="456" t="n">
        <f aca="true">OFFSET(AV12,0,-1)+1</f>
        <v>28</v>
      </c>
      <c r="AW12" s="456" t="n">
        <f aca="true">OFFSET(AW12,0,-1)+1</f>
        <v>29</v>
      </c>
      <c r="AX12" s="456" t="n">
        <f aca="true">OFFSET(AX12,0,-1)+1</f>
        <v>30</v>
      </c>
      <c r="AY12" s="456" t="n">
        <f aca="true">OFFSET(AY12,0,-1)+1</f>
        <v>31</v>
      </c>
      <c r="AZ12" s="456" t="n">
        <f aca="true">OFFSET(AZ12,0,-1)+1</f>
        <v>32</v>
      </c>
      <c r="BA12" s="456" t="n">
        <f aca="true">OFFSET(BA12,0,-1)+1</f>
        <v>33</v>
      </c>
      <c r="BB12" s="456" t="n">
        <f aca="true">OFFSET(BB12,0,-1)+1</f>
        <v>34</v>
      </c>
      <c r="BC12" s="456" t="n">
        <f aca="true">OFFSET(BC12,0,-1)+1</f>
        <v>35</v>
      </c>
      <c r="BD12" s="465" t="n">
        <f aca="true">OFFSET(BD12,0,-1)+1</f>
        <v>36</v>
      </c>
      <c r="BE12" s="430"/>
    </row>
    <row r="13" customFormat="false" ht="24.75" hidden="false" customHeight="true" outlineLevel="0" collapsed="false">
      <c r="B13" s="466" t="s">
        <v>1004</v>
      </c>
      <c r="C13" s="466" t="s">
        <v>483</v>
      </c>
      <c r="D13" s="466" t="s">
        <v>1005</v>
      </c>
      <c r="E13" s="467" t="e">
        <f aca="true">OFFSET(E13,0,-1)+41-DAY(OFFSET(E13,0,-1)+40)</f>
        <v>#VALUE!</v>
      </c>
      <c r="F13" s="466" t="s">
        <v>1006</v>
      </c>
      <c r="H13" s="457"/>
      <c r="I13" s="458"/>
      <c r="J13" s="459"/>
      <c r="K13" s="468"/>
      <c r="L13" s="468"/>
      <c r="M13" s="469" t="s">
        <v>763</v>
      </c>
      <c r="N13" s="469" t="n">
        <v>1</v>
      </c>
      <c r="O13" s="469" t="n">
        <v>2</v>
      </c>
      <c r="P13" s="469" t="n">
        <v>3</v>
      </c>
      <c r="Q13" s="469" t="n">
        <v>4</v>
      </c>
      <c r="R13" s="470" t="s">
        <v>1007</v>
      </c>
      <c r="S13" s="462"/>
      <c r="T13" s="463"/>
      <c r="U13" s="471" t="n">
        <v>45809</v>
      </c>
      <c r="V13" s="467" t="n">
        <f aca="true">OFFSET(V13,0,-1)+41-DAY(OFFSET(V13,0,-1)+40)</f>
        <v>45839</v>
      </c>
      <c r="W13" s="467" t="n">
        <f aca="true">OFFSET(W13,0,-1)+41-DAY(OFFSET(W13,0,-1)+40)</f>
        <v>45870</v>
      </c>
      <c r="X13" s="467" t="n">
        <f aca="true">OFFSET(X13,0,-1)+41-DAY(OFFSET(X13,0,-1)+40)</f>
        <v>45901</v>
      </c>
      <c r="Y13" s="467" t="n">
        <f aca="true">OFFSET(Y13,0,-1)+41-DAY(OFFSET(Y13,0,-1)+40)</f>
        <v>45931</v>
      </c>
      <c r="Z13" s="467" t="n">
        <f aca="true">OFFSET(Z13,0,-1)+41-DAY(OFFSET(Z13,0,-1)+40)</f>
        <v>45962</v>
      </c>
      <c r="AA13" s="467" t="n">
        <f aca="true">OFFSET(AA13,0,-1)+41-DAY(OFFSET(AA13,0,-1)+40)</f>
        <v>45992</v>
      </c>
      <c r="AB13" s="467" t="n">
        <f aca="true">OFFSET(AB13,0,-1)+41-DAY(OFFSET(AB13,0,-1)+40)</f>
        <v>46023</v>
      </c>
      <c r="AC13" s="467" t="n">
        <f aca="true">OFFSET(AC13,0,-1)+41-DAY(OFFSET(AC13,0,-1)+40)</f>
        <v>46054</v>
      </c>
      <c r="AD13" s="467" t="n">
        <f aca="true">OFFSET(AD13,0,-1)+41-DAY(OFFSET(AD13,0,-1)+40)</f>
        <v>46082</v>
      </c>
      <c r="AE13" s="467" t="n">
        <f aca="true">OFFSET(AE13,0,-1)+41-DAY(OFFSET(AE13,0,-1)+40)</f>
        <v>46113</v>
      </c>
      <c r="AF13" s="472" t="n">
        <f aca="true">OFFSET(AF13,0,-1)+41-DAY(OFFSET(AF13,0,-1)+40)</f>
        <v>46143</v>
      </c>
      <c r="AG13" s="471" t="n">
        <f aca="true">OFFSET(AG13,0,-1)+41-DAY(OFFSET(AG13,0,-1)+40)</f>
        <v>46174</v>
      </c>
      <c r="AH13" s="467" t="n">
        <f aca="true">OFFSET(AH13,0,-1)+41-DAY(OFFSET(AH13,0,-1)+40)</f>
        <v>46204</v>
      </c>
      <c r="AI13" s="467" t="n">
        <f aca="true">OFFSET(AI13,0,-1)+41-DAY(OFFSET(AI13,0,-1)+40)</f>
        <v>46235</v>
      </c>
      <c r="AJ13" s="467" t="n">
        <f aca="true">OFFSET(AJ13,0,-1)+41-DAY(OFFSET(AJ13,0,-1)+40)</f>
        <v>46266</v>
      </c>
      <c r="AK13" s="467" t="n">
        <f aca="true">OFFSET(AK13,0,-1)+41-DAY(OFFSET(AK13,0,-1)+40)</f>
        <v>46296</v>
      </c>
      <c r="AL13" s="467" t="n">
        <f aca="true">OFFSET(AL13,0,-1)+41-DAY(OFFSET(AL13,0,-1)+40)</f>
        <v>46327</v>
      </c>
      <c r="AM13" s="467" t="n">
        <f aca="true">OFFSET(AM13,0,-1)+41-DAY(OFFSET(AM13,0,-1)+40)</f>
        <v>46357</v>
      </c>
      <c r="AN13" s="467" t="n">
        <f aca="true">OFFSET(AN13,0,-1)+41-DAY(OFFSET(AN13,0,-1)+40)</f>
        <v>46388</v>
      </c>
      <c r="AO13" s="467" t="n">
        <f aca="true">OFFSET(AO13,0,-1)+41-DAY(OFFSET(AO13,0,-1)+40)</f>
        <v>46419</v>
      </c>
      <c r="AP13" s="467" t="n">
        <f aca="true">OFFSET(AP13,0,-1)+41-DAY(OFFSET(AP13,0,-1)+40)</f>
        <v>46447</v>
      </c>
      <c r="AQ13" s="467" t="n">
        <f aca="true">OFFSET(AQ13,0,-1)+41-DAY(OFFSET(AQ13,0,-1)+40)</f>
        <v>46478</v>
      </c>
      <c r="AR13" s="472" t="n">
        <f aca="true">OFFSET(AR13,0,-1)+41-DAY(OFFSET(AR13,0,-1)+40)</f>
        <v>46508</v>
      </c>
      <c r="AS13" s="471" t="n">
        <f aca="true">OFFSET(AS13,0,-1)+41-DAY(OFFSET(AS13,0,-1)+40)</f>
        <v>46539</v>
      </c>
      <c r="AT13" s="467" t="n">
        <f aca="true">OFFSET(AT13,0,-1)+41-DAY(OFFSET(AT13,0,-1)+40)</f>
        <v>46569</v>
      </c>
      <c r="AU13" s="467" t="n">
        <f aca="true">OFFSET(AU13,0,-1)+41-DAY(OFFSET(AU13,0,-1)+40)</f>
        <v>46600</v>
      </c>
      <c r="AV13" s="467" t="n">
        <f aca="true">OFFSET(AV13,0,-1)+41-DAY(OFFSET(AV13,0,-1)+40)</f>
        <v>46631</v>
      </c>
      <c r="AW13" s="467" t="n">
        <f aca="true">OFFSET(AW13,0,-1)+41-DAY(OFFSET(AW13,0,-1)+40)</f>
        <v>46661</v>
      </c>
      <c r="AX13" s="467" t="n">
        <f aca="true">OFFSET(AX13,0,-1)+41-DAY(OFFSET(AX13,0,-1)+40)</f>
        <v>46692</v>
      </c>
      <c r="AY13" s="467" t="n">
        <f aca="true">OFFSET(AY13,0,-1)+41-DAY(OFFSET(AY13,0,-1)+40)</f>
        <v>46722</v>
      </c>
      <c r="AZ13" s="467" t="n">
        <f aca="true">OFFSET(AZ13,0,-1)+41-DAY(OFFSET(AZ13,0,-1)+40)</f>
        <v>46753</v>
      </c>
      <c r="BA13" s="467" t="n">
        <f aca="true">OFFSET(BA13,0,-1)+41-DAY(OFFSET(BA13,0,-1)+40)</f>
        <v>46784</v>
      </c>
      <c r="BB13" s="467" t="n">
        <f aca="true">OFFSET(BB13,0,-1)+41-DAY(OFFSET(BB13,0,-1)+40)</f>
        <v>46813</v>
      </c>
      <c r="BC13" s="467" t="n">
        <f aca="true">OFFSET(BC13,0,-1)+41-DAY(OFFSET(BC13,0,-1)+40)</f>
        <v>46844</v>
      </c>
      <c r="BD13" s="472" t="n">
        <f aca="true">OFFSET(BD13,0,-1)+41-DAY(OFFSET(BD13,0,-1)+40)</f>
        <v>46874</v>
      </c>
      <c r="BE13" s="430"/>
    </row>
    <row r="14" customFormat="false" ht="12.75" hidden="false" customHeight="false" outlineLevel="0" collapsed="false">
      <c r="A14" s="382" t="str">
        <f aca="false">IF($M14&gt;1,_xlfn.CONCAT($I14," ",$J14),"")</f>
        <v/>
      </c>
      <c r="B14" s="419" t="n">
        <f aca="true">OFFSET(B14,-3,0)+1</f>
        <v>1</v>
      </c>
      <c r="C14" s="419" t="n">
        <f aca="true">IF($R14&lt;&gt;2,0,IF($S14=0,1,IF(F15&gt;0,OFFSET(QCI!$M$13,SUBSTITUTE(F15,".",""),0),OFFSET(ORÇAMENTO!$AA$15,CRONO!$F14,0))/$S14))</f>
        <v>0</v>
      </c>
      <c r="D14" s="419" t="n">
        <f aca="true">IF($R14&lt;&gt;2,0,IF($S14=0,1,IF(F15&gt;0,OFFSET(QCI!$N$13,SUBSTITUTE(F15,".",""),0),OFFSET(ORÇAMENTO!$AB$15,CRONO!$F14,0))/$S14))</f>
        <v>0</v>
      </c>
      <c r="E14" s="422" t="n">
        <f aca="false" t="array" ref="E14:E14">IF(AND($R14=2,ACOMPANHAMENTO="BM"),ROUND(E15,4),E16/$S14)</f>
        <v>0.0452290856448283</v>
      </c>
      <c r="F14" s="419" t="n">
        <f aca="true">IF(B14&lt;=ORÇAMENTO.MáximoListaCrono,MATCH(B14,ORÇAMENTO.ListaCrono,0),NA())</f>
        <v>1</v>
      </c>
      <c r="G14" s="419" t="str">
        <f aca="false">IF(AND($F15&lt;&gt;-1,$S14&gt;0),"F","")</f>
        <v>F</v>
      </c>
      <c r="H14" s="423" t="str">
        <f aca="false" t="array" ref="H14:H14">IF(OR(S14=0,S14=""),"Linha",IF(AND(OR(ACOMPANHAMENTO="PLE",$R14&lt;&gt;2),$F15=0),"Linha",ROUND(1-SUM(U14:BE14),4)))</f>
        <v>Linha</v>
      </c>
      <c r="I14" s="424" t="str">
        <f aca="true">IF($F15=0,OFFSET(ORÇAMENTO!O$15,$F14,0),IF($F15&lt;&gt;-1,OFFSET(QCI!$D$13,$F15,0),""))</f>
        <v>1.</v>
      </c>
      <c r="J14" s="425" t="str">
        <f aca="true">IF($F15=0,OFFSET(ORÇAMENTO!R$15,$F14,0),IF($F15&lt;&gt;-1,OFFSET(QCI!$G$13,$F15,0),""))</f>
        <v>CONSTRUÇÃO DE CASAS POPULARES</v>
      </c>
      <c r="K14" s="425"/>
      <c r="L14" s="425"/>
      <c r="M14" s="426" t="n">
        <f aca="true">IF($F15=0,OFFSET(ORÇAMENTO!C$15,$F14,0),1)</f>
        <v>1</v>
      </c>
      <c r="N14" s="427" t="n">
        <f aca="true">IF($F15=-1,0,IF(N$13&lt;=$M14,IF(ISERROR(MATCH(N$13,OFFSET($M14,1,0,ROW($M$182)-ROW($M14)-1),0)),ROW($M$182)-ROW($M14)-1,MATCH(N$13,OFFSET($M14,1,0,ROW($M$182)-ROW($M14)-1),0)-1),0))</f>
        <v>167</v>
      </c>
      <c r="O14" s="427" t="n">
        <f aca="true">IF($F15=-1,0,IF(O$13&lt;=$M14,IF(ISERROR(MATCH(O$13,OFFSET($M14,1,0,ROW($M$182)-ROW($M14)-1),0)),ROW($M$182)-ROW($M14)-1,MATCH(O$13,OFFSET($M14,1,0,ROW($M$182)-ROW($M14)-1),0)-1),0))</f>
        <v>0</v>
      </c>
      <c r="P14" s="427" t="n">
        <f aca="true">IF($F15=-1,0,IF(P$13&lt;=$M14,IF(ISERROR(MATCH(P$13,OFFSET($M14,1,0,ROW($M$182)-ROW($M14)-1),0)),ROW($M$182)-ROW($M14)-1,MATCH(P$13,OFFSET($M14,1,0,ROW($M$182)-ROW($M14)-1),0)-1),0))</f>
        <v>0</v>
      </c>
      <c r="Q14" s="427" t="n">
        <f aca="true">IF($F15=-1,0,IF(Q$13&lt;=$M14,IF(ISERROR(MATCH(Q$13,OFFSET($M14,1,0,ROW($M$182)-ROW($M14)-1),0)),ROW($M$182)-ROW($M14)-1,MATCH(Q$13,OFFSET($M14,1,0,ROW($M$182)-ROW($M14)-1),0)-1),0))</f>
        <v>0</v>
      </c>
      <c r="R14" s="427" t="n">
        <f aca="true">MIN(OFFSET(M14,0,1,,M14))</f>
        <v>167</v>
      </c>
      <c r="S14" s="428" t="n">
        <f aca="true">IF($F15=0,OFFSET(ORÇAMENTO!X$15,$F14,0),IF($F15&lt;&gt;-1,OFFSET(QCI!$O$13,$F15,0),""))</f>
        <v>3655717.06</v>
      </c>
      <c r="T14" s="429" t="s">
        <v>996</v>
      </c>
      <c r="U14" s="422" t="n">
        <f aca="false" t="array" ref="U14:U14">IF(AND($R14=2,ACOMPANHAMENTO="BM"),ROUND(U15,4),U16/$S14)</f>
        <v>0.0452290856448283</v>
      </c>
      <c r="V14" s="422" t="n">
        <f aca="false" t="array" ref="V14:V14">IF(AND($R14=2,ACOMPANHAMENTO="BM"),ROUND(V15,4),V16/$S14)</f>
        <v>0.0435596840199663</v>
      </c>
      <c r="W14" s="422" t="n">
        <f aca="false" t="array" ref="W14:W14">IF(AND($R14=2,ACOMPANHAMENTO="BM"),ROUND(W15,4),W16/$S14)</f>
        <v>0.0400047043027996</v>
      </c>
      <c r="X14" s="422" t="n">
        <f aca="false" t="array" ref="X14:X14">IF(AND($R14=2,ACOMPANHAMENTO="BM"),ROUND(X15,4),X16/$S14)</f>
        <v>0.0396002966378366</v>
      </c>
      <c r="Y14" s="422" t="n">
        <f aca="false" t="array" ref="Y14:Y14">IF(AND($R14=2,ACOMPANHAMENTO="BM"),ROUND(Y15,4),Y16/$S14)</f>
        <v>0.0396002966378366</v>
      </c>
      <c r="Z14" s="422" t="n">
        <f aca="false" t="array" ref="Z14:Z14">IF(AND($R14=2,ACOMPANHAMENTO="BM"),ROUND(Z15,4),Z16/$S14)</f>
        <v>0.0396002966378366</v>
      </c>
      <c r="AA14" s="422" t="n">
        <f aca="false" t="array" ref="AA14:AA14">IF(AND($R14=2,ACOMPANHAMENTO="BM"),ROUND(AA15,4),AA16/$S14)</f>
        <v>0.0396002966378366</v>
      </c>
      <c r="AB14" s="422" t="n">
        <f aca="false" t="array" ref="AB14:AB14">IF(AND($R14=2,ACOMPANHAMENTO="BM"),ROUND(AB15,4),AB16/$S14)</f>
        <v>0.0396002966378366</v>
      </c>
      <c r="AC14" s="422" t="n">
        <f aca="false" t="array" ref="AC14:AC14">IF(AND($R14=2,ACOMPANHAMENTO="BM"),ROUND(AC15,4),AC16/$S14)</f>
        <v>0.0396002966378366</v>
      </c>
      <c r="AD14" s="422" t="n">
        <f aca="false" t="array" ref="AD14:AD14">IF(AND($R14=2,ACOMPANHAMENTO="BM"),ROUND(AD15,4),AD16/$S14)</f>
        <v>0.0396002966378366</v>
      </c>
      <c r="AE14" s="422" t="n">
        <f aca="false" t="array" ref="AE14:AE14">IF(AND($R14=2,ACOMPANHAMENTO="BM"),ROUND(AE15,4),AE16/$S14)</f>
        <v>0.0396002966378366</v>
      </c>
      <c r="AF14" s="422" t="n">
        <f aca="false" t="array" ref="AF14:AF14">IF(AND($R14=2,ACOMPANHAMENTO="BM"),ROUND(AF15,4),AF16/$S14)</f>
        <v>0.0396002966378366</v>
      </c>
      <c r="AG14" s="422" t="n">
        <f aca="false" t="array" ref="AG14:AG14">IF(AND($R14=2,ACOMPANHAMENTO="BM"),ROUND(AG15,4),AG16/$S14)</f>
        <v>0.0396002966378366</v>
      </c>
      <c r="AH14" s="422" t="n">
        <f aca="false" t="array" ref="AH14:AH14">IF(AND($R14=2,ACOMPANHAMENTO="BM"),ROUND(AH15,4),AH16/$S14)</f>
        <v>0.0396002966378366</v>
      </c>
      <c r="AI14" s="422" t="n">
        <f aca="false" t="array" ref="AI14:AI14">IF(AND($R14=2,ACOMPANHAMENTO="BM"),ROUND(AI15,4),AI16/$S14)</f>
        <v>0.0396002966378366</v>
      </c>
      <c r="AJ14" s="422" t="n">
        <f aca="false" t="array" ref="AJ14:AJ14">IF(AND($R14=2,ACOMPANHAMENTO="BM"),ROUND(AJ15,4),AJ16/$S14)</f>
        <v>0.0396002966378366</v>
      </c>
      <c r="AK14" s="422" t="n">
        <f aca="false" t="array" ref="AK14:AK14">IF(AND($R14=2,ACOMPANHAMENTO="BM"),ROUND(AK15,4),AK16/$S14)</f>
        <v>0.0396002966378366</v>
      </c>
      <c r="AL14" s="422" t="n">
        <f aca="false" t="array" ref="AL14:AL14">IF(AND($R14=2,ACOMPANHAMENTO="BM"),ROUND(AL15,4),AL16/$S14)</f>
        <v>0.0396002966378366</v>
      </c>
      <c r="AM14" s="422" t="n">
        <f aca="false" t="array" ref="AM14:AM14">IF(AND($R14=2,ACOMPANHAMENTO="BM"),ROUND(AM15,4),AM16/$S14)</f>
        <v>0.0396002966378366</v>
      </c>
      <c r="AN14" s="422" t="n">
        <f aca="false" t="array" ref="AN14:AN14">IF(AND($R14=2,ACOMPANHAMENTO="BM"),ROUND(AN15,4),AN16/$S14)</f>
        <v>0.0396002966378366</v>
      </c>
      <c r="AO14" s="422" t="n">
        <f aca="false" t="array" ref="AO14:AO14">IF(AND($R14=2,ACOMPANHAMENTO="BM"),ROUND(AO15,4),AO16/$S14)</f>
        <v>0.0396002966378366</v>
      </c>
      <c r="AP14" s="422" t="n">
        <f aca="false" t="array" ref="AP14:AP14">IF(AND($R14=2,ACOMPANHAMENTO="BM"),ROUND(AP15,4),AP16/$S14)</f>
        <v>0.0396002966378366</v>
      </c>
      <c r="AQ14" s="422" t="n">
        <f aca="false" t="array" ref="AQ14:AQ14">IF(AND($R14=2,ACOMPANHAMENTO="BM"),ROUND(AQ15,4),AQ16/$S14)</f>
        <v>0.0396002966378366</v>
      </c>
      <c r="AR14" s="422" t="n">
        <f aca="false" t="array" ref="AR14:AR14">IF(AND($R14=2,ACOMPANHAMENTO="BM"),ROUND(AR15,4),AR16/$S14)</f>
        <v>0.0396002966378366</v>
      </c>
      <c r="AS14" s="422" t="n">
        <f aca="false" t="array" ref="AS14:AS14">IF(AND($R14=2,ACOMPANHAMENTO="BM"),ROUND(AS15,4),AS16/$S14)</f>
        <v>0.0396002966378366</v>
      </c>
      <c r="AT14" s="422" t="n">
        <f aca="false" t="array" ref="AT14:AT14">IF(AND($R14=2,ACOMPANHAMENTO="BM"),ROUND(AT15,4),AT16/$S14)</f>
        <v>0</v>
      </c>
      <c r="AU14" s="422" t="n">
        <f aca="false" t="array" ref="AU14:AU14">IF(AND($R14=2,ACOMPANHAMENTO="BM"),ROUND(AU15,4),AU16/$S14)</f>
        <v>0</v>
      </c>
      <c r="AV14" s="422" t="n">
        <f aca="false" t="array" ref="AV14:AV14">IF(AND($R14=2,ACOMPANHAMENTO="BM"),ROUND(AV15,4),AV16/$S14)</f>
        <v>0</v>
      </c>
      <c r="AW14" s="422" t="n">
        <f aca="false" t="array" ref="AW14:AW14">IF(AND($R14=2,ACOMPANHAMENTO="BM"),ROUND(AW15,4),AW16/$S14)</f>
        <v>0</v>
      </c>
      <c r="AX14" s="422" t="n">
        <f aca="false" t="array" ref="AX14:AX14">IF(AND($R14=2,ACOMPANHAMENTO="BM"),ROUND(AX15,4),AX16/$S14)</f>
        <v>0</v>
      </c>
      <c r="AY14" s="422" t="n">
        <f aca="false" t="array" ref="AY14:AY14">IF(AND($R14=2,ACOMPANHAMENTO="BM"),ROUND(AY15,4),AY16/$S14)</f>
        <v>0</v>
      </c>
      <c r="AZ14" s="422" t="n">
        <f aca="false" t="array" ref="AZ14:AZ14">IF(AND($R14=2,ACOMPANHAMENTO="BM"),ROUND(AZ15,4),AZ16/$S14)</f>
        <v>0</v>
      </c>
      <c r="BA14" s="422" t="n">
        <f aca="false" t="array" ref="BA14:BA14">IF(AND($R14=2,ACOMPANHAMENTO="BM"),ROUND(BA15,4),BA16/$S14)</f>
        <v>0</v>
      </c>
      <c r="BB14" s="422" t="n">
        <f aca="false" t="array" ref="BB14:BB14">IF(AND($R14=2,ACOMPANHAMENTO="BM"),ROUND(BB15,4),BB16/$S14)</f>
        <v>0</v>
      </c>
      <c r="BC14" s="422" t="n">
        <f aca="false" t="array" ref="BC14:BC14">IF(AND($R14=2,ACOMPANHAMENTO="BM"),ROUND(BC15,4),BC16/$S14)</f>
        <v>0</v>
      </c>
      <c r="BD14" s="422" t="n">
        <f aca="false" t="array" ref="BD14:BD14">IF(AND($R14=2,ACOMPANHAMENTO="BM"),ROUND(BD15,4),BD16/$S14)</f>
        <v>0</v>
      </c>
      <c r="BE14" s="430"/>
    </row>
    <row r="15" customFormat="false" ht="12.75" hidden="true" customHeight="true" outlineLevel="0" collapsed="false">
      <c r="E15" s="431"/>
      <c r="F15" s="419" t="n">
        <f aca="true">IF(ISERROR(F14),IF(1+COUNTIF($M$13:OFFSET(M14,-1,0),1)&lt;=MAX(QCI!$D$13:$D$15),1+COUNTIF($M$13:OFFSET(M14,-1,0),1),-1),0)</f>
        <v>0</v>
      </c>
      <c r="G15" s="419" t="str">
        <f aca="true" t="array" ref="G15:G15">IF(ACOMPANHAMENTO="BM",OFFSET(G15,-1,0),"")</f>
        <v/>
      </c>
      <c r="H15" s="432" t="str">
        <f aca="false" t="array" ref="H15:H15">IF(OR(S14=0,S14=""),"vazia",IF(AND(OR(ACOMPANHAMENTO="PLE",$R14&lt;&gt;2),$F15=0),"calculada","--&gt;"))</f>
        <v>calculada</v>
      </c>
      <c r="I15" s="433"/>
      <c r="J15" s="434" t="str">
        <f aca="false">IF(AND(H14&lt;&gt;0,ISNUMBER(H14)),"PREENCHA ESTA LINHA --&gt;","")</f>
        <v/>
      </c>
      <c r="K15" s="434"/>
      <c r="L15" s="434"/>
      <c r="M15" s="435"/>
      <c r="N15" s="435"/>
      <c r="O15" s="435"/>
      <c r="P15" s="435"/>
      <c r="Q15" s="435"/>
      <c r="R15" s="435"/>
      <c r="S15" s="436"/>
      <c r="T15" s="437"/>
      <c r="U15" s="431"/>
      <c r="V15" s="431"/>
      <c r="W15" s="431"/>
      <c r="X15" s="431"/>
      <c r="Y15" s="431"/>
      <c r="Z15" s="431"/>
      <c r="AA15" s="431"/>
      <c r="AB15" s="431"/>
      <c r="AC15" s="431"/>
      <c r="AD15" s="431"/>
      <c r="AE15" s="431"/>
      <c r="AF15" s="431"/>
      <c r="AG15" s="431"/>
      <c r="AH15" s="431"/>
      <c r="AI15" s="431"/>
      <c r="AJ15" s="431"/>
      <c r="AK15" s="431"/>
      <c r="AL15" s="431"/>
      <c r="AM15" s="431"/>
      <c r="AN15" s="431"/>
      <c r="AO15" s="431"/>
      <c r="AP15" s="431"/>
      <c r="AQ15" s="431"/>
      <c r="AR15" s="431"/>
      <c r="AS15" s="431"/>
      <c r="AT15" s="431"/>
      <c r="AU15" s="431"/>
      <c r="AV15" s="431"/>
      <c r="AW15" s="431"/>
      <c r="AX15" s="431"/>
      <c r="AY15" s="431"/>
      <c r="AZ15" s="431"/>
      <c r="BA15" s="431"/>
      <c r="BB15" s="431"/>
      <c r="BC15" s="431"/>
      <c r="BD15" s="431"/>
      <c r="BE15" s="430"/>
    </row>
    <row r="16" customFormat="false" ht="12.75" hidden="true" customHeight="true" outlineLevel="0" collapsed="false">
      <c r="D16" s="438"/>
      <c r="E16" s="439" t="n">
        <f aca="false" t="array" ref="E16:E16">IF($R14=2,
         IF(AND(ACOMPANHAMENTO="PLE",ISNUMBER($F14)),
                SUMIF((OFFSET(CÁLCULO!$BS$15:$CS$15,$F14,0,OFFSET(ORÇAMENTO!$D$15,CRONO!$F14,0))),CRONO!E$12,OFFSET(CÁLCULO!$AR$15:$BR$15,$F14,0,OFFSET(ORÇAMENTO!$D$15,CRONO!$F14,0)))
                +IF(AND($F16&lt;&gt;"",$F16&lt;&gt;0),
                        SUMIF(CÁLCULO!$BS$15:$CS$205,CRONO!E$12,CÁLCULO!$AR$15:$BR$205)/(ORÇAMENTO!$X$15-_xlfn.single(CÁLCULO.TotalAdmLocal))*CRONO!$F16,
                        0),
                 E15*$S14),
          SUMIF(OFFSET($S16,1,0,$R14-2),($M14+1)&amp;"$",OFFSET(E16,1,0,$R14-2)))</f>
        <v>165344.74</v>
      </c>
      <c r="F16" s="419" t="str">
        <f aca="true">IF(OR($R14&lt;&gt;2,AUTOEVENTO&lt;&gt;"manual",$F15&gt;0),"",
        IF(Import.TipoArredondamento="Tradicional",
              SUMIF(OFFSET(CÁLCULO!$M$15,CRONO!$F14,0,OFFSET(ORÇAMENTO!$D$15,CRONO!$F14,0)),1,OFFSET(ORÇAMENTO!$X$15,CRONO!$F14,0,OFFSET(ORÇAMENTO!$D$15,CRONO!$F14,0))),
              0))</f>
        <v/>
      </c>
      <c r="H16" s="440"/>
      <c r="S16" s="441" t="str">
        <f aca="false">M14&amp;"$"</f>
        <v>1$</v>
      </c>
      <c r="T16" s="442"/>
      <c r="U16" s="439" t="n">
        <f aca="false" t="array" ref="U16:U16">IF($R14=2,
         IF(AND(ACOMPANHAMENTO="PLE",ISNUMBER($F14)),
                SUMIF((OFFSET(CÁLCULO!$BS$15:$CS$15,$F14,0,OFFSET(ORÇAMENTO!$D$15,CRONO!$F14,0))),CRONO!U$12,OFFSET(CÁLCULO!$AR$15:$BR$15,$F14,0,OFFSET(ORÇAMENTO!$D$15,CRONO!$F14,0)))
                +IF(AND($F16&lt;&gt;"",$F16&lt;&gt;0),
                        SUMIF(CÁLCULO!$BS$15:$CS$205,CRONO!U$12,CÁLCULO!$AR$15:$BR$205)/(ORÇAMENTO!$X$15-_xlfn.single(CÁLCULO.TotalAdmLocal))*CRONO!$F16,
                        0),
                 U15*$S14),
          SUMIF(OFFSET($S16,1,0,$R14-2),($M14+1)&amp;"$",OFFSET(U16,1,0,$R14-2)))</f>
        <v>165344.74</v>
      </c>
      <c r="V16" s="439" t="n">
        <f aca="false" t="array" ref="V16:V16">IF($R14=2,
         IF(AND(ACOMPANHAMENTO="PLE",ISNUMBER($F14)),
                SUMIF((OFFSET(CÁLCULO!$BS$15:$CS$15,$F14,0,OFFSET(ORÇAMENTO!$D$15,CRONO!$F14,0))),CRONO!V$12,OFFSET(CÁLCULO!$AR$15:$BR$15,$F14,0,OFFSET(ORÇAMENTO!$D$15,CRONO!$F14,0)))
                +IF(AND($F16&lt;&gt;"",$F16&lt;&gt;0),
                        SUMIF(CÁLCULO!$BS$15:$CS$205,CRONO!V$12,CÁLCULO!$AR$15:$BR$205)/(ORÇAMENTO!$X$15-_xlfn.single(CÁLCULO.TotalAdmLocal))*CRONO!$F16,
                        0),
                 V15*$S14),
          SUMIF(OFFSET($S16,1,0,$R14-2),($M14+1)&amp;"$",OFFSET(V16,1,0,$R14-2)))</f>
        <v>159241.88</v>
      </c>
      <c r="W16" s="439" t="n">
        <f aca="false" t="array" ref="W16:W16">IF($R14=2,
         IF(AND(ACOMPANHAMENTO="PLE",ISNUMBER($F14)),
                SUMIF((OFFSET(CÁLCULO!$BS$15:$CS$15,$F14,0,OFFSET(ORÇAMENTO!$D$15,CRONO!$F14,0))),CRONO!W$12,OFFSET(CÁLCULO!$AR$15:$BR$15,$F14,0,OFFSET(ORÇAMENTO!$D$15,CRONO!$F14,0)))
                +IF(AND($F16&lt;&gt;"",$F16&lt;&gt;0),
                        SUMIF(CÁLCULO!$BS$15:$CS$205,CRONO!W$12,CÁLCULO!$AR$15:$BR$205)/(ORÇAMENTO!$X$15-_xlfn.single(CÁLCULO.TotalAdmLocal))*CRONO!$F16,
                        0),
                 W15*$S14),
          SUMIF(OFFSET($S16,1,0,$R14-2),($M14+1)&amp;"$",OFFSET(W16,1,0,$R14-2)))</f>
        <v>146245.88</v>
      </c>
      <c r="X16" s="439" t="n">
        <f aca="false" t="array" ref="X16:X16">IF($R14=2,
         IF(AND(ACOMPANHAMENTO="PLE",ISNUMBER($F14)),
                SUMIF((OFFSET(CÁLCULO!$BS$15:$CS$15,$F14,0,OFFSET(ORÇAMENTO!$D$15,CRONO!$F14,0))),CRONO!X$12,OFFSET(CÁLCULO!$AR$15:$BR$15,$F14,0,OFFSET(ORÇAMENTO!$D$15,CRONO!$F14,0)))
                +IF(AND($F16&lt;&gt;"",$F16&lt;&gt;0),
                        SUMIF(CÁLCULO!$BS$15:$CS$205,CRONO!X$12,CÁLCULO!$AR$15:$BR$205)/(ORÇAMENTO!$X$15-_xlfn.single(CÁLCULO.TotalAdmLocal))*CRONO!$F16,
                        0),
                 X15*$S14),
          SUMIF(OFFSET($S16,1,0,$R14-2),($M14+1)&amp;"$",OFFSET(X16,1,0,$R14-2)))</f>
        <v>144767.48</v>
      </c>
      <c r="Y16" s="439" t="n">
        <f aca="false" t="array" ref="Y16:Y16">IF($R14=2,
         IF(AND(ACOMPANHAMENTO="PLE",ISNUMBER($F14)),
                SUMIF((OFFSET(CÁLCULO!$BS$15:$CS$15,$F14,0,OFFSET(ORÇAMENTO!$D$15,CRONO!$F14,0))),CRONO!Y$12,OFFSET(CÁLCULO!$AR$15:$BR$15,$F14,0,OFFSET(ORÇAMENTO!$D$15,CRONO!$F14,0)))
                +IF(AND($F16&lt;&gt;"",$F16&lt;&gt;0),
                        SUMIF(CÁLCULO!$BS$15:$CS$205,CRONO!Y$12,CÁLCULO!$AR$15:$BR$205)/(ORÇAMENTO!$X$15-_xlfn.single(CÁLCULO.TotalAdmLocal))*CRONO!$F16,
                        0),
                 Y15*$S14),
          SUMIF(OFFSET($S16,1,0,$R14-2),($M14+1)&amp;"$",OFFSET(Y16,1,0,$R14-2)))</f>
        <v>144767.48</v>
      </c>
      <c r="Z16" s="439" t="n">
        <f aca="false" t="array" ref="Z16:Z16">IF($R14=2,
         IF(AND(ACOMPANHAMENTO="PLE",ISNUMBER($F14)),
                SUMIF((OFFSET(CÁLCULO!$BS$15:$CS$15,$F14,0,OFFSET(ORÇAMENTO!$D$15,CRONO!$F14,0))),CRONO!Z$12,OFFSET(CÁLCULO!$AR$15:$BR$15,$F14,0,OFFSET(ORÇAMENTO!$D$15,CRONO!$F14,0)))
                +IF(AND($F16&lt;&gt;"",$F16&lt;&gt;0),
                        SUMIF(CÁLCULO!$BS$15:$CS$205,CRONO!Z$12,CÁLCULO!$AR$15:$BR$205)/(ORÇAMENTO!$X$15-_xlfn.single(CÁLCULO.TotalAdmLocal))*CRONO!$F16,
                        0),
                 Z15*$S14),
          SUMIF(OFFSET($S16,1,0,$R14-2),($M14+1)&amp;"$",OFFSET(Z16,1,0,$R14-2)))</f>
        <v>144767.48</v>
      </c>
      <c r="AA16" s="439" t="n">
        <f aca="false" t="array" ref="AA16:AA16">IF($R14=2,
         IF(AND(ACOMPANHAMENTO="PLE",ISNUMBER($F14)),
                SUMIF((OFFSET(CÁLCULO!$BS$15:$CS$15,$F14,0,OFFSET(ORÇAMENTO!$D$15,CRONO!$F14,0))),CRONO!AA$12,OFFSET(CÁLCULO!$AR$15:$BR$15,$F14,0,OFFSET(ORÇAMENTO!$D$15,CRONO!$F14,0)))
                +IF(AND($F16&lt;&gt;"",$F16&lt;&gt;0),
                        SUMIF(CÁLCULO!$BS$15:$CS$205,CRONO!AA$12,CÁLCULO!$AR$15:$BR$205)/(ORÇAMENTO!$X$15-_xlfn.single(CÁLCULO.TotalAdmLocal))*CRONO!$F16,
                        0),
                 AA15*$S14),
          SUMIF(OFFSET($S16,1,0,$R14-2),($M14+1)&amp;"$",OFFSET(AA16,1,0,$R14-2)))</f>
        <v>144767.48</v>
      </c>
      <c r="AB16" s="439" t="n">
        <f aca="false" t="array" ref="AB16:AB16">IF($R14=2,
         IF(AND(ACOMPANHAMENTO="PLE",ISNUMBER($F14)),
                SUMIF((OFFSET(CÁLCULO!$BS$15:$CS$15,$F14,0,OFFSET(ORÇAMENTO!$D$15,CRONO!$F14,0))),CRONO!AB$12,OFFSET(CÁLCULO!$AR$15:$BR$15,$F14,0,OFFSET(ORÇAMENTO!$D$15,CRONO!$F14,0)))
                +IF(AND($F16&lt;&gt;"",$F16&lt;&gt;0),
                        SUMIF(CÁLCULO!$BS$15:$CS$205,CRONO!AB$12,CÁLCULO!$AR$15:$BR$205)/(ORÇAMENTO!$X$15-_xlfn.single(CÁLCULO.TotalAdmLocal))*CRONO!$F16,
                        0),
                 AB15*$S14),
          SUMIF(OFFSET($S16,1,0,$R14-2),($M14+1)&amp;"$",OFFSET(AB16,1,0,$R14-2)))</f>
        <v>144767.48</v>
      </c>
      <c r="AC16" s="439" t="n">
        <f aca="false" t="array" ref="AC16:AC16">IF($R14=2,
         IF(AND(ACOMPANHAMENTO="PLE",ISNUMBER($F14)),
                SUMIF((OFFSET(CÁLCULO!$BS$15:$CS$15,$F14,0,OFFSET(ORÇAMENTO!$D$15,CRONO!$F14,0))),CRONO!AC$12,OFFSET(CÁLCULO!$AR$15:$BR$15,$F14,0,OFFSET(ORÇAMENTO!$D$15,CRONO!$F14,0)))
                +IF(AND($F16&lt;&gt;"",$F16&lt;&gt;0),
                        SUMIF(CÁLCULO!$BS$15:$CS$205,CRONO!AC$12,CÁLCULO!$AR$15:$BR$205)/(ORÇAMENTO!$X$15-_xlfn.single(CÁLCULO.TotalAdmLocal))*CRONO!$F16,
                        0),
                 AC15*$S14),
          SUMIF(OFFSET($S16,1,0,$R14-2),($M14+1)&amp;"$",OFFSET(AC16,1,0,$R14-2)))</f>
        <v>144767.48</v>
      </c>
      <c r="AD16" s="439" t="n">
        <f aca="false" t="array" ref="AD16:AD16">IF($R14=2,
         IF(AND(ACOMPANHAMENTO="PLE",ISNUMBER($F14)),
                SUMIF((OFFSET(CÁLCULO!$BS$15:$CS$15,$F14,0,OFFSET(ORÇAMENTO!$D$15,CRONO!$F14,0))),CRONO!AD$12,OFFSET(CÁLCULO!$AR$15:$BR$15,$F14,0,OFFSET(ORÇAMENTO!$D$15,CRONO!$F14,0)))
                +IF(AND($F16&lt;&gt;"",$F16&lt;&gt;0),
                        SUMIF(CÁLCULO!$BS$15:$CS$205,CRONO!AD$12,CÁLCULO!$AR$15:$BR$205)/(ORÇAMENTO!$X$15-_xlfn.single(CÁLCULO.TotalAdmLocal))*CRONO!$F16,
                        0),
                 AD15*$S14),
          SUMIF(OFFSET($S16,1,0,$R14-2),($M14+1)&amp;"$",OFFSET(AD16,1,0,$R14-2)))</f>
        <v>144767.48</v>
      </c>
      <c r="AE16" s="439" t="n">
        <f aca="false" t="array" ref="AE16:AE16">IF($R14=2,
         IF(AND(ACOMPANHAMENTO="PLE",ISNUMBER($F14)),
                SUMIF((OFFSET(CÁLCULO!$BS$15:$CS$15,$F14,0,OFFSET(ORÇAMENTO!$D$15,CRONO!$F14,0))),CRONO!AE$12,OFFSET(CÁLCULO!$AR$15:$BR$15,$F14,0,OFFSET(ORÇAMENTO!$D$15,CRONO!$F14,0)))
                +IF(AND($F16&lt;&gt;"",$F16&lt;&gt;0),
                        SUMIF(CÁLCULO!$BS$15:$CS$205,CRONO!AE$12,CÁLCULO!$AR$15:$BR$205)/(ORÇAMENTO!$X$15-_xlfn.single(CÁLCULO.TotalAdmLocal))*CRONO!$F16,
                        0),
                 AE15*$S14),
          SUMIF(OFFSET($S16,1,0,$R14-2),($M14+1)&amp;"$",OFFSET(AE16,1,0,$R14-2)))</f>
        <v>144767.48</v>
      </c>
      <c r="AF16" s="439" t="n">
        <f aca="false" t="array" ref="AF16:AF16">IF($R14=2,
         IF(AND(ACOMPANHAMENTO="PLE",ISNUMBER($F14)),
                SUMIF((OFFSET(CÁLCULO!$BS$15:$CS$15,$F14,0,OFFSET(ORÇAMENTO!$D$15,CRONO!$F14,0))),CRONO!AF$12,OFFSET(CÁLCULO!$AR$15:$BR$15,$F14,0,OFFSET(ORÇAMENTO!$D$15,CRONO!$F14,0)))
                +IF(AND($F16&lt;&gt;"",$F16&lt;&gt;0),
                        SUMIF(CÁLCULO!$BS$15:$CS$205,CRONO!AF$12,CÁLCULO!$AR$15:$BR$205)/(ORÇAMENTO!$X$15-_xlfn.single(CÁLCULO.TotalAdmLocal))*CRONO!$F16,
                        0),
                 AF15*$S14),
          SUMIF(OFFSET($S16,1,0,$R14-2),($M14+1)&amp;"$",OFFSET(AF16,1,0,$R14-2)))</f>
        <v>144767.48</v>
      </c>
      <c r="AG16" s="439" t="n">
        <f aca="false" t="array" ref="AG16:AG16">IF($R14=2,
         IF(AND(ACOMPANHAMENTO="PLE",ISNUMBER($F14)),
                SUMIF((OFFSET(CÁLCULO!$BS$15:$CS$15,$F14,0,OFFSET(ORÇAMENTO!$D$15,CRONO!$F14,0))),CRONO!AG$12,OFFSET(CÁLCULO!$AR$15:$BR$15,$F14,0,OFFSET(ORÇAMENTO!$D$15,CRONO!$F14,0)))
                +IF(AND($F16&lt;&gt;"",$F16&lt;&gt;0),
                        SUMIF(CÁLCULO!$BS$15:$CS$205,CRONO!AG$12,CÁLCULO!$AR$15:$BR$205)/(ORÇAMENTO!$X$15-_xlfn.single(CÁLCULO.TotalAdmLocal))*CRONO!$F16,
                        0),
                 AG15*$S14),
          SUMIF(OFFSET($S16,1,0,$R14-2),($M14+1)&amp;"$",OFFSET(AG16,1,0,$R14-2)))</f>
        <v>144767.48</v>
      </c>
      <c r="AH16" s="439" t="n">
        <f aca="false" t="array" ref="AH16:AH16">IF($R14=2,
         IF(AND(ACOMPANHAMENTO="PLE",ISNUMBER($F14)),
                SUMIF((OFFSET(CÁLCULO!$BS$15:$CS$15,$F14,0,OFFSET(ORÇAMENTO!$D$15,CRONO!$F14,0))),CRONO!AH$12,OFFSET(CÁLCULO!$AR$15:$BR$15,$F14,0,OFFSET(ORÇAMENTO!$D$15,CRONO!$F14,0)))
                +IF(AND($F16&lt;&gt;"",$F16&lt;&gt;0),
                        SUMIF(CÁLCULO!$BS$15:$CS$205,CRONO!AH$12,CÁLCULO!$AR$15:$BR$205)/(ORÇAMENTO!$X$15-_xlfn.single(CÁLCULO.TotalAdmLocal))*CRONO!$F16,
                        0),
                 AH15*$S14),
          SUMIF(OFFSET($S16,1,0,$R14-2),($M14+1)&amp;"$",OFFSET(AH16,1,0,$R14-2)))</f>
        <v>144767.48</v>
      </c>
      <c r="AI16" s="439" t="n">
        <f aca="false" t="array" ref="AI16:AI16">IF($R14=2,
         IF(AND(ACOMPANHAMENTO="PLE",ISNUMBER($F14)),
                SUMIF((OFFSET(CÁLCULO!$BS$15:$CS$15,$F14,0,OFFSET(ORÇAMENTO!$D$15,CRONO!$F14,0))),CRONO!AI$12,OFFSET(CÁLCULO!$AR$15:$BR$15,$F14,0,OFFSET(ORÇAMENTO!$D$15,CRONO!$F14,0)))
                +IF(AND($F16&lt;&gt;"",$F16&lt;&gt;0),
                        SUMIF(CÁLCULO!$BS$15:$CS$205,CRONO!AI$12,CÁLCULO!$AR$15:$BR$205)/(ORÇAMENTO!$X$15-_xlfn.single(CÁLCULO.TotalAdmLocal))*CRONO!$F16,
                        0),
                 AI15*$S14),
          SUMIF(OFFSET($S16,1,0,$R14-2),($M14+1)&amp;"$",OFFSET(AI16,1,0,$R14-2)))</f>
        <v>144767.48</v>
      </c>
      <c r="AJ16" s="439" t="n">
        <f aca="false" t="array" ref="AJ16:AJ16">IF($R14=2,
         IF(AND(ACOMPANHAMENTO="PLE",ISNUMBER($F14)),
                SUMIF((OFFSET(CÁLCULO!$BS$15:$CS$15,$F14,0,OFFSET(ORÇAMENTO!$D$15,CRONO!$F14,0))),CRONO!AJ$12,OFFSET(CÁLCULO!$AR$15:$BR$15,$F14,0,OFFSET(ORÇAMENTO!$D$15,CRONO!$F14,0)))
                +IF(AND($F16&lt;&gt;"",$F16&lt;&gt;0),
                        SUMIF(CÁLCULO!$BS$15:$CS$205,CRONO!AJ$12,CÁLCULO!$AR$15:$BR$205)/(ORÇAMENTO!$X$15-_xlfn.single(CÁLCULO.TotalAdmLocal))*CRONO!$F16,
                        0),
                 AJ15*$S14),
          SUMIF(OFFSET($S16,1,0,$R14-2),($M14+1)&amp;"$",OFFSET(AJ16,1,0,$R14-2)))</f>
        <v>144767.48</v>
      </c>
      <c r="AK16" s="439" t="n">
        <f aca="false" t="array" ref="AK16:AK16">IF($R14=2,
         IF(AND(ACOMPANHAMENTO="PLE",ISNUMBER($F14)),
                SUMIF((OFFSET(CÁLCULO!$BS$15:$CS$15,$F14,0,OFFSET(ORÇAMENTO!$D$15,CRONO!$F14,0))),CRONO!AK$12,OFFSET(CÁLCULO!$AR$15:$BR$15,$F14,0,OFFSET(ORÇAMENTO!$D$15,CRONO!$F14,0)))
                +IF(AND($F16&lt;&gt;"",$F16&lt;&gt;0),
                        SUMIF(CÁLCULO!$BS$15:$CS$205,CRONO!AK$12,CÁLCULO!$AR$15:$BR$205)/(ORÇAMENTO!$X$15-_xlfn.single(CÁLCULO.TotalAdmLocal))*CRONO!$F16,
                        0),
                 AK15*$S14),
          SUMIF(OFFSET($S16,1,0,$R14-2),($M14+1)&amp;"$",OFFSET(AK16,1,0,$R14-2)))</f>
        <v>144767.48</v>
      </c>
      <c r="AL16" s="439" t="n">
        <f aca="false" t="array" ref="AL16:AL16">IF($R14=2,
         IF(AND(ACOMPANHAMENTO="PLE",ISNUMBER($F14)),
                SUMIF((OFFSET(CÁLCULO!$BS$15:$CS$15,$F14,0,OFFSET(ORÇAMENTO!$D$15,CRONO!$F14,0))),CRONO!AL$12,OFFSET(CÁLCULO!$AR$15:$BR$15,$F14,0,OFFSET(ORÇAMENTO!$D$15,CRONO!$F14,0)))
                +IF(AND($F16&lt;&gt;"",$F16&lt;&gt;0),
                        SUMIF(CÁLCULO!$BS$15:$CS$205,CRONO!AL$12,CÁLCULO!$AR$15:$BR$205)/(ORÇAMENTO!$X$15-_xlfn.single(CÁLCULO.TotalAdmLocal))*CRONO!$F16,
                        0),
                 AL15*$S14),
          SUMIF(OFFSET($S16,1,0,$R14-2),($M14+1)&amp;"$",OFFSET(AL16,1,0,$R14-2)))</f>
        <v>144767.48</v>
      </c>
      <c r="AM16" s="439" t="n">
        <f aca="false" t="array" ref="AM16:AM16">IF($R14=2,
         IF(AND(ACOMPANHAMENTO="PLE",ISNUMBER($F14)),
                SUMIF((OFFSET(CÁLCULO!$BS$15:$CS$15,$F14,0,OFFSET(ORÇAMENTO!$D$15,CRONO!$F14,0))),CRONO!AM$12,OFFSET(CÁLCULO!$AR$15:$BR$15,$F14,0,OFFSET(ORÇAMENTO!$D$15,CRONO!$F14,0)))
                +IF(AND($F16&lt;&gt;"",$F16&lt;&gt;0),
                        SUMIF(CÁLCULO!$BS$15:$CS$205,CRONO!AM$12,CÁLCULO!$AR$15:$BR$205)/(ORÇAMENTO!$X$15-_xlfn.single(CÁLCULO.TotalAdmLocal))*CRONO!$F16,
                        0),
                 AM15*$S14),
          SUMIF(OFFSET($S16,1,0,$R14-2),($M14+1)&amp;"$",OFFSET(AM16,1,0,$R14-2)))</f>
        <v>144767.48</v>
      </c>
      <c r="AN16" s="439" t="n">
        <f aca="false" t="array" ref="AN16:AN16">IF($R14=2,
         IF(AND(ACOMPANHAMENTO="PLE",ISNUMBER($F14)),
                SUMIF((OFFSET(CÁLCULO!$BS$15:$CS$15,$F14,0,OFFSET(ORÇAMENTO!$D$15,CRONO!$F14,0))),CRONO!AN$12,OFFSET(CÁLCULO!$AR$15:$BR$15,$F14,0,OFFSET(ORÇAMENTO!$D$15,CRONO!$F14,0)))
                +IF(AND($F16&lt;&gt;"",$F16&lt;&gt;0),
                        SUMIF(CÁLCULO!$BS$15:$CS$205,CRONO!AN$12,CÁLCULO!$AR$15:$BR$205)/(ORÇAMENTO!$X$15-_xlfn.single(CÁLCULO.TotalAdmLocal))*CRONO!$F16,
                        0),
                 AN15*$S14),
          SUMIF(OFFSET($S16,1,0,$R14-2),($M14+1)&amp;"$",OFFSET(AN16,1,0,$R14-2)))</f>
        <v>144767.48</v>
      </c>
      <c r="AO16" s="439" t="n">
        <f aca="false" t="array" ref="AO16:AO16">IF($R14=2,
         IF(AND(ACOMPANHAMENTO="PLE",ISNUMBER($F14)),
                SUMIF((OFFSET(CÁLCULO!$BS$15:$CS$15,$F14,0,OFFSET(ORÇAMENTO!$D$15,CRONO!$F14,0))),CRONO!AO$12,OFFSET(CÁLCULO!$AR$15:$BR$15,$F14,0,OFFSET(ORÇAMENTO!$D$15,CRONO!$F14,0)))
                +IF(AND($F16&lt;&gt;"",$F16&lt;&gt;0),
                        SUMIF(CÁLCULO!$BS$15:$CS$205,CRONO!AO$12,CÁLCULO!$AR$15:$BR$205)/(ORÇAMENTO!$X$15-_xlfn.single(CÁLCULO.TotalAdmLocal))*CRONO!$F16,
                        0),
                 AO15*$S14),
          SUMIF(OFFSET($S16,1,0,$R14-2),($M14+1)&amp;"$",OFFSET(AO16,1,0,$R14-2)))</f>
        <v>144767.48</v>
      </c>
      <c r="AP16" s="439" t="n">
        <f aca="false" t="array" ref="AP16:AP16">IF($R14=2,
         IF(AND(ACOMPANHAMENTO="PLE",ISNUMBER($F14)),
                SUMIF((OFFSET(CÁLCULO!$BS$15:$CS$15,$F14,0,OFFSET(ORÇAMENTO!$D$15,CRONO!$F14,0))),CRONO!AP$12,OFFSET(CÁLCULO!$AR$15:$BR$15,$F14,0,OFFSET(ORÇAMENTO!$D$15,CRONO!$F14,0)))
                +IF(AND($F16&lt;&gt;"",$F16&lt;&gt;0),
                        SUMIF(CÁLCULO!$BS$15:$CS$205,CRONO!AP$12,CÁLCULO!$AR$15:$BR$205)/(ORÇAMENTO!$X$15-_xlfn.single(CÁLCULO.TotalAdmLocal))*CRONO!$F16,
                        0),
                 AP15*$S14),
          SUMIF(OFFSET($S16,1,0,$R14-2),($M14+1)&amp;"$",OFFSET(AP16,1,0,$R14-2)))</f>
        <v>144767.48</v>
      </c>
      <c r="AQ16" s="439" t="n">
        <f aca="false" t="array" ref="AQ16:AQ16">IF($R14=2,
         IF(AND(ACOMPANHAMENTO="PLE",ISNUMBER($F14)),
                SUMIF((OFFSET(CÁLCULO!$BS$15:$CS$15,$F14,0,OFFSET(ORÇAMENTO!$D$15,CRONO!$F14,0))),CRONO!AQ$12,OFFSET(CÁLCULO!$AR$15:$BR$15,$F14,0,OFFSET(ORÇAMENTO!$D$15,CRONO!$F14,0)))
                +IF(AND($F16&lt;&gt;"",$F16&lt;&gt;0),
                        SUMIF(CÁLCULO!$BS$15:$CS$205,CRONO!AQ$12,CÁLCULO!$AR$15:$BR$205)/(ORÇAMENTO!$X$15-_xlfn.single(CÁLCULO.TotalAdmLocal))*CRONO!$F16,
                        0),
                 AQ15*$S14),
          SUMIF(OFFSET($S16,1,0,$R14-2),($M14+1)&amp;"$",OFFSET(AQ16,1,0,$R14-2)))</f>
        <v>144767.48</v>
      </c>
      <c r="AR16" s="439" t="n">
        <f aca="false" t="array" ref="AR16:AR16">IF($R14=2,
         IF(AND(ACOMPANHAMENTO="PLE",ISNUMBER($F14)),
                SUMIF((OFFSET(CÁLCULO!$BS$15:$CS$15,$F14,0,OFFSET(ORÇAMENTO!$D$15,CRONO!$F14,0))),CRONO!AR$12,OFFSET(CÁLCULO!$AR$15:$BR$15,$F14,0,OFFSET(ORÇAMENTO!$D$15,CRONO!$F14,0)))
                +IF(AND($F16&lt;&gt;"",$F16&lt;&gt;0),
                        SUMIF(CÁLCULO!$BS$15:$CS$205,CRONO!AR$12,CÁLCULO!$AR$15:$BR$205)/(ORÇAMENTO!$X$15-_xlfn.single(CÁLCULO.TotalAdmLocal))*CRONO!$F16,
                        0),
                 AR15*$S14),
          SUMIF(OFFSET($S16,1,0,$R14-2),($M14+1)&amp;"$",OFFSET(AR16,1,0,$R14-2)))</f>
        <v>144767.48</v>
      </c>
      <c r="AS16" s="439" t="n">
        <f aca="false" t="array" ref="AS16:AS16">IF($R14=2,
         IF(AND(ACOMPANHAMENTO="PLE",ISNUMBER($F14)),
                SUMIF((OFFSET(CÁLCULO!$BS$15:$CS$15,$F14,0,OFFSET(ORÇAMENTO!$D$15,CRONO!$F14,0))),CRONO!AS$12,OFFSET(CÁLCULO!$AR$15:$BR$15,$F14,0,OFFSET(ORÇAMENTO!$D$15,CRONO!$F14,0)))
                +IF(AND($F16&lt;&gt;"",$F16&lt;&gt;0),
                        SUMIF(CÁLCULO!$BS$15:$CS$205,CRONO!AS$12,CÁLCULO!$AR$15:$BR$205)/(ORÇAMENTO!$X$15-_xlfn.single(CÁLCULO.TotalAdmLocal))*CRONO!$F16,
                        0),
                 AS15*$S14),
          SUMIF(OFFSET($S16,1,0,$R14-2),($M14+1)&amp;"$",OFFSET(AS16,1,0,$R14-2)))</f>
        <v>144767.48</v>
      </c>
      <c r="AT16" s="439" t="n">
        <f aca="false" t="array" ref="AT16:AT16">IF($R14=2,
         IF(AND(ACOMPANHAMENTO="PLE",ISNUMBER($F14)),
                SUMIF((OFFSET(CÁLCULO!$BS$15:$CS$15,$F14,0,OFFSET(ORÇAMENTO!$D$15,CRONO!$F14,0))),CRONO!AT$12,OFFSET(CÁLCULO!$AR$15:$BR$15,$F14,0,OFFSET(ORÇAMENTO!$D$15,CRONO!$F14,0)))
                +IF(AND($F16&lt;&gt;"",$F16&lt;&gt;0),
                        SUMIF(CÁLCULO!$BS$15:$CS$205,CRONO!AT$12,CÁLCULO!$AR$15:$BR$205)/(ORÇAMENTO!$X$15-_xlfn.single(CÁLCULO.TotalAdmLocal))*CRONO!$F16,
                        0),
                 AT15*$S14),
          SUMIF(OFFSET($S16,1,0,$R14-2),($M14+1)&amp;"$",OFFSET(AT16,1,0,$R14-2)))</f>
        <v>0</v>
      </c>
      <c r="AU16" s="439" t="n">
        <f aca="false" t="array" ref="AU16:AU16">IF($R14=2,
         IF(AND(ACOMPANHAMENTO="PLE",ISNUMBER($F14)),
                SUMIF((OFFSET(CÁLCULO!$BS$15:$CS$15,$F14,0,OFFSET(ORÇAMENTO!$D$15,CRONO!$F14,0))),CRONO!AU$12,OFFSET(CÁLCULO!$AR$15:$BR$15,$F14,0,OFFSET(ORÇAMENTO!$D$15,CRONO!$F14,0)))
                +IF(AND($F16&lt;&gt;"",$F16&lt;&gt;0),
                        SUMIF(CÁLCULO!$BS$15:$CS$205,CRONO!AU$12,CÁLCULO!$AR$15:$BR$205)/(ORÇAMENTO!$X$15-_xlfn.single(CÁLCULO.TotalAdmLocal))*CRONO!$F16,
                        0),
                 AU15*$S14),
          SUMIF(OFFSET($S16,1,0,$R14-2),($M14+1)&amp;"$",OFFSET(AU16,1,0,$R14-2)))</f>
        <v>0</v>
      </c>
      <c r="AV16" s="439" t="n">
        <f aca="false" t="array" ref="AV16:AV16">IF($R14=2,
         IF(AND(ACOMPANHAMENTO="PLE",ISNUMBER($F14)),
                SUMIF((OFFSET(CÁLCULO!$BS$15:$CS$15,$F14,0,OFFSET(ORÇAMENTO!$D$15,CRONO!$F14,0))),CRONO!AV$12,OFFSET(CÁLCULO!$AR$15:$BR$15,$F14,0,OFFSET(ORÇAMENTO!$D$15,CRONO!$F14,0)))
                +IF(AND($F16&lt;&gt;"",$F16&lt;&gt;0),
                        SUMIF(CÁLCULO!$BS$15:$CS$205,CRONO!AV$12,CÁLCULO!$AR$15:$BR$205)/(ORÇAMENTO!$X$15-_xlfn.single(CÁLCULO.TotalAdmLocal))*CRONO!$F16,
                        0),
                 AV15*$S14),
          SUMIF(OFFSET($S16,1,0,$R14-2),($M14+1)&amp;"$",OFFSET(AV16,1,0,$R14-2)))</f>
        <v>0</v>
      </c>
      <c r="AW16" s="439" t="n">
        <f aca="false" t="array" ref="AW16:AW16">IF($R14=2,
         IF(AND(ACOMPANHAMENTO="PLE",ISNUMBER($F14)),
                SUMIF((OFFSET(CÁLCULO!$BS$15:$CS$15,$F14,0,OFFSET(ORÇAMENTO!$D$15,CRONO!$F14,0))),CRONO!AW$12,OFFSET(CÁLCULO!$AR$15:$BR$15,$F14,0,OFFSET(ORÇAMENTO!$D$15,CRONO!$F14,0)))
                +IF(AND($F16&lt;&gt;"",$F16&lt;&gt;0),
                        SUMIF(CÁLCULO!$BS$15:$CS$205,CRONO!AW$12,CÁLCULO!$AR$15:$BR$205)/(ORÇAMENTO!$X$15-_xlfn.single(CÁLCULO.TotalAdmLocal))*CRONO!$F16,
                        0),
                 AW15*$S14),
          SUMIF(OFFSET($S16,1,0,$R14-2),($M14+1)&amp;"$",OFFSET(AW16,1,0,$R14-2)))</f>
        <v>0</v>
      </c>
      <c r="AX16" s="439" t="n">
        <f aca="false" t="array" ref="AX16:AX16">IF($R14=2,
         IF(AND(ACOMPANHAMENTO="PLE",ISNUMBER($F14)),
                SUMIF((OFFSET(CÁLCULO!$BS$15:$CS$15,$F14,0,OFFSET(ORÇAMENTO!$D$15,CRONO!$F14,0))),CRONO!AX$12,OFFSET(CÁLCULO!$AR$15:$BR$15,$F14,0,OFFSET(ORÇAMENTO!$D$15,CRONO!$F14,0)))
                +IF(AND($F16&lt;&gt;"",$F16&lt;&gt;0),
                        SUMIF(CÁLCULO!$BS$15:$CS$205,CRONO!AX$12,CÁLCULO!$AR$15:$BR$205)/(ORÇAMENTO!$X$15-_xlfn.single(CÁLCULO.TotalAdmLocal))*CRONO!$F16,
                        0),
                 AX15*$S14),
          SUMIF(OFFSET($S16,1,0,$R14-2),($M14+1)&amp;"$",OFFSET(AX16,1,0,$R14-2)))</f>
        <v>0</v>
      </c>
      <c r="AY16" s="439" t="n">
        <f aca="false" t="array" ref="AY16:AY16">IF($R14=2,
         IF(AND(ACOMPANHAMENTO="PLE",ISNUMBER($F14)),
                SUMIF((OFFSET(CÁLCULO!$BS$15:$CS$15,$F14,0,OFFSET(ORÇAMENTO!$D$15,CRONO!$F14,0))),CRONO!AY$12,OFFSET(CÁLCULO!$AR$15:$BR$15,$F14,0,OFFSET(ORÇAMENTO!$D$15,CRONO!$F14,0)))
                +IF(AND($F16&lt;&gt;"",$F16&lt;&gt;0),
                        SUMIF(CÁLCULO!$BS$15:$CS$205,CRONO!AY$12,CÁLCULO!$AR$15:$BR$205)/(ORÇAMENTO!$X$15-_xlfn.single(CÁLCULO.TotalAdmLocal))*CRONO!$F16,
                        0),
                 AY15*$S14),
          SUMIF(OFFSET($S16,1,0,$R14-2),($M14+1)&amp;"$",OFFSET(AY16,1,0,$R14-2)))</f>
        <v>0</v>
      </c>
      <c r="AZ16" s="439" t="n">
        <f aca="false" t="array" ref="AZ16:AZ16">IF($R14=2,
         IF(AND(ACOMPANHAMENTO="PLE",ISNUMBER($F14)),
                SUMIF((OFFSET(CÁLCULO!$BS$15:$CS$15,$F14,0,OFFSET(ORÇAMENTO!$D$15,CRONO!$F14,0))),CRONO!AZ$12,OFFSET(CÁLCULO!$AR$15:$BR$15,$F14,0,OFFSET(ORÇAMENTO!$D$15,CRONO!$F14,0)))
                +IF(AND($F16&lt;&gt;"",$F16&lt;&gt;0),
                        SUMIF(CÁLCULO!$BS$15:$CS$205,CRONO!AZ$12,CÁLCULO!$AR$15:$BR$205)/(ORÇAMENTO!$X$15-_xlfn.single(CÁLCULO.TotalAdmLocal))*CRONO!$F16,
                        0),
                 AZ15*$S14),
          SUMIF(OFFSET($S16,1,0,$R14-2),($M14+1)&amp;"$",OFFSET(AZ16,1,0,$R14-2)))</f>
        <v>0</v>
      </c>
      <c r="BA16" s="439" t="n">
        <f aca="false" t="array" ref="BA16:BA16">IF($R14=2,
         IF(AND(ACOMPANHAMENTO="PLE",ISNUMBER($F14)),
                SUMIF((OFFSET(CÁLCULO!$BS$15:$CS$15,$F14,0,OFFSET(ORÇAMENTO!$D$15,CRONO!$F14,0))),CRONO!BA$12,OFFSET(CÁLCULO!$AR$15:$BR$15,$F14,0,OFFSET(ORÇAMENTO!$D$15,CRONO!$F14,0)))
                +IF(AND($F16&lt;&gt;"",$F16&lt;&gt;0),
                        SUMIF(CÁLCULO!$BS$15:$CS$205,CRONO!BA$12,CÁLCULO!$AR$15:$BR$205)/(ORÇAMENTO!$X$15-_xlfn.single(CÁLCULO.TotalAdmLocal))*CRONO!$F16,
                        0),
                 BA15*$S14),
          SUMIF(OFFSET($S16,1,0,$R14-2),($M14+1)&amp;"$",OFFSET(BA16,1,0,$R14-2)))</f>
        <v>0</v>
      </c>
      <c r="BB16" s="439" t="n">
        <f aca="false" t="array" ref="BB16:BB16">IF($R14=2,
         IF(AND(ACOMPANHAMENTO="PLE",ISNUMBER($F14)),
                SUMIF((OFFSET(CÁLCULO!$BS$15:$CS$15,$F14,0,OFFSET(ORÇAMENTO!$D$15,CRONO!$F14,0))),CRONO!BB$12,OFFSET(CÁLCULO!$AR$15:$BR$15,$F14,0,OFFSET(ORÇAMENTO!$D$15,CRONO!$F14,0)))
                +IF(AND($F16&lt;&gt;"",$F16&lt;&gt;0),
                        SUMIF(CÁLCULO!$BS$15:$CS$205,CRONO!BB$12,CÁLCULO!$AR$15:$BR$205)/(ORÇAMENTO!$X$15-_xlfn.single(CÁLCULO.TotalAdmLocal))*CRONO!$F16,
                        0),
                 BB15*$S14),
          SUMIF(OFFSET($S16,1,0,$R14-2),($M14+1)&amp;"$",OFFSET(BB16,1,0,$R14-2)))</f>
        <v>0</v>
      </c>
      <c r="BC16" s="439" t="n">
        <f aca="false" t="array" ref="BC16:BC16">IF($R14=2,
         IF(AND(ACOMPANHAMENTO="PLE",ISNUMBER($F14)),
                SUMIF((OFFSET(CÁLCULO!$BS$15:$CS$15,$F14,0,OFFSET(ORÇAMENTO!$D$15,CRONO!$F14,0))),CRONO!BC$12,OFFSET(CÁLCULO!$AR$15:$BR$15,$F14,0,OFFSET(ORÇAMENTO!$D$15,CRONO!$F14,0)))
                +IF(AND($F16&lt;&gt;"",$F16&lt;&gt;0),
                        SUMIF(CÁLCULO!$BS$15:$CS$205,CRONO!BC$12,CÁLCULO!$AR$15:$BR$205)/(ORÇAMENTO!$X$15-_xlfn.single(CÁLCULO.TotalAdmLocal))*CRONO!$F16,
                        0),
                 BC15*$S14),
          SUMIF(OFFSET($S16,1,0,$R14-2),($M14+1)&amp;"$",OFFSET(BC16,1,0,$R14-2)))</f>
        <v>0</v>
      </c>
      <c r="BD16" s="439" t="n">
        <f aca="false" t="array" ref="BD16:BD16">IF($R14=2,
         IF(AND(ACOMPANHAMENTO="PLE",ISNUMBER($F14)),
                SUMIF((OFFSET(CÁLCULO!$BS$15:$CS$15,$F14,0,OFFSET(ORÇAMENTO!$D$15,CRONO!$F14,0))),CRONO!BD$12,OFFSET(CÁLCULO!$AR$15:$BR$15,$F14,0,OFFSET(ORÇAMENTO!$D$15,CRONO!$F14,0)))
                +IF(AND($F16&lt;&gt;"",$F16&lt;&gt;0),
                        SUMIF(CÁLCULO!$BS$15:$CS$205,CRONO!BD$12,CÁLCULO!$AR$15:$BR$205)/(ORÇAMENTO!$X$15-_xlfn.single(CÁLCULO.TotalAdmLocal))*CRONO!$F16,
                        0),
                 BD15*$S14),
          SUMIF(OFFSET($S16,1,0,$R14-2),($M14+1)&amp;"$",OFFSET(BD16,1,0,$R14-2)))</f>
        <v>0</v>
      </c>
      <c r="BE16" s="430"/>
    </row>
    <row r="17" customFormat="false" ht="12.75" hidden="false" customHeight="false" outlineLevel="0" collapsed="false">
      <c r="A17" s="382" t="str">
        <f aca="false">IF($M17&gt;1,_xlfn.CONCAT($I17," ",$J17),"")</f>
        <v>1.1. SERVIÇOS PRELIMINARES</v>
      </c>
      <c r="B17" s="419" t="n">
        <f aca="true">OFFSET(B17,-3,0)+1</f>
        <v>2</v>
      </c>
      <c r="C17" s="419" t="n">
        <f aca="true">IF($R17&lt;&gt;2,0,IF($S17=0,1,IF(F18&gt;0,OFFSET(QCI!$M$13,SUBSTITUTE(F18,".",""),0),OFFSET(ORÇAMENTO!$AA$15,CRONO!$F17,0))/$S17))</f>
        <v>0.110981526562671</v>
      </c>
      <c r="D17" s="419" t="n">
        <f aca="true">IF($R17&lt;&gt;2,0,IF($S17=0,1,IF(F18&gt;0,OFFSET(QCI!$N$13,SUBSTITUTE(F18,".",""),0),OFFSET(ORÇAMENTO!$AB$15,CRONO!$F17,0))/$S17))</f>
        <v>0</v>
      </c>
      <c r="E17" s="422" t="n">
        <f aca="false" t="array" ref="E17:E17">IF(AND($R17=2,ACOMPANHAMENTO="BM"),ROUND(E18,4),E19/$S17)</f>
        <v>0.563296638439685</v>
      </c>
      <c r="F17" s="419" t="n">
        <f aca="true">IF(B17&lt;=ORÇAMENTO.MáximoListaCrono,MATCH(B17,ORÇAMENTO.ListaCrono,0),NA())</f>
        <v>2</v>
      </c>
      <c r="G17" s="419" t="str">
        <f aca="false">IF(AND($F18&lt;&gt;-1,$S17&gt;0),"F","")</f>
        <v>F</v>
      </c>
      <c r="H17" s="423" t="str">
        <f aca="false" t="array" ref="H17:H17">IF(OR(S17=0,S17=""),"Linha",IF(AND(OR(ACOMPANHAMENTO="PLE",$R17&lt;&gt;2),$F18=0),"Linha",ROUND(1-SUM(U17:BE17),4)))</f>
        <v>Linha</v>
      </c>
      <c r="I17" s="424" t="str">
        <f aca="true">IF($F18=0,OFFSET(ORÇAMENTO!O$15,$F17,0),IF($F18&lt;&gt;-1,OFFSET(QCI!$D$13,$F18,0),""))</f>
        <v>1.1.</v>
      </c>
      <c r="J17" s="425" t="str">
        <f aca="true">IF($F18=0,OFFSET(ORÇAMENTO!R$15,$F17,0),IF($F18&lt;&gt;-1,OFFSET(QCI!$G$13,$F18,0),""))</f>
        <v>SERVIÇOS PRELIMINARES</v>
      </c>
      <c r="K17" s="425"/>
      <c r="L17" s="425"/>
      <c r="M17" s="426" t="n">
        <f aca="true">IF($F18=0,OFFSET(ORÇAMENTO!C$15,$F17,0),1)</f>
        <v>2</v>
      </c>
      <c r="N17" s="427" t="n">
        <f aca="true">IF($F18=-1,0,IF(N$13&lt;=$M17,IF(ISERROR(MATCH(N$13,OFFSET($M17,1,0,ROW($M$182)-ROW($M17)-1),0)),ROW($M$182)-ROW($M17)-1,MATCH(N$13,OFFSET($M17,1,0,ROW($M$182)-ROW($M17)-1),0)-1),0))</f>
        <v>164</v>
      </c>
      <c r="O17" s="427" t="n">
        <f aca="true">IF($F18=-1,0,IF(O$13&lt;=$M17,IF(ISERROR(MATCH(O$13,OFFSET($M17,1,0,ROW($M$182)-ROW($M17)-1),0)),ROW($M$182)-ROW($M17)-1,MATCH(O$13,OFFSET($M17,1,0,ROW($M$182)-ROW($M17)-1),0)-1),0))</f>
        <v>2</v>
      </c>
      <c r="P17" s="427" t="n">
        <f aca="true">IF($F18=-1,0,IF(P$13&lt;=$M17,IF(ISERROR(MATCH(P$13,OFFSET($M17,1,0,ROW($M$182)-ROW($M17)-1),0)),ROW($M$182)-ROW($M17)-1,MATCH(P$13,OFFSET($M17,1,0,ROW($M$182)-ROW($M17)-1),0)-1),0))</f>
        <v>0</v>
      </c>
      <c r="Q17" s="427" t="n">
        <f aca="true">IF($F18=-1,0,IF(Q$13&lt;=$M17,IF(ISERROR(MATCH(Q$13,OFFSET($M17,1,0,ROW($M$182)-ROW($M17)-1),0)),ROW($M$182)-ROW($M17)-1,MATCH(Q$13,OFFSET($M17,1,0,ROW($M$182)-ROW($M17)-1),0)-1),0))</f>
        <v>0</v>
      </c>
      <c r="R17" s="427" t="n">
        <f aca="true">MIN(OFFSET(M17,0,1,,M17))</f>
        <v>2</v>
      </c>
      <c r="S17" s="428" t="n">
        <f aca="true">IF($F18=0,OFFSET(ORÇAMENTO!X$15,$F17,0),IF($F18&lt;&gt;-1,OFFSET(QCI!$O$13,$F18,0),""))</f>
        <v>36530.06</v>
      </c>
      <c r="T17" s="429" t="s">
        <v>996</v>
      </c>
      <c r="U17" s="422" t="n">
        <f aca="false" t="array" ref="U17:U17">IF(AND($R17=2,ACOMPANHAMENTO="BM"),ROUND(U18,4),U19/$S17)</f>
        <v>0.563296638439685</v>
      </c>
      <c r="V17" s="422" t="n">
        <f aca="false" t="array" ref="V17:V17">IF(AND($R17=2,ACOMPANHAMENTO="BM"),ROUND(V18,4),V19/$S17)</f>
        <v>0.39623258215289</v>
      </c>
      <c r="W17" s="422" t="n">
        <f aca="false" t="array" ref="W17:W17">IF(AND($R17=2,ACOMPANHAMENTO="BM"),ROUND(W18,4),W19/$S17)</f>
        <v>0.040470779407425</v>
      </c>
      <c r="X17" s="422" t="n">
        <f aca="false" t="array" ref="X17:X17">IF(AND($R17=2,ACOMPANHAMENTO="BM"),ROUND(X18,4),X19/$S17)</f>
        <v>0</v>
      </c>
      <c r="Y17" s="422" t="n">
        <f aca="false" t="array" ref="Y17:Y17">IF(AND($R17=2,ACOMPANHAMENTO="BM"),ROUND(Y18,4),Y19/$S17)</f>
        <v>0</v>
      </c>
      <c r="Z17" s="422" t="n">
        <f aca="false" t="array" ref="Z17:Z17">IF(AND($R17=2,ACOMPANHAMENTO="BM"),ROUND(Z18,4),Z19/$S17)</f>
        <v>0</v>
      </c>
      <c r="AA17" s="422" t="n">
        <f aca="false" t="array" ref="AA17:AA17">IF(AND($R17=2,ACOMPANHAMENTO="BM"),ROUND(AA18,4),AA19/$S17)</f>
        <v>0</v>
      </c>
      <c r="AB17" s="422" t="n">
        <f aca="false" t="array" ref="AB17:AB17">IF(AND($R17=2,ACOMPANHAMENTO="BM"),ROUND(AB18,4),AB19/$S17)</f>
        <v>0</v>
      </c>
      <c r="AC17" s="422" t="n">
        <f aca="false" t="array" ref="AC17:AC17">IF(AND($R17=2,ACOMPANHAMENTO="BM"),ROUND(AC18,4),AC19/$S17)</f>
        <v>0</v>
      </c>
      <c r="AD17" s="422" t="n">
        <f aca="false" t="array" ref="AD17:AD17">IF(AND($R17=2,ACOMPANHAMENTO="BM"),ROUND(AD18,4),AD19/$S17)</f>
        <v>0</v>
      </c>
      <c r="AE17" s="422" t="n">
        <f aca="false" t="array" ref="AE17:AE17">IF(AND($R17=2,ACOMPANHAMENTO="BM"),ROUND(AE18,4),AE19/$S17)</f>
        <v>0</v>
      </c>
      <c r="AF17" s="422" t="n">
        <f aca="false" t="array" ref="AF17:AF17">IF(AND($R17=2,ACOMPANHAMENTO="BM"),ROUND(AF18,4),AF19/$S17)</f>
        <v>0</v>
      </c>
      <c r="AG17" s="422" t="n">
        <f aca="false" t="array" ref="AG17:AG17">IF(AND($R17=2,ACOMPANHAMENTO="BM"),ROUND(AG18,4),AG19/$S17)</f>
        <v>0</v>
      </c>
      <c r="AH17" s="422" t="n">
        <f aca="false" t="array" ref="AH17:AH17">IF(AND($R17=2,ACOMPANHAMENTO="BM"),ROUND(AH18,4),AH19/$S17)</f>
        <v>0</v>
      </c>
      <c r="AI17" s="422" t="n">
        <f aca="false" t="array" ref="AI17:AI17">IF(AND($R17=2,ACOMPANHAMENTO="BM"),ROUND(AI18,4),AI19/$S17)</f>
        <v>0</v>
      </c>
      <c r="AJ17" s="422" t="n">
        <f aca="false" t="array" ref="AJ17:AJ17">IF(AND($R17=2,ACOMPANHAMENTO="BM"),ROUND(AJ18,4),AJ19/$S17)</f>
        <v>0</v>
      </c>
      <c r="AK17" s="422" t="n">
        <f aca="false" t="array" ref="AK17:AK17">IF(AND($R17=2,ACOMPANHAMENTO="BM"),ROUND(AK18,4),AK19/$S17)</f>
        <v>0</v>
      </c>
      <c r="AL17" s="422" t="n">
        <f aca="false" t="array" ref="AL17:AL17">IF(AND($R17=2,ACOMPANHAMENTO="BM"),ROUND(AL18,4),AL19/$S17)</f>
        <v>0</v>
      </c>
      <c r="AM17" s="422" t="n">
        <f aca="false" t="array" ref="AM17:AM17">IF(AND($R17=2,ACOMPANHAMENTO="BM"),ROUND(AM18,4),AM19/$S17)</f>
        <v>0</v>
      </c>
      <c r="AN17" s="422" t="n">
        <f aca="false" t="array" ref="AN17:AN17">IF(AND($R17=2,ACOMPANHAMENTO="BM"),ROUND(AN18,4),AN19/$S17)</f>
        <v>0</v>
      </c>
      <c r="AO17" s="422" t="n">
        <f aca="false" t="array" ref="AO17:AO17">IF(AND($R17=2,ACOMPANHAMENTO="BM"),ROUND(AO18,4),AO19/$S17)</f>
        <v>0</v>
      </c>
      <c r="AP17" s="422" t="n">
        <f aca="false" t="array" ref="AP17:AP17">IF(AND($R17=2,ACOMPANHAMENTO="BM"),ROUND(AP18,4),AP19/$S17)</f>
        <v>0</v>
      </c>
      <c r="AQ17" s="422" t="n">
        <f aca="false" t="array" ref="AQ17:AQ17">IF(AND($R17=2,ACOMPANHAMENTO="BM"),ROUND(AQ18,4),AQ19/$S17)</f>
        <v>0</v>
      </c>
      <c r="AR17" s="422" t="n">
        <f aca="false" t="array" ref="AR17:AR17">IF(AND($R17=2,ACOMPANHAMENTO="BM"),ROUND(AR18,4),AR19/$S17)</f>
        <v>0</v>
      </c>
      <c r="AS17" s="422" t="n">
        <f aca="false" t="array" ref="AS17:AS17">IF(AND($R17=2,ACOMPANHAMENTO="BM"),ROUND(AS18,4),AS19/$S17)</f>
        <v>0</v>
      </c>
      <c r="AT17" s="422" t="n">
        <f aca="false" t="array" ref="AT17:AT17">IF(AND($R17=2,ACOMPANHAMENTO="BM"),ROUND(AT18,4),AT19/$S17)</f>
        <v>0</v>
      </c>
      <c r="AU17" s="422" t="n">
        <f aca="false" t="array" ref="AU17:AU17">IF(AND($R17=2,ACOMPANHAMENTO="BM"),ROUND(AU18,4),AU19/$S17)</f>
        <v>0</v>
      </c>
      <c r="AV17" s="422" t="n">
        <f aca="false" t="array" ref="AV17:AV17">IF(AND($R17=2,ACOMPANHAMENTO="BM"),ROUND(AV18,4),AV19/$S17)</f>
        <v>0</v>
      </c>
      <c r="AW17" s="422" t="n">
        <f aca="false" t="array" ref="AW17:AW17">IF(AND($R17=2,ACOMPANHAMENTO="BM"),ROUND(AW18,4),AW19/$S17)</f>
        <v>0</v>
      </c>
      <c r="AX17" s="422" t="n">
        <f aca="false" t="array" ref="AX17:AX17">IF(AND($R17=2,ACOMPANHAMENTO="BM"),ROUND(AX18,4),AX19/$S17)</f>
        <v>0</v>
      </c>
      <c r="AY17" s="422" t="n">
        <f aca="false" t="array" ref="AY17:AY17">IF(AND($R17=2,ACOMPANHAMENTO="BM"),ROUND(AY18,4),AY19/$S17)</f>
        <v>0</v>
      </c>
      <c r="AZ17" s="422" t="n">
        <f aca="false" t="array" ref="AZ17:AZ17">IF(AND($R17=2,ACOMPANHAMENTO="BM"),ROUND(AZ18,4),AZ19/$S17)</f>
        <v>0</v>
      </c>
      <c r="BA17" s="422" t="n">
        <f aca="false" t="array" ref="BA17:BA17">IF(AND($R17=2,ACOMPANHAMENTO="BM"),ROUND(BA18,4),BA19/$S17)</f>
        <v>0</v>
      </c>
      <c r="BB17" s="422" t="n">
        <f aca="false" t="array" ref="BB17:BB17">IF(AND($R17=2,ACOMPANHAMENTO="BM"),ROUND(BB18,4),BB19/$S17)</f>
        <v>0</v>
      </c>
      <c r="BC17" s="422" t="n">
        <f aca="false" t="array" ref="BC17:BC17">IF(AND($R17=2,ACOMPANHAMENTO="BM"),ROUND(BC18,4),BC19/$S17)</f>
        <v>0</v>
      </c>
      <c r="BD17" s="422" t="n">
        <f aca="false" t="array" ref="BD17:BD17">IF(AND($R17=2,ACOMPANHAMENTO="BM"),ROUND(BD18,4),BD19/$S17)</f>
        <v>0</v>
      </c>
      <c r="BE17" s="430"/>
    </row>
    <row r="18" customFormat="false" ht="12.75" hidden="true" customHeight="true" outlineLevel="0" collapsed="false">
      <c r="E18" s="431"/>
      <c r="F18" s="419" t="n">
        <f aca="true">IF(ISERROR(F17),IF(1+COUNTIF($M$13:OFFSET(M17,-1,0),1)&lt;=MAX(QCI!$D$13:$D$15),1+COUNTIF($M$13:OFFSET(M17,-1,0),1),-1),0)</f>
        <v>0</v>
      </c>
      <c r="G18" s="419" t="str">
        <f aca="true" t="array" ref="G18:G18">IF(ACOMPANHAMENTO="BM",OFFSET(G18,-1,0),"")</f>
        <v/>
      </c>
      <c r="H18" s="432" t="str">
        <f aca="false" t="array" ref="H18:H18">IF(OR(S17=0,S17=""),"vazia",IF(AND(OR(ACOMPANHAMENTO="PLE",$R17&lt;&gt;2),$F18=0),"calculada","--&gt;"))</f>
        <v>calculada</v>
      </c>
      <c r="I18" s="433"/>
      <c r="J18" s="434" t="str">
        <f aca="false">IF(AND(H17&lt;&gt;0,ISNUMBER(H17)),"PREENCHA ESTA LINHA --&gt;","")</f>
        <v/>
      </c>
      <c r="K18" s="434"/>
      <c r="L18" s="434"/>
      <c r="M18" s="435"/>
      <c r="N18" s="435"/>
      <c r="O18" s="435"/>
      <c r="P18" s="435"/>
      <c r="Q18" s="435"/>
      <c r="R18" s="435"/>
      <c r="S18" s="436"/>
      <c r="T18" s="437"/>
      <c r="U18" s="431"/>
      <c r="V18" s="431"/>
      <c r="W18" s="431"/>
      <c r="X18" s="431"/>
      <c r="Y18" s="431"/>
      <c r="Z18" s="431"/>
      <c r="AA18" s="431"/>
      <c r="AB18" s="431"/>
      <c r="AC18" s="431"/>
      <c r="AD18" s="431"/>
      <c r="AE18" s="431"/>
      <c r="AF18" s="431"/>
      <c r="AG18" s="431"/>
      <c r="AH18" s="431"/>
      <c r="AI18" s="431"/>
      <c r="AJ18" s="431"/>
      <c r="AK18" s="431"/>
      <c r="AL18" s="431"/>
      <c r="AM18" s="431"/>
      <c r="AN18" s="431"/>
      <c r="AO18" s="431"/>
      <c r="AP18" s="431"/>
      <c r="AQ18" s="431"/>
      <c r="AR18" s="431"/>
      <c r="AS18" s="431"/>
      <c r="AT18" s="431"/>
      <c r="AU18" s="431"/>
      <c r="AV18" s="431"/>
      <c r="AW18" s="431"/>
      <c r="AX18" s="431"/>
      <c r="AY18" s="431"/>
      <c r="AZ18" s="431"/>
      <c r="BA18" s="431"/>
      <c r="BB18" s="431"/>
      <c r="BC18" s="431"/>
      <c r="BD18" s="431"/>
      <c r="BE18" s="430"/>
    </row>
    <row r="19" customFormat="false" ht="12.75" hidden="true" customHeight="true" outlineLevel="0" collapsed="false">
      <c r="D19" s="438"/>
      <c r="E19" s="439" t="n">
        <f aca="false" t="array" ref="E19:E19">IF($R17=2,
         IF(AND(ACOMPANHAMENTO="PLE",ISNUMBER($F17)),
                SUMIF((OFFSET(CÁLCULO!$BS$15:$CS$15,$F17,0,OFFSET(ORÇAMENTO!$D$15,CRONO!$F17,0))),CRONO!E$12,OFFSET(CÁLCULO!$AR$15:$BR$15,$F17,0,OFFSET(ORÇAMENTO!$D$15,CRONO!$F17,0)))
                +IF(AND($F19&lt;&gt;"",$F19&lt;&gt;0),
                        SUMIF(CÁLCULO!$BS$15:$CS$205,CRONO!E$12,CÁLCULO!$AR$15:$BR$205)/(ORÇAMENTO!$X$15-_xlfn.single(CÁLCULO.TotalAdmLocal))*CRONO!$F19,
                        0),
                 E18*$S17),
          SUMIF(OFFSET($S19,1,0,$R17-2),($M17+1)&amp;"$",OFFSET(E19,1,0,$R17-2)))</f>
        <v>20577.26</v>
      </c>
      <c r="F19" s="419" t="str">
        <f aca="true">IF(OR($R17&lt;&gt;2,AUTOEVENTO&lt;&gt;"manual",$F18&gt;0),"",
        IF(Import.TipoArredondamento="Tradicional",
              SUMIF(OFFSET(CÁLCULO!$M$15,CRONO!$F17,0,OFFSET(ORÇAMENTO!$D$15,CRONO!$F17,0)),1,OFFSET(ORÇAMENTO!$X$15,CRONO!$F17,0,OFFSET(ORÇAMENTO!$D$15,CRONO!$F17,0))),
              0))</f>
        <v/>
      </c>
      <c r="H19" s="440"/>
      <c r="S19" s="441" t="str">
        <f aca="false">M17&amp;"$"</f>
        <v>2$</v>
      </c>
      <c r="T19" s="442"/>
      <c r="U19" s="439" t="n">
        <f aca="false" t="array" ref="U19:U19">IF($R17=2,
         IF(AND(ACOMPANHAMENTO="PLE",ISNUMBER($F17)),
                SUMIF((OFFSET(CÁLCULO!$BS$15:$CS$15,$F17,0,OFFSET(ORÇAMENTO!$D$15,CRONO!$F17,0))),CRONO!U$12,OFFSET(CÁLCULO!$AR$15:$BR$15,$F17,0,OFFSET(ORÇAMENTO!$D$15,CRONO!$F17,0)))
                +IF(AND($F19&lt;&gt;"",$F19&lt;&gt;0),
                        SUMIF(CÁLCULO!$BS$15:$CS$205,CRONO!U$12,CÁLCULO!$AR$15:$BR$205)/(ORÇAMENTO!$X$15-_xlfn.single(CÁLCULO.TotalAdmLocal))*CRONO!$F19,
                        0),
                 U18*$S17),
          SUMIF(OFFSET($S19,1,0,$R17-2),($M17+1)&amp;"$",OFFSET(U19,1,0,$R17-2)))</f>
        <v>20577.26</v>
      </c>
      <c r="V19" s="439" t="n">
        <f aca="false" t="array" ref="V19:V19">IF($R17=2,
         IF(AND(ACOMPANHAMENTO="PLE",ISNUMBER($F17)),
                SUMIF((OFFSET(CÁLCULO!$BS$15:$CS$15,$F17,0,OFFSET(ORÇAMENTO!$D$15,CRONO!$F17,0))),CRONO!V$12,OFFSET(CÁLCULO!$AR$15:$BR$15,$F17,0,OFFSET(ORÇAMENTO!$D$15,CRONO!$F17,0)))
                +IF(AND($F19&lt;&gt;"",$F19&lt;&gt;0),
                        SUMIF(CÁLCULO!$BS$15:$CS$205,CRONO!V$12,CÁLCULO!$AR$15:$BR$205)/(ORÇAMENTO!$X$15-_xlfn.single(CÁLCULO.TotalAdmLocal))*CRONO!$F19,
                        0),
                 V18*$S17),
          SUMIF(OFFSET($S19,1,0,$R17-2),($M17+1)&amp;"$",OFFSET(V19,1,0,$R17-2)))</f>
        <v>14474.4</v>
      </c>
      <c r="W19" s="439" t="n">
        <f aca="false" t="array" ref="W19:W19">IF($R17=2,
         IF(AND(ACOMPANHAMENTO="PLE",ISNUMBER($F17)),
                SUMIF((OFFSET(CÁLCULO!$BS$15:$CS$15,$F17,0,OFFSET(ORÇAMENTO!$D$15,CRONO!$F17,0))),CRONO!W$12,OFFSET(CÁLCULO!$AR$15:$BR$15,$F17,0,OFFSET(ORÇAMENTO!$D$15,CRONO!$F17,0)))
                +IF(AND($F19&lt;&gt;"",$F19&lt;&gt;0),
                        SUMIF(CÁLCULO!$BS$15:$CS$205,CRONO!W$12,CÁLCULO!$AR$15:$BR$205)/(ORÇAMENTO!$X$15-_xlfn.single(CÁLCULO.TotalAdmLocal))*CRONO!$F19,
                        0),
                 W18*$S17),
          SUMIF(OFFSET($S19,1,0,$R17-2),($M17+1)&amp;"$",OFFSET(W19,1,0,$R17-2)))</f>
        <v>1478.4</v>
      </c>
      <c r="X19" s="439" t="n">
        <f aca="false" t="array" ref="X19:X19">IF($R17=2,
         IF(AND(ACOMPANHAMENTO="PLE",ISNUMBER($F17)),
                SUMIF((OFFSET(CÁLCULO!$BS$15:$CS$15,$F17,0,OFFSET(ORÇAMENTO!$D$15,CRONO!$F17,0))),CRONO!X$12,OFFSET(CÁLCULO!$AR$15:$BR$15,$F17,0,OFFSET(ORÇAMENTO!$D$15,CRONO!$F17,0)))
                +IF(AND($F19&lt;&gt;"",$F19&lt;&gt;0),
                        SUMIF(CÁLCULO!$BS$15:$CS$205,CRONO!X$12,CÁLCULO!$AR$15:$BR$205)/(ORÇAMENTO!$X$15-_xlfn.single(CÁLCULO.TotalAdmLocal))*CRONO!$F19,
                        0),
                 X18*$S17),
          SUMIF(OFFSET($S19,1,0,$R17-2),($M17+1)&amp;"$",OFFSET(X19,1,0,$R17-2)))</f>
        <v>0</v>
      </c>
      <c r="Y19" s="439" t="n">
        <f aca="false" t="array" ref="Y19:Y19">IF($R17=2,
         IF(AND(ACOMPANHAMENTO="PLE",ISNUMBER($F17)),
                SUMIF((OFFSET(CÁLCULO!$BS$15:$CS$15,$F17,0,OFFSET(ORÇAMENTO!$D$15,CRONO!$F17,0))),CRONO!Y$12,OFFSET(CÁLCULO!$AR$15:$BR$15,$F17,0,OFFSET(ORÇAMENTO!$D$15,CRONO!$F17,0)))
                +IF(AND($F19&lt;&gt;"",$F19&lt;&gt;0),
                        SUMIF(CÁLCULO!$BS$15:$CS$205,CRONO!Y$12,CÁLCULO!$AR$15:$BR$205)/(ORÇAMENTO!$X$15-_xlfn.single(CÁLCULO.TotalAdmLocal))*CRONO!$F19,
                        0),
                 Y18*$S17),
          SUMIF(OFFSET($S19,1,0,$R17-2),($M17+1)&amp;"$",OFFSET(Y19,1,0,$R17-2)))</f>
        <v>0</v>
      </c>
      <c r="Z19" s="439" t="n">
        <f aca="false" t="array" ref="Z19:Z19">IF($R17=2,
         IF(AND(ACOMPANHAMENTO="PLE",ISNUMBER($F17)),
                SUMIF((OFFSET(CÁLCULO!$BS$15:$CS$15,$F17,0,OFFSET(ORÇAMENTO!$D$15,CRONO!$F17,0))),CRONO!Z$12,OFFSET(CÁLCULO!$AR$15:$BR$15,$F17,0,OFFSET(ORÇAMENTO!$D$15,CRONO!$F17,0)))
                +IF(AND($F19&lt;&gt;"",$F19&lt;&gt;0),
                        SUMIF(CÁLCULO!$BS$15:$CS$205,CRONO!Z$12,CÁLCULO!$AR$15:$BR$205)/(ORÇAMENTO!$X$15-_xlfn.single(CÁLCULO.TotalAdmLocal))*CRONO!$F19,
                        0),
                 Z18*$S17),
          SUMIF(OFFSET($S19,1,0,$R17-2),($M17+1)&amp;"$",OFFSET(Z19,1,0,$R17-2)))</f>
        <v>0</v>
      </c>
      <c r="AA19" s="439" t="n">
        <f aca="false" t="array" ref="AA19:AA19">IF($R17=2,
         IF(AND(ACOMPANHAMENTO="PLE",ISNUMBER($F17)),
                SUMIF((OFFSET(CÁLCULO!$BS$15:$CS$15,$F17,0,OFFSET(ORÇAMENTO!$D$15,CRONO!$F17,0))),CRONO!AA$12,OFFSET(CÁLCULO!$AR$15:$BR$15,$F17,0,OFFSET(ORÇAMENTO!$D$15,CRONO!$F17,0)))
                +IF(AND($F19&lt;&gt;"",$F19&lt;&gt;0),
                        SUMIF(CÁLCULO!$BS$15:$CS$205,CRONO!AA$12,CÁLCULO!$AR$15:$BR$205)/(ORÇAMENTO!$X$15-_xlfn.single(CÁLCULO.TotalAdmLocal))*CRONO!$F19,
                        0),
                 AA18*$S17),
          SUMIF(OFFSET($S19,1,0,$R17-2),($M17+1)&amp;"$",OFFSET(AA19,1,0,$R17-2)))</f>
        <v>0</v>
      </c>
      <c r="AB19" s="439" t="n">
        <f aca="false" t="array" ref="AB19:AB19">IF($R17=2,
         IF(AND(ACOMPANHAMENTO="PLE",ISNUMBER($F17)),
                SUMIF((OFFSET(CÁLCULO!$BS$15:$CS$15,$F17,0,OFFSET(ORÇAMENTO!$D$15,CRONO!$F17,0))),CRONO!AB$12,OFFSET(CÁLCULO!$AR$15:$BR$15,$F17,0,OFFSET(ORÇAMENTO!$D$15,CRONO!$F17,0)))
                +IF(AND($F19&lt;&gt;"",$F19&lt;&gt;0),
                        SUMIF(CÁLCULO!$BS$15:$CS$205,CRONO!AB$12,CÁLCULO!$AR$15:$BR$205)/(ORÇAMENTO!$X$15-_xlfn.single(CÁLCULO.TotalAdmLocal))*CRONO!$F19,
                        0),
                 AB18*$S17),
          SUMIF(OFFSET($S19,1,0,$R17-2),($M17+1)&amp;"$",OFFSET(AB19,1,0,$R17-2)))</f>
        <v>0</v>
      </c>
      <c r="AC19" s="439" t="n">
        <f aca="false" t="array" ref="AC19:AC19">IF($R17=2,
         IF(AND(ACOMPANHAMENTO="PLE",ISNUMBER($F17)),
                SUMIF((OFFSET(CÁLCULO!$BS$15:$CS$15,$F17,0,OFFSET(ORÇAMENTO!$D$15,CRONO!$F17,0))),CRONO!AC$12,OFFSET(CÁLCULO!$AR$15:$BR$15,$F17,0,OFFSET(ORÇAMENTO!$D$15,CRONO!$F17,0)))
                +IF(AND($F19&lt;&gt;"",$F19&lt;&gt;0),
                        SUMIF(CÁLCULO!$BS$15:$CS$205,CRONO!AC$12,CÁLCULO!$AR$15:$BR$205)/(ORÇAMENTO!$X$15-_xlfn.single(CÁLCULO.TotalAdmLocal))*CRONO!$F19,
                        0),
                 AC18*$S17),
          SUMIF(OFFSET($S19,1,0,$R17-2),($M17+1)&amp;"$",OFFSET(AC19,1,0,$R17-2)))</f>
        <v>0</v>
      </c>
      <c r="AD19" s="439" t="n">
        <f aca="false" t="array" ref="AD19:AD19">IF($R17=2,
         IF(AND(ACOMPANHAMENTO="PLE",ISNUMBER($F17)),
                SUMIF((OFFSET(CÁLCULO!$BS$15:$CS$15,$F17,0,OFFSET(ORÇAMENTO!$D$15,CRONO!$F17,0))),CRONO!AD$12,OFFSET(CÁLCULO!$AR$15:$BR$15,$F17,0,OFFSET(ORÇAMENTO!$D$15,CRONO!$F17,0)))
                +IF(AND($F19&lt;&gt;"",$F19&lt;&gt;0),
                        SUMIF(CÁLCULO!$BS$15:$CS$205,CRONO!AD$12,CÁLCULO!$AR$15:$BR$205)/(ORÇAMENTO!$X$15-_xlfn.single(CÁLCULO.TotalAdmLocal))*CRONO!$F19,
                        0),
                 AD18*$S17),
          SUMIF(OFFSET($S19,1,0,$R17-2),($M17+1)&amp;"$",OFFSET(AD19,1,0,$R17-2)))</f>
        <v>0</v>
      </c>
      <c r="AE19" s="439" t="n">
        <f aca="false" t="array" ref="AE19:AE19">IF($R17=2,
         IF(AND(ACOMPANHAMENTO="PLE",ISNUMBER($F17)),
                SUMIF((OFFSET(CÁLCULO!$BS$15:$CS$15,$F17,0,OFFSET(ORÇAMENTO!$D$15,CRONO!$F17,0))),CRONO!AE$12,OFFSET(CÁLCULO!$AR$15:$BR$15,$F17,0,OFFSET(ORÇAMENTO!$D$15,CRONO!$F17,0)))
                +IF(AND($F19&lt;&gt;"",$F19&lt;&gt;0),
                        SUMIF(CÁLCULO!$BS$15:$CS$205,CRONO!AE$12,CÁLCULO!$AR$15:$BR$205)/(ORÇAMENTO!$X$15-_xlfn.single(CÁLCULO.TotalAdmLocal))*CRONO!$F19,
                        0),
                 AE18*$S17),
          SUMIF(OFFSET($S19,1,0,$R17-2),($M17+1)&amp;"$",OFFSET(AE19,1,0,$R17-2)))</f>
        <v>0</v>
      </c>
      <c r="AF19" s="439" t="n">
        <f aca="false" t="array" ref="AF19:AF19">IF($R17=2,
         IF(AND(ACOMPANHAMENTO="PLE",ISNUMBER($F17)),
                SUMIF((OFFSET(CÁLCULO!$BS$15:$CS$15,$F17,0,OFFSET(ORÇAMENTO!$D$15,CRONO!$F17,0))),CRONO!AF$12,OFFSET(CÁLCULO!$AR$15:$BR$15,$F17,0,OFFSET(ORÇAMENTO!$D$15,CRONO!$F17,0)))
                +IF(AND($F19&lt;&gt;"",$F19&lt;&gt;0),
                        SUMIF(CÁLCULO!$BS$15:$CS$205,CRONO!AF$12,CÁLCULO!$AR$15:$BR$205)/(ORÇAMENTO!$X$15-_xlfn.single(CÁLCULO.TotalAdmLocal))*CRONO!$F19,
                        0),
                 AF18*$S17),
          SUMIF(OFFSET($S19,1,0,$R17-2),($M17+1)&amp;"$",OFFSET(AF19,1,0,$R17-2)))</f>
        <v>0</v>
      </c>
      <c r="AG19" s="439" t="n">
        <f aca="false" t="array" ref="AG19:AG19">IF($R17=2,
         IF(AND(ACOMPANHAMENTO="PLE",ISNUMBER($F17)),
                SUMIF((OFFSET(CÁLCULO!$BS$15:$CS$15,$F17,0,OFFSET(ORÇAMENTO!$D$15,CRONO!$F17,0))),CRONO!AG$12,OFFSET(CÁLCULO!$AR$15:$BR$15,$F17,0,OFFSET(ORÇAMENTO!$D$15,CRONO!$F17,0)))
                +IF(AND($F19&lt;&gt;"",$F19&lt;&gt;0),
                        SUMIF(CÁLCULO!$BS$15:$CS$205,CRONO!AG$12,CÁLCULO!$AR$15:$BR$205)/(ORÇAMENTO!$X$15-_xlfn.single(CÁLCULO.TotalAdmLocal))*CRONO!$F19,
                        0),
                 AG18*$S17),
          SUMIF(OFFSET($S19,1,0,$R17-2),($M17+1)&amp;"$",OFFSET(AG19,1,0,$R17-2)))</f>
        <v>0</v>
      </c>
      <c r="AH19" s="439" t="n">
        <f aca="false" t="array" ref="AH19:AH19">IF($R17=2,
         IF(AND(ACOMPANHAMENTO="PLE",ISNUMBER($F17)),
                SUMIF((OFFSET(CÁLCULO!$BS$15:$CS$15,$F17,0,OFFSET(ORÇAMENTO!$D$15,CRONO!$F17,0))),CRONO!AH$12,OFFSET(CÁLCULO!$AR$15:$BR$15,$F17,0,OFFSET(ORÇAMENTO!$D$15,CRONO!$F17,0)))
                +IF(AND($F19&lt;&gt;"",$F19&lt;&gt;0),
                        SUMIF(CÁLCULO!$BS$15:$CS$205,CRONO!AH$12,CÁLCULO!$AR$15:$BR$205)/(ORÇAMENTO!$X$15-_xlfn.single(CÁLCULO.TotalAdmLocal))*CRONO!$F19,
                        0),
                 AH18*$S17),
          SUMIF(OFFSET($S19,1,0,$R17-2),($M17+1)&amp;"$",OFFSET(AH19,1,0,$R17-2)))</f>
        <v>0</v>
      </c>
      <c r="AI19" s="439" t="n">
        <f aca="false" t="array" ref="AI19:AI19">IF($R17=2,
         IF(AND(ACOMPANHAMENTO="PLE",ISNUMBER($F17)),
                SUMIF((OFFSET(CÁLCULO!$BS$15:$CS$15,$F17,0,OFFSET(ORÇAMENTO!$D$15,CRONO!$F17,0))),CRONO!AI$12,OFFSET(CÁLCULO!$AR$15:$BR$15,$F17,0,OFFSET(ORÇAMENTO!$D$15,CRONO!$F17,0)))
                +IF(AND($F19&lt;&gt;"",$F19&lt;&gt;0),
                        SUMIF(CÁLCULO!$BS$15:$CS$205,CRONO!AI$12,CÁLCULO!$AR$15:$BR$205)/(ORÇAMENTO!$X$15-_xlfn.single(CÁLCULO.TotalAdmLocal))*CRONO!$F19,
                        0),
                 AI18*$S17),
          SUMIF(OFFSET($S19,1,0,$R17-2),($M17+1)&amp;"$",OFFSET(AI19,1,0,$R17-2)))</f>
        <v>0</v>
      </c>
      <c r="AJ19" s="439" t="n">
        <f aca="false" t="array" ref="AJ19:AJ19">IF($R17=2,
         IF(AND(ACOMPANHAMENTO="PLE",ISNUMBER($F17)),
                SUMIF((OFFSET(CÁLCULO!$BS$15:$CS$15,$F17,0,OFFSET(ORÇAMENTO!$D$15,CRONO!$F17,0))),CRONO!AJ$12,OFFSET(CÁLCULO!$AR$15:$BR$15,$F17,0,OFFSET(ORÇAMENTO!$D$15,CRONO!$F17,0)))
                +IF(AND($F19&lt;&gt;"",$F19&lt;&gt;0),
                        SUMIF(CÁLCULO!$BS$15:$CS$205,CRONO!AJ$12,CÁLCULO!$AR$15:$BR$205)/(ORÇAMENTO!$X$15-_xlfn.single(CÁLCULO.TotalAdmLocal))*CRONO!$F19,
                        0),
                 AJ18*$S17),
          SUMIF(OFFSET($S19,1,0,$R17-2),($M17+1)&amp;"$",OFFSET(AJ19,1,0,$R17-2)))</f>
        <v>0</v>
      </c>
      <c r="AK19" s="439" t="n">
        <f aca="false" t="array" ref="AK19:AK19">IF($R17=2,
         IF(AND(ACOMPANHAMENTO="PLE",ISNUMBER($F17)),
                SUMIF((OFFSET(CÁLCULO!$BS$15:$CS$15,$F17,0,OFFSET(ORÇAMENTO!$D$15,CRONO!$F17,0))),CRONO!AK$12,OFFSET(CÁLCULO!$AR$15:$BR$15,$F17,0,OFFSET(ORÇAMENTO!$D$15,CRONO!$F17,0)))
                +IF(AND($F19&lt;&gt;"",$F19&lt;&gt;0),
                        SUMIF(CÁLCULO!$BS$15:$CS$205,CRONO!AK$12,CÁLCULO!$AR$15:$BR$205)/(ORÇAMENTO!$X$15-_xlfn.single(CÁLCULO.TotalAdmLocal))*CRONO!$F19,
                        0),
                 AK18*$S17),
          SUMIF(OFFSET($S19,1,0,$R17-2),($M17+1)&amp;"$",OFFSET(AK19,1,0,$R17-2)))</f>
        <v>0</v>
      </c>
      <c r="AL19" s="439" t="n">
        <f aca="false" t="array" ref="AL19:AL19">IF($R17=2,
         IF(AND(ACOMPANHAMENTO="PLE",ISNUMBER($F17)),
                SUMIF((OFFSET(CÁLCULO!$BS$15:$CS$15,$F17,0,OFFSET(ORÇAMENTO!$D$15,CRONO!$F17,0))),CRONO!AL$12,OFFSET(CÁLCULO!$AR$15:$BR$15,$F17,0,OFFSET(ORÇAMENTO!$D$15,CRONO!$F17,0)))
                +IF(AND($F19&lt;&gt;"",$F19&lt;&gt;0),
                        SUMIF(CÁLCULO!$BS$15:$CS$205,CRONO!AL$12,CÁLCULO!$AR$15:$BR$205)/(ORÇAMENTO!$X$15-_xlfn.single(CÁLCULO.TotalAdmLocal))*CRONO!$F19,
                        0),
                 AL18*$S17),
          SUMIF(OFFSET($S19,1,0,$R17-2),($M17+1)&amp;"$",OFFSET(AL19,1,0,$R17-2)))</f>
        <v>0</v>
      </c>
      <c r="AM19" s="439" t="n">
        <f aca="false" t="array" ref="AM19:AM19">IF($R17=2,
         IF(AND(ACOMPANHAMENTO="PLE",ISNUMBER($F17)),
                SUMIF((OFFSET(CÁLCULO!$BS$15:$CS$15,$F17,0,OFFSET(ORÇAMENTO!$D$15,CRONO!$F17,0))),CRONO!AM$12,OFFSET(CÁLCULO!$AR$15:$BR$15,$F17,0,OFFSET(ORÇAMENTO!$D$15,CRONO!$F17,0)))
                +IF(AND($F19&lt;&gt;"",$F19&lt;&gt;0),
                        SUMIF(CÁLCULO!$BS$15:$CS$205,CRONO!AM$12,CÁLCULO!$AR$15:$BR$205)/(ORÇAMENTO!$X$15-_xlfn.single(CÁLCULO.TotalAdmLocal))*CRONO!$F19,
                        0),
                 AM18*$S17),
          SUMIF(OFFSET($S19,1,0,$R17-2),($M17+1)&amp;"$",OFFSET(AM19,1,0,$R17-2)))</f>
        <v>0</v>
      </c>
      <c r="AN19" s="439" t="n">
        <f aca="false" t="array" ref="AN19:AN19">IF($R17=2,
         IF(AND(ACOMPANHAMENTO="PLE",ISNUMBER($F17)),
                SUMIF((OFFSET(CÁLCULO!$BS$15:$CS$15,$F17,0,OFFSET(ORÇAMENTO!$D$15,CRONO!$F17,0))),CRONO!AN$12,OFFSET(CÁLCULO!$AR$15:$BR$15,$F17,0,OFFSET(ORÇAMENTO!$D$15,CRONO!$F17,0)))
                +IF(AND($F19&lt;&gt;"",$F19&lt;&gt;0),
                        SUMIF(CÁLCULO!$BS$15:$CS$205,CRONO!AN$12,CÁLCULO!$AR$15:$BR$205)/(ORÇAMENTO!$X$15-_xlfn.single(CÁLCULO.TotalAdmLocal))*CRONO!$F19,
                        0),
                 AN18*$S17),
          SUMIF(OFFSET($S19,1,0,$R17-2),($M17+1)&amp;"$",OFFSET(AN19,1,0,$R17-2)))</f>
        <v>0</v>
      </c>
      <c r="AO19" s="439" t="n">
        <f aca="false" t="array" ref="AO19:AO19">IF($R17=2,
         IF(AND(ACOMPANHAMENTO="PLE",ISNUMBER($F17)),
                SUMIF((OFFSET(CÁLCULO!$BS$15:$CS$15,$F17,0,OFFSET(ORÇAMENTO!$D$15,CRONO!$F17,0))),CRONO!AO$12,OFFSET(CÁLCULO!$AR$15:$BR$15,$F17,0,OFFSET(ORÇAMENTO!$D$15,CRONO!$F17,0)))
                +IF(AND($F19&lt;&gt;"",$F19&lt;&gt;0),
                        SUMIF(CÁLCULO!$BS$15:$CS$205,CRONO!AO$12,CÁLCULO!$AR$15:$BR$205)/(ORÇAMENTO!$X$15-_xlfn.single(CÁLCULO.TotalAdmLocal))*CRONO!$F19,
                        0),
                 AO18*$S17),
          SUMIF(OFFSET($S19,1,0,$R17-2),($M17+1)&amp;"$",OFFSET(AO19,1,0,$R17-2)))</f>
        <v>0</v>
      </c>
      <c r="AP19" s="439" t="n">
        <f aca="false" t="array" ref="AP19:AP19">IF($R17=2,
         IF(AND(ACOMPANHAMENTO="PLE",ISNUMBER($F17)),
                SUMIF((OFFSET(CÁLCULO!$BS$15:$CS$15,$F17,0,OFFSET(ORÇAMENTO!$D$15,CRONO!$F17,0))),CRONO!AP$12,OFFSET(CÁLCULO!$AR$15:$BR$15,$F17,0,OFFSET(ORÇAMENTO!$D$15,CRONO!$F17,0)))
                +IF(AND($F19&lt;&gt;"",$F19&lt;&gt;0),
                        SUMIF(CÁLCULO!$BS$15:$CS$205,CRONO!AP$12,CÁLCULO!$AR$15:$BR$205)/(ORÇAMENTO!$X$15-_xlfn.single(CÁLCULO.TotalAdmLocal))*CRONO!$F19,
                        0),
                 AP18*$S17),
          SUMIF(OFFSET($S19,1,0,$R17-2),($M17+1)&amp;"$",OFFSET(AP19,1,0,$R17-2)))</f>
        <v>0</v>
      </c>
      <c r="AQ19" s="439" t="n">
        <f aca="false" t="array" ref="AQ19:AQ19">IF($R17=2,
         IF(AND(ACOMPANHAMENTO="PLE",ISNUMBER($F17)),
                SUMIF((OFFSET(CÁLCULO!$BS$15:$CS$15,$F17,0,OFFSET(ORÇAMENTO!$D$15,CRONO!$F17,0))),CRONO!AQ$12,OFFSET(CÁLCULO!$AR$15:$BR$15,$F17,0,OFFSET(ORÇAMENTO!$D$15,CRONO!$F17,0)))
                +IF(AND($F19&lt;&gt;"",$F19&lt;&gt;0),
                        SUMIF(CÁLCULO!$BS$15:$CS$205,CRONO!AQ$12,CÁLCULO!$AR$15:$BR$205)/(ORÇAMENTO!$X$15-_xlfn.single(CÁLCULO.TotalAdmLocal))*CRONO!$F19,
                        0),
                 AQ18*$S17),
          SUMIF(OFFSET($S19,1,0,$R17-2),($M17+1)&amp;"$",OFFSET(AQ19,1,0,$R17-2)))</f>
        <v>0</v>
      </c>
      <c r="AR19" s="439" t="n">
        <f aca="false" t="array" ref="AR19:AR19">IF($R17=2,
         IF(AND(ACOMPANHAMENTO="PLE",ISNUMBER($F17)),
                SUMIF((OFFSET(CÁLCULO!$BS$15:$CS$15,$F17,0,OFFSET(ORÇAMENTO!$D$15,CRONO!$F17,0))),CRONO!AR$12,OFFSET(CÁLCULO!$AR$15:$BR$15,$F17,0,OFFSET(ORÇAMENTO!$D$15,CRONO!$F17,0)))
                +IF(AND($F19&lt;&gt;"",$F19&lt;&gt;0),
                        SUMIF(CÁLCULO!$BS$15:$CS$205,CRONO!AR$12,CÁLCULO!$AR$15:$BR$205)/(ORÇAMENTO!$X$15-_xlfn.single(CÁLCULO.TotalAdmLocal))*CRONO!$F19,
                        0),
                 AR18*$S17),
          SUMIF(OFFSET($S19,1,0,$R17-2),($M17+1)&amp;"$",OFFSET(AR19,1,0,$R17-2)))</f>
        <v>0</v>
      </c>
      <c r="AS19" s="439" t="n">
        <f aca="false" t="array" ref="AS19:AS19">IF($R17=2,
         IF(AND(ACOMPANHAMENTO="PLE",ISNUMBER($F17)),
                SUMIF((OFFSET(CÁLCULO!$BS$15:$CS$15,$F17,0,OFFSET(ORÇAMENTO!$D$15,CRONO!$F17,0))),CRONO!AS$12,OFFSET(CÁLCULO!$AR$15:$BR$15,$F17,0,OFFSET(ORÇAMENTO!$D$15,CRONO!$F17,0)))
                +IF(AND($F19&lt;&gt;"",$F19&lt;&gt;0),
                        SUMIF(CÁLCULO!$BS$15:$CS$205,CRONO!AS$12,CÁLCULO!$AR$15:$BR$205)/(ORÇAMENTO!$X$15-_xlfn.single(CÁLCULO.TotalAdmLocal))*CRONO!$F19,
                        0),
                 AS18*$S17),
          SUMIF(OFFSET($S19,1,0,$R17-2),($M17+1)&amp;"$",OFFSET(AS19,1,0,$R17-2)))</f>
        <v>0</v>
      </c>
      <c r="AT19" s="439" t="n">
        <f aca="false" t="array" ref="AT19:AT19">IF($R17=2,
         IF(AND(ACOMPANHAMENTO="PLE",ISNUMBER($F17)),
                SUMIF((OFFSET(CÁLCULO!$BS$15:$CS$15,$F17,0,OFFSET(ORÇAMENTO!$D$15,CRONO!$F17,0))),CRONO!AT$12,OFFSET(CÁLCULO!$AR$15:$BR$15,$F17,0,OFFSET(ORÇAMENTO!$D$15,CRONO!$F17,0)))
                +IF(AND($F19&lt;&gt;"",$F19&lt;&gt;0),
                        SUMIF(CÁLCULO!$BS$15:$CS$205,CRONO!AT$12,CÁLCULO!$AR$15:$BR$205)/(ORÇAMENTO!$X$15-_xlfn.single(CÁLCULO.TotalAdmLocal))*CRONO!$F19,
                        0),
                 AT18*$S17),
          SUMIF(OFFSET($S19,1,0,$R17-2),($M17+1)&amp;"$",OFFSET(AT19,1,0,$R17-2)))</f>
        <v>0</v>
      </c>
      <c r="AU19" s="439" t="n">
        <f aca="false" t="array" ref="AU19:AU19">IF($R17=2,
         IF(AND(ACOMPANHAMENTO="PLE",ISNUMBER($F17)),
                SUMIF((OFFSET(CÁLCULO!$BS$15:$CS$15,$F17,0,OFFSET(ORÇAMENTO!$D$15,CRONO!$F17,0))),CRONO!AU$12,OFFSET(CÁLCULO!$AR$15:$BR$15,$F17,0,OFFSET(ORÇAMENTO!$D$15,CRONO!$F17,0)))
                +IF(AND($F19&lt;&gt;"",$F19&lt;&gt;0),
                        SUMIF(CÁLCULO!$BS$15:$CS$205,CRONO!AU$12,CÁLCULO!$AR$15:$BR$205)/(ORÇAMENTO!$X$15-_xlfn.single(CÁLCULO.TotalAdmLocal))*CRONO!$F19,
                        0),
                 AU18*$S17),
          SUMIF(OFFSET($S19,1,0,$R17-2),($M17+1)&amp;"$",OFFSET(AU19,1,0,$R17-2)))</f>
        <v>0</v>
      </c>
      <c r="AV19" s="439" t="n">
        <f aca="false" t="array" ref="AV19:AV19">IF($R17=2,
         IF(AND(ACOMPANHAMENTO="PLE",ISNUMBER($F17)),
                SUMIF((OFFSET(CÁLCULO!$BS$15:$CS$15,$F17,0,OFFSET(ORÇAMENTO!$D$15,CRONO!$F17,0))),CRONO!AV$12,OFFSET(CÁLCULO!$AR$15:$BR$15,$F17,0,OFFSET(ORÇAMENTO!$D$15,CRONO!$F17,0)))
                +IF(AND($F19&lt;&gt;"",$F19&lt;&gt;0),
                        SUMIF(CÁLCULO!$BS$15:$CS$205,CRONO!AV$12,CÁLCULO!$AR$15:$BR$205)/(ORÇAMENTO!$X$15-_xlfn.single(CÁLCULO.TotalAdmLocal))*CRONO!$F19,
                        0),
                 AV18*$S17),
          SUMIF(OFFSET($S19,1,0,$R17-2),($M17+1)&amp;"$",OFFSET(AV19,1,0,$R17-2)))</f>
        <v>0</v>
      </c>
      <c r="AW19" s="439" t="n">
        <f aca="false" t="array" ref="AW19:AW19">IF($R17=2,
         IF(AND(ACOMPANHAMENTO="PLE",ISNUMBER($F17)),
                SUMIF((OFFSET(CÁLCULO!$BS$15:$CS$15,$F17,0,OFFSET(ORÇAMENTO!$D$15,CRONO!$F17,0))),CRONO!AW$12,OFFSET(CÁLCULO!$AR$15:$BR$15,$F17,0,OFFSET(ORÇAMENTO!$D$15,CRONO!$F17,0)))
                +IF(AND($F19&lt;&gt;"",$F19&lt;&gt;0),
                        SUMIF(CÁLCULO!$BS$15:$CS$205,CRONO!AW$12,CÁLCULO!$AR$15:$BR$205)/(ORÇAMENTO!$X$15-_xlfn.single(CÁLCULO.TotalAdmLocal))*CRONO!$F19,
                        0),
                 AW18*$S17),
          SUMIF(OFFSET($S19,1,0,$R17-2),($M17+1)&amp;"$",OFFSET(AW19,1,0,$R17-2)))</f>
        <v>0</v>
      </c>
      <c r="AX19" s="439" t="n">
        <f aca="false" t="array" ref="AX19:AX19">IF($R17=2,
         IF(AND(ACOMPANHAMENTO="PLE",ISNUMBER($F17)),
                SUMIF((OFFSET(CÁLCULO!$BS$15:$CS$15,$F17,0,OFFSET(ORÇAMENTO!$D$15,CRONO!$F17,0))),CRONO!AX$12,OFFSET(CÁLCULO!$AR$15:$BR$15,$F17,0,OFFSET(ORÇAMENTO!$D$15,CRONO!$F17,0)))
                +IF(AND($F19&lt;&gt;"",$F19&lt;&gt;0),
                        SUMIF(CÁLCULO!$BS$15:$CS$205,CRONO!AX$12,CÁLCULO!$AR$15:$BR$205)/(ORÇAMENTO!$X$15-_xlfn.single(CÁLCULO.TotalAdmLocal))*CRONO!$F19,
                        0),
                 AX18*$S17),
          SUMIF(OFFSET($S19,1,0,$R17-2),($M17+1)&amp;"$",OFFSET(AX19,1,0,$R17-2)))</f>
        <v>0</v>
      </c>
      <c r="AY19" s="439" t="n">
        <f aca="false" t="array" ref="AY19:AY19">IF($R17=2,
         IF(AND(ACOMPANHAMENTO="PLE",ISNUMBER($F17)),
                SUMIF((OFFSET(CÁLCULO!$BS$15:$CS$15,$F17,0,OFFSET(ORÇAMENTO!$D$15,CRONO!$F17,0))),CRONO!AY$12,OFFSET(CÁLCULO!$AR$15:$BR$15,$F17,0,OFFSET(ORÇAMENTO!$D$15,CRONO!$F17,0)))
                +IF(AND($F19&lt;&gt;"",$F19&lt;&gt;0),
                        SUMIF(CÁLCULO!$BS$15:$CS$205,CRONO!AY$12,CÁLCULO!$AR$15:$BR$205)/(ORÇAMENTO!$X$15-_xlfn.single(CÁLCULO.TotalAdmLocal))*CRONO!$F19,
                        0),
                 AY18*$S17),
          SUMIF(OFFSET($S19,1,0,$R17-2),($M17+1)&amp;"$",OFFSET(AY19,1,0,$R17-2)))</f>
        <v>0</v>
      </c>
      <c r="AZ19" s="439" t="n">
        <f aca="false" t="array" ref="AZ19:AZ19">IF($R17=2,
         IF(AND(ACOMPANHAMENTO="PLE",ISNUMBER($F17)),
                SUMIF((OFFSET(CÁLCULO!$BS$15:$CS$15,$F17,0,OFFSET(ORÇAMENTO!$D$15,CRONO!$F17,0))),CRONO!AZ$12,OFFSET(CÁLCULO!$AR$15:$BR$15,$F17,0,OFFSET(ORÇAMENTO!$D$15,CRONO!$F17,0)))
                +IF(AND($F19&lt;&gt;"",$F19&lt;&gt;0),
                        SUMIF(CÁLCULO!$BS$15:$CS$205,CRONO!AZ$12,CÁLCULO!$AR$15:$BR$205)/(ORÇAMENTO!$X$15-_xlfn.single(CÁLCULO.TotalAdmLocal))*CRONO!$F19,
                        0),
                 AZ18*$S17),
          SUMIF(OFFSET($S19,1,0,$R17-2),($M17+1)&amp;"$",OFFSET(AZ19,1,0,$R17-2)))</f>
        <v>0</v>
      </c>
      <c r="BA19" s="439" t="n">
        <f aca="false" t="array" ref="BA19:BA19">IF($R17=2,
         IF(AND(ACOMPANHAMENTO="PLE",ISNUMBER($F17)),
                SUMIF((OFFSET(CÁLCULO!$BS$15:$CS$15,$F17,0,OFFSET(ORÇAMENTO!$D$15,CRONO!$F17,0))),CRONO!BA$12,OFFSET(CÁLCULO!$AR$15:$BR$15,$F17,0,OFFSET(ORÇAMENTO!$D$15,CRONO!$F17,0)))
                +IF(AND($F19&lt;&gt;"",$F19&lt;&gt;0),
                        SUMIF(CÁLCULO!$BS$15:$CS$205,CRONO!BA$12,CÁLCULO!$AR$15:$BR$205)/(ORÇAMENTO!$X$15-_xlfn.single(CÁLCULO.TotalAdmLocal))*CRONO!$F19,
                        0),
                 BA18*$S17),
          SUMIF(OFFSET($S19,1,0,$R17-2),($M17+1)&amp;"$",OFFSET(BA19,1,0,$R17-2)))</f>
        <v>0</v>
      </c>
      <c r="BB19" s="439" t="n">
        <f aca="false" t="array" ref="BB19:BB19">IF($R17=2,
         IF(AND(ACOMPANHAMENTO="PLE",ISNUMBER($F17)),
                SUMIF((OFFSET(CÁLCULO!$BS$15:$CS$15,$F17,0,OFFSET(ORÇAMENTO!$D$15,CRONO!$F17,0))),CRONO!BB$12,OFFSET(CÁLCULO!$AR$15:$BR$15,$F17,0,OFFSET(ORÇAMENTO!$D$15,CRONO!$F17,0)))
                +IF(AND($F19&lt;&gt;"",$F19&lt;&gt;0),
                        SUMIF(CÁLCULO!$BS$15:$CS$205,CRONO!BB$12,CÁLCULO!$AR$15:$BR$205)/(ORÇAMENTO!$X$15-_xlfn.single(CÁLCULO.TotalAdmLocal))*CRONO!$F19,
                        0),
                 BB18*$S17),
          SUMIF(OFFSET($S19,1,0,$R17-2),($M17+1)&amp;"$",OFFSET(BB19,1,0,$R17-2)))</f>
        <v>0</v>
      </c>
      <c r="BC19" s="439" t="n">
        <f aca="false" t="array" ref="BC19:BC19">IF($R17=2,
         IF(AND(ACOMPANHAMENTO="PLE",ISNUMBER($F17)),
                SUMIF((OFFSET(CÁLCULO!$BS$15:$CS$15,$F17,0,OFFSET(ORÇAMENTO!$D$15,CRONO!$F17,0))),CRONO!BC$12,OFFSET(CÁLCULO!$AR$15:$BR$15,$F17,0,OFFSET(ORÇAMENTO!$D$15,CRONO!$F17,0)))
                +IF(AND($F19&lt;&gt;"",$F19&lt;&gt;0),
                        SUMIF(CÁLCULO!$BS$15:$CS$205,CRONO!BC$12,CÁLCULO!$AR$15:$BR$205)/(ORÇAMENTO!$X$15-_xlfn.single(CÁLCULO.TotalAdmLocal))*CRONO!$F19,
                        0),
                 BC18*$S17),
          SUMIF(OFFSET($S19,1,0,$R17-2),($M17+1)&amp;"$",OFFSET(BC19,1,0,$R17-2)))</f>
        <v>0</v>
      </c>
      <c r="BD19" s="439" t="n">
        <f aca="false" t="array" ref="BD19:BD19">IF($R17=2,
         IF(AND(ACOMPANHAMENTO="PLE",ISNUMBER($F17)),
                SUMIF((OFFSET(CÁLCULO!$BS$15:$CS$15,$F17,0,OFFSET(ORÇAMENTO!$D$15,CRONO!$F17,0))),CRONO!BD$12,OFFSET(CÁLCULO!$AR$15:$BR$15,$F17,0,OFFSET(ORÇAMENTO!$D$15,CRONO!$F17,0)))
                +IF(AND($F19&lt;&gt;"",$F19&lt;&gt;0),
                        SUMIF(CÁLCULO!$BS$15:$CS$205,CRONO!BD$12,CÁLCULO!$AR$15:$BR$205)/(ORÇAMENTO!$X$15-_xlfn.single(CÁLCULO.TotalAdmLocal))*CRONO!$F19,
                        0),
                 BD18*$S17),
          SUMIF(OFFSET($S19,1,0,$R17-2),($M17+1)&amp;"$",OFFSET(BD19,1,0,$R17-2)))</f>
        <v>0</v>
      </c>
      <c r="BE19" s="430"/>
    </row>
    <row r="20" customFormat="false" ht="12.75" hidden="false" customHeight="false" outlineLevel="0" collapsed="false">
      <c r="A20" s="382" t="str">
        <f aca="false">IF($M20&gt;1,_xlfn.CONCAT($I20," ",$J20),"")</f>
        <v>1.2. ADMINISRAÇÃO LOCAL</v>
      </c>
      <c r="B20" s="419" t="n">
        <f aca="true">OFFSET(B20,-3,0)+1</f>
        <v>3</v>
      </c>
      <c r="C20" s="419" t="n">
        <f aca="true">IF($R20&lt;&gt;2,0,IF($S20=0,1,IF(F21&gt;0,OFFSET(QCI!$M$13,SUBSTITUTE(F21,".",""),0),OFFSET(ORÇAMENTO!$AA$15,CRONO!$F20,0))/$S20))</f>
        <v>0.110981526562671</v>
      </c>
      <c r="D20" s="419" t="n">
        <f aca="true">IF($R20&lt;&gt;2,0,IF($S20=0,1,IF(F21&gt;0,OFFSET(QCI!$N$13,SUBSTITUTE(F21,".",""),0),OFFSET(ORÇAMENTO!$AB$15,CRONO!$F20,0))/$S20))</f>
        <v>0</v>
      </c>
      <c r="E20" s="422" t="n">
        <f aca="false" t="array" ref="E20:E20">IF(AND($R20=2,ACOMPANHAMENTO="BM"),ROUND(E21,4),E22/$S20)</f>
        <v>0.04</v>
      </c>
      <c r="F20" s="419" t="n">
        <f aca="true">IF(B20&lt;=ORÇAMENTO.MáximoListaCrono,MATCH(B20,ORÇAMENTO.ListaCrono,0),NA())</f>
        <v>8</v>
      </c>
      <c r="G20" s="419" t="str">
        <f aca="false">IF(AND($F21&lt;&gt;-1,$S20&gt;0),"F","")</f>
        <v>F</v>
      </c>
      <c r="H20" s="423" t="str">
        <f aca="false" t="array" ref="H20:H20">IF(OR(S20=0,S20=""),"Linha",IF(AND(OR(ACOMPANHAMENTO="PLE",$R20&lt;&gt;2),$F21=0),"Linha",ROUND(1-SUM(U20:BE20),4)))</f>
        <v>Linha</v>
      </c>
      <c r="I20" s="424" t="str">
        <f aca="true">IF($F21=0,OFFSET(ORÇAMENTO!O$15,$F20,0),IF($F21&lt;&gt;-1,OFFSET(QCI!$D$13,$F21,0),""))</f>
        <v>1.2.</v>
      </c>
      <c r="J20" s="425" t="str">
        <f aca="true">IF($F21=0,OFFSET(ORÇAMENTO!R$15,$F20,0),IF($F21&lt;&gt;-1,OFFSET(QCI!$G$13,$F21,0),""))</f>
        <v>ADMINISRAÇÃO LOCAL</v>
      </c>
      <c r="K20" s="425"/>
      <c r="L20" s="425"/>
      <c r="M20" s="426" t="n">
        <f aca="true">IF($F21=0,OFFSET(ORÇAMENTO!C$15,$F20,0),1)</f>
        <v>2</v>
      </c>
      <c r="N20" s="427" t="n">
        <f aca="true">IF($F21=-1,0,IF(N$13&lt;=$M20,IF(ISERROR(MATCH(N$13,OFFSET($M20,1,0,ROW($M$182)-ROW($M20)-1),0)),ROW($M$182)-ROW($M20)-1,MATCH(N$13,OFFSET($M20,1,0,ROW($M$182)-ROW($M20)-1),0)-1),0))</f>
        <v>161</v>
      </c>
      <c r="O20" s="427" t="n">
        <f aca="true">IF($F21=-1,0,IF(O$13&lt;=$M20,IF(ISERROR(MATCH(O$13,OFFSET($M20,1,0,ROW($M$182)-ROW($M20)-1),0)),ROW($M$182)-ROW($M20)-1,MATCH(O$13,OFFSET($M20,1,0,ROW($M$182)-ROW($M20)-1),0)-1),0))</f>
        <v>2</v>
      </c>
      <c r="P20" s="427" t="n">
        <f aca="true">IF($F21=-1,0,IF(P$13&lt;=$M20,IF(ISERROR(MATCH(P$13,OFFSET($M20,1,0,ROW($M$182)-ROW($M20)-1),0)),ROW($M$182)-ROW($M20)-1,MATCH(P$13,OFFSET($M20,1,0,ROW($M$182)-ROW($M20)-1),0)-1),0))</f>
        <v>0</v>
      </c>
      <c r="Q20" s="427" t="n">
        <f aca="true">IF($F21=-1,0,IF(Q$13&lt;=$M20,IF(ISERROR(MATCH(Q$13,OFFSET($M20,1,0,ROW($M$182)-ROW($M20)-1),0)),ROW($M$182)-ROW($M20)-1,MATCH(Q$13,OFFSET($M20,1,0,ROW($M$182)-ROW($M20)-1),0)-1),0))</f>
        <v>0</v>
      </c>
      <c r="R20" s="427" t="n">
        <f aca="true">MIN(OFFSET(M20,0,1,,M20))</f>
        <v>2</v>
      </c>
      <c r="S20" s="428" t="n">
        <f aca="true">IF($F21=0,OFFSET(ORÇAMENTO!X$15,$F20,0),IF($F21&lt;&gt;-1,OFFSET(QCI!$O$13,$F21,0),""))</f>
        <v>31489</v>
      </c>
      <c r="T20" s="429" t="s">
        <v>996</v>
      </c>
      <c r="U20" s="422" t="n">
        <f aca="false" t="array" ref="U20:U20">IF(AND($R20=2,ACOMPANHAMENTO="BM"),ROUND(U21,4),U22/$S20)</f>
        <v>0.04</v>
      </c>
      <c r="V20" s="422" t="n">
        <f aca="false" t="array" ref="V20:V20">IF(AND($R20=2,ACOMPANHAMENTO="BM"),ROUND(V21,4),V22/$S20)</f>
        <v>0.04</v>
      </c>
      <c r="W20" s="422" t="n">
        <f aca="false" t="array" ref="W20:W20">IF(AND($R20=2,ACOMPANHAMENTO="BM"),ROUND(W21,4),W22/$S20)</f>
        <v>0.04</v>
      </c>
      <c r="X20" s="422" t="n">
        <f aca="false" t="array" ref="X20:X20">IF(AND($R20=2,ACOMPANHAMENTO="BM"),ROUND(X21,4),X22/$S20)</f>
        <v>0.04</v>
      </c>
      <c r="Y20" s="422" t="n">
        <f aca="false" t="array" ref="Y20:Y20">IF(AND($R20=2,ACOMPANHAMENTO="BM"),ROUND(Y21,4),Y22/$S20)</f>
        <v>0.04</v>
      </c>
      <c r="Z20" s="422" t="n">
        <f aca="false" t="array" ref="Z20:Z20">IF(AND($R20=2,ACOMPANHAMENTO="BM"),ROUND(Z21,4),Z22/$S20)</f>
        <v>0.04</v>
      </c>
      <c r="AA20" s="422" t="n">
        <f aca="false" t="array" ref="AA20:AA20">IF(AND($R20=2,ACOMPANHAMENTO="BM"),ROUND(AA21,4),AA22/$S20)</f>
        <v>0.04</v>
      </c>
      <c r="AB20" s="422" t="n">
        <f aca="false" t="array" ref="AB20:AB20">IF(AND($R20=2,ACOMPANHAMENTO="BM"),ROUND(AB21,4),AB22/$S20)</f>
        <v>0.04</v>
      </c>
      <c r="AC20" s="422" t="n">
        <f aca="false" t="array" ref="AC20:AC20">IF(AND($R20=2,ACOMPANHAMENTO="BM"),ROUND(AC21,4),AC22/$S20)</f>
        <v>0.04</v>
      </c>
      <c r="AD20" s="422" t="n">
        <f aca="false" t="array" ref="AD20:AD20">IF(AND($R20=2,ACOMPANHAMENTO="BM"),ROUND(AD21,4),AD22/$S20)</f>
        <v>0.04</v>
      </c>
      <c r="AE20" s="422" t="n">
        <f aca="false" t="array" ref="AE20:AE20">IF(AND($R20=2,ACOMPANHAMENTO="BM"),ROUND(AE21,4),AE22/$S20)</f>
        <v>0.04</v>
      </c>
      <c r="AF20" s="422" t="n">
        <f aca="false" t="array" ref="AF20:AF20">IF(AND($R20=2,ACOMPANHAMENTO="BM"),ROUND(AF21,4),AF22/$S20)</f>
        <v>0.04</v>
      </c>
      <c r="AG20" s="422" t="n">
        <f aca="false" t="array" ref="AG20:AG20">IF(AND($R20=2,ACOMPANHAMENTO="BM"),ROUND(AG21,4),AG22/$S20)</f>
        <v>0.04</v>
      </c>
      <c r="AH20" s="422" t="n">
        <f aca="false" t="array" ref="AH20:AH20">IF(AND($R20=2,ACOMPANHAMENTO="BM"),ROUND(AH21,4),AH22/$S20)</f>
        <v>0.04</v>
      </c>
      <c r="AI20" s="422" t="n">
        <f aca="false" t="array" ref="AI20:AI20">IF(AND($R20=2,ACOMPANHAMENTO="BM"),ROUND(AI21,4),AI22/$S20)</f>
        <v>0.04</v>
      </c>
      <c r="AJ20" s="422" t="n">
        <f aca="false" t="array" ref="AJ20:AJ20">IF(AND($R20=2,ACOMPANHAMENTO="BM"),ROUND(AJ21,4),AJ22/$S20)</f>
        <v>0.04</v>
      </c>
      <c r="AK20" s="422" t="n">
        <f aca="false" t="array" ref="AK20:AK20">IF(AND($R20=2,ACOMPANHAMENTO="BM"),ROUND(AK21,4),AK22/$S20)</f>
        <v>0.04</v>
      </c>
      <c r="AL20" s="422" t="n">
        <f aca="false" t="array" ref="AL20:AL20">IF(AND($R20=2,ACOMPANHAMENTO="BM"),ROUND(AL21,4),AL22/$S20)</f>
        <v>0.04</v>
      </c>
      <c r="AM20" s="422" t="n">
        <f aca="false" t="array" ref="AM20:AM20">IF(AND($R20=2,ACOMPANHAMENTO="BM"),ROUND(AM21,4),AM22/$S20)</f>
        <v>0.04</v>
      </c>
      <c r="AN20" s="422" t="n">
        <f aca="false" t="array" ref="AN20:AN20">IF(AND($R20=2,ACOMPANHAMENTO="BM"),ROUND(AN21,4),AN22/$S20)</f>
        <v>0.04</v>
      </c>
      <c r="AO20" s="422" t="n">
        <f aca="false" t="array" ref="AO20:AO20">IF(AND($R20=2,ACOMPANHAMENTO="BM"),ROUND(AO21,4),AO22/$S20)</f>
        <v>0.04</v>
      </c>
      <c r="AP20" s="422" t="n">
        <f aca="false" t="array" ref="AP20:AP20">IF(AND($R20=2,ACOMPANHAMENTO="BM"),ROUND(AP21,4),AP22/$S20)</f>
        <v>0.04</v>
      </c>
      <c r="AQ20" s="422" t="n">
        <f aca="false" t="array" ref="AQ20:AQ20">IF(AND($R20=2,ACOMPANHAMENTO="BM"),ROUND(AQ21,4),AQ22/$S20)</f>
        <v>0.04</v>
      </c>
      <c r="AR20" s="422" t="n">
        <f aca="false" t="array" ref="AR20:AR20">IF(AND($R20=2,ACOMPANHAMENTO="BM"),ROUND(AR21,4),AR22/$S20)</f>
        <v>0.04</v>
      </c>
      <c r="AS20" s="422" t="n">
        <f aca="false" t="array" ref="AS20:AS20">IF(AND($R20=2,ACOMPANHAMENTO="BM"),ROUND(AS21,4),AS22/$S20)</f>
        <v>0.04</v>
      </c>
      <c r="AT20" s="422" t="n">
        <f aca="false" t="array" ref="AT20:AT20">IF(AND($R20=2,ACOMPANHAMENTO="BM"),ROUND(AT21,4),AT22/$S20)</f>
        <v>0</v>
      </c>
      <c r="AU20" s="422" t="n">
        <f aca="false" t="array" ref="AU20:AU20">IF(AND($R20=2,ACOMPANHAMENTO="BM"),ROUND(AU21,4),AU22/$S20)</f>
        <v>0</v>
      </c>
      <c r="AV20" s="422" t="n">
        <f aca="false" t="array" ref="AV20:AV20">IF(AND($R20=2,ACOMPANHAMENTO="BM"),ROUND(AV21,4),AV22/$S20)</f>
        <v>0</v>
      </c>
      <c r="AW20" s="422" t="n">
        <f aca="false" t="array" ref="AW20:AW20">IF(AND($R20=2,ACOMPANHAMENTO="BM"),ROUND(AW21,4),AW22/$S20)</f>
        <v>0</v>
      </c>
      <c r="AX20" s="422" t="n">
        <f aca="false" t="array" ref="AX20:AX20">IF(AND($R20=2,ACOMPANHAMENTO="BM"),ROUND(AX21,4),AX22/$S20)</f>
        <v>0</v>
      </c>
      <c r="AY20" s="422" t="n">
        <f aca="false" t="array" ref="AY20:AY20">IF(AND($R20=2,ACOMPANHAMENTO="BM"),ROUND(AY21,4),AY22/$S20)</f>
        <v>0</v>
      </c>
      <c r="AZ20" s="422" t="n">
        <f aca="false" t="array" ref="AZ20:AZ20">IF(AND($R20=2,ACOMPANHAMENTO="BM"),ROUND(AZ21,4),AZ22/$S20)</f>
        <v>0</v>
      </c>
      <c r="BA20" s="422" t="n">
        <f aca="false" t="array" ref="BA20:BA20">IF(AND($R20=2,ACOMPANHAMENTO="BM"),ROUND(BA21,4),BA22/$S20)</f>
        <v>0</v>
      </c>
      <c r="BB20" s="422" t="n">
        <f aca="false" t="array" ref="BB20:BB20">IF(AND($R20=2,ACOMPANHAMENTO="BM"),ROUND(BB21,4),BB22/$S20)</f>
        <v>0</v>
      </c>
      <c r="BC20" s="422" t="n">
        <f aca="false" t="array" ref="BC20:BC20">IF(AND($R20=2,ACOMPANHAMENTO="BM"),ROUND(BC21,4),BC22/$S20)</f>
        <v>0</v>
      </c>
      <c r="BD20" s="422" t="n">
        <f aca="false" t="array" ref="BD20:BD20">IF(AND($R20=2,ACOMPANHAMENTO="BM"),ROUND(BD21,4),BD22/$S20)</f>
        <v>0</v>
      </c>
      <c r="BE20" s="430"/>
    </row>
    <row r="21" customFormat="false" ht="12.75" hidden="true" customHeight="true" outlineLevel="0" collapsed="false">
      <c r="E21" s="431"/>
      <c r="F21" s="419" t="n">
        <f aca="true">IF(ISERROR(F20),IF(1+COUNTIF($M$13:OFFSET(M20,-1,0),1)&lt;=MAX(QCI!$D$13:$D$15),1+COUNTIF($M$13:OFFSET(M20,-1,0),1),-1),0)</f>
        <v>0</v>
      </c>
      <c r="G21" s="419" t="str">
        <f aca="true" t="array" ref="G21:G21">IF(ACOMPANHAMENTO="BM",OFFSET(G21,-1,0),"")</f>
        <v/>
      </c>
      <c r="H21" s="432" t="str">
        <f aca="false" t="array" ref="H21:H21">IF(OR(S20=0,S20=""),"vazia",IF(AND(OR(ACOMPANHAMENTO="PLE",$R20&lt;&gt;2),$F21=0),"calculada","--&gt;"))</f>
        <v>calculada</v>
      </c>
      <c r="I21" s="433"/>
      <c r="J21" s="434" t="str">
        <f aca="false">IF(AND(H20&lt;&gt;0,ISNUMBER(H20)),"PREENCHA ESTA LINHA --&gt;","")</f>
        <v/>
      </c>
      <c r="K21" s="434"/>
      <c r="L21" s="434"/>
      <c r="M21" s="435"/>
      <c r="N21" s="435"/>
      <c r="O21" s="435"/>
      <c r="P21" s="435"/>
      <c r="Q21" s="435"/>
      <c r="R21" s="435"/>
      <c r="S21" s="436"/>
      <c r="T21" s="437"/>
      <c r="U21" s="431"/>
      <c r="V21" s="431"/>
      <c r="W21" s="431"/>
      <c r="X21" s="431"/>
      <c r="Y21" s="431"/>
      <c r="Z21" s="431"/>
      <c r="AA21" s="431"/>
      <c r="AB21" s="431"/>
      <c r="AC21" s="431"/>
      <c r="AD21" s="431"/>
      <c r="AE21" s="431"/>
      <c r="AF21" s="431"/>
      <c r="AG21" s="431"/>
      <c r="AH21" s="431"/>
      <c r="AI21" s="431"/>
      <c r="AJ21" s="431"/>
      <c r="AK21" s="431"/>
      <c r="AL21" s="431"/>
      <c r="AM21" s="431"/>
      <c r="AN21" s="431"/>
      <c r="AO21" s="431"/>
      <c r="AP21" s="431"/>
      <c r="AQ21" s="431"/>
      <c r="AR21" s="431"/>
      <c r="AS21" s="431"/>
      <c r="AT21" s="431"/>
      <c r="AU21" s="431"/>
      <c r="AV21" s="431"/>
      <c r="AW21" s="431"/>
      <c r="AX21" s="431"/>
      <c r="AY21" s="431"/>
      <c r="AZ21" s="431"/>
      <c r="BA21" s="431"/>
      <c r="BB21" s="431"/>
      <c r="BC21" s="431"/>
      <c r="BD21" s="431"/>
      <c r="BE21" s="430"/>
    </row>
    <row r="22" customFormat="false" ht="12.75" hidden="true" customHeight="true" outlineLevel="0" collapsed="false">
      <c r="D22" s="438"/>
      <c r="E22" s="439" t="n">
        <f aca="false" t="array" ref="E22:E22">IF($R20=2,
         IF(AND(ACOMPANHAMENTO="PLE",ISNUMBER($F20)),
                SUMIF((OFFSET(CÁLCULO!$BS$15:$CS$15,$F20,0,OFFSET(ORÇAMENTO!$D$15,CRONO!$F20,0))),CRONO!E$12,OFFSET(CÁLCULO!$AR$15:$BR$15,$F20,0,OFFSET(ORÇAMENTO!$D$15,CRONO!$F20,0)))
                +IF(AND($F22&lt;&gt;"",$F22&lt;&gt;0),
                        SUMIF(CÁLCULO!$BS$15:$CS$205,CRONO!E$12,CÁLCULO!$AR$15:$BR$205)/(ORÇAMENTO!$X$15-_xlfn.single(CÁLCULO.TotalAdmLocal))*CRONO!$F22,
                        0),
                 E21*$S20),
          SUMIF(OFFSET($S22,1,0,$R20-2),($M20+1)&amp;"$",OFFSET(E22,1,0,$R20-2)))</f>
        <v>1259.56</v>
      </c>
      <c r="F22" s="419" t="str">
        <f aca="true">IF(OR($R20&lt;&gt;2,AUTOEVENTO&lt;&gt;"manual",$F21&gt;0),"",
        IF(Import.TipoArredondamento="Tradicional",
              SUMIF(OFFSET(CÁLCULO!$M$15,CRONO!$F20,0,OFFSET(ORÇAMENTO!$D$15,CRONO!$F20,0)),1,OFFSET(ORÇAMENTO!$X$15,CRONO!$F20,0,OFFSET(ORÇAMENTO!$D$15,CRONO!$F20,0))),
              0))</f>
        <v/>
      </c>
      <c r="H22" s="440"/>
      <c r="S22" s="441" t="str">
        <f aca="false">M20&amp;"$"</f>
        <v>2$</v>
      </c>
      <c r="T22" s="442"/>
      <c r="U22" s="439" t="n">
        <f aca="false" t="array" ref="U22:U22">IF($R20=2,
         IF(AND(ACOMPANHAMENTO="PLE",ISNUMBER($F20)),
                SUMIF((OFFSET(CÁLCULO!$BS$15:$CS$15,$F20,0,OFFSET(ORÇAMENTO!$D$15,CRONO!$F20,0))),CRONO!U$12,OFFSET(CÁLCULO!$AR$15:$BR$15,$F20,0,OFFSET(ORÇAMENTO!$D$15,CRONO!$F20,0)))
                +IF(AND($F22&lt;&gt;"",$F22&lt;&gt;0),
                        SUMIF(CÁLCULO!$BS$15:$CS$205,CRONO!U$12,CÁLCULO!$AR$15:$BR$205)/(ORÇAMENTO!$X$15-_xlfn.single(CÁLCULO.TotalAdmLocal))*CRONO!$F22,
                        0),
                 U21*$S20),
          SUMIF(OFFSET($S22,1,0,$R20-2),($M20+1)&amp;"$",OFFSET(U22,1,0,$R20-2)))</f>
        <v>1259.56</v>
      </c>
      <c r="V22" s="439" t="n">
        <f aca="false" t="array" ref="V22:V22">IF($R20=2,
         IF(AND(ACOMPANHAMENTO="PLE",ISNUMBER($F20)),
                SUMIF((OFFSET(CÁLCULO!$BS$15:$CS$15,$F20,0,OFFSET(ORÇAMENTO!$D$15,CRONO!$F20,0))),CRONO!V$12,OFFSET(CÁLCULO!$AR$15:$BR$15,$F20,0,OFFSET(ORÇAMENTO!$D$15,CRONO!$F20,0)))
                +IF(AND($F22&lt;&gt;"",$F22&lt;&gt;0),
                        SUMIF(CÁLCULO!$BS$15:$CS$205,CRONO!V$12,CÁLCULO!$AR$15:$BR$205)/(ORÇAMENTO!$X$15-_xlfn.single(CÁLCULO.TotalAdmLocal))*CRONO!$F22,
                        0),
                 V21*$S20),
          SUMIF(OFFSET($S22,1,0,$R20-2),($M20+1)&amp;"$",OFFSET(V22,1,0,$R20-2)))</f>
        <v>1259.56</v>
      </c>
      <c r="W22" s="439" t="n">
        <f aca="false" t="array" ref="W22:W22">IF($R20=2,
         IF(AND(ACOMPANHAMENTO="PLE",ISNUMBER($F20)),
                SUMIF((OFFSET(CÁLCULO!$BS$15:$CS$15,$F20,0,OFFSET(ORÇAMENTO!$D$15,CRONO!$F20,0))),CRONO!W$12,OFFSET(CÁLCULO!$AR$15:$BR$15,$F20,0,OFFSET(ORÇAMENTO!$D$15,CRONO!$F20,0)))
                +IF(AND($F22&lt;&gt;"",$F22&lt;&gt;0),
                        SUMIF(CÁLCULO!$BS$15:$CS$205,CRONO!W$12,CÁLCULO!$AR$15:$BR$205)/(ORÇAMENTO!$X$15-_xlfn.single(CÁLCULO.TotalAdmLocal))*CRONO!$F22,
                        0),
                 W21*$S20),
          SUMIF(OFFSET($S22,1,0,$R20-2),($M20+1)&amp;"$",OFFSET(W22,1,0,$R20-2)))</f>
        <v>1259.56</v>
      </c>
      <c r="X22" s="439" t="n">
        <f aca="false" t="array" ref="X22:X22">IF($R20=2,
         IF(AND(ACOMPANHAMENTO="PLE",ISNUMBER($F20)),
                SUMIF((OFFSET(CÁLCULO!$BS$15:$CS$15,$F20,0,OFFSET(ORÇAMENTO!$D$15,CRONO!$F20,0))),CRONO!X$12,OFFSET(CÁLCULO!$AR$15:$BR$15,$F20,0,OFFSET(ORÇAMENTO!$D$15,CRONO!$F20,0)))
                +IF(AND($F22&lt;&gt;"",$F22&lt;&gt;0),
                        SUMIF(CÁLCULO!$BS$15:$CS$205,CRONO!X$12,CÁLCULO!$AR$15:$BR$205)/(ORÇAMENTO!$X$15-_xlfn.single(CÁLCULO.TotalAdmLocal))*CRONO!$F22,
                        0),
                 X21*$S20),
          SUMIF(OFFSET($S22,1,0,$R20-2),($M20+1)&amp;"$",OFFSET(X22,1,0,$R20-2)))</f>
        <v>1259.56</v>
      </c>
      <c r="Y22" s="439" t="n">
        <f aca="false" t="array" ref="Y22:Y22">IF($R20=2,
         IF(AND(ACOMPANHAMENTO="PLE",ISNUMBER($F20)),
                SUMIF((OFFSET(CÁLCULO!$BS$15:$CS$15,$F20,0,OFFSET(ORÇAMENTO!$D$15,CRONO!$F20,0))),CRONO!Y$12,OFFSET(CÁLCULO!$AR$15:$BR$15,$F20,0,OFFSET(ORÇAMENTO!$D$15,CRONO!$F20,0)))
                +IF(AND($F22&lt;&gt;"",$F22&lt;&gt;0),
                        SUMIF(CÁLCULO!$BS$15:$CS$205,CRONO!Y$12,CÁLCULO!$AR$15:$BR$205)/(ORÇAMENTO!$X$15-_xlfn.single(CÁLCULO.TotalAdmLocal))*CRONO!$F22,
                        0),
                 Y21*$S20),
          SUMIF(OFFSET($S22,1,0,$R20-2),($M20+1)&amp;"$",OFFSET(Y22,1,0,$R20-2)))</f>
        <v>1259.56</v>
      </c>
      <c r="Z22" s="439" t="n">
        <f aca="false" t="array" ref="Z22:Z22">IF($R20=2,
         IF(AND(ACOMPANHAMENTO="PLE",ISNUMBER($F20)),
                SUMIF((OFFSET(CÁLCULO!$BS$15:$CS$15,$F20,0,OFFSET(ORÇAMENTO!$D$15,CRONO!$F20,0))),CRONO!Z$12,OFFSET(CÁLCULO!$AR$15:$BR$15,$F20,0,OFFSET(ORÇAMENTO!$D$15,CRONO!$F20,0)))
                +IF(AND($F22&lt;&gt;"",$F22&lt;&gt;0),
                        SUMIF(CÁLCULO!$BS$15:$CS$205,CRONO!Z$12,CÁLCULO!$AR$15:$BR$205)/(ORÇAMENTO!$X$15-_xlfn.single(CÁLCULO.TotalAdmLocal))*CRONO!$F22,
                        0),
                 Z21*$S20),
          SUMIF(OFFSET($S22,1,0,$R20-2),($M20+1)&amp;"$",OFFSET(Z22,1,0,$R20-2)))</f>
        <v>1259.56</v>
      </c>
      <c r="AA22" s="439" t="n">
        <f aca="false" t="array" ref="AA22:AA22">IF($R20=2,
         IF(AND(ACOMPANHAMENTO="PLE",ISNUMBER($F20)),
                SUMIF((OFFSET(CÁLCULO!$BS$15:$CS$15,$F20,0,OFFSET(ORÇAMENTO!$D$15,CRONO!$F20,0))),CRONO!AA$12,OFFSET(CÁLCULO!$AR$15:$BR$15,$F20,0,OFFSET(ORÇAMENTO!$D$15,CRONO!$F20,0)))
                +IF(AND($F22&lt;&gt;"",$F22&lt;&gt;0),
                        SUMIF(CÁLCULO!$BS$15:$CS$205,CRONO!AA$12,CÁLCULO!$AR$15:$BR$205)/(ORÇAMENTO!$X$15-_xlfn.single(CÁLCULO.TotalAdmLocal))*CRONO!$F22,
                        0),
                 AA21*$S20),
          SUMIF(OFFSET($S22,1,0,$R20-2),($M20+1)&amp;"$",OFFSET(AA22,1,0,$R20-2)))</f>
        <v>1259.56</v>
      </c>
      <c r="AB22" s="439" t="n">
        <f aca="false" t="array" ref="AB22:AB22">IF($R20=2,
         IF(AND(ACOMPANHAMENTO="PLE",ISNUMBER($F20)),
                SUMIF((OFFSET(CÁLCULO!$BS$15:$CS$15,$F20,0,OFFSET(ORÇAMENTO!$D$15,CRONO!$F20,0))),CRONO!AB$12,OFFSET(CÁLCULO!$AR$15:$BR$15,$F20,0,OFFSET(ORÇAMENTO!$D$15,CRONO!$F20,0)))
                +IF(AND($F22&lt;&gt;"",$F22&lt;&gt;0),
                        SUMIF(CÁLCULO!$BS$15:$CS$205,CRONO!AB$12,CÁLCULO!$AR$15:$BR$205)/(ORÇAMENTO!$X$15-_xlfn.single(CÁLCULO.TotalAdmLocal))*CRONO!$F22,
                        0),
                 AB21*$S20),
          SUMIF(OFFSET($S22,1,0,$R20-2),($M20+1)&amp;"$",OFFSET(AB22,1,0,$R20-2)))</f>
        <v>1259.56</v>
      </c>
      <c r="AC22" s="439" t="n">
        <f aca="false" t="array" ref="AC22:AC22">IF($R20=2,
         IF(AND(ACOMPANHAMENTO="PLE",ISNUMBER($F20)),
                SUMIF((OFFSET(CÁLCULO!$BS$15:$CS$15,$F20,0,OFFSET(ORÇAMENTO!$D$15,CRONO!$F20,0))),CRONO!AC$12,OFFSET(CÁLCULO!$AR$15:$BR$15,$F20,0,OFFSET(ORÇAMENTO!$D$15,CRONO!$F20,0)))
                +IF(AND($F22&lt;&gt;"",$F22&lt;&gt;0),
                        SUMIF(CÁLCULO!$BS$15:$CS$205,CRONO!AC$12,CÁLCULO!$AR$15:$BR$205)/(ORÇAMENTO!$X$15-_xlfn.single(CÁLCULO.TotalAdmLocal))*CRONO!$F22,
                        0),
                 AC21*$S20),
          SUMIF(OFFSET($S22,1,0,$R20-2),($M20+1)&amp;"$",OFFSET(AC22,1,0,$R20-2)))</f>
        <v>1259.56</v>
      </c>
      <c r="AD22" s="439" t="n">
        <f aca="false" t="array" ref="AD22:AD22">IF($R20=2,
         IF(AND(ACOMPANHAMENTO="PLE",ISNUMBER($F20)),
                SUMIF((OFFSET(CÁLCULO!$BS$15:$CS$15,$F20,0,OFFSET(ORÇAMENTO!$D$15,CRONO!$F20,0))),CRONO!AD$12,OFFSET(CÁLCULO!$AR$15:$BR$15,$F20,0,OFFSET(ORÇAMENTO!$D$15,CRONO!$F20,0)))
                +IF(AND($F22&lt;&gt;"",$F22&lt;&gt;0),
                        SUMIF(CÁLCULO!$BS$15:$CS$205,CRONO!AD$12,CÁLCULO!$AR$15:$BR$205)/(ORÇAMENTO!$X$15-_xlfn.single(CÁLCULO.TotalAdmLocal))*CRONO!$F22,
                        0),
                 AD21*$S20),
          SUMIF(OFFSET($S22,1,0,$R20-2),($M20+1)&amp;"$",OFFSET(AD22,1,0,$R20-2)))</f>
        <v>1259.56</v>
      </c>
      <c r="AE22" s="439" t="n">
        <f aca="false" t="array" ref="AE22:AE22">IF($R20=2,
         IF(AND(ACOMPANHAMENTO="PLE",ISNUMBER($F20)),
                SUMIF((OFFSET(CÁLCULO!$BS$15:$CS$15,$F20,0,OFFSET(ORÇAMENTO!$D$15,CRONO!$F20,0))),CRONO!AE$12,OFFSET(CÁLCULO!$AR$15:$BR$15,$F20,0,OFFSET(ORÇAMENTO!$D$15,CRONO!$F20,0)))
                +IF(AND($F22&lt;&gt;"",$F22&lt;&gt;0),
                        SUMIF(CÁLCULO!$BS$15:$CS$205,CRONO!AE$12,CÁLCULO!$AR$15:$BR$205)/(ORÇAMENTO!$X$15-_xlfn.single(CÁLCULO.TotalAdmLocal))*CRONO!$F22,
                        0),
                 AE21*$S20),
          SUMIF(OFFSET($S22,1,0,$R20-2),($M20+1)&amp;"$",OFFSET(AE22,1,0,$R20-2)))</f>
        <v>1259.56</v>
      </c>
      <c r="AF22" s="439" t="n">
        <f aca="false" t="array" ref="AF22:AF22">IF($R20=2,
         IF(AND(ACOMPANHAMENTO="PLE",ISNUMBER($F20)),
                SUMIF((OFFSET(CÁLCULO!$BS$15:$CS$15,$F20,0,OFFSET(ORÇAMENTO!$D$15,CRONO!$F20,0))),CRONO!AF$12,OFFSET(CÁLCULO!$AR$15:$BR$15,$F20,0,OFFSET(ORÇAMENTO!$D$15,CRONO!$F20,0)))
                +IF(AND($F22&lt;&gt;"",$F22&lt;&gt;0),
                        SUMIF(CÁLCULO!$BS$15:$CS$205,CRONO!AF$12,CÁLCULO!$AR$15:$BR$205)/(ORÇAMENTO!$X$15-_xlfn.single(CÁLCULO.TotalAdmLocal))*CRONO!$F22,
                        0),
                 AF21*$S20),
          SUMIF(OFFSET($S22,1,0,$R20-2),($M20+1)&amp;"$",OFFSET(AF22,1,0,$R20-2)))</f>
        <v>1259.56</v>
      </c>
      <c r="AG22" s="439" t="n">
        <f aca="false" t="array" ref="AG22:AG22">IF($R20=2,
         IF(AND(ACOMPANHAMENTO="PLE",ISNUMBER($F20)),
                SUMIF((OFFSET(CÁLCULO!$BS$15:$CS$15,$F20,0,OFFSET(ORÇAMENTO!$D$15,CRONO!$F20,0))),CRONO!AG$12,OFFSET(CÁLCULO!$AR$15:$BR$15,$F20,0,OFFSET(ORÇAMENTO!$D$15,CRONO!$F20,0)))
                +IF(AND($F22&lt;&gt;"",$F22&lt;&gt;0),
                        SUMIF(CÁLCULO!$BS$15:$CS$205,CRONO!AG$12,CÁLCULO!$AR$15:$BR$205)/(ORÇAMENTO!$X$15-_xlfn.single(CÁLCULO.TotalAdmLocal))*CRONO!$F22,
                        0),
                 AG21*$S20),
          SUMIF(OFFSET($S22,1,0,$R20-2),($M20+1)&amp;"$",OFFSET(AG22,1,0,$R20-2)))</f>
        <v>1259.56</v>
      </c>
      <c r="AH22" s="439" t="n">
        <f aca="false" t="array" ref="AH22:AH22">IF($R20=2,
         IF(AND(ACOMPANHAMENTO="PLE",ISNUMBER($F20)),
                SUMIF((OFFSET(CÁLCULO!$BS$15:$CS$15,$F20,0,OFFSET(ORÇAMENTO!$D$15,CRONO!$F20,0))),CRONO!AH$12,OFFSET(CÁLCULO!$AR$15:$BR$15,$F20,0,OFFSET(ORÇAMENTO!$D$15,CRONO!$F20,0)))
                +IF(AND($F22&lt;&gt;"",$F22&lt;&gt;0),
                        SUMIF(CÁLCULO!$BS$15:$CS$205,CRONO!AH$12,CÁLCULO!$AR$15:$BR$205)/(ORÇAMENTO!$X$15-_xlfn.single(CÁLCULO.TotalAdmLocal))*CRONO!$F22,
                        0),
                 AH21*$S20),
          SUMIF(OFFSET($S22,1,0,$R20-2),($M20+1)&amp;"$",OFFSET(AH22,1,0,$R20-2)))</f>
        <v>1259.56</v>
      </c>
      <c r="AI22" s="439" t="n">
        <f aca="false" t="array" ref="AI22:AI22">IF($R20=2,
         IF(AND(ACOMPANHAMENTO="PLE",ISNUMBER($F20)),
                SUMIF((OFFSET(CÁLCULO!$BS$15:$CS$15,$F20,0,OFFSET(ORÇAMENTO!$D$15,CRONO!$F20,0))),CRONO!AI$12,OFFSET(CÁLCULO!$AR$15:$BR$15,$F20,0,OFFSET(ORÇAMENTO!$D$15,CRONO!$F20,0)))
                +IF(AND($F22&lt;&gt;"",$F22&lt;&gt;0),
                        SUMIF(CÁLCULO!$BS$15:$CS$205,CRONO!AI$12,CÁLCULO!$AR$15:$BR$205)/(ORÇAMENTO!$X$15-_xlfn.single(CÁLCULO.TotalAdmLocal))*CRONO!$F22,
                        0),
                 AI21*$S20),
          SUMIF(OFFSET($S22,1,0,$R20-2),($M20+1)&amp;"$",OFFSET(AI22,1,0,$R20-2)))</f>
        <v>1259.56</v>
      </c>
      <c r="AJ22" s="439" t="n">
        <f aca="false" t="array" ref="AJ22:AJ22">IF($R20=2,
         IF(AND(ACOMPANHAMENTO="PLE",ISNUMBER($F20)),
                SUMIF((OFFSET(CÁLCULO!$BS$15:$CS$15,$F20,0,OFFSET(ORÇAMENTO!$D$15,CRONO!$F20,0))),CRONO!AJ$12,OFFSET(CÁLCULO!$AR$15:$BR$15,$F20,0,OFFSET(ORÇAMENTO!$D$15,CRONO!$F20,0)))
                +IF(AND($F22&lt;&gt;"",$F22&lt;&gt;0),
                        SUMIF(CÁLCULO!$BS$15:$CS$205,CRONO!AJ$12,CÁLCULO!$AR$15:$BR$205)/(ORÇAMENTO!$X$15-_xlfn.single(CÁLCULO.TotalAdmLocal))*CRONO!$F22,
                        0),
                 AJ21*$S20),
          SUMIF(OFFSET($S22,1,0,$R20-2),($M20+1)&amp;"$",OFFSET(AJ22,1,0,$R20-2)))</f>
        <v>1259.56</v>
      </c>
      <c r="AK22" s="439" t="n">
        <f aca="false" t="array" ref="AK22:AK22">IF($R20=2,
         IF(AND(ACOMPANHAMENTO="PLE",ISNUMBER($F20)),
                SUMIF((OFFSET(CÁLCULO!$BS$15:$CS$15,$F20,0,OFFSET(ORÇAMENTO!$D$15,CRONO!$F20,0))),CRONO!AK$12,OFFSET(CÁLCULO!$AR$15:$BR$15,$F20,0,OFFSET(ORÇAMENTO!$D$15,CRONO!$F20,0)))
                +IF(AND($F22&lt;&gt;"",$F22&lt;&gt;0),
                        SUMIF(CÁLCULO!$BS$15:$CS$205,CRONO!AK$12,CÁLCULO!$AR$15:$BR$205)/(ORÇAMENTO!$X$15-_xlfn.single(CÁLCULO.TotalAdmLocal))*CRONO!$F22,
                        0),
                 AK21*$S20),
          SUMIF(OFFSET($S22,1,0,$R20-2),($M20+1)&amp;"$",OFFSET(AK22,1,0,$R20-2)))</f>
        <v>1259.56</v>
      </c>
      <c r="AL22" s="439" t="n">
        <f aca="false" t="array" ref="AL22:AL22">IF($R20=2,
         IF(AND(ACOMPANHAMENTO="PLE",ISNUMBER($F20)),
                SUMIF((OFFSET(CÁLCULO!$BS$15:$CS$15,$F20,0,OFFSET(ORÇAMENTO!$D$15,CRONO!$F20,0))),CRONO!AL$12,OFFSET(CÁLCULO!$AR$15:$BR$15,$F20,0,OFFSET(ORÇAMENTO!$D$15,CRONO!$F20,0)))
                +IF(AND($F22&lt;&gt;"",$F22&lt;&gt;0),
                        SUMIF(CÁLCULO!$BS$15:$CS$205,CRONO!AL$12,CÁLCULO!$AR$15:$BR$205)/(ORÇAMENTO!$X$15-_xlfn.single(CÁLCULO.TotalAdmLocal))*CRONO!$F22,
                        0),
                 AL21*$S20),
          SUMIF(OFFSET($S22,1,0,$R20-2),($M20+1)&amp;"$",OFFSET(AL22,1,0,$R20-2)))</f>
        <v>1259.56</v>
      </c>
      <c r="AM22" s="439" t="n">
        <f aca="false" t="array" ref="AM22:AM22">IF($R20=2,
         IF(AND(ACOMPANHAMENTO="PLE",ISNUMBER($F20)),
                SUMIF((OFFSET(CÁLCULO!$BS$15:$CS$15,$F20,0,OFFSET(ORÇAMENTO!$D$15,CRONO!$F20,0))),CRONO!AM$12,OFFSET(CÁLCULO!$AR$15:$BR$15,$F20,0,OFFSET(ORÇAMENTO!$D$15,CRONO!$F20,0)))
                +IF(AND($F22&lt;&gt;"",$F22&lt;&gt;0),
                        SUMIF(CÁLCULO!$BS$15:$CS$205,CRONO!AM$12,CÁLCULO!$AR$15:$BR$205)/(ORÇAMENTO!$X$15-_xlfn.single(CÁLCULO.TotalAdmLocal))*CRONO!$F22,
                        0),
                 AM21*$S20),
          SUMIF(OFFSET($S22,1,0,$R20-2),($M20+1)&amp;"$",OFFSET(AM22,1,0,$R20-2)))</f>
        <v>1259.56</v>
      </c>
      <c r="AN22" s="439" t="n">
        <f aca="false" t="array" ref="AN22:AN22">IF($R20=2,
         IF(AND(ACOMPANHAMENTO="PLE",ISNUMBER($F20)),
                SUMIF((OFFSET(CÁLCULO!$BS$15:$CS$15,$F20,0,OFFSET(ORÇAMENTO!$D$15,CRONO!$F20,0))),CRONO!AN$12,OFFSET(CÁLCULO!$AR$15:$BR$15,$F20,0,OFFSET(ORÇAMENTO!$D$15,CRONO!$F20,0)))
                +IF(AND($F22&lt;&gt;"",$F22&lt;&gt;0),
                        SUMIF(CÁLCULO!$BS$15:$CS$205,CRONO!AN$12,CÁLCULO!$AR$15:$BR$205)/(ORÇAMENTO!$X$15-_xlfn.single(CÁLCULO.TotalAdmLocal))*CRONO!$F22,
                        0),
                 AN21*$S20),
          SUMIF(OFFSET($S22,1,0,$R20-2),($M20+1)&amp;"$",OFFSET(AN22,1,0,$R20-2)))</f>
        <v>1259.56</v>
      </c>
      <c r="AO22" s="439" t="n">
        <f aca="false" t="array" ref="AO22:AO22">IF($R20=2,
         IF(AND(ACOMPANHAMENTO="PLE",ISNUMBER($F20)),
                SUMIF((OFFSET(CÁLCULO!$BS$15:$CS$15,$F20,0,OFFSET(ORÇAMENTO!$D$15,CRONO!$F20,0))),CRONO!AO$12,OFFSET(CÁLCULO!$AR$15:$BR$15,$F20,0,OFFSET(ORÇAMENTO!$D$15,CRONO!$F20,0)))
                +IF(AND($F22&lt;&gt;"",$F22&lt;&gt;0),
                        SUMIF(CÁLCULO!$BS$15:$CS$205,CRONO!AO$12,CÁLCULO!$AR$15:$BR$205)/(ORÇAMENTO!$X$15-_xlfn.single(CÁLCULO.TotalAdmLocal))*CRONO!$F22,
                        0),
                 AO21*$S20),
          SUMIF(OFFSET($S22,1,0,$R20-2),($M20+1)&amp;"$",OFFSET(AO22,1,0,$R20-2)))</f>
        <v>1259.56</v>
      </c>
      <c r="AP22" s="439" t="n">
        <f aca="false" t="array" ref="AP22:AP22">IF($R20=2,
         IF(AND(ACOMPANHAMENTO="PLE",ISNUMBER($F20)),
                SUMIF((OFFSET(CÁLCULO!$BS$15:$CS$15,$F20,0,OFFSET(ORÇAMENTO!$D$15,CRONO!$F20,0))),CRONO!AP$12,OFFSET(CÁLCULO!$AR$15:$BR$15,$F20,0,OFFSET(ORÇAMENTO!$D$15,CRONO!$F20,0)))
                +IF(AND($F22&lt;&gt;"",$F22&lt;&gt;0),
                        SUMIF(CÁLCULO!$BS$15:$CS$205,CRONO!AP$12,CÁLCULO!$AR$15:$BR$205)/(ORÇAMENTO!$X$15-_xlfn.single(CÁLCULO.TotalAdmLocal))*CRONO!$F22,
                        0),
                 AP21*$S20),
          SUMIF(OFFSET($S22,1,0,$R20-2),($M20+1)&amp;"$",OFFSET(AP22,1,0,$R20-2)))</f>
        <v>1259.56</v>
      </c>
      <c r="AQ22" s="439" t="n">
        <f aca="false" t="array" ref="AQ22:AQ22">IF($R20=2,
         IF(AND(ACOMPANHAMENTO="PLE",ISNUMBER($F20)),
                SUMIF((OFFSET(CÁLCULO!$BS$15:$CS$15,$F20,0,OFFSET(ORÇAMENTO!$D$15,CRONO!$F20,0))),CRONO!AQ$12,OFFSET(CÁLCULO!$AR$15:$BR$15,$F20,0,OFFSET(ORÇAMENTO!$D$15,CRONO!$F20,0)))
                +IF(AND($F22&lt;&gt;"",$F22&lt;&gt;0),
                        SUMIF(CÁLCULO!$BS$15:$CS$205,CRONO!AQ$12,CÁLCULO!$AR$15:$BR$205)/(ORÇAMENTO!$X$15-_xlfn.single(CÁLCULO.TotalAdmLocal))*CRONO!$F22,
                        0),
                 AQ21*$S20),
          SUMIF(OFFSET($S22,1,0,$R20-2),($M20+1)&amp;"$",OFFSET(AQ22,1,0,$R20-2)))</f>
        <v>1259.56</v>
      </c>
      <c r="AR22" s="439" t="n">
        <f aca="false" t="array" ref="AR22:AR22">IF($R20=2,
         IF(AND(ACOMPANHAMENTO="PLE",ISNUMBER($F20)),
                SUMIF((OFFSET(CÁLCULO!$BS$15:$CS$15,$F20,0,OFFSET(ORÇAMENTO!$D$15,CRONO!$F20,0))),CRONO!AR$12,OFFSET(CÁLCULO!$AR$15:$BR$15,$F20,0,OFFSET(ORÇAMENTO!$D$15,CRONO!$F20,0)))
                +IF(AND($F22&lt;&gt;"",$F22&lt;&gt;0),
                        SUMIF(CÁLCULO!$BS$15:$CS$205,CRONO!AR$12,CÁLCULO!$AR$15:$BR$205)/(ORÇAMENTO!$X$15-_xlfn.single(CÁLCULO.TotalAdmLocal))*CRONO!$F22,
                        0),
                 AR21*$S20),
          SUMIF(OFFSET($S22,1,0,$R20-2),($M20+1)&amp;"$",OFFSET(AR22,1,0,$R20-2)))</f>
        <v>1259.56</v>
      </c>
      <c r="AS22" s="439" t="n">
        <f aca="false" t="array" ref="AS22:AS22">IF($R20=2,
         IF(AND(ACOMPANHAMENTO="PLE",ISNUMBER($F20)),
                SUMIF((OFFSET(CÁLCULO!$BS$15:$CS$15,$F20,0,OFFSET(ORÇAMENTO!$D$15,CRONO!$F20,0))),CRONO!AS$12,OFFSET(CÁLCULO!$AR$15:$BR$15,$F20,0,OFFSET(ORÇAMENTO!$D$15,CRONO!$F20,0)))
                +IF(AND($F22&lt;&gt;"",$F22&lt;&gt;0),
                        SUMIF(CÁLCULO!$BS$15:$CS$205,CRONO!AS$12,CÁLCULO!$AR$15:$BR$205)/(ORÇAMENTO!$X$15-_xlfn.single(CÁLCULO.TotalAdmLocal))*CRONO!$F22,
                        0),
                 AS21*$S20),
          SUMIF(OFFSET($S22,1,0,$R20-2),($M20+1)&amp;"$",OFFSET(AS22,1,0,$R20-2)))</f>
        <v>1259.56</v>
      </c>
      <c r="AT22" s="439" t="n">
        <f aca="false" t="array" ref="AT22:AT22">IF($R20=2,
         IF(AND(ACOMPANHAMENTO="PLE",ISNUMBER($F20)),
                SUMIF((OFFSET(CÁLCULO!$BS$15:$CS$15,$F20,0,OFFSET(ORÇAMENTO!$D$15,CRONO!$F20,0))),CRONO!AT$12,OFFSET(CÁLCULO!$AR$15:$BR$15,$F20,0,OFFSET(ORÇAMENTO!$D$15,CRONO!$F20,0)))
                +IF(AND($F22&lt;&gt;"",$F22&lt;&gt;0),
                        SUMIF(CÁLCULO!$BS$15:$CS$205,CRONO!AT$12,CÁLCULO!$AR$15:$BR$205)/(ORÇAMENTO!$X$15-_xlfn.single(CÁLCULO.TotalAdmLocal))*CRONO!$F22,
                        0),
                 AT21*$S20),
          SUMIF(OFFSET($S22,1,0,$R20-2),($M20+1)&amp;"$",OFFSET(AT22,1,0,$R20-2)))</f>
        <v>0</v>
      </c>
      <c r="AU22" s="439" t="n">
        <f aca="false" t="array" ref="AU22:AU22">IF($R20=2,
         IF(AND(ACOMPANHAMENTO="PLE",ISNUMBER($F20)),
                SUMIF((OFFSET(CÁLCULO!$BS$15:$CS$15,$F20,0,OFFSET(ORÇAMENTO!$D$15,CRONO!$F20,0))),CRONO!AU$12,OFFSET(CÁLCULO!$AR$15:$BR$15,$F20,0,OFFSET(ORÇAMENTO!$D$15,CRONO!$F20,0)))
                +IF(AND($F22&lt;&gt;"",$F22&lt;&gt;0),
                        SUMIF(CÁLCULO!$BS$15:$CS$205,CRONO!AU$12,CÁLCULO!$AR$15:$BR$205)/(ORÇAMENTO!$X$15-_xlfn.single(CÁLCULO.TotalAdmLocal))*CRONO!$F22,
                        0),
                 AU21*$S20),
          SUMIF(OFFSET($S22,1,0,$R20-2),($M20+1)&amp;"$",OFFSET(AU22,1,0,$R20-2)))</f>
        <v>0</v>
      </c>
      <c r="AV22" s="439" t="n">
        <f aca="false" t="array" ref="AV22:AV22">IF($R20=2,
         IF(AND(ACOMPANHAMENTO="PLE",ISNUMBER($F20)),
                SUMIF((OFFSET(CÁLCULO!$BS$15:$CS$15,$F20,0,OFFSET(ORÇAMENTO!$D$15,CRONO!$F20,0))),CRONO!AV$12,OFFSET(CÁLCULO!$AR$15:$BR$15,$F20,0,OFFSET(ORÇAMENTO!$D$15,CRONO!$F20,0)))
                +IF(AND($F22&lt;&gt;"",$F22&lt;&gt;0),
                        SUMIF(CÁLCULO!$BS$15:$CS$205,CRONO!AV$12,CÁLCULO!$AR$15:$BR$205)/(ORÇAMENTO!$X$15-_xlfn.single(CÁLCULO.TotalAdmLocal))*CRONO!$F22,
                        0),
                 AV21*$S20),
          SUMIF(OFFSET($S22,1,0,$R20-2),($M20+1)&amp;"$",OFFSET(AV22,1,0,$R20-2)))</f>
        <v>0</v>
      </c>
      <c r="AW22" s="439" t="n">
        <f aca="false" t="array" ref="AW22:AW22">IF($R20=2,
         IF(AND(ACOMPANHAMENTO="PLE",ISNUMBER($F20)),
                SUMIF((OFFSET(CÁLCULO!$BS$15:$CS$15,$F20,0,OFFSET(ORÇAMENTO!$D$15,CRONO!$F20,0))),CRONO!AW$12,OFFSET(CÁLCULO!$AR$15:$BR$15,$F20,0,OFFSET(ORÇAMENTO!$D$15,CRONO!$F20,0)))
                +IF(AND($F22&lt;&gt;"",$F22&lt;&gt;0),
                        SUMIF(CÁLCULO!$BS$15:$CS$205,CRONO!AW$12,CÁLCULO!$AR$15:$BR$205)/(ORÇAMENTO!$X$15-_xlfn.single(CÁLCULO.TotalAdmLocal))*CRONO!$F22,
                        0),
                 AW21*$S20),
          SUMIF(OFFSET($S22,1,0,$R20-2),($M20+1)&amp;"$",OFFSET(AW22,1,0,$R20-2)))</f>
        <v>0</v>
      </c>
      <c r="AX22" s="439" t="n">
        <f aca="false" t="array" ref="AX22:AX22">IF($R20=2,
         IF(AND(ACOMPANHAMENTO="PLE",ISNUMBER($F20)),
                SUMIF((OFFSET(CÁLCULO!$BS$15:$CS$15,$F20,0,OFFSET(ORÇAMENTO!$D$15,CRONO!$F20,0))),CRONO!AX$12,OFFSET(CÁLCULO!$AR$15:$BR$15,$F20,0,OFFSET(ORÇAMENTO!$D$15,CRONO!$F20,0)))
                +IF(AND($F22&lt;&gt;"",$F22&lt;&gt;0),
                        SUMIF(CÁLCULO!$BS$15:$CS$205,CRONO!AX$12,CÁLCULO!$AR$15:$BR$205)/(ORÇAMENTO!$X$15-_xlfn.single(CÁLCULO.TotalAdmLocal))*CRONO!$F22,
                        0),
                 AX21*$S20),
          SUMIF(OFFSET($S22,1,0,$R20-2),($M20+1)&amp;"$",OFFSET(AX22,1,0,$R20-2)))</f>
        <v>0</v>
      </c>
      <c r="AY22" s="439" t="n">
        <f aca="false" t="array" ref="AY22:AY22">IF($R20=2,
         IF(AND(ACOMPANHAMENTO="PLE",ISNUMBER($F20)),
                SUMIF((OFFSET(CÁLCULO!$BS$15:$CS$15,$F20,0,OFFSET(ORÇAMENTO!$D$15,CRONO!$F20,0))),CRONO!AY$12,OFFSET(CÁLCULO!$AR$15:$BR$15,$F20,0,OFFSET(ORÇAMENTO!$D$15,CRONO!$F20,0)))
                +IF(AND($F22&lt;&gt;"",$F22&lt;&gt;0),
                        SUMIF(CÁLCULO!$BS$15:$CS$205,CRONO!AY$12,CÁLCULO!$AR$15:$BR$205)/(ORÇAMENTO!$X$15-_xlfn.single(CÁLCULO.TotalAdmLocal))*CRONO!$F22,
                        0),
                 AY21*$S20),
          SUMIF(OFFSET($S22,1,0,$R20-2),($M20+1)&amp;"$",OFFSET(AY22,1,0,$R20-2)))</f>
        <v>0</v>
      </c>
      <c r="AZ22" s="439" t="n">
        <f aca="false" t="array" ref="AZ22:AZ22">IF($R20=2,
         IF(AND(ACOMPANHAMENTO="PLE",ISNUMBER($F20)),
                SUMIF((OFFSET(CÁLCULO!$BS$15:$CS$15,$F20,0,OFFSET(ORÇAMENTO!$D$15,CRONO!$F20,0))),CRONO!AZ$12,OFFSET(CÁLCULO!$AR$15:$BR$15,$F20,0,OFFSET(ORÇAMENTO!$D$15,CRONO!$F20,0)))
                +IF(AND($F22&lt;&gt;"",$F22&lt;&gt;0),
                        SUMIF(CÁLCULO!$BS$15:$CS$205,CRONO!AZ$12,CÁLCULO!$AR$15:$BR$205)/(ORÇAMENTO!$X$15-_xlfn.single(CÁLCULO.TotalAdmLocal))*CRONO!$F22,
                        0),
                 AZ21*$S20),
          SUMIF(OFFSET($S22,1,0,$R20-2),($M20+1)&amp;"$",OFFSET(AZ22,1,0,$R20-2)))</f>
        <v>0</v>
      </c>
      <c r="BA22" s="439" t="n">
        <f aca="false" t="array" ref="BA22:BA22">IF($R20=2,
         IF(AND(ACOMPANHAMENTO="PLE",ISNUMBER($F20)),
                SUMIF((OFFSET(CÁLCULO!$BS$15:$CS$15,$F20,0,OFFSET(ORÇAMENTO!$D$15,CRONO!$F20,0))),CRONO!BA$12,OFFSET(CÁLCULO!$AR$15:$BR$15,$F20,0,OFFSET(ORÇAMENTO!$D$15,CRONO!$F20,0)))
                +IF(AND($F22&lt;&gt;"",$F22&lt;&gt;0),
                        SUMIF(CÁLCULO!$BS$15:$CS$205,CRONO!BA$12,CÁLCULO!$AR$15:$BR$205)/(ORÇAMENTO!$X$15-_xlfn.single(CÁLCULO.TotalAdmLocal))*CRONO!$F22,
                        0),
                 BA21*$S20),
          SUMIF(OFFSET($S22,1,0,$R20-2),($M20+1)&amp;"$",OFFSET(BA22,1,0,$R20-2)))</f>
        <v>0</v>
      </c>
      <c r="BB22" s="439" t="n">
        <f aca="false" t="array" ref="BB22:BB22">IF($R20=2,
         IF(AND(ACOMPANHAMENTO="PLE",ISNUMBER($F20)),
                SUMIF((OFFSET(CÁLCULO!$BS$15:$CS$15,$F20,0,OFFSET(ORÇAMENTO!$D$15,CRONO!$F20,0))),CRONO!BB$12,OFFSET(CÁLCULO!$AR$15:$BR$15,$F20,0,OFFSET(ORÇAMENTO!$D$15,CRONO!$F20,0)))
                +IF(AND($F22&lt;&gt;"",$F22&lt;&gt;0),
                        SUMIF(CÁLCULO!$BS$15:$CS$205,CRONO!BB$12,CÁLCULO!$AR$15:$BR$205)/(ORÇAMENTO!$X$15-_xlfn.single(CÁLCULO.TotalAdmLocal))*CRONO!$F22,
                        0),
                 BB21*$S20),
          SUMIF(OFFSET($S22,1,0,$R20-2),($M20+1)&amp;"$",OFFSET(BB22,1,0,$R20-2)))</f>
        <v>0</v>
      </c>
      <c r="BC22" s="439" t="n">
        <f aca="false" t="array" ref="BC22:BC22">IF($R20=2,
         IF(AND(ACOMPANHAMENTO="PLE",ISNUMBER($F20)),
                SUMIF((OFFSET(CÁLCULO!$BS$15:$CS$15,$F20,0,OFFSET(ORÇAMENTO!$D$15,CRONO!$F20,0))),CRONO!BC$12,OFFSET(CÁLCULO!$AR$15:$BR$15,$F20,0,OFFSET(ORÇAMENTO!$D$15,CRONO!$F20,0)))
                +IF(AND($F22&lt;&gt;"",$F22&lt;&gt;0),
                        SUMIF(CÁLCULO!$BS$15:$CS$205,CRONO!BC$12,CÁLCULO!$AR$15:$BR$205)/(ORÇAMENTO!$X$15-_xlfn.single(CÁLCULO.TotalAdmLocal))*CRONO!$F22,
                        0),
                 BC21*$S20),
          SUMIF(OFFSET($S22,1,0,$R20-2),($M20+1)&amp;"$",OFFSET(BC22,1,0,$R20-2)))</f>
        <v>0</v>
      </c>
      <c r="BD22" s="439" t="n">
        <f aca="false" t="array" ref="BD22:BD22">IF($R20=2,
         IF(AND(ACOMPANHAMENTO="PLE",ISNUMBER($F20)),
                SUMIF((OFFSET(CÁLCULO!$BS$15:$CS$15,$F20,0,OFFSET(ORÇAMENTO!$D$15,CRONO!$F20,0))),CRONO!BD$12,OFFSET(CÁLCULO!$AR$15:$BR$15,$F20,0,OFFSET(ORÇAMENTO!$D$15,CRONO!$F20,0)))
                +IF(AND($F22&lt;&gt;"",$F22&lt;&gt;0),
                        SUMIF(CÁLCULO!$BS$15:$CS$205,CRONO!BD$12,CÁLCULO!$AR$15:$BR$205)/(ORÇAMENTO!$X$15-_xlfn.single(CÁLCULO.TotalAdmLocal))*CRONO!$F22,
                        0),
                 BD21*$S20),
          SUMIF(OFFSET($S22,1,0,$R20-2),($M20+1)&amp;"$",OFFSET(BD22,1,0,$R20-2)))</f>
        <v>0</v>
      </c>
      <c r="BE22" s="430"/>
    </row>
    <row r="23" customFormat="false" ht="12.75" hidden="true" customHeight="false" outlineLevel="0" collapsed="false">
      <c r="A23" s="382" t="str">
        <f aca="false">IF($M23&gt;1,_xlfn.CONCAT($I23," ",$J23),"")</f>
        <v>1.3. FUNDAÇÕES E CONTENÇÕES</v>
      </c>
      <c r="B23" s="419" t="n">
        <f aca="true">OFFSET(B23,-3,0)+1</f>
        <v>4</v>
      </c>
      <c r="C23" s="419" t="n">
        <f aca="true">IF($R23&lt;&gt;2,0,IF($S23=0,1,IF(F24&gt;0,OFFSET(QCI!$M$13,SUBSTITUTE(F24,".",""),0),OFFSET(ORÇAMENTO!$AA$15,CRONO!$F23,0))/$S23))</f>
        <v>1</v>
      </c>
      <c r="D23" s="419" t="n">
        <f aca="true">IF($R23&lt;&gt;2,0,IF($S23=0,1,IF(F24&gt;0,OFFSET(QCI!$N$13,SUBSTITUTE(F24,".",""),0),OFFSET(ORÇAMENTO!$AB$15,CRONO!$F23,0))/$S23))</f>
        <v>1</v>
      </c>
      <c r="E23" s="422" t="e">
        <f aca="false" t="array" ref="E23:E23">IF(AND($R23=2,ACOMPANHAMENTO="BM"),ROUND(E24,4),E25/$S23)</f>
        <v>#DIV/0!</v>
      </c>
      <c r="F23" s="419" t="n">
        <f aca="true">IF(B23&lt;=ORÇAMENTO.MáximoListaCrono,MATCH(B23,ORÇAMENTO.ListaCrono,0),NA())</f>
        <v>12</v>
      </c>
      <c r="G23" s="419" t="str">
        <f aca="false">IF(AND($F24&lt;&gt;-1,$S23&gt;0),"F","")</f>
        <v/>
      </c>
      <c r="H23" s="423" t="str">
        <f aca="false" t="array" ref="H23:H23">IF(OR(S23=0,S23=""),"Linha",IF(AND(OR(ACOMPANHAMENTO="PLE",$R23&lt;&gt;2),$F24=0),"Linha",ROUND(1-SUM(U23:BE23),4)))</f>
        <v>Linha</v>
      </c>
      <c r="I23" s="424" t="str">
        <f aca="true">IF($F24=0,OFFSET(ORÇAMENTO!O$15,$F23,0),IF($F24&lt;&gt;-1,OFFSET(QCI!$D$13,$F24,0),""))</f>
        <v>1.3.</v>
      </c>
      <c r="J23" s="425" t="str">
        <f aca="true">IF($F24=0,OFFSET(ORÇAMENTO!R$15,$F23,0),IF($F24&lt;&gt;-1,OFFSET(QCI!$G$13,$F24,0),""))</f>
        <v>FUNDAÇÕES E CONTENÇÕES</v>
      </c>
      <c r="K23" s="425"/>
      <c r="L23" s="425"/>
      <c r="M23" s="426" t="n">
        <f aca="true">IF($F24=0,OFFSET(ORÇAMENTO!C$15,$F23,0),1)</f>
        <v>2</v>
      </c>
      <c r="N23" s="427" t="n">
        <f aca="true">IF($F24=-1,0,IF(N$13&lt;=$M23,IF(ISERROR(MATCH(N$13,OFFSET($M23,1,0,ROW($M$182)-ROW($M23)-1),0)),ROW($M$182)-ROW($M23)-1,MATCH(N$13,OFFSET($M23,1,0,ROW($M$182)-ROW($M23)-1),0)-1),0))</f>
        <v>158</v>
      </c>
      <c r="O23" s="427" t="n">
        <f aca="true">IF($F24=-1,0,IF(O$13&lt;=$M23,IF(ISERROR(MATCH(O$13,OFFSET($M23,1,0,ROW($M$182)-ROW($M23)-1),0)),ROW($M$182)-ROW($M23)-1,MATCH(O$13,OFFSET($M23,1,0,ROW($M$182)-ROW($M23)-1),0)-1),0))</f>
        <v>2</v>
      </c>
      <c r="P23" s="427" t="n">
        <f aca="true">IF($F24=-1,0,IF(P$13&lt;=$M23,IF(ISERROR(MATCH(P$13,OFFSET($M23,1,0,ROW($M$182)-ROW($M23)-1),0)),ROW($M$182)-ROW($M23)-1,MATCH(P$13,OFFSET($M23,1,0,ROW($M$182)-ROW($M23)-1),0)-1),0))</f>
        <v>0</v>
      </c>
      <c r="Q23" s="427" t="n">
        <f aca="true">IF($F24=-1,0,IF(Q$13&lt;=$M23,IF(ISERROR(MATCH(Q$13,OFFSET($M23,1,0,ROW($M$182)-ROW($M23)-1),0)),ROW($M$182)-ROW($M23)-1,MATCH(Q$13,OFFSET($M23,1,0,ROW($M$182)-ROW($M23)-1),0)-1),0))</f>
        <v>0</v>
      </c>
      <c r="R23" s="427" t="n">
        <f aca="true">MIN(OFFSET(M23,0,1,,M23))</f>
        <v>2</v>
      </c>
      <c r="S23" s="428" t="n">
        <f aca="true">IF($F24=0,OFFSET(ORÇAMENTO!X$15,$F23,0),IF($F24&lt;&gt;-1,OFFSET(QCI!$O$13,$F24,0),""))</f>
        <v>0</v>
      </c>
      <c r="T23" s="429" t="s">
        <v>996</v>
      </c>
      <c r="U23" s="422" t="e">
        <f aca="false" t="array" ref="U23:U23">IF(AND($R23=2,ACOMPANHAMENTO="BM"),ROUND(U24,4),U25/$S23)</f>
        <v>#DIV/0!</v>
      </c>
      <c r="V23" s="422" t="e">
        <f aca="false" t="array" ref="V23:V23">IF(AND($R23=2,ACOMPANHAMENTO="BM"),ROUND(V24,4),V25/$S23)</f>
        <v>#DIV/0!</v>
      </c>
      <c r="W23" s="422" t="e">
        <f aca="false" t="array" ref="W23:W23">IF(AND($R23=2,ACOMPANHAMENTO="BM"),ROUND(W24,4),W25/$S23)</f>
        <v>#DIV/0!</v>
      </c>
      <c r="X23" s="422" t="e">
        <f aca="false" t="array" ref="X23:X23">IF(AND($R23=2,ACOMPANHAMENTO="BM"),ROUND(X24,4),X25/$S23)</f>
        <v>#DIV/0!</v>
      </c>
      <c r="Y23" s="422" t="e">
        <f aca="false" t="array" ref="Y23:Y23">IF(AND($R23=2,ACOMPANHAMENTO="BM"),ROUND(Y24,4),Y25/$S23)</f>
        <v>#DIV/0!</v>
      </c>
      <c r="Z23" s="422" t="e">
        <f aca="false" t="array" ref="Z23:Z23">IF(AND($R23=2,ACOMPANHAMENTO="BM"),ROUND(Z24,4),Z25/$S23)</f>
        <v>#DIV/0!</v>
      </c>
      <c r="AA23" s="422" t="e">
        <f aca="false" t="array" ref="AA23:AA23">IF(AND($R23=2,ACOMPANHAMENTO="BM"),ROUND(AA24,4),AA25/$S23)</f>
        <v>#DIV/0!</v>
      </c>
      <c r="AB23" s="422" t="e">
        <f aca="false" t="array" ref="AB23:AB23">IF(AND($R23=2,ACOMPANHAMENTO="BM"),ROUND(AB24,4),AB25/$S23)</f>
        <v>#DIV/0!</v>
      </c>
      <c r="AC23" s="422" t="e">
        <f aca="false" t="array" ref="AC23:AC23">IF(AND($R23=2,ACOMPANHAMENTO="BM"),ROUND(AC24,4),AC25/$S23)</f>
        <v>#DIV/0!</v>
      </c>
      <c r="AD23" s="422" t="e">
        <f aca="false" t="array" ref="AD23:AD23">IF(AND($R23=2,ACOMPANHAMENTO="BM"),ROUND(AD24,4),AD25/$S23)</f>
        <v>#DIV/0!</v>
      </c>
      <c r="AE23" s="422" t="e">
        <f aca="false" t="array" ref="AE23:AE23">IF(AND($R23=2,ACOMPANHAMENTO="BM"),ROUND(AE24,4),AE25/$S23)</f>
        <v>#DIV/0!</v>
      </c>
      <c r="AF23" s="422" t="e">
        <f aca="false" t="array" ref="AF23:AF23">IF(AND($R23=2,ACOMPANHAMENTO="BM"),ROUND(AF24,4),AF25/$S23)</f>
        <v>#DIV/0!</v>
      </c>
      <c r="AG23" s="422" t="e">
        <f aca="false" t="array" ref="AG23:AG23">IF(AND($R23=2,ACOMPANHAMENTO="BM"),ROUND(AG24,4),AG25/$S23)</f>
        <v>#DIV/0!</v>
      </c>
      <c r="AH23" s="422" t="e">
        <f aca="false" t="array" ref="AH23:AH23">IF(AND($R23=2,ACOMPANHAMENTO="BM"),ROUND(AH24,4),AH25/$S23)</f>
        <v>#DIV/0!</v>
      </c>
      <c r="AI23" s="422" t="e">
        <f aca="false" t="array" ref="AI23:AI23">IF(AND($R23=2,ACOMPANHAMENTO="BM"),ROUND(AI24,4),AI25/$S23)</f>
        <v>#DIV/0!</v>
      </c>
      <c r="AJ23" s="422" t="e">
        <f aca="false" t="array" ref="AJ23:AJ23">IF(AND($R23=2,ACOMPANHAMENTO="BM"),ROUND(AJ24,4),AJ25/$S23)</f>
        <v>#DIV/0!</v>
      </c>
      <c r="AK23" s="422" t="e">
        <f aca="false" t="array" ref="AK23:AK23">IF(AND($R23=2,ACOMPANHAMENTO="BM"),ROUND(AK24,4),AK25/$S23)</f>
        <v>#DIV/0!</v>
      </c>
      <c r="AL23" s="422" t="e">
        <f aca="false" t="array" ref="AL23:AL23">IF(AND($R23=2,ACOMPANHAMENTO="BM"),ROUND(AL24,4),AL25/$S23)</f>
        <v>#DIV/0!</v>
      </c>
      <c r="AM23" s="422" t="e">
        <f aca="false" t="array" ref="AM23:AM23">IF(AND($R23=2,ACOMPANHAMENTO="BM"),ROUND(AM24,4),AM25/$S23)</f>
        <v>#DIV/0!</v>
      </c>
      <c r="AN23" s="422" t="e">
        <f aca="false" t="array" ref="AN23:AN23">IF(AND($R23=2,ACOMPANHAMENTO="BM"),ROUND(AN24,4),AN25/$S23)</f>
        <v>#DIV/0!</v>
      </c>
      <c r="AO23" s="422" t="e">
        <f aca="false" t="array" ref="AO23:AO23">IF(AND($R23=2,ACOMPANHAMENTO="BM"),ROUND(AO24,4),AO25/$S23)</f>
        <v>#DIV/0!</v>
      </c>
      <c r="AP23" s="422" t="e">
        <f aca="false" t="array" ref="AP23:AP23">IF(AND($R23=2,ACOMPANHAMENTO="BM"),ROUND(AP24,4),AP25/$S23)</f>
        <v>#DIV/0!</v>
      </c>
      <c r="AQ23" s="422" t="e">
        <f aca="false" t="array" ref="AQ23:AQ23">IF(AND($R23=2,ACOMPANHAMENTO="BM"),ROUND(AQ24,4),AQ25/$S23)</f>
        <v>#DIV/0!</v>
      </c>
      <c r="AR23" s="422" t="e">
        <f aca="false" t="array" ref="AR23:AR23">IF(AND($R23=2,ACOMPANHAMENTO="BM"),ROUND(AR24,4),AR25/$S23)</f>
        <v>#DIV/0!</v>
      </c>
      <c r="AS23" s="422" t="e">
        <f aca="false" t="array" ref="AS23:AS23">IF(AND($R23=2,ACOMPANHAMENTO="BM"),ROUND(AS24,4),AS25/$S23)</f>
        <v>#DIV/0!</v>
      </c>
      <c r="AT23" s="422" t="e">
        <f aca="false" t="array" ref="AT23:AT23">IF(AND($R23=2,ACOMPANHAMENTO="BM"),ROUND(AT24,4),AT25/$S23)</f>
        <v>#DIV/0!</v>
      </c>
      <c r="AU23" s="422" t="e">
        <f aca="false" t="array" ref="AU23:AU23">IF(AND($R23=2,ACOMPANHAMENTO="BM"),ROUND(AU24,4),AU25/$S23)</f>
        <v>#DIV/0!</v>
      </c>
      <c r="AV23" s="422" t="e">
        <f aca="false" t="array" ref="AV23:AV23">IF(AND($R23=2,ACOMPANHAMENTO="BM"),ROUND(AV24,4),AV25/$S23)</f>
        <v>#DIV/0!</v>
      </c>
      <c r="AW23" s="422" t="e">
        <f aca="false" t="array" ref="AW23:AW23">IF(AND($R23=2,ACOMPANHAMENTO="BM"),ROUND(AW24,4),AW25/$S23)</f>
        <v>#DIV/0!</v>
      </c>
      <c r="AX23" s="422" t="e">
        <f aca="false" t="array" ref="AX23:AX23">IF(AND($R23=2,ACOMPANHAMENTO="BM"),ROUND(AX24,4),AX25/$S23)</f>
        <v>#DIV/0!</v>
      </c>
      <c r="AY23" s="422" t="e">
        <f aca="false" t="array" ref="AY23:AY23">IF(AND($R23=2,ACOMPANHAMENTO="BM"),ROUND(AY24,4),AY25/$S23)</f>
        <v>#DIV/0!</v>
      </c>
      <c r="AZ23" s="422" t="e">
        <f aca="false" t="array" ref="AZ23:AZ23">IF(AND($R23=2,ACOMPANHAMENTO="BM"),ROUND(AZ24,4),AZ25/$S23)</f>
        <v>#DIV/0!</v>
      </c>
      <c r="BA23" s="422" t="e">
        <f aca="false" t="array" ref="BA23:BA23">IF(AND($R23=2,ACOMPANHAMENTO="BM"),ROUND(BA24,4),BA25/$S23)</f>
        <v>#DIV/0!</v>
      </c>
      <c r="BB23" s="422" t="e">
        <f aca="false" t="array" ref="BB23:BB23">IF(AND($R23=2,ACOMPANHAMENTO="BM"),ROUND(BB24,4),BB25/$S23)</f>
        <v>#DIV/0!</v>
      </c>
      <c r="BC23" s="422" t="e">
        <f aca="false" t="array" ref="BC23:BC23">IF(AND($R23=2,ACOMPANHAMENTO="BM"),ROUND(BC24,4),BC25/$S23)</f>
        <v>#DIV/0!</v>
      </c>
      <c r="BD23" s="422" t="e">
        <f aca="false" t="array" ref="BD23:BD23">IF(AND($R23=2,ACOMPANHAMENTO="BM"),ROUND(BD24,4),BD25/$S23)</f>
        <v>#DIV/0!</v>
      </c>
      <c r="BE23" s="430"/>
    </row>
    <row r="24" customFormat="false" ht="12.75" hidden="true" customHeight="true" outlineLevel="0" collapsed="false">
      <c r="E24" s="431"/>
      <c r="F24" s="419" t="n">
        <f aca="true">IF(ISERROR(F23),IF(1+COUNTIF($M$13:OFFSET(M23,-1,0),1)&lt;=MAX(QCI!$D$13:$D$15),1+COUNTIF($M$13:OFFSET(M23,-1,0),1),-1),0)</f>
        <v>0</v>
      </c>
      <c r="G24" s="419" t="str">
        <f aca="true" t="array" ref="G24:G24">IF(ACOMPANHAMENTO="BM",OFFSET(G24,-1,0),"")</f>
        <v/>
      </c>
      <c r="H24" s="432" t="str">
        <f aca="false" t="array" ref="H24:H24">IF(OR(S23=0,S23=""),"vazia",IF(AND(OR(ACOMPANHAMENTO="PLE",$R23&lt;&gt;2),$F24=0),"calculada","--&gt;"))</f>
        <v>vazia</v>
      </c>
      <c r="I24" s="433"/>
      <c r="J24" s="434" t="str">
        <f aca="false">IF(AND(H23&lt;&gt;0,ISNUMBER(H23)),"PREENCHA ESTA LINHA --&gt;","")</f>
        <v/>
      </c>
      <c r="K24" s="434"/>
      <c r="L24" s="434"/>
      <c r="M24" s="435"/>
      <c r="N24" s="435"/>
      <c r="O24" s="435"/>
      <c r="P24" s="435"/>
      <c r="Q24" s="435"/>
      <c r="R24" s="435"/>
      <c r="S24" s="436"/>
      <c r="T24" s="437"/>
      <c r="U24" s="431"/>
      <c r="V24" s="431"/>
      <c r="W24" s="431"/>
      <c r="X24" s="431"/>
      <c r="Y24" s="431"/>
      <c r="Z24" s="431"/>
      <c r="AA24" s="431"/>
      <c r="AB24" s="431"/>
      <c r="AC24" s="431"/>
      <c r="AD24" s="431"/>
      <c r="AE24" s="431"/>
      <c r="AF24" s="431"/>
      <c r="AG24" s="431"/>
      <c r="AH24" s="431"/>
      <c r="AI24" s="431"/>
      <c r="AJ24" s="431"/>
      <c r="AK24" s="431"/>
      <c r="AL24" s="431"/>
      <c r="AM24" s="431"/>
      <c r="AN24" s="431"/>
      <c r="AO24" s="431"/>
      <c r="AP24" s="431"/>
      <c r="AQ24" s="431"/>
      <c r="AR24" s="431"/>
      <c r="AS24" s="431"/>
      <c r="AT24" s="431"/>
      <c r="AU24" s="431"/>
      <c r="AV24" s="431"/>
      <c r="AW24" s="431"/>
      <c r="AX24" s="431"/>
      <c r="AY24" s="431"/>
      <c r="AZ24" s="431"/>
      <c r="BA24" s="431"/>
      <c r="BB24" s="431"/>
      <c r="BC24" s="431"/>
      <c r="BD24" s="431"/>
      <c r="BE24" s="430"/>
    </row>
    <row r="25" customFormat="false" ht="12.75" hidden="true" customHeight="true" outlineLevel="0" collapsed="false">
      <c r="D25" s="438"/>
      <c r="E25" s="439" t="n">
        <f aca="false" t="array" ref="E25:E25">IF($R23=2,
         IF(AND(ACOMPANHAMENTO="PLE",ISNUMBER($F23)),
                SUMIF((OFFSET(CÁLCULO!$BS$15:$CS$15,$F23,0,OFFSET(ORÇAMENTO!$D$15,CRONO!$F23,0))),CRONO!E$12,OFFSET(CÁLCULO!$AR$15:$BR$15,$F23,0,OFFSET(ORÇAMENTO!$D$15,CRONO!$F23,0)))
                +IF(AND($F25&lt;&gt;"",$F25&lt;&gt;0),
                        SUMIF(CÁLCULO!$BS$15:$CS$205,CRONO!E$12,CÁLCULO!$AR$15:$BR$205)/(ORÇAMENTO!$X$15-_xlfn.single(CÁLCULO.TotalAdmLocal))*CRONO!$F25,
                        0),
                 E24*$S23),
          SUMIF(OFFSET($S25,1,0,$R23-2),($M23+1)&amp;"$",OFFSET(E25,1,0,$R23-2)))</f>
        <v>0</v>
      </c>
      <c r="F25" s="419" t="str">
        <f aca="true">IF(OR($R23&lt;&gt;2,AUTOEVENTO&lt;&gt;"manual",$F24&gt;0),"",
        IF(Import.TipoArredondamento="Tradicional",
              SUMIF(OFFSET(CÁLCULO!$M$15,CRONO!$F23,0,OFFSET(ORÇAMENTO!$D$15,CRONO!$F23,0)),1,OFFSET(ORÇAMENTO!$X$15,CRONO!$F23,0,OFFSET(ORÇAMENTO!$D$15,CRONO!$F23,0))),
              0))</f>
        <v/>
      </c>
      <c r="H25" s="440"/>
      <c r="S25" s="441" t="str">
        <f aca="false">M23&amp;"$"</f>
        <v>2$</v>
      </c>
      <c r="T25" s="442"/>
      <c r="U25" s="439" t="n">
        <f aca="false" t="array" ref="U25:U25">IF($R23=2,
         IF(AND(ACOMPANHAMENTO="PLE",ISNUMBER($F23)),
                SUMIF((OFFSET(CÁLCULO!$BS$15:$CS$15,$F23,0,OFFSET(ORÇAMENTO!$D$15,CRONO!$F23,0))),CRONO!U$12,OFFSET(CÁLCULO!$AR$15:$BR$15,$F23,0,OFFSET(ORÇAMENTO!$D$15,CRONO!$F23,0)))
                +IF(AND($F25&lt;&gt;"",$F25&lt;&gt;0),
                        SUMIF(CÁLCULO!$BS$15:$CS$205,CRONO!U$12,CÁLCULO!$AR$15:$BR$205)/(ORÇAMENTO!$X$15-_xlfn.single(CÁLCULO.TotalAdmLocal))*CRONO!$F25,
                        0),
                 U24*$S23),
          SUMIF(OFFSET($S25,1,0,$R23-2),($M23+1)&amp;"$",OFFSET(U25,1,0,$R23-2)))</f>
        <v>0</v>
      </c>
      <c r="V25" s="439" t="n">
        <f aca="false" t="array" ref="V25:V25">IF($R23=2,
         IF(AND(ACOMPANHAMENTO="PLE",ISNUMBER($F23)),
                SUMIF((OFFSET(CÁLCULO!$BS$15:$CS$15,$F23,0,OFFSET(ORÇAMENTO!$D$15,CRONO!$F23,0))),CRONO!V$12,OFFSET(CÁLCULO!$AR$15:$BR$15,$F23,0,OFFSET(ORÇAMENTO!$D$15,CRONO!$F23,0)))
                +IF(AND($F25&lt;&gt;"",$F25&lt;&gt;0),
                        SUMIF(CÁLCULO!$BS$15:$CS$205,CRONO!V$12,CÁLCULO!$AR$15:$BR$205)/(ORÇAMENTO!$X$15-_xlfn.single(CÁLCULO.TotalAdmLocal))*CRONO!$F25,
                        0),
                 V24*$S23),
          SUMIF(OFFSET($S25,1,0,$R23-2),($M23+1)&amp;"$",OFFSET(V25,1,0,$R23-2)))</f>
        <v>0</v>
      </c>
      <c r="W25" s="439" t="n">
        <f aca="false" t="array" ref="W25:W25">IF($R23=2,
         IF(AND(ACOMPANHAMENTO="PLE",ISNUMBER($F23)),
                SUMIF((OFFSET(CÁLCULO!$BS$15:$CS$15,$F23,0,OFFSET(ORÇAMENTO!$D$15,CRONO!$F23,0))),CRONO!W$12,OFFSET(CÁLCULO!$AR$15:$BR$15,$F23,0,OFFSET(ORÇAMENTO!$D$15,CRONO!$F23,0)))
                +IF(AND($F25&lt;&gt;"",$F25&lt;&gt;0),
                        SUMIF(CÁLCULO!$BS$15:$CS$205,CRONO!W$12,CÁLCULO!$AR$15:$BR$205)/(ORÇAMENTO!$X$15-_xlfn.single(CÁLCULO.TotalAdmLocal))*CRONO!$F25,
                        0),
                 W24*$S23),
          SUMIF(OFFSET($S25,1,0,$R23-2),($M23+1)&amp;"$",OFFSET(W25,1,0,$R23-2)))</f>
        <v>0</v>
      </c>
      <c r="X25" s="439" t="n">
        <f aca="false" t="array" ref="X25:X25">IF($R23=2,
         IF(AND(ACOMPANHAMENTO="PLE",ISNUMBER($F23)),
                SUMIF((OFFSET(CÁLCULO!$BS$15:$CS$15,$F23,0,OFFSET(ORÇAMENTO!$D$15,CRONO!$F23,0))),CRONO!X$12,OFFSET(CÁLCULO!$AR$15:$BR$15,$F23,0,OFFSET(ORÇAMENTO!$D$15,CRONO!$F23,0)))
                +IF(AND($F25&lt;&gt;"",$F25&lt;&gt;0),
                        SUMIF(CÁLCULO!$BS$15:$CS$205,CRONO!X$12,CÁLCULO!$AR$15:$BR$205)/(ORÇAMENTO!$X$15-_xlfn.single(CÁLCULO.TotalAdmLocal))*CRONO!$F25,
                        0),
                 X24*$S23),
          SUMIF(OFFSET($S25,1,0,$R23-2),($M23+1)&amp;"$",OFFSET(X25,1,0,$R23-2)))</f>
        <v>0</v>
      </c>
      <c r="Y25" s="439" t="n">
        <f aca="false" t="array" ref="Y25:Y25">IF($R23=2,
         IF(AND(ACOMPANHAMENTO="PLE",ISNUMBER($F23)),
                SUMIF((OFFSET(CÁLCULO!$BS$15:$CS$15,$F23,0,OFFSET(ORÇAMENTO!$D$15,CRONO!$F23,0))),CRONO!Y$12,OFFSET(CÁLCULO!$AR$15:$BR$15,$F23,0,OFFSET(ORÇAMENTO!$D$15,CRONO!$F23,0)))
                +IF(AND($F25&lt;&gt;"",$F25&lt;&gt;0),
                        SUMIF(CÁLCULO!$BS$15:$CS$205,CRONO!Y$12,CÁLCULO!$AR$15:$BR$205)/(ORÇAMENTO!$X$15-_xlfn.single(CÁLCULO.TotalAdmLocal))*CRONO!$F25,
                        0),
                 Y24*$S23),
          SUMIF(OFFSET($S25,1,0,$R23-2),($M23+1)&amp;"$",OFFSET(Y25,1,0,$R23-2)))</f>
        <v>0</v>
      </c>
      <c r="Z25" s="439" t="n">
        <f aca="false" t="array" ref="Z25:Z25">IF($R23=2,
         IF(AND(ACOMPANHAMENTO="PLE",ISNUMBER($F23)),
                SUMIF((OFFSET(CÁLCULO!$BS$15:$CS$15,$F23,0,OFFSET(ORÇAMENTO!$D$15,CRONO!$F23,0))),CRONO!Z$12,OFFSET(CÁLCULO!$AR$15:$BR$15,$F23,0,OFFSET(ORÇAMENTO!$D$15,CRONO!$F23,0)))
                +IF(AND($F25&lt;&gt;"",$F25&lt;&gt;0),
                        SUMIF(CÁLCULO!$BS$15:$CS$205,CRONO!Z$12,CÁLCULO!$AR$15:$BR$205)/(ORÇAMENTO!$X$15-_xlfn.single(CÁLCULO.TotalAdmLocal))*CRONO!$F25,
                        0),
                 Z24*$S23),
          SUMIF(OFFSET($S25,1,0,$R23-2),($M23+1)&amp;"$",OFFSET(Z25,1,0,$R23-2)))</f>
        <v>0</v>
      </c>
      <c r="AA25" s="439" t="n">
        <f aca="false" t="array" ref="AA25:AA25">IF($R23=2,
         IF(AND(ACOMPANHAMENTO="PLE",ISNUMBER($F23)),
                SUMIF((OFFSET(CÁLCULO!$BS$15:$CS$15,$F23,0,OFFSET(ORÇAMENTO!$D$15,CRONO!$F23,0))),CRONO!AA$12,OFFSET(CÁLCULO!$AR$15:$BR$15,$F23,0,OFFSET(ORÇAMENTO!$D$15,CRONO!$F23,0)))
                +IF(AND($F25&lt;&gt;"",$F25&lt;&gt;0),
                        SUMIF(CÁLCULO!$BS$15:$CS$205,CRONO!AA$12,CÁLCULO!$AR$15:$BR$205)/(ORÇAMENTO!$X$15-_xlfn.single(CÁLCULO.TotalAdmLocal))*CRONO!$F25,
                        0),
                 AA24*$S23),
          SUMIF(OFFSET($S25,1,0,$R23-2),($M23+1)&amp;"$",OFFSET(AA25,1,0,$R23-2)))</f>
        <v>0</v>
      </c>
      <c r="AB25" s="439" t="n">
        <f aca="false" t="array" ref="AB25:AB25">IF($R23=2,
         IF(AND(ACOMPANHAMENTO="PLE",ISNUMBER($F23)),
                SUMIF((OFFSET(CÁLCULO!$BS$15:$CS$15,$F23,0,OFFSET(ORÇAMENTO!$D$15,CRONO!$F23,0))),CRONO!AB$12,OFFSET(CÁLCULO!$AR$15:$BR$15,$F23,0,OFFSET(ORÇAMENTO!$D$15,CRONO!$F23,0)))
                +IF(AND($F25&lt;&gt;"",$F25&lt;&gt;0),
                        SUMIF(CÁLCULO!$BS$15:$CS$205,CRONO!AB$12,CÁLCULO!$AR$15:$BR$205)/(ORÇAMENTO!$X$15-_xlfn.single(CÁLCULO.TotalAdmLocal))*CRONO!$F25,
                        0),
                 AB24*$S23),
          SUMIF(OFFSET($S25,1,0,$R23-2),($M23+1)&amp;"$",OFFSET(AB25,1,0,$R23-2)))</f>
        <v>0</v>
      </c>
      <c r="AC25" s="439" t="n">
        <f aca="false" t="array" ref="AC25:AC25">IF($R23=2,
         IF(AND(ACOMPANHAMENTO="PLE",ISNUMBER($F23)),
                SUMIF((OFFSET(CÁLCULO!$BS$15:$CS$15,$F23,0,OFFSET(ORÇAMENTO!$D$15,CRONO!$F23,0))),CRONO!AC$12,OFFSET(CÁLCULO!$AR$15:$BR$15,$F23,0,OFFSET(ORÇAMENTO!$D$15,CRONO!$F23,0)))
                +IF(AND($F25&lt;&gt;"",$F25&lt;&gt;0),
                        SUMIF(CÁLCULO!$BS$15:$CS$205,CRONO!AC$12,CÁLCULO!$AR$15:$BR$205)/(ORÇAMENTO!$X$15-_xlfn.single(CÁLCULO.TotalAdmLocal))*CRONO!$F25,
                        0),
                 AC24*$S23),
          SUMIF(OFFSET($S25,1,0,$R23-2),($M23+1)&amp;"$",OFFSET(AC25,1,0,$R23-2)))</f>
        <v>0</v>
      </c>
      <c r="AD25" s="439" t="n">
        <f aca="false" t="array" ref="AD25:AD25">IF($R23=2,
         IF(AND(ACOMPANHAMENTO="PLE",ISNUMBER($F23)),
                SUMIF((OFFSET(CÁLCULO!$BS$15:$CS$15,$F23,0,OFFSET(ORÇAMENTO!$D$15,CRONO!$F23,0))),CRONO!AD$12,OFFSET(CÁLCULO!$AR$15:$BR$15,$F23,0,OFFSET(ORÇAMENTO!$D$15,CRONO!$F23,0)))
                +IF(AND($F25&lt;&gt;"",$F25&lt;&gt;0),
                        SUMIF(CÁLCULO!$BS$15:$CS$205,CRONO!AD$12,CÁLCULO!$AR$15:$BR$205)/(ORÇAMENTO!$X$15-_xlfn.single(CÁLCULO.TotalAdmLocal))*CRONO!$F25,
                        0),
                 AD24*$S23),
          SUMIF(OFFSET($S25,1,0,$R23-2),($M23+1)&amp;"$",OFFSET(AD25,1,0,$R23-2)))</f>
        <v>0</v>
      </c>
      <c r="AE25" s="439" t="n">
        <f aca="false" t="array" ref="AE25:AE25">IF($R23=2,
         IF(AND(ACOMPANHAMENTO="PLE",ISNUMBER($F23)),
                SUMIF((OFFSET(CÁLCULO!$BS$15:$CS$15,$F23,0,OFFSET(ORÇAMENTO!$D$15,CRONO!$F23,0))),CRONO!AE$12,OFFSET(CÁLCULO!$AR$15:$BR$15,$F23,0,OFFSET(ORÇAMENTO!$D$15,CRONO!$F23,0)))
                +IF(AND($F25&lt;&gt;"",$F25&lt;&gt;0),
                        SUMIF(CÁLCULO!$BS$15:$CS$205,CRONO!AE$12,CÁLCULO!$AR$15:$BR$205)/(ORÇAMENTO!$X$15-_xlfn.single(CÁLCULO.TotalAdmLocal))*CRONO!$F25,
                        0),
                 AE24*$S23),
          SUMIF(OFFSET($S25,1,0,$R23-2),($M23+1)&amp;"$",OFFSET(AE25,1,0,$R23-2)))</f>
        <v>0</v>
      </c>
      <c r="AF25" s="439" t="n">
        <f aca="false" t="array" ref="AF25:AF25">IF($R23=2,
         IF(AND(ACOMPANHAMENTO="PLE",ISNUMBER($F23)),
                SUMIF((OFFSET(CÁLCULO!$BS$15:$CS$15,$F23,0,OFFSET(ORÇAMENTO!$D$15,CRONO!$F23,0))),CRONO!AF$12,OFFSET(CÁLCULO!$AR$15:$BR$15,$F23,0,OFFSET(ORÇAMENTO!$D$15,CRONO!$F23,0)))
                +IF(AND($F25&lt;&gt;"",$F25&lt;&gt;0),
                        SUMIF(CÁLCULO!$BS$15:$CS$205,CRONO!AF$12,CÁLCULO!$AR$15:$BR$205)/(ORÇAMENTO!$X$15-_xlfn.single(CÁLCULO.TotalAdmLocal))*CRONO!$F25,
                        0),
                 AF24*$S23),
          SUMIF(OFFSET($S25,1,0,$R23-2),($M23+1)&amp;"$",OFFSET(AF25,1,0,$R23-2)))</f>
        <v>0</v>
      </c>
      <c r="AG25" s="439" t="n">
        <f aca="false" t="array" ref="AG25:AG25">IF($R23=2,
         IF(AND(ACOMPANHAMENTO="PLE",ISNUMBER($F23)),
                SUMIF((OFFSET(CÁLCULO!$BS$15:$CS$15,$F23,0,OFFSET(ORÇAMENTO!$D$15,CRONO!$F23,0))),CRONO!AG$12,OFFSET(CÁLCULO!$AR$15:$BR$15,$F23,0,OFFSET(ORÇAMENTO!$D$15,CRONO!$F23,0)))
                +IF(AND($F25&lt;&gt;"",$F25&lt;&gt;0),
                        SUMIF(CÁLCULO!$BS$15:$CS$205,CRONO!AG$12,CÁLCULO!$AR$15:$BR$205)/(ORÇAMENTO!$X$15-_xlfn.single(CÁLCULO.TotalAdmLocal))*CRONO!$F25,
                        0),
                 AG24*$S23),
          SUMIF(OFFSET($S25,1,0,$R23-2),($M23+1)&amp;"$",OFFSET(AG25,1,0,$R23-2)))</f>
        <v>0</v>
      </c>
      <c r="AH25" s="439" t="n">
        <f aca="false" t="array" ref="AH25:AH25">IF($R23=2,
         IF(AND(ACOMPANHAMENTO="PLE",ISNUMBER($F23)),
                SUMIF((OFFSET(CÁLCULO!$BS$15:$CS$15,$F23,0,OFFSET(ORÇAMENTO!$D$15,CRONO!$F23,0))),CRONO!AH$12,OFFSET(CÁLCULO!$AR$15:$BR$15,$F23,0,OFFSET(ORÇAMENTO!$D$15,CRONO!$F23,0)))
                +IF(AND($F25&lt;&gt;"",$F25&lt;&gt;0),
                        SUMIF(CÁLCULO!$BS$15:$CS$205,CRONO!AH$12,CÁLCULO!$AR$15:$BR$205)/(ORÇAMENTO!$X$15-_xlfn.single(CÁLCULO.TotalAdmLocal))*CRONO!$F25,
                        0),
                 AH24*$S23),
          SUMIF(OFFSET($S25,1,0,$R23-2),($M23+1)&amp;"$",OFFSET(AH25,1,0,$R23-2)))</f>
        <v>0</v>
      </c>
      <c r="AI25" s="439" t="n">
        <f aca="false" t="array" ref="AI25:AI25">IF($R23=2,
         IF(AND(ACOMPANHAMENTO="PLE",ISNUMBER($F23)),
                SUMIF((OFFSET(CÁLCULO!$BS$15:$CS$15,$F23,0,OFFSET(ORÇAMENTO!$D$15,CRONO!$F23,0))),CRONO!AI$12,OFFSET(CÁLCULO!$AR$15:$BR$15,$F23,0,OFFSET(ORÇAMENTO!$D$15,CRONO!$F23,0)))
                +IF(AND($F25&lt;&gt;"",$F25&lt;&gt;0),
                        SUMIF(CÁLCULO!$BS$15:$CS$205,CRONO!AI$12,CÁLCULO!$AR$15:$BR$205)/(ORÇAMENTO!$X$15-_xlfn.single(CÁLCULO.TotalAdmLocal))*CRONO!$F25,
                        0),
                 AI24*$S23),
          SUMIF(OFFSET($S25,1,0,$R23-2),($M23+1)&amp;"$",OFFSET(AI25,1,0,$R23-2)))</f>
        <v>0</v>
      </c>
      <c r="AJ25" s="439" t="n">
        <f aca="false" t="array" ref="AJ25:AJ25">IF($R23=2,
         IF(AND(ACOMPANHAMENTO="PLE",ISNUMBER($F23)),
                SUMIF((OFFSET(CÁLCULO!$BS$15:$CS$15,$F23,0,OFFSET(ORÇAMENTO!$D$15,CRONO!$F23,0))),CRONO!AJ$12,OFFSET(CÁLCULO!$AR$15:$BR$15,$F23,0,OFFSET(ORÇAMENTO!$D$15,CRONO!$F23,0)))
                +IF(AND($F25&lt;&gt;"",$F25&lt;&gt;0),
                        SUMIF(CÁLCULO!$BS$15:$CS$205,CRONO!AJ$12,CÁLCULO!$AR$15:$BR$205)/(ORÇAMENTO!$X$15-_xlfn.single(CÁLCULO.TotalAdmLocal))*CRONO!$F25,
                        0),
                 AJ24*$S23),
          SUMIF(OFFSET($S25,1,0,$R23-2),($M23+1)&amp;"$",OFFSET(AJ25,1,0,$R23-2)))</f>
        <v>0</v>
      </c>
      <c r="AK25" s="439" t="n">
        <f aca="false" t="array" ref="AK25:AK25">IF($R23=2,
         IF(AND(ACOMPANHAMENTO="PLE",ISNUMBER($F23)),
                SUMIF((OFFSET(CÁLCULO!$BS$15:$CS$15,$F23,0,OFFSET(ORÇAMENTO!$D$15,CRONO!$F23,0))),CRONO!AK$12,OFFSET(CÁLCULO!$AR$15:$BR$15,$F23,0,OFFSET(ORÇAMENTO!$D$15,CRONO!$F23,0)))
                +IF(AND($F25&lt;&gt;"",$F25&lt;&gt;0),
                        SUMIF(CÁLCULO!$BS$15:$CS$205,CRONO!AK$12,CÁLCULO!$AR$15:$BR$205)/(ORÇAMENTO!$X$15-_xlfn.single(CÁLCULO.TotalAdmLocal))*CRONO!$F25,
                        0),
                 AK24*$S23),
          SUMIF(OFFSET($S25,1,0,$R23-2),($M23+1)&amp;"$",OFFSET(AK25,1,0,$R23-2)))</f>
        <v>0</v>
      </c>
      <c r="AL25" s="439" t="n">
        <f aca="false" t="array" ref="AL25:AL25">IF($R23=2,
         IF(AND(ACOMPANHAMENTO="PLE",ISNUMBER($F23)),
                SUMIF((OFFSET(CÁLCULO!$BS$15:$CS$15,$F23,0,OFFSET(ORÇAMENTO!$D$15,CRONO!$F23,0))),CRONO!AL$12,OFFSET(CÁLCULO!$AR$15:$BR$15,$F23,0,OFFSET(ORÇAMENTO!$D$15,CRONO!$F23,0)))
                +IF(AND($F25&lt;&gt;"",$F25&lt;&gt;0),
                        SUMIF(CÁLCULO!$BS$15:$CS$205,CRONO!AL$12,CÁLCULO!$AR$15:$BR$205)/(ORÇAMENTO!$X$15-_xlfn.single(CÁLCULO.TotalAdmLocal))*CRONO!$F25,
                        0),
                 AL24*$S23),
          SUMIF(OFFSET($S25,1,0,$R23-2),($M23+1)&amp;"$",OFFSET(AL25,1,0,$R23-2)))</f>
        <v>0</v>
      </c>
      <c r="AM25" s="439" t="n">
        <f aca="false" t="array" ref="AM25:AM25">IF($R23=2,
         IF(AND(ACOMPANHAMENTO="PLE",ISNUMBER($F23)),
                SUMIF((OFFSET(CÁLCULO!$BS$15:$CS$15,$F23,0,OFFSET(ORÇAMENTO!$D$15,CRONO!$F23,0))),CRONO!AM$12,OFFSET(CÁLCULO!$AR$15:$BR$15,$F23,0,OFFSET(ORÇAMENTO!$D$15,CRONO!$F23,0)))
                +IF(AND($F25&lt;&gt;"",$F25&lt;&gt;0),
                        SUMIF(CÁLCULO!$BS$15:$CS$205,CRONO!AM$12,CÁLCULO!$AR$15:$BR$205)/(ORÇAMENTO!$X$15-_xlfn.single(CÁLCULO.TotalAdmLocal))*CRONO!$F25,
                        0),
                 AM24*$S23),
          SUMIF(OFFSET($S25,1,0,$R23-2),($M23+1)&amp;"$",OFFSET(AM25,1,0,$R23-2)))</f>
        <v>0</v>
      </c>
      <c r="AN25" s="439" t="n">
        <f aca="false" t="array" ref="AN25:AN25">IF($R23=2,
         IF(AND(ACOMPANHAMENTO="PLE",ISNUMBER($F23)),
                SUMIF((OFFSET(CÁLCULO!$BS$15:$CS$15,$F23,0,OFFSET(ORÇAMENTO!$D$15,CRONO!$F23,0))),CRONO!AN$12,OFFSET(CÁLCULO!$AR$15:$BR$15,$F23,0,OFFSET(ORÇAMENTO!$D$15,CRONO!$F23,0)))
                +IF(AND($F25&lt;&gt;"",$F25&lt;&gt;0),
                        SUMIF(CÁLCULO!$BS$15:$CS$205,CRONO!AN$12,CÁLCULO!$AR$15:$BR$205)/(ORÇAMENTO!$X$15-_xlfn.single(CÁLCULO.TotalAdmLocal))*CRONO!$F25,
                        0),
                 AN24*$S23),
          SUMIF(OFFSET($S25,1,0,$R23-2),($M23+1)&amp;"$",OFFSET(AN25,1,0,$R23-2)))</f>
        <v>0</v>
      </c>
      <c r="AO25" s="439" t="n">
        <f aca="false" t="array" ref="AO25:AO25">IF($R23=2,
         IF(AND(ACOMPANHAMENTO="PLE",ISNUMBER($F23)),
                SUMIF((OFFSET(CÁLCULO!$BS$15:$CS$15,$F23,0,OFFSET(ORÇAMENTO!$D$15,CRONO!$F23,0))),CRONO!AO$12,OFFSET(CÁLCULO!$AR$15:$BR$15,$F23,0,OFFSET(ORÇAMENTO!$D$15,CRONO!$F23,0)))
                +IF(AND($F25&lt;&gt;"",$F25&lt;&gt;0),
                        SUMIF(CÁLCULO!$BS$15:$CS$205,CRONO!AO$12,CÁLCULO!$AR$15:$BR$205)/(ORÇAMENTO!$X$15-_xlfn.single(CÁLCULO.TotalAdmLocal))*CRONO!$F25,
                        0),
                 AO24*$S23),
          SUMIF(OFFSET($S25,1,0,$R23-2),($M23+1)&amp;"$",OFFSET(AO25,1,0,$R23-2)))</f>
        <v>0</v>
      </c>
      <c r="AP25" s="439" t="n">
        <f aca="false" t="array" ref="AP25:AP25">IF($R23=2,
         IF(AND(ACOMPANHAMENTO="PLE",ISNUMBER($F23)),
                SUMIF((OFFSET(CÁLCULO!$BS$15:$CS$15,$F23,0,OFFSET(ORÇAMENTO!$D$15,CRONO!$F23,0))),CRONO!AP$12,OFFSET(CÁLCULO!$AR$15:$BR$15,$F23,0,OFFSET(ORÇAMENTO!$D$15,CRONO!$F23,0)))
                +IF(AND($F25&lt;&gt;"",$F25&lt;&gt;0),
                        SUMIF(CÁLCULO!$BS$15:$CS$205,CRONO!AP$12,CÁLCULO!$AR$15:$BR$205)/(ORÇAMENTO!$X$15-_xlfn.single(CÁLCULO.TotalAdmLocal))*CRONO!$F25,
                        0),
                 AP24*$S23),
          SUMIF(OFFSET($S25,1,0,$R23-2),($M23+1)&amp;"$",OFFSET(AP25,1,0,$R23-2)))</f>
        <v>0</v>
      </c>
      <c r="AQ25" s="439" t="n">
        <f aca="false" t="array" ref="AQ25:AQ25">IF($R23=2,
         IF(AND(ACOMPANHAMENTO="PLE",ISNUMBER($F23)),
                SUMIF((OFFSET(CÁLCULO!$BS$15:$CS$15,$F23,0,OFFSET(ORÇAMENTO!$D$15,CRONO!$F23,0))),CRONO!AQ$12,OFFSET(CÁLCULO!$AR$15:$BR$15,$F23,0,OFFSET(ORÇAMENTO!$D$15,CRONO!$F23,0)))
                +IF(AND($F25&lt;&gt;"",$F25&lt;&gt;0),
                        SUMIF(CÁLCULO!$BS$15:$CS$205,CRONO!AQ$12,CÁLCULO!$AR$15:$BR$205)/(ORÇAMENTO!$X$15-_xlfn.single(CÁLCULO.TotalAdmLocal))*CRONO!$F25,
                        0),
                 AQ24*$S23),
          SUMIF(OFFSET($S25,1,0,$R23-2),($M23+1)&amp;"$",OFFSET(AQ25,1,0,$R23-2)))</f>
        <v>0</v>
      </c>
      <c r="AR25" s="439" t="n">
        <f aca="false" t="array" ref="AR25:AR25">IF($R23=2,
         IF(AND(ACOMPANHAMENTO="PLE",ISNUMBER($F23)),
                SUMIF((OFFSET(CÁLCULO!$BS$15:$CS$15,$F23,0,OFFSET(ORÇAMENTO!$D$15,CRONO!$F23,0))),CRONO!AR$12,OFFSET(CÁLCULO!$AR$15:$BR$15,$F23,0,OFFSET(ORÇAMENTO!$D$15,CRONO!$F23,0)))
                +IF(AND($F25&lt;&gt;"",$F25&lt;&gt;0),
                        SUMIF(CÁLCULO!$BS$15:$CS$205,CRONO!AR$12,CÁLCULO!$AR$15:$BR$205)/(ORÇAMENTO!$X$15-_xlfn.single(CÁLCULO.TotalAdmLocal))*CRONO!$F25,
                        0),
                 AR24*$S23),
          SUMIF(OFFSET($S25,1,0,$R23-2),($M23+1)&amp;"$",OFFSET(AR25,1,0,$R23-2)))</f>
        <v>0</v>
      </c>
      <c r="AS25" s="439" t="n">
        <f aca="false" t="array" ref="AS25:AS25">IF($R23=2,
         IF(AND(ACOMPANHAMENTO="PLE",ISNUMBER($F23)),
                SUMIF((OFFSET(CÁLCULO!$BS$15:$CS$15,$F23,0,OFFSET(ORÇAMENTO!$D$15,CRONO!$F23,0))),CRONO!AS$12,OFFSET(CÁLCULO!$AR$15:$BR$15,$F23,0,OFFSET(ORÇAMENTO!$D$15,CRONO!$F23,0)))
                +IF(AND($F25&lt;&gt;"",$F25&lt;&gt;0),
                        SUMIF(CÁLCULO!$BS$15:$CS$205,CRONO!AS$12,CÁLCULO!$AR$15:$BR$205)/(ORÇAMENTO!$X$15-_xlfn.single(CÁLCULO.TotalAdmLocal))*CRONO!$F25,
                        0),
                 AS24*$S23),
          SUMIF(OFFSET($S25,1,0,$R23-2),($M23+1)&amp;"$",OFFSET(AS25,1,0,$R23-2)))</f>
        <v>0</v>
      </c>
      <c r="AT25" s="439" t="n">
        <f aca="false" t="array" ref="AT25:AT25">IF($R23=2,
         IF(AND(ACOMPANHAMENTO="PLE",ISNUMBER($F23)),
                SUMIF((OFFSET(CÁLCULO!$BS$15:$CS$15,$F23,0,OFFSET(ORÇAMENTO!$D$15,CRONO!$F23,0))),CRONO!AT$12,OFFSET(CÁLCULO!$AR$15:$BR$15,$F23,0,OFFSET(ORÇAMENTO!$D$15,CRONO!$F23,0)))
                +IF(AND($F25&lt;&gt;"",$F25&lt;&gt;0),
                        SUMIF(CÁLCULO!$BS$15:$CS$205,CRONO!AT$12,CÁLCULO!$AR$15:$BR$205)/(ORÇAMENTO!$X$15-_xlfn.single(CÁLCULO.TotalAdmLocal))*CRONO!$F25,
                        0),
                 AT24*$S23),
          SUMIF(OFFSET($S25,1,0,$R23-2),($M23+1)&amp;"$",OFFSET(AT25,1,0,$R23-2)))</f>
        <v>0</v>
      </c>
      <c r="AU25" s="439" t="n">
        <f aca="false" t="array" ref="AU25:AU25">IF($R23=2,
         IF(AND(ACOMPANHAMENTO="PLE",ISNUMBER($F23)),
                SUMIF((OFFSET(CÁLCULO!$BS$15:$CS$15,$F23,0,OFFSET(ORÇAMENTO!$D$15,CRONO!$F23,0))),CRONO!AU$12,OFFSET(CÁLCULO!$AR$15:$BR$15,$F23,0,OFFSET(ORÇAMENTO!$D$15,CRONO!$F23,0)))
                +IF(AND($F25&lt;&gt;"",$F25&lt;&gt;0),
                        SUMIF(CÁLCULO!$BS$15:$CS$205,CRONO!AU$12,CÁLCULO!$AR$15:$BR$205)/(ORÇAMENTO!$X$15-_xlfn.single(CÁLCULO.TotalAdmLocal))*CRONO!$F25,
                        0),
                 AU24*$S23),
          SUMIF(OFFSET($S25,1,0,$R23-2),($M23+1)&amp;"$",OFFSET(AU25,1,0,$R23-2)))</f>
        <v>0</v>
      </c>
      <c r="AV25" s="439" t="n">
        <f aca="false" t="array" ref="AV25:AV25">IF($R23=2,
         IF(AND(ACOMPANHAMENTO="PLE",ISNUMBER($F23)),
                SUMIF((OFFSET(CÁLCULO!$BS$15:$CS$15,$F23,0,OFFSET(ORÇAMENTO!$D$15,CRONO!$F23,0))),CRONO!AV$12,OFFSET(CÁLCULO!$AR$15:$BR$15,$F23,0,OFFSET(ORÇAMENTO!$D$15,CRONO!$F23,0)))
                +IF(AND($F25&lt;&gt;"",$F25&lt;&gt;0),
                        SUMIF(CÁLCULO!$BS$15:$CS$205,CRONO!AV$12,CÁLCULO!$AR$15:$BR$205)/(ORÇAMENTO!$X$15-_xlfn.single(CÁLCULO.TotalAdmLocal))*CRONO!$F25,
                        0),
                 AV24*$S23),
          SUMIF(OFFSET($S25,1,0,$R23-2),($M23+1)&amp;"$",OFFSET(AV25,1,0,$R23-2)))</f>
        <v>0</v>
      </c>
      <c r="AW25" s="439" t="n">
        <f aca="false" t="array" ref="AW25:AW25">IF($R23=2,
         IF(AND(ACOMPANHAMENTO="PLE",ISNUMBER($F23)),
                SUMIF((OFFSET(CÁLCULO!$BS$15:$CS$15,$F23,0,OFFSET(ORÇAMENTO!$D$15,CRONO!$F23,0))),CRONO!AW$12,OFFSET(CÁLCULO!$AR$15:$BR$15,$F23,0,OFFSET(ORÇAMENTO!$D$15,CRONO!$F23,0)))
                +IF(AND($F25&lt;&gt;"",$F25&lt;&gt;0),
                        SUMIF(CÁLCULO!$BS$15:$CS$205,CRONO!AW$12,CÁLCULO!$AR$15:$BR$205)/(ORÇAMENTO!$X$15-_xlfn.single(CÁLCULO.TotalAdmLocal))*CRONO!$F25,
                        0),
                 AW24*$S23),
          SUMIF(OFFSET($S25,1,0,$R23-2),($M23+1)&amp;"$",OFFSET(AW25,1,0,$R23-2)))</f>
        <v>0</v>
      </c>
      <c r="AX25" s="439" t="n">
        <f aca="false" t="array" ref="AX25:AX25">IF($R23=2,
         IF(AND(ACOMPANHAMENTO="PLE",ISNUMBER($F23)),
                SUMIF((OFFSET(CÁLCULO!$BS$15:$CS$15,$F23,0,OFFSET(ORÇAMENTO!$D$15,CRONO!$F23,0))),CRONO!AX$12,OFFSET(CÁLCULO!$AR$15:$BR$15,$F23,0,OFFSET(ORÇAMENTO!$D$15,CRONO!$F23,0)))
                +IF(AND($F25&lt;&gt;"",$F25&lt;&gt;0),
                        SUMIF(CÁLCULO!$BS$15:$CS$205,CRONO!AX$12,CÁLCULO!$AR$15:$BR$205)/(ORÇAMENTO!$X$15-_xlfn.single(CÁLCULO.TotalAdmLocal))*CRONO!$F25,
                        0),
                 AX24*$S23),
          SUMIF(OFFSET($S25,1,0,$R23-2),($M23+1)&amp;"$",OFFSET(AX25,1,0,$R23-2)))</f>
        <v>0</v>
      </c>
      <c r="AY25" s="439" t="n">
        <f aca="false" t="array" ref="AY25:AY25">IF($R23=2,
         IF(AND(ACOMPANHAMENTO="PLE",ISNUMBER($F23)),
                SUMIF((OFFSET(CÁLCULO!$BS$15:$CS$15,$F23,0,OFFSET(ORÇAMENTO!$D$15,CRONO!$F23,0))),CRONO!AY$12,OFFSET(CÁLCULO!$AR$15:$BR$15,$F23,0,OFFSET(ORÇAMENTO!$D$15,CRONO!$F23,0)))
                +IF(AND($F25&lt;&gt;"",$F25&lt;&gt;0),
                        SUMIF(CÁLCULO!$BS$15:$CS$205,CRONO!AY$12,CÁLCULO!$AR$15:$BR$205)/(ORÇAMENTO!$X$15-_xlfn.single(CÁLCULO.TotalAdmLocal))*CRONO!$F25,
                        0),
                 AY24*$S23),
          SUMIF(OFFSET($S25,1,0,$R23-2),($M23+1)&amp;"$",OFFSET(AY25,1,0,$R23-2)))</f>
        <v>0</v>
      </c>
      <c r="AZ25" s="439" t="n">
        <f aca="false" t="array" ref="AZ25:AZ25">IF($R23=2,
         IF(AND(ACOMPANHAMENTO="PLE",ISNUMBER($F23)),
                SUMIF((OFFSET(CÁLCULO!$BS$15:$CS$15,$F23,0,OFFSET(ORÇAMENTO!$D$15,CRONO!$F23,0))),CRONO!AZ$12,OFFSET(CÁLCULO!$AR$15:$BR$15,$F23,0,OFFSET(ORÇAMENTO!$D$15,CRONO!$F23,0)))
                +IF(AND($F25&lt;&gt;"",$F25&lt;&gt;0),
                        SUMIF(CÁLCULO!$BS$15:$CS$205,CRONO!AZ$12,CÁLCULO!$AR$15:$BR$205)/(ORÇAMENTO!$X$15-_xlfn.single(CÁLCULO.TotalAdmLocal))*CRONO!$F25,
                        0),
                 AZ24*$S23),
          SUMIF(OFFSET($S25,1,0,$R23-2),($M23+1)&amp;"$",OFFSET(AZ25,1,0,$R23-2)))</f>
        <v>0</v>
      </c>
      <c r="BA25" s="439" t="n">
        <f aca="false" t="array" ref="BA25:BA25">IF($R23=2,
         IF(AND(ACOMPANHAMENTO="PLE",ISNUMBER($F23)),
                SUMIF((OFFSET(CÁLCULO!$BS$15:$CS$15,$F23,0,OFFSET(ORÇAMENTO!$D$15,CRONO!$F23,0))),CRONO!BA$12,OFFSET(CÁLCULO!$AR$15:$BR$15,$F23,0,OFFSET(ORÇAMENTO!$D$15,CRONO!$F23,0)))
                +IF(AND($F25&lt;&gt;"",$F25&lt;&gt;0),
                        SUMIF(CÁLCULO!$BS$15:$CS$205,CRONO!BA$12,CÁLCULO!$AR$15:$BR$205)/(ORÇAMENTO!$X$15-_xlfn.single(CÁLCULO.TotalAdmLocal))*CRONO!$F25,
                        0),
                 BA24*$S23),
          SUMIF(OFFSET($S25,1,0,$R23-2),($M23+1)&amp;"$",OFFSET(BA25,1,0,$R23-2)))</f>
        <v>0</v>
      </c>
      <c r="BB25" s="439" t="n">
        <f aca="false" t="array" ref="BB25:BB25">IF($R23=2,
         IF(AND(ACOMPANHAMENTO="PLE",ISNUMBER($F23)),
                SUMIF((OFFSET(CÁLCULO!$BS$15:$CS$15,$F23,0,OFFSET(ORÇAMENTO!$D$15,CRONO!$F23,0))),CRONO!BB$12,OFFSET(CÁLCULO!$AR$15:$BR$15,$F23,0,OFFSET(ORÇAMENTO!$D$15,CRONO!$F23,0)))
                +IF(AND($F25&lt;&gt;"",$F25&lt;&gt;0),
                        SUMIF(CÁLCULO!$BS$15:$CS$205,CRONO!BB$12,CÁLCULO!$AR$15:$BR$205)/(ORÇAMENTO!$X$15-_xlfn.single(CÁLCULO.TotalAdmLocal))*CRONO!$F25,
                        0),
                 BB24*$S23),
          SUMIF(OFFSET($S25,1,0,$R23-2),($M23+1)&amp;"$",OFFSET(BB25,1,0,$R23-2)))</f>
        <v>0</v>
      </c>
      <c r="BC25" s="439" t="n">
        <f aca="false" t="array" ref="BC25:BC25">IF($R23=2,
         IF(AND(ACOMPANHAMENTO="PLE",ISNUMBER($F23)),
                SUMIF((OFFSET(CÁLCULO!$BS$15:$CS$15,$F23,0,OFFSET(ORÇAMENTO!$D$15,CRONO!$F23,0))),CRONO!BC$12,OFFSET(CÁLCULO!$AR$15:$BR$15,$F23,0,OFFSET(ORÇAMENTO!$D$15,CRONO!$F23,0)))
                +IF(AND($F25&lt;&gt;"",$F25&lt;&gt;0),
                        SUMIF(CÁLCULO!$BS$15:$CS$205,CRONO!BC$12,CÁLCULO!$AR$15:$BR$205)/(ORÇAMENTO!$X$15-_xlfn.single(CÁLCULO.TotalAdmLocal))*CRONO!$F25,
                        0),
                 BC24*$S23),
          SUMIF(OFFSET($S25,1,0,$R23-2),($M23+1)&amp;"$",OFFSET(BC25,1,0,$R23-2)))</f>
        <v>0</v>
      </c>
      <c r="BD25" s="439" t="n">
        <f aca="false" t="array" ref="BD25:BD25">IF($R23=2,
         IF(AND(ACOMPANHAMENTO="PLE",ISNUMBER($F23)),
                SUMIF((OFFSET(CÁLCULO!$BS$15:$CS$15,$F23,0,OFFSET(ORÇAMENTO!$D$15,CRONO!$F23,0))),CRONO!BD$12,OFFSET(CÁLCULO!$AR$15:$BR$15,$F23,0,OFFSET(ORÇAMENTO!$D$15,CRONO!$F23,0)))
                +IF(AND($F25&lt;&gt;"",$F25&lt;&gt;0),
                        SUMIF(CÁLCULO!$BS$15:$CS$205,CRONO!BD$12,CÁLCULO!$AR$15:$BR$205)/(ORÇAMENTO!$X$15-_xlfn.single(CÁLCULO.TotalAdmLocal))*CRONO!$F25,
                        0),
                 BD24*$S23),
          SUMIF(OFFSET($S25,1,0,$R23-2),($M23+1)&amp;"$",OFFSET(BD25,1,0,$R23-2)))</f>
        <v>0</v>
      </c>
      <c r="BE25" s="430"/>
    </row>
    <row r="26" customFormat="false" ht="12.75" hidden="true" customHeight="false" outlineLevel="0" collapsed="false">
      <c r="A26" s="382" t="str">
        <f aca="false">IF($M26&gt;1,_xlfn.CONCAT($I26," ",$J26),"")</f>
        <v>1.4. FUNDAÇÕES</v>
      </c>
      <c r="B26" s="419" t="n">
        <f aca="true">OFFSET(B26,-3,0)+1</f>
        <v>5</v>
      </c>
      <c r="C26" s="419" t="n">
        <f aca="true">IF($R26&lt;&gt;2,0,IF($S26=0,1,IF(F27&gt;0,OFFSET(QCI!$M$13,SUBSTITUTE(F27,".",""),0),OFFSET(ORÇAMENTO!$AA$15,CRONO!$F26,0))/$S26))</f>
        <v>1</v>
      </c>
      <c r="D26" s="419" t="n">
        <f aca="true">IF($R26&lt;&gt;2,0,IF($S26=0,1,IF(F27&gt;0,OFFSET(QCI!$N$13,SUBSTITUTE(F27,".",""),0),OFFSET(ORÇAMENTO!$AB$15,CRONO!$F26,0))/$S26))</f>
        <v>1</v>
      </c>
      <c r="E26" s="422" t="e">
        <f aca="false" t="array" ref="E26:E26">IF(AND($R26=2,ACOMPANHAMENTO="BM"),ROUND(E27,4),E28/$S26)</f>
        <v>#DIV/0!</v>
      </c>
      <c r="F26" s="419" t="n">
        <f aca="true">IF(B26&lt;=ORÇAMENTO.MáximoListaCrono,MATCH(B26,ORÇAMENTO.ListaCrono,0),NA())</f>
        <v>13</v>
      </c>
      <c r="G26" s="419" t="str">
        <f aca="false">IF(AND($F27&lt;&gt;-1,$S26&gt;0),"F","")</f>
        <v/>
      </c>
      <c r="H26" s="423" t="str">
        <f aca="false" t="array" ref="H26:H26">IF(OR(S26=0,S26=""),"Linha",IF(AND(OR(ACOMPANHAMENTO="PLE",$R26&lt;&gt;2),$F27=0),"Linha",ROUND(1-SUM(U26:BE26),4)))</f>
        <v>Linha</v>
      </c>
      <c r="I26" s="424" t="str">
        <f aca="true">IF($F27=0,OFFSET(ORÇAMENTO!O$15,$F26,0),IF($F27&lt;&gt;-1,OFFSET(QCI!$D$13,$F27,0),""))</f>
        <v>1.4.</v>
      </c>
      <c r="J26" s="425" t="str">
        <f aca="true">IF($F27=0,OFFSET(ORÇAMENTO!R$15,$F26,0),IF($F27&lt;&gt;-1,OFFSET(QCI!$G$13,$F27,0),""))</f>
        <v>FUNDAÇÕES</v>
      </c>
      <c r="K26" s="425"/>
      <c r="L26" s="425"/>
      <c r="M26" s="426" t="n">
        <f aca="true">IF($F27=0,OFFSET(ORÇAMENTO!C$15,$F26,0),1)</f>
        <v>2</v>
      </c>
      <c r="N26" s="427" t="n">
        <f aca="true">IF($F27=-1,0,IF(N$13&lt;=$M26,IF(ISERROR(MATCH(N$13,OFFSET($M26,1,0,ROW($M$182)-ROW($M26)-1),0)),ROW($M$182)-ROW($M26)-1,MATCH(N$13,OFFSET($M26,1,0,ROW($M$182)-ROW($M26)-1),0)-1),0))</f>
        <v>155</v>
      </c>
      <c r="O26" s="427" t="n">
        <f aca="true">IF($F27=-1,0,IF(O$13&lt;=$M26,IF(ISERROR(MATCH(O$13,OFFSET($M26,1,0,ROW($M$182)-ROW($M26)-1),0)),ROW($M$182)-ROW($M26)-1,MATCH(O$13,OFFSET($M26,1,0,ROW($M$182)-ROW($M26)-1),0)-1),0))</f>
        <v>2</v>
      </c>
      <c r="P26" s="427" t="n">
        <f aca="true">IF($F27=-1,0,IF(P$13&lt;=$M26,IF(ISERROR(MATCH(P$13,OFFSET($M26,1,0,ROW($M$182)-ROW($M26)-1),0)),ROW($M$182)-ROW($M26)-1,MATCH(P$13,OFFSET($M26,1,0,ROW($M$182)-ROW($M26)-1),0)-1),0))</f>
        <v>0</v>
      </c>
      <c r="Q26" s="427" t="n">
        <f aca="true">IF($F27=-1,0,IF(Q$13&lt;=$M26,IF(ISERROR(MATCH(Q$13,OFFSET($M26,1,0,ROW($M$182)-ROW($M26)-1),0)),ROW($M$182)-ROW($M26)-1,MATCH(Q$13,OFFSET($M26,1,0,ROW($M$182)-ROW($M26)-1),0)-1),0))</f>
        <v>0</v>
      </c>
      <c r="R26" s="427" t="n">
        <f aca="true">MIN(OFFSET(M26,0,1,,M26))</f>
        <v>2</v>
      </c>
      <c r="S26" s="428" t="n">
        <f aca="true">IF($F27=0,OFFSET(ORÇAMENTO!X$15,$F26,0),IF($F27&lt;&gt;-1,OFFSET(QCI!$O$13,$F27,0),""))</f>
        <v>0</v>
      </c>
      <c r="T26" s="429" t="s">
        <v>996</v>
      </c>
      <c r="U26" s="422" t="e">
        <f aca="false" t="array" ref="U26:U26">IF(AND($R26=2,ACOMPANHAMENTO="BM"),ROUND(U27,4),U28/$S26)</f>
        <v>#DIV/0!</v>
      </c>
      <c r="V26" s="422" t="e">
        <f aca="false" t="array" ref="V26:V26">IF(AND($R26=2,ACOMPANHAMENTO="BM"),ROUND(V27,4),V28/$S26)</f>
        <v>#DIV/0!</v>
      </c>
      <c r="W26" s="422" t="e">
        <f aca="false" t="array" ref="W26:W26">IF(AND($R26=2,ACOMPANHAMENTO="BM"),ROUND(W27,4),W28/$S26)</f>
        <v>#DIV/0!</v>
      </c>
      <c r="X26" s="422" t="e">
        <f aca="false" t="array" ref="X26:X26">IF(AND($R26=2,ACOMPANHAMENTO="BM"),ROUND(X27,4),X28/$S26)</f>
        <v>#DIV/0!</v>
      </c>
      <c r="Y26" s="422" t="e">
        <f aca="false" t="array" ref="Y26:Y26">IF(AND($R26=2,ACOMPANHAMENTO="BM"),ROUND(Y27,4),Y28/$S26)</f>
        <v>#DIV/0!</v>
      </c>
      <c r="Z26" s="422" t="e">
        <f aca="false" t="array" ref="Z26:Z26">IF(AND($R26=2,ACOMPANHAMENTO="BM"),ROUND(Z27,4),Z28/$S26)</f>
        <v>#DIV/0!</v>
      </c>
      <c r="AA26" s="422" t="e">
        <f aca="false" t="array" ref="AA26:AA26">IF(AND($R26=2,ACOMPANHAMENTO="BM"),ROUND(AA27,4),AA28/$S26)</f>
        <v>#DIV/0!</v>
      </c>
      <c r="AB26" s="422" t="e">
        <f aca="false" t="array" ref="AB26:AB26">IF(AND($R26=2,ACOMPANHAMENTO="BM"),ROUND(AB27,4),AB28/$S26)</f>
        <v>#DIV/0!</v>
      </c>
      <c r="AC26" s="422" t="e">
        <f aca="false" t="array" ref="AC26:AC26">IF(AND($R26=2,ACOMPANHAMENTO="BM"),ROUND(AC27,4),AC28/$S26)</f>
        <v>#DIV/0!</v>
      </c>
      <c r="AD26" s="422" t="e">
        <f aca="false" t="array" ref="AD26:AD26">IF(AND($R26=2,ACOMPANHAMENTO="BM"),ROUND(AD27,4),AD28/$S26)</f>
        <v>#DIV/0!</v>
      </c>
      <c r="AE26" s="422" t="e">
        <f aca="false" t="array" ref="AE26:AE26">IF(AND($R26=2,ACOMPANHAMENTO="BM"),ROUND(AE27,4),AE28/$S26)</f>
        <v>#DIV/0!</v>
      </c>
      <c r="AF26" s="422" t="e">
        <f aca="false" t="array" ref="AF26:AF26">IF(AND($R26=2,ACOMPANHAMENTO="BM"),ROUND(AF27,4),AF28/$S26)</f>
        <v>#DIV/0!</v>
      </c>
      <c r="AG26" s="422" t="e">
        <f aca="false" t="array" ref="AG26:AG26">IF(AND($R26=2,ACOMPANHAMENTO="BM"),ROUND(AG27,4),AG28/$S26)</f>
        <v>#DIV/0!</v>
      </c>
      <c r="AH26" s="422" t="e">
        <f aca="false" t="array" ref="AH26:AH26">IF(AND($R26=2,ACOMPANHAMENTO="BM"),ROUND(AH27,4),AH28/$S26)</f>
        <v>#DIV/0!</v>
      </c>
      <c r="AI26" s="422" t="e">
        <f aca="false" t="array" ref="AI26:AI26">IF(AND($R26=2,ACOMPANHAMENTO="BM"),ROUND(AI27,4),AI28/$S26)</f>
        <v>#DIV/0!</v>
      </c>
      <c r="AJ26" s="422" t="e">
        <f aca="false" t="array" ref="AJ26:AJ26">IF(AND($R26=2,ACOMPANHAMENTO="BM"),ROUND(AJ27,4),AJ28/$S26)</f>
        <v>#DIV/0!</v>
      </c>
      <c r="AK26" s="422" t="e">
        <f aca="false" t="array" ref="AK26:AK26">IF(AND($R26=2,ACOMPANHAMENTO="BM"),ROUND(AK27,4),AK28/$S26)</f>
        <v>#DIV/0!</v>
      </c>
      <c r="AL26" s="422" t="e">
        <f aca="false" t="array" ref="AL26:AL26">IF(AND($R26=2,ACOMPANHAMENTO="BM"),ROUND(AL27,4),AL28/$S26)</f>
        <v>#DIV/0!</v>
      </c>
      <c r="AM26" s="422" t="e">
        <f aca="false" t="array" ref="AM26:AM26">IF(AND($R26=2,ACOMPANHAMENTO="BM"),ROUND(AM27,4),AM28/$S26)</f>
        <v>#DIV/0!</v>
      </c>
      <c r="AN26" s="422" t="e">
        <f aca="false" t="array" ref="AN26:AN26">IF(AND($R26=2,ACOMPANHAMENTO="BM"),ROUND(AN27,4),AN28/$S26)</f>
        <v>#DIV/0!</v>
      </c>
      <c r="AO26" s="422" t="e">
        <f aca="false" t="array" ref="AO26:AO26">IF(AND($R26=2,ACOMPANHAMENTO="BM"),ROUND(AO27,4),AO28/$S26)</f>
        <v>#DIV/0!</v>
      </c>
      <c r="AP26" s="422" t="e">
        <f aca="false" t="array" ref="AP26:AP26">IF(AND($R26=2,ACOMPANHAMENTO="BM"),ROUND(AP27,4),AP28/$S26)</f>
        <v>#DIV/0!</v>
      </c>
      <c r="AQ26" s="422" t="e">
        <f aca="false" t="array" ref="AQ26:AQ26">IF(AND($R26=2,ACOMPANHAMENTO="BM"),ROUND(AQ27,4),AQ28/$S26)</f>
        <v>#DIV/0!</v>
      </c>
      <c r="AR26" s="422" t="e">
        <f aca="false" t="array" ref="AR26:AR26">IF(AND($R26=2,ACOMPANHAMENTO="BM"),ROUND(AR27,4),AR28/$S26)</f>
        <v>#DIV/0!</v>
      </c>
      <c r="AS26" s="422" t="e">
        <f aca="false" t="array" ref="AS26:AS26">IF(AND($R26=2,ACOMPANHAMENTO="BM"),ROUND(AS27,4),AS28/$S26)</f>
        <v>#DIV/0!</v>
      </c>
      <c r="AT26" s="422" t="e">
        <f aca="false" t="array" ref="AT26:AT26">IF(AND($R26=2,ACOMPANHAMENTO="BM"),ROUND(AT27,4),AT28/$S26)</f>
        <v>#DIV/0!</v>
      </c>
      <c r="AU26" s="422" t="e">
        <f aca="false" t="array" ref="AU26:AU26">IF(AND($R26=2,ACOMPANHAMENTO="BM"),ROUND(AU27,4),AU28/$S26)</f>
        <v>#DIV/0!</v>
      </c>
      <c r="AV26" s="422" t="e">
        <f aca="false" t="array" ref="AV26:AV26">IF(AND($R26=2,ACOMPANHAMENTO="BM"),ROUND(AV27,4),AV28/$S26)</f>
        <v>#DIV/0!</v>
      </c>
      <c r="AW26" s="422" t="e">
        <f aca="false" t="array" ref="AW26:AW26">IF(AND($R26=2,ACOMPANHAMENTO="BM"),ROUND(AW27,4),AW28/$S26)</f>
        <v>#DIV/0!</v>
      </c>
      <c r="AX26" s="422" t="e">
        <f aca="false" t="array" ref="AX26:AX26">IF(AND($R26=2,ACOMPANHAMENTO="BM"),ROUND(AX27,4),AX28/$S26)</f>
        <v>#DIV/0!</v>
      </c>
      <c r="AY26" s="422" t="e">
        <f aca="false" t="array" ref="AY26:AY26">IF(AND($R26=2,ACOMPANHAMENTO="BM"),ROUND(AY27,4),AY28/$S26)</f>
        <v>#DIV/0!</v>
      </c>
      <c r="AZ26" s="422" t="e">
        <f aca="false" t="array" ref="AZ26:AZ26">IF(AND($R26=2,ACOMPANHAMENTO="BM"),ROUND(AZ27,4),AZ28/$S26)</f>
        <v>#DIV/0!</v>
      </c>
      <c r="BA26" s="422" t="e">
        <f aca="false" t="array" ref="BA26:BA26">IF(AND($R26=2,ACOMPANHAMENTO="BM"),ROUND(BA27,4),BA28/$S26)</f>
        <v>#DIV/0!</v>
      </c>
      <c r="BB26" s="422" t="e">
        <f aca="false" t="array" ref="BB26:BB26">IF(AND($R26=2,ACOMPANHAMENTO="BM"),ROUND(BB27,4),BB28/$S26)</f>
        <v>#DIV/0!</v>
      </c>
      <c r="BC26" s="422" t="e">
        <f aca="false" t="array" ref="BC26:BC26">IF(AND($R26=2,ACOMPANHAMENTO="BM"),ROUND(BC27,4),BC28/$S26)</f>
        <v>#DIV/0!</v>
      </c>
      <c r="BD26" s="422" t="e">
        <f aca="false" t="array" ref="BD26:BD26">IF(AND($R26=2,ACOMPANHAMENTO="BM"),ROUND(BD27,4),BD28/$S26)</f>
        <v>#DIV/0!</v>
      </c>
      <c r="BE26" s="430"/>
    </row>
    <row r="27" customFormat="false" ht="12.75" hidden="true" customHeight="true" outlineLevel="0" collapsed="false">
      <c r="E27" s="431"/>
      <c r="F27" s="419" t="n">
        <f aca="true">IF(ISERROR(F26),IF(1+COUNTIF($M$13:OFFSET(M26,-1,0),1)&lt;=MAX(QCI!$D$13:$D$15),1+COUNTIF($M$13:OFFSET(M26,-1,0),1),-1),0)</f>
        <v>0</v>
      </c>
      <c r="G27" s="419" t="str">
        <f aca="true" t="array" ref="G27:G27">IF(ACOMPANHAMENTO="BM",OFFSET(G27,-1,0),"")</f>
        <v/>
      </c>
      <c r="H27" s="432" t="str">
        <f aca="false" t="array" ref="H27:H27">IF(OR(S26=0,S26=""),"vazia",IF(AND(OR(ACOMPANHAMENTO="PLE",$R26&lt;&gt;2),$F27=0),"calculada","--&gt;"))</f>
        <v>vazia</v>
      </c>
      <c r="I27" s="433"/>
      <c r="J27" s="434" t="str">
        <f aca="false">IF(AND(H26&lt;&gt;0,ISNUMBER(H26)),"PREENCHA ESTA LINHA --&gt;","")</f>
        <v/>
      </c>
      <c r="K27" s="434"/>
      <c r="L27" s="434"/>
      <c r="M27" s="435"/>
      <c r="N27" s="435"/>
      <c r="O27" s="435"/>
      <c r="P27" s="435"/>
      <c r="Q27" s="435"/>
      <c r="R27" s="435"/>
      <c r="S27" s="436"/>
      <c r="T27" s="437"/>
      <c r="U27" s="431"/>
      <c r="V27" s="431"/>
      <c r="W27" s="431"/>
      <c r="X27" s="431"/>
      <c r="Y27" s="431"/>
      <c r="Z27" s="431"/>
      <c r="AA27" s="431"/>
      <c r="AB27" s="431"/>
      <c r="AC27" s="431"/>
      <c r="AD27" s="431"/>
      <c r="AE27" s="431"/>
      <c r="AF27" s="431"/>
      <c r="AG27" s="431"/>
      <c r="AH27" s="431"/>
      <c r="AI27" s="431"/>
      <c r="AJ27" s="431"/>
      <c r="AK27" s="431"/>
      <c r="AL27" s="431"/>
      <c r="AM27" s="431"/>
      <c r="AN27" s="431"/>
      <c r="AO27" s="431"/>
      <c r="AP27" s="431"/>
      <c r="AQ27" s="431"/>
      <c r="AR27" s="431"/>
      <c r="AS27" s="431"/>
      <c r="AT27" s="431"/>
      <c r="AU27" s="431"/>
      <c r="AV27" s="431"/>
      <c r="AW27" s="431"/>
      <c r="AX27" s="431"/>
      <c r="AY27" s="431"/>
      <c r="AZ27" s="431"/>
      <c r="BA27" s="431"/>
      <c r="BB27" s="431"/>
      <c r="BC27" s="431"/>
      <c r="BD27" s="431"/>
      <c r="BE27" s="430"/>
    </row>
    <row r="28" customFormat="false" ht="12.75" hidden="true" customHeight="true" outlineLevel="0" collapsed="false">
      <c r="D28" s="438"/>
      <c r="E28" s="439" t="n">
        <f aca="false" t="array" ref="E28:E28">IF($R26=2,
         IF(AND(ACOMPANHAMENTO="PLE",ISNUMBER($F26)),
                SUMIF((OFFSET(CÁLCULO!$BS$15:$CS$15,$F26,0,OFFSET(ORÇAMENTO!$D$15,CRONO!$F26,0))),CRONO!E$12,OFFSET(CÁLCULO!$AR$15:$BR$15,$F26,0,OFFSET(ORÇAMENTO!$D$15,CRONO!$F26,0)))
                +IF(AND($F28&lt;&gt;"",$F28&lt;&gt;0),
                        SUMIF(CÁLCULO!$BS$15:$CS$205,CRONO!E$12,CÁLCULO!$AR$15:$BR$205)/(ORÇAMENTO!$X$15-_xlfn.single(CÁLCULO.TotalAdmLocal))*CRONO!$F28,
                        0),
                 E27*$S26),
          SUMIF(OFFSET($S28,1,0,$R26-2),($M26+1)&amp;"$",OFFSET(E28,1,0,$R26-2)))</f>
        <v>0</v>
      </c>
      <c r="F28" s="419" t="str">
        <f aca="true">IF(OR($R26&lt;&gt;2,AUTOEVENTO&lt;&gt;"manual",$F27&gt;0),"",
        IF(Import.TipoArredondamento="Tradicional",
              SUMIF(OFFSET(CÁLCULO!$M$15,CRONO!$F26,0,OFFSET(ORÇAMENTO!$D$15,CRONO!$F26,0)),1,OFFSET(ORÇAMENTO!$X$15,CRONO!$F26,0,OFFSET(ORÇAMENTO!$D$15,CRONO!$F26,0))),
              0))</f>
        <v/>
      </c>
      <c r="H28" s="440"/>
      <c r="S28" s="441" t="str">
        <f aca="false">M26&amp;"$"</f>
        <v>2$</v>
      </c>
      <c r="T28" s="442"/>
      <c r="U28" s="439" t="n">
        <f aca="false" t="array" ref="U28:U28">IF($R26=2,
         IF(AND(ACOMPANHAMENTO="PLE",ISNUMBER($F26)),
                SUMIF((OFFSET(CÁLCULO!$BS$15:$CS$15,$F26,0,OFFSET(ORÇAMENTO!$D$15,CRONO!$F26,0))),CRONO!U$12,OFFSET(CÁLCULO!$AR$15:$BR$15,$F26,0,OFFSET(ORÇAMENTO!$D$15,CRONO!$F26,0)))
                +IF(AND($F28&lt;&gt;"",$F28&lt;&gt;0),
                        SUMIF(CÁLCULO!$BS$15:$CS$205,CRONO!U$12,CÁLCULO!$AR$15:$BR$205)/(ORÇAMENTO!$X$15-_xlfn.single(CÁLCULO.TotalAdmLocal))*CRONO!$F28,
                        0),
                 U27*$S26),
          SUMIF(OFFSET($S28,1,0,$R26-2),($M26+1)&amp;"$",OFFSET(U28,1,0,$R26-2)))</f>
        <v>0</v>
      </c>
      <c r="V28" s="439" t="n">
        <f aca="false" t="array" ref="V28:V28">IF($R26=2,
         IF(AND(ACOMPANHAMENTO="PLE",ISNUMBER($F26)),
                SUMIF((OFFSET(CÁLCULO!$BS$15:$CS$15,$F26,0,OFFSET(ORÇAMENTO!$D$15,CRONO!$F26,0))),CRONO!V$12,OFFSET(CÁLCULO!$AR$15:$BR$15,$F26,0,OFFSET(ORÇAMENTO!$D$15,CRONO!$F26,0)))
                +IF(AND($F28&lt;&gt;"",$F28&lt;&gt;0),
                        SUMIF(CÁLCULO!$BS$15:$CS$205,CRONO!V$12,CÁLCULO!$AR$15:$BR$205)/(ORÇAMENTO!$X$15-_xlfn.single(CÁLCULO.TotalAdmLocal))*CRONO!$F28,
                        0),
                 V27*$S26),
          SUMIF(OFFSET($S28,1,0,$R26-2),($M26+1)&amp;"$",OFFSET(V28,1,0,$R26-2)))</f>
        <v>0</v>
      </c>
      <c r="W28" s="439" t="n">
        <f aca="false" t="array" ref="W28:W28">IF($R26=2,
         IF(AND(ACOMPANHAMENTO="PLE",ISNUMBER($F26)),
                SUMIF((OFFSET(CÁLCULO!$BS$15:$CS$15,$F26,0,OFFSET(ORÇAMENTO!$D$15,CRONO!$F26,0))),CRONO!W$12,OFFSET(CÁLCULO!$AR$15:$BR$15,$F26,0,OFFSET(ORÇAMENTO!$D$15,CRONO!$F26,0)))
                +IF(AND($F28&lt;&gt;"",$F28&lt;&gt;0),
                        SUMIF(CÁLCULO!$BS$15:$CS$205,CRONO!W$12,CÁLCULO!$AR$15:$BR$205)/(ORÇAMENTO!$X$15-_xlfn.single(CÁLCULO.TotalAdmLocal))*CRONO!$F28,
                        0),
                 W27*$S26),
          SUMIF(OFFSET($S28,1,0,$R26-2),($M26+1)&amp;"$",OFFSET(W28,1,0,$R26-2)))</f>
        <v>0</v>
      </c>
      <c r="X28" s="439" t="n">
        <f aca="false" t="array" ref="X28:X28">IF($R26=2,
         IF(AND(ACOMPANHAMENTO="PLE",ISNUMBER($F26)),
                SUMIF((OFFSET(CÁLCULO!$BS$15:$CS$15,$F26,0,OFFSET(ORÇAMENTO!$D$15,CRONO!$F26,0))),CRONO!X$12,OFFSET(CÁLCULO!$AR$15:$BR$15,$F26,0,OFFSET(ORÇAMENTO!$D$15,CRONO!$F26,0)))
                +IF(AND($F28&lt;&gt;"",$F28&lt;&gt;0),
                        SUMIF(CÁLCULO!$BS$15:$CS$205,CRONO!X$12,CÁLCULO!$AR$15:$BR$205)/(ORÇAMENTO!$X$15-_xlfn.single(CÁLCULO.TotalAdmLocal))*CRONO!$F28,
                        0),
                 X27*$S26),
          SUMIF(OFFSET($S28,1,0,$R26-2),($M26+1)&amp;"$",OFFSET(X28,1,0,$R26-2)))</f>
        <v>0</v>
      </c>
      <c r="Y28" s="439" t="n">
        <f aca="false" t="array" ref="Y28:Y28">IF($R26=2,
         IF(AND(ACOMPANHAMENTO="PLE",ISNUMBER($F26)),
                SUMIF((OFFSET(CÁLCULO!$BS$15:$CS$15,$F26,0,OFFSET(ORÇAMENTO!$D$15,CRONO!$F26,0))),CRONO!Y$12,OFFSET(CÁLCULO!$AR$15:$BR$15,$F26,0,OFFSET(ORÇAMENTO!$D$15,CRONO!$F26,0)))
                +IF(AND($F28&lt;&gt;"",$F28&lt;&gt;0),
                        SUMIF(CÁLCULO!$BS$15:$CS$205,CRONO!Y$12,CÁLCULO!$AR$15:$BR$205)/(ORÇAMENTO!$X$15-_xlfn.single(CÁLCULO.TotalAdmLocal))*CRONO!$F28,
                        0),
                 Y27*$S26),
          SUMIF(OFFSET($S28,1,0,$R26-2),($M26+1)&amp;"$",OFFSET(Y28,1,0,$R26-2)))</f>
        <v>0</v>
      </c>
      <c r="Z28" s="439" t="n">
        <f aca="false" t="array" ref="Z28:Z28">IF($R26=2,
         IF(AND(ACOMPANHAMENTO="PLE",ISNUMBER($F26)),
                SUMIF((OFFSET(CÁLCULO!$BS$15:$CS$15,$F26,0,OFFSET(ORÇAMENTO!$D$15,CRONO!$F26,0))),CRONO!Z$12,OFFSET(CÁLCULO!$AR$15:$BR$15,$F26,0,OFFSET(ORÇAMENTO!$D$15,CRONO!$F26,0)))
                +IF(AND($F28&lt;&gt;"",$F28&lt;&gt;0),
                        SUMIF(CÁLCULO!$BS$15:$CS$205,CRONO!Z$12,CÁLCULO!$AR$15:$BR$205)/(ORÇAMENTO!$X$15-_xlfn.single(CÁLCULO.TotalAdmLocal))*CRONO!$F28,
                        0),
                 Z27*$S26),
          SUMIF(OFFSET($S28,1,0,$R26-2),($M26+1)&amp;"$",OFFSET(Z28,1,0,$R26-2)))</f>
        <v>0</v>
      </c>
      <c r="AA28" s="439" t="n">
        <f aca="false" t="array" ref="AA28:AA28">IF($R26=2,
         IF(AND(ACOMPANHAMENTO="PLE",ISNUMBER($F26)),
                SUMIF((OFFSET(CÁLCULO!$BS$15:$CS$15,$F26,0,OFFSET(ORÇAMENTO!$D$15,CRONO!$F26,0))),CRONO!AA$12,OFFSET(CÁLCULO!$AR$15:$BR$15,$F26,0,OFFSET(ORÇAMENTO!$D$15,CRONO!$F26,0)))
                +IF(AND($F28&lt;&gt;"",$F28&lt;&gt;0),
                        SUMIF(CÁLCULO!$BS$15:$CS$205,CRONO!AA$12,CÁLCULO!$AR$15:$BR$205)/(ORÇAMENTO!$X$15-_xlfn.single(CÁLCULO.TotalAdmLocal))*CRONO!$F28,
                        0),
                 AA27*$S26),
          SUMIF(OFFSET($S28,1,0,$R26-2),($M26+1)&amp;"$",OFFSET(AA28,1,0,$R26-2)))</f>
        <v>0</v>
      </c>
      <c r="AB28" s="439" t="n">
        <f aca="false" t="array" ref="AB28:AB28">IF($R26=2,
         IF(AND(ACOMPANHAMENTO="PLE",ISNUMBER($F26)),
                SUMIF((OFFSET(CÁLCULO!$BS$15:$CS$15,$F26,0,OFFSET(ORÇAMENTO!$D$15,CRONO!$F26,0))),CRONO!AB$12,OFFSET(CÁLCULO!$AR$15:$BR$15,$F26,0,OFFSET(ORÇAMENTO!$D$15,CRONO!$F26,0)))
                +IF(AND($F28&lt;&gt;"",$F28&lt;&gt;0),
                        SUMIF(CÁLCULO!$BS$15:$CS$205,CRONO!AB$12,CÁLCULO!$AR$15:$BR$205)/(ORÇAMENTO!$X$15-_xlfn.single(CÁLCULO.TotalAdmLocal))*CRONO!$F28,
                        0),
                 AB27*$S26),
          SUMIF(OFFSET($S28,1,0,$R26-2),($M26+1)&amp;"$",OFFSET(AB28,1,0,$R26-2)))</f>
        <v>0</v>
      </c>
      <c r="AC28" s="439" t="n">
        <f aca="false" t="array" ref="AC28:AC28">IF($R26=2,
         IF(AND(ACOMPANHAMENTO="PLE",ISNUMBER($F26)),
                SUMIF((OFFSET(CÁLCULO!$BS$15:$CS$15,$F26,0,OFFSET(ORÇAMENTO!$D$15,CRONO!$F26,0))),CRONO!AC$12,OFFSET(CÁLCULO!$AR$15:$BR$15,$F26,0,OFFSET(ORÇAMENTO!$D$15,CRONO!$F26,0)))
                +IF(AND($F28&lt;&gt;"",$F28&lt;&gt;0),
                        SUMIF(CÁLCULO!$BS$15:$CS$205,CRONO!AC$12,CÁLCULO!$AR$15:$BR$205)/(ORÇAMENTO!$X$15-_xlfn.single(CÁLCULO.TotalAdmLocal))*CRONO!$F28,
                        0),
                 AC27*$S26),
          SUMIF(OFFSET($S28,1,0,$R26-2),($M26+1)&amp;"$",OFFSET(AC28,1,0,$R26-2)))</f>
        <v>0</v>
      </c>
      <c r="AD28" s="439" t="n">
        <f aca="false" t="array" ref="AD28:AD28">IF($R26=2,
         IF(AND(ACOMPANHAMENTO="PLE",ISNUMBER($F26)),
                SUMIF((OFFSET(CÁLCULO!$BS$15:$CS$15,$F26,0,OFFSET(ORÇAMENTO!$D$15,CRONO!$F26,0))),CRONO!AD$12,OFFSET(CÁLCULO!$AR$15:$BR$15,$F26,0,OFFSET(ORÇAMENTO!$D$15,CRONO!$F26,0)))
                +IF(AND($F28&lt;&gt;"",$F28&lt;&gt;0),
                        SUMIF(CÁLCULO!$BS$15:$CS$205,CRONO!AD$12,CÁLCULO!$AR$15:$BR$205)/(ORÇAMENTO!$X$15-_xlfn.single(CÁLCULO.TotalAdmLocal))*CRONO!$F28,
                        0),
                 AD27*$S26),
          SUMIF(OFFSET($S28,1,0,$R26-2),($M26+1)&amp;"$",OFFSET(AD28,1,0,$R26-2)))</f>
        <v>0</v>
      </c>
      <c r="AE28" s="439" t="n">
        <f aca="false" t="array" ref="AE28:AE28">IF($R26=2,
         IF(AND(ACOMPANHAMENTO="PLE",ISNUMBER($F26)),
                SUMIF((OFFSET(CÁLCULO!$BS$15:$CS$15,$F26,0,OFFSET(ORÇAMENTO!$D$15,CRONO!$F26,0))),CRONO!AE$12,OFFSET(CÁLCULO!$AR$15:$BR$15,$F26,0,OFFSET(ORÇAMENTO!$D$15,CRONO!$F26,0)))
                +IF(AND($F28&lt;&gt;"",$F28&lt;&gt;0),
                        SUMIF(CÁLCULO!$BS$15:$CS$205,CRONO!AE$12,CÁLCULO!$AR$15:$BR$205)/(ORÇAMENTO!$X$15-_xlfn.single(CÁLCULO.TotalAdmLocal))*CRONO!$F28,
                        0),
                 AE27*$S26),
          SUMIF(OFFSET($S28,1,0,$R26-2),($M26+1)&amp;"$",OFFSET(AE28,1,0,$R26-2)))</f>
        <v>0</v>
      </c>
      <c r="AF28" s="439" t="n">
        <f aca="false" t="array" ref="AF28:AF28">IF($R26=2,
         IF(AND(ACOMPANHAMENTO="PLE",ISNUMBER($F26)),
                SUMIF((OFFSET(CÁLCULO!$BS$15:$CS$15,$F26,0,OFFSET(ORÇAMENTO!$D$15,CRONO!$F26,0))),CRONO!AF$12,OFFSET(CÁLCULO!$AR$15:$BR$15,$F26,0,OFFSET(ORÇAMENTO!$D$15,CRONO!$F26,0)))
                +IF(AND($F28&lt;&gt;"",$F28&lt;&gt;0),
                        SUMIF(CÁLCULO!$BS$15:$CS$205,CRONO!AF$12,CÁLCULO!$AR$15:$BR$205)/(ORÇAMENTO!$X$15-_xlfn.single(CÁLCULO.TotalAdmLocal))*CRONO!$F28,
                        0),
                 AF27*$S26),
          SUMIF(OFFSET($S28,1,0,$R26-2),($M26+1)&amp;"$",OFFSET(AF28,1,0,$R26-2)))</f>
        <v>0</v>
      </c>
      <c r="AG28" s="439" t="n">
        <f aca="false" t="array" ref="AG28:AG28">IF($R26=2,
         IF(AND(ACOMPANHAMENTO="PLE",ISNUMBER($F26)),
                SUMIF((OFFSET(CÁLCULO!$BS$15:$CS$15,$F26,0,OFFSET(ORÇAMENTO!$D$15,CRONO!$F26,0))),CRONO!AG$12,OFFSET(CÁLCULO!$AR$15:$BR$15,$F26,0,OFFSET(ORÇAMENTO!$D$15,CRONO!$F26,0)))
                +IF(AND($F28&lt;&gt;"",$F28&lt;&gt;0),
                        SUMIF(CÁLCULO!$BS$15:$CS$205,CRONO!AG$12,CÁLCULO!$AR$15:$BR$205)/(ORÇAMENTO!$X$15-_xlfn.single(CÁLCULO.TotalAdmLocal))*CRONO!$F28,
                        0),
                 AG27*$S26),
          SUMIF(OFFSET($S28,1,0,$R26-2),($M26+1)&amp;"$",OFFSET(AG28,1,0,$R26-2)))</f>
        <v>0</v>
      </c>
      <c r="AH28" s="439" t="n">
        <f aca="false" t="array" ref="AH28:AH28">IF($R26=2,
         IF(AND(ACOMPANHAMENTO="PLE",ISNUMBER($F26)),
                SUMIF((OFFSET(CÁLCULO!$BS$15:$CS$15,$F26,0,OFFSET(ORÇAMENTO!$D$15,CRONO!$F26,0))),CRONO!AH$12,OFFSET(CÁLCULO!$AR$15:$BR$15,$F26,0,OFFSET(ORÇAMENTO!$D$15,CRONO!$F26,0)))
                +IF(AND($F28&lt;&gt;"",$F28&lt;&gt;0),
                        SUMIF(CÁLCULO!$BS$15:$CS$205,CRONO!AH$12,CÁLCULO!$AR$15:$BR$205)/(ORÇAMENTO!$X$15-_xlfn.single(CÁLCULO.TotalAdmLocal))*CRONO!$F28,
                        0),
                 AH27*$S26),
          SUMIF(OFFSET($S28,1,0,$R26-2),($M26+1)&amp;"$",OFFSET(AH28,1,0,$R26-2)))</f>
        <v>0</v>
      </c>
      <c r="AI28" s="439" t="n">
        <f aca="false" t="array" ref="AI28:AI28">IF($R26=2,
         IF(AND(ACOMPANHAMENTO="PLE",ISNUMBER($F26)),
                SUMIF((OFFSET(CÁLCULO!$BS$15:$CS$15,$F26,0,OFFSET(ORÇAMENTO!$D$15,CRONO!$F26,0))),CRONO!AI$12,OFFSET(CÁLCULO!$AR$15:$BR$15,$F26,0,OFFSET(ORÇAMENTO!$D$15,CRONO!$F26,0)))
                +IF(AND($F28&lt;&gt;"",$F28&lt;&gt;0),
                        SUMIF(CÁLCULO!$BS$15:$CS$205,CRONO!AI$12,CÁLCULO!$AR$15:$BR$205)/(ORÇAMENTO!$X$15-_xlfn.single(CÁLCULO.TotalAdmLocal))*CRONO!$F28,
                        0),
                 AI27*$S26),
          SUMIF(OFFSET($S28,1,0,$R26-2),($M26+1)&amp;"$",OFFSET(AI28,1,0,$R26-2)))</f>
        <v>0</v>
      </c>
      <c r="AJ28" s="439" t="n">
        <f aca="false" t="array" ref="AJ28:AJ28">IF($R26=2,
         IF(AND(ACOMPANHAMENTO="PLE",ISNUMBER($F26)),
                SUMIF((OFFSET(CÁLCULO!$BS$15:$CS$15,$F26,0,OFFSET(ORÇAMENTO!$D$15,CRONO!$F26,0))),CRONO!AJ$12,OFFSET(CÁLCULO!$AR$15:$BR$15,$F26,0,OFFSET(ORÇAMENTO!$D$15,CRONO!$F26,0)))
                +IF(AND($F28&lt;&gt;"",$F28&lt;&gt;0),
                        SUMIF(CÁLCULO!$BS$15:$CS$205,CRONO!AJ$12,CÁLCULO!$AR$15:$BR$205)/(ORÇAMENTO!$X$15-_xlfn.single(CÁLCULO.TotalAdmLocal))*CRONO!$F28,
                        0),
                 AJ27*$S26),
          SUMIF(OFFSET($S28,1,0,$R26-2),($M26+1)&amp;"$",OFFSET(AJ28,1,0,$R26-2)))</f>
        <v>0</v>
      </c>
      <c r="AK28" s="439" t="n">
        <f aca="false" t="array" ref="AK28:AK28">IF($R26=2,
         IF(AND(ACOMPANHAMENTO="PLE",ISNUMBER($F26)),
                SUMIF((OFFSET(CÁLCULO!$BS$15:$CS$15,$F26,0,OFFSET(ORÇAMENTO!$D$15,CRONO!$F26,0))),CRONO!AK$12,OFFSET(CÁLCULO!$AR$15:$BR$15,$F26,0,OFFSET(ORÇAMENTO!$D$15,CRONO!$F26,0)))
                +IF(AND($F28&lt;&gt;"",$F28&lt;&gt;0),
                        SUMIF(CÁLCULO!$BS$15:$CS$205,CRONO!AK$12,CÁLCULO!$AR$15:$BR$205)/(ORÇAMENTO!$X$15-_xlfn.single(CÁLCULO.TotalAdmLocal))*CRONO!$F28,
                        0),
                 AK27*$S26),
          SUMIF(OFFSET($S28,1,0,$R26-2),($M26+1)&amp;"$",OFFSET(AK28,1,0,$R26-2)))</f>
        <v>0</v>
      </c>
      <c r="AL28" s="439" t="n">
        <f aca="false" t="array" ref="AL28:AL28">IF($R26=2,
         IF(AND(ACOMPANHAMENTO="PLE",ISNUMBER($F26)),
                SUMIF((OFFSET(CÁLCULO!$BS$15:$CS$15,$F26,0,OFFSET(ORÇAMENTO!$D$15,CRONO!$F26,0))),CRONO!AL$12,OFFSET(CÁLCULO!$AR$15:$BR$15,$F26,0,OFFSET(ORÇAMENTO!$D$15,CRONO!$F26,0)))
                +IF(AND($F28&lt;&gt;"",$F28&lt;&gt;0),
                        SUMIF(CÁLCULO!$BS$15:$CS$205,CRONO!AL$12,CÁLCULO!$AR$15:$BR$205)/(ORÇAMENTO!$X$15-_xlfn.single(CÁLCULO.TotalAdmLocal))*CRONO!$F28,
                        0),
                 AL27*$S26),
          SUMIF(OFFSET($S28,1,0,$R26-2),($M26+1)&amp;"$",OFFSET(AL28,1,0,$R26-2)))</f>
        <v>0</v>
      </c>
      <c r="AM28" s="439" t="n">
        <f aca="false" t="array" ref="AM28:AM28">IF($R26=2,
         IF(AND(ACOMPANHAMENTO="PLE",ISNUMBER($F26)),
                SUMIF((OFFSET(CÁLCULO!$BS$15:$CS$15,$F26,0,OFFSET(ORÇAMENTO!$D$15,CRONO!$F26,0))),CRONO!AM$12,OFFSET(CÁLCULO!$AR$15:$BR$15,$F26,0,OFFSET(ORÇAMENTO!$D$15,CRONO!$F26,0)))
                +IF(AND($F28&lt;&gt;"",$F28&lt;&gt;0),
                        SUMIF(CÁLCULO!$BS$15:$CS$205,CRONO!AM$12,CÁLCULO!$AR$15:$BR$205)/(ORÇAMENTO!$X$15-_xlfn.single(CÁLCULO.TotalAdmLocal))*CRONO!$F28,
                        0),
                 AM27*$S26),
          SUMIF(OFFSET($S28,1,0,$R26-2),($M26+1)&amp;"$",OFFSET(AM28,1,0,$R26-2)))</f>
        <v>0</v>
      </c>
      <c r="AN28" s="439" t="n">
        <f aca="false" t="array" ref="AN28:AN28">IF($R26=2,
         IF(AND(ACOMPANHAMENTO="PLE",ISNUMBER($F26)),
                SUMIF((OFFSET(CÁLCULO!$BS$15:$CS$15,$F26,0,OFFSET(ORÇAMENTO!$D$15,CRONO!$F26,0))),CRONO!AN$12,OFFSET(CÁLCULO!$AR$15:$BR$15,$F26,0,OFFSET(ORÇAMENTO!$D$15,CRONO!$F26,0)))
                +IF(AND($F28&lt;&gt;"",$F28&lt;&gt;0),
                        SUMIF(CÁLCULO!$BS$15:$CS$205,CRONO!AN$12,CÁLCULO!$AR$15:$BR$205)/(ORÇAMENTO!$X$15-_xlfn.single(CÁLCULO.TotalAdmLocal))*CRONO!$F28,
                        0),
                 AN27*$S26),
          SUMIF(OFFSET($S28,1,0,$R26-2),($M26+1)&amp;"$",OFFSET(AN28,1,0,$R26-2)))</f>
        <v>0</v>
      </c>
      <c r="AO28" s="439" t="n">
        <f aca="false" t="array" ref="AO28:AO28">IF($R26=2,
         IF(AND(ACOMPANHAMENTO="PLE",ISNUMBER($F26)),
                SUMIF((OFFSET(CÁLCULO!$BS$15:$CS$15,$F26,0,OFFSET(ORÇAMENTO!$D$15,CRONO!$F26,0))),CRONO!AO$12,OFFSET(CÁLCULO!$AR$15:$BR$15,$F26,0,OFFSET(ORÇAMENTO!$D$15,CRONO!$F26,0)))
                +IF(AND($F28&lt;&gt;"",$F28&lt;&gt;0),
                        SUMIF(CÁLCULO!$BS$15:$CS$205,CRONO!AO$12,CÁLCULO!$AR$15:$BR$205)/(ORÇAMENTO!$X$15-_xlfn.single(CÁLCULO.TotalAdmLocal))*CRONO!$F28,
                        0),
                 AO27*$S26),
          SUMIF(OFFSET($S28,1,0,$R26-2),($M26+1)&amp;"$",OFFSET(AO28,1,0,$R26-2)))</f>
        <v>0</v>
      </c>
      <c r="AP28" s="439" t="n">
        <f aca="false" t="array" ref="AP28:AP28">IF($R26=2,
         IF(AND(ACOMPANHAMENTO="PLE",ISNUMBER($F26)),
                SUMIF((OFFSET(CÁLCULO!$BS$15:$CS$15,$F26,0,OFFSET(ORÇAMENTO!$D$15,CRONO!$F26,0))),CRONO!AP$12,OFFSET(CÁLCULO!$AR$15:$BR$15,$F26,0,OFFSET(ORÇAMENTO!$D$15,CRONO!$F26,0)))
                +IF(AND($F28&lt;&gt;"",$F28&lt;&gt;0),
                        SUMIF(CÁLCULO!$BS$15:$CS$205,CRONO!AP$12,CÁLCULO!$AR$15:$BR$205)/(ORÇAMENTO!$X$15-_xlfn.single(CÁLCULO.TotalAdmLocal))*CRONO!$F28,
                        0),
                 AP27*$S26),
          SUMIF(OFFSET($S28,1,0,$R26-2),($M26+1)&amp;"$",OFFSET(AP28,1,0,$R26-2)))</f>
        <v>0</v>
      </c>
      <c r="AQ28" s="439" t="n">
        <f aca="false" t="array" ref="AQ28:AQ28">IF($R26=2,
         IF(AND(ACOMPANHAMENTO="PLE",ISNUMBER($F26)),
                SUMIF((OFFSET(CÁLCULO!$BS$15:$CS$15,$F26,0,OFFSET(ORÇAMENTO!$D$15,CRONO!$F26,0))),CRONO!AQ$12,OFFSET(CÁLCULO!$AR$15:$BR$15,$F26,0,OFFSET(ORÇAMENTO!$D$15,CRONO!$F26,0)))
                +IF(AND($F28&lt;&gt;"",$F28&lt;&gt;0),
                        SUMIF(CÁLCULO!$BS$15:$CS$205,CRONO!AQ$12,CÁLCULO!$AR$15:$BR$205)/(ORÇAMENTO!$X$15-_xlfn.single(CÁLCULO.TotalAdmLocal))*CRONO!$F28,
                        0),
                 AQ27*$S26),
          SUMIF(OFFSET($S28,1,0,$R26-2),($M26+1)&amp;"$",OFFSET(AQ28,1,0,$R26-2)))</f>
        <v>0</v>
      </c>
      <c r="AR28" s="439" t="n">
        <f aca="false" t="array" ref="AR28:AR28">IF($R26=2,
         IF(AND(ACOMPANHAMENTO="PLE",ISNUMBER($F26)),
                SUMIF((OFFSET(CÁLCULO!$BS$15:$CS$15,$F26,0,OFFSET(ORÇAMENTO!$D$15,CRONO!$F26,0))),CRONO!AR$12,OFFSET(CÁLCULO!$AR$15:$BR$15,$F26,0,OFFSET(ORÇAMENTO!$D$15,CRONO!$F26,0)))
                +IF(AND($F28&lt;&gt;"",$F28&lt;&gt;0),
                        SUMIF(CÁLCULO!$BS$15:$CS$205,CRONO!AR$12,CÁLCULO!$AR$15:$BR$205)/(ORÇAMENTO!$X$15-_xlfn.single(CÁLCULO.TotalAdmLocal))*CRONO!$F28,
                        0),
                 AR27*$S26),
          SUMIF(OFFSET($S28,1,0,$R26-2),($M26+1)&amp;"$",OFFSET(AR28,1,0,$R26-2)))</f>
        <v>0</v>
      </c>
      <c r="AS28" s="439" t="n">
        <f aca="false" t="array" ref="AS28:AS28">IF($R26=2,
         IF(AND(ACOMPANHAMENTO="PLE",ISNUMBER($F26)),
                SUMIF((OFFSET(CÁLCULO!$BS$15:$CS$15,$F26,0,OFFSET(ORÇAMENTO!$D$15,CRONO!$F26,0))),CRONO!AS$12,OFFSET(CÁLCULO!$AR$15:$BR$15,$F26,0,OFFSET(ORÇAMENTO!$D$15,CRONO!$F26,0)))
                +IF(AND($F28&lt;&gt;"",$F28&lt;&gt;0),
                        SUMIF(CÁLCULO!$BS$15:$CS$205,CRONO!AS$12,CÁLCULO!$AR$15:$BR$205)/(ORÇAMENTO!$X$15-_xlfn.single(CÁLCULO.TotalAdmLocal))*CRONO!$F28,
                        0),
                 AS27*$S26),
          SUMIF(OFFSET($S28,1,0,$R26-2),($M26+1)&amp;"$",OFFSET(AS28,1,0,$R26-2)))</f>
        <v>0</v>
      </c>
      <c r="AT28" s="439" t="n">
        <f aca="false" t="array" ref="AT28:AT28">IF($R26=2,
         IF(AND(ACOMPANHAMENTO="PLE",ISNUMBER($F26)),
                SUMIF((OFFSET(CÁLCULO!$BS$15:$CS$15,$F26,0,OFFSET(ORÇAMENTO!$D$15,CRONO!$F26,0))),CRONO!AT$12,OFFSET(CÁLCULO!$AR$15:$BR$15,$F26,0,OFFSET(ORÇAMENTO!$D$15,CRONO!$F26,0)))
                +IF(AND($F28&lt;&gt;"",$F28&lt;&gt;0),
                        SUMIF(CÁLCULO!$BS$15:$CS$205,CRONO!AT$12,CÁLCULO!$AR$15:$BR$205)/(ORÇAMENTO!$X$15-_xlfn.single(CÁLCULO.TotalAdmLocal))*CRONO!$F28,
                        0),
                 AT27*$S26),
          SUMIF(OFFSET($S28,1,0,$R26-2),($M26+1)&amp;"$",OFFSET(AT28,1,0,$R26-2)))</f>
        <v>0</v>
      </c>
      <c r="AU28" s="439" t="n">
        <f aca="false" t="array" ref="AU28:AU28">IF($R26=2,
         IF(AND(ACOMPANHAMENTO="PLE",ISNUMBER($F26)),
                SUMIF((OFFSET(CÁLCULO!$BS$15:$CS$15,$F26,0,OFFSET(ORÇAMENTO!$D$15,CRONO!$F26,0))),CRONO!AU$12,OFFSET(CÁLCULO!$AR$15:$BR$15,$F26,0,OFFSET(ORÇAMENTO!$D$15,CRONO!$F26,0)))
                +IF(AND($F28&lt;&gt;"",$F28&lt;&gt;0),
                        SUMIF(CÁLCULO!$BS$15:$CS$205,CRONO!AU$12,CÁLCULO!$AR$15:$BR$205)/(ORÇAMENTO!$X$15-_xlfn.single(CÁLCULO.TotalAdmLocal))*CRONO!$F28,
                        0),
                 AU27*$S26),
          SUMIF(OFFSET($S28,1,0,$R26-2),($M26+1)&amp;"$",OFFSET(AU28,1,0,$R26-2)))</f>
        <v>0</v>
      </c>
      <c r="AV28" s="439" t="n">
        <f aca="false" t="array" ref="AV28:AV28">IF($R26=2,
         IF(AND(ACOMPANHAMENTO="PLE",ISNUMBER($F26)),
                SUMIF((OFFSET(CÁLCULO!$BS$15:$CS$15,$F26,0,OFFSET(ORÇAMENTO!$D$15,CRONO!$F26,0))),CRONO!AV$12,OFFSET(CÁLCULO!$AR$15:$BR$15,$F26,0,OFFSET(ORÇAMENTO!$D$15,CRONO!$F26,0)))
                +IF(AND($F28&lt;&gt;"",$F28&lt;&gt;0),
                        SUMIF(CÁLCULO!$BS$15:$CS$205,CRONO!AV$12,CÁLCULO!$AR$15:$BR$205)/(ORÇAMENTO!$X$15-_xlfn.single(CÁLCULO.TotalAdmLocal))*CRONO!$F28,
                        0),
                 AV27*$S26),
          SUMIF(OFFSET($S28,1,0,$R26-2),($M26+1)&amp;"$",OFFSET(AV28,1,0,$R26-2)))</f>
        <v>0</v>
      </c>
      <c r="AW28" s="439" t="n">
        <f aca="false" t="array" ref="AW28:AW28">IF($R26=2,
         IF(AND(ACOMPANHAMENTO="PLE",ISNUMBER($F26)),
                SUMIF((OFFSET(CÁLCULO!$BS$15:$CS$15,$F26,0,OFFSET(ORÇAMENTO!$D$15,CRONO!$F26,0))),CRONO!AW$12,OFFSET(CÁLCULO!$AR$15:$BR$15,$F26,0,OFFSET(ORÇAMENTO!$D$15,CRONO!$F26,0)))
                +IF(AND($F28&lt;&gt;"",$F28&lt;&gt;0),
                        SUMIF(CÁLCULO!$BS$15:$CS$205,CRONO!AW$12,CÁLCULO!$AR$15:$BR$205)/(ORÇAMENTO!$X$15-_xlfn.single(CÁLCULO.TotalAdmLocal))*CRONO!$F28,
                        0),
                 AW27*$S26),
          SUMIF(OFFSET($S28,1,0,$R26-2),($M26+1)&amp;"$",OFFSET(AW28,1,0,$R26-2)))</f>
        <v>0</v>
      </c>
      <c r="AX28" s="439" t="n">
        <f aca="false" t="array" ref="AX28:AX28">IF($R26=2,
         IF(AND(ACOMPANHAMENTO="PLE",ISNUMBER($F26)),
                SUMIF((OFFSET(CÁLCULO!$BS$15:$CS$15,$F26,0,OFFSET(ORÇAMENTO!$D$15,CRONO!$F26,0))),CRONO!AX$12,OFFSET(CÁLCULO!$AR$15:$BR$15,$F26,0,OFFSET(ORÇAMENTO!$D$15,CRONO!$F26,0)))
                +IF(AND($F28&lt;&gt;"",$F28&lt;&gt;0),
                        SUMIF(CÁLCULO!$BS$15:$CS$205,CRONO!AX$12,CÁLCULO!$AR$15:$BR$205)/(ORÇAMENTO!$X$15-_xlfn.single(CÁLCULO.TotalAdmLocal))*CRONO!$F28,
                        0),
                 AX27*$S26),
          SUMIF(OFFSET($S28,1,0,$R26-2),($M26+1)&amp;"$",OFFSET(AX28,1,0,$R26-2)))</f>
        <v>0</v>
      </c>
      <c r="AY28" s="439" t="n">
        <f aca="false" t="array" ref="AY28:AY28">IF($R26=2,
         IF(AND(ACOMPANHAMENTO="PLE",ISNUMBER($F26)),
                SUMIF((OFFSET(CÁLCULO!$BS$15:$CS$15,$F26,0,OFFSET(ORÇAMENTO!$D$15,CRONO!$F26,0))),CRONO!AY$12,OFFSET(CÁLCULO!$AR$15:$BR$15,$F26,0,OFFSET(ORÇAMENTO!$D$15,CRONO!$F26,0)))
                +IF(AND($F28&lt;&gt;"",$F28&lt;&gt;0),
                        SUMIF(CÁLCULO!$BS$15:$CS$205,CRONO!AY$12,CÁLCULO!$AR$15:$BR$205)/(ORÇAMENTO!$X$15-_xlfn.single(CÁLCULO.TotalAdmLocal))*CRONO!$F28,
                        0),
                 AY27*$S26),
          SUMIF(OFFSET($S28,1,0,$R26-2),($M26+1)&amp;"$",OFFSET(AY28,1,0,$R26-2)))</f>
        <v>0</v>
      </c>
      <c r="AZ28" s="439" t="n">
        <f aca="false" t="array" ref="AZ28:AZ28">IF($R26=2,
         IF(AND(ACOMPANHAMENTO="PLE",ISNUMBER($F26)),
                SUMIF((OFFSET(CÁLCULO!$BS$15:$CS$15,$F26,0,OFFSET(ORÇAMENTO!$D$15,CRONO!$F26,0))),CRONO!AZ$12,OFFSET(CÁLCULO!$AR$15:$BR$15,$F26,0,OFFSET(ORÇAMENTO!$D$15,CRONO!$F26,0)))
                +IF(AND($F28&lt;&gt;"",$F28&lt;&gt;0),
                        SUMIF(CÁLCULO!$BS$15:$CS$205,CRONO!AZ$12,CÁLCULO!$AR$15:$BR$205)/(ORÇAMENTO!$X$15-_xlfn.single(CÁLCULO.TotalAdmLocal))*CRONO!$F28,
                        0),
                 AZ27*$S26),
          SUMIF(OFFSET($S28,1,0,$R26-2),($M26+1)&amp;"$",OFFSET(AZ28,1,0,$R26-2)))</f>
        <v>0</v>
      </c>
      <c r="BA28" s="439" t="n">
        <f aca="false" t="array" ref="BA28:BA28">IF($R26=2,
         IF(AND(ACOMPANHAMENTO="PLE",ISNUMBER($F26)),
                SUMIF((OFFSET(CÁLCULO!$BS$15:$CS$15,$F26,0,OFFSET(ORÇAMENTO!$D$15,CRONO!$F26,0))),CRONO!BA$12,OFFSET(CÁLCULO!$AR$15:$BR$15,$F26,0,OFFSET(ORÇAMENTO!$D$15,CRONO!$F26,0)))
                +IF(AND($F28&lt;&gt;"",$F28&lt;&gt;0),
                        SUMIF(CÁLCULO!$BS$15:$CS$205,CRONO!BA$12,CÁLCULO!$AR$15:$BR$205)/(ORÇAMENTO!$X$15-_xlfn.single(CÁLCULO.TotalAdmLocal))*CRONO!$F28,
                        0),
                 BA27*$S26),
          SUMIF(OFFSET($S28,1,0,$R26-2),($M26+1)&amp;"$",OFFSET(BA28,1,0,$R26-2)))</f>
        <v>0</v>
      </c>
      <c r="BB28" s="439" t="n">
        <f aca="false" t="array" ref="BB28:BB28">IF($R26=2,
         IF(AND(ACOMPANHAMENTO="PLE",ISNUMBER($F26)),
                SUMIF((OFFSET(CÁLCULO!$BS$15:$CS$15,$F26,0,OFFSET(ORÇAMENTO!$D$15,CRONO!$F26,0))),CRONO!BB$12,OFFSET(CÁLCULO!$AR$15:$BR$15,$F26,0,OFFSET(ORÇAMENTO!$D$15,CRONO!$F26,0)))
                +IF(AND($F28&lt;&gt;"",$F28&lt;&gt;0),
                        SUMIF(CÁLCULO!$BS$15:$CS$205,CRONO!BB$12,CÁLCULO!$AR$15:$BR$205)/(ORÇAMENTO!$X$15-_xlfn.single(CÁLCULO.TotalAdmLocal))*CRONO!$F28,
                        0),
                 BB27*$S26),
          SUMIF(OFFSET($S28,1,0,$R26-2),($M26+1)&amp;"$",OFFSET(BB28,1,0,$R26-2)))</f>
        <v>0</v>
      </c>
      <c r="BC28" s="439" t="n">
        <f aca="false" t="array" ref="BC28:BC28">IF($R26=2,
         IF(AND(ACOMPANHAMENTO="PLE",ISNUMBER($F26)),
                SUMIF((OFFSET(CÁLCULO!$BS$15:$CS$15,$F26,0,OFFSET(ORÇAMENTO!$D$15,CRONO!$F26,0))),CRONO!BC$12,OFFSET(CÁLCULO!$AR$15:$BR$15,$F26,0,OFFSET(ORÇAMENTO!$D$15,CRONO!$F26,0)))
                +IF(AND($F28&lt;&gt;"",$F28&lt;&gt;0),
                        SUMIF(CÁLCULO!$BS$15:$CS$205,CRONO!BC$12,CÁLCULO!$AR$15:$BR$205)/(ORÇAMENTO!$X$15-_xlfn.single(CÁLCULO.TotalAdmLocal))*CRONO!$F28,
                        0),
                 BC27*$S26),
          SUMIF(OFFSET($S28,1,0,$R26-2),($M26+1)&amp;"$",OFFSET(BC28,1,0,$R26-2)))</f>
        <v>0</v>
      </c>
      <c r="BD28" s="439" t="n">
        <f aca="false" t="array" ref="BD28:BD28">IF($R26=2,
         IF(AND(ACOMPANHAMENTO="PLE",ISNUMBER($F26)),
                SUMIF((OFFSET(CÁLCULO!$BS$15:$CS$15,$F26,0,OFFSET(ORÇAMENTO!$D$15,CRONO!$F26,0))),CRONO!BD$12,OFFSET(CÁLCULO!$AR$15:$BR$15,$F26,0,OFFSET(ORÇAMENTO!$D$15,CRONO!$F26,0)))
                +IF(AND($F28&lt;&gt;"",$F28&lt;&gt;0),
                        SUMIF(CÁLCULO!$BS$15:$CS$205,CRONO!BD$12,CÁLCULO!$AR$15:$BR$205)/(ORÇAMENTO!$X$15-_xlfn.single(CÁLCULO.TotalAdmLocal))*CRONO!$F28,
                        0),
                 BD27*$S26),
          SUMIF(OFFSET($S28,1,0,$R26-2),($M26+1)&amp;"$",OFFSET(BD28,1,0,$R26-2)))</f>
        <v>0</v>
      </c>
      <c r="BE28" s="430"/>
    </row>
    <row r="29" customFormat="false" ht="12.75" hidden="false" customHeight="false" outlineLevel="0" collapsed="false">
      <c r="A29" s="382" t="str">
        <f aca="false">IF($M29&gt;1,_xlfn.CONCAT($I29," ",$J29),"")</f>
        <v>1.5. SAPATA</v>
      </c>
      <c r="B29" s="419" t="n">
        <f aca="true">OFFSET(B29,-3,0)+1</f>
        <v>6</v>
      </c>
      <c r="C29" s="419" t="n">
        <f aca="true">IF($R29&lt;&gt;2,0,IF($S29=0,1,IF(F30&gt;0,OFFSET(QCI!$M$13,SUBSTITUTE(F30,".",""),0),OFFSET(ORÇAMENTO!$AA$15,CRONO!$F29,0))/$S29))</f>
        <v>0.110981526562671</v>
      </c>
      <c r="D29" s="419" t="n">
        <f aca="true">IF($R29&lt;&gt;2,0,IF($S29=0,1,IF(F30&gt;0,OFFSET(QCI!$N$13,SUBSTITUTE(F30,".",""),0),OFFSET(ORÇAMENTO!$AB$15,CRONO!$F29,0))/$S29))</f>
        <v>0</v>
      </c>
      <c r="E29" s="422" t="n">
        <f aca="false" t="array" ref="E29:E29">IF(AND($R29=2,ACOMPANHAMENTO="BM"),ROUND(E30,4),E31/$S29)</f>
        <v>0.04</v>
      </c>
      <c r="F29" s="419" t="n">
        <f aca="true">IF(B29&lt;=ORÇAMENTO.MáximoListaCrono,MATCH(B29,ORÇAMENTO.ListaCrono,0),NA())</f>
        <v>14</v>
      </c>
      <c r="G29" s="419" t="str">
        <f aca="false">IF(AND($F30&lt;&gt;-1,$S29&gt;0),"F","")</f>
        <v>F</v>
      </c>
      <c r="H29" s="423" t="str">
        <f aca="false" t="array" ref="H29:H29">IF(OR(S29=0,S29=""),"Linha",IF(AND(OR(ACOMPANHAMENTO="PLE",$R29&lt;&gt;2),$F30=0),"Linha",ROUND(1-SUM(U29:BE29),4)))</f>
        <v>Linha</v>
      </c>
      <c r="I29" s="424" t="str">
        <f aca="true">IF($F30=0,OFFSET(ORÇAMENTO!O$15,$F29,0),IF($F30&lt;&gt;-1,OFFSET(QCI!$D$13,$F30,0),""))</f>
        <v>1.5.</v>
      </c>
      <c r="J29" s="425" t="str">
        <f aca="true">IF($F30=0,OFFSET(ORÇAMENTO!R$15,$F29,0),IF($F30&lt;&gt;-1,OFFSET(QCI!$G$13,$F30,0),""))</f>
        <v>SAPATA</v>
      </c>
      <c r="K29" s="425"/>
      <c r="L29" s="425"/>
      <c r="M29" s="426" t="n">
        <f aca="true">IF($F30=0,OFFSET(ORÇAMENTO!C$15,$F29,0),1)</f>
        <v>2</v>
      </c>
      <c r="N29" s="427" t="n">
        <f aca="true">IF($F30=-1,0,IF(N$13&lt;=$M29,IF(ISERROR(MATCH(N$13,OFFSET($M29,1,0,ROW($M$182)-ROW($M29)-1),0)),ROW($M$182)-ROW($M29)-1,MATCH(N$13,OFFSET($M29,1,0,ROW($M$182)-ROW($M29)-1),0)-1),0))</f>
        <v>152</v>
      </c>
      <c r="O29" s="427" t="n">
        <f aca="true">IF($F30=-1,0,IF(O$13&lt;=$M29,IF(ISERROR(MATCH(O$13,OFFSET($M29,1,0,ROW($M$182)-ROW($M29)-1),0)),ROW($M$182)-ROW($M29)-1,MATCH(O$13,OFFSET($M29,1,0,ROW($M$182)-ROW($M29)-1),0)-1),0))</f>
        <v>2</v>
      </c>
      <c r="P29" s="427" t="n">
        <f aca="true">IF($F30=-1,0,IF(P$13&lt;=$M29,IF(ISERROR(MATCH(P$13,OFFSET($M29,1,0,ROW($M$182)-ROW($M29)-1),0)),ROW($M$182)-ROW($M29)-1,MATCH(P$13,OFFSET($M29,1,0,ROW($M$182)-ROW($M29)-1),0)-1),0))</f>
        <v>0</v>
      </c>
      <c r="Q29" s="427" t="n">
        <f aca="true">IF($F30=-1,0,IF(Q$13&lt;=$M29,IF(ISERROR(MATCH(Q$13,OFFSET($M29,1,0,ROW($M$182)-ROW($M29)-1),0)),ROW($M$182)-ROW($M29)-1,MATCH(Q$13,OFFSET($M29,1,0,ROW($M$182)-ROW($M29)-1),0)-1),0))</f>
        <v>0</v>
      </c>
      <c r="R29" s="427" t="n">
        <f aca="true">MIN(OFFSET(M29,0,1,,M29))</f>
        <v>2</v>
      </c>
      <c r="S29" s="428" t="n">
        <f aca="true">IF($F30=0,OFFSET(ORÇAMENTO!X$15,$F29,0),IF($F30&lt;&gt;-1,OFFSET(QCI!$O$13,$F30,0),""))</f>
        <v>297963.25</v>
      </c>
      <c r="T29" s="429" t="s">
        <v>996</v>
      </c>
      <c r="U29" s="422" t="n">
        <f aca="false" t="array" ref="U29:U29">IF(AND($R29=2,ACOMPANHAMENTO="BM"),ROUND(U30,4),U31/$S29)</f>
        <v>0.04</v>
      </c>
      <c r="V29" s="422" t="n">
        <f aca="false" t="array" ref="V29:V29">IF(AND($R29=2,ACOMPANHAMENTO="BM"),ROUND(V30,4),V31/$S29)</f>
        <v>0.04</v>
      </c>
      <c r="W29" s="422" t="n">
        <f aca="false" t="array" ref="W29:W29">IF(AND($R29=2,ACOMPANHAMENTO="BM"),ROUND(W30,4),W31/$S29)</f>
        <v>0.04</v>
      </c>
      <c r="X29" s="422" t="n">
        <f aca="false" t="array" ref="X29:X29">IF(AND($R29=2,ACOMPANHAMENTO="BM"),ROUND(X30,4),X31/$S29)</f>
        <v>0.04</v>
      </c>
      <c r="Y29" s="422" t="n">
        <f aca="false" t="array" ref="Y29:Y29">IF(AND($R29=2,ACOMPANHAMENTO="BM"),ROUND(Y30,4),Y31/$S29)</f>
        <v>0.04</v>
      </c>
      <c r="Z29" s="422" t="n">
        <f aca="false" t="array" ref="Z29:Z29">IF(AND($R29=2,ACOMPANHAMENTO="BM"),ROUND(Z30,4),Z31/$S29)</f>
        <v>0.04</v>
      </c>
      <c r="AA29" s="422" t="n">
        <f aca="false" t="array" ref="AA29:AA29">IF(AND($R29=2,ACOMPANHAMENTO="BM"),ROUND(AA30,4),AA31/$S29)</f>
        <v>0.04</v>
      </c>
      <c r="AB29" s="422" t="n">
        <f aca="false" t="array" ref="AB29:AB29">IF(AND($R29=2,ACOMPANHAMENTO="BM"),ROUND(AB30,4),AB31/$S29)</f>
        <v>0.04</v>
      </c>
      <c r="AC29" s="422" t="n">
        <f aca="false" t="array" ref="AC29:AC29">IF(AND($R29=2,ACOMPANHAMENTO="BM"),ROUND(AC30,4),AC31/$S29)</f>
        <v>0.04</v>
      </c>
      <c r="AD29" s="422" t="n">
        <f aca="false" t="array" ref="AD29:AD29">IF(AND($R29=2,ACOMPANHAMENTO="BM"),ROUND(AD30,4),AD31/$S29)</f>
        <v>0.04</v>
      </c>
      <c r="AE29" s="422" t="n">
        <f aca="false" t="array" ref="AE29:AE29">IF(AND($R29=2,ACOMPANHAMENTO="BM"),ROUND(AE30,4),AE31/$S29)</f>
        <v>0.04</v>
      </c>
      <c r="AF29" s="422" t="n">
        <f aca="false" t="array" ref="AF29:AF29">IF(AND($R29=2,ACOMPANHAMENTO="BM"),ROUND(AF30,4),AF31/$S29)</f>
        <v>0.04</v>
      </c>
      <c r="AG29" s="422" t="n">
        <f aca="false" t="array" ref="AG29:AG29">IF(AND($R29=2,ACOMPANHAMENTO="BM"),ROUND(AG30,4),AG31/$S29)</f>
        <v>0.04</v>
      </c>
      <c r="AH29" s="422" t="n">
        <f aca="false" t="array" ref="AH29:AH29">IF(AND($R29=2,ACOMPANHAMENTO="BM"),ROUND(AH30,4),AH31/$S29)</f>
        <v>0.04</v>
      </c>
      <c r="AI29" s="422" t="n">
        <f aca="false" t="array" ref="AI29:AI29">IF(AND($R29=2,ACOMPANHAMENTO="BM"),ROUND(AI30,4),AI31/$S29)</f>
        <v>0.04</v>
      </c>
      <c r="AJ29" s="422" t="n">
        <f aca="false" t="array" ref="AJ29:AJ29">IF(AND($R29=2,ACOMPANHAMENTO="BM"),ROUND(AJ30,4),AJ31/$S29)</f>
        <v>0.04</v>
      </c>
      <c r="AK29" s="422" t="n">
        <f aca="false" t="array" ref="AK29:AK29">IF(AND($R29=2,ACOMPANHAMENTO="BM"),ROUND(AK30,4),AK31/$S29)</f>
        <v>0.04</v>
      </c>
      <c r="AL29" s="422" t="n">
        <f aca="false" t="array" ref="AL29:AL29">IF(AND($R29=2,ACOMPANHAMENTO="BM"),ROUND(AL30,4),AL31/$S29)</f>
        <v>0.04</v>
      </c>
      <c r="AM29" s="422" t="n">
        <f aca="false" t="array" ref="AM29:AM29">IF(AND($R29=2,ACOMPANHAMENTO="BM"),ROUND(AM30,4),AM31/$S29)</f>
        <v>0.04</v>
      </c>
      <c r="AN29" s="422" t="n">
        <f aca="false" t="array" ref="AN29:AN29">IF(AND($R29=2,ACOMPANHAMENTO="BM"),ROUND(AN30,4),AN31/$S29)</f>
        <v>0.04</v>
      </c>
      <c r="AO29" s="422" t="n">
        <f aca="false" t="array" ref="AO29:AO29">IF(AND($R29=2,ACOMPANHAMENTO="BM"),ROUND(AO30,4),AO31/$S29)</f>
        <v>0.04</v>
      </c>
      <c r="AP29" s="422" t="n">
        <f aca="false" t="array" ref="AP29:AP29">IF(AND($R29=2,ACOMPANHAMENTO="BM"),ROUND(AP30,4),AP31/$S29)</f>
        <v>0.04</v>
      </c>
      <c r="AQ29" s="422" t="n">
        <f aca="false" t="array" ref="AQ29:AQ29">IF(AND($R29=2,ACOMPANHAMENTO="BM"),ROUND(AQ30,4),AQ31/$S29)</f>
        <v>0.04</v>
      </c>
      <c r="AR29" s="422" t="n">
        <f aca="false" t="array" ref="AR29:AR29">IF(AND($R29=2,ACOMPANHAMENTO="BM"),ROUND(AR30,4),AR31/$S29)</f>
        <v>0.04</v>
      </c>
      <c r="AS29" s="422" t="n">
        <f aca="false" t="array" ref="AS29:AS29">IF(AND($R29=2,ACOMPANHAMENTO="BM"),ROUND(AS30,4),AS31/$S29)</f>
        <v>0.04</v>
      </c>
      <c r="AT29" s="422" t="n">
        <f aca="false" t="array" ref="AT29:AT29">IF(AND($R29=2,ACOMPANHAMENTO="BM"),ROUND(AT30,4),AT31/$S29)</f>
        <v>0</v>
      </c>
      <c r="AU29" s="422" t="n">
        <f aca="false" t="array" ref="AU29:AU29">IF(AND($R29=2,ACOMPANHAMENTO="BM"),ROUND(AU30,4),AU31/$S29)</f>
        <v>0</v>
      </c>
      <c r="AV29" s="422" t="n">
        <f aca="false" t="array" ref="AV29:AV29">IF(AND($R29=2,ACOMPANHAMENTO="BM"),ROUND(AV30,4),AV31/$S29)</f>
        <v>0</v>
      </c>
      <c r="AW29" s="422" t="n">
        <f aca="false" t="array" ref="AW29:AW29">IF(AND($R29=2,ACOMPANHAMENTO="BM"),ROUND(AW30,4),AW31/$S29)</f>
        <v>0</v>
      </c>
      <c r="AX29" s="422" t="n">
        <f aca="false" t="array" ref="AX29:AX29">IF(AND($R29=2,ACOMPANHAMENTO="BM"),ROUND(AX30,4),AX31/$S29)</f>
        <v>0</v>
      </c>
      <c r="AY29" s="422" t="n">
        <f aca="false" t="array" ref="AY29:AY29">IF(AND($R29=2,ACOMPANHAMENTO="BM"),ROUND(AY30,4),AY31/$S29)</f>
        <v>0</v>
      </c>
      <c r="AZ29" s="422" t="n">
        <f aca="false" t="array" ref="AZ29:AZ29">IF(AND($R29=2,ACOMPANHAMENTO="BM"),ROUND(AZ30,4),AZ31/$S29)</f>
        <v>0</v>
      </c>
      <c r="BA29" s="422" t="n">
        <f aca="false" t="array" ref="BA29:BA29">IF(AND($R29=2,ACOMPANHAMENTO="BM"),ROUND(BA30,4),BA31/$S29)</f>
        <v>0</v>
      </c>
      <c r="BB29" s="422" t="n">
        <f aca="false" t="array" ref="BB29:BB29">IF(AND($R29=2,ACOMPANHAMENTO="BM"),ROUND(BB30,4),BB31/$S29)</f>
        <v>0</v>
      </c>
      <c r="BC29" s="422" t="n">
        <f aca="false" t="array" ref="BC29:BC29">IF(AND($R29=2,ACOMPANHAMENTO="BM"),ROUND(BC30,4),BC31/$S29)</f>
        <v>0</v>
      </c>
      <c r="BD29" s="422" t="n">
        <f aca="false" t="array" ref="BD29:BD29">IF(AND($R29=2,ACOMPANHAMENTO="BM"),ROUND(BD30,4),BD31/$S29)</f>
        <v>0</v>
      </c>
      <c r="BE29" s="430"/>
    </row>
    <row r="30" customFormat="false" ht="12.75" hidden="true" customHeight="true" outlineLevel="0" collapsed="false">
      <c r="E30" s="431"/>
      <c r="F30" s="419" t="n">
        <f aca="true">IF(ISERROR(F29),IF(1+COUNTIF($M$13:OFFSET(M29,-1,0),1)&lt;=MAX(QCI!$D$13:$D$15),1+COUNTIF($M$13:OFFSET(M29,-1,0),1),-1),0)</f>
        <v>0</v>
      </c>
      <c r="G30" s="419" t="str">
        <f aca="true" t="array" ref="G30:G30">IF(ACOMPANHAMENTO="BM",OFFSET(G30,-1,0),"")</f>
        <v/>
      </c>
      <c r="H30" s="432" t="str">
        <f aca="false" t="array" ref="H30:H30">IF(OR(S29=0,S29=""),"vazia",IF(AND(OR(ACOMPANHAMENTO="PLE",$R29&lt;&gt;2),$F30=0),"calculada","--&gt;"))</f>
        <v>calculada</v>
      </c>
      <c r="I30" s="433"/>
      <c r="J30" s="434" t="str">
        <f aca="false">IF(AND(H29&lt;&gt;0,ISNUMBER(H29)),"PREENCHA ESTA LINHA --&gt;","")</f>
        <v/>
      </c>
      <c r="K30" s="434"/>
      <c r="L30" s="434"/>
      <c r="M30" s="435"/>
      <c r="N30" s="435"/>
      <c r="O30" s="435"/>
      <c r="P30" s="435"/>
      <c r="Q30" s="435"/>
      <c r="R30" s="435"/>
      <c r="S30" s="436"/>
      <c r="T30" s="437"/>
      <c r="U30" s="431"/>
      <c r="V30" s="431"/>
      <c r="W30" s="431"/>
      <c r="X30" s="431"/>
      <c r="Y30" s="431"/>
      <c r="Z30" s="431"/>
      <c r="AA30" s="431"/>
      <c r="AB30" s="431"/>
      <c r="AC30" s="431"/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1"/>
      <c r="AO30" s="431"/>
      <c r="AP30" s="431"/>
      <c r="AQ30" s="431"/>
      <c r="AR30" s="431"/>
      <c r="AS30" s="431"/>
      <c r="AT30" s="431"/>
      <c r="AU30" s="431"/>
      <c r="AV30" s="431"/>
      <c r="AW30" s="431"/>
      <c r="AX30" s="431"/>
      <c r="AY30" s="431"/>
      <c r="AZ30" s="431"/>
      <c r="BA30" s="431"/>
      <c r="BB30" s="431"/>
      <c r="BC30" s="431"/>
      <c r="BD30" s="431"/>
      <c r="BE30" s="430"/>
    </row>
    <row r="31" customFormat="false" ht="12.75" hidden="true" customHeight="true" outlineLevel="0" collapsed="false">
      <c r="D31" s="438"/>
      <c r="E31" s="439" t="n">
        <f aca="false" t="array" ref="E31:E31">IF($R29=2,
         IF(AND(ACOMPANHAMENTO="PLE",ISNUMBER($F29)),
                SUMIF((OFFSET(CÁLCULO!$BS$15:$CS$15,$F29,0,OFFSET(ORÇAMENTO!$D$15,CRONO!$F29,0))),CRONO!E$12,OFFSET(CÁLCULO!$AR$15:$BR$15,$F29,0,OFFSET(ORÇAMENTO!$D$15,CRONO!$F29,0)))
                +IF(AND($F31&lt;&gt;"",$F31&lt;&gt;0),
                        SUMIF(CÁLCULO!$BS$15:$CS$205,CRONO!E$12,CÁLCULO!$AR$15:$BR$205)/(ORÇAMENTO!$X$15-_xlfn.single(CÁLCULO.TotalAdmLocal))*CRONO!$F31,
                        0),
                 E30*$S29),
          SUMIF(OFFSET($S31,1,0,$R29-2),($M29+1)&amp;"$",OFFSET(E31,1,0,$R29-2)))</f>
        <v>11918.53</v>
      </c>
      <c r="F31" s="419" t="str">
        <f aca="true">IF(OR($R29&lt;&gt;2,AUTOEVENTO&lt;&gt;"manual",$F30&gt;0),"",
        IF(Import.TipoArredondamento="Tradicional",
              SUMIF(OFFSET(CÁLCULO!$M$15,CRONO!$F29,0,OFFSET(ORÇAMENTO!$D$15,CRONO!$F29,0)),1,OFFSET(ORÇAMENTO!$X$15,CRONO!$F29,0,OFFSET(ORÇAMENTO!$D$15,CRONO!$F29,0))),
              0))</f>
        <v/>
      </c>
      <c r="H31" s="440"/>
      <c r="S31" s="441" t="str">
        <f aca="false">M29&amp;"$"</f>
        <v>2$</v>
      </c>
      <c r="T31" s="442"/>
      <c r="U31" s="439" t="n">
        <f aca="false" t="array" ref="U31:U31">IF($R29=2,
         IF(AND(ACOMPANHAMENTO="PLE",ISNUMBER($F29)),
                SUMIF((OFFSET(CÁLCULO!$BS$15:$CS$15,$F29,0,OFFSET(ORÇAMENTO!$D$15,CRONO!$F29,0))),CRONO!U$12,OFFSET(CÁLCULO!$AR$15:$BR$15,$F29,0,OFFSET(ORÇAMENTO!$D$15,CRONO!$F29,0)))
                +IF(AND($F31&lt;&gt;"",$F31&lt;&gt;0),
                        SUMIF(CÁLCULO!$BS$15:$CS$205,CRONO!U$12,CÁLCULO!$AR$15:$BR$205)/(ORÇAMENTO!$X$15-_xlfn.single(CÁLCULO.TotalAdmLocal))*CRONO!$F31,
                        0),
                 U30*$S29),
          SUMIF(OFFSET($S31,1,0,$R29-2),($M29+1)&amp;"$",OFFSET(U31,1,0,$R29-2)))</f>
        <v>11918.53</v>
      </c>
      <c r="V31" s="439" t="n">
        <f aca="false" t="array" ref="V31:V31">IF($R29=2,
         IF(AND(ACOMPANHAMENTO="PLE",ISNUMBER($F29)),
                SUMIF((OFFSET(CÁLCULO!$BS$15:$CS$15,$F29,0,OFFSET(ORÇAMENTO!$D$15,CRONO!$F29,0))),CRONO!V$12,OFFSET(CÁLCULO!$AR$15:$BR$15,$F29,0,OFFSET(ORÇAMENTO!$D$15,CRONO!$F29,0)))
                +IF(AND($F31&lt;&gt;"",$F31&lt;&gt;0),
                        SUMIF(CÁLCULO!$BS$15:$CS$205,CRONO!V$12,CÁLCULO!$AR$15:$BR$205)/(ORÇAMENTO!$X$15-_xlfn.single(CÁLCULO.TotalAdmLocal))*CRONO!$F31,
                        0),
                 V30*$S29),
          SUMIF(OFFSET($S31,1,0,$R29-2),($M29+1)&amp;"$",OFFSET(V31,1,0,$R29-2)))</f>
        <v>11918.53</v>
      </c>
      <c r="W31" s="439" t="n">
        <f aca="false" t="array" ref="W31:W31">IF($R29=2,
         IF(AND(ACOMPANHAMENTO="PLE",ISNUMBER($F29)),
                SUMIF((OFFSET(CÁLCULO!$BS$15:$CS$15,$F29,0,OFFSET(ORÇAMENTO!$D$15,CRONO!$F29,0))),CRONO!W$12,OFFSET(CÁLCULO!$AR$15:$BR$15,$F29,0,OFFSET(ORÇAMENTO!$D$15,CRONO!$F29,0)))
                +IF(AND($F31&lt;&gt;"",$F31&lt;&gt;0),
                        SUMIF(CÁLCULO!$BS$15:$CS$205,CRONO!W$12,CÁLCULO!$AR$15:$BR$205)/(ORÇAMENTO!$X$15-_xlfn.single(CÁLCULO.TotalAdmLocal))*CRONO!$F31,
                        0),
                 W30*$S29),
          SUMIF(OFFSET($S31,1,0,$R29-2),($M29+1)&amp;"$",OFFSET(W31,1,0,$R29-2)))</f>
        <v>11918.53</v>
      </c>
      <c r="X31" s="439" t="n">
        <f aca="false" t="array" ref="X31:X31">IF($R29=2,
         IF(AND(ACOMPANHAMENTO="PLE",ISNUMBER($F29)),
                SUMIF((OFFSET(CÁLCULO!$BS$15:$CS$15,$F29,0,OFFSET(ORÇAMENTO!$D$15,CRONO!$F29,0))),CRONO!X$12,OFFSET(CÁLCULO!$AR$15:$BR$15,$F29,0,OFFSET(ORÇAMENTO!$D$15,CRONO!$F29,0)))
                +IF(AND($F31&lt;&gt;"",$F31&lt;&gt;0),
                        SUMIF(CÁLCULO!$BS$15:$CS$205,CRONO!X$12,CÁLCULO!$AR$15:$BR$205)/(ORÇAMENTO!$X$15-_xlfn.single(CÁLCULO.TotalAdmLocal))*CRONO!$F31,
                        0),
                 X30*$S29),
          SUMIF(OFFSET($S31,1,0,$R29-2),($M29+1)&amp;"$",OFFSET(X31,1,0,$R29-2)))</f>
        <v>11918.53</v>
      </c>
      <c r="Y31" s="439" t="n">
        <f aca="false" t="array" ref="Y31:Y31">IF($R29=2,
         IF(AND(ACOMPANHAMENTO="PLE",ISNUMBER($F29)),
                SUMIF((OFFSET(CÁLCULO!$BS$15:$CS$15,$F29,0,OFFSET(ORÇAMENTO!$D$15,CRONO!$F29,0))),CRONO!Y$12,OFFSET(CÁLCULO!$AR$15:$BR$15,$F29,0,OFFSET(ORÇAMENTO!$D$15,CRONO!$F29,0)))
                +IF(AND($F31&lt;&gt;"",$F31&lt;&gt;0),
                        SUMIF(CÁLCULO!$BS$15:$CS$205,CRONO!Y$12,CÁLCULO!$AR$15:$BR$205)/(ORÇAMENTO!$X$15-_xlfn.single(CÁLCULO.TotalAdmLocal))*CRONO!$F31,
                        0),
                 Y30*$S29),
          SUMIF(OFFSET($S31,1,0,$R29-2),($M29+1)&amp;"$",OFFSET(Y31,1,0,$R29-2)))</f>
        <v>11918.53</v>
      </c>
      <c r="Z31" s="439" t="n">
        <f aca="false" t="array" ref="Z31:Z31">IF($R29=2,
         IF(AND(ACOMPANHAMENTO="PLE",ISNUMBER($F29)),
                SUMIF((OFFSET(CÁLCULO!$BS$15:$CS$15,$F29,0,OFFSET(ORÇAMENTO!$D$15,CRONO!$F29,0))),CRONO!Z$12,OFFSET(CÁLCULO!$AR$15:$BR$15,$F29,0,OFFSET(ORÇAMENTO!$D$15,CRONO!$F29,0)))
                +IF(AND($F31&lt;&gt;"",$F31&lt;&gt;0),
                        SUMIF(CÁLCULO!$BS$15:$CS$205,CRONO!Z$12,CÁLCULO!$AR$15:$BR$205)/(ORÇAMENTO!$X$15-_xlfn.single(CÁLCULO.TotalAdmLocal))*CRONO!$F31,
                        0),
                 Z30*$S29),
          SUMIF(OFFSET($S31,1,0,$R29-2),($M29+1)&amp;"$",OFFSET(Z31,1,0,$R29-2)))</f>
        <v>11918.53</v>
      </c>
      <c r="AA31" s="439" t="n">
        <f aca="false" t="array" ref="AA31:AA31">IF($R29=2,
         IF(AND(ACOMPANHAMENTO="PLE",ISNUMBER($F29)),
                SUMIF((OFFSET(CÁLCULO!$BS$15:$CS$15,$F29,0,OFFSET(ORÇAMENTO!$D$15,CRONO!$F29,0))),CRONO!AA$12,OFFSET(CÁLCULO!$AR$15:$BR$15,$F29,0,OFFSET(ORÇAMENTO!$D$15,CRONO!$F29,0)))
                +IF(AND($F31&lt;&gt;"",$F31&lt;&gt;0),
                        SUMIF(CÁLCULO!$BS$15:$CS$205,CRONO!AA$12,CÁLCULO!$AR$15:$BR$205)/(ORÇAMENTO!$X$15-_xlfn.single(CÁLCULO.TotalAdmLocal))*CRONO!$F31,
                        0),
                 AA30*$S29),
          SUMIF(OFFSET($S31,1,0,$R29-2),($M29+1)&amp;"$",OFFSET(AA31,1,0,$R29-2)))</f>
        <v>11918.53</v>
      </c>
      <c r="AB31" s="439" t="n">
        <f aca="false" t="array" ref="AB31:AB31">IF($R29=2,
         IF(AND(ACOMPANHAMENTO="PLE",ISNUMBER($F29)),
                SUMIF((OFFSET(CÁLCULO!$BS$15:$CS$15,$F29,0,OFFSET(ORÇAMENTO!$D$15,CRONO!$F29,0))),CRONO!AB$12,OFFSET(CÁLCULO!$AR$15:$BR$15,$F29,0,OFFSET(ORÇAMENTO!$D$15,CRONO!$F29,0)))
                +IF(AND($F31&lt;&gt;"",$F31&lt;&gt;0),
                        SUMIF(CÁLCULO!$BS$15:$CS$205,CRONO!AB$12,CÁLCULO!$AR$15:$BR$205)/(ORÇAMENTO!$X$15-_xlfn.single(CÁLCULO.TotalAdmLocal))*CRONO!$F31,
                        0),
                 AB30*$S29),
          SUMIF(OFFSET($S31,1,0,$R29-2),($M29+1)&amp;"$",OFFSET(AB31,1,0,$R29-2)))</f>
        <v>11918.53</v>
      </c>
      <c r="AC31" s="439" t="n">
        <f aca="false" t="array" ref="AC31:AC31">IF($R29=2,
         IF(AND(ACOMPANHAMENTO="PLE",ISNUMBER($F29)),
                SUMIF((OFFSET(CÁLCULO!$BS$15:$CS$15,$F29,0,OFFSET(ORÇAMENTO!$D$15,CRONO!$F29,0))),CRONO!AC$12,OFFSET(CÁLCULO!$AR$15:$BR$15,$F29,0,OFFSET(ORÇAMENTO!$D$15,CRONO!$F29,0)))
                +IF(AND($F31&lt;&gt;"",$F31&lt;&gt;0),
                        SUMIF(CÁLCULO!$BS$15:$CS$205,CRONO!AC$12,CÁLCULO!$AR$15:$BR$205)/(ORÇAMENTO!$X$15-_xlfn.single(CÁLCULO.TotalAdmLocal))*CRONO!$F31,
                        0),
                 AC30*$S29),
          SUMIF(OFFSET($S31,1,0,$R29-2),($M29+1)&amp;"$",OFFSET(AC31,1,0,$R29-2)))</f>
        <v>11918.53</v>
      </c>
      <c r="AD31" s="439" t="n">
        <f aca="false" t="array" ref="AD31:AD31">IF($R29=2,
         IF(AND(ACOMPANHAMENTO="PLE",ISNUMBER($F29)),
                SUMIF((OFFSET(CÁLCULO!$BS$15:$CS$15,$F29,0,OFFSET(ORÇAMENTO!$D$15,CRONO!$F29,0))),CRONO!AD$12,OFFSET(CÁLCULO!$AR$15:$BR$15,$F29,0,OFFSET(ORÇAMENTO!$D$15,CRONO!$F29,0)))
                +IF(AND($F31&lt;&gt;"",$F31&lt;&gt;0),
                        SUMIF(CÁLCULO!$BS$15:$CS$205,CRONO!AD$12,CÁLCULO!$AR$15:$BR$205)/(ORÇAMENTO!$X$15-_xlfn.single(CÁLCULO.TotalAdmLocal))*CRONO!$F31,
                        0),
                 AD30*$S29),
          SUMIF(OFFSET($S31,1,0,$R29-2),($M29+1)&amp;"$",OFFSET(AD31,1,0,$R29-2)))</f>
        <v>11918.53</v>
      </c>
      <c r="AE31" s="439" t="n">
        <f aca="false" t="array" ref="AE31:AE31">IF($R29=2,
         IF(AND(ACOMPANHAMENTO="PLE",ISNUMBER($F29)),
                SUMIF((OFFSET(CÁLCULO!$BS$15:$CS$15,$F29,0,OFFSET(ORÇAMENTO!$D$15,CRONO!$F29,0))),CRONO!AE$12,OFFSET(CÁLCULO!$AR$15:$BR$15,$F29,0,OFFSET(ORÇAMENTO!$D$15,CRONO!$F29,0)))
                +IF(AND($F31&lt;&gt;"",$F31&lt;&gt;0),
                        SUMIF(CÁLCULO!$BS$15:$CS$205,CRONO!AE$12,CÁLCULO!$AR$15:$BR$205)/(ORÇAMENTO!$X$15-_xlfn.single(CÁLCULO.TotalAdmLocal))*CRONO!$F31,
                        0),
                 AE30*$S29),
          SUMIF(OFFSET($S31,1,0,$R29-2),($M29+1)&amp;"$",OFFSET(AE31,1,0,$R29-2)))</f>
        <v>11918.53</v>
      </c>
      <c r="AF31" s="439" t="n">
        <f aca="false" t="array" ref="AF31:AF31">IF($R29=2,
         IF(AND(ACOMPANHAMENTO="PLE",ISNUMBER($F29)),
                SUMIF((OFFSET(CÁLCULO!$BS$15:$CS$15,$F29,0,OFFSET(ORÇAMENTO!$D$15,CRONO!$F29,0))),CRONO!AF$12,OFFSET(CÁLCULO!$AR$15:$BR$15,$F29,0,OFFSET(ORÇAMENTO!$D$15,CRONO!$F29,0)))
                +IF(AND($F31&lt;&gt;"",$F31&lt;&gt;0),
                        SUMIF(CÁLCULO!$BS$15:$CS$205,CRONO!AF$12,CÁLCULO!$AR$15:$BR$205)/(ORÇAMENTO!$X$15-_xlfn.single(CÁLCULO.TotalAdmLocal))*CRONO!$F31,
                        0),
                 AF30*$S29),
          SUMIF(OFFSET($S31,1,0,$R29-2),($M29+1)&amp;"$",OFFSET(AF31,1,0,$R29-2)))</f>
        <v>11918.53</v>
      </c>
      <c r="AG31" s="439" t="n">
        <f aca="false" t="array" ref="AG31:AG31">IF($R29=2,
         IF(AND(ACOMPANHAMENTO="PLE",ISNUMBER($F29)),
                SUMIF((OFFSET(CÁLCULO!$BS$15:$CS$15,$F29,0,OFFSET(ORÇAMENTO!$D$15,CRONO!$F29,0))),CRONO!AG$12,OFFSET(CÁLCULO!$AR$15:$BR$15,$F29,0,OFFSET(ORÇAMENTO!$D$15,CRONO!$F29,0)))
                +IF(AND($F31&lt;&gt;"",$F31&lt;&gt;0),
                        SUMIF(CÁLCULO!$BS$15:$CS$205,CRONO!AG$12,CÁLCULO!$AR$15:$BR$205)/(ORÇAMENTO!$X$15-_xlfn.single(CÁLCULO.TotalAdmLocal))*CRONO!$F31,
                        0),
                 AG30*$S29),
          SUMIF(OFFSET($S31,1,0,$R29-2),($M29+1)&amp;"$",OFFSET(AG31,1,0,$R29-2)))</f>
        <v>11918.53</v>
      </c>
      <c r="AH31" s="439" t="n">
        <f aca="false" t="array" ref="AH31:AH31">IF($R29=2,
         IF(AND(ACOMPANHAMENTO="PLE",ISNUMBER($F29)),
                SUMIF((OFFSET(CÁLCULO!$BS$15:$CS$15,$F29,0,OFFSET(ORÇAMENTO!$D$15,CRONO!$F29,0))),CRONO!AH$12,OFFSET(CÁLCULO!$AR$15:$BR$15,$F29,0,OFFSET(ORÇAMENTO!$D$15,CRONO!$F29,0)))
                +IF(AND($F31&lt;&gt;"",$F31&lt;&gt;0),
                        SUMIF(CÁLCULO!$BS$15:$CS$205,CRONO!AH$12,CÁLCULO!$AR$15:$BR$205)/(ORÇAMENTO!$X$15-_xlfn.single(CÁLCULO.TotalAdmLocal))*CRONO!$F31,
                        0),
                 AH30*$S29),
          SUMIF(OFFSET($S31,1,0,$R29-2),($M29+1)&amp;"$",OFFSET(AH31,1,0,$R29-2)))</f>
        <v>11918.53</v>
      </c>
      <c r="AI31" s="439" t="n">
        <f aca="false" t="array" ref="AI31:AI31">IF($R29=2,
         IF(AND(ACOMPANHAMENTO="PLE",ISNUMBER($F29)),
                SUMIF((OFFSET(CÁLCULO!$BS$15:$CS$15,$F29,0,OFFSET(ORÇAMENTO!$D$15,CRONO!$F29,0))),CRONO!AI$12,OFFSET(CÁLCULO!$AR$15:$BR$15,$F29,0,OFFSET(ORÇAMENTO!$D$15,CRONO!$F29,0)))
                +IF(AND($F31&lt;&gt;"",$F31&lt;&gt;0),
                        SUMIF(CÁLCULO!$BS$15:$CS$205,CRONO!AI$12,CÁLCULO!$AR$15:$BR$205)/(ORÇAMENTO!$X$15-_xlfn.single(CÁLCULO.TotalAdmLocal))*CRONO!$F31,
                        0),
                 AI30*$S29),
          SUMIF(OFFSET($S31,1,0,$R29-2),($M29+1)&amp;"$",OFFSET(AI31,1,0,$R29-2)))</f>
        <v>11918.53</v>
      </c>
      <c r="AJ31" s="439" t="n">
        <f aca="false" t="array" ref="AJ31:AJ31">IF($R29=2,
         IF(AND(ACOMPANHAMENTO="PLE",ISNUMBER($F29)),
                SUMIF((OFFSET(CÁLCULO!$BS$15:$CS$15,$F29,0,OFFSET(ORÇAMENTO!$D$15,CRONO!$F29,0))),CRONO!AJ$12,OFFSET(CÁLCULO!$AR$15:$BR$15,$F29,0,OFFSET(ORÇAMENTO!$D$15,CRONO!$F29,0)))
                +IF(AND($F31&lt;&gt;"",$F31&lt;&gt;0),
                        SUMIF(CÁLCULO!$BS$15:$CS$205,CRONO!AJ$12,CÁLCULO!$AR$15:$BR$205)/(ORÇAMENTO!$X$15-_xlfn.single(CÁLCULO.TotalAdmLocal))*CRONO!$F31,
                        0),
                 AJ30*$S29),
          SUMIF(OFFSET($S31,1,0,$R29-2),($M29+1)&amp;"$",OFFSET(AJ31,1,0,$R29-2)))</f>
        <v>11918.53</v>
      </c>
      <c r="AK31" s="439" t="n">
        <f aca="false" t="array" ref="AK31:AK31">IF($R29=2,
         IF(AND(ACOMPANHAMENTO="PLE",ISNUMBER($F29)),
                SUMIF((OFFSET(CÁLCULO!$BS$15:$CS$15,$F29,0,OFFSET(ORÇAMENTO!$D$15,CRONO!$F29,0))),CRONO!AK$12,OFFSET(CÁLCULO!$AR$15:$BR$15,$F29,0,OFFSET(ORÇAMENTO!$D$15,CRONO!$F29,0)))
                +IF(AND($F31&lt;&gt;"",$F31&lt;&gt;0),
                        SUMIF(CÁLCULO!$BS$15:$CS$205,CRONO!AK$12,CÁLCULO!$AR$15:$BR$205)/(ORÇAMENTO!$X$15-_xlfn.single(CÁLCULO.TotalAdmLocal))*CRONO!$F31,
                        0),
                 AK30*$S29),
          SUMIF(OFFSET($S31,1,0,$R29-2),($M29+1)&amp;"$",OFFSET(AK31,1,0,$R29-2)))</f>
        <v>11918.53</v>
      </c>
      <c r="AL31" s="439" t="n">
        <f aca="false" t="array" ref="AL31:AL31">IF($R29=2,
         IF(AND(ACOMPANHAMENTO="PLE",ISNUMBER($F29)),
                SUMIF((OFFSET(CÁLCULO!$BS$15:$CS$15,$F29,0,OFFSET(ORÇAMENTO!$D$15,CRONO!$F29,0))),CRONO!AL$12,OFFSET(CÁLCULO!$AR$15:$BR$15,$F29,0,OFFSET(ORÇAMENTO!$D$15,CRONO!$F29,0)))
                +IF(AND($F31&lt;&gt;"",$F31&lt;&gt;0),
                        SUMIF(CÁLCULO!$BS$15:$CS$205,CRONO!AL$12,CÁLCULO!$AR$15:$BR$205)/(ORÇAMENTO!$X$15-_xlfn.single(CÁLCULO.TotalAdmLocal))*CRONO!$F31,
                        0),
                 AL30*$S29),
          SUMIF(OFFSET($S31,1,0,$R29-2),($M29+1)&amp;"$",OFFSET(AL31,1,0,$R29-2)))</f>
        <v>11918.53</v>
      </c>
      <c r="AM31" s="439" t="n">
        <f aca="false" t="array" ref="AM31:AM31">IF($R29=2,
         IF(AND(ACOMPANHAMENTO="PLE",ISNUMBER($F29)),
                SUMIF((OFFSET(CÁLCULO!$BS$15:$CS$15,$F29,0,OFFSET(ORÇAMENTO!$D$15,CRONO!$F29,0))),CRONO!AM$12,OFFSET(CÁLCULO!$AR$15:$BR$15,$F29,0,OFFSET(ORÇAMENTO!$D$15,CRONO!$F29,0)))
                +IF(AND($F31&lt;&gt;"",$F31&lt;&gt;0),
                        SUMIF(CÁLCULO!$BS$15:$CS$205,CRONO!AM$12,CÁLCULO!$AR$15:$BR$205)/(ORÇAMENTO!$X$15-_xlfn.single(CÁLCULO.TotalAdmLocal))*CRONO!$F31,
                        0),
                 AM30*$S29),
          SUMIF(OFFSET($S31,1,0,$R29-2),($M29+1)&amp;"$",OFFSET(AM31,1,0,$R29-2)))</f>
        <v>11918.53</v>
      </c>
      <c r="AN31" s="439" t="n">
        <f aca="false" t="array" ref="AN31:AN31">IF($R29=2,
         IF(AND(ACOMPANHAMENTO="PLE",ISNUMBER($F29)),
                SUMIF((OFFSET(CÁLCULO!$BS$15:$CS$15,$F29,0,OFFSET(ORÇAMENTO!$D$15,CRONO!$F29,0))),CRONO!AN$12,OFFSET(CÁLCULO!$AR$15:$BR$15,$F29,0,OFFSET(ORÇAMENTO!$D$15,CRONO!$F29,0)))
                +IF(AND($F31&lt;&gt;"",$F31&lt;&gt;0),
                        SUMIF(CÁLCULO!$BS$15:$CS$205,CRONO!AN$12,CÁLCULO!$AR$15:$BR$205)/(ORÇAMENTO!$X$15-_xlfn.single(CÁLCULO.TotalAdmLocal))*CRONO!$F31,
                        0),
                 AN30*$S29),
          SUMIF(OFFSET($S31,1,0,$R29-2),($M29+1)&amp;"$",OFFSET(AN31,1,0,$R29-2)))</f>
        <v>11918.53</v>
      </c>
      <c r="AO31" s="439" t="n">
        <f aca="false" t="array" ref="AO31:AO31">IF($R29=2,
         IF(AND(ACOMPANHAMENTO="PLE",ISNUMBER($F29)),
                SUMIF((OFFSET(CÁLCULO!$BS$15:$CS$15,$F29,0,OFFSET(ORÇAMENTO!$D$15,CRONO!$F29,0))),CRONO!AO$12,OFFSET(CÁLCULO!$AR$15:$BR$15,$F29,0,OFFSET(ORÇAMENTO!$D$15,CRONO!$F29,0)))
                +IF(AND($F31&lt;&gt;"",$F31&lt;&gt;0),
                        SUMIF(CÁLCULO!$BS$15:$CS$205,CRONO!AO$12,CÁLCULO!$AR$15:$BR$205)/(ORÇAMENTO!$X$15-_xlfn.single(CÁLCULO.TotalAdmLocal))*CRONO!$F31,
                        0),
                 AO30*$S29),
          SUMIF(OFFSET($S31,1,0,$R29-2),($M29+1)&amp;"$",OFFSET(AO31,1,0,$R29-2)))</f>
        <v>11918.53</v>
      </c>
      <c r="AP31" s="439" t="n">
        <f aca="false" t="array" ref="AP31:AP31">IF($R29=2,
         IF(AND(ACOMPANHAMENTO="PLE",ISNUMBER($F29)),
                SUMIF((OFFSET(CÁLCULO!$BS$15:$CS$15,$F29,0,OFFSET(ORÇAMENTO!$D$15,CRONO!$F29,0))),CRONO!AP$12,OFFSET(CÁLCULO!$AR$15:$BR$15,$F29,0,OFFSET(ORÇAMENTO!$D$15,CRONO!$F29,0)))
                +IF(AND($F31&lt;&gt;"",$F31&lt;&gt;0),
                        SUMIF(CÁLCULO!$BS$15:$CS$205,CRONO!AP$12,CÁLCULO!$AR$15:$BR$205)/(ORÇAMENTO!$X$15-_xlfn.single(CÁLCULO.TotalAdmLocal))*CRONO!$F31,
                        0),
                 AP30*$S29),
          SUMIF(OFFSET($S31,1,0,$R29-2),($M29+1)&amp;"$",OFFSET(AP31,1,0,$R29-2)))</f>
        <v>11918.53</v>
      </c>
      <c r="AQ31" s="439" t="n">
        <f aca="false" t="array" ref="AQ31:AQ31">IF($R29=2,
         IF(AND(ACOMPANHAMENTO="PLE",ISNUMBER($F29)),
                SUMIF((OFFSET(CÁLCULO!$BS$15:$CS$15,$F29,0,OFFSET(ORÇAMENTO!$D$15,CRONO!$F29,0))),CRONO!AQ$12,OFFSET(CÁLCULO!$AR$15:$BR$15,$F29,0,OFFSET(ORÇAMENTO!$D$15,CRONO!$F29,0)))
                +IF(AND($F31&lt;&gt;"",$F31&lt;&gt;0),
                        SUMIF(CÁLCULO!$BS$15:$CS$205,CRONO!AQ$12,CÁLCULO!$AR$15:$BR$205)/(ORÇAMENTO!$X$15-_xlfn.single(CÁLCULO.TotalAdmLocal))*CRONO!$F31,
                        0),
                 AQ30*$S29),
          SUMIF(OFFSET($S31,1,0,$R29-2),($M29+1)&amp;"$",OFFSET(AQ31,1,0,$R29-2)))</f>
        <v>11918.53</v>
      </c>
      <c r="AR31" s="439" t="n">
        <f aca="false" t="array" ref="AR31:AR31">IF($R29=2,
         IF(AND(ACOMPANHAMENTO="PLE",ISNUMBER($F29)),
                SUMIF((OFFSET(CÁLCULO!$BS$15:$CS$15,$F29,0,OFFSET(ORÇAMENTO!$D$15,CRONO!$F29,0))),CRONO!AR$12,OFFSET(CÁLCULO!$AR$15:$BR$15,$F29,0,OFFSET(ORÇAMENTO!$D$15,CRONO!$F29,0)))
                +IF(AND($F31&lt;&gt;"",$F31&lt;&gt;0),
                        SUMIF(CÁLCULO!$BS$15:$CS$205,CRONO!AR$12,CÁLCULO!$AR$15:$BR$205)/(ORÇAMENTO!$X$15-_xlfn.single(CÁLCULO.TotalAdmLocal))*CRONO!$F31,
                        0),
                 AR30*$S29),
          SUMIF(OFFSET($S31,1,0,$R29-2),($M29+1)&amp;"$",OFFSET(AR31,1,0,$R29-2)))</f>
        <v>11918.53</v>
      </c>
      <c r="AS31" s="439" t="n">
        <f aca="false" t="array" ref="AS31:AS31">IF($R29=2,
         IF(AND(ACOMPANHAMENTO="PLE",ISNUMBER($F29)),
                SUMIF((OFFSET(CÁLCULO!$BS$15:$CS$15,$F29,0,OFFSET(ORÇAMENTO!$D$15,CRONO!$F29,0))),CRONO!AS$12,OFFSET(CÁLCULO!$AR$15:$BR$15,$F29,0,OFFSET(ORÇAMENTO!$D$15,CRONO!$F29,0)))
                +IF(AND($F31&lt;&gt;"",$F31&lt;&gt;0),
                        SUMIF(CÁLCULO!$BS$15:$CS$205,CRONO!AS$12,CÁLCULO!$AR$15:$BR$205)/(ORÇAMENTO!$X$15-_xlfn.single(CÁLCULO.TotalAdmLocal))*CRONO!$F31,
                        0),
                 AS30*$S29),
          SUMIF(OFFSET($S31,1,0,$R29-2),($M29+1)&amp;"$",OFFSET(AS31,1,0,$R29-2)))</f>
        <v>11918.53</v>
      </c>
      <c r="AT31" s="439" t="n">
        <f aca="false" t="array" ref="AT31:AT31">IF($R29=2,
         IF(AND(ACOMPANHAMENTO="PLE",ISNUMBER($F29)),
                SUMIF((OFFSET(CÁLCULO!$BS$15:$CS$15,$F29,0,OFFSET(ORÇAMENTO!$D$15,CRONO!$F29,0))),CRONO!AT$12,OFFSET(CÁLCULO!$AR$15:$BR$15,$F29,0,OFFSET(ORÇAMENTO!$D$15,CRONO!$F29,0)))
                +IF(AND($F31&lt;&gt;"",$F31&lt;&gt;0),
                        SUMIF(CÁLCULO!$BS$15:$CS$205,CRONO!AT$12,CÁLCULO!$AR$15:$BR$205)/(ORÇAMENTO!$X$15-_xlfn.single(CÁLCULO.TotalAdmLocal))*CRONO!$F31,
                        0),
                 AT30*$S29),
          SUMIF(OFFSET($S31,1,0,$R29-2),($M29+1)&amp;"$",OFFSET(AT31,1,0,$R29-2)))</f>
        <v>0</v>
      </c>
      <c r="AU31" s="439" t="n">
        <f aca="false" t="array" ref="AU31:AU31">IF($R29=2,
         IF(AND(ACOMPANHAMENTO="PLE",ISNUMBER($F29)),
                SUMIF((OFFSET(CÁLCULO!$BS$15:$CS$15,$F29,0,OFFSET(ORÇAMENTO!$D$15,CRONO!$F29,0))),CRONO!AU$12,OFFSET(CÁLCULO!$AR$15:$BR$15,$F29,0,OFFSET(ORÇAMENTO!$D$15,CRONO!$F29,0)))
                +IF(AND($F31&lt;&gt;"",$F31&lt;&gt;0),
                        SUMIF(CÁLCULO!$BS$15:$CS$205,CRONO!AU$12,CÁLCULO!$AR$15:$BR$205)/(ORÇAMENTO!$X$15-_xlfn.single(CÁLCULO.TotalAdmLocal))*CRONO!$F31,
                        0),
                 AU30*$S29),
          SUMIF(OFFSET($S31,1,0,$R29-2),($M29+1)&amp;"$",OFFSET(AU31,1,0,$R29-2)))</f>
        <v>0</v>
      </c>
      <c r="AV31" s="439" t="n">
        <f aca="false" t="array" ref="AV31:AV31">IF($R29=2,
         IF(AND(ACOMPANHAMENTO="PLE",ISNUMBER($F29)),
                SUMIF((OFFSET(CÁLCULO!$BS$15:$CS$15,$F29,0,OFFSET(ORÇAMENTO!$D$15,CRONO!$F29,0))),CRONO!AV$12,OFFSET(CÁLCULO!$AR$15:$BR$15,$F29,0,OFFSET(ORÇAMENTO!$D$15,CRONO!$F29,0)))
                +IF(AND($F31&lt;&gt;"",$F31&lt;&gt;0),
                        SUMIF(CÁLCULO!$BS$15:$CS$205,CRONO!AV$12,CÁLCULO!$AR$15:$BR$205)/(ORÇAMENTO!$X$15-_xlfn.single(CÁLCULO.TotalAdmLocal))*CRONO!$F31,
                        0),
                 AV30*$S29),
          SUMIF(OFFSET($S31,1,0,$R29-2),($M29+1)&amp;"$",OFFSET(AV31,1,0,$R29-2)))</f>
        <v>0</v>
      </c>
      <c r="AW31" s="439" t="n">
        <f aca="false" t="array" ref="AW31:AW31">IF($R29=2,
         IF(AND(ACOMPANHAMENTO="PLE",ISNUMBER($F29)),
                SUMIF((OFFSET(CÁLCULO!$BS$15:$CS$15,$F29,0,OFFSET(ORÇAMENTO!$D$15,CRONO!$F29,0))),CRONO!AW$12,OFFSET(CÁLCULO!$AR$15:$BR$15,$F29,0,OFFSET(ORÇAMENTO!$D$15,CRONO!$F29,0)))
                +IF(AND($F31&lt;&gt;"",$F31&lt;&gt;0),
                        SUMIF(CÁLCULO!$BS$15:$CS$205,CRONO!AW$12,CÁLCULO!$AR$15:$BR$205)/(ORÇAMENTO!$X$15-_xlfn.single(CÁLCULO.TotalAdmLocal))*CRONO!$F31,
                        0),
                 AW30*$S29),
          SUMIF(OFFSET($S31,1,0,$R29-2),($M29+1)&amp;"$",OFFSET(AW31,1,0,$R29-2)))</f>
        <v>0</v>
      </c>
      <c r="AX31" s="439" t="n">
        <f aca="false" t="array" ref="AX31:AX31">IF($R29=2,
         IF(AND(ACOMPANHAMENTO="PLE",ISNUMBER($F29)),
                SUMIF((OFFSET(CÁLCULO!$BS$15:$CS$15,$F29,0,OFFSET(ORÇAMENTO!$D$15,CRONO!$F29,0))),CRONO!AX$12,OFFSET(CÁLCULO!$AR$15:$BR$15,$F29,0,OFFSET(ORÇAMENTO!$D$15,CRONO!$F29,0)))
                +IF(AND($F31&lt;&gt;"",$F31&lt;&gt;0),
                        SUMIF(CÁLCULO!$BS$15:$CS$205,CRONO!AX$12,CÁLCULO!$AR$15:$BR$205)/(ORÇAMENTO!$X$15-_xlfn.single(CÁLCULO.TotalAdmLocal))*CRONO!$F31,
                        0),
                 AX30*$S29),
          SUMIF(OFFSET($S31,1,0,$R29-2),($M29+1)&amp;"$",OFFSET(AX31,1,0,$R29-2)))</f>
        <v>0</v>
      </c>
      <c r="AY31" s="439" t="n">
        <f aca="false" t="array" ref="AY31:AY31">IF($R29=2,
         IF(AND(ACOMPANHAMENTO="PLE",ISNUMBER($F29)),
                SUMIF((OFFSET(CÁLCULO!$BS$15:$CS$15,$F29,0,OFFSET(ORÇAMENTO!$D$15,CRONO!$F29,0))),CRONO!AY$12,OFFSET(CÁLCULO!$AR$15:$BR$15,$F29,0,OFFSET(ORÇAMENTO!$D$15,CRONO!$F29,0)))
                +IF(AND($F31&lt;&gt;"",$F31&lt;&gt;0),
                        SUMIF(CÁLCULO!$BS$15:$CS$205,CRONO!AY$12,CÁLCULO!$AR$15:$BR$205)/(ORÇAMENTO!$X$15-_xlfn.single(CÁLCULO.TotalAdmLocal))*CRONO!$F31,
                        0),
                 AY30*$S29),
          SUMIF(OFFSET($S31,1,0,$R29-2),($M29+1)&amp;"$",OFFSET(AY31,1,0,$R29-2)))</f>
        <v>0</v>
      </c>
      <c r="AZ31" s="439" t="n">
        <f aca="false" t="array" ref="AZ31:AZ31">IF($R29=2,
         IF(AND(ACOMPANHAMENTO="PLE",ISNUMBER($F29)),
                SUMIF((OFFSET(CÁLCULO!$BS$15:$CS$15,$F29,0,OFFSET(ORÇAMENTO!$D$15,CRONO!$F29,0))),CRONO!AZ$12,OFFSET(CÁLCULO!$AR$15:$BR$15,$F29,0,OFFSET(ORÇAMENTO!$D$15,CRONO!$F29,0)))
                +IF(AND($F31&lt;&gt;"",$F31&lt;&gt;0),
                        SUMIF(CÁLCULO!$BS$15:$CS$205,CRONO!AZ$12,CÁLCULO!$AR$15:$BR$205)/(ORÇAMENTO!$X$15-_xlfn.single(CÁLCULO.TotalAdmLocal))*CRONO!$F31,
                        0),
                 AZ30*$S29),
          SUMIF(OFFSET($S31,1,0,$R29-2),($M29+1)&amp;"$",OFFSET(AZ31,1,0,$R29-2)))</f>
        <v>0</v>
      </c>
      <c r="BA31" s="439" t="n">
        <f aca="false" t="array" ref="BA31:BA31">IF($R29=2,
         IF(AND(ACOMPANHAMENTO="PLE",ISNUMBER($F29)),
                SUMIF((OFFSET(CÁLCULO!$BS$15:$CS$15,$F29,0,OFFSET(ORÇAMENTO!$D$15,CRONO!$F29,0))),CRONO!BA$12,OFFSET(CÁLCULO!$AR$15:$BR$15,$F29,0,OFFSET(ORÇAMENTO!$D$15,CRONO!$F29,0)))
                +IF(AND($F31&lt;&gt;"",$F31&lt;&gt;0),
                        SUMIF(CÁLCULO!$BS$15:$CS$205,CRONO!BA$12,CÁLCULO!$AR$15:$BR$205)/(ORÇAMENTO!$X$15-_xlfn.single(CÁLCULO.TotalAdmLocal))*CRONO!$F31,
                        0),
                 BA30*$S29),
          SUMIF(OFFSET($S31,1,0,$R29-2),($M29+1)&amp;"$",OFFSET(BA31,1,0,$R29-2)))</f>
        <v>0</v>
      </c>
      <c r="BB31" s="439" t="n">
        <f aca="false" t="array" ref="BB31:BB31">IF($R29=2,
         IF(AND(ACOMPANHAMENTO="PLE",ISNUMBER($F29)),
                SUMIF((OFFSET(CÁLCULO!$BS$15:$CS$15,$F29,0,OFFSET(ORÇAMENTO!$D$15,CRONO!$F29,0))),CRONO!BB$12,OFFSET(CÁLCULO!$AR$15:$BR$15,$F29,0,OFFSET(ORÇAMENTO!$D$15,CRONO!$F29,0)))
                +IF(AND($F31&lt;&gt;"",$F31&lt;&gt;0),
                        SUMIF(CÁLCULO!$BS$15:$CS$205,CRONO!BB$12,CÁLCULO!$AR$15:$BR$205)/(ORÇAMENTO!$X$15-_xlfn.single(CÁLCULO.TotalAdmLocal))*CRONO!$F31,
                        0),
                 BB30*$S29),
          SUMIF(OFFSET($S31,1,0,$R29-2),($M29+1)&amp;"$",OFFSET(BB31,1,0,$R29-2)))</f>
        <v>0</v>
      </c>
      <c r="BC31" s="439" t="n">
        <f aca="false" t="array" ref="BC31:BC31">IF($R29=2,
         IF(AND(ACOMPANHAMENTO="PLE",ISNUMBER($F29)),
                SUMIF((OFFSET(CÁLCULO!$BS$15:$CS$15,$F29,0,OFFSET(ORÇAMENTO!$D$15,CRONO!$F29,0))),CRONO!BC$12,OFFSET(CÁLCULO!$AR$15:$BR$15,$F29,0,OFFSET(ORÇAMENTO!$D$15,CRONO!$F29,0)))
                +IF(AND($F31&lt;&gt;"",$F31&lt;&gt;0),
                        SUMIF(CÁLCULO!$BS$15:$CS$205,CRONO!BC$12,CÁLCULO!$AR$15:$BR$205)/(ORÇAMENTO!$X$15-_xlfn.single(CÁLCULO.TotalAdmLocal))*CRONO!$F31,
                        0),
                 BC30*$S29),
          SUMIF(OFFSET($S31,1,0,$R29-2),($M29+1)&amp;"$",OFFSET(BC31,1,0,$R29-2)))</f>
        <v>0</v>
      </c>
      <c r="BD31" s="439" t="n">
        <f aca="false" t="array" ref="BD31:BD31">IF($R29=2,
         IF(AND(ACOMPANHAMENTO="PLE",ISNUMBER($F29)),
                SUMIF((OFFSET(CÁLCULO!$BS$15:$CS$15,$F29,0,OFFSET(ORÇAMENTO!$D$15,CRONO!$F29,0))),CRONO!BD$12,OFFSET(CÁLCULO!$AR$15:$BR$15,$F29,0,OFFSET(ORÇAMENTO!$D$15,CRONO!$F29,0)))
                +IF(AND($F31&lt;&gt;"",$F31&lt;&gt;0),
                        SUMIF(CÁLCULO!$BS$15:$CS$205,CRONO!BD$12,CÁLCULO!$AR$15:$BR$205)/(ORÇAMENTO!$X$15-_xlfn.single(CÁLCULO.TotalAdmLocal))*CRONO!$F31,
                        0),
                 BD30*$S29),
          SUMIF(OFFSET($S31,1,0,$R29-2),($M29+1)&amp;"$",OFFSET(BD31,1,0,$R29-2)))</f>
        <v>0</v>
      </c>
      <c r="BE31" s="430"/>
    </row>
    <row r="32" customFormat="false" ht="12.75" hidden="false" customHeight="false" outlineLevel="0" collapsed="false">
      <c r="A32" s="382" t="str">
        <f aca="false">IF($M32&gt;1,_xlfn.CONCAT($I32," ",$J32),"")</f>
        <v>1.6. BALDRAMES</v>
      </c>
      <c r="B32" s="419" t="n">
        <f aca="true">OFFSET(B32,-3,0)+1</f>
        <v>7</v>
      </c>
      <c r="C32" s="419" t="n">
        <f aca="true">IF($R32&lt;&gt;2,0,IF($S32=0,1,IF(F33&gt;0,OFFSET(QCI!$M$13,SUBSTITUTE(F33,".",""),0),OFFSET(ORÇAMENTO!$AA$15,CRONO!$F32,0))/$S32))</f>
        <v>0.110981526562671</v>
      </c>
      <c r="D32" s="419" t="n">
        <f aca="true">IF($R32&lt;&gt;2,0,IF($S32=0,1,IF(F33&gt;0,OFFSET(QCI!$N$13,SUBSTITUTE(F33,".",""),0),OFFSET(ORÇAMENTO!$AB$15,CRONO!$F32,0))/$S32))</f>
        <v>0</v>
      </c>
      <c r="E32" s="422" t="n">
        <f aca="false" t="array" ref="E32:E32">IF(AND($R32=2,ACOMPANHAMENTO="BM"),ROUND(E33,4),E34/$S32)</f>
        <v>0.04</v>
      </c>
      <c r="F32" s="419" t="n">
        <f aca="true">IF(B32&lt;=ORÇAMENTO.MáximoListaCrono,MATCH(B32,ORÇAMENTO.ListaCrono,0),NA())</f>
        <v>24</v>
      </c>
      <c r="G32" s="419" t="str">
        <f aca="false">IF(AND($F33&lt;&gt;-1,$S32&gt;0),"F","")</f>
        <v>F</v>
      </c>
      <c r="H32" s="423" t="str">
        <f aca="false" t="array" ref="H32:H32">IF(OR(S32=0,S32=""),"Linha",IF(AND(OR(ACOMPANHAMENTO="PLE",$R32&lt;&gt;2),$F33=0),"Linha",ROUND(1-SUM(U32:BE32),4)))</f>
        <v>Linha</v>
      </c>
      <c r="I32" s="424" t="str">
        <f aca="true">IF($F33=0,OFFSET(ORÇAMENTO!O$15,$F32,0),IF($F33&lt;&gt;-1,OFFSET(QCI!$D$13,$F33,0),""))</f>
        <v>1.6.</v>
      </c>
      <c r="J32" s="425" t="str">
        <f aca="true">IF($F33=0,OFFSET(ORÇAMENTO!R$15,$F32,0),IF($F33&lt;&gt;-1,OFFSET(QCI!$G$13,$F33,0),""))</f>
        <v>BALDRAMES</v>
      </c>
      <c r="K32" s="425"/>
      <c r="L32" s="425"/>
      <c r="M32" s="426" t="n">
        <f aca="true">IF($F33=0,OFFSET(ORÇAMENTO!C$15,$F32,0),1)</f>
        <v>2</v>
      </c>
      <c r="N32" s="427" t="n">
        <f aca="true">IF($F33=-1,0,IF(N$13&lt;=$M32,IF(ISERROR(MATCH(N$13,OFFSET($M32,1,0,ROW($M$182)-ROW($M32)-1),0)),ROW($M$182)-ROW($M32)-1,MATCH(N$13,OFFSET($M32,1,0,ROW($M$182)-ROW($M32)-1),0)-1),0))</f>
        <v>149</v>
      </c>
      <c r="O32" s="427" t="n">
        <f aca="true">IF($F33=-1,0,IF(O$13&lt;=$M32,IF(ISERROR(MATCH(O$13,OFFSET($M32,1,0,ROW($M$182)-ROW($M32)-1),0)),ROW($M$182)-ROW($M32)-1,MATCH(O$13,OFFSET($M32,1,0,ROW($M$182)-ROW($M32)-1),0)-1),0))</f>
        <v>2</v>
      </c>
      <c r="P32" s="427" t="n">
        <f aca="true">IF($F33=-1,0,IF(P$13&lt;=$M32,IF(ISERROR(MATCH(P$13,OFFSET($M32,1,0,ROW($M$182)-ROW($M32)-1),0)),ROW($M$182)-ROW($M32)-1,MATCH(P$13,OFFSET($M32,1,0,ROW($M$182)-ROW($M32)-1),0)-1),0))</f>
        <v>0</v>
      </c>
      <c r="Q32" s="427" t="n">
        <f aca="true">IF($F33=-1,0,IF(Q$13&lt;=$M32,IF(ISERROR(MATCH(Q$13,OFFSET($M32,1,0,ROW($M$182)-ROW($M32)-1),0)),ROW($M$182)-ROW($M32)-1,MATCH(Q$13,OFFSET($M32,1,0,ROW($M$182)-ROW($M32)-1),0)-1),0))</f>
        <v>0</v>
      </c>
      <c r="R32" s="427" t="n">
        <f aca="true">MIN(OFFSET(M32,0,1,,M32))</f>
        <v>2</v>
      </c>
      <c r="S32" s="428" t="n">
        <f aca="true">IF($F33=0,OFFSET(ORÇAMENTO!X$15,$F32,0),IF($F33&lt;&gt;-1,OFFSET(QCI!$O$13,$F33,0),""))</f>
        <v>191847.5</v>
      </c>
      <c r="T32" s="429" t="s">
        <v>996</v>
      </c>
      <c r="U32" s="422" t="n">
        <f aca="false" t="array" ref="U32:U32">IF(AND($R32=2,ACOMPANHAMENTO="BM"),ROUND(U33,4),U34/$S32)</f>
        <v>0.04</v>
      </c>
      <c r="V32" s="422" t="n">
        <f aca="false" t="array" ref="V32:V32">IF(AND($R32=2,ACOMPANHAMENTO="BM"),ROUND(V33,4),V34/$S32)</f>
        <v>0.04</v>
      </c>
      <c r="W32" s="422" t="n">
        <f aca="false" t="array" ref="W32:W32">IF(AND($R32=2,ACOMPANHAMENTO="BM"),ROUND(W33,4),W34/$S32)</f>
        <v>0.04</v>
      </c>
      <c r="X32" s="422" t="n">
        <f aca="false" t="array" ref="X32:X32">IF(AND($R32=2,ACOMPANHAMENTO="BM"),ROUND(X33,4),X34/$S32)</f>
        <v>0.04</v>
      </c>
      <c r="Y32" s="422" t="n">
        <f aca="false" t="array" ref="Y32:Y32">IF(AND($R32=2,ACOMPANHAMENTO="BM"),ROUND(Y33,4),Y34/$S32)</f>
        <v>0.04</v>
      </c>
      <c r="Z32" s="422" t="n">
        <f aca="false" t="array" ref="Z32:Z32">IF(AND($R32=2,ACOMPANHAMENTO="BM"),ROUND(Z33,4),Z34/$S32)</f>
        <v>0.04</v>
      </c>
      <c r="AA32" s="422" t="n">
        <f aca="false" t="array" ref="AA32:AA32">IF(AND($R32=2,ACOMPANHAMENTO="BM"),ROUND(AA33,4),AA34/$S32)</f>
        <v>0.04</v>
      </c>
      <c r="AB32" s="422" t="n">
        <f aca="false" t="array" ref="AB32:AB32">IF(AND($R32=2,ACOMPANHAMENTO="BM"),ROUND(AB33,4),AB34/$S32)</f>
        <v>0.04</v>
      </c>
      <c r="AC32" s="422" t="n">
        <f aca="false" t="array" ref="AC32:AC32">IF(AND($R32=2,ACOMPANHAMENTO="BM"),ROUND(AC33,4),AC34/$S32)</f>
        <v>0.04</v>
      </c>
      <c r="AD32" s="422" t="n">
        <f aca="false" t="array" ref="AD32:AD32">IF(AND($R32=2,ACOMPANHAMENTO="BM"),ROUND(AD33,4),AD34/$S32)</f>
        <v>0.04</v>
      </c>
      <c r="AE32" s="422" t="n">
        <f aca="false" t="array" ref="AE32:AE32">IF(AND($R32=2,ACOMPANHAMENTO="BM"),ROUND(AE33,4),AE34/$S32)</f>
        <v>0.04</v>
      </c>
      <c r="AF32" s="422" t="n">
        <f aca="false" t="array" ref="AF32:AF32">IF(AND($R32=2,ACOMPANHAMENTO="BM"),ROUND(AF33,4),AF34/$S32)</f>
        <v>0.04</v>
      </c>
      <c r="AG32" s="422" t="n">
        <f aca="false" t="array" ref="AG32:AG32">IF(AND($R32=2,ACOMPANHAMENTO="BM"),ROUND(AG33,4),AG34/$S32)</f>
        <v>0.04</v>
      </c>
      <c r="AH32" s="422" t="n">
        <f aca="false" t="array" ref="AH32:AH32">IF(AND($R32=2,ACOMPANHAMENTO="BM"),ROUND(AH33,4),AH34/$S32)</f>
        <v>0.04</v>
      </c>
      <c r="AI32" s="422" t="n">
        <f aca="false" t="array" ref="AI32:AI32">IF(AND($R32=2,ACOMPANHAMENTO="BM"),ROUND(AI33,4),AI34/$S32)</f>
        <v>0.04</v>
      </c>
      <c r="AJ32" s="422" t="n">
        <f aca="false" t="array" ref="AJ32:AJ32">IF(AND($R32=2,ACOMPANHAMENTO="BM"),ROUND(AJ33,4),AJ34/$S32)</f>
        <v>0.04</v>
      </c>
      <c r="AK32" s="422" t="n">
        <f aca="false" t="array" ref="AK32:AK32">IF(AND($R32=2,ACOMPANHAMENTO="BM"),ROUND(AK33,4),AK34/$S32)</f>
        <v>0.04</v>
      </c>
      <c r="AL32" s="422" t="n">
        <f aca="false" t="array" ref="AL32:AL32">IF(AND($R32=2,ACOMPANHAMENTO="BM"),ROUND(AL33,4),AL34/$S32)</f>
        <v>0.04</v>
      </c>
      <c r="AM32" s="422" t="n">
        <f aca="false" t="array" ref="AM32:AM32">IF(AND($R32=2,ACOMPANHAMENTO="BM"),ROUND(AM33,4),AM34/$S32)</f>
        <v>0.04</v>
      </c>
      <c r="AN32" s="422" t="n">
        <f aca="false" t="array" ref="AN32:AN32">IF(AND($R32=2,ACOMPANHAMENTO="BM"),ROUND(AN33,4),AN34/$S32)</f>
        <v>0.04</v>
      </c>
      <c r="AO32" s="422" t="n">
        <f aca="false" t="array" ref="AO32:AO32">IF(AND($R32=2,ACOMPANHAMENTO="BM"),ROUND(AO33,4),AO34/$S32)</f>
        <v>0.04</v>
      </c>
      <c r="AP32" s="422" t="n">
        <f aca="false" t="array" ref="AP32:AP32">IF(AND($R32=2,ACOMPANHAMENTO="BM"),ROUND(AP33,4),AP34/$S32)</f>
        <v>0.04</v>
      </c>
      <c r="AQ32" s="422" t="n">
        <f aca="false" t="array" ref="AQ32:AQ32">IF(AND($R32=2,ACOMPANHAMENTO="BM"),ROUND(AQ33,4),AQ34/$S32)</f>
        <v>0.04</v>
      </c>
      <c r="AR32" s="422" t="n">
        <f aca="false" t="array" ref="AR32:AR32">IF(AND($R32=2,ACOMPANHAMENTO="BM"),ROUND(AR33,4),AR34/$S32)</f>
        <v>0.04</v>
      </c>
      <c r="AS32" s="422" t="n">
        <f aca="false" t="array" ref="AS32:AS32">IF(AND($R32=2,ACOMPANHAMENTO="BM"),ROUND(AS33,4),AS34/$S32)</f>
        <v>0.04</v>
      </c>
      <c r="AT32" s="422" t="n">
        <f aca="false" t="array" ref="AT32:AT32">IF(AND($R32=2,ACOMPANHAMENTO="BM"),ROUND(AT33,4),AT34/$S32)</f>
        <v>0</v>
      </c>
      <c r="AU32" s="422" t="n">
        <f aca="false" t="array" ref="AU32:AU32">IF(AND($R32=2,ACOMPANHAMENTO="BM"),ROUND(AU33,4),AU34/$S32)</f>
        <v>0</v>
      </c>
      <c r="AV32" s="422" t="n">
        <f aca="false" t="array" ref="AV32:AV32">IF(AND($R32=2,ACOMPANHAMENTO="BM"),ROUND(AV33,4),AV34/$S32)</f>
        <v>0</v>
      </c>
      <c r="AW32" s="422" t="n">
        <f aca="false" t="array" ref="AW32:AW32">IF(AND($R32=2,ACOMPANHAMENTO="BM"),ROUND(AW33,4),AW34/$S32)</f>
        <v>0</v>
      </c>
      <c r="AX32" s="422" t="n">
        <f aca="false" t="array" ref="AX32:AX32">IF(AND($R32=2,ACOMPANHAMENTO="BM"),ROUND(AX33,4),AX34/$S32)</f>
        <v>0</v>
      </c>
      <c r="AY32" s="422" t="n">
        <f aca="false" t="array" ref="AY32:AY32">IF(AND($R32=2,ACOMPANHAMENTO="BM"),ROUND(AY33,4),AY34/$S32)</f>
        <v>0</v>
      </c>
      <c r="AZ32" s="422" t="n">
        <f aca="false" t="array" ref="AZ32:AZ32">IF(AND($R32=2,ACOMPANHAMENTO="BM"),ROUND(AZ33,4),AZ34/$S32)</f>
        <v>0</v>
      </c>
      <c r="BA32" s="422" t="n">
        <f aca="false" t="array" ref="BA32:BA32">IF(AND($R32=2,ACOMPANHAMENTO="BM"),ROUND(BA33,4),BA34/$S32)</f>
        <v>0</v>
      </c>
      <c r="BB32" s="422" t="n">
        <f aca="false" t="array" ref="BB32:BB32">IF(AND($R32=2,ACOMPANHAMENTO="BM"),ROUND(BB33,4),BB34/$S32)</f>
        <v>0</v>
      </c>
      <c r="BC32" s="422" t="n">
        <f aca="false" t="array" ref="BC32:BC32">IF(AND($R32=2,ACOMPANHAMENTO="BM"),ROUND(BC33,4),BC34/$S32)</f>
        <v>0</v>
      </c>
      <c r="BD32" s="422" t="n">
        <f aca="false" t="array" ref="BD32:BD32">IF(AND($R32=2,ACOMPANHAMENTO="BM"),ROUND(BD33,4),BD34/$S32)</f>
        <v>0</v>
      </c>
      <c r="BE32" s="430"/>
    </row>
    <row r="33" customFormat="false" ht="12.75" hidden="true" customHeight="true" outlineLevel="0" collapsed="false">
      <c r="E33" s="431"/>
      <c r="F33" s="419" t="n">
        <f aca="true">IF(ISERROR(F32),IF(1+COUNTIF($M$13:OFFSET(M32,-1,0),1)&lt;=MAX(QCI!$D$13:$D$15),1+COUNTIF($M$13:OFFSET(M32,-1,0),1),-1),0)</f>
        <v>0</v>
      </c>
      <c r="G33" s="419" t="str">
        <f aca="true" t="array" ref="G33:G33">IF(ACOMPANHAMENTO="BM",OFFSET(G33,-1,0),"")</f>
        <v/>
      </c>
      <c r="H33" s="432" t="str">
        <f aca="false" t="array" ref="H33:H33">IF(OR(S32=0,S32=""),"vazia",IF(AND(OR(ACOMPANHAMENTO="PLE",$R32&lt;&gt;2),$F33=0),"calculada","--&gt;"))</f>
        <v>calculada</v>
      </c>
      <c r="I33" s="433"/>
      <c r="J33" s="434" t="str">
        <f aca="false">IF(AND(H32&lt;&gt;0,ISNUMBER(H32)),"PREENCHA ESTA LINHA --&gt;","")</f>
        <v/>
      </c>
      <c r="K33" s="434"/>
      <c r="L33" s="434"/>
      <c r="M33" s="435"/>
      <c r="N33" s="435"/>
      <c r="O33" s="435"/>
      <c r="P33" s="435"/>
      <c r="Q33" s="435"/>
      <c r="R33" s="435"/>
      <c r="S33" s="436"/>
      <c r="T33" s="437"/>
      <c r="U33" s="431"/>
      <c r="V33" s="431"/>
      <c r="W33" s="431"/>
      <c r="X33" s="431"/>
      <c r="Y33" s="431"/>
      <c r="Z33" s="431"/>
      <c r="AA33" s="431"/>
      <c r="AB33" s="431"/>
      <c r="AC33" s="431"/>
      <c r="AD33" s="431"/>
      <c r="AE33" s="431"/>
      <c r="AF33" s="431"/>
      <c r="AG33" s="431"/>
      <c r="AH33" s="431"/>
      <c r="AI33" s="431"/>
      <c r="AJ33" s="431"/>
      <c r="AK33" s="431"/>
      <c r="AL33" s="431"/>
      <c r="AM33" s="431"/>
      <c r="AN33" s="431"/>
      <c r="AO33" s="431"/>
      <c r="AP33" s="431"/>
      <c r="AQ33" s="431"/>
      <c r="AR33" s="431"/>
      <c r="AS33" s="431"/>
      <c r="AT33" s="431"/>
      <c r="AU33" s="431"/>
      <c r="AV33" s="431"/>
      <c r="AW33" s="431"/>
      <c r="AX33" s="431"/>
      <c r="AY33" s="431"/>
      <c r="AZ33" s="431"/>
      <c r="BA33" s="431"/>
      <c r="BB33" s="431"/>
      <c r="BC33" s="431"/>
      <c r="BD33" s="431"/>
      <c r="BE33" s="430"/>
    </row>
    <row r="34" customFormat="false" ht="12.75" hidden="true" customHeight="true" outlineLevel="0" collapsed="false">
      <c r="D34" s="438"/>
      <c r="E34" s="439" t="n">
        <f aca="false" t="array" ref="E34:E34">IF($R32=2,
         IF(AND(ACOMPANHAMENTO="PLE",ISNUMBER($F32)),
                SUMIF((OFFSET(CÁLCULO!$BS$15:$CS$15,$F32,0,OFFSET(ORÇAMENTO!$D$15,CRONO!$F32,0))),CRONO!E$12,OFFSET(CÁLCULO!$AR$15:$BR$15,$F32,0,OFFSET(ORÇAMENTO!$D$15,CRONO!$F32,0)))
                +IF(AND($F34&lt;&gt;"",$F34&lt;&gt;0),
                        SUMIF(CÁLCULO!$BS$15:$CS$205,CRONO!E$12,CÁLCULO!$AR$15:$BR$205)/(ORÇAMENTO!$X$15-_xlfn.single(CÁLCULO.TotalAdmLocal))*CRONO!$F34,
                        0),
                 E33*$S32),
          SUMIF(OFFSET($S34,1,0,$R32-2),($M32+1)&amp;"$",OFFSET(E34,1,0,$R32-2)))</f>
        <v>7673.9</v>
      </c>
      <c r="F34" s="419" t="str">
        <f aca="true">IF(OR($R32&lt;&gt;2,AUTOEVENTO&lt;&gt;"manual",$F33&gt;0),"",
        IF(Import.TipoArredondamento="Tradicional",
              SUMIF(OFFSET(CÁLCULO!$M$15,CRONO!$F32,0,OFFSET(ORÇAMENTO!$D$15,CRONO!$F32,0)),1,OFFSET(ORÇAMENTO!$X$15,CRONO!$F32,0,OFFSET(ORÇAMENTO!$D$15,CRONO!$F32,0))),
              0))</f>
        <v/>
      </c>
      <c r="H34" s="440"/>
      <c r="S34" s="441" t="str">
        <f aca="false">M32&amp;"$"</f>
        <v>2$</v>
      </c>
      <c r="T34" s="442"/>
      <c r="U34" s="439" t="n">
        <f aca="false" t="array" ref="U34:U34">IF($R32=2,
         IF(AND(ACOMPANHAMENTO="PLE",ISNUMBER($F32)),
                SUMIF((OFFSET(CÁLCULO!$BS$15:$CS$15,$F32,0,OFFSET(ORÇAMENTO!$D$15,CRONO!$F32,0))),CRONO!U$12,OFFSET(CÁLCULO!$AR$15:$BR$15,$F32,0,OFFSET(ORÇAMENTO!$D$15,CRONO!$F32,0)))
                +IF(AND($F34&lt;&gt;"",$F34&lt;&gt;0),
                        SUMIF(CÁLCULO!$BS$15:$CS$205,CRONO!U$12,CÁLCULO!$AR$15:$BR$205)/(ORÇAMENTO!$X$15-_xlfn.single(CÁLCULO.TotalAdmLocal))*CRONO!$F34,
                        0),
                 U33*$S32),
          SUMIF(OFFSET($S34,1,0,$R32-2),($M32+1)&amp;"$",OFFSET(U34,1,0,$R32-2)))</f>
        <v>7673.9</v>
      </c>
      <c r="V34" s="439" t="n">
        <f aca="false" t="array" ref="V34:V34">IF($R32=2,
         IF(AND(ACOMPANHAMENTO="PLE",ISNUMBER($F32)),
                SUMIF((OFFSET(CÁLCULO!$BS$15:$CS$15,$F32,0,OFFSET(ORÇAMENTO!$D$15,CRONO!$F32,0))),CRONO!V$12,OFFSET(CÁLCULO!$AR$15:$BR$15,$F32,0,OFFSET(ORÇAMENTO!$D$15,CRONO!$F32,0)))
                +IF(AND($F34&lt;&gt;"",$F34&lt;&gt;0),
                        SUMIF(CÁLCULO!$BS$15:$CS$205,CRONO!V$12,CÁLCULO!$AR$15:$BR$205)/(ORÇAMENTO!$X$15-_xlfn.single(CÁLCULO.TotalAdmLocal))*CRONO!$F34,
                        0),
                 V33*$S32),
          SUMIF(OFFSET($S34,1,0,$R32-2),($M32+1)&amp;"$",OFFSET(V34,1,0,$R32-2)))</f>
        <v>7673.9</v>
      </c>
      <c r="W34" s="439" t="n">
        <f aca="false" t="array" ref="W34:W34">IF($R32=2,
         IF(AND(ACOMPANHAMENTO="PLE",ISNUMBER($F32)),
                SUMIF((OFFSET(CÁLCULO!$BS$15:$CS$15,$F32,0,OFFSET(ORÇAMENTO!$D$15,CRONO!$F32,0))),CRONO!W$12,OFFSET(CÁLCULO!$AR$15:$BR$15,$F32,0,OFFSET(ORÇAMENTO!$D$15,CRONO!$F32,0)))
                +IF(AND($F34&lt;&gt;"",$F34&lt;&gt;0),
                        SUMIF(CÁLCULO!$BS$15:$CS$205,CRONO!W$12,CÁLCULO!$AR$15:$BR$205)/(ORÇAMENTO!$X$15-_xlfn.single(CÁLCULO.TotalAdmLocal))*CRONO!$F34,
                        0),
                 W33*$S32),
          SUMIF(OFFSET($S34,1,0,$R32-2),($M32+1)&amp;"$",OFFSET(W34,1,0,$R32-2)))</f>
        <v>7673.9</v>
      </c>
      <c r="X34" s="439" t="n">
        <f aca="false" t="array" ref="X34:X34">IF($R32=2,
         IF(AND(ACOMPANHAMENTO="PLE",ISNUMBER($F32)),
                SUMIF((OFFSET(CÁLCULO!$BS$15:$CS$15,$F32,0,OFFSET(ORÇAMENTO!$D$15,CRONO!$F32,0))),CRONO!X$12,OFFSET(CÁLCULO!$AR$15:$BR$15,$F32,0,OFFSET(ORÇAMENTO!$D$15,CRONO!$F32,0)))
                +IF(AND($F34&lt;&gt;"",$F34&lt;&gt;0),
                        SUMIF(CÁLCULO!$BS$15:$CS$205,CRONO!X$12,CÁLCULO!$AR$15:$BR$205)/(ORÇAMENTO!$X$15-_xlfn.single(CÁLCULO.TotalAdmLocal))*CRONO!$F34,
                        0),
                 X33*$S32),
          SUMIF(OFFSET($S34,1,0,$R32-2),($M32+1)&amp;"$",OFFSET(X34,1,0,$R32-2)))</f>
        <v>7673.9</v>
      </c>
      <c r="Y34" s="439" t="n">
        <f aca="false" t="array" ref="Y34:Y34">IF($R32=2,
         IF(AND(ACOMPANHAMENTO="PLE",ISNUMBER($F32)),
                SUMIF((OFFSET(CÁLCULO!$BS$15:$CS$15,$F32,0,OFFSET(ORÇAMENTO!$D$15,CRONO!$F32,0))),CRONO!Y$12,OFFSET(CÁLCULO!$AR$15:$BR$15,$F32,0,OFFSET(ORÇAMENTO!$D$15,CRONO!$F32,0)))
                +IF(AND($F34&lt;&gt;"",$F34&lt;&gt;0),
                        SUMIF(CÁLCULO!$BS$15:$CS$205,CRONO!Y$12,CÁLCULO!$AR$15:$BR$205)/(ORÇAMENTO!$X$15-_xlfn.single(CÁLCULO.TotalAdmLocal))*CRONO!$F34,
                        0),
                 Y33*$S32),
          SUMIF(OFFSET($S34,1,0,$R32-2),($M32+1)&amp;"$",OFFSET(Y34,1,0,$R32-2)))</f>
        <v>7673.9</v>
      </c>
      <c r="Z34" s="439" t="n">
        <f aca="false" t="array" ref="Z34:Z34">IF($R32=2,
         IF(AND(ACOMPANHAMENTO="PLE",ISNUMBER($F32)),
                SUMIF((OFFSET(CÁLCULO!$BS$15:$CS$15,$F32,0,OFFSET(ORÇAMENTO!$D$15,CRONO!$F32,0))),CRONO!Z$12,OFFSET(CÁLCULO!$AR$15:$BR$15,$F32,0,OFFSET(ORÇAMENTO!$D$15,CRONO!$F32,0)))
                +IF(AND($F34&lt;&gt;"",$F34&lt;&gt;0),
                        SUMIF(CÁLCULO!$BS$15:$CS$205,CRONO!Z$12,CÁLCULO!$AR$15:$BR$205)/(ORÇAMENTO!$X$15-_xlfn.single(CÁLCULO.TotalAdmLocal))*CRONO!$F34,
                        0),
                 Z33*$S32),
          SUMIF(OFFSET($S34,1,0,$R32-2),($M32+1)&amp;"$",OFFSET(Z34,1,0,$R32-2)))</f>
        <v>7673.9</v>
      </c>
      <c r="AA34" s="439" t="n">
        <f aca="false" t="array" ref="AA34:AA34">IF($R32=2,
         IF(AND(ACOMPANHAMENTO="PLE",ISNUMBER($F32)),
                SUMIF((OFFSET(CÁLCULO!$BS$15:$CS$15,$F32,0,OFFSET(ORÇAMENTO!$D$15,CRONO!$F32,0))),CRONO!AA$12,OFFSET(CÁLCULO!$AR$15:$BR$15,$F32,0,OFFSET(ORÇAMENTO!$D$15,CRONO!$F32,0)))
                +IF(AND($F34&lt;&gt;"",$F34&lt;&gt;0),
                        SUMIF(CÁLCULO!$BS$15:$CS$205,CRONO!AA$12,CÁLCULO!$AR$15:$BR$205)/(ORÇAMENTO!$X$15-_xlfn.single(CÁLCULO.TotalAdmLocal))*CRONO!$F34,
                        0),
                 AA33*$S32),
          SUMIF(OFFSET($S34,1,0,$R32-2),($M32+1)&amp;"$",OFFSET(AA34,1,0,$R32-2)))</f>
        <v>7673.9</v>
      </c>
      <c r="AB34" s="439" t="n">
        <f aca="false" t="array" ref="AB34:AB34">IF($R32=2,
         IF(AND(ACOMPANHAMENTO="PLE",ISNUMBER($F32)),
                SUMIF((OFFSET(CÁLCULO!$BS$15:$CS$15,$F32,0,OFFSET(ORÇAMENTO!$D$15,CRONO!$F32,0))),CRONO!AB$12,OFFSET(CÁLCULO!$AR$15:$BR$15,$F32,0,OFFSET(ORÇAMENTO!$D$15,CRONO!$F32,0)))
                +IF(AND($F34&lt;&gt;"",$F34&lt;&gt;0),
                        SUMIF(CÁLCULO!$BS$15:$CS$205,CRONO!AB$12,CÁLCULO!$AR$15:$BR$205)/(ORÇAMENTO!$X$15-_xlfn.single(CÁLCULO.TotalAdmLocal))*CRONO!$F34,
                        0),
                 AB33*$S32),
          SUMIF(OFFSET($S34,1,0,$R32-2),($M32+1)&amp;"$",OFFSET(AB34,1,0,$R32-2)))</f>
        <v>7673.9</v>
      </c>
      <c r="AC34" s="439" t="n">
        <f aca="false" t="array" ref="AC34:AC34">IF($R32=2,
         IF(AND(ACOMPANHAMENTO="PLE",ISNUMBER($F32)),
                SUMIF((OFFSET(CÁLCULO!$BS$15:$CS$15,$F32,0,OFFSET(ORÇAMENTO!$D$15,CRONO!$F32,0))),CRONO!AC$12,OFFSET(CÁLCULO!$AR$15:$BR$15,$F32,0,OFFSET(ORÇAMENTO!$D$15,CRONO!$F32,0)))
                +IF(AND($F34&lt;&gt;"",$F34&lt;&gt;0),
                        SUMIF(CÁLCULO!$BS$15:$CS$205,CRONO!AC$12,CÁLCULO!$AR$15:$BR$205)/(ORÇAMENTO!$X$15-_xlfn.single(CÁLCULO.TotalAdmLocal))*CRONO!$F34,
                        0),
                 AC33*$S32),
          SUMIF(OFFSET($S34,1,0,$R32-2),($M32+1)&amp;"$",OFFSET(AC34,1,0,$R32-2)))</f>
        <v>7673.9</v>
      </c>
      <c r="AD34" s="439" t="n">
        <f aca="false" t="array" ref="AD34:AD34">IF($R32=2,
         IF(AND(ACOMPANHAMENTO="PLE",ISNUMBER($F32)),
                SUMIF((OFFSET(CÁLCULO!$BS$15:$CS$15,$F32,0,OFFSET(ORÇAMENTO!$D$15,CRONO!$F32,0))),CRONO!AD$12,OFFSET(CÁLCULO!$AR$15:$BR$15,$F32,0,OFFSET(ORÇAMENTO!$D$15,CRONO!$F32,0)))
                +IF(AND($F34&lt;&gt;"",$F34&lt;&gt;0),
                        SUMIF(CÁLCULO!$BS$15:$CS$205,CRONO!AD$12,CÁLCULO!$AR$15:$BR$205)/(ORÇAMENTO!$X$15-_xlfn.single(CÁLCULO.TotalAdmLocal))*CRONO!$F34,
                        0),
                 AD33*$S32),
          SUMIF(OFFSET($S34,1,0,$R32-2),($M32+1)&amp;"$",OFFSET(AD34,1,0,$R32-2)))</f>
        <v>7673.9</v>
      </c>
      <c r="AE34" s="439" t="n">
        <f aca="false" t="array" ref="AE34:AE34">IF($R32=2,
         IF(AND(ACOMPANHAMENTO="PLE",ISNUMBER($F32)),
                SUMIF((OFFSET(CÁLCULO!$BS$15:$CS$15,$F32,0,OFFSET(ORÇAMENTO!$D$15,CRONO!$F32,0))),CRONO!AE$12,OFFSET(CÁLCULO!$AR$15:$BR$15,$F32,0,OFFSET(ORÇAMENTO!$D$15,CRONO!$F32,0)))
                +IF(AND($F34&lt;&gt;"",$F34&lt;&gt;0),
                        SUMIF(CÁLCULO!$BS$15:$CS$205,CRONO!AE$12,CÁLCULO!$AR$15:$BR$205)/(ORÇAMENTO!$X$15-_xlfn.single(CÁLCULO.TotalAdmLocal))*CRONO!$F34,
                        0),
                 AE33*$S32),
          SUMIF(OFFSET($S34,1,0,$R32-2),($M32+1)&amp;"$",OFFSET(AE34,1,0,$R32-2)))</f>
        <v>7673.9</v>
      </c>
      <c r="AF34" s="439" t="n">
        <f aca="false" t="array" ref="AF34:AF34">IF($R32=2,
         IF(AND(ACOMPANHAMENTO="PLE",ISNUMBER($F32)),
                SUMIF((OFFSET(CÁLCULO!$BS$15:$CS$15,$F32,0,OFFSET(ORÇAMENTO!$D$15,CRONO!$F32,0))),CRONO!AF$12,OFFSET(CÁLCULO!$AR$15:$BR$15,$F32,0,OFFSET(ORÇAMENTO!$D$15,CRONO!$F32,0)))
                +IF(AND($F34&lt;&gt;"",$F34&lt;&gt;0),
                        SUMIF(CÁLCULO!$BS$15:$CS$205,CRONO!AF$12,CÁLCULO!$AR$15:$BR$205)/(ORÇAMENTO!$X$15-_xlfn.single(CÁLCULO.TotalAdmLocal))*CRONO!$F34,
                        0),
                 AF33*$S32),
          SUMIF(OFFSET($S34,1,0,$R32-2),($M32+1)&amp;"$",OFFSET(AF34,1,0,$R32-2)))</f>
        <v>7673.9</v>
      </c>
      <c r="AG34" s="439" t="n">
        <f aca="false" t="array" ref="AG34:AG34">IF($R32=2,
         IF(AND(ACOMPANHAMENTO="PLE",ISNUMBER($F32)),
                SUMIF((OFFSET(CÁLCULO!$BS$15:$CS$15,$F32,0,OFFSET(ORÇAMENTO!$D$15,CRONO!$F32,0))),CRONO!AG$12,OFFSET(CÁLCULO!$AR$15:$BR$15,$F32,0,OFFSET(ORÇAMENTO!$D$15,CRONO!$F32,0)))
                +IF(AND($F34&lt;&gt;"",$F34&lt;&gt;0),
                        SUMIF(CÁLCULO!$BS$15:$CS$205,CRONO!AG$12,CÁLCULO!$AR$15:$BR$205)/(ORÇAMENTO!$X$15-_xlfn.single(CÁLCULO.TotalAdmLocal))*CRONO!$F34,
                        0),
                 AG33*$S32),
          SUMIF(OFFSET($S34,1,0,$R32-2),($M32+1)&amp;"$",OFFSET(AG34,1,0,$R32-2)))</f>
        <v>7673.9</v>
      </c>
      <c r="AH34" s="439" t="n">
        <f aca="false" t="array" ref="AH34:AH34">IF($R32=2,
         IF(AND(ACOMPANHAMENTO="PLE",ISNUMBER($F32)),
                SUMIF((OFFSET(CÁLCULO!$BS$15:$CS$15,$F32,0,OFFSET(ORÇAMENTO!$D$15,CRONO!$F32,0))),CRONO!AH$12,OFFSET(CÁLCULO!$AR$15:$BR$15,$F32,0,OFFSET(ORÇAMENTO!$D$15,CRONO!$F32,0)))
                +IF(AND($F34&lt;&gt;"",$F34&lt;&gt;0),
                        SUMIF(CÁLCULO!$BS$15:$CS$205,CRONO!AH$12,CÁLCULO!$AR$15:$BR$205)/(ORÇAMENTO!$X$15-_xlfn.single(CÁLCULO.TotalAdmLocal))*CRONO!$F34,
                        0),
                 AH33*$S32),
          SUMIF(OFFSET($S34,1,0,$R32-2),($M32+1)&amp;"$",OFFSET(AH34,1,0,$R32-2)))</f>
        <v>7673.9</v>
      </c>
      <c r="AI34" s="439" t="n">
        <f aca="false" t="array" ref="AI34:AI34">IF($R32=2,
         IF(AND(ACOMPANHAMENTO="PLE",ISNUMBER($F32)),
                SUMIF((OFFSET(CÁLCULO!$BS$15:$CS$15,$F32,0,OFFSET(ORÇAMENTO!$D$15,CRONO!$F32,0))),CRONO!AI$12,OFFSET(CÁLCULO!$AR$15:$BR$15,$F32,0,OFFSET(ORÇAMENTO!$D$15,CRONO!$F32,0)))
                +IF(AND($F34&lt;&gt;"",$F34&lt;&gt;0),
                        SUMIF(CÁLCULO!$BS$15:$CS$205,CRONO!AI$12,CÁLCULO!$AR$15:$BR$205)/(ORÇAMENTO!$X$15-_xlfn.single(CÁLCULO.TotalAdmLocal))*CRONO!$F34,
                        0),
                 AI33*$S32),
          SUMIF(OFFSET($S34,1,0,$R32-2),($M32+1)&amp;"$",OFFSET(AI34,1,0,$R32-2)))</f>
        <v>7673.9</v>
      </c>
      <c r="AJ34" s="439" t="n">
        <f aca="false" t="array" ref="AJ34:AJ34">IF($R32=2,
         IF(AND(ACOMPANHAMENTO="PLE",ISNUMBER($F32)),
                SUMIF((OFFSET(CÁLCULO!$BS$15:$CS$15,$F32,0,OFFSET(ORÇAMENTO!$D$15,CRONO!$F32,0))),CRONO!AJ$12,OFFSET(CÁLCULO!$AR$15:$BR$15,$F32,0,OFFSET(ORÇAMENTO!$D$15,CRONO!$F32,0)))
                +IF(AND($F34&lt;&gt;"",$F34&lt;&gt;0),
                        SUMIF(CÁLCULO!$BS$15:$CS$205,CRONO!AJ$12,CÁLCULO!$AR$15:$BR$205)/(ORÇAMENTO!$X$15-_xlfn.single(CÁLCULO.TotalAdmLocal))*CRONO!$F34,
                        0),
                 AJ33*$S32),
          SUMIF(OFFSET($S34,1,0,$R32-2),($M32+1)&amp;"$",OFFSET(AJ34,1,0,$R32-2)))</f>
        <v>7673.9</v>
      </c>
      <c r="AK34" s="439" t="n">
        <f aca="false" t="array" ref="AK34:AK34">IF($R32=2,
         IF(AND(ACOMPANHAMENTO="PLE",ISNUMBER($F32)),
                SUMIF((OFFSET(CÁLCULO!$BS$15:$CS$15,$F32,0,OFFSET(ORÇAMENTO!$D$15,CRONO!$F32,0))),CRONO!AK$12,OFFSET(CÁLCULO!$AR$15:$BR$15,$F32,0,OFFSET(ORÇAMENTO!$D$15,CRONO!$F32,0)))
                +IF(AND($F34&lt;&gt;"",$F34&lt;&gt;0),
                        SUMIF(CÁLCULO!$BS$15:$CS$205,CRONO!AK$12,CÁLCULO!$AR$15:$BR$205)/(ORÇAMENTO!$X$15-_xlfn.single(CÁLCULO.TotalAdmLocal))*CRONO!$F34,
                        0),
                 AK33*$S32),
          SUMIF(OFFSET($S34,1,0,$R32-2),($M32+1)&amp;"$",OFFSET(AK34,1,0,$R32-2)))</f>
        <v>7673.9</v>
      </c>
      <c r="AL34" s="439" t="n">
        <f aca="false" t="array" ref="AL34:AL34">IF($R32=2,
         IF(AND(ACOMPANHAMENTO="PLE",ISNUMBER($F32)),
                SUMIF((OFFSET(CÁLCULO!$BS$15:$CS$15,$F32,0,OFFSET(ORÇAMENTO!$D$15,CRONO!$F32,0))),CRONO!AL$12,OFFSET(CÁLCULO!$AR$15:$BR$15,$F32,0,OFFSET(ORÇAMENTO!$D$15,CRONO!$F32,0)))
                +IF(AND($F34&lt;&gt;"",$F34&lt;&gt;0),
                        SUMIF(CÁLCULO!$BS$15:$CS$205,CRONO!AL$12,CÁLCULO!$AR$15:$BR$205)/(ORÇAMENTO!$X$15-_xlfn.single(CÁLCULO.TotalAdmLocal))*CRONO!$F34,
                        0),
                 AL33*$S32),
          SUMIF(OFFSET($S34,1,0,$R32-2),($M32+1)&amp;"$",OFFSET(AL34,1,0,$R32-2)))</f>
        <v>7673.9</v>
      </c>
      <c r="AM34" s="439" t="n">
        <f aca="false" t="array" ref="AM34:AM34">IF($R32=2,
         IF(AND(ACOMPANHAMENTO="PLE",ISNUMBER($F32)),
                SUMIF((OFFSET(CÁLCULO!$BS$15:$CS$15,$F32,0,OFFSET(ORÇAMENTO!$D$15,CRONO!$F32,0))),CRONO!AM$12,OFFSET(CÁLCULO!$AR$15:$BR$15,$F32,0,OFFSET(ORÇAMENTO!$D$15,CRONO!$F32,0)))
                +IF(AND($F34&lt;&gt;"",$F34&lt;&gt;0),
                        SUMIF(CÁLCULO!$BS$15:$CS$205,CRONO!AM$12,CÁLCULO!$AR$15:$BR$205)/(ORÇAMENTO!$X$15-_xlfn.single(CÁLCULO.TotalAdmLocal))*CRONO!$F34,
                        0),
                 AM33*$S32),
          SUMIF(OFFSET($S34,1,0,$R32-2),($M32+1)&amp;"$",OFFSET(AM34,1,0,$R32-2)))</f>
        <v>7673.9</v>
      </c>
      <c r="AN34" s="439" t="n">
        <f aca="false" t="array" ref="AN34:AN34">IF($R32=2,
         IF(AND(ACOMPANHAMENTO="PLE",ISNUMBER($F32)),
                SUMIF((OFFSET(CÁLCULO!$BS$15:$CS$15,$F32,0,OFFSET(ORÇAMENTO!$D$15,CRONO!$F32,0))),CRONO!AN$12,OFFSET(CÁLCULO!$AR$15:$BR$15,$F32,0,OFFSET(ORÇAMENTO!$D$15,CRONO!$F32,0)))
                +IF(AND($F34&lt;&gt;"",$F34&lt;&gt;0),
                        SUMIF(CÁLCULO!$BS$15:$CS$205,CRONO!AN$12,CÁLCULO!$AR$15:$BR$205)/(ORÇAMENTO!$X$15-_xlfn.single(CÁLCULO.TotalAdmLocal))*CRONO!$F34,
                        0),
                 AN33*$S32),
          SUMIF(OFFSET($S34,1,0,$R32-2),($M32+1)&amp;"$",OFFSET(AN34,1,0,$R32-2)))</f>
        <v>7673.9</v>
      </c>
      <c r="AO34" s="439" t="n">
        <f aca="false" t="array" ref="AO34:AO34">IF($R32=2,
         IF(AND(ACOMPANHAMENTO="PLE",ISNUMBER($F32)),
                SUMIF((OFFSET(CÁLCULO!$BS$15:$CS$15,$F32,0,OFFSET(ORÇAMENTO!$D$15,CRONO!$F32,0))),CRONO!AO$12,OFFSET(CÁLCULO!$AR$15:$BR$15,$F32,0,OFFSET(ORÇAMENTO!$D$15,CRONO!$F32,0)))
                +IF(AND($F34&lt;&gt;"",$F34&lt;&gt;0),
                        SUMIF(CÁLCULO!$BS$15:$CS$205,CRONO!AO$12,CÁLCULO!$AR$15:$BR$205)/(ORÇAMENTO!$X$15-_xlfn.single(CÁLCULO.TotalAdmLocal))*CRONO!$F34,
                        0),
                 AO33*$S32),
          SUMIF(OFFSET($S34,1,0,$R32-2),($M32+1)&amp;"$",OFFSET(AO34,1,0,$R32-2)))</f>
        <v>7673.9</v>
      </c>
      <c r="AP34" s="439" t="n">
        <f aca="false" t="array" ref="AP34:AP34">IF($R32=2,
         IF(AND(ACOMPANHAMENTO="PLE",ISNUMBER($F32)),
                SUMIF((OFFSET(CÁLCULO!$BS$15:$CS$15,$F32,0,OFFSET(ORÇAMENTO!$D$15,CRONO!$F32,0))),CRONO!AP$12,OFFSET(CÁLCULO!$AR$15:$BR$15,$F32,0,OFFSET(ORÇAMENTO!$D$15,CRONO!$F32,0)))
                +IF(AND($F34&lt;&gt;"",$F34&lt;&gt;0),
                        SUMIF(CÁLCULO!$BS$15:$CS$205,CRONO!AP$12,CÁLCULO!$AR$15:$BR$205)/(ORÇAMENTO!$X$15-_xlfn.single(CÁLCULO.TotalAdmLocal))*CRONO!$F34,
                        0),
                 AP33*$S32),
          SUMIF(OFFSET($S34,1,0,$R32-2),($M32+1)&amp;"$",OFFSET(AP34,1,0,$R32-2)))</f>
        <v>7673.9</v>
      </c>
      <c r="AQ34" s="439" t="n">
        <f aca="false" t="array" ref="AQ34:AQ34">IF($R32=2,
         IF(AND(ACOMPANHAMENTO="PLE",ISNUMBER($F32)),
                SUMIF((OFFSET(CÁLCULO!$BS$15:$CS$15,$F32,0,OFFSET(ORÇAMENTO!$D$15,CRONO!$F32,0))),CRONO!AQ$12,OFFSET(CÁLCULO!$AR$15:$BR$15,$F32,0,OFFSET(ORÇAMENTO!$D$15,CRONO!$F32,0)))
                +IF(AND($F34&lt;&gt;"",$F34&lt;&gt;0),
                        SUMIF(CÁLCULO!$BS$15:$CS$205,CRONO!AQ$12,CÁLCULO!$AR$15:$BR$205)/(ORÇAMENTO!$X$15-_xlfn.single(CÁLCULO.TotalAdmLocal))*CRONO!$F34,
                        0),
                 AQ33*$S32),
          SUMIF(OFFSET($S34,1,0,$R32-2),($M32+1)&amp;"$",OFFSET(AQ34,1,0,$R32-2)))</f>
        <v>7673.9</v>
      </c>
      <c r="AR34" s="439" t="n">
        <f aca="false" t="array" ref="AR34:AR34">IF($R32=2,
         IF(AND(ACOMPANHAMENTO="PLE",ISNUMBER($F32)),
                SUMIF((OFFSET(CÁLCULO!$BS$15:$CS$15,$F32,0,OFFSET(ORÇAMENTO!$D$15,CRONO!$F32,0))),CRONO!AR$12,OFFSET(CÁLCULO!$AR$15:$BR$15,$F32,0,OFFSET(ORÇAMENTO!$D$15,CRONO!$F32,0)))
                +IF(AND($F34&lt;&gt;"",$F34&lt;&gt;0),
                        SUMIF(CÁLCULO!$BS$15:$CS$205,CRONO!AR$12,CÁLCULO!$AR$15:$BR$205)/(ORÇAMENTO!$X$15-_xlfn.single(CÁLCULO.TotalAdmLocal))*CRONO!$F34,
                        0),
                 AR33*$S32),
          SUMIF(OFFSET($S34,1,0,$R32-2),($M32+1)&amp;"$",OFFSET(AR34,1,0,$R32-2)))</f>
        <v>7673.9</v>
      </c>
      <c r="AS34" s="439" t="n">
        <f aca="false" t="array" ref="AS34:AS34">IF($R32=2,
         IF(AND(ACOMPANHAMENTO="PLE",ISNUMBER($F32)),
                SUMIF((OFFSET(CÁLCULO!$BS$15:$CS$15,$F32,0,OFFSET(ORÇAMENTO!$D$15,CRONO!$F32,0))),CRONO!AS$12,OFFSET(CÁLCULO!$AR$15:$BR$15,$F32,0,OFFSET(ORÇAMENTO!$D$15,CRONO!$F32,0)))
                +IF(AND($F34&lt;&gt;"",$F34&lt;&gt;0),
                        SUMIF(CÁLCULO!$BS$15:$CS$205,CRONO!AS$12,CÁLCULO!$AR$15:$BR$205)/(ORÇAMENTO!$X$15-_xlfn.single(CÁLCULO.TotalAdmLocal))*CRONO!$F34,
                        0),
                 AS33*$S32),
          SUMIF(OFFSET($S34,1,0,$R32-2),($M32+1)&amp;"$",OFFSET(AS34,1,0,$R32-2)))</f>
        <v>7673.9</v>
      </c>
      <c r="AT34" s="439" t="n">
        <f aca="false" t="array" ref="AT34:AT34">IF($R32=2,
         IF(AND(ACOMPANHAMENTO="PLE",ISNUMBER($F32)),
                SUMIF((OFFSET(CÁLCULO!$BS$15:$CS$15,$F32,0,OFFSET(ORÇAMENTO!$D$15,CRONO!$F32,0))),CRONO!AT$12,OFFSET(CÁLCULO!$AR$15:$BR$15,$F32,0,OFFSET(ORÇAMENTO!$D$15,CRONO!$F32,0)))
                +IF(AND($F34&lt;&gt;"",$F34&lt;&gt;0),
                        SUMIF(CÁLCULO!$BS$15:$CS$205,CRONO!AT$12,CÁLCULO!$AR$15:$BR$205)/(ORÇAMENTO!$X$15-_xlfn.single(CÁLCULO.TotalAdmLocal))*CRONO!$F34,
                        0),
                 AT33*$S32),
          SUMIF(OFFSET($S34,1,0,$R32-2),($M32+1)&amp;"$",OFFSET(AT34,1,0,$R32-2)))</f>
        <v>0</v>
      </c>
      <c r="AU34" s="439" t="n">
        <f aca="false" t="array" ref="AU34:AU34">IF($R32=2,
         IF(AND(ACOMPANHAMENTO="PLE",ISNUMBER($F32)),
                SUMIF((OFFSET(CÁLCULO!$BS$15:$CS$15,$F32,0,OFFSET(ORÇAMENTO!$D$15,CRONO!$F32,0))),CRONO!AU$12,OFFSET(CÁLCULO!$AR$15:$BR$15,$F32,0,OFFSET(ORÇAMENTO!$D$15,CRONO!$F32,0)))
                +IF(AND($F34&lt;&gt;"",$F34&lt;&gt;0),
                        SUMIF(CÁLCULO!$BS$15:$CS$205,CRONO!AU$12,CÁLCULO!$AR$15:$BR$205)/(ORÇAMENTO!$X$15-_xlfn.single(CÁLCULO.TotalAdmLocal))*CRONO!$F34,
                        0),
                 AU33*$S32),
          SUMIF(OFFSET($S34,1,0,$R32-2),($M32+1)&amp;"$",OFFSET(AU34,1,0,$R32-2)))</f>
        <v>0</v>
      </c>
      <c r="AV34" s="439" t="n">
        <f aca="false" t="array" ref="AV34:AV34">IF($R32=2,
         IF(AND(ACOMPANHAMENTO="PLE",ISNUMBER($F32)),
                SUMIF((OFFSET(CÁLCULO!$BS$15:$CS$15,$F32,0,OFFSET(ORÇAMENTO!$D$15,CRONO!$F32,0))),CRONO!AV$12,OFFSET(CÁLCULO!$AR$15:$BR$15,$F32,0,OFFSET(ORÇAMENTO!$D$15,CRONO!$F32,0)))
                +IF(AND($F34&lt;&gt;"",$F34&lt;&gt;0),
                        SUMIF(CÁLCULO!$BS$15:$CS$205,CRONO!AV$12,CÁLCULO!$AR$15:$BR$205)/(ORÇAMENTO!$X$15-_xlfn.single(CÁLCULO.TotalAdmLocal))*CRONO!$F34,
                        0),
                 AV33*$S32),
          SUMIF(OFFSET($S34,1,0,$R32-2),($M32+1)&amp;"$",OFFSET(AV34,1,0,$R32-2)))</f>
        <v>0</v>
      </c>
      <c r="AW34" s="439" t="n">
        <f aca="false" t="array" ref="AW34:AW34">IF($R32=2,
         IF(AND(ACOMPANHAMENTO="PLE",ISNUMBER($F32)),
                SUMIF((OFFSET(CÁLCULO!$BS$15:$CS$15,$F32,0,OFFSET(ORÇAMENTO!$D$15,CRONO!$F32,0))),CRONO!AW$12,OFFSET(CÁLCULO!$AR$15:$BR$15,$F32,0,OFFSET(ORÇAMENTO!$D$15,CRONO!$F32,0)))
                +IF(AND($F34&lt;&gt;"",$F34&lt;&gt;0),
                        SUMIF(CÁLCULO!$BS$15:$CS$205,CRONO!AW$12,CÁLCULO!$AR$15:$BR$205)/(ORÇAMENTO!$X$15-_xlfn.single(CÁLCULO.TotalAdmLocal))*CRONO!$F34,
                        0),
                 AW33*$S32),
          SUMIF(OFFSET($S34,1,0,$R32-2),($M32+1)&amp;"$",OFFSET(AW34,1,0,$R32-2)))</f>
        <v>0</v>
      </c>
      <c r="AX34" s="439" t="n">
        <f aca="false" t="array" ref="AX34:AX34">IF($R32=2,
         IF(AND(ACOMPANHAMENTO="PLE",ISNUMBER($F32)),
                SUMIF((OFFSET(CÁLCULO!$BS$15:$CS$15,$F32,0,OFFSET(ORÇAMENTO!$D$15,CRONO!$F32,0))),CRONO!AX$12,OFFSET(CÁLCULO!$AR$15:$BR$15,$F32,0,OFFSET(ORÇAMENTO!$D$15,CRONO!$F32,0)))
                +IF(AND($F34&lt;&gt;"",$F34&lt;&gt;0),
                        SUMIF(CÁLCULO!$BS$15:$CS$205,CRONO!AX$12,CÁLCULO!$AR$15:$BR$205)/(ORÇAMENTO!$X$15-_xlfn.single(CÁLCULO.TotalAdmLocal))*CRONO!$F34,
                        0),
                 AX33*$S32),
          SUMIF(OFFSET($S34,1,0,$R32-2),($M32+1)&amp;"$",OFFSET(AX34,1,0,$R32-2)))</f>
        <v>0</v>
      </c>
      <c r="AY34" s="439" t="n">
        <f aca="false" t="array" ref="AY34:AY34">IF($R32=2,
         IF(AND(ACOMPANHAMENTO="PLE",ISNUMBER($F32)),
                SUMIF((OFFSET(CÁLCULO!$BS$15:$CS$15,$F32,0,OFFSET(ORÇAMENTO!$D$15,CRONO!$F32,0))),CRONO!AY$12,OFFSET(CÁLCULO!$AR$15:$BR$15,$F32,0,OFFSET(ORÇAMENTO!$D$15,CRONO!$F32,0)))
                +IF(AND($F34&lt;&gt;"",$F34&lt;&gt;0),
                        SUMIF(CÁLCULO!$BS$15:$CS$205,CRONO!AY$12,CÁLCULO!$AR$15:$BR$205)/(ORÇAMENTO!$X$15-_xlfn.single(CÁLCULO.TotalAdmLocal))*CRONO!$F34,
                        0),
                 AY33*$S32),
          SUMIF(OFFSET($S34,1,0,$R32-2),($M32+1)&amp;"$",OFFSET(AY34,1,0,$R32-2)))</f>
        <v>0</v>
      </c>
      <c r="AZ34" s="439" t="n">
        <f aca="false" t="array" ref="AZ34:AZ34">IF($R32=2,
         IF(AND(ACOMPANHAMENTO="PLE",ISNUMBER($F32)),
                SUMIF((OFFSET(CÁLCULO!$BS$15:$CS$15,$F32,0,OFFSET(ORÇAMENTO!$D$15,CRONO!$F32,0))),CRONO!AZ$12,OFFSET(CÁLCULO!$AR$15:$BR$15,$F32,0,OFFSET(ORÇAMENTO!$D$15,CRONO!$F32,0)))
                +IF(AND($F34&lt;&gt;"",$F34&lt;&gt;0),
                        SUMIF(CÁLCULO!$BS$15:$CS$205,CRONO!AZ$12,CÁLCULO!$AR$15:$BR$205)/(ORÇAMENTO!$X$15-_xlfn.single(CÁLCULO.TotalAdmLocal))*CRONO!$F34,
                        0),
                 AZ33*$S32),
          SUMIF(OFFSET($S34,1,0,$R32-2),($M32+1)&amp;"$",OFFSET(AZ34,1,0,$R32-2)))</f>
        <v>0</v>
      </c>
      <c r="BA34" s="439" t="n">
        <f aca="false" t="array" ref="BA34:BA34">IF($R32=2,
         IF(AND(ACOMPANHAMENTO="PLE",ISNUMBER($F32)),
                SUMIF((OFFSET(CÁLCULO!$BS$15:$CS$15,$F32,0,OFFSET(ORÇAMENTO!$D$15,CRONO!$F32,0))),CRONO!BA$12,OFFSET(CÁLCULO!$AR$15:$BR$15,$F32,0,OFFSET(ORÇAMENTO!$D$15,CRONO!$F32,0)))
                +IF(AND($F34&lt;&gt;"",$F34&lt;&gt;0),
                        SUMIF(CÁLCULO!$BS$15:$CS$205,CRONO!BA$12,CÁLCULO!$AR$15:$BR$205)/(ORÇAMENTO!$X$15-_xlfn.single(CÁLCULO.TotalAdmLocal))*CRONO!$F34,
                        0),
                 BA33*$S32),
          SUMIF(OFFSET($S34,1,0,$R32-2),($M32+1)&amp;"$",OFFSET(BA34,1,0,$R32-2)))</f>
        <v>0</v>
      </c>
      <c r="BB34" s="439" t="n">
        <f aca="false" t="array" ref="BB34:BB34">IF($R32=2,
         IF(AND(ACOMPANHAMENTO="PLE",ISNUMBER($F32)),
                SUMIF((OFFSET(CÁLCULO!$BS$15:$CS$15,$F32,0,OFFSET(ORÇAMENTO!$D$15,CRONO!$F32,0))),CRONO!BB$12,OFFSET(CÁLCULO!$AR$15:$BR$15,$F32,0,OFFSET(ORÇAMENTO!$D$15,CRONO!$F32,0)))
                +IF(AND($F34&lt;&gt;"",$F34&lt;&gt;0),
                        SUMIF(CÁLCULO!$BS$15:$CS$205,CRONO!BB$12,CÁLCULO!$AR$15:$BR$205)/(ORÇAMENTO!$X$15-_xlfn.single(CÁLCULO.TotalAdmLocal))*CRONO!$F34,
                        0),
                 BB33*$S32),
          SUMIF(OFFSET($S34,1,0,$R32-2),($M32+1)&amp;"$",OFFSET(BB34,1,0,$R32-2)))</f>
        <v>0</v>
      </c>
      <c r="BC34" s="439" t="n">
        <f aca="false" t="array" ref="BC34:BC34">IF($R32=2,
         IF(AND(ACOMPANHAMENTO="PLE",ISNUMBER($F32)),
                SUMIF((OFFSET(CÁLCULO!$BS$15:$CS$15,$F32,0,OFFSET(ORÇAMENTO!$D$15,CRONO!$F32,0))),CRONO!BC$12,OFFSET(CÁLCULO!$AR$15:$BR$15,$F32,0,OFFSET(ORÇAMENTO!$D$15,CRONO!$F32,0)))
                +IF(AND($F34&lt;&gt;"",$F34&lt;&gt;0),
                        SUMIF(CÁLCULO!$BS$15:$CS$205,CRONO!BC$12,CÁLCULO!$AR$15:$BR$205)/(ORÇAMENTO!$X$15-_xlfn.single(CÁLCULO.TotalAdmLocal))*CRONO!$F34,
                        0),
                 BC33*$S32),
          SUMIF(OFFSET($S34,1,0,$R32-2),($M32+1)&amp;"$",OFFSET(BC34,1,0,$R32-2)))</f>
        <v>0</v>
      </c>
      <c r="BD34" s="439" t="n">
        <f aca="false" t="array" ref="BD34:BD34">IF($R32=2,
         IF(AND(ACOMPANHAMENTO="PLE",ISNUMBER($F32)),
                SUMIF((OFFSET(CÁLCULO!$BS$15:$CS$15,$F32,0,OFFSET(ORÇAMENTO!$D$15,CRONO!$F32,0))),CRONO!BD$12,OFFSET(CÁLCULO!$AR$15:$BR$15,$F32,0,OFFSET(ORÇAMENTO!$D$15,CRONO!$F32,0)))
                +IF(AND($F34&lt;&gt;"",$F34&lt;&gt;0),
                        SUMIF(CÁLCULO!$BS$15:$CS$205,CRONO!BD$12,CÁLCULO!$AR$15:$BR$205)/(ORÇAMENTO!$X$15-_xlfn.single(CÁLCULO.TotalAdmLocal))*CRONO!$F34,
                        0),
                 BD33*$S32),
          SUMIF(OFFSET($S34,1,0,$R32-2),($M32+1)&amp;"$",OFFSET(BD34,1,0,$R32-2)))</f>
        <v>0</v>
      </c>
      <c r="BE34" s="430"/>
    </row>
    <row r="35" customFormat="false" ht="12.75" hidden="false" customHeight="false" outlineLevel="0" collapsed="false">
      <c r="A35" s="382" t="str">
        <f aca="false">IF($M35&gt;1,_xlfn.CONCAT($I35," ",$J35),"")</f>
        <v>1.7. IMPERMEABILIZAÇÃO</v>
      </c>
      <c r="B35" s="419" t="n">
        <f aca="true">OFFSET(B35,-3,0)+1</f>
        <v>8</v>
      </c>
      <c r="C35" s="419" t="n">
        <f aca="true">IF($R35&lt;&gt;2,0,IF($S35=0,1,IF(F36&gt;0,OFFSET(QCI!$M$13,SUBSTITUTE(F36,".",""),0),OFFSET(ORÇAMENTO!$AA$15,CRONO!$F35,0))/$S35))</f>
        <v>0.110981526562671</v>
      </c>
      <c r="D35" s="419" t="n">
        <f aca="true">IF($R35&lt;&gt;2,0,IF($S35=0,1,IF(F36&gt;0,OFFSET(QCI!$N$13,SUBSTITUTE(F36,".",""),0),OFFSET(ORÇAMENTO!$AB$15,CRONO!$F35,0))/$S35))</f>
        <v>0</v>
      </c>
      <c r="E35" s="422" t="n">
        <f aca="false" t="array" ref="E35:E35">IF(AND($R35=2,ACOMPANHAMENTO="BM"),ROUND(E36,4),E37/$S35)</f>
        <v>0.04</v>
      </c>
      <c r="F35" s="419" t="n">
        <f aca="true">IF(B35&lt;=ORÇAMENTO.MáximoListaCrono,MATCH(B35,ORÇAMENTO.ListaCrono,0),NA())</f>
        <v>31</v>
      </c>
      <c r="G35" s="419" t="str">
        <f aca="false">IF(AND($F36&lt;&gt;-1,$S35&gt;0),"F","")</f>
        <v>F</v>
      </c>
      <c r="H35" s="423" t="str">
        <f aca="false" t="array" ref="H35:H35">IF(OR(S35=0,S35=""),"Linha",IF(AND(OR(ACOMPANHAMENTO="PLE",$R35&lt;&gt;2),$F36=0),"Linha",ROUND(1-SUM(U35:BE35),4)))</f>
        <v>Linha</v>
      </c>
      <c r="I35" s="424" t="str">
        <f aca="true">IF($F36=0,OFFSET(ORÇAMENTO!O$15,$F35,0),IF($F36&lt;&gt;-1,OFFSET(QCI!$D$13,$F36,0),""))</f>
        <v>1.7.</v>
      </c>
      <c r="J35" s="425" t="str">
        <f aca="true">IF($F36=0,OFFSET(ORÇAMENTO!R$15,$F35,0),IF($F36&lt;&gt;-1,OFFSET(QCI!$G$13,$F36,0),""))</f>
        <v>IMPERMEABILIZAÇÃO</v>
      </c>
      <c r="K35" s="425"/>
      <c r="L35" s="425"/>
      <c r="M35" s="426" t="n">
        <f aca="true">IF($F36=0,OFFSET(ORÇAMENTO!C$15,$F35,0),1)</f>
        <v>2</v>
      </c>
      <c r="N35" s="427" t="n">
        <f aca="true">IF($F36=-1,0,IF(N$13&lt;=$M35,IF(ISERROR(MATCH(N$13,OFFSET($M35,1,0,ROW($M$182)-ROW($M35)-1),0)),ROW($M$182)-ROW($M35)-1,MATCH(N$13,OFFSET($M35,1,0,ROW($M$182)-ROW($M35)-1),0)-1),0))</f>
        <v>146</v>
      </c>
      <c r="O35" s="427" t="n">
        <f aca="true">IF($F36=-1,0,IF(O$13&lt;=$M35,IF(ISERROR(MATCH(O$13,OFFSET($M35,1,0,ROW($M$182)-ROW($M35)-1),0)),ROW($M$182)-ROW($M35)-1,MATCH(O$13,OFFSET($M35,1,0,ROW($M$182)-ROW($M35)-1),0)-1),0))</f>
        <v>2</v>
      </c>
      <c r="P35" s="427" t="n">
        <f aca="true">IF($F36=-1,0,IF(P$13&lt;=$M35,IF(ISERROR(MATCH(P$13,OFFSET($M35,1,0,ROW($M$182)-ROW($M35)-1),0)),ROW($M$182)-ROW($M35)-1,MATCH(P$13,OFFSET($M35,1,0,ROW($M$182)-ROW($M35)-1),0)-1),0))</f>
        <v>0</v>
      </c>
      <c r="Q35" s="427" t="n">
        <f aca="true">IF($F36=-1,0,IF(Q$13&lt;=$M35,IF(ISERROR(MATCH(Q$13,OFFSET($M35,1,0,ROW($M$182)-ROW($M35)-1),0)),ROW($M$182)-ROW($M35)-1,MATCH(Q$13,OFFSET($M35,1,0,ROW($M$182)-ROW($M35)-1),0)-1),0))</f>
        <v>0</v>
      </c>
      <c r="R35" s="427" t="n">
        <f aca="true">MIN(OFFSET(M35,0,1,,M35))</f>
        <v>2</v>
      </c>
      <c r="S35" s="428" t="n">
        <f aca="true">IF($F36=0,OFFSET(ORÇAMENTO!X$15,$F35,0),IF($F36&lt;&gt;-1,OFFSET(QCI!$O$13,$F36,0),""))</f>
        <v>43443.5</v>
      </c>
      <c r="T35" s="429" t="s">
        <v>996</v>
      </c>
      <c r="U35" s="422" t="n">
        <f aca="false" t="array" ref="U35:U35">IF(AND($R35=2,ACOMPANHAMENTO="BM"),ROUND(U36,4),U37/$S35)</f>
        <v>0.04</v>
      </c>
      <c r="V35" s="422" t="n">
        <f aca="false" t="array" ref="V35:V35">IF(AND($R35=2,ACOMPANHAMENTO="BM"),ROUND(V36,4),V37/$S35)</f>
        <v>0.04</v>
      </c>
      <c r="W35" s="422" t="n">
        <f aca="false" t="array" ref="W35:W35">IF(AND($R35=2,ACOMPANHAMENTO="BM"),ROUND(W36,4),W37/$S35)</f>
        <v>0.04</v>
      </c>
      <c r="X35" s="422" t="n">
        <f aca="false" t="array" ref="X35:X35">IF(AND($R35=2,ACOMPANHAMENTO="BM"),ROUND(X36,4),X37/$S35)</f>
        <v>0.04</v>
      </c>
      <c r="Y35" s="422" t="n">
        <f aca="false" t="array" ref="Y35:Y35">IF(AND($R35=2,ACOMPANHAMENTO="BM"),ROUND(Y36,4),Y37/$S35)</f>
        <v>0.04</v>
      </c>
      <c r="Z35" s="422" t="n">
        <f aca="false" t="array" ref="Z35:Z35">IF(AND($R35=2,ACOMPANHAMENTO="BM"),ROUND(Z36,4),Z37/$S35)</f>
        <v>0.04</v>
      </c>
      <c r="AA35" s="422" t="n">
        <f aca="false" t="array" ref="AA35:AA35">IF(AND($R35=2,ACOMPANHAMENTO="BM"),ROUND(AA36,4),AA37/$S35)</f>
        <v>0.04</v>
      </c>
      <c r="AB35" s="422" t="n">
        <f aca="false" t="array" ref="AB35:AB35">IF(AND($R35=2,ACOMPANHAMENTO="BM"),ROUND(AB36,4),AB37/$S35)</f>
        <v>0.04</v>
      </c>
      <c r="AC35" s="422" t="n">
        <f aca="false" t="array" ref="AC35:AC35">IF(AND($R35=2,ACOMPANHAMENTO="BM"),ROUND(AC36,4),AC37/$S35)</f>
        <v>0.04</v>
      </c>
      <c r="AD35" s="422" t="n">
        <f aca="false" t="array" ref="AD35:AD35">IF(AND($R35=2,ACOMPANHAMENTO="BM"),ROUND(AD36,4),AD37/$S35)</f>
        <v>0.04</v>
      </c>
      <c r="AE35" s="422" t="n">
        <f aca="false" t="array" ref="AE35:AE35">IF(AND($R35=2,ACOMPANHAMENTO="BM"),ROUND(AE36,4),AE37/$S35)</f>
        <v>0.04</v>
      </c>
      <c r="AF35" s="422" t="n">
        <f aca="false" t="array" ref="AF35:AF35">IF(AND($R35=2,ACOMPANHAMENTO="BM"),ROUND(AF36,4),AF37/$S35)</f>
        <v>0.04</v>
      </c>
      <c r="AG35" s="422" t="n">
        <f aca="false" t="array" ref="AG35:AG35">IF(AND($R35=2,ACOMPANHAMENTO="BM"),ROUND(AG36,4),AG37/$S35)</f>
        <v>0.04</v>
      </c>
      <c r="AH35" s="422" t="n">
        <f aca="false" t="array" ref="AH35:AH35">IF(AND($R35=2,ACOMPANHAMENTO="BM"),ROUND(AH36,4),AH37/$S35)</f>
        <v>0.04</v>
      </c>
      <c r="AI35" s="422" t="n">
        <f aca="false" t="array" ref="AI35:AI35">IF(AND($R35=2,ACOMPANHAMENTO="BM"),ROUND(AI36,4),AI37/$S35)</f>
        <v>0.04</v>
      </c>
      <c r="AJ35" s="422" t="n">
        <f aca="false" t="array" ref="AJ35:AJ35">IF(AND($R35=2,ACOMPANHAMENTO="BM"),ROUND(AJ36,4),AJ37/$S35)</f>
        <v>0.04</v>
      </c>
      <c r="AK35" s="422" t="n">
        <f aca="false" t="array" ref="AK35:AK35">IF(AND($R35=2,ACOMPANHAMENTO="BM"),ROUND(AK36,4),AK37/$S35)</f>
        <v>0.04</v>
      </c>
      <c r="AL35" s="422" t="n">
        <f aca="false" t="array" ref="AL35:AL35">IF(AND($R35=2,ACOMPANHAMENTO="BM"),ROUND(AL36,4),AL37/$S35)</f>
        <v>0.04</v>
      </c>
      <c r="AM35" s="422" t="n">
        <f aca="false" t="array" ref="AM35:AM35">IF(AND($R35=2,ACOMPANHAMENTO="BM"),ROUND(AM36,4),AM37/$S35)</f>
        <v>0.04</v>
      </c>
      <c r="AN35" s="422" t="n">
        <f aca="false" t="array" ref="AN35:AN35">IF(AND($R35=2,ACOMPANHAMENTO="BM"),ROUND(AN36,4),AN37/$S35)</f>
        <v>0.04</v>
      </c>
      <c r="AO35" s="422" t="n">
        <f aca="false" t="array" ref="AO35:AO35">IF(AND($R35=2,ACOMPANHAMENTO="BM"),ROUND(AO36,4),AO37/$S35)</f>
        <v>0.04</v>
      </c>
      <c r="AP35" s="422" t="n">
        <f aca="false" t="array" ref="AP35:AP35">IF(AND($R35=2,ACOMPANHAMENTO="BM"),ROUND(AP36,4),AP37/$S35)</f>
        <v>0.04</v>
      </c>
      <c r="AQ35" s="422" t="n">
        <f aca="false" t="array" ref="AQ35:AQ35">IF(AND($R35=2,ACOMPANHAMENTO="BM"),ROUND(AQ36,4),AQ37/$S35)</f>
        <v>0.04</v>
      </c>
      <c r="AR35" s="422" t="n">
        <f aca="false" t="array" ref="AR35:AR35">IF(AND($R35=2,ACOMPANHAMENTO="BM"),ROUND(AR36,4),AR37/$S35)</f>
        <v>0.04</v>
      </c>
      <c r="AS35" s="422" t="n">
        <f aca="false" t="array" ref="AS35:AS35">IF(AND($R35=2,ACOMPANHAMENTO="BM"),ROUND(AS36,4),AS37/$S35)</f>
        <v>0.04</v>
      </c>
      <c r="AT35" s="422" t="n">
        <f aca="false" t="array" ref="AT35:AT35">IF(AND($R35=2,ACOMPANHAMENTO="BM"),ROUND(AT36,4),AT37/$S35)</f>
        <v>0</v>
      </c>
      <c r="AU35" s="422" t="n">
        <f aca="false" t="array" ref="AU35:AU35">IF(AND($R35=2,ACOMPANHAMENTO="BM"),ROUND(AU36,4),AU37/$S35)</f>
        <v>0</v>
      </c>
      <c r="AV35" s="422" t="n">
        <f aca="false" t="array" ref="AV35:AV35">IF(AND($R35=2,ACOMPANHAMENTO="BM"),ROUND(AV36,4),AV37/$S35)</f>
        <v>0</v>
      </c>
      <c r="AW35" s="422" t="n">
        <f aca="false" t="array" ref="AW35:AW35">IF(AND($R35=2,ACOMPANHAMENTO="BM"),ROUND(AW36,4),AW37/$S35)</f>
        <v>0</v>
      </c>
      <c r="AX35" s="422" t="n">
        <f aca="false" t="array" ref="AX35:AX35">IF(AND($R35=2,ACOMPANHAMENTO="BM"),ROUND(AX36,4),AX37/$S35)</f>
        <v>0</v>
      </c>
      <c r="AY35" s="422" t="n">
        <f aca="false" t="array" ref="AY35:AY35">IF(AND($R35=2,ACOMPANHAMENTO="BM"),ROUND(AY36,4),AY37/$S35)</f>
        <v>0</v>
      </c>
      <c r="AZ35" s="422" t="n">
        <f aca="false" t="array" ref="AZ35:AZ35">IF(AND($R35=2,ACOMPANHAMENTO="BM"),ROUND(AZ36,4),AZ37/$S35)</f>
        <v>0</v>
      </c>
      <c r="BA35" s="422" t="n">
        <f aca="false" t="array" ref="BA35:BA35">IF(AND($R35=2,ACOMPANHAMENTO="BM"),ROUND(BA36,4),BA37/$S35)</f>
        <v>0</v>
      </c>
      <c r="BB35" s="422" t="n">
        <f aca="false" t="array" ref="BB35:BB35">IF(AND($R35=2,ACOMPANHAMENTO="BM"),ROUND(BB36,4),BB37/$S35)</f>
        <v>0</v>
      </c>
      <c r="BC35" s="422" t="n">
        <f aca="false" t="array" ref="BC35:BC35">IF(AND($R35=2,ACOMPANHAMENTO="BM"),ROUND(BC36,4),BC37/$S35)</f>
        <v>0</v>
      </c>
      <c r="BD35" s="422" t="n">
        <f aca="false" t="array" ref="BD35:BD35">IF(AND($R35=2,ACOMPANHAMENTO="BM"),ROUND(BD36,4),BD37/$S35)</f>
        <v>0</v>
      </c>
      <c r="BE35" s="430"/>
    </row>
    <row r="36" customFormat="false" ht="12.75" hidden="true" customHeight="true" outlineLevel="0" collapsed="false">
      <c r="E36" s="431"/>
      <c r="F36" s="419" t="n">
        <f aca="true">IF(ISERROR(F35),IF(1+COUNTIF($M$13:OFFSET(M35,-1,0),1)&lt;=MAX(QCI!$D$13:$D$15),1+COUNTIF($M$13:OFFSET(M35,-1,0),1),-1),0)</f>
        <v>0</v>
      </c>
      <c r="G36" s="419" t="str">
        <f aca="true" t="array" ref="G36:G36">IF(ACOMPANHAMENTO="BM",OFFSET(G36,-1,0),"")</f>
        <v/>
      </c>
      <c r="H36" s="432" t="str">
        <f aca="false" t="array" ref="H36:H36">IF(OR(S35=0,S35=""),"vazia",IF(AND(OR(ACOMPANHAMENTO="PLE",$R35&lt;&gt;2),$F36=0),"calculada","--&gt;"))</f>
        <v>calculada</v>
      </c>
      <c r="I36" s="433"/>
      <c r="J36" s="434" t="str">
        <f aca="false">IF(AND(H35&lt;&gt;0,ISNUMBER(H35)),"PREENCHA ESTA LINHA --&gt;","")</f>
        <v/>
      </c>
      <c r="K36" s="434"/>
      <c r="L36" s="434"/>
      <c r="M36" s="435"/>
      <c r="N36" s="435"/>
      <c r="O36" s="435"/>
      <c r="P36" s="435"/>
      <c r="Q36" s="435"/>
      <c r="R36" s="435"/>
      <c r="S36" s="436"/>
      <c r="T36" s="437"/>
      <c r="U36" s="431"/>
      <c r="V36" s="431"/>
      <c r="W36" s="431"/>
      <c r="X36" s="431"/>
      <c r="Y36" s="431"/>
      <c r="Z36" s="431"/>
      <c r="AA36" s="431"/>
      <c r="AB36" s="431"/>
      <c r="AC36" s="431"/>
      <c r="AD36" s="431"/>
      <c r="AE36" s="431"/>
      <c r="AF36" s="431"/>
      <c r="AG36" s="431"/>
      <c r="AH36" s="431"/>
      <c r="AI36" s="431"/>
      <c r="AJ36" s="431"/>
      <c r="AK36" s="431"/>
      <c r="AL36" s="431"/>
      <c r="AM36" s="431"/>
      <c r="AN36" s="431"/>
      <c r="AO36" s="431"/>
      <c r="AP36" s="431"/>
      <c r="AQ36" s="431"/>
      <c r="AR36" s="431"/>
      <c r="AS36" s="431"/>
      <c r="AT36" s="431"/>
      <c r="AU36" s="431"/>
      <c r="AV36" s="431"/>
      <c r="AW36" s="431"/>
      <c r="AX36" s="431"/>
      <c r="AY36" s="431"/>
      <c r="AZ36" s="431"/>
      <c r="BA36" s="431"/>
      <c r="BB36" s="431"/>
      <c r="BC36" s="431"/>
      <c r="BD36" s="431"/>
      <c r="BE36" s="430"/>
    </row>
    <row r="37" customFormat="false" ht="12.75" hidden="true" customHeight="true" outlineLevel="0" collapsed="false">
      <c r="D37" s="438"/>
      <c r="E37" s="439" t="n">
        <f aca="false" t="array" ref="E37:E37">IF($R35=2,
         IF(AND(ACOMPANHAMENTO="PLE",ISNUMBER($F35)),
                SUMIF((OFFSET(CÁLCULO!$BS$15:$CS$15,$F35,0,OFFSET(ORÇAMENTO!$D$15,CRONO!$F35,0))),CRONO!E$12,OFFSET(CÁLCULO!$AR$15:$BR$15,$F35,0,OFFSET(ORÇAMENTO!$D$15,CRONO!$F35,0)))
                +IF(AND($F37&lt;&gt;"",$F37&lt;&gt;0),
                        SUMIF(CÁLCULO!$BS$15:$CS$205,CRONO!E$12,CÁLCULO!$AR$15:$BR$205)/(ORÇAMENTO!$X$15-_xlfn.single(CÁLCULO.TotalAdmLocal))*CRONO!$F37,
                        0),
                 E36*$S35),
          SUMIF(OFFSET($S37,1,0,$R35-2),($M35+1)&amp;"$",OFFSET(E37,1,0,$R35-2)))</f>
        <v>1737.74</v>
      </c>
      <c r="F37" s="419" t="str">
        <f aca="true">IF(OR($R35&lt;&gt;2,AUTOEVENTO&lt;&gt;"manual",$F36&gt;0),"",
        IF(Import.TipoArredondamento="Tradicional",
              SUMIF(OFFSET(CÁLCULO!$M$15,CRONO!$F35,0,OFFSET(ORÇAMENTO!$D$15,CRONO!$F35,0)),1,OFFSET(ORÇAMENTO!$X$15,CRONO!$F35,0,OFFSET(ORÇAMENTO!$D$15,CRONO!$F35,0))),
              0))</f>
        <v/>
      </c>
      <c r="H37" s="440"/>
      <c r="S37" s="441" t="str">
        <f aca="false">M35&amp;"$"</f>
        <v>2$</v>
      </c>
      <c r="T37" s="442"/>
      <c r="U37" s="439" t="n">
        <f aca="false" t="array" ref="U37:U37">IF($R35=2,
         IF(AND(ACOMPANHAMENTO="PLE",ISNUMBER($F35)),
                SUMIF((OFFSET(CÁLCULO!$BS$15:$CS$15,$F35,0,OFFSET(ORÇAMENTO!$D$15,CRONO!$F35,0))),CRONO!U$12,OFFSET(CÁLCULO!$AR$15:$BR$15,$F35,0,OFFSET(ORÇAMENTO!$D$15,CRONO!$F35,0)))
                +IF(AND($F37&lt;&gt;"",$F37&lt;&gt;0),
                        SUMIF(CÁLCULO!$BS$15:$CS$205,CRONO!U$12,CÁLCULO!$AR$15:$BR$205)/(ORÇAMENTO!$X$15-_xlfn.single(CÁLCULO.TotalAdmLocal))*CRONO!$F37,
                        0),
                 U36*$S35),
          SUMIF(OFFSET($S37,1,0,$R35-2),($M35+1)&amp;"$",OFFSET(U37,1,0,$R35-2)))</f>
        <v>1737.74</v>
      </c>
      <c r="V37" s="439" t="n">
        <f aca="false" t="array" ref="V37:V37">IF($R35=2,
         IF(AND(ACOMPANHAMENTO="PLE",ISNUMBER($F35)),
                SUMIF((OFFSET(CÁLCULO!$BS$15:$CS$15,$F35,0,OFFSET(ORÇAMENTO!$D$15,CRONO!$F35,0))),CRONO!V$12,OFFSET(CÁLCULO!$AR$15:$BR$15,$F35,0,OFFSET(ORÇAMENTO!$D$15,CRONO!$F35,0)))
                +IF(AND($F37&lt;&gt;"",$F37&lt;&gt;0),
                        SUMIF(CÁLCULO!$BS$15:$CS$205,CRONO!V$12,CÁLCULO!$AR$15:$BR$205)/(ORÇAMENTO!$X$15-_xlfn.single(CÁLCULO.TotalAdmLocal))*CRONO!$F37,
                        0),
                 V36*$S35),
          SUMIF(OFFSET($S37,1,0,$R35-2),($M35+1)&amp;"$",OFFSET(V37,1,0,$R35-2)))</f>
        <v>1737.74</v>
      </c>
      <c r="W37" s="439" t="n">
        <f aca="false" t="array" ref="W37:W37">IF($R35=2,
         IF(AND(ACOMPANHAMENTO="PLE",ISNUMBER($F35)),
                SUMIF((OFFSET(CÁLCULO!$BS$15:$CS$15,$F35,0,OFFSET(ORÇAMENTO!$D$15,CRONO!$F35,0))),CRONO!W$12,OFFSET(CÁLCULO!$AR$15:$BR$15,$F35,0,OFFSET(ORÇAMENTO!$D$15,CRONO!$F35,0)))
                +IF(AND($F37&lt;&gt;"",$F37&lt;&gt;0),
                        SUMIF(CÁLCULO!$BS$15:$CS$205,CRONO!W$12,CÁLCULO!$AR$15:$BR$205)/(ORÇAMENTO!$X$15-_xlfn.single(CÁLCULO.TotalAdmLocal))*CRONO!$F37,
                        0),
                 W36*$S35),
          SUMIF(OFFSET($S37,1,0,$R35-2),($M35+1)&amp;"$",OFFSET(W37,1,0,$R35-2)))</f>
        <v>1737.74</v>
      </c>
      <c r="X37" s="439" t="n">
        <f aca="false" t="array" ref="X37:X37">IF($R35=2,
         IF(AND(ACOMPANHAMENTO="PLE",ISNUMBER($F35)),
                SUMIF((OFFSET(CÁLCULO!$BS$15:$CS$15,$F35,0,OFFSET(ORÇAMENTO!$D$15,CRONO!$F35,0))),CRONO!X$12,OFFSET(CÁLCULO!$AR$15:$BR$15,$F35,0,OFFSET(ORÇAMENTO!$D$15,CRONO!$F35,0)))
                +IF(AND($F37&lt;&gt;"",$F37&lt;&gt;0),
                        SUMIF(CÁLCULO!$BS$15:$CS$205,CRONO!X$12,CÁLCULO!$AR$15:$BR$205)/(ORÇAMENTO!$X$15-_xlfn.single(CÁLCULO.TotalAdmLocal))*CRONO!$F37,
                        0),
                 X36*$S35),
          SUMIF(OFFSET($S37,1,0,$R35-2),($M35+1)&amp;"$",OFFSET(X37,1,0,$R35-2)))</f>
        <v>1737.74</v>
      </c>
      <c r="Y37" s="439" t="n">
        <f aca="false" t="array" ref="Y37:Y37">IF($R35=2,
         IF(AND(ACOMPANHAMENTO="PLE",ISNUMBER($F35)),
                SUMIF((OFFSET(CÁLCULO!$BS$15:$CS$15,$F35,0,OFFSET(ORÇAMENTO!$D$15,CRONO!$F35,0))),CRONO!Y$12,OFFSET(CÁLCULO!$AR$15:$BR$15,$F35,0,OFFSET(ORÇAMENTO!$D$15,CRONO!$F35,0)))
                +IF(AND($F37&lt;&gt;"",$F37&lt;&gt;0),
                        SUMIF(CÁLCULO!$BS$15:$CS$205,CRONO!Y$12,CÁLCULO!$AR$15:$BR$205)/(ORÇAMENTO!$X$15-_xlfn.single(CÁLCULO.TotalAdmLocal))*CRONO!$F37,
                        0),
                 Y36*$S35),
          SUMIF(OFFSET($S37,1,0,$R35-2),($M35+1)&amp;"$",OFFSET(Y37,1,0,$R35-2)))</f>
        <v>1737.74</v>
      </c>
      <c r="Z37" s="439" t="n">
        <f aca="false" t="array" ref="Z37:Z37">IF($R35=2,
         IF(AND(ACOMPANHAMENTO="PLE",ISNUMBER($F35)),
                SUMIF((OFFSET(CÁLCULO!$BS$15:$CS$15,$F35,0,OFFSET(ORÇAMENTO!$D$15,CRONO!$F35,0))),CRONO!Z$12,OFFSET(CÁLCULO!$AR$15:$BR$15,$F35,0,OFFSET(ORÇAMENTO!$D$15,CRONO!$F35,0)))
                +IF(AND($F37&lt;&gt;"",$F37&lt;&gt;0),
                        SUMIF(CÁLCULO!$BS$15:$CS$205,CRONO!Z$12,CÁLCULO!$AR$15:$BR$205)/(ORÇAMENTO!$X$15-_xlfn.single(CÁLCULO.TotalAdmLocal))*CRONO!$F37,
                        0),
                 Z36*$S35),
          SUMIF(OFFSET($S37,1,0,$R35-2),($M35+1)&amp;"$",OFFSET(Z37,1,0,$R35-2)))</f>
        <v>1737.74</v>
      </c>
      <c r="AA37" s="439" t="n">
        <f aca="false" t="array" ref="AA37:AA37">IF($R35=2,
         IF(AND(ACOMPANHAMENTO="PLE",ISNUMBER($F35)),
                SUMIF((OFFSET(CÁLCULO!$BS$15:$CS$15,$F35,0,OFFSET(ORÇAMENTO!$D$15,CRONO!$F35,0))),CRONO!AA$12,OFFSET(CÁLCULO!$AR$15:$BR$15,$F35,0,OFFSET(ORÇAMENTO!$D$15,CRONO!$F35,0)))
                +IF(AND($F37&lt;&gt;"",$F37&lt;&gt;0),
                        SUMIF(CÁLCULO!$BS$15:$CS$205,CRONO!AA$12,CÁLCULO!$AR$15:$BR$205)/(ORÇAMENTO!$X$15-_xlfn.single(CÁLCULO.TotalAdmLocal))*CRONO!$F37,
                        0),
                 AA36*$S35),
          SUMIF(OFFSET($S37,1,0,$R35-2),($M35+1)&amp;"$",OFFSET(AA37,1,0,$R35-2)))</f>
        <v>1737.74</v>
      </c>
      <c r="AB37" s="439" t="n">
        <f aca="false" t="array" ref="AB37:AB37">IF($R35=2,
         IF(AND(ACOMPANHAMENTO="PLE",ISNUMBER($F35)),
                SUMIF((OFFSET(CÁLCULO!$BS$15:$CS$15,$F35,0,OFFSET(ORÇAMENTO!$D$15,CRONO!$F35,0))),CRONO!AB$12,OFFSET(CÁLCULO!$AR$15:$BR$15,$F35,0,OFFSET(ORÇAMENTO!$D$15,CRONO!$F35,0)))
                +IF(AND($F37&lt;&gt;"",$F37&lt;&gt;0),
                        SUMIF(CÁLCULO!$BS$15:$CS$205,CRONO!AB$12,CÁLCULO!$AR$15:$BR$205)/(ORÇAMENTO!$X$15-_xlfn.single(CÁLCULO.TotalAdmLocal))*CRONO!$F37,
                        0),
                 AB36*$S35),
          SUMIF(OFFSET($S37,1,0,$R35-2),($M35+1)&amp;"$",OFFSET(AB37,1,0,$R35-2)))</f>
        <v>1737.74</v>
      </c>
      <c r="AC37" s="439" t="n">
        <f aca="false" t="array" ref="AC37:AC37">IF($R35=2,
         IF(AND(ACOMPANHAMENTO="PLE",ISNUMBER($F35)),
                SUMIF((OFFSET(CÁLCULO!$BS$15:$CS$15,$F35,0,OFFSET(ORÇAMENTO!$D$15,CRONO!$F35,0))),CRONO!AC$12,OFFSET(CÁLCULO!$AR$15:$BR$15,$F35,0,OFFSET(ORÇAMENTO!$D$15,CRONO!$F35,0)))
                +IF(AND($F37&lt;&gt;"",$F37&lt;&gt;0),
                        SUMIF(CÁLCULO!$BS$15:$CS$205,CRONO!AC$12,CÁLCULO!$AR$15:$BR$205)/(ORÇAMENTO!$X$15-_xlfn.single(CÁLCULO.TotalAdmLocal))*CRONO!$F37,
                        0),
                 AC36*$S35),
          SUMIF(OFFSET($S37,1,0,$R35-2),($M35+1)&amp;"$",OFFSET(AC37,1,0,$R35-2)))</f>
        <v>1737.74</v>
      </c>
      <c r="AD37" s="439" t="n">
        <f aca="false" t="array" ref="AD37:AD37">IF($R35=2,
         IF(AND(ACOMPANHAMENTO="PLE",ISNUMBER($F35)),
                SUMIF((OFFSET(CÁLCULO!$BS$15:$CS$15,$F35,0,OFFSET(ORÇAMENTO!$D$15,CRONO!$F35,0))),CRONO!AD$12,OFFSET(CÁLCULO!$AR$15:$BR$15,$F35,0,OFFSET(ORÇAMENTO!$D$15,CRONO!$F35,0)))
                +IF(AND($F37&lt;&gt;"",$F37&lt;&gt;0),
                        SUMIF(CÁLCULO!$BS$15:$CS$205,CRONO!AD$12,CÁLCULO!$AR$15:$BR$205)/(ORÇAMENTO!$X$15-_xlfn.single(CÁLCULO.TotalAdmLocal))*CRONO!$F37,
                        0),
                 AD36*$S35),
          SUMIF(OFFSET($S37,1,0,$R35-2),($M35+1)&amp;"$",OFFSET(AD37,1,0,$R35-2)))</f>
        <v>1737.74</v>
      </c>
      <c r="AE37" s="439" t="n">
        <f aca="false" t="array" ref="AE37:AE37">IF($R35=2,
         IF(AND(ACOMPANHAMENTO="PLE",ISNUMBER($F35)),
                SUMIF((OFFSET(CÁLCULO!$BS$15:$CS$15,$F35,0,OFFSET(ORÇAMENTO!$D$15,CRONO!$F35,0))),CRONO!AE$12,OFFSET(CÁLCULO!$AR$15:$BR$15,$F35,0,OFFSET(ORÇAMENTO!$D$15,CRONO!$F35,0)))
                +IF(AND($F37&lt;&gt;"",$F37&lt;&gt;0),
                        SUMIF(CÁLCULO!$BS$15:$CS$205,CRONO!AE$12,CÁLCULO!$AR$15:$BR$205)/(ORÇAMENTO!$X$15-_xlfn.single(CÁLCULO.TotalAdmLocal))*CRONO!$F37,
                        0),
                 AE36*$S35),
          SUMIF(OFFSET($S37,1,0,$R35-2),($M35+1)&amp;"$",OFFSET(AE37,1,0,$R35-2)))</f>
        <v>1737.74</v>
      </c>
      <c r="AF37" s="439" t="n">
        <f aca="false" t="array" ref="AF37:AF37">IF($R35=2,
         IF(AND(ACOMPANHAMENTO="PLE",ISNUMBER($F35)),
                SUMIF((OFFSET(CÁLCULO!$BS$15:$CS$15,$F35,0,OFFSET(ORÇAMENTO!$D$15,CRONO!$F35,0))),CRONO!AF$12,OFFSET(CÁLCULO!$AR$15:$BR$15,$F35,0,OFFSET(ORÇAMENTO!$D$15,CRONO!$F35,0)))
                +IF(AND($F37&lt;&gt;"",$F37&lt;&gt;0),
                        SUMIF(CÁLCULO!$BS$15:$CS$205,CRONO!AF$12,CÁLCULO!$AR$15:$BR$205)/(ORÇAMENTO!$X$15-_xlfn.single(CÁLCULO.TotalAdmLocal))*CRONO!$F37,
                        0),
                 AF36*$S35),
          SUMIF(OFFSET($S37,1,0,$R35-2),($M35+1)&amp;"$",OFFSET(AF37,1,0,$R35-2)))</f>
        <v>1737.74</v>
      </c>
      <c r="AG37" s="439" t="n">
        <f aca="false" t="array" ref="AG37:AG37">IF($R35=2,
         IF(AND(ACOMPANHAMENTO="PLE",ISNUMBER($F35)),
                SUMIF((OFFSET(CÁLCULO!$BS$15:$CS$15,$F35,0,OFFSET(ORÇAMENTO!$D$15,CRONO!$F35,0))),CRONO!AG$12,OFFSET(CÁLCULO!$AR$15:$BR$15,$F35,0,OFFSET(ORÇAMENTO!$D$15,CRONO!$F35,0)))
                +IF(AND($F37&lt;&gt;"",$F37&lt;&gt;0),
                        SUMIF(CÁLCULO!$BS$15:$CS$205,CRONO!AG$12,CÁLCULO!$AR$15:$BR$205)/(ORÇAMENTO!$X$15-_xlfn.single(CÁLCULO.TotalAdmLocal))*CRONO!$F37,
                        0),
                 AG36*$S35),
          SUMIF(OFFSET($S37,1,0,$R35-2),($M35+1)&amp;"$",OFFSET(AG37,1,0,$R35-2)))</f>
        <v>1737.74</v>
      </c>
      <c r="AH37" s="439" t="n">
        <f aca="false" t="array" ref="AH37:AH37">IF($R35=2,
         IF(AND(ACOMPANHAMENTO="PLE",ISNUMBER($F35)),
                SUMIF((OFFSET(CÁLCULO!$BS$15:$CS$15,$F35,0,OFFSET(ORÇAMENTO!$D$15,CRONO!$F35,0))),CRONO!AH$12,OFFSET(CÁLCULO!$AR$15:$BR$15,$F35,0,OFFSET(ORÇAMENTO!$D$15,CRONO!$F35,0)))
                +IF(AND($F37&lt;&gt;"",$F37&lt;&gt;0),
                        SUMIF(CÁLCULO!$BS$15:$CS$205,CRONO!AH$12,CÁLCULO!$AR$15:$BR$205)/(ORÇAMENTO!$X$15-_xlfn.single(CÁLCULO.TotalAdmLocal))*CRONO!$F37,
                        0),
                 AH36*$S35),
          SUMIF(OFFSET($S37,1,0,$R35-2),($M35+1)&amp;"$",OFFSET(AH37,1,0,$R35-2)))</f>
        <v>1737.74</v>
      </c>
      <c r="AI37" s="439" t="n">
        <f aca="false" t="array" ref="AI37:AI37">IF($R35=2,
         IF(AND(ACOMPANHAMENTO="PLE",ISNUMBER($F35)),
                SUMIF((OFFSET(CÁLCULO!$BS$15:$CS$15,$F35,0,OFFSET(ORÇAMENTO!$D$15,CRONO!$F35,0))),CRONO!AI$12,OFFSET(CÁLCULO!$AR$15:$BR$15,$F35,0,OFFSET(ORÇAMENTO!$D$15,CRONO!$F35,0)))
                +IF(AND($F37&lt;&gt;"",$F37&lt;&gt;0),
                        SUMIF(CÁLCULO!$BS$15:$CS$205,CRONO!AI$12,CÁLCULO!$AR$15:$BR$205)/(ORÇAMENTO!$X$15-_xlfn.single(CÁLCULO.TotalAdmLocal))*CRONO!$F37,
                        0),
                 AI36*$S35),
          SUMIF(OFFSET($S37,1,0,$R35-2),($M35+1)&amp;"$",OFFSET(AI37,1,0,$R35-2)))</f>
        <v>1737.74</v>
      </c>
      <c r="AJ37" s="439" t="n">
        <f aca="false" t="array" ref="AJ37:AJ37">IF($R35=2,
         IF(AND(ACOMPANHAMENTO="PLE",ISNUMBER($F35)),
                SUMIF((OFFSET(CÁLCULO!$BS$15:$CS$15,$F35,0,OFFSET(ORÇAMENTO!$D$15,CRONO!$F35,0))),CRONO!AJ$12,OFFSET(CÁLCULO!$AR$15:$BR$15,$F35,0,OFFSET(ORÇAMENTO!$D$15,CRONO!$F35,0)))
                +IF(AND($F37&lt;&gt;"",$F37&lt;&gt;0),
                        SUMIF(CÁLCULO!$BS$15:$CS$205,CRONO!AJ$12,CÁLCULO!$AR$15:$BR$205)/(ORÇAMENTO!$X$15-_xlfn.single(CÁLCULO.TotalAdmLocal))*CRONO!$F37,
                        0),
                 AJ36*$S35),
          SUMIF(OFFSET($S37,1,0,$R35-2),($M35+1)&amp;"$",OFFSET(AJ37,1,0,$R35-2)))</f>
        <v>1737.74</v>
      </c>
      <c r="AK37" s="439" t="n">
        <f aca="false" t="array" ref="AK37:AK37">IF($R35=2,
         IF(AND(ACOMPANHAMENTO="PLE",ISNUMBER($F35)),
                SUMIF((OFFSET(CÁLCULO!$BS$15:$CS$15,$F35,0,OFFSET(ORÇAMENTO!$D$15,CRONO!$F35,0))),CRONO!AK$12,OFFSET(CÁLCULO!$AR$15:$BR$15,$F35,0,OFFSET(ORÇAMENTO!$D$15,CRONO!$F35,0)))
                +IF(AND($F37&lt;&gt;"",$F37&lt;&gt;0),
                        SUMIF(CÁLCULO!$BS$15:$CS$205,CRONO!AK$12,CÁLCULO!$AR$15:$BR$205)/(ORÇAMENTO!$X$15-_xlfn.single(CÁLCULO.TotalAdmLocal))*CRONO!$F37,
                        0),
                 AK36*$S35),
          SUMIF(OFFSET($S37,1,0,$R35-2),($M35+1)&amp;"$",OFFSET(AK37,1,0,$R35-2)))</f>
        <v>1737.74</v>
      </c>
      <c r="AL37" s="439" t="n">
        <f aca="false" t="array" ref="AL37:AL37">IF($R35=2,
         IF(AND(ACOMPANHAMENTO="PLE",ISNUMBER($F35)),
                SUMIF((OFFSET(CÁLCULO!$BS$15:$CS$15,$F35,0,OFFSET(ORÇAMENTO!$D$15,CRONO!$F35,0))),CRONO!AL$12,OFFSET(CÁLCULO!$AR$15:$BR$15,$F35,0,OFFSET(ORÇAMENTO!$D$15,CRONO!$F35,0)))
                +IF(AND($F37&lt;&gt;"",$F37&lt;&gt;0),
                        SUMIF(CÁLCULO!$BS$15:$CS$205,CRONO!AL$12,CÁLCULO!$AR$15:$BR$205)/(ORÇAMENTO!$X$15-_xlfn.single(CÁLCULO.TotalAdmLocal))*CRONO!$F37,
                        0),
                 AL36*$S35),
          SUMIF(OFFSET($S37,1,0,$R35-2),($M35+1)&amp;"$",OFFSET(AL37,1,0,$R35-2)))</f>
        <v>1737.74</v>
      </c>
      <c r="AM37" s="439" t="n">
        <f aca="false" t="array" ref="AM37:AM37">IF($R35=2,
         IF(AND(ACOMPANHAMENTO="PLE",ISNUMBER($F35)),
                SUMIF((OFFSET(CÁLCULO!$BS$15:$CS$15,$F35,0,OFFSET(ORÇAMENTO!$D$15,CRONO!$F35,0))),CRONO!AM$12,OFFSET(CÁLCULO!$AR$15:$BR$15,$F35,0,OFFSET(ORÇAMENTO!$D$15,CRONO!$F35,0)))
                +IF(AND($F37&lt;&gt;"",$F37&lt;&gt;0),
                        SUMIF(CÁLCULO!$BS$15:$CS$205,CRONO!AM$12,CÁLCULO!$AR$15:$BR$205)/(ORÇAMENTO!$X$15-_xlfn.single(CÁLCULO.TotalAdmLocal))*CRONO!$F37,
                        0),
                 AM36*$S35),
          SUMIF(OFFSET($S37,1,0,$R35-2),($M35+1)&amp;"$",OFFSET(AM37,1,0,$R35-2)))</f>
        <v>1737.74</v>
      </c>
      <c r="AN37" s="439" t="n">
        <f aca="false" t="array" ref="AN37:AN37">IF($R35=2,
         IF(AND(ACOMPANHAMENTO="PLE",ISNUMBER($F35)),
                SUMIF((OFFSET(CÁLCULO!$BS$15:$CS$15,$F35,0,OFFSET(ORÇAMENTO!$D$15,CRONO!$F35,0))),CRONO!AN$12,OFFSET(CÁLCULO!$AR$15:$BR$15,$F35,0,OFFSET(ORÇAMENTO!$D$15,CRONO!$F35,0)))
                +IF(AND($F37&lt;&gt;"",$F37&lt;&gt;0),
                        SUMIF(CÁLCULO!$BS$15:$CS$205,CRONO!AN$12,CÁLCULO!$AR$15:$BR$205)/(ORÇAMENTO!$X$15-_xlfn.single(CÁLCULO.TotalAdmLocal))*CRONO!$F37,
                        0),
                 AN36*$S35),
          SUMIF(OFFSET($S37,1,0,$R35-2),($M35+1)&amp;"$",OFFSET(AN37,1,0,$R35-2)))</f>
        <v>1737.74</v>
      </c>
      <c r="AO37" s="439" t="n">
        <f aca="false" t="array" ref="AO37:AO37">IF($R35=2,
         IF(AND(ACOMPANHAMENTO="PLE",ISNUMBER($F35)),
                SUMIF((OFFSET(CÁLCULO!$BS$15:$CS$15,$F35,0,OFFSET(ORÇAMENTO!$D$15,CRONO!$F35,0))),CRONO!AO$12,OFFSET(CÁLCULO!$AR$15:$BR$15,$F35,0,OFFSET(ORÇAMENTO!$D$15,CRONO!$F35,0)))
                +IF(AND($F37&lt;&gt;"",$F37&lt;&gt;0),
                        SUMIF(CÁLCULO!$BS$15:$CS$205,CRONO!AO$12,CÁLCULO!$AR$15:$BR$205)/(ORÇAMENTO!$X$15-_xlfn.single(CÁLCULO.TotalAdmLocal))*CRONO!$F37,
                        0),
                 AO36*$S35),
          SUMIF(OFFSET($S37,1,0,$R35-2),($M35+1)&amp;"$",OFFSET(AO37,1,0,$R35-2)))</f>
        <v>1737.74</v>
      </c>
      <c r="AP37" s="439" t="n">
        <f aca="false" t="array" ref="AP37:AP37">IF($R35=2,
         IF(AND(ACOMPANHAMENTO="PLE",ISNUMBER($F35)),
                SUMIF((OFFSET(CÁLCULO!$BS$15:$CS$15,$F35,0,OFFSET(ORÇAMENTO!$D$15,CRONO!$F35,0))),CRONO!AP$12,OFFSET(CÁLCULO!$AR$15:$BR$15,$F35,0,OFFSET(ORÇAMENTO!$D$15,CRONO!$F35,0)))
                +IF(AND($F37&lt;&gt;"",$F37&lt;&gt;0),
                        SUMIF(CÁLCULO!$BS$15:$CS$205,CRONO!AP$12,CÁLCULO!$AR$15:$BR$205)/(ORÇAMENTO!$X$15-_xlfn.single(CÁLCULO.TotalAdmLocal))*CRONO!$F37,
                        0),
                 AP36*$S35),
          SUMIF(OFFSET($S37,1,0,$R35-2),($M35+1)&amp;"$",OFFSET(AP37,1,0,$R35-2)))</f>
        <v>1737.74</v>
      </c>
      <c r="AQ37" s="439" t="n">
        <f aca="false" t="array" ref="AQ37:AQ37">IF($R35=2,
         IF(AND(ACOMPANHAMENTO="PLE",ISNUMBER($F35)),
                SUMIF((OFFSET(CÁLCULO!$BS$15:$CS$15,$F35,0,OFFSET(ORÇAMENTO!$D$15,CRONO!$F35,0))),CRONO!AQ$12,OFFSET(CÁLCULO!$AR$15:$BR$15,$F35,0,OFFSET(ORÇAMENTO!$D$15,CRONO!$F35,0)))
                +IF(AND($F37&lt;&gt;"",$F37&lt;&gt;0),
                        SUMIF(CÁLCULO!$BS$15:$CS$205,CRONO!AQ$12,CÁLCULO!$AR$15:$BR$205)/(ORÇAMENTO!$X$15-_xlfn.single(CÁLCULO.TotalAdmLocal))*CRONO!$F37,
                        0),
                 AQ36*$S35),
          SUMIF(OFFSET($S37,1,0,$R35-2),($M35+1)&amp;"$",OFFSET(AQ37,1,0,$R35-2)))</f>
        <v>1737.74</v>
      </c>
      <c r="AR37" s="439" t="n">
        <f aca="false" t="array" ref="AR37:AR37">IF($R35=2,
         IF(AND(ACOMPANHAMENTO="PLE",ISNUMBER($F35)),
                SUMIF((OFFSET(CÁLCULO!$BS$15:$CS$15,$F35,0,OFFSET(ORÇAMENTO!$D$15,CRONO!$F35,0))),CRONO!AR$12,OFFSET(CÁLCULO!$AR$15:$BR$15,$F35,0,OFFSET(ORÇAMENTO!$D$15,CRONO!$F35,0)))
                +IF(AND($F37&lt;&gt;"",$F37&lt;&gt;0),
                        SUMIF(CÁLCULO!$BS$15:$CS$205,CRONO!AR$12,CÁLCULO!$AR$15:$BR$205)/(ORÇAMENTO!$X$15-_xlfn.single(CÁLCULO.TotalAdmLocal))*CRONO!$F37,
                        0),
                 AR36*$S35),
          SUMIF(OFFSET($S37,1,0,$R35-2),($M35+1)&amp;"$",OFFSET(AR37,1,0,$R35-2)))</f>
        <v>1737.74</v>
      </c>
      <c r="AS37" s="439" t="n">
        <f aca="false" t="array" ref="AS37:AS37">IF($R35=2,
         IF(AND(ACOMPANHAMENTO="PLE",ISNUMBER($F35)),
                SUMIF((OFFSET(CÁLCULO!$BS$15:$CS$15,$F35,0,OFFSET(ORÇAMENTO!$D$15,CRONO!$F35,0))),CRONO!AS$12,OFFSET(CÁLCULO!$AR$15:$BR$15,$F35,0,OFFSET(ORÇAMENTO!$D$15,CRONO!$F35,0)))
                +IF(AND($F37&lt;&gt;"",$F37&lt;&gt;0),
                        SUMIF(CÁLCULO!$BS$15:$CS$205,CRONO!AS$12,CÁLCULO!$AR$15:$BR$205)/(ORÇAMENTO!$X$15-_xlfn.single(CÁLCULO.TotalAdmLocal))*CRONO!$F37,
                        0),
                 AS36*$S35),
          SUMIF(OFFSET($S37,1,0,$R35-2),($M35+1)&amp;"$",OFFSET(AS37,1,0,$R35-2)))</f>
        <v>1737.74</v>
      </c>
      <c r="AT37" s="439" t="n">
        <f aca="false" t="array" ref="AT37:AT37">IF($R35=2,
         IF(AND(ACOMPANHAMENTO="PLE",ISNUMBER($F35)),
                SUMIF((OFFSET(CÁLCULO!$BS$15:$CS$15,$F35,0,OFFSET(ORÇAMENTO!$D$15,CRONO!$F35,0))),CRONO!AT$12,OFFSET(CÁLCULO!$AR$15:$BR$15,$F35,0,OFFSET(ORÇAMENTO!$D$15,CRONO!$F35,0)))
                +IF(AND($F37&lt;&gt;"",$F37&lt;&gt;0),
                        SUMIF(CÁLCULO!$BS$15:$CS$205,CRONO!AT$12,CÁLCULO!$AR$15:$BR$205)/(ORÇAMENTO!$X$15-_xlfn.single(CÁLCULO.TotalAdmLocal))*CRONO!$F37,
                        0),
                 AT36*$S35),
          SUMIF(OFFSET($S37,1,0,$R35-2),($M35+1)&amp;"$",OFFSET(AT37,1,0,$R35-2)))</f>
        <v>0</v>
      </c>
      <c r="AU37" s="439" t="n">
        <f aca="false" t="array" ref="AU37:AU37">IF($R35=2,
         IF(AND(ACOMPANHAMENTO="PLE",ISNUMBER($F35)),
                SUMIF((OFFSET(CÁLCULO!$BS$15:$CS$15,$F35,0,OFFSET(ORÇAMENTO!$D$15,CRONO!$F35,0))),CRONO!AU$12,OFFSET(CÁLCULO!$AR$15:$BR$15,$F35,0,OFFSET(ORÇAMENTO!$D$15,CRONO!$F35,0)))
                +IF(AND($F37&lt;&gt;"",$F37&lt;&gt;0),
                        SUMIF(CÁLCULO!$BS$15:$CS$205,CRONO!AU$12,CÁLCULO!$AR$15:$BR$205)/(ORÇAMENTO!$X$15-_xlfn.single(CÁLCULO.TotalAdmLocal))*CRONO!$F37,
                        0),
                 AU36*$S35),
          SUMIF(OFFSET($S37,1,0,$R35-2),($M35+1)&amp;"$",OFFSET(AU37,1,0,$R35-2)))</f>
        <v>0</v>
      </c>
      <c r="AV37" s="439" t="n">
        <f aca="false" t="array" ref="AV37:AV37">IF($R35=2,
         IF(AND(ACOMPANHAMENTO="PLE",ISNUMBER($F35)),
                SUMIF((OFFSET(CÁLCULO!$BS$15:$CS$15,$F35,0,OFFSET(ORÇAMENTO!$D$15,CRONO!$F35,0))),CRONO!AV$12,OFFSET(CÁLCULO!$AR$15:$BR$15,$F35,0,OFFSET(ORÇAMENTO!$D$15,CRONO!$F35,0)))
                +IF(AND($F37&lt;&gt;"",$F37&lt;&gt;0),
                        SUMIF(CÁLCULO!$BS$15:$CS$205,CRONO!AV$12,CÁLCULO!$AR$15:$BR$205)/(ORÇAMENTO!$X$15-_xlfn.single(CÁLCULO.TotalAdmLocal))*CRONO!$F37,
                        0),
                 AV36*$S35),
          SUMIF(OFFSET($S37,1,0,$R35-2),($M35+1)&amp;"$",OFFSET(AV37,1,0,$R35-2)))</f>
        <v>0</v>
      </c>
      <c r="AW37" s="439" t="n">
        <f aca="false" t="array" ref="AW37:AW37">IF($R35=2,
         IF(AND(ACOMPANHAMENTO="PLE",ISNUMBER($F35)),
                SUMIF((OFFSET(CÁLCULO!$BS$15:$CS$15,$F35,0,OFFSET(ORÇAMENTO!$D$15,CRONO!$F35,0))),CRONO!AW$12,OFFSET(CÁLCULO!$AR$15:$BR$15,$F35,0,OFFSET(ORÇAMENTO!$D$15,CRONO!$F35,0)))
                +IF(AND($F37&lt;&gt;"",$F37&lt;&gt;0),
                        SUMIF(CÁLCULO!$BS$15:$CS$205,CRONO!AW$12,CÁLCULO!$AR$15:$BR$205)/(ORÇAMENTO!$X$15-_xlfn.single(CÁLCULO.TotalAdmLocal))*CRONO!$F37,
                        0),
                 AW36*$S35),
          SUMIF(OFFSET($S37,1,0,$R35-2),($M35+1)&amp;"$",OFFSET(AW37,1,0,$R35-2)))</f>
        <v>0</v>
      </c>
      <c r="AX37" s="439" t="n">
        <f aca="false" t="array" ref="AX37:AX37">IF($R35=2,
         IF(AND(ACOMPANHAMENTO="PLE",ISNUMBER($F35)),
                SUMIF((OFFSET(CÁLCULO!$BS$15:$CS$15,$F35,0,OFFSET(ORÇAMENTO!$D$15,CRONO!$F35,0))),CRONO!AX$12,OFFSET(CÁLCULO!$AR$15:$BR$15,$F35,0,OFFSET(ORÇAMENTO!$D$15,CRONO!$F35,0)))
                +IF(AND($F37&lt;&gt;"",$F37&lt;&gt;0),
                        SUMIF(CÁLCULO!$BS$15:$CS$205,CRONO!AX$12,CÁLCULO!$AR$15:$BR$205)/(ORÇAMENTO!$X$15-_xlfn.single(CÁLCULO.TotalAdmLocal))*CRONO!$F37,
                        0),
                 AX36*$S35),
          SUMIF(OFFSET($S37,1,0,$R35-2),($M35+1)&amp;"$",OFFSET(AX37,1,0,$R35-2)))</f>
        <v>0</v>
      </c>
      <c r="AY37" s="439" t="n">
        <f aca="false" t="array" ref="AY37:AY37">IF($R35=2,
         IF(AND(ACOMPANHAMENTO="PLE",ISNUMBER($F35)),
                SUMIF((OFFSET(CÁLCULO!$BS$15:$CS$15,$F35,0,OFFSET(ORÇAMENTO!$D$15,CRONO!$F35,0))),CRONO!AY$12,OFFSET(CÁLCULO!$AR$15:$BR$15,$F35,0,OFFSET(ORÇAMENTO!$D$15,CRONO!$F35,0)))
                +IF(AND($F37&lt;&gt;"",$F37&lt;&gt;0),
                        SUMIF(CÁLCULO!$BS$15:$CS$205,CRONO!AY$12,CÁLCULO!$AR$15:$BR$205)/(ORÇAMENTO!$X$15-_xlfn.single(CÁLCULO.TotalAdmLocal))*CRONO!$F37,
                        0),
                 AY36*$S35),
          SUMIF(OFFSET($S37,1,0,$R35-2),($M35+1)&amp;"$",OFFSET(AY37,1,0,$R35-2)))</f>
        <v>0</v>
      </c>
      <c r="AZ37" s="439" t="n">
        <f aca="false" t="array" ref="AZ37:AZ37">IF($R35=2,
         IF(AND(ACOMPANHAMENTO="PLE",ISNUMBER($F35)),
                SUMIF((OFFSET(CÁLCULO!$BS$15:$CS$15,$F35,0,OFFSET(ORÇAMENTO!$D$15,CRONO!$F35,0))),CRONO!AZ$12,OFFSET(CÁLCULO!$AR$15:$BR$15,$F35,0,OFFSET(ORÇAMENTO!$D$15,CRONO!$F35,0)))
                +IF(AND($F37&lt;&gt;"",$F37&lt;&gt;0),
                        SUMIF(CÁLCULO!$BS$15:$CS$205,CRONO!AZ$12,CÁLCULO!$AR$15:$BR$205)/(ORÇAMENTO!$X$15-_xlfn.single(CÁLCULO.TotalAdmLocal))*CRONO!$F37,
                        0),
                 AZ36*$S35),
          SUMIF(OFFSET($S37,1,0,$R35-2),($M35+1)&amp;"$",OFFSET(AZ37,1,0,$R35-2)))</f>
        <v>0</v>
      </c>
      <c r="BA37" s="439" t="n">
        <f aca="false" t="array" ref="BA37:BA37">IF($R35=2,
         IF(AND(ACOMPANHAMENTO="PLE",ISNUMBER($F35)),
                SUMIF((OFFSET(CÁLCULO!$BS$15:$CS$15,$F35,0,OFFSET(ORÇAMENTO!$D$15,CRONO!$F35,0))),CRONO!BA$12,OFFSET(CÁLCULO!$AR$15:$BR$15,$F35,0,OFFSET(ORÇAMENTO!$D$15,CRONO!$F35,0)))
                +IF(AND($F37&lt;&gt;"",$F37&lt;&gt;0),
                        SUMIF(CÁLCULO!$BS$15:$CS$205,CRONO!BA$12,CÁLCULO!$AR$15:$BR$205)/(ORÇAMENTO!$X$15-_xlfn.single(CÁLCULO.TotalAdmLocal))*CRONO!$F37,
                        0),
                 BA36*$S35),
          SUMIF(OFFSET($S37,1,0,$R35-2),($M35+1)&amp;"$",OFFSET(BA37,1,0,$R35-2)))</f>
        <v>0</v>
      </c>
      <c r="BB37" s="439" t="n">
        <f aca="false" t="array" ref="BB37:BB37">IF($R35=2,
         IF(AND(ACOMPANHAMENTO="PLE",ISNUMBER($F35)),
                SUMIF((OFFSET(CÁLCULO!$BS$15:$CS$15,$F35,0,OFFSET(ORÇAMENTO!$D$15,CRONO!$F35,0))),CRONO!BB$12,OFFSET(CÁLCULO!$AR$15:$BR$15,$F35,0,OFFSET(ORÇAMENTO!$D$15,CRONO!$F35,0)))
                +IF(AND($F37&lt;&gt;"",$F37&lt;&gt;0),
                        SUMIF(CÁLCULO!$BS$15:$CS$205,CRONO!BB$12,CÁLCULO!$AR$15:$BR$205)/(ORÇAMENTO!$X$15-_xlfn.single(CÁLCULO.TotalAdmLocal))*CRONO!$F37,
                        0),
                 BB36*$S35),
          SUMIF(OFFSET($S37,1,0,$R35-2),($M35+1)&amp;"$",OFFSET(BB37,1,0,$R35-2)))</f>
        <v>0</v>
      </c>
      <c r="BC37" s="439" t="n">
        <f aca="false" t="array" ref="BC37:BC37">IF($R35=2,
         IF(AND(ACOMPANHAMENTO="PLE",ISNUMBER($F35)),
                SUMIF((OFFSET(CÁLCULO!$BS$15:$CS$15,$F35,0,OFFSET(ORÇAMENTO!$D$15,CRONO!$F35,0))),CRONO!BC$12,OFFSET(CÁLCULO!$AR$15:$BR$15,$F35,0,OFFSET(ORÇAMENTO!$D$15,CRONO!$F35,0)))
                +IF(AND($F37&lt;&gt;"",$F37&lt;&gt;0),
                        SUMIF(CÁLCULO!$BS$15:$CS$205,CRONO!BC$12,CÁLCULO!$AR$15:$BR$205)/(ORÇAMENTO!$X$15-_xlfn.single(CÁLCULO.TotalAdmLocal))*CRONO!$F37,
                        0),
                 BC36*$S35),
          SUMIF(OFFSET($S37,1,0,$R35-2),($M35+1)&amp;"$",OFFSET(BC37,1,0,$R35-2)))</f>
        <v>0</v>
      </c>
      <c r="BD37" s="439" t="n">
        <f aca="false" t="array" ref="BD37:BD37">IF($R35=2,
         IF(AND(ACOMPANHAMENTO="PLE",ISNUMBER($F35)),
                SUMIF((OFFSET(CÁLCULO!$BS$15:$CS$15,$F35,0,OFFSET(ORÇAMENTO!$D$15,CRONO!$F35,0))),CRONO!BD$12,OFFSET(CÁLCULO!$AR$15:$BR$15,$F35,0,OFFSET(ORÇAMENTO!$D$15,CRONO!$F35,0)))
                +IF(AND($F37&lt;&gt;"",$F37&lt;&gt;0),
                        SUMIF(CÁLCULO!$BS$15:$CS$205,CRONO!BD$12,CÁLCULO!$AR$15:$BR$205)/(ORÇAMENTO!$X$15-_xlfn.single(CÁLCULO.TotalAdmLocal))*CRONO!$F37,
                        0),
                 BD36*$S35),
          SUMIF(OFFSET($S37,1,0,$R35-2),($M35+1)&amp;"$",OFFSET(BD37,1,0,$R35-2)))</f>
        <v>0</v>
      </c>
      <c r="BE37" s="430"/>
    </row>
    <row r="38" customFormat="false" ht="12.75" hidden="true" customHeight="false" outlineLevel="0" collapsed="false">
      <c r="A38" s="382" t="str">
        <f aca="false">IF($M38&gt;1,_xlfn.CONCAT($I38," ",$J38),"")</f>
        <v>1.8. SUPRAESTRUTURA</v>
      </c>
      <c r="B38" s="419" t="n">
        <f aca="true">OFFSET(B38,-3,0)+1</f>
        <v>9</v>
      </c>
      <c r="C38" s="419" t="n">
        <f aca="true">IF($R38&lt;&gt;2,0,IF($S38=0,1,IF(F39&gt;0,OFFSET(QCI!$M$13,SUBSTITUTE(F39,".",""),0),OFFSET(ORÇAMENTO!$AA$15,CRONO!$F38,0))/$S38))</f>
        <v>1</v>
      </c>
      <c r="D38" s="419" t="n">
        <f aca="true">IF($R38&lt;&gt;2,0,IF($S38=0,1,IF(F39&gt;0,OFFSET(QCI!$N$13,SUBSTITUTE(F39,".",""),0),OFFSET(ORÇAMENTO!$AB$15,CRONO!$F38,0))/$S38))</f>
        <v>1</v>
      </c>
      <c r="E38" s="422" t="e">
        <f aca="false" t="array" ref="E38:E38">IF(AND($R38=2,ACOMPANHAMENTO="BM"),ROUND(E39,4),E40/$S38)</f>
        <v>#DIV/0!</v>
      </c>
      <c r="F38" s="419" t="n">
        <f aca="true">IF(B38&lt;=ORÇAMENTO.MáximoListaCrono,MATCH(B38,ORÇAMENTO.ListaCrono,0),NA())</f>
        <v>33</v>
      </c>
      <c r="G38" s="419" t="str">
        <f aca="false">IF(AND($F39&lt;&gt;-1,$S38&gt;0),"F","")</f>
        <v/>
      </c>
      <c r="H38" s="423" t="str">
        <f aca="false" t="array" ref="H38:H38">IF(OR(S38=0,S38=""),"Linha",IF(AND(OR(ACOMPANHAMENTO="PLE",$R38&lt;&gt;2),$F39=0),"Linha",ROUND(1-SUM(U38:BE38),4)))</f>
        <v>Linha</v>
      </c>
      <c r="I38" s="424" t="str">
        <f aca="true">IF($F39=0,OFFSET(ORÇAMENTO!O$15,$F38,0),IF($F39&lt;&gt;-1,OFFSET(QCI!$D$13,$F39,0),""))</f>
        <v>1.8.</v>
      </c>
      <c r="J38" s="425" t="str">
        <f aca="true">IF($F39=0,OFFSET(ORÇAMENTO!R$15,$F38,0),IF($F39&lt;&gt;-1,OFFSET(QCI!$G$13,$F39,0),""))</f>
        <v>SUPRAESTRUTURA</v>
      </c>
      <c r="K38" s="425"/>
      <c r="L38" s="425"/>
      <c r="M38" s="426" t="n">
        <f aca="true">IF($F39=0,OFFSET(ORÇAMENTO!C$15,$F38,0),1)</f>
        <v>2</v>
      </c>
      <c r="N38" s="427" t="n">
        <f aca="true">IF($F39=-1,0,IF(N$13&lt;=$M38,IF(ISERROR(MATCH(N$13,OFFSET($M38,1,0,ROW($M$182)-ROW($M38)-1),0)),ROW($M$182)-ROW($M38)-1,MATCH(N$13,OFFSET($M38,1,0,ROW($M$182)-ROW($M38)-1),0)-1),0))</f>
        <v>143</v>
      </c>
      <c r="O38" s="427" t="n">
        <f aca="true">IF($F39=-1,0,IF(O$13&lt;=$M38,IF(ISERROR(MATCH(O$13,OFFSET($M38,1,0,ROW($M$182)-ROW($M38)-1),0)),ROW($M$182)-ROW($M38)-1,MATCH(O$13,OFFSET($M38,1,0,ROW($M$182)-ROW($M38)-1),0)-1),0))</f>
        <v>2</v>
      </c>
      <c r="P38" s="427" t="n">
        <f aca="true">IF($F39=-1,0,IF(P$13&lt;=$M38,IF(ISERROR(MATCH(P$13,OFFSET($M38,1,0,ROW($M$182)-ROW($M38)-1),0)),ROW($M$182)-ROW($M38)-1,MATCH(P$13,OFFSET($M38,1,0,ROW($M$182)-ROW($M38)-1),0)-1),0))</f>
        <v>0</v>
      </c>
      <c r="Q38" s="427" t="n">
        <f aca="true">IF($F39=-1,0,IF(Q$13&lt;=$M38,IF(ISERROR(MATCH(Q$13,OFFSET($M38,1,0,ROW($M$182)-ROW($M38)-1),0)),ROW($M$182)-ROW($M38)-1,MATCH(Q$13,OFFSET($M38,1,0,ROW($M$182)-ROW($M38)-1),0)-1),0))</f>
        <v>0</v>
      </c>
      <c r="R38" s="427" t="n">
        <f aca="true">MIN(OFFSET(M38,0,1,,M38))</f>
        <v>2</v>
      </c>
      <c r="S38" s="428" t="n">
        <f aca="true">IF($F39=0,OFFSET(ORÇAMENTO!X$15,$F38,0),IF($F39&lt;&gt;-1,OFFSET(QCI!$O$13,$F39,0),""))</f>
        <v>0</v>
      </c>
      <c r="T38" s="429" t="s">
        <v>996</v>
      </c>
      <c r="U38" s="422" t="e">
        <f aca="false" t="array" ref="U38:U38">IF(AND($R38=2,ACOMPANHAMENTO="BM"),ROUND(U39,4),U40/$S38)</f>
        <v>#DIV/0!</v>
      </c>
      <c r="V38" s="422" t="e">
        <f aca="false" t="array" ref="V38:V38">IF(AND($R38=2,ACOMPANHAMENTO="BM"),ROUND(V39,4),V40/$S38)</f>
        <v>#DIV/0!</v>
      </c>
      <c r="W38" s="422" t="e">
        <f aca="false" t="array" ref="W38:W38">IF(AND($R38=2,ACOMPANHAMENTO="BM"),ROUND(W39,4),W40/$S38)</f>
        <v>#DIV/0!</v>
      </c>
      <c r="X38" s="422" t="e">
        <f aca="false" t="array" ref="X38:X38">IF(AND($R38=2,ACOMPANHAMENTO="BM"),ROUND(X39,4),X40/$S38)</f>
        <v>#DIV/0!</v>
      </c>
      <c r="Y38" s="422" t="e">
        <f aca="false" t="array" ref="Y38:Y38">IF(AND($R38=2,ACOMPANHAMENTO="BM"),ROUND(Y39,4),Y40/$S38)</f>
        <v>#DIV/0!</v>
      </c>
      <c r="Z38" s="422" t="e">
        <f aca="false" t="array" ref="Z38:Z38">IF(AND($R38=2,ACOMPANHAMENTO="BM"),ROUND(Z39,4),Z40/$S38)</f>
        <v>#DIV/0!</v>
      </c>
      <c r="AA38" s="422" t="e">
        <f aca="false" t="array" ref="AA38:AA38">IF(AND($R38=2,ACOMPANHAMENTO="BM"),ROUND(AA39,4),AA40/$S38)</f>
        <v>#DIV/0!</v>
      </c>
      <c r="AB38" s="422" t="e">
        <f aca="false" t="array" ref="AB38:AB38">IF(AND($R38=2,ACOMPANHAMENTO="BM"),ROUND(AB39,4),AB40/$S38)</f>
        <v>#DIV/0!</v>
      </c>
      <c r="AC38" s="422" t="e">
        <f aca="false" t="array" ref="AC38:AC38">IF(AND($R38=2,ACOMPANHAMENTO="BM"),ROUND(AC39,4),AC40/$S38)</f>
        <v>#DIV/0!</v>
      </c>
      <c r="AD38" s="422" t="e">
        <f aca="false" t="array" ref="AD38:AD38">IF(AND($R38=2,ACOMPANHAMENTO="BM"),ROUND(AD39,4),AD40/$S38)</f>
        <v>#DIV/0!</v>
      </c>
      <c r="AE38" s="422" t="e">
        <f aca="false" t="array" ref="AE38:AE38">IF(AND($R38=2,ACOMPANHAMENTO="BM"),ROUND(AE39,4),AE40/$S38)</f>
        <v>#DIV/0!</v>
      </c>
      <c r="AF38" s="422" t="e">
        <f aca="false" t="array" ref="AF38:AF38">IF(AND($R38=2,ACOMPANHAMENTO="BM"),ROUND(AF39,4),AF40/$S38)</f>
        <v>#DIV/0!</v>
      </c>
      <c r="AG38" s="422" t="e">
        <f aca="false" t="array" ref="AG38:AG38">IF(AND($R38=2,ACOMPANHAMENTO="BM"),ROUND(AG39,4),AG40/$S38)</f>
        <v>#DIV/0!</v>
      </c>
      <c r="AH38" s="422" t="e">
        <f aca="false" t="array" ref="AH38:AH38">IF(AND($R38=2,ACOMPANHAMENTO="BM"),ROUND(AH39,4),AH40/$S38)</f>
        <v>#DIV/0!</v>
      </c>
      <c r="AI38" s="422" t="e">
        <f aca="false" t="array" ref="AI38:AI38">IF(AND($R38=2,ACOMPANHAMENTO="BM"),ROUND(AI39,4),AI40/$S38)</f>
        <v>#DIV/0!</v>
      </c>
      <c r="AJ38" s="422" t="e">
        <f aca="false" t="array" ref="AJ38:AJ38">IF(AND($R38=2,ACOMPANHAMENTO="BM"),ROUND(AJ39,4),AJ40/$S38)</f>
        <v>#DIV/0!</v>
      </c>
      <c r="AK38" s="422" t="e">
        <f aca="false" t="array" ref="AK38:AK38">IF(AND($R38=2,ACOMPANHAMENTO="BM"),ROUND(AK39,4),AK40/$S38)</f>
        <v>#DIV/0!</v>
      </c>
      <c r="AL38" s="422" t="e">
        <f aca="false" t="array" ref="AL38:AL38">IF(AND($R38=2,ACOMPANHAMENTO="BM"),ROUND(AL39,4),AL40/$S38)</f>
        <v>#DIV/0!</v>
      </c>
      <c r="AM38" s="422" t="e">
        <f aca="false" t="array" ref="AM38:AM38">IF(AND($R38=2,ACOMPANHAMENTO="BM"),ROUND(AM39,4),AM40/$S38)</f>
        <v>#DIV/0!</v>
      </c>
      <c r="AN38" s="422" t="e">
        <f aca="false" t="array" ref="AN38:AN38">IF(AND($R38=2,ACOMPANHAMENTO="BM"),ROUND(AN39,4),AN40/$S38)</f>
        <v>#DIV/0!</v>
      </c>
      <c r="AO38" s="422" t="e">
        <f aca="false" t="array" ref="AO38:AO38">IF(AND($R38=2,ACOMPANHAMENTO="BM"),ROUND(AO39,4),AO40/$S38)</f>
        <v>#DIV/0!</v>
      </c>
      <c r="AP38" s="422" t="e">
        <f aca="false" t="array" ref="AP38:AP38">IF(AND($R38=2,ACOMPANHAMENTO="BM"),ROUND(AP39,4),AP40/$S38)</f>
        <v>#DIV/0!</v>
      </c>
      <c r="AQ38" s="422" t="e">
        <f aca="false" t="array" ref="AQ38:AQ38">IF(AND($R38=2,ACOMPANHAMENTO="BM"),ROUND(AQ39,4),AQ40/$S38)</f>
        <v>#DIV/0!</v>
      </c>
      <c r="AR38" s="422" t="e">
        <f aca="false" t="array" ref="AR38:AR38">IF(AND($R38=2,ACOMPANHAMENTO="BM"),ROUND(AR39,4),AR40/$S38)</f>
        <v>#DIV/0!</v>
      </c>
      <c r="AS38" s="422" t="e">
        <f aca="false" t="array" ref="AS38:AS38">IF(AND($R38=2,ACOMPANHAMENTO="BM"),ROUND(AS39,4),AS40/$S38)</f>
        <v>#DIV/0!</v>
      </c>
      <c r="AT38" s="422" t="e">
        <f aca="false" t="array" ref="AT38:AT38">IF(AND($R38=2,ACOMPANHAMENTO="BM"),ROUND(AT39,4),AT40/$S38)</f>
        <v>#DIV/0!</v>
      </c>
      <c r="AU38" s="422" t="e">
        <f aca="false" t="array" ref="AU38:AU38">IF(AND($R38=2,ACOMPANHAMENTO="BM"),ROUND(AU39,4),AU40/$S38)</f>
        <v>#DIV/0!</v>
      </c>
      <c r="AV38" s="422" t="e">
        <f aca="false" t="array" ref="AV38:AV38">IF(AND($R38=2,ACOMPANHAMENTO="BM"),ROUND(AV39,4),AV40/$S38)</f>
        <v>#DIV/0!</v>
      </c>
      <c r="AW38" s="422" t="e">
        <f aca="false" t="array" ref="AW38:AW38">IF(AND($R38=2,ACOMPANHAMENTO="BM"),ROUND(AW39,4),AW40/$S38)</f>
        <v>#DIV/0!</v>
      </c>
      <c r="AX38" s="422" t="e">
        <f aca="false" t="array" ref="AX38:AX38">IF(AND($R38=2,ACOMPANHAMENTO="BM"),ROUND(AX39,4),AX40/$S38)</f>
        <v>#DIV/0!</v>
      </c>
      <c r="AY38" s="422" t="e">
        <f aca="false" t="array" ref="AY38:AY38">IF(AND($R38=2,ACOMPANHAMENTO="BM"),ROUND(AY39,4),AY40/$S38)</f>
        <v>#DIV/0!</v>
      </c>
      <c r="AZ38" s="422" t="e">
        <f aca="false" t="array" ref="AZ38:AZ38">IF(AND($R38=2,ACOMPANHAMENTO="BM"),ROUND(AZ39,4),AZ40/$S38)</f>
        <v>#DIV/0!</v>
      </c>
      <c r="BA38" s="422" t="e">
        <f aca="false" t="array" ref="BA38:BA38">IF(AND($R38=2,ACOMPANHAMENTO="BM"),ROUND(BA39,4),BA40/$S38)</f>
        <v>#DIV/0!</v>
      </c>
      <c r="BB38" s="422" t="e">
        <f aca="false" t="array" ref="BB38:BB38">IF(AND($R38=2,ACOMPANHAMENTO="BM"),ROUND(BB39,4),BB40/$S38)</f>
        <v>#DIV/0!</v>
      </c>
      <c r="BC38" s="422" t="e">
        <f aca="false" t="array" ref="BC38:BC38">IF(AND($R38=2,ACOMPANHAMENTO="BM"),ROUND(BC39,4),BC40/$S38)</f>
        <v>#DIV/0!</v>
      </c>
      <c r="BD38" s="422" t="e">
        <f aca="false" t="array" ref="BD38:BD38">IF(AND($R38=2,ACOMPANHAMENTO="BM"),ROUND(BD39,4),BD40/$S38)</f>
        <v>#DIV/0!</v>
      </c>
      <c r="BE38" s="430"/>
    </row>
    <row r="39" customFormat="false" ht="12.75" hidden="true" customHeight="true" outlineLevel="0" collapsed="false">
      <c r="E39" s="431"/>
      <c r="F39" s="419" t="n">
        <f aca="true">IF(ISERROR(F38),IF(1+COUNTIF($M$13:OFFSET(M38,-1,0),1)&lt;=MAX(QCI!$D$13:$D$15),1+COUNTIF($M$13:OFFSET(M38,-1,0),1),-1),0)</f>
        <v>0</v>
      </c>
      <c r="G39" s="419" t="str">
        <f aca="true" t="array" ref="G39:G39">IF(ACOMPANHAMENTO="BM",OFFSET(G39,-1,0),"")</f>
        <v/>
      </c>
      <c r="H39" s="432" t="str">
        <f aca="false" t="array" ref="H39:H39">IF(OR(S38=0,S38=""),"vazia",IF(AND(OR(ACOMPANHAMENTO="PLE",$R38&lt;&gt;2),$F39=0),"calculada","--&gt;"))</f>
        <v>vazia</v>
      </c>
      <c r="I39" s="433"/>
      <c r="J39" s="434" t="str">
        <f aca="false">IF(AND(H38&lt;&gt;0,ISNUMBER(H38)),"PREENCHA ESTA LINHA --&gt;","")</f>
        <v/>
      </c>
      <c r="K39" s="434"/>
      <c r="L39" s="434"/>
      <c r="M39" s="435"/>
      <c r="N39" s="435"/>
      <c r="O39" s="435"/>
      <c r="P39" s="435"/>
      <c r="Q39" s="435"/>
      <c r="R39" s="435"/>
      <c r="S39" s="436"/>
      <c r="T39" s="437"/>
      <c r="U39" s="431"/>
      <c r="V39" s="431"/>
      <c r="W39" s="431"/>
      <c r="X39" s="431"/>
      <c r="Y39" s="431"/>
      <c r="Z39" s="431"/>
      <c r="AA39" s="431"/>
      <c r="AB39" s="431"/>
      <c r="AC39" s="431"/>
      <c r="AD39" s="431"/>
      <c r="AE39" s="431"/>
      <c r="AF39" s="431"/>
      <c r="AG39" s="431"/>
      <c r="AH39" s="431"/>
      <c r="AI39" s="431"/>
      <c r="AJ39" s="431"/>
      <c r="AK39" s="431"/>
      <c r="AL39" s="431"/>
      <c r="AM39" s="431"/>
      <c r="AN39" s="431"/>
      <c r="AO39" s="431"/>
      <c r="AP39" s="431"/>
      <c r="AQ39" s="431"/>
      <c r="AR39" s="431"/>
      <c r="AS39" s="431"/>
      <c r="AT39" s="431"/>
      <c r="AU39" s="431"/>
      <c r="AV39" s="431"/>
      <c r="AW39" s="431"/>
      <c r="AX39" s="431"/>
      <c r="AY39" s="431"/>
      <c r="AZ39" s="431"/>
      <c r="BA39" s="431"/>
      <c r="BB39" s="431"/>
      <c r="BC39" s="431"/>
      <c r="BD39" s="431"/>
      <c r="BE39" s="430"/>
    </row>
    <row r="40" customFormat="false" ht="12.75" hidden="true" customHeight="true" outlineLevel="0" collapsed="false">
      <c r="D40" s="438"/>
      <c r="E40" s="439" t="n">
        <f aca="false" t="array" ref="E40:E40">IF($R38=2,
         IF(AND(ACOMPANHAMENTO="PLE",ISNUMBER($F38)),
                SUMIF((OFFSET(CÁLCULO!$BS$15:$CS$15,$F38,0,OFFSET(ORÇAMENTO!$D$15,CRONO!$F38,0))),CRONO!E$12,OFFSET(CÁLCULO!$AR$15:$BR$15,$F38,0,OFFSET(ORÇAMENTO!$D$15,CRONO!$F38,0)))
                +IF(AND($F40&lt;&gt;"",$F40&lt;&gt;0),
                        SUMIF(CÁLCULO!$BS$15:$CS$205,CRONO!E$12,CÁLCULO!$AR$15:$BR$205)/(ORÇAMENTO!$X$15-_xlfn.single(CÁLCULO.TotalAdmLocal))*CRONO!$F40,
                        0),
                 E39*$S38),
          SUMIF(OFFSET($S40,1,0,$R38-2),($M38+1)&amp;"$",OFFSET(E40,1,0,$R38-2)))</f>
        <v>0</v>
      </c>
      <c r="F40" s="419" t="str">
        <f aca="true">IF(OR($R38&lt;&gt;2,AUTOEVENTO&lt;&gt;"manual",$F39&gt;0),"",
        IF(Import.TipoArredondamento="Tradicional",
              SUMIF(OFFSET(CÁLCULO!$M$15,CRONO!$F38,0,OFFSET(ORÇAMENTO!$D$15,CRONO!$F38,0)),1,OFFSET(ORÇAMENTO!$X$15,CRONO!$F38,0,OFFSET(ORÇAMENTO!$D$15,CRONO!$F38,0))),
              0))</f>
        <v/>
      </c>
      <c r="H40" s="440"/>
      <c r="S40" s="441" t="str">
        <f aca="false">M38&amp;"$"</f>
        <v>2$</v>
      </c>
      <c r="T40" s="442"/>
      <c r="U40" s="439" t="n">
        <f aca="false" t="array" ref="U40:U40">IF($R38=2,
         IF(AND(ACOMPANHAMENTO="PLE",ISNUMBER($F38)),
                SUMIF((OFFSET(CÁLCULO!$BS$15:$CS$15,$F38,0,OFFSET(ORÇAMENTO!$D$15,CRONO!$F38,0))),CRONO!U$12,OFFSET(CÁLCULO!$AR$15:$BR$15,$F38,0,OFFSET(ORÇAMENTO!$D$15,CRONO!$F38,0)))
                +IF(AND($F40&lt;&gt;"",$F40&lt;&gt;0),
                        SUMIF(CÁLCULO!$BS$15:$CS$205,CRONO!U$12,CÁLCULO!$AR$15:$BR$205)/(ORÇAMENTO!$X$15-_xlfn.single(CÁLCULO.TotalAdmLocal))*CRONO!$F40,
                        0),
                 U39*$S38),
          SUMIF(OFFSET($S40,1,0,$R38-2),($M38+1)&amp;"$",OFFSET(U40,1,0,$R38-2)))</f>
        <v>0</v>
      </c>
      <c r="V40" s="439" t="n">
        <f aca="false" t="array" ref="V40:V40">IF($R38=2,
         IF(AND(ACOMPANHAMENTO="PLE",ISNUMBER($F38)),
                SUMIF((OFFSET(CÁLCULO!$BS$15:$CS$15,$F38,0,OFFSET(ORÇAMENTO!$D$15,CRONO!$F38,0))),CRONO!V$12,OFFSET(CÁLCULO!$AR$15:$BR$15,$F38,0,OFFSET(ORÇAMENTO!$D$15,CRONO!$F38,0)))
                +IF(AND($F40&lt;&gt;"",$F40&lt;&gt;0),
                        SUMIF(CÁLCULO!$BS$15:$CS$205,CRONO!V$12,CÁLCULO!$AR$15:$BR$205)/(ORÇAMENTO!$X$15-_xlfn.single(CÁLCULO.TotalAdmLocal))*CRONO!$F40,
                        0),
                 V39*$S38),
          SUMIF(OFFSET($S40,1,0,$R38-2),($M38+1)&amp;"$",OFFSET(V40,1,0,$R38-2)))</f>
        <v>0</v>
      </c>
      <c r="W40" s="439" t="n">
        <f aca="false" t="array" ref="W40:W40">IF($R38=2,
         IF(AND(ACOMPANHAMENTO="PLE",ISNUMBER($F38)),
                SUMIF((OFFSET(CÁLCULO!$BS$15:$CS$15,$F38,0,OFFSET(ORÇAMENTO!$D$15,CRONO!$F38,0))),CRONO!W$12,OFFSET(CÁLCULO!$AR$15:$BR$15,$F38,0,OFFSET(ORÇAMENTO!$D$15,CRONO!$F38,0)))
                +IF(AND($F40&lt;&gt;"",$F40&lt;&gt;0),
                        SUMIF(CÁLCULO!$BS$15:$CS$205,CRONO!W$12,CÁLCULO!$AR$15:$BR$205)/(ORÇAMENTO!$X$15-_xlfn.single(CÁLCULO.TotalAdmLocal))*CRONO!$F40,
                        0),
                 W39*$S38),
          SUMIF(OFFSET($S40,1,0,$R38-2),($M38+1)&amp;"$",OFFSET(W40,1,0,$R38-2)))</f>
        <v>0</v>
      </c>
      <c r="X40" s="439" t="n">
        <f aca="false" t="array" ref="X40:X40">IF($R38=2,
         IF(AND(ACOMPANHAMENTO="PLE",ISNUMBER($F38)),
                SUMIF((OFFSET(CÁLCULO!$BS$15:$CS$15,$F38,0,OFFSET(ORÇAMENTO!$D$15,CRONO!$F38,0))),CRONO!X$12,OFFSET(CÁLCULO!$AR$15:$BR$15,$F38,0,OFFSET(ORÇAMENTO!$D$15,CRONO!$F38,0)))
                +IF(AND($F40&lt;&gt;"",$F40&lt;&gt;0),
                        SUMIF(CÁLCULO!$BS$15:$CS$205,CRONO!X$12,CÁLCULO!$AR$15:$BR$205)/(ORÇAMENTO!$X$15-_xlfn.single(CÁLCULO.TotalAdmLocal))*CRONO!$F40,
                        0),
                 X39*$S38),
          SUMIF(OFFSET($S40,1,0,$R38-2),($M38+1)&amp;"$",OFFSET(X40,1,0,$R38-2)))</f>
        <v>0</v>
      </c>
      <c r="Y40" s="439" t="n">
        <f aca="false" t="array" ref="Y40:Y40">IF($R38=2,
         IF(AND(ACOMPANHAMENTO="PLE",ISNUMBER($F38)),
                SUMIF((OFFSET(CÁLCULO!$BS$15:$CS$15,$F38,0,OFFSET(ORÇAMENTO!$D$15,CRONO!$F38,0))),CRONO!Y$12,OFFSET(CÁLCULO!$AR$15:$BR$15,$F38,0,OFFSET(ORÇAMENTO!$D$15,CRONO!$F38,0)))
                +IF(AND($F40&lt;&gt;"",$F40&lt;&gt;0),
                        SUMIF(CÁLCULO!$BS$15:$CS$205,CRONO!Y$12,CÁLCULO!$AR$15:$BR$205)/(ORÇAMENTO!$X$15-_xlfn.single(CÁLCULO.TotalAdmLocal))*CRONO!$F40,
                        0),
                 Y39*$S38),
          SUMIF(OFFSET($S40,1,0,$R38-2),($M38+1)&amp;"$",OFFSET(Y40,1,0,$R38-2)))</f>
        <v>0</v>
      </c>
      <c r="Z40" s="439" t="n">
        <f aca="false" t="array" ref="Z40:Z40">IF($R38=2,
         IF(AND(ACOMPANHAMENTO="PLE",ISNUMBER($F38)),
                SUMIF((OFFSET(CÁLCULO!$BS$15:$CS$15,$F38,0,OFFSET(ORÇAMENTO!$D$15,CRONO!$F38,0))),CRONO!Z$12,OFFSET(CÁLCULO!$AR$15:$BR$15,$F38,0,OFFSET(ORÇAMENTO!$D$15,CRONO!$F38,0)))
                +IF(AND($F40&lt;&gt;"",$F40&lt;&gt;0),
                        SUMIF(CÁLCULO!$BS$15:$CS$205,CRONO!Z$12,CÁLCULO!$AR$15:$BR$205)/(ORÇAMENTO!$X$15-_xlfn.single(CÁLCULO.TotalAdmLocal))*CRONO!$F40,
                        0),
                 Z39*$S38),
          SUMIF(OFFSET($S40,1,0,$R38-2),($M38+1)&amp;"$",OFFSET(Z40,1,0,$R38-2)))</f>
        <v>0</v>
      </c>
      <c r="AA40" s="439" t="n">
        <f aca="false" t="array" ref="AA40:AA40">IF($R38=2,
         IF(AND(ACOMPANHAMENTO="PLE",ISNUMBER($F38)),
                SUMIF((OFFSET(CÁLCULO!$BS$15:$CS$15,$F38,0,OFFSET(ORÇAMENTO!$D$15,CRONO!$F38,0))),CRONO!AA$12,OFFSET(CÁLCULO!$AR$15:$BR$15,$F38,0,OFFSET(ORÇAMENTO!$D$15,CRONO!$F38,0)))
                +IF(AND($F40&lt;&gt;"",$F40&lt;&gt;0),
                        SUMIF(CÁLCULO!$BS$15:$CS$205,CRONO!AA$12,CÁLCULO!$AR$15:$BR$205)/(ORÇAMENTO!$X$15-_xlfn.single(CÁLCULO.TotalAdmLocal))*CRONO!$F40,
                        0),
                 AA39*$S38),
          SUMIF(OFFSET($S40,1,0,$R38-2),($M38+1)&amp;"$",OFFSET(AA40,1,0,$R38-2)))</f>
        <v>0</v>
      </c>
      <c r="AB40" s="439" t="n">
        <f aca="false" t="array" ref="AB40:AB40">IF($R38=2,
         IF(AND(ACOMPANHAMENTO="PLE",ISNUMBER($F38)),
                SUMIF((OFFSET(CÁLCULO!$BS$15:$CS$15,$F38,0,OFFSET(ORÇAMENTO!$D$15,CRONO!$F38,0))),CRONO!AB$12,OFFSET(CÁLCULO!$AR$15:$BR$15,$F38,0,OFFSET(ORÇAMENTO!$D$15,CRONO!$F38,0)))
                +IF(AND($F40&lt;&gt;"",$F40&lt;&gt;0),
                        SUMIF(CÁLCULO!$BS$15:$CS$205,CRONO!AB$12,CÁLCULO!$AR$15:$BR$205)/(ORÇAMENTO!$X$15-_xlfn.single(CÁLCULO.TotalAdmLocal))*CRONO!$F40,
                        0),
                 AB39*$S38),
          SUMIF(OFFSET($S40,1,0,$R38-2),($M38+1)&amp;"$",OFFSET(AB40,1,0,$R38-2)))</f>
        <v>0</v>
      </c>
      <c r="AC40" s="439" t="n">
        <f aca="false" t="array" ref="AC40:AC40">IF($R38=2,
         IF(AND(ACOMPANHAMENTO="PLE",ISNUMBER($F38)),
                SUMIF((OFFSET(CÁLCULO!$BS$15:$CS$15,$F38,0,OFFSET(ORÇAMENTO!$D$15,CRONO!$F38,0))),CRONO!AC$12,OFFSET(CÁLCULO!$AR$15:$BR$15,$F38,0,OFFSET(ORÇAMENTO!$D$15,CRONO!$F38,0)))
                +IF(AND($F40&lt;&gt;"",$F40&lt;&gt;0),
                        SUMIF(CÁLCULO!$BS$15:$CS$205,CRONO!AC$12,CÁLCULO!$AR$15:$BR$205)/(ORÇAMENTO!$X$15-_xlfn.single(CÁLCULO.TotalAdmLocal))*CRONO!$F40,
                        0),
                 AC39*$S38),
          SUMIF(OFFSET($S40,1,0,$R38-2),($M38+1)&amp;"$",OFFSET(AC40,1,0,$R38-2)))</f>
        <v>0</v>
      </c>
      <c r="AD40" s="439" t="n">
        <f aca="false" t="array" ref="AD40:AD40">IF($R38=2,
         IF(AND(ACOMPANHAMENTO="PLE",ISNUMBER($F38)),
                SUMIF((OFFSET(CÁLCULO!$BS$15:$CS$15,$F38,0,OFFSET(ORÇAMENTO!$D$15,CRONO!$F38,0))),CRONO!AD$12,OFFSET(CÁLCULO!$AR$15:$BR$15,$F38,0,OFFSET(ORÇAMENTO!$D$15,CRONO!$F38,0)))
                +IF(AND($F40&lt;&gt;"",$F40&lt;&gt;0),
                        SUMIF(CÁLCULO!$BS$15:$CS$205,CRONO!AD$12,CÁLCULO!$AR$15:$BR$205)/(ORÇAMENTO!$X$15-_xlfn.single(CÁLCULO.TotalAdmLocal))*CRONO!$F40,
                        0),
                 AD39*$S38),
          SUMIF(OFFSET($S40,1,0,$R38-2),($M38+1)&amp;"$",OFFSET(AD40,1,0,$R38-2)))</f>
        <v>0</v>
      </c>
      <c r="AE40" s="439" t="n">
        <f aca="false" t="array" ref="AE40:AE40">IF($R38=2,
         IF(AND(ACOMPANHAMENTO="PLE",ISNUMBER($F38)),
                SUMIF((OFFSET(CÁLCULO!$BS$15:$CS$15,$F38,0,OFFSET(ORÇAMENTO!$D$15,CRONO!$F38,0))),CRONO!AE$12,OFFSET(CÁLCULO!$AR$15:$BR$15,$F38,0,OFFSET(ORÇAMENTO!$D$15,CRONO!$F38,0)))
                +IF(AND($F40&lt;&gt;"",$F40&lt;&gt;0),
                        SUMIF(CÁLCULO!$BS$15:$CS$205,CRONO!AE$12,CÁLCULO!$AR$15:$BR$205)/(ORÇAMENTO!$X$15-_xlfn.single(CÁLCULO.TotalAdmLocal))*CRONO!$F40,
                        0),
                 AE39*$S38),
          SUMIF(OFFSET($S40,1,0,$R38-2),($M38+1)&amp;"$",OFFSET(AE40,1,0,$R38-2)))</f>
        <v>0</v>
      </c>
      <c r="AF40" s="439" t="n">
        <f aca="false" t="array" ref="AF40:AF40">IF($R38=2,
         IF(AND(ACOMPANHAMENTO="PLE",ISNUMBER($F38)),
                SUMIF((OFFSET(CÁLCULO!$BS$15:$CS$15,$F38,0,OFFSET(ORÇAMENTO!$D$15,CRONO!$F38,0))),CRONO!AF$12,OFFSET(CÁLCULO!$AR$15:$BR$15,$F38,0,OFFSET(ORÇAMENTO!$D$15,CRONO!$F38,0)))
                +IF(AND($F40&lt;&gt;"",$F40&lt;&gt;0),
                        SUMIF(CÁLCULO!$BS$15:$CS$205,CRONO!AF$12,CÁLCULO!$AR$15:$BR$205)/(ORÇAMENTO!$X$15-_xlfn.single(CÁLCULO.TotalAdmLocal))*CRONO!$F40,
                        0),
                 AF39*$S38),
          SUMIF(OFFSET($S40,1,0,$R38-2),($M38+1)&amp;"$",OFFSET(AF40,1,0,$R38-2)))</f>
        <v>0</v>
      </c>
      <c r="AG40" s="439" t="n">
        <f aca="false" t="array" ref="AG40:AG40">IF($R38=2,
         IF(AND(ACOMPANHAMENTO="PLE",ISNUMBER($F38)),
                SUMIF((OFFSET(CÁLCULO!$BS$15:$CS$15,$F38,0,OFFSET(ORÇAMENTO!$D$15,CRONO!$F38,0))),CRONO!AG$12,OFFSET(CÁLCULO!$AR$15:$BR$15,$F38,0,OFFSET(ORÇAMENTO!$D$15,CRONO!$F38,0)))
                +IF(AND($F40&lt;&gt;"",$F40&lt;&gt;0),
                        SUMIF(CÁLCULO!$BS$15:$CS$205,CRONO!AG$12,CÁLCULO!$AR$15:$BR$205)/(ORÇAMENTO!$X$15-_xlfn.single(CÁLCULO.TotalAdmLocal))*CRONO!$F40,
                        0),
                 AG39*$S38),
          SUMIF(OFFSET($S40,1,0,$R38-2),($M38+1)&amp;"$",OFFSET(AG40,1,0,$R38-2)))</f>
        <v>0</v>
      </c>
      <c r="AH40" s="439" t="n">
        <f aca="false" t="array" ref="AH40:AH40">IF($R38=2,
         IF(AND(ACOMPANHAMENTO="PLE",ISNUMBER($F38)),
                SUMIF((OFFSET(CÁLCULO!$BS$15:$CS$15,$F38,0,OFFSET(ORÇAMENTO!$D$15,CRONO!$F38,0))),CRONO!AH$12,OFFSET(CÁLCULO!$AR$15:$BR$15,$F38,0,OFFSET(ORÇAMENTO!$D$15,CRONO!$F38,0)))
                +IF(AND($F40&lt;&gt;"",$F40&lt;&gt;0),
                        SUMIF(CÁLCULO!$BS$15:$CS$205,CRONO!AH$12,CÁLCULO!$AR$15:$BR$205)/(ORÇAMENTO!$X$15-_xlfn.single(CÁLCULO.TotalAdmLocal))*CRONO!$F40,
                        0),
                 AH39*$S38),
          SUMIF(OFFSET($S40,1,0,$R38-2),($M38+1)&amp;"$",OFFSET(AH40,1,0,$R38-2)))</f>
        <v>0</v>
      </c>
      <c r="AI40" s="439" t="n">
        <f aca="false" t="array" ref="AI40:AI40">IF($R38=2,
         IF(AND(ACOMPANHAMENTO="PLE",ISNUMBER($F38)),
                SUMIF((OFFSET(CÁLCULO!$BS$15:$CS$15,$F38,0,OFFSET(ORÇAMENTO!$D$15,CRONO!$F38,0))),CRONO!AI$12,OFFSET(CÁLCULO!$AR$15:$BR$15,$F38,0,OFFSET(ORÇAMENTO!$D$15,CRONO!$F38,0)))
                +IF(AND($F40&lt;&gt;"",$F40&lt;&gt;0),
                        SUMIF(CÁLCULO!$BS$15:$CS$205,CRONO!AI$12,CÁLCULO!$AR$15:$BR$205)/(ORÇAMENTO!$X$15-_xlfn.single(CÁLCULO.TotalAdmLocal))*CRONO!$F40,
                        0),
                 AI39*$S38),
          SUMIF(OFFSET($S40,1,0,$R38-2),($M38+1)&amp;"$",OFFSET(AI40,1,0,$R38-2)))</f>
        <v>0</v>
      </c>
      <c r="AJ40" s="439" t="n">
        <f aca="false" t="array" ref="AJ40:AJ40">IF($R38=2,
         IF(AND(ACOMPANHAMENTO="PLE",ISNUMBER($F38)),
                SUMIF((OFFSET(CÁLCULO!$BS$15:$CS$15,$F38,0,OFFSET(ORÇAMENTO!$D$15,CRONO!$F38,0))),CRONO!AJ$12,OFFSET(CÁLCULO!$AR$15:$BR$15,$F38,0,OFFSET(ORÇAMENTO!$D$15,CRONO!$F38,0)))
                +IF(AND($F40&lt;&gt;"",$F40&lt;&gt;0),
                        SUMIF(CÁLCULO!$BS$15:$CS$205,CRONO!AJ$12,CÁLCULO!$AR$15:$BR$205)/(ORÇAMENTO!$X$15-_xlfn.single(CÁLCULO.TotalAdmLocal))*CRONO!$F40,
                        0),
                 AJ39*$S38),
          SUMIF(OFFSET($S40,1,0,$R38-2),($M38+1)&amp;"$",OFFSET(AJ40,1,0,$R38-2)))</f>
        <v>0</v>
      </c>
      <c r="AK40" s="439" t="n">
        <f aca="false" t="array" ref="AK40:AK40">IF($R38=2,
         IF(AND(ACOMPANHAMENTO="PLE",ISNUMBER($F38)),
                SUMIF((OFFSET(CÁLCULO!$BS$15:$CS$15,$F38,0,OFFSET(ORÇAMENTO!$D$15,CRONO!$F38,0))),CRONO!AK$12,OFFSET(CÁLCULO!$AR$15:$BR$15,$F38,0,OFFSET(ORÇAMENTO!$D$15,CRONO!$F38,0)))
                +IF(AND($F40&lt;&gt;"",$F40&lt;&gt;0),
                        SUMIF(CÁLCULO!$BS$15:$CS$205,CRONO!AK$12,CÁLCULO!$AR$15:$BR$205)/(ORÇAMENTO!$X$15-_xlfn.single(CÁLCULO.TotalAdmLocal))*CRONO!$F40,
                        0),
                 AK39*$S38),
          SUMIF(OFFSET($S40,1,0,$R38-2),($M38+1)&amp;"$",OFFSET(AK40,1,0,$R38-2)))</f>
        <v>0</v>
      </c>
      <c r="AL40" s="439" t="n">
        <f aca="false" t="array" ref="AL40:AL40">IF($R38=2,
         IF(AND(ACOMPANHAMENTO="PLE",ISNUMBER($F38)),
                SUMIF((OFFSET(CÁLCULO!$BS$15:$CS$15,$F38,0,OFFSET(ORÇAMENTO!$D$15,CRONO!$F38,0))),CRONO!AL$12,OFFSET(CÁLCULO!$AR$15:$BR$15,$F38,0,OFFSET(ORÇAMENTO!$D$15,CRONO!$F38,0)))
                +IF(AND($F40&lt;&gt;"",$F40&lt;&gt;0),
                        SUMIF(CÁLCULO!$BS$15:$CS$205,CRONO!AL$12,CÁLCULO!$AR$15:$BR$205)/(ORÇAMENTO!$X$15-_xlfn.single(CÁLCULO.TotalAdmLocal))*CRONO!$F40,
                        0),
                 AL39*$S38),
          SUMIF(OFFSET($S40,1,0,$R38-2),($M38+1)&amp;"$",OFFSET(AL40,1,0,$R38-2)))</f>
        <v>0</v>
      </c>
      <c r="AM40" s="439" t="n">
        <f aca="false" t="array" ref="AM40:AM40">IF($R38=2,
         IF(AND(ACOMPANHAMENTO="PLE",ISNUMBER($F38)),
                SUMIF((OFFSET(CÁLCULO!$BS$15:$CS$15,$F38,0,OFFSET(ORÇAMENTO!$D$15,CRONO!$F38,0))),CRONO!AM$12,OFFSET(CÁLCULO!$AR$15:$BR$15,$F38,0,OFFSET(ORÇAMENTO!$D$15,CRONO!$F38,0)))
                +IF(AND($F40&lt;&gt;"",$F40&lt;&gt;0),
                        SUMIF(CÁLCULO!$BS$15:$CS$205,CRONO!AM$12,CÁLCULO!$AR$15:$BR$205)/(ORÇAMENTO!$X$15-_xlfn.single(CÁLCULO.TotalAdmLocal))*CRONO!$F40,
                        0),
                 AM39*$S38),
          SUMIF(OFFSET($S40,1,0,$R38-2),($M38+1)&amp;"$",OFFSET(AM40,1,0,$R38-2)))</f>
        <v>0</v>
      </c>
      <c r="AN40" s="439" t="n">
        <f aca="false" t="array" ref="AN40:AN40">IF($R38=2,
         IF(AND(ACOMPANHAMENTO="PLE",ISNUMBER($F38)),
                SUMIF((OFFSET(CÁLCULO!$BS$15:$CS$15,$F38,0,OFFSET(ORÇAMENTO!$D$15,CRONO!$F38,0))),CRONO!AN$12,OFFSET(CÁLCULO!$AR$15:$BR$15,$F38,0,OFFSET(ORÇAMENTO!$D$15,CRONO!$F38,0)))
                +IF(AND($F40&lt;&gt;"",$F40&lt;&gt;0),
                        SUMIF(CÁLCULO!$BS$15:$CS$205,CRONO!AN$12,CÁLCULO!$AR$15:$BR$205)/(ORÇAMENTO!$X$15-_xlfn.single(CÁLCULO.TotalAdmLocal))*CRONO!$F40,
                        0),
                 AN39*$S38),
          SUMIF(OFFSET($S40,1,0,$R38-2),($M38+1)&amp;"$",OFFSET(AN40,1,0,$R38-2)))</f>
        <v>0</v>
      </c>
      <c r="AO40" s="439" t="n">
        <f aca="false" t="array" ref="AO40:AO40">IF($R38=2,
         IF(AND(ACOMPANHAMENTO="PLE",ISNUMBER($F38)),
                SUMIF((OFFSET(CÁLCULO!$BS$15:$CS$15,$F38,0,OFFSET(ORÇAMENTO!$D$15,CRONO!$F38,0))),CRONO!AO$12,OFFSET(CÁLCULO!$AR$15:$BR$15,$F38,0,OFFSET(ORÇAMENTO!$D$15,CRONO!$F38,0)))
                +IF(AND($F40&lt;&gt;"",$F40&lt;&gt;0),
                        SUMIF(CÁLCULO!$BS$15:$CS$205,CRONO!AO$12,CÁLCULO!$AR$15:$BR$205)/(ORÇAMENTO!$X$15-_xlfn.single(CÁLCULO.TotalAdmLocal))*CRONO!$F40,
                        0),
                 AO39*$S38),
          SUMIF(OFFSET($S40,1,0,$R38-2),($M38+1)&amp;"$",OFFSET(AO40,1,0,$R38-2)))</f>
        <v>0</v>
      </c>
      <c r="AP40" s="439" t="n">
        <f aca="false" t="array" ref="AP40:AP40">IF($R38=2,
         IF(AND(ACOMPANHAMENTO="PLE",ISNUMBER($F38)),
                SUMIF((OFFSET(CÁLCULO!$BS$15:$CS$15,$F38,0,OFFSET(ORÇAMENTO!$D$15,CRONO!$F38,0))),CRONO!AP$12,OFFSET(CÁLCULO!$AR$15:$BR$15,$F38,0,OFFSET(ORÇAMENTO!$D$15,CRONO!$F38,0)))
                +IF(AND($F40&lt;&gt;"",$F40&lt;&gt;0),
                        SUMIF(CÁLCULO!$BS$15:$CS$205,CRONO!AP$12,CÁLCULO!$AR$15:$BR$205)/(ORÇAMENTO!$X$15-_xlfn.single(CÁLCULO.TotalAdmLocal))*CRONO!$F40,
                        0),
                 AP39*$S38),
          SUMIF(OFFSET($S40,1,0,$R38-2),($M38+1)&amp;"$",OFFSET(AP40,1,0,$R38-2)))</f>
        <v>0</v>
      </c>
      <c r="AQ40" s="439" t="n">
        <f aca="false" t="array" ref="AQ40:AQ40">IF($R38=2,
         IF(AND(ACOMPANHAMENTO="PLE",ISNUMBER($F38)),
                SUMIF((OFFSET(CÁLCULO!$BS$15:$CS$15,$F38,0,OFFSET(ORÇAMENTO!$D$15,CRONO!$F38,0))),CRONO!AQ$12,OFFSET(CÁLCULO!$AR$15:$BR$15,$F38,0,OFFSET(ORÇAMENTO!$D$15,CRONO!$F38,0)))
                +IF(AND($F40&lt;&gt;"",$F40&lt;&gt;0),
                        SUMIF(CÁLCULO!$BS$15:$CS$205,CRONO!AQ$12,CÁLCULO!$AR$15:$BR$205)/(ORÇAMENTO!$X$15-_xlfn.single(CÁLCULO.TotalAdmLocal))*CRONO!$F40,
                        0),
                 AQ39*$S38),
          SUMIF(OFFSET($S40,1,0,$R38-2),($M38+1)&amp;"$",OFFSET(AQ40,1,0,$R38-2)))</f>
        <v>0</v>
      </c>
      <c r="AR40" s="439" t="n">
        <f aca="false" t="array" ref="AR40:AR40">IF($R38=2,
         IF(AND(ACOMPANHAMENTO="PLE",ISNUMBER($F38)),
                SUMIF((OFFSET(CÁLCULO!$BS$15:$CS$15,$F38,0,OFFSET(ORÇAMENTO!$D$15,CRONO!$F38,0))),CRONO!AR$12,OFFSET(CÁLCULO!$AR$15:$BR$15,$F38,0,OFFSET(ORÇAMENTO!$D$15,CRONO!$F38,0)))
                +IF(AND($F40&lt;&gt;"",$F40&lt;&gt;0),
                        SUMIF(CÁLCULO!$BS$15:$CS$205,CRONO!AR$12,CÁLCULO!$AR$15:$BR$205)/(ORÇAMENTO!$X$15-_xlfn.single(CÁLCULO.TotalAdmLocal))*CRONO!$F40,
                        0),
                 AR39*$S38),
          SUMIF(OFFSET($S40,1,0,$R38-2),($M38+1)&amp;"$",OFFSET(AR40,1,0,$R38-2)))</f>
        <v>0</v>
      </c>
      <c r="AS40" s="439" t="n">
        <f aca="false" t="array" ref="AS40:AS40">IF($R38=2,
         IF(AND(ACOMPANHAMENTO="PLE",ISNUMBER($F38)),
                SUMIF((OFFSET(CÁLCULO!$BS$15:$CS$15,$F38,0,OFFSET(ORÇAMENTO!$D$15,CRONO!$F38,0))),CRONO!AS$12,OFFSET(CÁLCULO!$AR$15:$BR$15,$F38,0,OFFSET(ORÇAMENTO!$D$15,CRONO!$F38,0)))
                +IF(AND($F40&lt;&gt;"",$F40&lt;&gt;0),
                        SUMIF(CÁLCULO!$BS$15:$CS$205,CRONO!AS$12,CÁLCULO!$AR$15:$BR$205)/(ORÇAMENTO!$X$15-_xlfn.single(CÁLCULO.TotalAdmLocal))*CRONO!$F40,
                        0),
                 AS39*$S38),
          SUMIF(OFFSET($S40,1,0,$R38-2),($M38+1)&amp;"$",OFFSET(AS40,1,0,$R38-2)))</f>
        <v>0</v>
      </c>
      <c r="AT40" s="439" t="n">
        <f aca="false" t="array" ref="AT40:AT40">IF($R38=2,
         IF(AND(ACOMPANHAMENTO="PLE",ISNUMBER($F38)),
                SUMIF((OFFSET(CÁLCULO!$BS$15:$CS$15,$F38,0,OFFSET(ORÇAMENTO!$D$15,CRONO!$F38,0))),CRONO!AT$12,OFFSET(CÁLCULO!$AR$15:$BR$15,$F38,0,OFFSET(ORÇAMENTO!$D$15,CRONO!$F38,0)))
                +IF(AND($F40&lt;&gt;"",$F40&lt;&gt;0),
                        SUMIF(CÁLCULO!$BS$15:$CS$205,CRONO!AT$12,CÁLCULO!$AR$15:$BR$205)/(ORÇAMENTO!$X$15-_xlfn.single(CÁLCULO.TotalAdmLocal))*CRONO!$F40,
                        0),
                 AT39*$S38),
          SUMIF(OFFSET($S40,1,0,$R38-2),($M38+1)&amp;"$",OFFSET(AT40,1,0,$R38-2)))</f>
        <v>0</v>
      </c>
      <c r="AU40" s="439" t="n">
        <f aca="false" t="array" ref="AU40:AU40">IF($R38=2,
         IF(AND(ACOMPANHAMENTO="PLE",ISNUMBER($F38)),
                SUMIF((OFFSET(CÁLCULO!$BS$15:$CS$15,$F38,0,OFFSET(ORÇAMENTO!$D$15,CRONO!$F38,0))),CRONO!AU$12,OFFSET(CÁLCULO!$AR$15:$BR$15,$F38,0,OFFSET(ORÇAMENTO!$D$15,CRONO!$F38,0)))
                +IF(AND($F40&lt;&gt;"",$F40&lt;&gt;0),
                        SUMIF(CÁLCULO!$BS$15:$CS$205,CRONO!AU$12,CÁLCULO!$AR$15:$BR$205)/(ORÇAMENTO!$X$15-_xlfn.single(CÁLCULO.TotalAdmLocal))*CRONO!$F40,
                        0),
                 AU39*$S38),
          SUMIF(OFFSET($S40,1,0,$R38-2),($M38+1)&amp;"$",OFFSET(AU40,1,0,$R38-2)))</f>
        <v>0</v>
      </c>
      <c r="AV40" s="439" t="n">
        <f aca="false" t="array" ref="AV40:AV40">IF($R38=2,
         IF(AND(ACOMPANHAMENTO="PLE",ISNUMBER($F38)),
                SUMIF((OFFSET(CÁLCULO!$BS$15:$CS$15,$F38,0,OFFSET(ORÇAMENTO!$D$15,CRONO!$F38,0))),CRONO!AV$12,OFFSET(CÁLCULO!$AR$15:$BR$15,$F38,0,OFFSET(ORÇAMENTO!$D$15,CRONO!$F38,0)))
                +IF(AND($F40&lt;&gt;"",$F40&lt;&gt;0),
                        SUMIF(CÁLCULO!$BS$15:$CS$205,CRONO!AV$12,CÁLCULO!$AR$15:$BR$205)/(ORÇAMENTO!$X$15-_xlfn.single(CÁLCULO.TotalAdmLocal))*CRONO!$F40,
                        0),
                 AV39*$S38),
          SUMIF(OFFSET($S40,1,0,$R38-2),($M38+1)&amp;"$",OFFSET(AV40,1,0,$R38-2)))</f>
        <v>0</v>
      </c>
      <c r="AW40" s="439" t="n">
        <f aca="false" t="array" ref="AW40:AW40">IF($R38=2,
         IF(AND(ACOMPANHAMENTO="PLE",ISNUMBER($F38)),
                SUMIF((OFFSET(CÁLCULO!$BS$15:$CS$15,$F38,0,OFFSET(ORÇAMENTO!$D$15,CRONO!$F38,0))),CRONO!AW$12,OFFSET(CÁLCULO!$AR$15:$BR$15,$F38,0,OFFSET(ORÇAMENTO!$D$15,CRONO!$F38,0)))
                +IF(AND($F40&lt;&gt;"",$F40&lt;&gt;0),
                        SUMIF(CÁLCULO!$BS$15:$CS$205,CRONO!AW$12,CÁLCULO!$AR$15:$BR$205)/(ORÇAMENTO!$X$15-_xlfn.single(CÁLCULO.TotalAdmLocal))*CRONO!$F40,
                        0),
                 AW39*$S38),
          SUMIF(OFFSET($S40,1,0,$R38-2),($M38+1)&amp;"$",OFFSET(AW40,1,0,$R38-2)))</f>
        <v>0</v>
      </c>
      <c r="AX40" s="439" t="n">
        <f aca="false" t="array" ref="AX40:AX40">IF($R38=2,
         IF(AND(ACOMPANHAMENTO="PLE",ISNUMBER($F38)),
                SUMIF((OFFSET(CÁLCULO!$BS$15:$CS$15,$F38,0,OFFSET(ORÇAMENTO!$D$15,CRONO!$F38,0))),CRONO!AX$12,OFFSET(CÁLCULO!$AR$15:$BR$15,$F38,0,OFFSET(ORÇAMENTO!$D$15,CRONO!$F38,0)))
                +IF(AND($F40&lt;&gt;"",$F40&lt;&gt;0),
                        SUMIF(CÁLCULO!$BS$15:$CS$205,CRONO!AX$12,CÁLCULO!$AR$15:$BR$205)/(ORÇAMENTO!$X$15-_xlfn.single(CÁLCULO.TotalAdmLocal))*CRONO!$F40,
                        0),
                 AX39*$S38),
          SUMIF(OFFSET($S40,1,0,$R38-2),($M38+1)&amp;"$",OFFSET(AX40,1,0,$R38-2)))</f>
        <v>0</v>
      </c>
      <c r="AY40" s="439" t="n">
        <f aca="false" t="array" ref="AY40:AY40">IF($R38=2,
         IF(AND(ACOMPANHAMENTO="PLE",ISNUMBER($F38)),
                SUMIF((OFFSET(CÁLCULO!$BS$15:$CS$15,$F38,0,OFFSET(ORÇAMENTO!$D$15,CRONO!$F38,0))),CRONO!AY$12,OFFSET(CÁLCULO!$AR$15:$BR$15,$F38,0,OFFSET(ORÇAMENTO!$D$15,CRONO!$F38,0)))
                +IF(AND($F40&lt;&gt;"",$F40&lt;&gt;0),
                        SUMIF(CÁLCULO!$BS$15:$CS$205,CRONO!AY$12,CÁLCULO!$AR$15:$BR$205)/(ORÇAMENTO!$X$15-_xlfn.single(CÁLCULO.TotalAdmLocal))*CRONO!$F40,
                        0),
                 AY39*$S38),
          SUMIF(OFFSET($S40,1,0,$R38-2),($M38+1)&amp;"$",OFFSET(AY40,1,0,$R38-2)))</f>
        <v>0</v>
      </c>
      <c r="AZ40" s="439" t="n">
        <f aca="false" t="array" ref="AZ40:AZ40">IF($R38=2,
         IF(AND(ACOMPANHAMENTO="PLE",ISNUMBER($F38)),
                SUMIF((OFFSET(CÁLCULO!$BS$15:$CS$15,$F38,0,OFFSET(ORÇAMENTO!$D$15,CRONO!$F38,0))),CRONO!AZ$12,OFFSET(CÁLCULO!$AR$15:$BR$15,$F38,0,OFFSET(ORÇAMENTO!$D$15,CRONO!$F38,0)))
                +IF(AND($F40&lt;&gt;"",$F40&lt;&gt;0),
                        SUMIF(CÁLCULO!$BS$15:$CS$205,CRONO!AZ$12,CÁLCULO!$AR$15:$BR$205)/(ORÇAMENTO!$X$15-_xlfn.single(CÁLCULO.TotalAdmLocal))*CRONO!$F40,
                        0),
                 AZ39*$S38),
          SUMIF(OFFSET($S40,1,0,$R38-2),($M38+1)&amp;"$",OFFSET(AZ40,1,0,$R38-2)))</f>
        <v>0</v>
      </c>
      <c r="BA40" s="439" t="n">
        <f aca="false" t="array" ref="BA40:BA40">IF($R38=2,
         IF(AND(ACOMPANHAMENTO="PLE",ISNUMBER($F38)),
                SUMIF((OFFSET(CÁLCULO!$BS$15:$CS$15,$F38,0,OFFSET(ORÇAMENTO!$D$15,CRONO!$F38,0))),CRONO!BA$12,OFFSET(CÁLCULO!$AR$15:$BR$15,$F38,0,OFFSET(ORÇAMENTO!$D$15,CRONO!$F38,0)))
                +IF(AND($F40&lt;&gt;"",$F40&lt;&gt;0),
                        SUMIF(CÁLCULO!$BS$15:$CS$205,CRONO!BA$12,CÁLCULO!$AR$15:$BR$205)/(ORÇAMENTO!$X$15-_xlfn.single(CÁLCULO.TotalAdmLocal))*CRONO!$F40,
                        0),
                 BA39*$S38),
          SUMIF(OFFSET($S40,1,0,$R38-2),($M38+1)&amp;"$",OFFSET(BA40,1,0,$R38-2)))</f>
        <v>0</v>
      </c>
      <c r="BB40" s="439" t="n">
        <f aca="false" t="array" ref="BB40:BB40">IF($R38=2,
         IF(AND(ACOMPANHAMENTO="PLE",ISNUMBER($F38)),
                SUMIF((OFFSET(CÁLCULO!$BS$15:$CS$15,$F38,0,OFFSET(ORÇAMENTO!$D$15,CRONO!$F38,0))),CRONO!BB$12,OFFSET(CÁLCULO!$AR$15:$BR$15,$F38,0,OFFSET(ORÇAMENTO!$D$15,CRONO!$F38,0)))
                +IF(AND($F40&lt;&gt;"",$F40&lt;&gt;0),
                        SUMIF(CÁLCULO!$BS$15:$CS$205,CRONO!BB$12,CÁLCULO!$AR$15:$BR$205)/(ORÇAMENTO!$X$15-_xlfn.single(CÁLCULO.TotalAdmLocal))*CRONO!$F40,
                        0),
                 BB39*$S38),
          SUMIF(OFFSET($S40,1,0,$R38-2),($M38+1)&amp;"$",OFFSET(BB40,1,0,$R38-2)))</f>
        <v>0</v>
      </c>
      <c r="BC40" s="439" t="n">
        <f aca="false" t="array" ref="BC40:BC40">IF($R38=2,
         IF(AND(ACOMPANHAMENTO="PLE",ISNUMBER($F38)),
                SUMIF((OFFSET(CÁLCULO!$BS$15:$CS$15,$F38,0,OFFSET(ORÇAMENTO!$D$15,CRONO!$F38,0))),CRONO!BC$12,OFFSET(CÁLCULO!$AR$15:$BR$15,$F38,0,OFFSET(ORÇAMENTO!$D$15,CRONO!$F38,0)))
                +IF(AND($F40&lt;&gt;"",$F40&lt;&gt;0),
                        SUMIF(CÁLCULO!$BS$15:$CS$205,CRONO!BC$12,CÁLCULO!$AR$15:$BR$205)/(ORÇAMENTO!$X$15-_xlfn.single(CÁLCULO.TotalAdmLocal))*CRONO!$F40,
                        0),
                 BC39*$S38),
          SUMIF(OFFSET($S40,1,0,$R38-2),($M38+1)&amp;"$",OFFSET(BC40,1,0,$R38-2)))</f>
        <v>0</v>
      </c>
      <c r="BD40" s="439" t="n">
        <f aca="false" t="array" ref="BD40:BD40">IF($R38=2,
         IF(AND(ACOMPANHAMENTO="PLE",ISNUMBER($F38)),
                SUMIF((OFFSET(CÁLCULO!$BS$15:$CS$15,$F38,0,OFFSET(ORÇAMENTO!$D$15,CRONO!$F38,0))),CRONO!BD$12,OFFSET(CÁLCULO!$AR$15:$BR$15,$F38,0,OFFSET(ORÇAMENTO!$D$15,CRONO!$F38,0)))
                +IF(AND($F40&lt;&gt;"",$F40&lt;&gt;0),
                        SUMIF(CÁLCULO!$BS$15:$CS$205,CRONO!BD$12,CÁLCULO!$AR$15:$BR$205)/(ORÇAMENTO!$X$15-_xlfn.single(CÁLCULO.TotalAdmLocal))*CRONO!$F40,
                        0),
                 BD39*$S38),
          SUMIF(OFFSET($S40,1,0,$R38-2),($M38+1)&amp;"$",OFFSET(BD40,1,0,$R38-2)))</f>
        <v>0</v>
      </c>
      <c r="BE40" s="430"/>
    </row>
    <row r="41" customFormat="false" ht="12.75" hidden="false" customHeight="false" outlineLevel="0" collapsed="false">
      <c r="A41" s="382" t="str">
        <f aca="false">IF($M41&gt;1,_xlfn.CONCAT($I41," ",$J41),"")</f>
        <v>1.9. PILARES, VIGAS E LAJES</v>
      </c>
      <c r="B41" s="419" t="n">
        <f aca="true">OFFSET(B41,-3,0)+1</f>
        <v>10</v>
      </c>
      <c r="C41" s="419" t="n">
        <f aca="true">IF($R41&lt;&gt;2,0,IF($S41=0,1,IF(F42&gt;0,OFFSET(QCI!$M$13,SUBSTITUTE(F42,".",""),0),OFFSET(ORÇAMENTO!$AA$15,CRONO!$F41,0))/$S41))</f>
        <v>0.110981526562671</v>
      </c>
      <c r="D41" s="419" t="n">
        <f aca="true">IF($R41&lt;&gt;2,0,IF($S41=0,1,IF(F42&gt;0,OFFSET(QCI!$N$13,SUBSTITUTE(F42,".",""),0),OFFSET(ORÇAMENTO!$AB$15,CRONO!$F41,0))/$S41))</f>
        <v>0</v>
      </c>
      <c r="E41" s="422" t="n">
        <f aca="false" t="array" ref="E41:E41">IF(AND($R41=2,ACOMPANHAMENTO="BM"),ROUND(E42,4),E43/$S41)</f>
        <v>0.04</v>
      </c>
      <c r="F41" s="419" t="n">
        <f aca="true">IF(B41&lt;=ORÇAMENTO.MáximoListaCrono,MATCH(B41,ORÇAMENTO.ListaCrono,0),NA())</f>
        <v>34</v>
      </c>
      <c r="G41" s="419" t="str">
        <f aca="false">IF(AND($F42&lt;&gt;-1,$S41&gt;0),"F","")</f>
        <v>F</v>
      </c>
      <c r="H41" s="423" t="str">
        <f aca="false" t="array" ref="H41:H41">IF(OR(S41=0,S41=""),"Linha",IF(AND(OR(ACOMPANHAMENTO="PLE",$R41&lt;&gt;2),$F42=0),"Linha",ROUND(1-SUM(U41:BE41),4)))</f>
        <v>Linha</v>
      </c>
      <c r="I41" s="424" t="str">
        <f aca="true">IF($F42=0,OFFSET(ORÇAMENTO!O$15,$F41,0),IF($F42&lt;&gt;-1,OFFSET(QCI!$D$13,$F42,0),""))</f>
        <v>1.9.</v>
      </c>
      <c r="J41" s="425" t="str">
        <f aca="true">IF($F42=0,OFFSET(ORÇAMENTO!R$15,$F41,0),IF($F42&lt;&gt;-1,OFFSET(QCI!$G$13,$F42,0),""))</f>
        <v>PILARES, VIGAS E LAJES</v>
      </c>
      <c r="K41" s="425"/>
      <c r="L41" s="425"/>
      <c r="M41" s="426" t="n">
        <f aca="true">IF($F42=0,OFFSET(ORÇAMENTO!C$15,$F41,0),1)</f>
        <v>2</v>
      </c>
      <c r="N41" s="427" t="n">
        <f aca="true">IF($F42=-1,0,IF(N$13&lt;=$M41,IF(ISERROR(MATCH(N$13,OFFSET($M41,1,0,ROW($M$182)-ROW($M41)-1),0)),ROW($M$182)-ROW($M41)-1,MATCH(N$13,OFFSET($M41,1,0,ROW($M$182)-ROW($M41)-1),0)-1),0))</f>
        <v>140</v>
      </c>
      <c r="O41" s="427" t="n">
        <f aca="true">IF($F42=-1,0,IF(O$13&lt;=$M41,IF(ISERROR(MATCH(O$13,OFFSET($M41,1,0,ROW($M$182)-ROW($M41)-1),0)),ROW($M$182)-ROW($M41)-1,MATCH(O$13,OFFSET($M41,1,0,ROW($M$182)-ROW($M41)-1),0)-1),0))</f>
        <v>2</v>
      </c>
      <c r="P41" s="427" t="n">
        <f aca="true">IF($F42=-1,0,IF(P$13&lt;=$M41,IF(ISERROR(MATCH(P$13,OFFSET($M41,1,0,ROW($M$182)-ROW($M41)-1),0)),ROW($M$182)-ROW($M41)-1,MATCH(P$13,OFFSET($M41,1,0,ROW($M$182)-ROW($M41)-1),0)-1),0))</f>
        <v>0</v>
      </c>
      <c r="Q41" s="427" t="n">
        <f aca="true">IF($F42=-1,0,IF(Q$13&lt;=$M41,IF(ISERROR(MATCH(Q$13,OFFSET($M41,1,0,ROW($M$182)-ROW($M41)-1),0)),ROW($M$182)-ROW($M41)-1,MATCH(Q$13,OFFSET($M41,1,0,ROW($M$182)-ROW($M41)-1),0)-1),0))</f>
        <v>0</v>
      </c>
      <c r="R41" s="427" t="n">
        <f aca="true">MIN(OFFSET(M41,0,1,,M41))</f>
        <v>2</v>
      </c>
      <c r="S41" s="428" t="n">
        <f aca="true">IF($F42=0,OFFSET(ORÇAMENTO!X$15,$F41,0),IF($F42&lt;&gt;-1,OFFSET(QCI!$O$13,$F42,0),""))</f>
        <v>560771.75</v>
      </c>
      <c r="T41" s="429" t="s">
        <v>996</v>
      </c>
      <c r="U41" s="422" t="n">
        <f aca="false" t="array" ref="U41:U41">IF(AND($R41=2,ACOMPANHAMENTO="BM"),ROUND(U42,4),U43/$S41)</f>
        <v>0.04</v>
      </c>
      <c r="V41" s="422" t="n">
        <f aca="false" t="array" ref="V41:V41">IF(AND($R41=2,ACOMPANHAMENTO="BM"),ROUND(V42,4),V43/$S41)</f>
        <v>0.04</v>
      </c>
      <c r="W41" s="422" t="n">
        <f aca="false" t="array" ref="W41:W41">IF(AND($R41=2,ACOMPANHAMENTO="BM"),ROUND(W42,4),W43/$S41)</f>
        <v>0.04</v>
      </c>
      <c r="X41" s="422" t="n">
        <f aca="false" t="array" ref="X41:X41">IF(AND($R41=2,ACOMPANHAMENTO="BM"),ROUND(X42,4),X43/$S41)</f>
        <v>0.04</v>
      </c>
      <c r="Y41" s="422" t="n">
        <f aca="false" t="array" ref="Y41:Y41">IF(AND($R41=2,ACOMPANHAMENTO="BM"),ROUND(Y42,4),Y43/$S41)</f>
        <v>0.04</v>
      </c>
      <c r="Z41" s="422" t="n">
        <f aca="false" t="array" ref="Z41:Z41">IF(AND($R41=2,ACOMPANHAMENTO="BM"),ROUND(Z42,4),Z43/$S41)</f>
        <v>0.04</v>
      </c>
      <c r="AA41" s="422" t="n">
        <f aca="false" t="array" ref="AA41:AA41">IF(AND($R41=2,ACOMPANHAMENTO="BM"),ROUND(AA42,4),AA43/$S41)</f>
        <v>0.04</v>
      </c>
      <c r="AB41" s="422" t="n">
        <f aca="false" t="array" ref="AB41:AB41">IF(AND($R41=2,ACOMPANHAMENTO="BM"),ROUND(AB42,4),AB43/$S41)</f>
        <v>0.04</v>
      </c>
      <c r="AC41" s="422" t="n">
        <f aca="false" t="array" ref="AC41:AC41">IF(AND($R41=2,ACOMPANHAMENTO="BM"),ROUND(AC42,4),AC43/$S41)</f>
        <v>0.04</v>
      </c>
      <c r="AD41" s="422" t="n">
        <f aca="false" t="array" ref="AD41:AD41">IF(AND($R41=2,ACOMPANHAMENTO="BM"),ROUND(AD42,4),AD43/$S41)</f>
        <v>0.04</v>
      </c>
      <c r="AE41" s="422" t="n">
        <f aca="false" t="array" ref="AE41:AE41">IF(AND($R41=2,ACOMPANHAMENTO="BM"),ROUND(AE42,4),AE43/$S41)</f>
        <v>0.04</v>
      </c>
      <c r="AF41" s="422" t="n">
        <f aca="false" t="array" ref="AF41:AF41">IF(AND($R41=2,ACOMPANHAMENTO="BM"),ROUND(AF42,4),AF43/$S41)</f>
        <v>0.04</v>
      </c>
      <c r="AG41" s="422" t="n">
        <f aca="false" t="array" ref="AG41:AG41">IF(AND($R41=2,ACOMPANHAMENTO="BM"),ROUND(AG42,4),AG43/$S41)</f>
        <v>0.04</v>
      </c>
      <c r="AH41" s="422" t="n">
        <f aca="false" t="array" ref="AH41:AH41">IF(AND($R41=2,ACOMPANHAMENTO="BM"),ROUND(AH42,4),AH43/$S41)</f>
        <v>0.04</v>
      </c>
      <c r="AI41" s="422" t="n">
        <f aca="false" t="array" ref="AI41:AI41">IF(AND($R41=2,ACOMPANHAMENTO="BM"),ROUND(AI42,4),AI43/$S41)</f>
        <v>0.04</v>
      </c>
      <c r="AJ41" s="422" t="n">
        <f aca="false" t="array" ref="AJ41:AJ41">IF(AND($R41=2,ACOMPANHAMENTO="BM"),ROUND(AJ42,4),AJ43/$S41)</f>
        <v>0.04</v>
      </c>
      <c r="AK41" s="422" t="n">
        <f aca="false" t="array" ref="AK41:AK41">IF(AND($R41=2,ACOMPANHAMENTO="BM"),ROUND(AK42,4),AK43/$S41)</f>
        <v>0.04</v>
      </c>
      <c r="AL41" s="422" t="n">
        <f aca="false" t="array" ref="AL41:AL41">IF(AND($R41=2,ACOMPANHAMENTO="BM"),ROUND(AL42,4),AL43/$S41)</f>
        <v>0.04</v>
      </c>
      <c r="AM41" s="422" t="n">
        <f aca="false" t="array" ref="AM41:AM41">IF(AND($R41=2,ACOMPANHAMENTO="BM"),ROUND(AM42,4),AM43/$S41)</f>
        <v>0.04</v>
      </c>
      <c r="AN41" s="422" t="n">
        <f aca="false" t="array" ref="AN41:AN41">IF(AND($R41=2,ACOMPANHAMENTO="BM"),ROUND(AN42,4),AN43/$S41)</f>
        <v>0.04</v>
      </c>
      <c r="AO41" s="422" t="n">
        <f aca="false" t="array" ref="AO41:AO41">IF(AND($R41=2,ACOMPANHAMENTO="BM"),ROUND(AO42,4),AO43/$S41)</f>
        <v>0.04</v>
      </c>
      <c r="AP41" s="422" t="n">
        <f aca="false" t="array" ref="AP41:AP41">IF(AND($R41=2,ACOMPANHAMENTO="BM"),ROUND(AP42,4),AP43/$S41)</f>
        <v>0.04</v>
      </c>
      <c r="AQ41" s="422" t="n">
        <f aca="false" t="array" ref="AQ41:AQ41">IF(AND($R41=2,ACOMPANHAMENTO="BM"),ROUND(AQ42,4),AQ43/$S41)</f>
        <v>0.04</v>
      </c>
      <c r="AR41" s="422" t="n">
        <f aca="false" t="array" ref="AR41:AR41">IF(AND($R41=2,ACOMPANHAMENTO="BM"),ROUND(AR42,4),AR43/$S41)</f>
        <v>0.04</v>
      </c>
      <c r="AS41" s="422" t="n">
        <f aca="false" t="array" ref="AS41:AS41">IF(AND($R41=2,ACOMPANHAMENTO="BM"),ROUND(AS42,4),AS43/$S41)</f>
        <v>0.04</v>
      </c>
      <c r="AT41" s="422" t="n">
        <f aca="false" t="array" ref="AT41:AT41">IF(AND($R41=2,ACOMPANHAMENTO="BM"),ROUND(AT42,4),AT43/$S41)</f>
        <v>0</v>
      </c>
      <c r="AU41" s="422" t="n">
        <f aca="false" t="array" ref="AU41:AU41">IF(AND($R41=2,ACOMPANHAMENTO="BM"),ROUND(AU42,4),AU43/$S41)</f>
        <v>0</v>
      </c>
      <c r="AV41" s="422" t="n">
        <f aca="false" t="array" ref="AV41:AV41">IF(AND($R41=2,ACOMPANHAMENTO="BM"),ROUND(AV42,4),AV43/$S41)</f>
        <v>0</v>
      </c>
      <c r="AW41" s="422" t="n">
        <f aca="false" t="array" ref="AW41:AW41">IF(AND($R41=2,ACOMPANHAMENTO="BM"),ROUND(AW42,4),AW43/$S41)</f>
        <v>0</v>
      </c>
      <c r="AX41" s="422" t="n">
        <f aca="false" t="array" ref="AX41:AX41">IF(AND($R41=2,ACOMPANHAMENTO="BM"),ROUND(AX42,4),AX43/$S41)</f>
        <v>0</v>
      </c>
      <c r="AY41" s="422" t="n">
        <f aca="false" t="array" ref="AY41:AY41">IF(AND($R41=2,ACOMPANHAMENTO="BM"),ROUND(AY42,4),AY43/$S41)</f>
        <v>0</v>
      </c>
      <c r="AZ41" s="422" t="n">
        <f aca="false" t="array" ref="AZ41:AZ41">IF(AND($R41=2,ACOMPANHAMENTO="BM"),ROUND(AZ42,4),AZ43/$S41)</f>
        <v>0</v>
      </c>
      <c r="BA41" s="422" t="n">
        <f aca="false" t="array" ref="BA41:BA41">IF(AND($R41=2,ACOMPANHAMENTO="BM"),ROUND(BA42,4),BA43/$S41)</f>
        <v>0</v>
      </c>
      <c r="BB41" s="422" t="n">
        <f aca="false" t="array" ref="BB41:BB41">IF(AND($R41=2,ACOMPANHAMENTO="BM"),ROUND(BB42,4),BB43/$S41)</f>
        <v>0</v>
      </c>
      <c r="BC41" s="422" t="n">
        <f aca="false" t="array" ref="BC41:BC41">IF(AND($R41=2,ACOMPANHAMENTO="BM"),ROUND(BC42,4),BC43/$S41)</f>
        <v>0</v>
      </c>
      <c r="BD41" s="422" t="n">
        <f aca="false" t="array" ref="BD41:BD41">IF(AND($R41=2,ACOMPANHAMENTO="BM"),ROUND(BD42,4),BD43/$S41)</f>
        <v>0</v>
      </c>
      <c r="BE41" s="430"/>
    </row>
    <row r="42" customFormat="false" ht="12.75" hidden="true" customHeight="true" outlineLevel="0" collapsed="false">
      <c r="E42" s="431"/>
      <c r="F42" s="419" t="n">
        <f aca="true">IF(ISERROR(F41),IF(1+COUNTIF($M$13:OFFSET(M41,-1,0),1)&lt;=MAX(QCI!$D$13:$D$15),1+COUNTIF($M$13:OFFSET(M41,-1,0),1),-1),0)</f>
        <v>0</v>
      </c>
      <c r="G42" s="419" t="str">
        <f aca="true" t="array" ref="G42:G42">IF(ACOMPANHAMENTO="BM",OFFSET(G42,-1,0),"")</f>
        <v/>
      </c>
      <c r="H42" s="432" t="str">
        <f aca="false" t="array" ref="H42:H42">IF(OR(S41=0,S41=""),"vazia",IF(AND(OR(ACOMPANHAMENTO="PLE",$R41&lt;&gt;2),$F42=0),"calculada","--&gt;"))</f>
        <v>calculada</v>
      </c>
      <c r="I42" s="433"/>
      <c r="J42" s="434" t="str">
        <f aca="false">IF(AND(H41&lt;&gt;0,ISNUMBER(H41)),"PREENCHA ESTA LINHA --&gt;","")</f>
        <v/>
      </c>
      <c r="K42" s="434"/>
      <c r="L42" s="434"/>
      <c r="M42" s="435"/>
      <c r="N42" s="435"/>
      <c r="O42" s="435"/>
      <c r="P42" s="435"/>
      <c r="Q42" s="435"/>
      <c r="R42" s="435"/>
      <c r="S42" s="436"/>
      <c r="T42" s="437"/>
      <c r="U42" s="431"/>
      <c r="V42" s="431"/>
      <c r="W42" s="431"/>
      <c r="X42" s="431"/>
      <c r="Y42" s="431"/>
      <c r="Z42" s="431"/>
      <c r="AA42" s="431"/>
      <c r="AB42" s="431"/>
      <c r="AC42" s="431"/>
      <c r="AD42" s="431"/>
      <c r="AE42" s="431"/>
      <c r="AF42" s="431"/>
      <c r="AG42" s="431"/>
      <c r="AH42" s="431"/>
      <c r="AI42" s="431"/>
      <c r="AJ42" s="431"/>
      <c r="AK42" s="431"/>
      <c r="AL42" s="431"/>
      <c r="AM42" s="431"/>
      <c r="AN42" s="431"/>
      <c r="AO42" s="431"/>
      <c r="AP42" s="431"/>
      <c r="AQ42" s="431"/>
      <c r="AR42" s="431"/>
      <c r="AS42" s="431"/>
      <c r="AT42" s="431"/>
      <c r="AU42" s="431"/>
      <c r="AV42" s="431"/>
      <c r="AW42" s="431"/>
      <c r="AX42" s="431"/>
      <c r="AY42" s="431"/>
      <c r="AZ42" s="431"/>
      <c r="BA42" s="431"/>
      <c r="BB42" s="431"/>
      <c r="BC42" s="431"/>
      <c r="BD42" s="431"/>
      <c r="BE42" s="430"/>
    </row>
    <row r="43" customFormat="false" ht="12.75" hidden="true" customHeight="true" outlineLevel="0" collapsed="false">
      <c r="D43" s="438"/>
      <c r="E43" s="439" t="n">
        <f aca="false" t="array" ref="E43:E43">IF($R41=2,
         IF(AND(ACOMPANHAMENTO="PLE",ISNUMBER($F41)),
                SUMIF((OFFSET(CÁLCULO!$BS$15:$CS$15,$F41,0,OFFSET(ORÇAMENTO!$D$15,CRONO!$F41,0))),CRONO!E$12,OFFSET(CÁLCULO!$AR$15:$BR$15,$F41,0,OFFSET(ORÇAMENTO!$D$15,CRONO!$F41,0)))
                +IF(AND($F43&lt;&gt;"",$F43&lt;&gt;0),
                        SUMIF(CÁLCULO!$BS$15:$CS$205,CRONO!E$12,CÁLCULO!$AR$15:$BR$205)/(ORÇAMENTO!$X$15-_xlfn.single(CÁLCULO.TotalAdmLocal))*CRONO!$F43,
                        0),
                 E42*$S41),
          SUMIF(OFFSET($S43,1,0,$R41-2),($M41+1)&amp;"$",OFFSET(E43,1,0,$R41-2)))</f>
        <v>22430.87</v>
      </c>
      <c r="F43" s="419" t="str">
        <f aca="true">IF(OR($R41&lt;&gt;2,AUTOEVENTO&lt;&gt;"manual",$F42&gt;0),"",
        IF(Import.TipoArredondamento="Tradicional",
              SUMIF(OFFSET(CÁLCULO!$M$15,CRONO!$F41,0,OFFSET(ORÇAMENTO!$D$15,CRONO!$F41,0)),1,OFFSET(ORÇAMENTO!$X$15,CRONO!$F41,0,OFFSET(ORÇAMENTO!$D$15,CRONO!$F41,0))),
              0))</f>
        <v/>
      </c>
      <c r="H43" s="440"/>
      <c r="S43" s="441" t="str">
        <f aca="false">M41&amp;"$"</f>
        <v>2$</v>
      </c>
      <c r="T43" s="442"/>
      <c r="U43" s="439" t="n">
        <f aca="false" t="array" ref="U43:U43">IF($R41=2,
         IF(AND(ACOMPANHAMENTO="PLE",ISNUMBER($F41)),
                SUMIF((OFFSET(CÁLCULO!$BS$15:$CS$15,$F41,0,OFFSET(ORÇAMENTO!$D$15,CRONO!$F41,0))),CRONO!U$12,OFFSET(CÁLCULO!$AR$15:$BR$15,$F41,0,OFFSET(ORÇAMENTO!$D$15,CRONO!$F41,0)))
                +IF(AND($F43&lt;&gt;"",$F43&lt;&gt;0),
                        SUMIF(CÁLCULO!$BS$15:$CS$205,CRONO!U$12,CÁLCULO!$AR$15:$BR$205)/(ORÇAMENTO!$X$15-_xlfn.single(CÁLCULO.TotalAdmLocal))*CRONO!$F43,
                        0),
                 U42*$S41),
          SUMIF(OFFSET($S43,1,0,$R41-2),($M41+1)&amp;"$",OFFSET(U43,1,0,$R41-2)))</f>
        <v>22430.87</v>
      </c>
      <c r="V43" s="439" t="n">
        <f aca="false" t="array" ref="V43:V43">IF($R41=2,
         IF(AND(ACOMPANHAMENTO="PLE",ISNUMBER($F41)),
                SUMIF((OFFSET(CÁLCULO!$BS$15:$CS$15,$F41,0,OFFSET(ORÇAMENTO!$D$15,CRONO!$F41,0))),CRONO!V$12,OFFSET(CÁLCULO!$AR$15:$BR$15,$F41,0,OFFSET(ORÇAMENTO!$D$15,CRONO!$F41,0)))
                +IF(AND($F43&lt;&gt;"",$F43&lt;&gt;0),
                        SUMIF(CÁLCULO!$BS$15:$CS$205,CRONO!V$12,CÁLCULO!$AR$15:$BR$205)/(ORÇAMENTO!$X$15-_xlfn.single(CÁLCULO.TotalAdmLocal))*CRONO!$F43,
                        0),
                 V42*$S41),
          SUMIF(OFFSET($S43,1,0,$R41-2),($M41+1)&amp;"$",OFFSET(V43,1,0,$R41-2)))</f>
        <v>22430.87</v>
      </c>
      <c r="W43" s="439" t="n">
        <f aca="false" t="array" ref="W43:W43">IF($R41=2,
         IF(AND(ACOMPANHAMENTO="PLE",ISNUMBER($F41)),
                SUMIF((OFFSET(CÁLCULO!$BS$15:$CS$15,$F41,0,OFFSET(ORÇAMENTO!$D$15,CRONO!$F41,0))),CRONO!W$12,OFFSET(CÁLCULO!$AR$15:$BR$15,$F41,0,OFFSET(ORÇAMENTO!$D$15,CRONO!$F41,0)))
                +IF(AND($F43&lt;&gt;"",$F43&lt;&gt;0),
                        SUMIF(CÁLCULO!$BS$15:$CS$205,CRONO!W$12,CÁLCULO!$AR$15:$BR$205)/(ORÇAMENTO!$X$15-_xlfn.single(CÁLCULO.TotalAdmLocal))*CRONO!$F43,
                        0),
                 W42*$S41),
          SUMIF(OFFSET($S43,1,0,$R41-2),($M41+1)&amp;"$",OFFSET(W43,1,0,$R41-2)))</f>
        <v>22430.87</v>
      </c>
      <c r="X43" s="439" t="n">
        <f aca="false" t="array" ref="X43:X43">IF($R41=2,
         IF(AND(ACOMPANHAMENTO="PLE",ISNUMBER($F41)),
                SUMIF((OFFSET(CÁLCULO!$BS$15:$CS$15,$F41,0,OFFSET(ORÇAMENTO!$D$15,CRONO!$F41,0))),CRONO!X$12,OFFSET(CÁLCULO!$AR$15:$BR$15,$F41,0,OFFSET(ORÇAMENTO!$D$15,CRONO!$F41,0)))
                +IF(AND($F43&lt;&gt;"",$F43&lt;&gt;0),
                        SUMIF(CÁLCULO!$BS$15:$CS$205,CRONO!X$12,CÁLCULO!$AR$15:$BR$205)/(ORÇAMENTO!$X$15-_xlfn.single(CÁLCULO.TotalAdmLocal))*CRONO!$F43,
                        0),
                 X42*$S41),
          SUMIF(OFFSET($S43,1,0,$R41-2),($M41+1)&amp;"$",OFFSET(X43,1,0,$R41-2)))</f>
        <v>22430.87</v>
      </c>
      <c r="Y43" s="439" t="n">
        <f aca="false" t="array" ref="Y43:Y43">IF($R41=2,
         IF(AND(ACOMPANHAMENTO="PLE",ISNUMBER($F41)),
                SUMIF((OFFSET(CÁLCULO!$BS$15:$CS$15,$F41,0,OFFSET(ORÇAMENTO!$D$15,CRONO!$F41,0))),CRONO!Y$12,OFFSET(CÁLCULO!$AR$15:$BR$15,$F41,0,OFFSET(ORÇAMENTO!$D$15,CRONO!$F41,0)))
                +IF(AND($F43&lt;&gt;"",$F43&lt;&gt;0),
                        SUMIF(CÁLCULO!$BS$15:$CS$205,CRONO!Y$12,CÁLCULO!$AR$15:$BR$205)/(ORÇAMENTO!$X$15-_xlfn.single(CÁLCULO.TotalAdmLocal))*CRONO!$F43,
                        0),
                 Y42*$S41),
          SUMIF(OFFSET($S43,1,0,$R41-2),($M41+1)&amp;"$",OFFSET(Y43,1,0,$R41-2)))</f>
        <v>22430.87</v>
      </c>
      <c r="Z43" s="439" t="n">
        <f aca="false" t="array" ref="Z43:Z43">IF($R41=2,
         IF(AND(ACOMPANHAMENTO="PLE",ISNUMBER($F41)),
                SUMIF((OFFSET(CÁLCULO!$BS$15:$CS$15,$F41,0,OFFSET(ORÇAMENTO!$D$15,CRONO!$F41,0))),CRONO!Z$12,OFFSET(CÁLCULO!$AR$15:$BR$15,$F41,0,OFFSET(ORÇAMENTO!$D$15,CRONO!$F41,0)))
                +IF(AND($F43&lt;&gt;"",$F43&lt;&gt;0),
                        SUMIF(CÁLCULO!$BS$15:$CS$205,CRONO!Z$12,CÁLCULO!$AR$15:$BR$205)/(ORÇAMENTO!$X$15-_xlfn.single(CÁLCULO.TotalAdmLocal))*CRONO!$F43,
                        0),
                 Z42*$S41),
          SUMIF(OFFSET($S43,1,0,$R41-2),($M41+1)&amp;"$",OFFSET(Z43,1,0,$R41-2)))</f>
        <v>22430.87</v>
      </c>
      <c r="AA43" s="439" t="n">
        <f aca="false" t="array" ref="AA43:AA43">IF($R41=2,
         IF(AND(ACOMPANHAMENTO="PLE",ISNUMBER($F41)),
                SUMIF((OFFSET(CÁLCULO!$BS$15:$CS$15,$F41,0,OFFSET(ORÇAMENTO!$D$15,CRONO!$F41,0))),CRONO!AA$12,OFFSET(CÁLCULO!$AR$15:$BR$15,$F41,0,OFFSET(ORÇAMENTO!$D$15,CRONO!$F41,0)))
                +IF(AND($F43&lt;&gt;"",$F43&lt;&gt;0),
                        SUMIF(CÁLCULO!$BS$15:$CS$205,CRONO!AA$12,CÁLCULO!$AR$15:$BR$205)/(ORÇAMENTO!$X$15-_xlfn.single(CÁLCULO.TotalAdmLocal))*CRONO!$F43,
                        0),
                 AA42*$S41),
          SUMIF(OFFSET($S43,1,0,$R41-2),($M41+1)&amp;"$",OFFSET(AA43,1,0,$R41-2)))</f>
        <v>22430.87</v>
      </c>
      <c r="AB43" s="439" t="n">
        <f aca="false" t="array" ref="AB43:AB43">IF($R41=2,
         IF(AND(ACOMPANHAMENTO="PLE",ISNUMBER($F41)),
                SUMIF((OFFSET(CÁLCULO!$BS$15:$CS$15,$F41,0,OFFSET(ORÇAMENTO!$D$15,CRONO!$F41,0))),CRONO!AB$12,OFFSET(CÁLCULO!$AR$15:$BR$15,$F41,0,OFFSET(ORÇAMENTO!$D$15,CRONO!$F41,0)))
                +IF(AND($F43&lt;&gt;"",$F43&lt;&gt;0),
                        SUMIF(CÁLCULO!$BS$15:$CS$205,CRONO!AB$12,CÁLCULO!$AR$15:$BR$205)/(ORÇAMENTO!$X$15-_xlfn.single(CÁLCULO.TotalAdmLocal))*CRONO!$F43,
                        0),
                 AB42*$S41),
          SUMIF(OFFSET($S43,1,0,$R41-2),($M41+1)&amp;"$",OFFSET(AB43,1,0,$R41-2)))</f>
        <v>22430.87</v>
      </c>
      <c r="AC43" s="439" t="n">
        <f aca="false" t="array" ref="AC43:AC43">IF($R41=2,
         IF(AND(ACOMPANHAMENTO="PLE",ISNUMBER($F41)),
                SUMIF((OFFSET(CÁLCULO!$BS$15:$CS$15,$F41,0,OFFSET(ORÇAMENTO!$D$15,CRONO!$F41,0))),CRONO!AC$12,OFFSET(CÁLCULO!$AR$15:$BR$15,$F41,0,OFFSET(ORÇAMENTO!$D$15,CRONO!$F41,0)))
                +IF(AND($F43&lt;&gt;"",$F43&lt;&gt;0),
                        SUMIF(CÁLCULO!$BS$15:$CS$205,CRONO!AC$12,CÁLCULO!$AR$15:$BR$205)/(ORÇAMENTO!$X$15-_xlfn.single(CÁLCULO.TotalAdmLocal))*CRONO!$F43,
                        0),
                 AC42*$S41),
          SUMIF(OFFSET($S43,1,0,$R41-2),($M41+1)&amp;"$",OFFSET(AC43,1,0,$R41-2)))</f>
        <v>22430.87</v>
      </c>
      <c r="AD43" s="439" t="n">
        <f aca="false" t="array" ref="AD43:AD43">IF($R41=2,
         IF(AND(ACOMPANHAMENTO="PLE",ISNUMBER($F41)),
                SUMIF((OFFSET(CÁLCULO!$BS$15:$CS$15,$F41,0,OFFSET(ORÇAMENTO!$D$15,CRONO!$F41,0))),CRONO!AD$12,OFFSET(CÁLCULO!$AR$15:$BR$15,$F41,0,OFFSET(ORÇAMENTO!$D$15,CRONO!$F41,0)))
                +IF(AND($F43&lt;&gt;"",$F43&lt;&gt;0),
                        SUMIF(CÁLCULO!$BS$15:$CS$205,CRONO!AD$12,CÁLCULO!$AR$15:$BR$205)/(ORÇAMENTO!$X$15-_xlfn.single(CÁLCULO.TotalAdmLocal))*CRONO!$F43,
                        0),
                 AD42*$S41),
          SUMIF(OFFSET($S43,1,0,$R41-2),($M41+1)&amp;"$",OFFSET(AD43,1,0,$R41-2)))</f>
        <v>22430.87</v>
      </c>
      <c r="AE43" s="439" t="n">
        <f aca="false" t="array" ref="AE43:AE43">IF($R41=2,
         IF(AND(ACOMPANHAMENTO="PLE",ISNUMBER($F41)),
                SUMIF((OFFSET(CÁLCULO!$BS$15:$CS$15,$F41,0,OFFSET(ORÇAMENTO!$D$15,CRONO!$F41,0))),CRONO!AE$12,OFFSET(CÁLCULO!$AR$15:$BR$15,$F41,0,OFFSET(ORÇAMENTO!$D$15,CRONO!$F41,0)))
                +IF(AND($F43&lt;&gt;"",$F43&lt;&gt;0),
                        SUMIF(CÁLCULO!$BS$15:$CS$205,CRONO!AE$12,CÁLCULO!$AR$15:$BR$205)/(ORÇAMENTO!$X$15-_xlfn.single(CÁLCULO.TotalAdmLocal))*CRONO!$F43,
                        0),
                 AE42*$S41),
          SUMIF(OFFSET($S43,1,0,$R41-2),($M41+1)&amp;"$",OFFSET(AE43,1,0,$R41-2)))</f>
        <v>22430.87</v>
      </c>
      <c r="AF43" s="439" t="n">
        <f aca="false" t="array" ref="AF43:AF43">IF($R41=2,
         IF(AND(ACOMPANHAMENTO="PLE",ISNUMBER($F41)),
                SUMIF((OFFSET(CÁLCULO!$BS$15:$CS$15,$F41,0,OFFSET(ORÇAMENTO!$D$15,CRONO!$F41,0))),CRONO!AF$12,OFFSET(CÁLCULO!$AR$15:$BR$15,$F41,0,OFFSET(ORÇAMENTO!$D$15,CRONO!$F41,0)))
                +IF(AND($F43&lt;&gt;"",$F43&lt;&gt;0),
                        SUMIF(CÁLCULO!$BS$15:$CS$205,CRONO!AF$12,CÁLCULO!$AR$15:$BR$205)/(ORÇAMENTO!$X$15-_xlfn.single(CÁLCULO.TotalAdmLocal))*CRONO!$F43,
                        0),
                 AF42*$S41),
          SUMIF(OFFSET($S43,1,0,$R41-2),($M41+1)&amp;"$",OFFSET(AF43,1,0,$R41-2)))</f>
        <v>22430.87</v>
      </c>
      <c r="AG43" s="439" t="n">
        <f aca="false" t="array" ref="AG43:AG43">IF($R41=2,
         IF(AND(ACOMPANHAMENTO="PLE",ISNUMBER($F41)),
                SUMIF((OFFSET(CÁLCULO!$BS$15:$CS$15,$F41,0,OFFSET(ORÇAMENTO!$D$15,CRONO!$F41,0))),CRONO!AG$12,OFFSET(CÁLCULO!$AR$15:$BR$15,$F41,0,OFFSET(ORÇAMENTO!$D$15,CRONO!$F41,0)))
                +IF(AND($F43&lt;&gt;"",$F43&lt;&gt;0),
                        SUMIF(CÁLCULO!$BS$15:$CS$205,CRONO!AG$12,CÁLCULO!$AR$15:$BR$205)/(ORÇAMENTO!$X$15-_xlfn.single(CÁLCULO.TotalAdmLocal))*CRONO!$F43,
                        0),
                 AG42*$S41),
          SUMIF(OFFSET($S43,1,0,$R41-2),($M41+1)&amp;"$",OFFSET(AG43,1,0,$R41-2)))</f>
        <v>22430.87</v>
      </c>
      <c r="AH43" s="439" t="n">
        <f aca="false" t="array" ref="AH43:AH43">IF($R41=2,
         IF(AND(ACOMPANHAMENTO="PLE",ISNUMBER($F41)),
                SUMIF((OFFSET(CÁLCULO!$BS$15:$CS$15,$F41,0,OFFSET(ORÇAMENTO!$D$15,CRONO!$F41,0))),CRONO!AH$12,OFFSET(CÁLCULO!$AR$15:$BR$15,$F41,0,OFFSET(ORÇAMENTO!$D$15,CRONO!$F41,0)))
                +IF(AND($F43&lt;&gt;"",$F43&lt;&gt;0),
                        SUMIF(CÁLCULO!$BS$15:$CS$205,CRONO!AH$12,CÁLCULO!$AR$15:$BR$205)/(ORÇAMENTO!$X$15-_xlfn.single(CÁLCULO.TotalAdmLocal))*CRONO!$F43,
                        0),
                 AH42*$S41),
          SUMIF(OFFSET($S43,1,0,$R41-2),($M41+1)&amp;"$",OFFSET(AH43,1,0,$R41-2)))</f>
        <v>22430.87</v>
      </c>
      <c r="AI43" s="439" t="n">
        <f aca="false" t="array" ref="AI43:AI43">IF($R41=2,
         IF(AND(ACOMPANHAMENTO="PLE",ISNUMBER($F41)),
                SUMIF((OFFSET(CÁLCULO!$BS$15:$CS$15,$F41,0,OFFSET(ORÇAMENTO!$D$15,CRONO!$F41,0))),CRONO!AI$12,OFFSET(CÁLCULO!$AR$15:$BR$15,$F41,0,OFFSET(ORÇAMENTO!$D$15,CRONO!$F41,0)))
                +IF(AND($F43&lt;&gt;"",$F43&lt;&gt;0),
                        SUMIF(CÁLCULO!$BS$15:$CS$205,CRONO!AI$12,CÁLCULO!$AR$15:$BR$205)/(ORÇAMENTO!$X$15-_xlfn.single(CÁLCULO.TotalAdmLocal))*CRONO!$F43,
                        0),
                 AI42*$S41),
          SUMIF(OFFSET($S43,1,0,$R41-2),($M41+1)&amp;"$",OFFSET(AI43,1,0,$R41-2)))</f>
        <v>22430.87</v>
      </c>
      <c r="AJ43" s="439" t="n">
        <f aca="false" t="array" ref="AJ43:AJ43">IF($R41=2,
         IF(AND(ACOMPANHAMENTO="PLE",ISNUMBER($F41)),
                SUMIF((OFFSET(CÁLCULO!$BS$15:$CS$15,$F41,0,OFFSET(ORÇAMENTO!$D$15,CRONO!$F41,0))),CRONO!AJ$12,OFFSET(CÁLCULO!$AR$15:$BR$15,$F41,0,OFFSET(ORÇAMENTO!$D$15,CRONO!$F41,0)))
                +IF(AND($F43&lt;&gt;"",$F43&lt;&gt;0),
                        SUMIF(CÁLCULO!$BS$15:$CS$205,CRONO!AJ$12,CÁLCULO!$AR$15:$BR$205)/(ORÇAMENTO!$X$15-_xlfn.single(CÁLCULO.TotalAdmLocal))*CRONO!$F43,
                        0),
                 AJ42*$S41),
          SUMIF(OFFSET($S43,1,0,$R41-2),($M41+1)&amp;"$",OFFSET(AJ43,1,0,$R41-2)))</f>
        <v>22430.87</v>
      </c>
      <c r="AK43" s="439" t="n">
        <f aca="false" t="array" ref="AK43:AK43">IF($R41=2,
         IF(AND(ACOMPANHAMENTO="PLE",ISNUMBER($F41)),
                SUMIF((OFFSET(CÁLCULO!$BS$15:$CS$15,$F41,0,OFFSET(ORÇAMENTO!$D$15,CRONO!$F41,0))),CRONO!AK$12,OFFSET(CÁLCULO!$AR$15:$BR$15,$F41,0,OFFSET(ORÇAMENTO!$D$15,CRONO!$F41,0)))
                +IF(AND($F43&lt;&gt;"",$F43&lt;&gt;0),
                        SUMIF(CÁLCULO!$BS$15:$CS$205,CRONO!AK$12,CÁLCULO!$AR$15:$BR$205)/(ORÇAMENTO!$X$15-_xlfn.single(CÁLCULO.TotalAdmLocal))*CRONO!$F43,
                        0),
                 AK42*$S41),
          SUMIF(OFFSET($S43,1,0,$R41-2),($M41+1)&amp;"$",OFFSET(AK43,1,0,$R41-2)))</f>
        <v>22430.87</v>
      </c>
      <c r="AL43" s="439" t="n">
        <f aca="false" t="array" ref="AL43:AL43">IF($R41=2,
         IF(AND(ACOMPANHAMENTO="PLE",ISNUMBER($F41)),
                SUMIF((OFFSET(CÁLCULO!$BS$15:$CS$15,$F41,0,OFFSET(ORÇAMENTO!$D$15,CRONO!$F41,0))),CRONO!AL$12,OFFSET(CÁLCULO!$AR$15:$BR$15,$F41,0,OFFSET(ORÇAMENTO!$D$15,CRONO!$F41,0)))
                +IF(AND($F43&lt;&gt;"",$F43&lt;&gt;0),
                        SUMIF(CÁLCULO!$BS$15:$CS$205,CRONO!AL$12,CÁLCULO!$AR$15:$BR$205)/(ORÇAMENTO!$X$15-_xlfn.single(CÁLCULO.TotalAdmLocal))*CRONO!$F43,
                        0),
                 AL42*$S41),
          SUMIF(OFFSET($S43,1,0,$R41-2),($M41+1)&amp;"$",OFFSET(AL43,1,0,$R41-2)))</f>
        <v>22430.87</v>
      </c>
      <c r="AM43" s="439" t="n">
        <f aca="false" t="array" ref="AM43:AM43">IF($R41=2,
         IF(AND(ACOMPANHAMENTO="PLE",ISNUMBER($F41)),
                SUMIF((OFFSET(CÁLCULO!$BS$15:$CS$15,$F41,0,OFFSET(ORÇAMENTO!$D$15,CRONO!$F41,0))),CRONO!AM$12,OFFSET(CÁLCULO!$AR$15:$BR$15,$F41,0,OFFSET(ORÇAMENTO!$D$15,CRONO!$F41,0)))
                +IF(AND($F43&lt;&gt;"",$F43&lt;&gt;0),
                        SUMIF(CÁLCULO!$BS$15:$CS$205,CRONO!AM$12,CÁLCULO!$AR$15:$BR$205)/(ORÇAMENTO!$X$15-_xlfn.single(CÁLCULO.TotalAdmLocal))*CRONO!$F43,
                        0),
                 AM42*$S41),
          SUMIF(OFFSET($S43,1,0,$R41-2),($M41+1)&amp;"$",OFFSET(AM43,1,0,$R41-2)))</f>
        <v>22430.87</v>
      </c>
      <c r="AN43" s="439" t="n">
        <f aca="false" t="array" ref="AN43:AN43">IF($R41=2,
         IF(AND(ACOMPANHAMENTO="PLE",ISNUMBER($F41)),
                SUMIF((OFFSET(CÁLCULO!$BS$15:$CS$15,$F41,0,OFFSET(ORÇAMENTO!$D$15,CRONO!$F41,0))),CRONO!AN$12,OFFSET(CÁLCULO!$AR$15:$BR$15,$F41,0,OFFSET(ORÇAMENTO!$D$15,CRONO!$F41,0)))
                +IF(AND($F43&lt;&gt;"",$F43&lt;&gt;0),
                        SUMIF(CÁLCULO!$BS$15:$CS$205,CRONO!AN$12,CÁLCULO!$AR$15:$BR$205)/(ORÇAMENTO!$X$15-_xlfn.single(CÁLCULO.TotalAdmLocal))*CRONO!$F43,
                        0),
                 AN42*$S41),
          SUMIF(OFFSET($S43,1,0,$R41-2),($M41+1)&amp;"$",OFFSET(AN43,1,0,$R41-2)))</f>
        <v>22430.87</v>
      </c>
      <c r="AO43" s="439" t="n">
        <f aca="false" t="array" ref="AO43:AO43">IF($R41=2,
         IF(AND(ACOMPANHAMENTO="PLE",ISNUMBER($F41)),
                SUMIF((OFFSET(CÁLCULO!$BS$15:$CS$15,$F41,0,OFFSET(ORÇAMENTO!$D$15,CRONO!$F41,0))),CRONO!AO$12,OFFSET(CÁLCULO!$AR$15:$BR$15,$F41,0,OFFSET(ORÇAMENTO!$D$15,CRONO!$F41,0)))
                +IF(AND($F43&lt;&gt;"",$F43&lt;&gt;0),
                        SUMIF(CÁLCULO!$BS$15:$CS$205,CRONO!AO$12,CÁLCULO!$AR$15:$BR$205)/(ORÇAMENTO!$X$15-_xlfn.single(CÁLCULO.TotalAdmLocal))*CRONO!$F43,
                        0),
                 AO42*$S41),
          SUMIF(OFFSET($S43,1,0,$R41-2),($M41+1)&amp;"$",OFFSET(AO43,1,0,$R41-2)))</f>
        <v>22430.87</v>
      </c>
      <c r="AP43" s="439" t="n">
        <f aca="false" t="array" ref="AP43:AP43">IF($R41=2,
         IF(AND(ACOMPANHAMENTO="PLE",ISNUMBER($F41)),
                SUMIF((OFFSET(CÁLCULO!$BS$15:$CS$15,$F41,0,OFFSET(ORÇAMENTO!$D$15,CRONO!$F41,0))),CRONO!AP$12,OFFSET(CÁLCULO!$AR$15:$BR$15,$F41,0,OFFSET(ORÇAMENTO!$D$15,CRONO!$F41,0)))
                +IF(AND($F43&lt;&gt;"",$F43&lt;&gt;0),
                        SUMIF(CÁLCULO!$BS$15:$CS$205,CRONO!AP$12,CÁLCULO!$AR$15:$BR$205)/(ORÇAMENTO!$X$15-_xlfn.single(CÁLCULO.TotalAdmLocal))*CRONO!$F43,
                        0),
                 AP42*$S41),
          SUMIF(OFFSET($S43,1,0,$R41-2),($M41+1)&amp;"$",OFFSET(AP43,1,0,$R41-2)))</f>
        <v>22430.87</v>
      </c>
      <c r="AQ43" s="439" t="n">
        <f aca="false" t="array" ref="AQ43:AQ43">IF($R41=2,
         IF(AND(ACOMPANHAMENTO="PLE",ISNUMBER($F41)),
                SUMIF((OFFSET(CÁLCULO!$BS$15:$CS$15,$F41,0,OFFSET(ORÇAMENTO!$D$15,CRONO!$F41,0))),CRONO!AQ$12,OFFSET(CÁLCULO!$AR$15:$BR$15,$F41,0,OFFSET(ORÇAMENTO!$D$15,CRONO!$F41,0)))
                +IF(AND($F43&lt;&gt;"",$F43&lt;&gt;0),
                        SUMIF(CÁLCULO!$BS$15:$CS$205,CRONO!AQ$12,CÁLCULO!$AR$15:$BR$205)/(ORÇAMENTO!$X$15-_xlfn.single(CÁLCULO.TotalAdmLocal))*CRONO!$F43,
                        0),
                 AQ42*$S41),
          SUMIF(OFFSET($S43,1,0,$R41-2),($M41+1)&amp;"$",OFFSET(AQ43,1,0,$R41-2)))</f>
        <v>22430.87</v>
      </c>
      <c r="AR43" s="439" t="n">
        <f aca="false" t="array" ref="AR43:AR43">IF($R41=2,
         IF(AND(ACOMPANHAMENTO="PLE",ISNUMBER($F41)),
                SUMIF((OFFSET(CÁLCULO!$BS$15:$CS$15,$F41,0,OFFSET(ORÇAMENTO!$D$15,CRONO!$F41,0))),CRONO!AR$12,OFFSET(CÁLCULO!$AR$15:$BR$15,$F41,0,OFFSET(ORÇAMENTO!$D$15,CRONO!$F41,0)))
                +IF(AND($F43&lt;&gt;"",$F43&lt;&gt;0),
                        SUMIF(CÁLCULO!$BS$15:$CS$205,CRONO!AR$12,CÁLCULO!$AR$15:$BR$205)/(ORÇAMENTO!$X$15-_xlfn.single(CÁLCULO.TotalAdmLocal))*CRONO!$F43,
                        0),
                 AR42*$S41),
          SUMIF(OFFSET($S43,1,0,$R41-2),($M41+1)&amp;"$",OFFSET(AR43,1,0,$R41-2)))</f>
        <v>22430.87</v>
      </c>
      <c r="AS43" s="439" t="n">
        <f aca="false" t="array" ref="AS43:AS43">IF($R41=2,
         IF(AND(ACOMPANHAMENTO="PLE",ISNUMBER($F41)),
                SUMIF((OFFSET(CÁLCULO!$BS$15:$CS$15,$F41,0,OFFSET(ORÇAMENTO!$D$15,CRONO!$F41,0))),CRONO!AS$12,OFFSET(CÁLCULO!$AR$15:$BR$15,$F41,0,OFFSET(ORÇAMENTO!$D$15,CRONO!$F41,0)))
                +IF(AND($F43&lt;&gt;"",$F43&lt;&gt;0),
                        SUMIF(CÁLCULO!$BS$15:$CS$205,CRONO!AS$12,CÁLCULO!$AR$15:$BR$205)/(ORÇAMENTO!$X$15-_xlfn.single(CÁLCULO.TotalAdmLocal))*CRONO!$F43,
                        0),
                 AS42*$S41),
          SUMIF(OFFSET($S43,1,0,$R41-2),($M41+1)&amp;"$",OFFSET(AS43,1,0,$R41-2)))</f>
        <v>22430.87</v>
      </c>
      <c r="AT43" s="439" t="n">
        <f aca="false" t="array" ref="AT43:AT43">IF($R41=2,
         IF(AND(ACOMPANHAMENTO="PLE",ISNUMBER($F41)),
                SUMIF((OFFSET(CÁLCULO!$BS$15:$CS$15,$F41,0,OFFSET(ORÇAMENTO!$D$15,CRONO!$F41,0))),CRONO!AT$12,OFFSET(CÁLCULO!$AR$15:$BR$15,$F41,0,OFFSET(ORÇAMENTO!$D$15,CRONO!$F41,0)))
                +IF(AND($F43&lt;&gt;"",$F43&lt;&gt;0),
                        SUMIF(CÁLCULO!$BS$15:$CS$205,CRONO!AT$12,CÁLCULO!$AR$15:$BR$205)/(ORÇAMENTO!$X$15-_xlfn.single(CÁLCULO.TotalAdmLocal))*CRONO!$F43,
                        0),
                 AT42*$S41),
          SUMIF(OFFSET($S43,1,0,$R41-2),($M41+1)&amp;"$",OFFSET(AT43,1,0,$R41-2)))</f>
        <v>0</v>
      </c>
      <c r="AU43" s="439" t="n">
        <f aca="false" t="array" ref="AU43:AU43">IF($R41=2,
         IF(AND(ACOMPANHAMENTO="PLE",ISNUMBER($F41)),
                SUMIF((OFFSET(CÁLCULO!$BS$15:$CS$15,$F41,0,OFFSET(ORÇAMENTO!$D$15,CRONO!$F41,0))),CRONO!AU$12,OFFSET(CÁLCULO!$AR$15:$BR$15,$F41,0,OFFSET(ORÇAMENTO!$D$15,CRONO!$F41,0)))
                +IF(AND($F43&lt;&gt;"",$F43&lt;&gt;0),
                        SUMIF(CÁLCULO!$BS$15:$CS$205,CRONO!AU$12,CÁLCULO!$AR$15:$BR$205)/(ORÇAMENTO!$X$15-_xlfn.single(CÁLCULO.TotalAdmLocal))*CRONO!$F43,
                        0),
                 AU42*$S41),
          SUMIF(OFFSET($S43,1,0,$R41-2),($M41+1)&amp;"$",OFFSET(AU43,1,0,$R41-2)))</f>
        <v>0</v>
      </c>
      <c r="AV43" s="439" t="n">
        <f aca="false" t="array" ref="AV43:AV43">IF($R41=2,
         IF(AND(ACOMPANHAMENTO="PLE",ISNUMBER($F41)),
                SUMIF((OFFSET(CÁLCULO!$BS$15:$CS$15,$F41,0,OFFSET(ORÇAMENTO!$D$15,CRONO!$F41,0))),CRONO!AV$12,OFFSET(CÁLCULO!$AR$15:$BR$15,$F41,0,OFFSET(ORÇAMENTO!$D$15,CRONO!$F41,0)))
                +IF(AND($F43&lt;&gt;"",$F43&lt;&gt;0),
                        SUMIF(CÁLCULO!$BS$15:$CS$205,CRONO!AV$12,CÁLCULO!$AR$15:$BR$205)/(ORÇAMENTO!$X$15-_xlfn.single(CÁLCULO.TotalAdmLocal))*CRONO!$F43,
                        0),
                 AV42*$S41),
          SUMIF(OFFSET($S43,1,0,$R41-2),($M41+1)&amp;"$",OFFSET(AV43,1,0,$R41-2)))</f>
        <v>0</v>
      </c>
      <c r="AW43" s="439" t="n">
        <f aca="false" t="array" ref="AW43:AW43">IF($R41=2,
         IF(AND(ACOMPANHAMENTO="PLE",ISNUMBER($F41)),
                SUMIF((OFFSET(CÁLCULO!$BS$15:$CS$15,$F41,0,OFFSET(ORÇAMENTO!$D$15,CRONO!$F41,0))),CRONO!AW$12,OFFSET(CÁLCULO!$AR$15:$BR$15,$F41,0,OFFSET(ORÇAMENTO!$D$15,CRONO!$F41,0)))
                +IF(AND($F43&lt;&gt;"",$F43&lt;&gt;0),
                        SUMIF(CÁLCULO!$BS$15:$CS$205,CRONO!AW$12,CÁLCULO!$AR$15:$BR$205)/(ORÇAMENTO!$X$15-_xlfn.single(CÁLCULO.TotalAdmLocal))*CRONO!$F43,
                        0),
                 AW42*$S41),
          SUMIF(OFFSET($S43,1,0,$R41-2),($M41+1)&amp;"$",OFFSET(AW43,1,0,$R41-2)))</f>
        <v>0</v>
      </c>
      <c r="AX43" s="439" t="n">
        <f aca="false" t="array" ref="AX43:AX43">IF($R41=2,
         IF(AND(ACOMPANHAMENTO="PLE",ISNUMBER($F41)),
                SUMIF((OFFSET(CÁLCULO!$BS$15:$CS$15,$F41,0,OFFSET(ORÇAMENTO!$D$15,CRONO!$F41,0))),CRONO!AX$12,OFFSET(CÁLCULO!$AR$15:$BR$15,$F41,0,OFFSET(ORÇAMENTO!$D$15,CRONO!$F41,0)))
                +IF(AND($F43&lt;&gt;"",$F43&lt;&gt;0),
                        SUMIF(CÁLCULO!$BS$15:$CS$205,CRONO!AX$12,CÁLCULO!$AR$15:$BR$205)/(ORÇAMENTO!$X$15-_xlfn.single(CÁLCULO.TotalAdmLocal))*CRONO!$F43,
                        0),
                 AX42*$S41),
          SUMIF(OFFSET($S43,1,0,$R41-2),($M41+1)&amp;"$",OFFSET(AX43,1,0,$R41-2)))</f>
        <v>0</v>
      </c>
      <c r="AY43" s="439" t="n">
        <f aca="false" t="array" ref="AY43:AY43">IF($R41=2,
         IF(AND(ACOMPANHAMENTO="PLE",ISNUMBER($F41)),
                SUMIF((OFFSET(CÁLCULO!$BS$15:$CS$15,$F41,0,OFFSET(ORÇAMENTO!$D$15,CRONO!$F41,0))),CRONO!AY$12,OFFSET(CÁLCULO!$AR$15:$BR$15,$F41,0,OFFSET(ORÇAMENTO!$D$15,CRONO!$F41,0)))
                +IF(AND($F43&lt;&gt;"",$F43&lt;&gt;0),
                        SUMIF(CÁLCULO!$BS$15:$CS$205,CRONO!AY$12,CÁLCULO!$AR$15:$BR$205)/(ORÇAMENTO!$X$15-_xlfn.single(CÁLCULO.TotalAdmLocal))*CRONO!$F43,
                        0),
                 AY42*$S41),
          SUMIF(OFFSET($S43,1,0,$R41-2),($M41+1)&amp;"$",OFFSET(AY43,1,0,$R41-2)))</f>
        <v>0</v>
      </c>
      <c r="AZ43" s="439" t="n">
        <f aca="false" t="array" ref="AZ43:AZ43">IF($R41=2,
         IF(AND(ACOMPANHAMENTO="PLE",ISNUMBER($F41)),
                SUMIF((OFFSET(CÁLCULO!$BS$15:$CS$15,$F41,0,OFFSET(ORÇAMENTO!$D$15,CRONO!$F41,0))),CRONO!AZ$12,OFFSET(CÁLCULO!$AR$15:$BR$15,$F41,0,OFFSET(ORÇAMENTO!$D$15,CRONO!$F41,0)))
                +IF(AND($F43&lt;&gt;"",$F43&lt;&gt;0),
                        SUMIF(CÁLCULO!$BS$15:$CS$205,CRONO!AZ$12,CÁLCULO!$AR$15:$BR$205)/(ORÇAMENTO!$X$15-_xlfn.single(CÁLCULO.TotalAdmLocal))*CRONO!$F43,
                        0),
                 AZ42*$S41),
          SUMIF(OFFSET($S43,1,0,$R41-2),($M41+1)&amp;"$",OFFSET(AZ43,1,0,$R41-2)))</f>
        <v>0</v>
      </c>
      <c r="BA43" s="439" t="n">
        <f aca="false" t="array" ref="BA43:BA43">IF($R41=2,
         IF(AND(ACOMPANHAMENTO="PLE",ISNUMBER($F41)),
                SUMIF((OFFSET(CÁLCULO!$BS$15:$CS$15,$F41,0,OFFSET(ORÇAMENTO!$D$15,CRONO!$F41,0))),CRONO!BA$12,OFFSET(CÁLCULO!$AR$15:$BR$15,$F41,0,OFFSET(ORÇAMENTO!$D$15,CRONO!$F41,0)))
                +IF(AND($F43&lt;&gt;"",$F43&lt;&gt;0),
                        SUMIF(CÁLCULO!$BS$15:$CS$205,CRONO!BA$12,CÁLCULO!$AR$15:$BR$205)/(ORÇAMENTO!$X$15-_xlfn.single(CÁLCULO.TotalAdmLocal))*CRONO!$F43,
                        0),
                 BA42*$S41),
          SUMIF(OFFSET($S43,1,0,$R41-2),($M41+1)&amp;"$",OFFSET(BA43,1,0,$R41-2)))</f>
        <v>0</v>
      </c>
      <c r="BB43" s="439" t="n">
        <f aca="false" t="array" ref="BB43:BB43">IF($R41=2,
         IF(AND(ACOMPANHAMENTO="PLE",ISNUMBER($F41)),
                SUMIF((OFFSET(CÁLCULO!$BS$15:$CS$15,$F41,0,OFFSET(ORÇAMENTO!$D$15,CRONO!$F41,0))),CRONO!BB$12,OFFSET(CÁLCULO!$AR$15:$BR$15,$F41,0,OFFSET(ORÇAMENTO!$D$15,CRONO!$F41,0)))
                +IF(AND($F43&lt;&gt;"",$F43&lt;&gt;0),
                        SUMIF(CÁLCULO!$BS$15:$CS$205,CRONO!BB$12,CÁLCULO!$AR$15:$BR$205)/(ORÇAMENTO!$X$15-_xlfn.single(CÁLCULO.TotalAdmLocal))*CRONO!$F43,
                        0),
                 BB42*$S41),
          SUMIF(OFFSET($S43,1,0,$R41-2),($M41+1)&amp;"$",OFFSET(BB43,1,0,$R41-2)))</f>
        <v>0</v>
      </c>
      <c r="BC43" s="439" t="n">
        <f aca="false" t="array" ref="BC43:BC43">IF($R41=2,
         IF(AND(ACOMPANHAMENTO="PLE",ISNUMBER($F41)),
                SUMIF((OFFSET(CÁLCULO!$BS$15:$CS$15,$F41,0,OFFSET(ORÇAMENTO!$D$15,CRONO!$F41,0))),CRONO!BC$12,OFFSET(CÁLCULO!$AR$15:$BR$15,$F41,0,OFFSET(ORÇAMENTO!$D$15,CRONO!$F41,0)))
                +IF(AND($F43&lt;&gt;"",$F43&lt;&gt;0),
                        SUMIF(CÁLCULO!$BS$15:$CS$205,CRONO!BC$12,CÁLCULO!$AR$15:$BR$205)/(ORÇAMENTO!$X$15-_xlfn.single(CÁLCULO.TotalAdmLocal))*CRONO!$F43,
                        0),
                 BC42*$S41),
          SUMIF(OFFSET($S43,1,0,$R41-2),($M41+1)&amp;"$",OFFSET(BC43,1,0,$R41-2)))</f>
        <v>0</v>
      </c>
      <c r="BD43" s="439" t="n">
        <f aca="false" t="array" ref="BD43:BD43">IF($R41=2,
         IF(AND(ACOMPANHAMENTO="PLE",ISNUMBER($F41)),
                SUMIF((OFFSET(CÁLCULO!$BS$15:$CS$15,$F41,0,OFFSET(ORÇAMENTO!$D$15,CRONO!$F41,0))),CRONO!BD$12,OFFSET(CÁLCULO!$AR$15:$BR$15,$F41,0,OFFSET(ORÇAMENTO!$D$15,CRONO!$F41,0)))
                +IF(AND($F43&lt;&gt;"",$F43&lt;&gt;0),
                        SUMIF(CÁLCULO!$BS$15:$CS$205,CRONO!BD$12,CÁLCULO!$AR$15:$BR$205)/(ORÇAMENTO!$X$15-_xlfn.single(CÁLCULO.TotalAdmLocal))*CRONO!$F43,
                        0),
                 BD42*$S41),
          SUMIF(OFFSET($S43,1,0,$R41-2),($M41+1)&amp;"$",OFFSET(BD43,1,0,$R41-2)))</f>
        <v>0</v>
      </c>
      <c r="BE43" s="430"/>
    </row>
    <row r="44" customFormat="false" ht="12.75" hidden="true" customHeight="false" outlineLevel="0" collapsed="false">
      <c r="A44" s="382" t="str">
        <f aca="false">IF($M44&gt;1,_xlfn.CONCAT($I44," ",$J44),"")</f>
        <v>1.10. PAREDES E PAINÉIS</v>
      </c>
      <c r="B44" s="419" t="n">
        <f aca="true">OFFSET(B44,-3,0)+1</f>
        <v>11</v>
      </c>
      <c r="C44" s="419" t="n">
        <f aca="true">IF($R44&lt;&gt;2,0,IF($S44=0,1,IF(F45&gt;0,OFFSET(QCI!$M$13,SUBSTITUTE(F45,".",""),0),OFFSET(ORÇAMENTO!$AA$15,CRONO!$F44,0))/$S44))</f>
        <v>1</v>
      </c>
      <c r="D44" s="419" t="n">
        <f aca="true">IF($R44&lt;&gt;2,0,IF($S44=0,1,IF(F45&gt;0,OFFSET(QCI!$N$13,SUBSTITUTE(F45,".",""),0),OFFSET(ORÇAMENTO!$AB$15,CRONO!$F44,0))/$S44))</f>
        <v>1</v>
      </c>
      <c r="E44" s="422" t="e">
        <f aca="false" t="array" ref="E44:E44">IF(AND($R44=2,ACOMPANHAMENTO="BM"),ROUND(E45,4),E46/$S44)</f>
        <v>#DIV/0!</v>
      </c>
      <c r="F44" s="419" t="n">
        <f aca="true">IF(B44&lt;=ORÇAMENTO.MáximoListaCrono,MATCH(B44,ORÇAMENTO.ListaCrono,0),NA())</f>
        <v>41</v>
      </c>
      <c r="G44" s="419" t="str">
        <f aca="false">IF(AND($F45&lt;&gt;-1,$S44&gt;0),"F","")</f>
        <v/>
      </c>
      <c r="H44" s="423" t="str">
        <f aca="false" t="array" ref="H44:H44">IF(OR(S44=0,S44=""),"Linha",IF(AND(OR(ACOMPANHAMENTO="PLE",$R44&lt;&gt;2),$F45=0),"Linha",ROUND(1-SUM(U44:BE44),4)))</f>
        <v>Linha</v>
      </c>
      <c r="I44" s="424" t="str">
        <f aca="true">IF($F45=0,OFFSET(ORÇAMENTO!O$15,$F44,0),IF($F45&lt;&gt;-1,OFFSET(QCI!$D$13,$F45,0),""))</f>
        <v>1.10.</v>
      </c>
      <c r="J44" s="425" t="str">
        <f aca="true">IF($F45=0,OFFSET(ORÇAMENTO!R$15,$F44,0),IF($F45&lt;&gt;-1,OFFSET(QCI!$G$13,$F45,0),""))</f>
        <v>PAREDES E PAINÉIS</v>
      </c>
      <c r="K44" s="425"/>
      <c r="L44" s="425"/>
      <c r="M44" s="426" t="n">
        <f aca="true">IF($F45=0,OFFSET(ORÇAMENTO!C$15,$F44,0),1)</f>
        <v>2</v>
      </c>
      <c r="N44" s="427" t="n">
        <f aca="true">IF($F45=-1,0,IF(N$13&lt;=$M44,IF(ISERROR(MATCH(N$13,OFFSET($M44,1,0,ROW($M$182)-ROW($M44)-1),0)),ROW($M$182)-ROW($M44)-1,MATCH(N$13,OFFSET($M44,1,0,ROW($M$182)-ROW($M44)-1),0)-1),0))</f>
        <v>137</v>
      </c>
      <c r="O44" s="427" t="n">
        <f aca="true">IF($F45=-1,0,IF(O$13&lt;=$M44,IF(ISERROR(MATCH(O$13,OFFSET($M44,1,0,ROW($M$182)-ROW($M44)-1),0)),ROW($M$182)-ROW($M44)-1,MATCH(O$13,OFFSET($M44,1,0,ROW($M$182)-ROW($M44)-1),0)-1),0))</f>
        <v>2</v>
      </c>
      <c r="P44" s="427" t="n">
        <f aca="true">IF($F45=-1,0,IF(P$13&lt;=$M44,IF(ISERROR(MATCH(P$13,OFFSET($M44,1,0,ROW($M$182)-ROW($M44)-1),0)),ROW($M$182)-ROW($M44)-1,MATCH(P$13,OFFSET($M44,1,0,ROW($M$182)-ROW($M44)-1),0)-1),0))</f>
        <v>0</v>
      </c>
      <c r="Q44" s="427" t="n">
        <f aca="true">IF($F45=-1,0,IF(Q$13&lt;=$M44,IF(ISERROR(MATCH(Q$13,OFFSET($M44,1,0,ROW($M$182)-ROW($M44)-1),0)),ROW($M$182)-ROW($M44)-1,MATCH(Q$13,OFFSET($M44,1,0,ROW($M$182)-ROW($M44)-1),0)-1),0))</f>
        <v>0</v>
      </c>
      <c r="R44" s="427" t="n">
        <f aca="true">MIN(OFFSET(M44,0,1,,M44))</f>
        <v>2</v>
      </c>
      <c r="S44" s="428" t="n">
        <f aca="true">IF($F45=0,OFFSET(ORÇAMENTO!X$15,$F44,0),IF($F45&lt;&gt;-1,OFFSET(QCI!$O$13,$F45,0),""))</f>
        <v>0</v>
      </c>
      <c r="T44" s="429" t="s">
        <v>996</v>
      </c>
      <c r="U44" s="422" t="e">
        <f aca="false" t="array" ref="U44:U44">IF(AND($R44=2,ACOMPANHAMENTO="BM"),ROUND(U45,4),U46/$S44)</f>
        <v>#DIV/0!</v>
      </c>
      <c r="V44" s="422" t="e">
        <f aca="false" t="array" ref="V44:V44">IF(AND($R44=2,ACOMPANHAMENTO="BM"),ROUND(V45,4),V46/$S44)</f>
        <v>#DIV/0!</v>
      </c>
      <c r="W44" s="422" t="e">
        <f aca="false" t="array" ref="W44:W44">IF(AND($R44=2,ACOMPANHAMENTO="BM"),ROUND(W45,4),W46/$S44)</f>
        <v>#DIV/0!</v>
      </c>
      <c r="X44" s="422" t="e">
        <f aca="false" t="array" ref="X44:X44">IF(AND($R44=2,ACOMPANHAMENTO="BM"),ROUND(X45,4),X46/$S44)</f>
        <v>#DIV/0!</v>
      </c>
      <c r="Y44" s="422" t="e">
        <f aca="false" t="array" ref="Y44:Y44">IF(AND($R44=2,ACOMPANHAMENTO="BM"),ROUND(Y45,4),Y46/$S44)</f>
        <v>#DIV/0!</v>
      </c>
      <c r="Z44" s="422" t="e">
        <f aca="false" t="array" ref="Z44:Z44">IF(AND($R44=2,ACOMPANHAMENTO="BM"),ROUND(Z45,4),Z46/$S44)</f>
        <v>#DIV/0!</v>
      </c>
      <c r="AA44" s="422" t="e">
        <f aca="false" t="array" ref="AA44:AA44">IF(AND($R44=2,ACOMPANHAMENTO="BM"),ROUND(AA45,4),AA46/$S44)</f>
        <v>#DIV/0!</v>
      </c>
      <c r="AB44" s="422" t="e">
        <f aca="false" t="array" ref="AB44:AB44">IF(AND($R44=2,ACOMPANHAMENTO="BM"),ROUND(AB45,4),AB46/$S44)</f>
        <v>#DIV/0!</v>
      </c>
      <c r="AC44" s="422" t="e">
        <f aca="false" t="array" ref="AC44:AC44">IF(AND($R44=2,ACOMPANHAMENTO="BM"),ROUND(AC45,4),AC46/$S44)</f>
        <v>#DIV/0!</v>
      </c>
      <c r="AD44" s="422" t="e">
        <f aca="false" t="array" ref="AD44:AD44">IF(AND($R44=2,ACOMPANHAMENTO="BM"),ROUND(AD45,4),AD46/$S44)</f>
        <v>#DIV/0!</v>
      </c>
      <c r="AE44" s="422" t="e">
        <f aca="false" t="array" ref="AE44:AE44">IF(AND($R44=2,ACOMPANHAMENTO="BM"),ROUND(AE45,4),AE46/$S44)</f>
        <v>#DIV/0!</v>
      </c>
      <c r="AF44" s="422" t="e">
        <f aca="false" t="array" ref="AF44:AF44">IF(AND($R44=2,ACOMPANHAMENTO="BM"),ROUND(AF45,4),AF46/$S44)</f>
        <v>#DIV/0!</v>
      </c>
      <c r="AG44" s="422" t="e">
        <f aca="false" t="array" ref="AG44:AG44">IF(AND($R44=2,ACOMPANHAMENTO="BM"),ROUND(AG45,4),AG46/$S44)</f>
        <v>#DIV/0!</v>
      </c>
      <c r="AH44" s="422" t="e">
        <f aca="false" t="array" ref="AH44:AH44">IF(AND($R44=2,ACOMPANHAMENTO="BM"),ROUND(AH45,4),AH46/$S44)</f>
        <v>#DIV/0!</v>
      </c>
      <c r="AI44" s="422" t="e">
        <f aca="false" t="array" ref="AI44:AI44">IF(AND($R44=2,ACOMPANHAMENTO="BM"),ROUND(AI45,4),AI46/$S44)</f>
        <v>#DIV/0!</v>
      </c>
      <c r="AJ44" s="422" t="e">
        <f aca="false" t="array" ref="AJ44:AJ44">IF(AND($R44=2,ACOMPANHAMENTO="BM"),ROUND(AJ45,4),AJ46/$S44)</f>
        <v>#DIV/0!</v>
      </c>
      <c r="AK44" s="422" t="e">
        <f aca="false" t="array" ref="AK44:AK44">IF(AND($R44=2,ACOMPANHAMENTO="BM"),ROUND(AK45,4),AK46/$S44)</f>
        <v>#DIV/0!</v>
      </c>
      <c r="AL44" s="422" t="e">
        <f aca="false" t="array" ref="AL44:AL44">IF(AND($R44=2,ACOMPANHAMENTO="BM"),ROUND(AL45,4),AL46/$S44)</f>
        <v>#DIV/0!</v>
      </c>
      <c r="AM44" s="422" t="e">
        <f aca="false" t="array" ref="AM44:AM44">IF(AND($R44=2,ACOMPANHAMENTO="BM"),ROUND(AM45,4),AM46/$S44)</f>
        <v>#DIV/0!</v>
      </c>
      <c r="AN44" s="422" t="e">
        <f aca="false" t="array" ref="AN44:AN44">IF(AND($R44=2,ACOMPANHAMENTO="BM"),ROUND(AN45,4),AN46/$S44)</f>
        <v>#DIV/0!</v>
      </c>
      <c r="AO44" s="422" t="e">
        <f aca="false" t="array" ref="AO44:AO44">IF(AND($R44=2,ACOMPANHAMENTO="BM"),ROUND(AO45,4),AO46/$S44)</f>
        <v>#DIV/0!</v>
      </c>
      <c r="AP44" s="422" t="e">
        <f aca="false" t="array" ref="AP44:AP44">IF(AND($R44=2,ACOMPANHAMENTO="BM"),ROUND(AP45,4),AP46/$S44)</f>
        <v>#DIV/0!</v>
      </c>
      <c r="AQ44" s="422" t="e">
        <f aca="false" t="array" ref="AQ44:AQ44">IF(AND($R44=2,ACOMPANHAMENTO="BM"),ROUND(AQ45,4),AQ46/$S44)</f>
        <v>#DIV/0!</v>
      </c>
      <c r="AR44" s="422" t="e">
        <f aca="false" t="array" ref="AR44:AR44">IF(AND($R44=2,ACOMPANHAMENTO="BM"),ROUND(AR45,4),AR46/$S44)</f>
        <v>#DIV/0!</v>
      </c>
      <c r="AS44" s="422" t="e">
        <f aca="false" t="array" ref="AS44:AS44">IF(AND($R44=2,ACOMPANHAMENTO="BM"),ROUND(AS45,4),AS46/$S44)</f>
        <v>#DIV/0!</v>
      </c>
      <c r="AT44" s="422" t="e">
        <f aca="false" t="array" ref="AT44:AT44">IF(AND($R44=2,ACOMPANHAMENTO="BM"),ROUND(AT45,4),AT46/$S44)</f>
        <v>#DIV/0!</v>
      </c>
      <c r="AU44" s="422" t="e">
        <f aca="false" t="array" ref="AU44:AU44">IF(AND($R44=2,ACOMPANHAMENTO="BM"),ROUND(AU45,4),AU46/$S44)</f>
        <v>#DIV/0!</v>
      </c>
      <c r="AV44" s="422" t="e">
        <f aca="false" t="array" ref="AV44:AV44">IF(AND($R44=2,ACOMPANHAMENTO="BM"),ROUND(AV45,4),AV46/$S44)</f>
        <v>#DIV/0!</v>
      </c>
      <c r="AW44" s="422" t="e">
        <f aca="false" t="array" ref="AW44:AW44">IF(AND($R44=2,ACOMPANHAMENTO="BM"),ROUND(AW45,4),AW46/$S44)</f>
        <v>#DIV/0!</v>
      </c>
      <c r="AX44" s="422" t="e">
        <f aca="false" t="array" ref="AX44:AX44">IF(AND($R44=2,ACOMPANHAMENTO="BM"),ROUND(AX45,4),AX46/$S44)</f>
        <v>#DIV/0!</v>
      </c>
      <c r="AY44" s="422" t="e">
        <f aca="false" t="array" ref="AY44:AY44">IF(AND($R44=2,ACOMPANHAMENTO="BM"),ROUND(AY45,4),AY46/$S44)</f>
        <v>#DIV/0!</v>
      </c>
      <c r="AZ44" s="422" t="e">
        <f aca="false" t="array" ref="AZ44:AZ44">IF(AND($R44=2,ACOMPANHAMENTO="BM"),ROUND(AZ45,4),AZ46/$S44)</f>
        <v>#DIV/0!</v>
      </c>
      <c r="BA44" s="422" t="e">
        <f aca="false" t="array" ref="BA44:BA44">IF(AND($R44=2,ACOMPANHAMENTO="BM"),ROUND(BA45,4),BA46/$S44)</f>
        <v>#DIV/0!</v>
      </c>
      <c r="BB44" s="422" t="e">
        <f aca="false" t="array" ref="BB44:BB44">IF(AND($R44=2,ACOMPANHAMENTO="BM"),ROUND(BB45,4),BB46/$S44)</f>
        <v>#DIV/0!</v>
      </c>
      <c r="BC44" s="422" t="e">
        <f aca="false" t="array" ref="BC44:BC44">IF(AND($R44=2,ACOMPANHAMENTO="BM"),ROUND(BC45,4),BC46/$S44)</f>
        <v>#DIV/0!</v>
      </c>
      <c r="BD44" s="422" t="e">
        <f aca="false" t="array" ref="BD44:BD44">IF(AND($R44=2,ACOMPANHAMENTO="BM"),ROUND(BD45,4),BD46/$S44)</f>
        <v>#DIV/0!</v>
      </c>
      <c r="BE44" s="430"/>
    </row>
    <row r="45" customFormat="false" ht="12.75" hidden="true" customHeight="true" outlineLevel="0" collapsed="false">
      <c r="E45" s="431"/>
      <c r="F45" s="419" t="n">
        <f aca="true">IF(ISERROR(F44),IF(1+COUNTIF($M$13:OFFSET(M44,-1,0),1)&lt;=MAX(QCI!$D$13:$D$15),1+COUNTIF($M$13:OFFSET(M44,-1,0),1),-1),0)</f>
        <v>0</v>
      </c>
      <c r="G45" s="419" t="str">
        <f aca="true" t="array" ref="G45:G45">IF(ACOMPANHAMENTO="BM",OFFSET(G45,-1,0),"")</f>
        <v/>
      </c>
      <c r="H45" s="432" t="str">
        <f aca="false" t="array" ref="H45:H45">IF(OR(S44=0,S44=""),"vazia",IF(AND(OR(ACOMPANHAMENTO="PLE",$R44&lt;&gt;2),$F45=0),"calculada","--&gt;"))</f>
        <v>vazia</v>
      </c>
      <c r="I45" s="433"/>
      <c r="J45" s="434" t="str">
        <f aca="false">IF(AND(H44&lt;&gt;0,ISNUMBER(H44)),"PREENCHA ESTA LINHA --&gt;","")</f>
        <v/>
      </c>
      <c r="K45" s="434"/>
      <c r="L45" s="434"/>
      <c r="M45" s="435"/>
      <c r="N45" s="435"/>
      <c r="O45" s="435"/>
      <c r="P45" s="435"/>
      <c r="Q45" s="435"/>
      <c r="R45" s="435"/>
      <c r="S45" s="436"/>
      <c r="T45" s="437"/>
      <c r="U45" s="431"/>
      <c r="V45" s="431"/>
      <c r="W45" s="431"/>
      <c r="X45" s="431"/>
      <c r="Y45" s="431"/>
      <c r="Z45" s="431"/>
      <c r="AA45" s="431"/>
      <c r="AB45" s="431"/>
      <c r="AC45" s="431"/>
      <c r="AD45" s="431"/>
      <c r="AE45" s="431"/>
      <c r="AF45" s="431"/>
      <c r="AG45" s="431"/>
      <c r="AH45" s="431"/>
      <c r="AI45" s="431"/>
      <c r="AJ45" s="431"/>
      <c r="AK45" s="431"/>
      <c r="AL45" s="431"/>
      <c r="AM45" s="431"/>
      <c r="AN45" s="431"/>
      <c r="AO45" s="431"/>
      <c r="AP45" s="431"/>
      <c r="AQ45" s="431"/>
      <c r="AR45" s="431"/>
      <c r="AS45" s="431"/>
      <c r="AT45" s="431"/>
      <c r="AU45" s="431"/>
      <c r="AV45" s="431"/>
      <c r="AW45" s="431"/>
      <c r="AX45" s="431"/>
      <c r="AY45" s="431"/>
      <c r="AZ45" s="431"/>
      <c r="BA45" s="431"/>
      <c r="BB45" s="431"/>
      <c r="BC45" s="431"/>
      <c r="BD45" s="431"/>
      <c r="BE45" s="430"/>
    </row>
    <row r="46" customFormat="false" ht="12.75" hidden="true" customHeight="true" outlineLevel="0" collapsed="false">
      <c r="D46" s="438"/>
      <c r="E46" s="439" t="n">
        <f aca="false" t="array" ref="E46:E46">IF($R44=2,
         IF(AND(ACOMPANHAMENTO="PLE",ISNUMBER($F44)),
                SUMIF((OFFSET(CÁLCULO!$BS$15:$CS$15,$F44,0,OFFSET(ORÇAMENTO!$D$15,CRONO!$F44,0))),CRONO!E$12,OFFSET(CÁLCULO!$AR$15:$BR$15,$F44,0,OFFSET(ORÇAMENTO!$D$15,CRONO!$F44,0)))
                +IF(AND($F46&lt;&gt;"",$F46&lt;&gt;0),
                        SUMIF(CÁLCULO!$BS$15:$CS$205,CRONO!E$12,CÁLCULO!$AR$15:$BR$205)/(ORÇAMENTO!$X$15-_xlfn.single(CÁLCULO.TotalAdmLocal))*CRONO!$F46,
                        0),
                 E45*$S44),
          SUMIF(OFFSET($S46,1,0,$R44-2),($M44+1)&amp;"$",OFFSET(E46,1,0,$R44-2)))</f>
        <v>0</v>
      </c>
      <c r="F46" s="419" t="str">
        <f aca="true">IF(OR($R44&lt;&gt;2,AUTOEVENTO&lt;&gt;"manual",$F45&gt;0),"",
        IF(Import.TipoArredondamento="Tradicional",
              SUMIF(OFFSET(CÁLCULO!$M$15,CRONO!$F44,0,OFFSET(ORÇAMENTO!$D$15,CRONO!$F44,0)),1,OFFSET(ORÇAMENTO!$X$15,CRONO!$F44,0,OFFSET(ORÇAMENTO!$D$15,CRONO!$F44,0))),
              0))</f>
        <v/>
      </c>
      <c r="H46" s="440"/>
      <c r="S46" s="441" t="str">
        <f aca="false">M44&amp;"$"</f>
        <v>2$</v>
      </c>
      <c r="T46" s="442"/>
      <c r="U46" s="439" t="n">
        <f aca="false" t="array" ref="U46:U46">IF($R44=2,
         IF(AND(ACOMPANHAMENTO="PLE",ISNUMBER($F44)),
                SUMIF((OFFSET(CÁLCULO!$BS$15:$CS$15,$F44,0,OFFSET(ORÇAMENTO!$D$15,CRONO!$F44,0))),CRONO!U$12,OFFSET(CÁLCULO!$AR$15:$BR$15,$F44,0,OFFSET(ORÇAMENTO!$D$15,CRONO!$F44,0)))
                +IF(AND($F46&lt;&gt;"",$F46&lt;&gt;0),
                        SUMIF(CÁLCULO!$BS$15:$CS$205,CRONO!U$12,CÁLCULO!$AR$15:$BR$205)/(ORÇAMENTO!$X$15-_xlfn.single(CÁLCULO.TotalAdmLocal))*CRONO!$F46,
                        0),
                 U45*$S44),
          SUMIF(OFFSET($S46,1,0,$R44-2),($M44+1)&amp;"$",OFFSET(U46,1,0,$R44-2)))</f>
        <v>0</v>
      </c>
      <c r="V46" s="439" t="n">
        <f aca="false" t="array" ref="V46:V46">IF($R44=2,
         IF(AND(ACOMPANHAMENTO="PLE",ISNUMBER($F44)),
                SUMIF((OFFSET(CÁLCULO!$BS$15:$CS$15,$F44,0,OFFSET(ORÇAMENTO!$D$15,CRONO!$F44,0))),CRONO!V$12,OFFSET(CÁLCULO!$AR$15:$BR$15,$F44,0,OFFSET(ORÇAMENTO!$D$15,CRONO!$F44,0)))
                +IF(AND($F46&lt;&gt;"",$F46&lt;&gt;0),
                        SUMIF(CÁLCULO!$BS$15:$CS$205,CRONO!V$12,CÁLCULO!$AR$15:$BR$205)/(ORÇAMENTO!$X$15-_xlfn.single(CÁLCULO.TotalAdmLocal))*CRONO!$F46,
                        0),
                 V45*$S44),
          SUMIF(OFFSET($S46,1,0,$R44-2),($M44+1)&amp;"$",OFFSET(V46,1,0,$R44-2)))</f>
        <v>0</v>
      </c>
      <c r="W46" s="439" t="n">
        <f aca="false" t="array" ref="W46:W46">IF($R44=2,
         IF(AND(ACOMPANHAMENTO="PLE",ISNUMBER($F44)),
                SUMIF((OFFSET(CÁLCULO!$BS$15:$CS$15,$F44,0,OFFSET(ORÇAMENTO!$D$15,CRONO!$F44,0))),CRONO!W$12,OFFSET(CÁLCULO!$AR$15:$BR$15,$F44,0,OFFSET(ORÇAMENTO!$D$15,CRONO!$F44,0)))
                +IF(AND($F46&lt;&gt;"",$F46&lt;&gt;0),
                        SUMIF(CÁLCULO!$BS$15:$CS$205,CRONO!W$12,CÁLCULO!$AR$15:$BR$205)/(ORÇAMENTO!$X$15-_xlfn.single(CÁLCULO.TotalAdmLocal))*CRONO!$F46,
                        0),
                 W45*$S44),
          SUMIF(OFFSET($S46,1,0,$R44-2),($M44+1)&amp;"$",OFFSET(W46,1,0,$R44-2)))</f>
        <v>0</v>
      </c>
      <c r="X46" s="439" t="n">
        <f aca="false" t="array" ref="X46:X46">IF($R44=2,
         IF(AND(ACOMPANHAMENTO="PLE",ISNUMBER($F44)),
                SUMIF((OFFSET(CÁLCULO!$BS$15:$CS$15,$F44,0,OFFSET(ORÇAMENTO!$D$15,CRONO!$F44,0))),CRONO!X$12,OFFSET(CÁLCULO!$AR$15:$BR$15,$F44,0,OFFSET(ORÇAMENTO!$D$15,CRONO!$F44,0)))
                +IF(AND($F46&lt;&gt;"",$F46&lt;&gt;0),
                        SUMIF(CÁLCULO!$BS$15:$CS$205,CRONO!X$12,CÁLCULO!$AR$15:$BR$205)/(ORÇAMENTO!$X$15-_xlfn.single(CÁLCULO.TotalAdmLocal))*CRONO!$F46,
                        0),
                 X45*$S44),
          SUMIF(OFFSET($S46,1,0,$R44-2),($M44+1)&amp;"$",OFFSET(X46,1,0,$R44-2)))</f>
        <v>0</v>
      </c>
      <c r="Y46" s="439" t="n">
        <f aca="false" t="array" ref="Y46:Y46">IF($R44=2,
         IF(AND(ACOMPANHAMENTO="PLE",ISNUMBER($F44)),
                SUMIF((OFFSET(CÁLCULO!$BS$15:$CS$15,$F44,0,OFFSET(ORÇAMENTO!$D$15,CRONO!$F44,0))),CRONO!Y$12,OFFSET(CÁLCULO!$AR$15:$BR$15,$F44,0,OFFSET(ORÇAMENTO!$D$15,CRONO!$F44,0)))
                +IF(AND($F46&lt;&gt;"",$F46&lt;&gt;0),
                        SUMIF(CÁLCULO!$BS$15:$CS$205,CRONO!Y$12,CÁLCULO!$AR$15:$BR$205)/(ORÇAMENTO!$X$15-_xlfn.single(CÁLCULO.TotalAdmLocal))*CRONO!$F46,
                        0),
                 Y45*$S44),
          SUMIF(OFFSET($S46,1,0,$R44-2),($M44+1)&amp;"$",OFFSET(Y46,1,0,$R44-2)))</f>
        <v>0</v>
      </c>
      <c r="Z46" s="439" t="n">
        <f aca="false" t="array" ref="Z46:Z46">IF($R44=2,
         IF(AND(ACOMPANHAMENTO="PLE",ISNUMBER($F44)),
                SUMIF((OFFSET(CÁLCULO!$BS$15:$CS$15,$F44,0,OFFSET(ORÇAMENTO!$D$15,CRONO!$F44,0))),CRONO!Z$12,OFFSET(CÁLCULO!$AR$15:$BR$15,$F44,0,OFFSET(ORÇAMENTO!$D$15,CRONO!$F44,0)))
                +IF(AND($F46&lt;&gt;"",$F46&lt;&gt;0),
                        SUMIF(CÁLCULO!$BS$15:$CS$205,CRONO!Z$12,CÁLCULO!$AR$15:$BR$205)/(ORÇAMENTO!$X$15-_xlfn.single(CÁLCULO.TotalAdmLocal))*CRONO!$F46,
                        0),
                 Z45*$S44),
          SUMIF(OFFSET($S46,1,0,$R44-2),($M44+1)&amp;"$",OFFSET(Z46,1,0,$R44-2)))</f>
        <v>0</v>
      </c>
      <c r="AA46" s="439" t="n">
        <f aca="false" t="array" ref="AA46:AA46">IF($R44=2,
         IF(AND(ACOMPANHAMENTO="PLE",ISNUMBER($F44)),
                SUMIF((OFFSET(CÁLCULO!$BS$15:$CS$15,$F44,0,OFFSET(ORÇAMENTO!$D$15,CRONO!$F44,0))),CRONO!AA$12,OFFSET(CÁLCULO!$AR$15:$BR$15,$F44,0,OFFSET(ORÇAMENTO!$D$15,CRONO!$F44,0)))
                +IF(AND($F46&lt;&gt;"",$F46&lt;&gt;0),
                        SUMIF(CÁLCULO!$BS$15:$CS$205,CRONO!AA$12,CÁLCULO!$AR$15:$BR$205)/(ORÇAMENTO!$X$15-_xlfn.single(CÁLCULO.TotalAdmLocal))*CRONO!$F46,
                        0),
                 AA45*$S44),
          SUMIF(OFFSET($S46,1,0,$R44-2),($M44+1)&amp;"$",OFFSET(AA46,1,0,$R44-2)))</f>
        <v>0</v>
      </c>
      <c r="AB46" s="439" t="n">
        <f aca="false" t="array" ref="AB46:AB46">IF($R44=2,
         IF(AND(ACOMPANHAMENTO="PLE",ISNUMBER($F44)),
                SUMIF((OFFSET(CÁLCULO!$BS$15:$CS$15,$F44,0,OFFSET(ORÇAMENTO!$D$15,CRONO!$F44,0))),CRONO!AB$12,OFFSET(CÁLCULO!$AR$15:$BR$15,$F44,0,OFFSET(ORÇAMENTO!$D$15,CRONO!$F44,0)))
                +IF(AND($F46&lt;&gt;"",$F46&lt;&gt;0),
                        SUMIF(CÁLCULO!$BS$15:$CS$205,CRONO!AB$12,CÁLCULO!$AR$15:$BR$205)/(ORÇAMENTO!$X$15-_xlfn.single(CÁLCULO.TotalAdmLocal))*CRONO!$F46,
                        0),
                 AB45*$S44),
          SUMIF(OFFSET($S46,1,0,$R44-2),($M44+1)&amp;"$",OFFSET(AB46,1,0,$R44-2)))</f>
        <v>0</v>
      </c>
      <c r="AC46" s="439" t="n">
        <f aca="false" t="array" ref="AC46:AC46">IF($R44=2,
         IF(AND(ACOMPANHAMENTO="PLE",ISNUMBER($F44)),
                SUMIF((OFFSET(CÁLCULO!$BS$15:$CS$15,$F44,0,OFFSET(ORÇAMENTO!$D$15,CRONO!$F44,0))),CRONO!AC$12,OFFSET(CÁLCULO!$AR$15:$BR$15,$F44,0,OFFSET(ORÇAMENTO!$D$15,CRONO!$F44,0)))
                +IF(AND($F46&lt;&gt;"",$F46&lt;&gt;0),
                        SUMIF(CÁLCULO!$BS$15:$CS$205,CRONO!AC$12,CÁLCULO!$AR$15:$BR$205)/(ORÇAMENTO!$X$15-_xlfn.single(CÁLCULO.TotalAdmLocal))*CRONO!$F46,
                        0),
                 AC45*$S44),
          SUMIF(OFFSET($S46,1,0,$R44-2),($M44+1)&amp;"$",OFFSET(AC46,1,0,$R44-2)))</f>
        <v>0</v>
      </c>
      <c r="AD46" s="439" t="n">
        <f aca="false" t="array" ref="AD46:AD46">IF($R44=2,
         IF(AND(ACOMPANHAMENTO="PLE",ISNUMBER($F44)),
                SUMIF((OFFSET(CÁLCULO!$BS$15:$CS$15,$F44,0,OFFSET(ORÇAMENTO!$D$15,CRONO!$F44,0))),CRONO!AD$12,OFFSET(CÁLCULO!$AR$15:$BR$15,$F44,0,OFFSET(ORÇAMENTO!$D$15,CRONO!$F44,0)))
                +IF(AND($F46&lt;&gt;"",$F46&lt;&gt;0),
                        SUMIF(CÁLCULO!$BS$15:$CS$205,CRONO!AD$12,CÁLCULO!$AR$15:$BR$205)/(ORÇAMENTO!$X$15-_xlfn.single(CÁLCULO.TotalAdmLocal))*CRONO!$F46,
                        0),
                 AD45*$S44),
          SUMIF(OFFSET($S46,1,0,$R44-2),($M44+1)&amp;"$",OFFSET(AD46,1,0,$R44-2)))</f>
        <v>0</v>
      </c>
      <c r="AE46" s="439" t="n">
        <f aca="false" t="array" ref="AE46:AE46">IF($R44=2,
         IF(AND(ACOMPANHAMENTO="PLE",ISNUMBER($F44)),
                SUMIF((OFFSET(CÁLCULO!$BS$15:$CS$15,$F44,0,OFFSET(ORÇAMENTO!$D$15,CRONO!$F44,0))),CRONO!AE$12,OFFSET(CÁLCULO!$AR$15:$BR$15,$F44,0,OFFSET(ORÇAMENTO!$D$15,CRONO!$F44,0)))
                +IF(AND($F46&lt;&gt;"",$F46&lt;&gt;0),
                        SUMIF(CÁLCULO!$BS$15:$CS$205,CRONO!AE$12,CÁLCULO!$AR$15:$BR$205)/(ORÇAMENTO!$X$15-_xlfn.single(CÁLCULO.TotalAdmLocal))*CRONO!$F46,
                        0),
                 AE45*$S44),
          SUMIF(OFFSET($S46,1,0,$R44-2),($M44+1)&amp;"$",OFFSET(AE46,1,0,$R44-2)))</f>
        <v>0</v>
      </c>
      <c r="AF46" s="439" t="n">
        <f aca="false" t="array" ref="AF46:AF46">IF($R44=2,
         IF(AND(ACOMPANHAMENTO="PLE",ISNUMBER($F44)),
                SUMIF((OFFSET(CÁLCULO!$BS$15:$CS$15,$F44,0,OFFSET(ORÇAMENTO!$D$15,CRONO!$F44,0))),CRONO!AF$12,OFFSET(CÁLCULO!$AR$15:$BR$15,$F44,0,OFFSET(ORÇAMENTO!$D$15,CRONO!$F44,0)))
                +IF(AND($F46&lt;&gt;"",$F46&lt;&gt;0),
                        SUMIF(CÁLCULO!$BS$15:$CS$205,CRONO!AF$12,CÁLCULO!$AR$15:$BR$205)/(ORÇAMENTO!$X$15-_xlfn.single(CÁLCULO.TotalAdmLocal))*CRONO!$F46,
                        0),
                 AF45*$S44),
          SUMIF(OFFSET($S46,1,0,$R44-2),($M44+1)&amp;"$",OFFSET(AF46,1,0,$R44-2)))</f>
        <v>0</v>
      </c>
      <c r="AG46" s="439" t="n">
        <f aca="false" t="array" ref="AG46:AG46">IF($R44=2,
         IF(AND(ACOMPANHAMENTO="PLE",ISNUMBER($F44)),
                SUMIF((OFFSET(CÁLCULO!$BS$15:$CS$15,$F44,0,OFFSET(ORÇAMENTO!$D$15,CRONO!$F44,0))),CRONO!AG$12,OFFSET(CÁLCULO!$AR$15:$BR$15,$F44,0,OFFSET(ORÇAMENTO!$D$15,CRONO!$F44,0)))
                +IF(AND($F46&lt;&gt;"",$F46&lt;&gt;0),
                        SUMIF(CÁLCULO!$BS$15:$CS$205,CRONO!AG$12,CÁLCULO!$AR$15:$BR$205)/(ORÇAMENTO!$X$15-_xlfn.single(CÁLCULO.TotalAdmLocal))*CRONO!$F46,
                        0),
                 AG45*$S44),
          SUMIF(OFFSET($S46,1,0,$R44-2),($M44+1)&amp;"$",OFFSET(AG46,1,0,$R44-2)))</f>
        <v>0</v>
      </c>
      <c r="AH46" s="439" t="n">
        <f aca="false" t="array" ref="AH46:AH46">IF($R44=2,
         IF(AND(ACOMPANHAMENTO="PLE",ISNUMBER($F44)),
                SUMIF((OFFSET(CÁLCULO!$BS$15:$CS$15,$F44,0,OFFSET(ORÇAMENTO!$D$15,CRONO!$F44,0))),CRONO!AH$12,OFFSET(CÁLCULO!$AR$15:$BR$15,$F44,0,OFFSET(ORÇAMENTO!$D$15,CRONO!$F44,0)))
                +IF(AND($F46&lt;&gt;"",$F46&lt;&gt;0),
                        SUMIF(CÁLCULO!$BS$15:$CS$205,CRONO!AH$12,CÁLCULO!$AR$15:$BR$205)/(ORÇAMENTO!$X$15-_xlfn.single(CÁLCULO.TotalAdmLocal))*CRONO!$F46,
                        0),
                 AH45*$S44),
          SUMIF(OFFSET($S46,1,0,$R44-2),($M44+1)&amp;"$",OFFSET(AH46,1,0,$R44-2)))</f>
        <v>0</v>
      </c>
      <c r="AI46" s="439" t="n">
        <f aca="false" t="array" ref="AI46:AI46">IF($R44=2,
         IF(AND(ACOMPANHAMENTO="PLE",ISNUMBER($F44)),
                SUMIF((OFFSET(CÁLCULO!$BS$15:$CS$15,$F44,0,OFFSET(ORÇAMENTO!$D$15,CRONO!$F44,0))),CRONO!AI$12,OFFSET(CÁLCULO!$AR$15:$BR$15,$F44,0,OFFSET(ORÇAMENTO!$D$15,CRONO!$F44,0)))
                +IF(AND($F46&lt;&gt;"",$F46&lt;&gt;0),
                        SUMIF(CÁLCULO!$BS$15:$CS$205,CRONO!AI$12,CÁLCULO!$AR$15:$BR$205)/(ORÇAMENTO!$X$15-_xlfn.single(CÁLCULO.TotalAdmLocal))*CRONO!$F46,
                        0),
                 AI45*$S44),
          SUMIF(OFFSET($S46,1,0,$R44-2),($M44+1)&amp;"$",OFFSET(AI46,1,0,$R44-2)))</f>
        <v>0</v>
      </c>
      <c r="AJ46" s="439" t="n">
        <f aca="false" t="array" ref="AJ46:AJ46">IF($R44=2,
         IF(AND(ACOMPANHAMENTO="PLE",ISNUMBER($F44)),
                SUMIF((OFFSET(CÁLCULO!$BS$15:$CS$15,$F44,0,OFFSET(ORÇAMENTO!$D$15,CRONO!$F44,0))),CRONO!AJ$12,OFFSET(CÁLCULO!$AR$15:$BR$15,$F44,0,OFFSET(ORÇAMENTO!$D$15,CRONO!$F44,0)))
                +IF(AND($F46&lt;&gt;"",$F46&lt;&gt;0),
                        SUMIF(CÁLCULO!$BS$15:$CS$205,CRONO!AJ$12,CÁLCULO!$AR$15:$BR$205)/(ORÇAMENTO!$X$15-_xlfn.single(CÁLCULO.TotalAdmLocal))*CRONO!$F46,
                        0),
                 AJ45*$S44),
          SUMIF(OFFSET($S46,1,0,$R44-2),($M44+1)&amp;"$",OFFSET(AJ46,1,0,$R44-2)))</f>
        <v>0</v>
      </c>
      <c r="AK46" s="439" t="n">
        <f aca="false" t="array" ref="AK46:AK46">IF($R44=2,
         IF(AND(ACOMPANHAMENTO="PLE",ISNUMBER($F44)),
                SUMIF((OFFSET(CÁLCULO!$BS$15:$CS$15,$F44,0,OFFSET(ORÇAMENTO!$D$15,CRONO!$F44,0))),CRONO!AK$12,OFFSET(CÁLCULO!$AR$15:$BR$15,$F44,0,OFFSET(ORÇAMENTO!$D$15,CRONO!$F44,0)))
                +IF(AND($F46&lt;&gt;"",$F46&lt;&gt;0),
                        SUMIF(CÁLCULO!$BS$15:$CS$205,CRONO!AK$12,CÁLCULO!$AR$15:$BR$205)/(ORÇAMENTO!$X$15-_xlfn.single(CÁLCULO.TotalAdmLocal))*CRONO!$F46,
                        0),
                 AK45*$S44),
          SUMIF(OFFSET($S46,1,0,$R44-2),($M44+1)&amp;"$",OFFSET(AK46,1,0,$R44-2)))</f>
        <v>0</v>
      </c>
      <c r="AL46" s="439" t="n">
        <f aca="false" t="array" ref="AL46:AL46">IF($R44=2,
         IF(AND(ACOMPANHAMENTO="PLE",ISNUMBER($F44)),
                SUMIF((OFFSET(CÁLCULO!$BS$15:$CS$15,$F44,0,OFFSET(ORÇAMENTO!$D$15,CRONO!$F44,0))),CRONO!AL$12,OFFSET(CÁLCULO!$AR$15:$BR$15,$F44,0,OFFSET(ORÇAMENTO!$D$15,CRONO!$F44,0)))
                +IF(AND($F46&lt;&gt;"",$F46&lt;&gt;0),
                        SUMIF(CÁLCULO!$BS$15:$CS$205,CRONO!AL$12,CÁLCULO!$AR$15:$BR$205)/(ORÇAMENTO!$X$15-_xlfn.single(CÁLCULO.TotalAdmLocal))*CRONO!$F46,
                        0),
                 AL45*$S44),
          SUMIF(OFFSET($S46,1,0,$R44-2),($M44+1)&amp;"$",OFFSET(AL46,1,0,$R44-2)))</f>
        <v>0</v>
      </c>
      <c r="AM46" s="439" t="n">
        <f aca="false" t="array" ref="AM46:AM46">IF($R44=2,
         IF(AND(ACOMPANHAMENTO="PLE",ISNUMBER($F44)),
                SUMIF((OFFSET(CÁLCULO!$BS$15:$CS$15,$F44,0,OFFSET(ORÇAMENTO!$D$15,CRONO!$F44,0))),CRONO!AM$12,OFFSET(CÁLCULO!$AR$15:$BR$15,$F44,0,OFFSET(ORÇAMENTO!$D$15,CRONO!$F44,0)))
                +IF(AND($F46&lt;&gt;"",$F46&lt;&gt;0),
                        SUMIF(CÁLCULO!$BS$15:$CS$205,CRONO!AM$12,CÁLCULO!$AR$15:$BR$205)/(ORÇAMENTO!$X$15-_xlfn.single(CÁLCULO.TotalAdmLocal))*CRONO!$F46,
                        0),
                 AM45*$S44),
          SUMIF(OFFSET($S46,1,0,$R44-2),($M44+1)&amp;"$",OFFSET(AM46,1,0,$R44-2)))</f>
        <v>0</v>
      </c>
      <c r="AN46" s="439" t="n">
        <f aca="false" t="array" ref="AN46:AN46">IF($R44=2,
         IF(AND(ACOMPANHAMENTO="PLE",ISNUMBER($F44)),
                SUMIF((OFFSET(CÁLCULO!$BS$15:$CS$15,$F44,0,OFFSET(ORÇAMENTO!$D$15,CRONO!$F44,0))),CRONO!AN$12,OFFSET(CÁLCULO!$AR$15:$BR$15,$F44,0,OFFSET(ORÇAMENTO!$D$15,CRONO!$F44,0)))
                +IF(AND($F46&lt;&gt;"",$F46&lt;&gt;0),
                        SUMIF(CÁLCULO!$BS$15:$CS$205,CRONO!AN$12,CÁLCULO!$AR$15:$BR$205)/(ORÇAMENTO!$X$15-_xlfn.single(CÁLCULO.TotalAdmLocal))*CRONO!$F46,
                        0),
                 AN45*$S44),
          SUMIF(OFFSET($S46,1,0,$R44-2),($M44+1)&amp;"$",OFFSET(AN46,1,0,$R44-2)))</f>
        <v>0</v>
      </c>
      <c r="AO46" s="439" t="n">
        <f aca="false" t="array" ref="AO46:AO46">IF($R44=2,
         IF(AND(ACOMPANHAMENTO="PLE",ISNUMBER($F44)),
                SUMIF((OFFSET(CÁLCULO!$BS$15:$CS$15,$F44,0,OFFSET(ORÇAMENTO!$D$15,CRONO!$F44,0))),CRONO!AO$12,OFFSET(CÁLCULO!$AR$15:$BR$15,$F44,0,OFFSET(ORÇAMENTO!$D$15,CRONO!$F44,0)))
                +IF(AND($F46&lt;&gt;"",$F46&lt;&gt;0),
                        SUMIF(CÁLCULO!$BS$15:$CS$205,CRONO!AO$12,CÁLCULO!$AR$15:$BR$205)/(ORÇAMENTO!$X$15-_xlfn.single(CÁLCULO.TotalAdmLocal))*CRONO!$F46,
                        0),
                 AO45*$S44),
          SUMIF(OFFSET($S46,1,0,$R44-2),($M44+1)&amp;"$",OFFSET(AO46,1,0,$R44-2)))</f>
        <v>0</v>
      </c>
      <c r="AP46" s="439" t="n">
        <f aca="false" t="array" ref="AP46:AP46">IF($R44=2,
         IF(AND(ACOMPANHAMENTO="PLE",ISNUMBER($F44)),
                SUMIF((OFFSET(CÁLCULO!$BS$15:$CS$15,$F44,0,OFFSET(ORÇAMENTO!$D$15,CRONO!$F44,0))),CRONO!AP$12,OFFSET(CÁLCULO!$AR$15:$BR$15,$F44,0,OFFSET(ORÇAMENTO!$D$15,CRONO!$F44,0)))
                +IF(AND($F46&lt;&gt;"",$F46&lt;&gt;0),
                        SUMIF(CÁLCULO!$BS$15:$CS$205,CRONO!AP$12,CÁLCULO!$AR$15:$BR$205)/(ORÇAMENTO!$X$15-_xlfn.single(CÁLCULO.TotalAdmLocal))*CRONO!$F46,
                        0),
                 AP45*$S44),
          SUMIF(OFFSET($S46,1,0,$R44-2),($M44+1)&amp;"$",OFFSET(AP46,1,0,$R44-2)))</f>
        <v>0</v>
      </c>
      <c r="AQ46" s="439" t="n">
        <f aca="false" t="array" ref="AQ46:AQ46">IF($R44=2,
         IF(AND(ACOMPANHAMENTO="PLE",ISNUMBER($F44)),
                SUMIF((OFFSET(CÁLCULO!$BS$15:$CS$15,$F44,0,OFFSET(ORÇAMENTO!$D$15,CRONO!$F44,0))),CRONO!AQ$12,OFFSET(CÁLCULO!$AR$15:$BR$15,$F44,0,OFFSET(ORÇAMENTO!$D$15,CRONO!$F44,0)))
                +IF(AND($F46&lt;&gt;"",$F46&lt;&gt;0),
                        SUMIF(CÁLCULO!$BS$15:$CS$205,CRONO!AQ$12,CÁLCULO!$AR$15:$BR$205)/(ORÇAMENTO!$X$15-_xlfn.single(CÁLCULO.TotalAdmLocal))*CRONO!$F46,
                        0),
                 AQ45*$S44),
          SUMIF(OFFSET($S46,1,0,$R44-2),($M44+1)&amp;"$",OFFSET(AQ46,1,0,$R44-2)))</f>
        <v>0</v>
      </c>
      <c r="AR46" s="439" t="n">
        <f aca="false" t="array" ref="AR46:AR46">IF($R44=2,
         IF(AND(ACOMPANHAMENTO="PLE",ISNUMBER($F44)),
                SUMIF((OFFSET(CÁLCULO!$BS$15:$CS$15,$F44,0,OFFSET(ORÇAMENTO!$D$15,CRONO!$F44,0))),CRONO!AR$12,OFFSET(CÁLCULO!$AR$15:$BR$15,$F44,0,OFFSET(ORÇAMENTO!$D$15,CRONO!$F44,0)))
                +IF(AND($F46&lt;&gt;"",$F46&lt;&gt;0),
                        SUMIF(CÁLCULO!$BS$15:$CS$205,CRONO!AR$12,CÁLCULO!$AR$15:$BR$205)/(ORÇAMENTO!$X$15-_xlfn.single(CÁLCULO.TotalAdmLocal))*CRONO!$F46,
                        0),
                 AR45*$S44),
          SUMIF(OFFSET($S46,1,0,$R44-2),($M44+1)&amp;"$",OFFSET(AR46,1,0,$R44-2)))</f>
        <v>0</v>
      </c>
      <c r="AS46" s="439" t="n">
        <f aca="false" t="array" ref="AS46:AS46">IF($R44=2,
         IF(AND(ACOMPANHAMENTO="PLE",ISNUMBER($F44)),
                SUMIF((OFFSET(CÁLCULO!$BS$15:$CS$15,$F44,0,OFFSET(ORÇAMENTO!$D$15,CRONO!$F44,0))),CRONO!AS$12,OFFSET(CÁLCULO!$AR$15:$BR$15,$F44,0,OFFSET(ORÇAMENTO!$D$15,CRONO!$F44,0)))
                +IF(AND($F46&lt;&gt;"",$F46&lt;&gt;0),
                        SUMIF(CÁLCULO!$BS$15:$CS$205,CRONO!AS$12,CÁLCULO!$AR$15:$BR$205)/(ORÇAMENTO!$X$15-_xlfn.single(CÁLCULO.TotalAdmLocal))*CRONO!$F46,
                        0),
                 AS45*$S44),
          SUMIF(OFFSET($S46,1,0,$R44-2),($M44+1)&amp;"$",OFFSET(AS46,1,0,$R44-2)))</f>
        <v>0</v>
      </c>
      <c r="AT46" s="439" t="n">
        <f aca="false" t="array" ref="AT46:AT46">IF($R44=2,
         IF(AND(ACOMPANHAMENTO="PLE",ISNUMBER($F44)),
                SUMIF((OFFSET(CÁLCULO!$BS$15:$CS$15,$F44,0,OFFSET(ORÇAMENTO!$D$15,CRONO!$F44,0))),CRONO!AT$12,OFFSET(CÁLCULO!$AR$15:$BR$15,$F44,0,OFFSET(ORÇAMENTO!$D$15,CRONO!$F44,0)))
                +IF(AND($F46&lt;&gt;"",$F46&lt;&gt;0),
                        SUMIF(CÁLCULO!$BS$15:$CS$205,CRONO!AT$12,CÁLCULO!$AR$15:$BR$205)/(ORÇAMENTO!$X$15-_xlfn.single(CÁLCULO.TotalAdmLocal))*CRONO!$F46,
                        0),
                 AT45*$S44),
          SUMIF(OFFSET($S46,1,0,$R44-2),($M44+1)&amp;"$",OFFSET(AT46,1,0,$R44-2)))</f>
        <v>0</v>
      </c>
      <c r="AU46" s="439" t="n">
        <f aca="false" t="array" ref="AU46:AU46">IF($R44=2,
         IF(AND(ACOMPANHAMENTO="PLE",ISNUMBER($F44)),
                SUMIF((OFFSET(CÁLCULO!$BS$15:$CS$15,$F44,0,OFFSET(ORÇAMENTO!$D$15,CRONO!$F44,0))),CRONO!AU$12,OFFSET(CÁLCULO!$AR$15:$BR$15,$F44,0,OFFSET(ORÇAMENTO!$D$15,CRONO!$F44,0)))
                +IF(AND($F46&lt;&gt;"",$F46&lt;&gt;0),
                        SUMIF(CÁLCULO!$BS$15:$CS$205,CRONO!AU$12,CÁLCULO!$AR$15:$BR$205)/(ORÇAMENTO!$X$15-_xlfn.single(CÁLCULO.TotalAdmLocal))*CRONO!$F46,
                        0),
                 AU45*$S44),
          SUMIF(OFFSET($S46,1,0,$R44-2),($M44+1)&amp;"$",OFFSET(AU46,1,0,$R44-2)))</f>
        <v>0</v>
      </c>
      <c r="AV46" s="439" t="n">
        <f aca="false" t="array" ref="AV46:AV46">IF($R44=2,
         IF(AND(ACOMPANHAMENTO="PLE",ISNUMBER($F44)),
                SUMIF((OFFSET(CÁLCULO!$BS$15:$CS$15,$F44,0,OFFSET(ORÇAMENTO!$D$15,CRONO!$F44,0))),CRONO!AV$12,OFFSET(CÁLCULO!$AR$15:$BR$15,$F44,0,OFFSET(ORÇAMENTO!$D$15,CRONO!$F44,0)))
                +IF(AND($F46&lt;&gt;"",$F46&lt;&gt;0),
                        SUMIF(CÁLCULO!$BS$15:$CS$205,CRONO!AV$12,CÁLCULO!$AR$15:$BR$205)/(ORÇAMENTO!$X$15-_xlfn.single(CÁLCULO.TotalAdmLocal))*CRONO!$F46,
                        0),
                 AV45*$S44),
          SUMIF(OFFSET($S46,1,0,$R44-2),($M44+1)&amp;"$",OFFSET(AV46,1,0,$R44-2)))</f>
        <v>0</v>
      </c>
      <c r="AW46" s="439" t="n">
        <f aca="false" t="array" ref="AW46:AW46">IF($R44=2,
         IF(AND(ACOMPANHAMENTO="PLE",ISNUMBER($F44)),
                SUMIF((OFFSET(CÁLCULO!$BS$15:$CS$15,$F44,0,OFFSET(ORÇAMENTO!$D$15,CRONO!$F44,0))),CRONO!AW$12,OFFSET(CÁLCULO!$AR$15:$BR$15,$F44,0,OFFSET(ORÇAMENTO!$D$15,CRONO!$F44,0)))
                +IF(AND($F46&lt;&gt;"",$F46&lt;&gt;0),
                        SUMIF(CÁLCULO!$BS$15:$CS$205,CRONO!AW$12,CÁLCULO!$AR$15:$BR$205)/(ORÇAMENTO!$X$15-_xlfn.single(CÁLCULO.TotalAdmLocal))*CRONO!$F46,
                        0),
                 AW45*$S44),
          SUMIF(OFFSET($S46,1,0,$R44-2),($M44+1)&amp;"$",OFFSET(AW46,1,0,$R44-2)))</f>
        <v>0</v>
      </c>
      <c r="AX46" s="439" t="n">
        <f aca="false" t="array" ref="AX46:AX46">IF($R44=2,
         IF(AND(ACOMPANHAMENTO="PLE",ISNUMBER($F44)),
                SUMIF((OFFSET(CÁLCULO!$BS$15:$CS$15,$F44,0,OFFSET(ORÇAMENTO!$D$15,CRONO!$F44,0))),CRONO!AX$12,OFFSET(CÁLCULO!$AR$15:$BR$15,$F44,0,OFFSET(ORÇAMENTO!$D$15,CRONO!$F44,0)))
                +IF(AND($F46&lt;&gt;"",$F46&lt;&gt;0),
                        SUMIF(CÁLCULO!$BS$15:$CS$205,CRONO!AX$12,CÁLCULO!$AR$15:$BR$205)/(ORÇAMENTO!$X$15-_xlfn.single(CÁLCULO.TotalAdmLocal))*CRONO!$F46,
                        0),
                 AX45*$S44),
          SUMIF(OFFSET($S46,1,0,$R44-2),($M44+1)&amp;"$",OFFSET(AX46,1,0,$R44-2)))</f>
        <v>0</v>
      </c>
      <c r="AY46" s="439" t="n">
        <f aca="false" t="array" ref="AY46:AY46">IF($R44=2,
         IF(AND(ACOMPANHAMENTO="PLE",ISNUMBER($F44)),
                SUMIF((OFFSET(CÁLCULO!$BS$15:$CS$15,$F44,0,OFFSET(ORÇAMENTO!$D$15,CRONO!$F44,0))),CRONO!AY$12,OFFSET(CÁLCULO!$AR$15:$BR$15,$F44,0,OFFSET(ORÇAMENTO!$D$15,CRONO!$F44,0)))
                +IF(AND($F46&lt;&gt;"",$F46&lt;&gt;0),
                        SUMIF(CÁLCULO!$BS$15:$CS$205,CRONO!AY$12,CÁLCULO!$AR$15:$BR$205)/(ORÇAMENTO!$X$15-_xlfn.single(CÁLCULO.TotalAdmLocal))*CRONO!$F46,
                        0),
                 AY45*$S44),
          SUMIF(OFFSET($S46,1,0,$R44-2),($M44+1)&amp;"$",OFFSET(AY46,1,0,$R44-2)))</f>
        <v>0</v>
      </c>
      <c r="AZ46" s="439" t="n">
        <f aca="false" t="array" ref="AZ46:AZ46">IF($R44=2,
         IF(AND(ACOMPANHAMENTO="PLE",ISNUMBER($F44)),
                SUMIF((OFFSET(CÁLCULO!$BS$15:$CS$15,$F44,0,OFFSET(ORÇAMENTO!$D$15,CRONO!$F44,0))),CRONO!AZ$12,OFFSET(CÁLCULO!$AR$15:$BR$15,$F44,0,OFFSET(ORÇAMENTO!$D$15,CRONO!$F44,0)))
                +IF(AND($F46&lt;&gt;"",$F46&lt;&gt;0),
                        SUMIF(CÁLCULO!$BS$15:$CS$205,CRONO!AZ$12,CÁLCULO!$AR$15:$BR$205)/(ORÇAMENTO!$X$15-_xlfn.single(CÁLCULO.TotalAdmLocal))*CRONO!$F46,
                        0),
                 AZ45*$S44),
          SUMIF(OFFSET($S46,1,0,$R44-2),($M44+1)&amp;"$",OFFSET(AZ46,1,0,$R44-2)))</f>
        <v>0</v>
      </c>
      <c r="BA46" s="439" t="n">
        <f aca="false" t="array" ref="BA46:BA46">IF($R44=2,
         IF(AND(ACOMPANHAMENTO="PLE",ISNUMBER($F44)),
                SUMIF((OFFSET(CÁLCULO!$BS$15:$CS$15,$F44,0,OFFSET(ORÇAMENTO!$D$15,CRONO!$F44,0))),CRONO!BA$12,OFFSET(CÁLCULO!$AR$15:$BR$15,$F44,0,OFFSET(ORÇAMENTO!$D$15,CRONO!$F44,0)))
                +IF(AND($F46&lt;&gt;"",$F46&lt;&gt;0),
                        SUMIF(CÁLCULO!$BS$15:$CS$205,CRONO!BA$12,CÁLCULO!$AR$15:$BR$205)/(ORÇAMENTO!$X$15-_xlfn.single(CÁLCULO.TotalAdmLocal))*CRONO!$F46,
                        0),
                 BA45*$S44),
          SUMIF(OFFSET($S46,1,0,$R44-2),($M44+1)&amp;"$",OFFSET(BA46,1,0,$R44-2)))</f>
        <v>0</v>
      </c>
      <c r="BB46" s="439" t="n">
        <f aca="false" t="array" ref="BB46:BB46">IF($R44=2,
         IF(AND(ACOMPANHAMENTO="PLE",ISNUMBER($F44)),
                SUMIF((OFFSET(CÁLCULO!$BS$15:$CS$15,$F44,0,OFFSET(ORÇAMENTO!$D$15,CRONO!$F44,0))),CRONO!BB$12,OFFSET(CÁLCULO!$AR$15:$BR$15,$F44,0,OFFSET(ORÇAMENTO!$D$15,CRONO!$F44,0)))
                +IF(AND($F46&lt;&gt;"",$F46&lt;&gt;0),
                        SUMIF(CÁLCULO!$BS$15:$CS$205,CRONO!BB$12,CÁLCULO!$AR$15:$BR$205)/(ORÇAMENTO!$X$15-_xlfn.single(CÁLCULO.TotalAdmLocal))*CRONO!$F46,
                        0),
                 BB45*$S44),
          SUMIF(OFFSET($S46,1,0,$R44-2),($M44+1)&amp;"$",OFFSET(BB46,1,0,$R44-2)))</f>
        <v>0</v>
      </c>
      <c r="BC46" s="439" t="n">
        <f aca="false" t="array" ref="BC46:BC46">IF($R44=2,
         IF(AND(ACOMPANHAMENTO="PLE",ISNUMBER($F44)),
                SUMIF((OFFSET(CÁLCULO!$BS$15:$CS$15,$F44,0,OFFSET(ORÇAMENTO!$D$15,CRONO!$F44,0))),CRONO!BC$12,OFFSET(CÁLCULO!$AR$15:$BR$15,$F44,0,OFFSET(ORÇAMENTO!$D$15,CRONO!$F44,0)))
                +IF(AND($F46&lt;&gt;"",$F46&lt;&gt;0),
                        SUMIF(CÁLCULO!$BS$15:$CS$205,CRONO!BC$12,CÁLCULO!$AR$15:$BR$205)/(ORÇAMENTO!$X$15-_xlfn.single(CÁLCULO.TotalAdmLocal))*CRONO!$F46,
                        0),
                 BC45*$S44),
          SUMIF(OFFSET($S46,1,0,$R44-2),($M44+1)&amp;"$",OFFSET(BC46,1,0,$R44-2)))</f>
        <v>0</v>
      </c>
      <c r="BD46" s="439" t="n">
        <f aca="false" t="array" ref="BD46:BD46">IF($R44=2,
         IF(AND(ACOMPANHAMENTO="PLE",ISNUMBER($F44)),
                SUMIF((OFFSET(CÁLCULO!$BS$15:$CS$15,$F44,0,OFFSET(ORÇAMENTO!$D$15,CRONO!$F44,0))),CRONO!BD$12,OFFSET(CÁLCULO!$AR$15:$BR$15,$F44,0,OFFSET(ORÇAMENTO!$D$15,CRONO!$F44,0)))
                +IF(AND($F46&lt;&gt;"",$F46&lt;&gt;0),
                        SUMIF(CÁLCULO!$BS$15:$CS$205,CRONO!BD$12,CÁLCULO!$AR$15:$BR$205)/(ORÇAMENTO!$X$15-_xlfn.single(CÁLCULO.TotalAdmLocal))*CRONO!$F46,
                        0),
                 BD45*$S44),
          SUMIF(OFFSET($S46,1,0,$R44-2),($M44+1)&amp;"$",OFFSET(BD46,1,0,$R44-2)))</f>
        <v>0</v>
      </c>
      <c r="BE46" s="430"/>
    </row>
    <row r="47" customFormat="false" ht="12.75" hidden="false" customHeight="false" outlineLevel="0" collapsed="false">
      <c r="A47" s="382" t="str">
        <f aca="false">IF($M47&gt;1,_xlfn.CONCAT($I47," ",$J47),"")</f>
        <v>1.11. ALVENARIA/FECHAMENTOS</v>
      </c>
      <c r="B47" s="419" t="n">
        <f aca="true">OFFSET(B47,-3,0)+1</f>
        <v>12</v>
      </c>
      <c r="C47" s="419" t="n">
        <f aca="true">IF($R47&lt;&gt;2,0,IF($S47=0,1,IF(F48&gt;0,OFFSET(QCI!$M$13,SUBSTITUTE(F48,".",""),0),OFFSET(ORÇAMENTO!$AA$15,CRONO!$F47,0))/$S47))</f>
        <v>0.110981526562671</v>
      </c>
      <c r="D47" s="419" t="n">
        <f aca="true">IF($R47&lt;&gt;2,0,IF($S47=0,1,IF(F48&gt;0,OFFSET(QCI!$N$13,SUBSTITUTE(F48,".",""),0),OFFSET(ORÇAMENTO!$AB$15,CRONO!$F47,0))/$S47))</f>
        <v>0</v>
      </c>
      <c r="E47" s="422" t="n">
        <f aca="false" t="array" ref="E47:E47">IF(AND($R47=2,ACOMPANHAMENTO="BM"),ROUND(E48,4),E49/$S47)</f>
        <v>0.04</v>
      </c>
      <c r="F47" s="419" t="n">
        <f aca="true">IF(B47&lt;=ORÇAMENTO.MáximoListaCrono,MATCH(B47,ORÇAMENTO.ListaCrono,0),NA())</f>
        <v>42</v>
      </c>
      <c r="G47" s="419" t="str">
        <f aca="false">IF(AND($F48&lt;&gt;-1,$S47&gt;0),"F","")</f>
        <v>F</v>
      </c>
      <c r="H47" s="423" t="str">
        <f aca="false" t="array" ref="H47:H47">IF(OR(S47=0,S47=""),"Linha",IF(AND(OR(ACOMPANHAMENTO="PLE",$R47&lt;&gt;2),$F48=0),"Linha",ROUND(1-SUM(U47:BE47),4)))</f>
        <v>Linha</v>
      </c>
      <c r="I47" s="424" t="str">
        <f aca="true">IF($F48=0,OFFSET(ORÇAMENTO!O$15,$F47,0),IF($F48&lt;&gt;-1,OFFSET(QCI!$D$13,$F48,0),""))</f>
        <v>1.11.</v>
      </c>
      <c r="J47" s="425" t="str">
        <f aca="true">IF($F48=0,OFFSET(ORÇAMENTO!R$15,$F47,0),IF($F48&lt;&gt;-1,OFFSET(QCI!$G$13,$F48,0),""))</f>
        <v>ALVENARIA/FECHAMENTOS</v>
      </c>
      <c r="K47" s="425"/>
      <c r="L47" s="425"/>
      <c r="M47" s="426" t="n">
        <f aca="true">IF($F48=0,OFFSET(ORÇAMENTO!C$15,$F47,0),1)</f>
        <v>2</v>
      </c>
      <c r="N47" s="427" t="n">
        <f aca="true">IF($F48=-1,0,IF(N$13&lt;=$M47,IF(ISERROR(MATCH(N$13,OFFSET($M47,1,0,ROW($M$182)-ROW($M47)-1),0)),ROW($M$182)-ROW($M47)-1,MATCH(N$13,OFFSET($M47,1,0,ROW($M$182)-ROW($M47)-1),0)-1),0))</f>
        <v>134</v>
      </c>
      <c r="O47" s="427" t="n">
        <f aca="true">IF($F48=-1,0,IF(O$13&lt;=$M47,IF(ISERROR(MATCH(O$13,OFFSET($M47,1,0,ROW($M$182)-ROW($M47)-1),0)),ROW($M$182)-ROW($M47)-1,MATCH(O$13,OFFSET($M47,1,0,ROW($M$182)-ROW($M47)-1),0)-1),0))</f>
        <v>2</v>
      </c>
      <c r="P47" s="427" t="n">
        <f aca="true">IF($F48=-1,0,IF(P$13&lt;=$M47,IF(ISERROR(MATCH(P$13,OFFSET($M47,1,0,ROW($M$182)-ROW($M47)-1),0)),ROW($M$182)-ROW($M47)-1,MATCH(P$13,OFFSET($M47,1,0,ROW($M$182)-ROW($M47)-1),0)-1),0))</f>
        <v>0</v>
      </c>
      <c r="Q47" s="427" t="n">
        <f aca="true">IF($F48=-1,0,IF(Q$13&lt;=$M47,IF(ISERROR(MATCH(Q$13,OFFSET($M47,1,0,ROW($M$182)-ROW($M47)-1),0)),ROW($M$182)-ROW($M47)-1,MATCH(Q$13,OFFSET($M47,1,0,ROW($M$182)-ROW($M47)-1),0)-1),0))</f>
        <v>0</v>
      </c>
      <c r="R47" s="427" t="n">
        <f aca="true">MIN(OFFSET(M47,0,1,,M47))</f>
        <v>2</v>
      </c>
      <c r="S47" s="428" t="n">
        <f aca="true">IF($F48=0,OFFSET(ORÇAMENTO!X$15,$F47,0),IF($F48&lt;&gt;-1,OFFSET(QCI!$O$13,$F48,0),""))</f>
        <v>426720.5</v>
      </c>
      <c r="T47" s="429" t="s">
        <v>996</v>
      </c>
      <c r="U47" s="422" t="n">
        <f aca="false" t="array" ref="U47:U47">IF(AND($R47=2,ACOMPANHAMENTO="BM"),ROUND(U48,4),U49/$S47)</f>
        <v>0.04</v>
      </c>
      <c r="V47" s="422" t="n">
        <f aca="false" t="array" ref="V47:V47">IF(AND($R47=2,ACOMPANHAMENTO="BM"),ROUND(V48,4),V49/$S47)</f>
        <v>0.04</v>
      </c>
      <c r="W47" s="422" t="n">
        <f aca="false" t="array" ref="W47:W47">IF(AND($R47=2,ACOMPANHAMENTO="BM"),ROUND(W48,4),W49/$S47)</f>
        <v>0.04</v>
      </c>
      <c r="X47" s="422" t="n">
        <f aca="false" t="array" ref="X47:X47">IF(AND($R47=2,ACOMPANHAMENTO="BM"),ROUND(X48,4),X49/$S47)</f>
        <v>0.04</v>
      </c>
      <c r="Y47" s="422" t="n">
        <f aca="false" t="array" ref="Y47:Y47">IF(AND($R47=2,ACOMPANHAMENTO="BM"),ROUND(Y48,4),Y49/$S47)</f>
        <v>0.04</v>
      </c>
      <c r="Z47" s="422" t="n">
        <f aca="false" t="array" ref="Z47:Z47">IF(AND($R47=2,ACOMPANHAMENTO="BM"),ROUND(Z48,4),Z49/$S47)</f>
        <v>0.04</v>
      </c>
      <c r="AA47" s="422" t="n">
        <f aca="false" t="array" ref="AA47:AA47">IF(AND($R47=2,ACOMPANHAMENTO="BM"),ROUND(AA48,4),AA49/$S47)</f>
        <v>0.04</v>
      </c>
      <c r="AB47" s="422" t="n">
        <f aca="false" t="array" ref="AB47:AB47">IF(AND($R47=2,ACOMPANHAMENTO="BM"),ROUND(AB48,4),AB49/$S47)</f>
        <v>0.04</v>
      </c>
      <c r="AC47" s="422" t="n">
        <f aca="false" t="array" ref="AC47:AC47">IF(AND($R47=2,ACOMPANHAMENTO="BM"),ROUND(AC48,4),AC49/$S47)</f>
        <v>0.04</v>
      </c>
      <c r="AD47" s="422" t="n">
        <f aca="false" t="array" ref="AD47:AD47">IF(AND($R47=2,ACOMPANHAMENTO="BM"),ROUND(AD48,4),AD49/$S47)</f>
        <v>0.04</v>
      </c>
      <c r="AE47" s="422" t="n">
        <f aca="false" t="array" ref="AE47:AE47">IF(AND($R47=2,ACOMPANHAMENTO="BM"),ROUND(AE48,4),AE49/$S47)</f>
        <v>0.04</v>
      </c>
      <c r="AF47" s="422" t="n">
        <f aca="false" t="array" ref="AF47:AF47">IF(AND($R47=2,ACOMPANHAMENTO="BM"),ROUND(AF48,4),AF49/$S47)</f>
        <v>0.04</v>
      </c>
      <c r="AG47" s="422" t="n">
        <f aca="false" t="array" ref="AG47:AG47">IF(AND($R47=2,ACOMPANHAMENTO="BM"),ROUND(AG48,4),AG49/$S47)</f>
        <v>0.04</v>
      </c>
      <c r="AH47" s="422" t="n">
        <f aca="false" t="array" ref="AH47:AH47">IF(AND($R47=2,ACOMPANHAMENTO="BM"),ROUND(AH48,4),AH49/$S47)</f>
        <v>0.04</v>
      </c>
      <c r="AI47" s="422" t="n">
        <f aca="false" t="array" ref="AI47:AI47">IF(AND($R47=2,ACOMPANHAMENTO="BM"),ROUND(AI48,4),AI49/$S47)</f>
        <v>0.04</v>
      </c>
      <c r="AJ47" s="422" t="n">
        <f aca="false" t="array" ref="AJ47:AJ47">IF(AND($R47=2,ACOMPANHAMENTO="BM"),ROUND(AJ48,4),AJ49/$S47)</f>
        <v>0.04</v>
      </c>
      <c r="AK47" s="422" t="n">
        <f aca="false" t="array" ref="AK47:AK47">IF(AND($R47=2,ACOMPANHAMENTO="BM"),ROUND(AK48,4),AK49/$S47)</f>
        <v>0.04</v>
      </c>
      <c r="AL47" s="422" t="n">
        <f aca="false" t="array" ref="AL47:AL47">IF(AND($R47=2,ACOMPANHAMENTO="BM"),ROUND(AL48,4),AL49/$S47)</f>
        <v>0.04</v>
      </c>
      <c r="AM47" s="422" t="n">
        <f aca="false" t="array" ref="AM47:AM47">IF(AND($R47=2,ACOMPANHAMENTO="BM"),ROUND(AM48,4),AM49/$S47)</f>
        <v>0.04</v>
      </c>
      <c r="AN47" s="422" t="n">
        <f aca="false" t="array" ref="AN47:AN47">IF(AND($R47=2,ACOMPANHAMENTO="BM"),ROUND(AN48,4),AN49/$S47)</f>
        <v>0.04</v>
      </c>
      <c r="AO47" s="422" t="n">
        <f aca="false" t="array" ref="AO47:AO47">IF(AND($R47=2,ACOMPANHAMENTO="BM"),ROUND(AO48,4),AO49/$S47)</f>
        <v>0.04</v>
      </c>
      <c r="AP47" s="422" t="n">
        <f aca="false" t="array" ref="AP47:AP47">IF(AND($R47=2,ACOMPANHAMENTO="BM"),ROUND(AP48,4),AP49/$S47)</f>
        <v>0.04</v>
      </c>
      <c r="AQ47" s="422" t="n">
        <f aca="false" t="array" ref="AQ47:AQ47">IF(AND($R47=2,ACOMPANHAMENTO="BM"),ROUND(AQ48,4),AQ49/$S47)</f>
        <v>0.04</v>
      </c>
      <c r="AR47" s="422" t="n">
        <f aca="false" t="array" ref="AR47:AR47">IF(AND($R47=2,ACOMPANHAMENTO="BM"),ROUND(AR48,4),AR49/$S47)</f>
        <v>0.04</v>
      </c>
      <c r="AS47" s="422" t="n">
        <f aca="false" t="array" ref="AS47:AS47">IF(AND($R47=2,ACOMPANHAMENTO="BM"),ROUND(AS48,4),AS49/$S47)</f>
        <v>0.04</v>
      </c>
      <c r="AT47" s="422" t="n">
        <f aca="false" t="array" ref="AT47:AT47">IF(AND($R47=2,ACOMPANHAMENTO="BM"),ROUND(AT48,4),AT49/$S47)</f>
        <v>0</v>
      </c>
      <c r="AU47" s="422" t="n">
        <f aca="false" t="array" ref="AU47:AU47">IF(AND($R47=2,ACOMPANHAMENTO="BM"),ROUND(AU48,4),AU49/$S47)</f>
        <v>0</v>
      </c>
      <c r="AV47" s="422" t="n">
        <f aca="false" t="array" ref="AV47:AV47">IF(AND($R47=2,ACOMPANHAMENTO="BM"),ROUND(AV48,4),AV49/$S47)</f>
        <v>0</v>
      </c>
      <c r="AW47" s="422" t="n">
        <f aca="false" t="array" ref="AW47:AW47">IF(AND($R47=2,ACOMPANHAMENTO="BM"),ROUND(AW48,4),AW49/$S47)</f>
        <v>0</v>
      </c>
      <c r="AX47" s="422" t="n">
        <f aca="false" t="array" ref="AX47:AX47">IF(AND($R47=2,ACOMPANHAMENTO="BM"),ROUND(AX48,4),AX49/$S47)</f>
        <v>0</v>
      </c>
      <c r="AY47" s="422" t="n">
        <f aca="false" t="array" ref="AY47:AY47">IF(AND($R47=2,ACOMPANHAMENTO="BM"),ROUND(AY48,4),AY49/$S47)</f>
        <v>0</v>
      </c>
      <c r="AZ47" s="422" t="n">
        <f aca="false" t="array" ref="AZ47:AZ47">IF(AND($R47=2,ACOMPANHAMENTO="BM"),ROUND(AZ48,4),AZ49/$S47)</f>
        <v>0</v>
      </c>
      <c r="BA47" s="422" t="n">
        <f aca="false" t="array" ref="BA47:BA47">IF(AND($R47=2,ACOMPANHAMENTO="BM"),ROUND(BA48,4),BA49/$S47)</f>
        <v>0</v>
      </c>
      <c r="BB47" s="422" t="n">
        <f aca="false" t="array" ref="BB47:BB47">IF(AND($R47=2,ACOMPANHAMENTO="BM"),ROUND(BB48,4),BB49/$S47)</f>
        <v>0</v>
      </c>
      <c r="BC47" s="422" t="n">
        <f aca="false" t="array" ref="BC47:BC47">IF(AND($R47=2,ACOMPANHAMENTO="BM"),ROUND(BC48,4),BC49/$S47)</f>
        <v>0</v>
      </c>
      <c r="BD47" s="422" t="n">
        <f aca="false" t="array" ref="BD47:BD47">IF(AND($R47=2,ACOMPANHAMENTO="BM"),ROUND(BD48,4),BD49/$S47)</f>
        <v>0</v>
      </c>
      <c r="BE47" s="430"/>
    </row>
    <row r="48" customFormat="false" ht="12.75" hidden="true" customHeight="true" outlineLevel="0" collapsed="false">
      <c r="E48" s="431"/>
      <c r="F48" s="419" t="n">
        <f aca="true">IF(ISERROR(F47),IF(1+COUNTIF($M$13:OFFSET(M47,-1,0),1)&lt;=MAX(QCI!$D$13:$D$15),1+COUNTIF($M$13:OFFSET(M47,-1,0),1),-1),0)</f>
        <v>0</v>
      </c>
      <c r="G48" s="419" t="str">
        <f aca="true" t="array" ref="G48:G48">IF(ACOMPANHAMENTO="BM",OFFSET(G48,-1,0),"")</f>
        <v/>
      </c>
      <c r="H48" s="432" t="str">
        <f aca="false" t="array" ref="H48:H48">IF(OR(S47=0,S47=""),"vazia",IF(AND(OR(ACOMPANHAMENTO="PLE",$R47&lt;&gt;2),$F48=0),"calculada","--&gt;"))</f>
        <v>calculada</v>
      </c>
      <c r="I48" s="433"/>
      <c r="J48" s="434" t="str">
        <f aca="false">IF(AND(H47&lt;&gt;0,ISNUMBER(H47)),"PREENCHA ESTA LINHA --&gt;","")</f>
        <v/>
      </c>
      <c r="K48" s="434"/>
      <c r="L48" s="434"/>
      <c r="M48" s="435"/>
      <c r="N48" s="435"/>
      <c r="O48" s="435"/>
      <c r="P48" s="435"/>
      <c r="Q48" s="435"/>
      <c r="R48" s="435"/>
      <c r="S48" s="436"/>
      <c r="T48" s="437"/>
      <c r="U48" s="431"/>
      <c r="V48" s="431"/>
      <c r="W48" s="431"/>
      <c r="X48" s="431"/>
      <c r="Y48" s="431"/>
      <c r="Z48" s="431"/>
      <c r="AA48" s="431"/>
      <c r="AB48" s="431"/>
      <c r="AC48" s="431"/>
      <c r="AD48" s="431"/>
      <c r="AE48" s="431"/>
      <c r="AF48" s="431"/>
      <c r="AG48" s="431"/>
      <c r="AH48" s="431"/>
      <c r="AI48" s="431"/>
      <c r="AJ48" s="431"/>
      <c r="AK48" s="431"/>
      <c r="AL48" s="431"/>
      <c r="AM48" s="431"/>
      <c r="AN48" s="431"/>
      <c r="AO48" s="431"/>
      <c r="AP48" s="431"/>
      <c r="AQ48" s="431"/>
      <c r="AR48" s="431"/>
      <c r="AS48" s="431"/>
      <c r="AT48" s="431"/>
      <c r="AU48" s="431"/>
      <c r="AV48" s="431"/>
      <c r="AW48" s="431"/>
      <c r="AX48" s="431"/>
      <c r="AY48" s="431"/>
      <c r="AZ48" s="431"/>
      <c r="BA48" s="431"/>
      <c r="BB48" s="431"/>
      <c r="BC48" s="431"/>
      <c r="BD48" s="431"/>
      <c r="BE48" s="430"/>
    </row>
    <row r="49" customFormat="false" ht="12.75" hidden="true" customHeight="true" outlineLevel="0" collapsed="false">
      <c r="D49" s="438"/>
      <c r="E49" s="439" t="n">
        <f aca="false" t="array" ref="E49:E49">IF($R47=2,
         IF(AND(ACOMPANHAMENTO="PLE",ISNUMBER($F47)),
                SUMIF((OFFSET(CÁLCULO!$BS$15:$CS$15,$F47,0,OFFSET(ORÇAMENTO!$D$15,CRONO!$F47,0))),CRONO!E$12,OFFSET(CÁLCULO!$AR$15:$BR$15,$F47,0,OFFSET(ORÇAMENTO!$D$15,CRONO!$F47,0)))
                +IF(AND($F49&lt;&gt;"",$F49&lt;&gt;0),
                        SUMIF(CÁLCULO!$BS$15:$CS$205,CRONO!E$12,CÁLCULO!$AR$15:$BR$205)/(ORÇAMENTO!$X$15-_xlfn.single(CÁLCULO.TotalAdmLocal))*CRONO!$F49,
                        0),
                 E48*$S47),
          SUMIF(OFFSET($S49,1,0,$R47-2),($M47+1)&amp;"$",OFFSET(E49,1,0,$R47-2)))</f>
        <v>17068.82</v>
      </c>
      <c r="F49" s="419" t="str">
        <f aca="true">IF(OR($R47&lt;&gt;2,AUTOEVENTO&lt;&gt;"manual",$F48&gt;0),"",
        IF(Import.TipoArredondamento="Tradicional",
              SUMIF(OFFSET(CÁLCULO!$M$15,CRONO!$F47,0,OFFSET(ORÇAMENTO!$D$15,CRONO!$F47,0)),1,OFFSET(ORÇAMENTO!$X$15,CRONO!$F47,0,OFFSET(ORÇAMENTO!$D$15,CRONO!$F47,0))),
              0))</f>
        <v/>
      </c>
      <c r="H49" s="440"/>
      <c r="S49" s="441" t="str">
        <f aca="false">M47&amp;"$"</f>
        <v>2$</v>
      </c>
      <c r="T49" s="442"/>
      <c r="U49" s="439" t="n">
        <f aca="false" t="array" ref="U49:U49">IF($R47=2,
         IF(AND(ACOMPANHAMENTO="PLE",ISNUMBER($F47)),
                SUMIF((OFFSET(CÁLCULO!$BS$15:$CS$15,$F47,0,OFFSET(ORÇAMENTO!$D$15,CRONO!$F47,0))),CRONO!U$12,OFFSET(CÁLCULO!$AR$15:$BR$15,$F47,0,OFFSET(ORÇAMENTO!$D$15,CRONO!$F47,0)))
                +IF(AND($F49&lt;&gt;"",$F49&lt;&gt;0),
                        SUMIF(CÁLCULO!$BS$15:$CS$205,CRONO!U$12,CÁLCULO!$AR$15:$BR$205)/(ORÇAMENTO!$X$15-_xlfn.single(CÁLCULO.TotalAdmLocal))*CRONO!$F49,
                        0),
                 U48*$S47),
          SUMIF(OFFSET($S49,1,0,$R47-2),($M47+1)&amp;"$",OFFSET(U49,1,0,$R47-2)))</f>
        <v>17068.82</v>
      </c>
      <c r="V49" s="439" t="n">
        <f aca="false" t="array" ref="V49:V49">IF($R47=2,
         IF(AND(ACOMPANHAMENTO="PLE",ISNUMBER($F47)),
                SUMIF((OFFSET(CÁLCULO!$BS$15:$CS$15,$F47,0,OFFSET(ORÇAMENTO!$D$15,CRONO!$F47,0))),CRONO!V$12,OFFSET(CÁLCULO!$AR$15:$BR$15,$F47,0,OFFSET(ORÇAMENTO!$D$15,CRONO!$F47,0)))
                +IF(AND($F49&lt;&gt;"",$F49&lt;&gt;0),
                        SUMIF(CÁLCULO!$BS$15:$CS$205,CRONO!V$12,CÁLCULO!$AR$15:$BR$205)/(ORÇAMENTO!$X$15-_xlfn.single(CÁLCULO.TotalAdmLocal))*CRONO!$F49,
                        0),
                 V48*$S47),
          SUMIF(OFFSET($S49,1,0,$R47-2),($M47+1)&amp;"$",OFFSET(V49,1,0,$R47-2)))</f>
        <v>17068.82</v>
      </c>
      <c r="W49" s="439" t="n">
        <f aca="false" t="array" ref="W49:W49">IF($R47=2,
         IF(AND(ACOMPANHAMENTO="PLE",ISNUMBER($F47)),
                SUMIF((OFFSET(CÁLCULO!$BS$15:$CS$15,$F47,0,OFFSET(ORÇAMENTO!$D$15,CRONO!$F47,0))),CRONO!W$12,OFFSET(CÁLCULO!$AR$15:$BR$15,$F47,0,OFFSET(ORÇAMENTO!$D$15,CRONO!$F47,0)))
                +IF(AND($F49&lt;&gt;"",$F49&lt;&gt;0),
                        SUMIF(CÁLCULO!$BS$15:$CS$205,CRONO!W$12,CÁLCULO!$AR$15:$BR$205)/(ORÇAMENTO!$X$15-_xlfn.single(CÁLCULO.TotalAdmLocal))*CRONO!$F49,
                        0),
                 W48*$S47),
          SUMIF(OFFSET($S49,1,0,$R47-2),($M47+1)&amp;"$",OFFSET(W49,1,0,$R47-2)))</f>
        <v>17068.82</v>
      </c>
      <c r="X49" s="439" t="n">
        <f aca="false" t="array" ref="X49:X49">IF($R47=2,
         IF(AND(ACOMPANHAMENTO="PLE",ISNUMBER($F47)),
                SUMIF((OFFSET(CÁLCULO!$BS$15:$CS$15,$F47,0,OFFSET(ORÇAMENTO!$D$15,CRONO!$F47,0))),CRONO!X$12,OFFSET(CÁLCULO!$AR$15:$BR$15,$F47,0,OFFSET(ORÇAMENTO!$D$15,CRONO!$F47,0)))
                +IF(AND($F49&lt;&gt;"",$F49&lt;&gt;0),
                        SUMIF(CÁLCULO!$BS$15:$CS$205,CRONO!X$12,CÁLCULO!$AR$15:$BR$205)/(ORÇAMENTO!$X$15-_xlfn.single(CÁLCULO.TotalAdmLocal))*CRONO!$F49,
                        0),
                 X48*$S47),
          SUMIF(OFFSET($S49,1,0,$R47-2),($M47+1)&amp;"$",OFFSET(X49,1,0,$R47-2)))</f>
        <v>17068.82</v>
      </c>
      <c r="Y49" s="439" t="n">
        <f aca="false" t="array" ref="Y49:Y49">IF($R47=2,
         IF(AND(ACOMPANHAMENTO="PLE",ISNUMBER($F47)),
                SUMIF((OFFSET(CÁLCULO!$BS$15:$CS$15,$F47,0,OFFSET(ORÇAMENTO!$D$15,CRONO!$F47,0))),CRONO!Y$12,OFFSET(CÁLCULO!$AR$15:$BR$15,$F47,0,OFFSET(ORÇAMENTO!$D$15,CRONO!$F47,0)))
                +IF(AND($F49&lt;&gt;"",$F49&lt;&gt;0),
                        SUMIF(CÁLCULO!$BS$15:$CS$205,CRONO!Y$12,CÁLCULO!$AR$15:$BR$205)/(ORÇAMENTO!$X$15-_xlfn.single(CÁLCULO.TotalAdmLocal))*CRONO!$F49,
                        0),
                 Y48*$S47),
          SUMIF(OFFSET($S49,1,0,$R47-2),($M47+1)&amp;"$",OFFSET(Y49,1,0,$R47-2)))</f>
        <v>17068.82</v>
      </c>
      <c r="Z49" s="439" t="n">
        <f aca="false" t="array" ref="Z49:Z49">IF($R47=2,
         IF(AND(ACOMPANHAMENTO="PLE",ISNUMBER($F47)),
                SUMIF((OFFSET(CÁLCULO!$BS$15:$CS$15,$F47,0,OFFSET(ORÇAMENTO!$D$15,CRONO!$F47,0))),CRONO!Z$12,OFFSET(CÁLCULO!$AR$15:$BR$15,$F47,0,OFFSET(ORÇAMENTO!$D$15,CRONO!$F47,0)))
                +IF(AND($F49&lt;&gt;"",$F49&lt;&gt;0),
                        SUMIF(CÁLCULO!$BS$15:$CS$205,CRONO!Z$12,CÁLCULO!$AR$15:$BR$205)/(ORÇAMENTO!$X$15-_xlfn.single(CÁLCULO.TotalAdmLocal))*CRONO!$F49,
                        0),
                 Z48*$S47),
          SUMIF(OFFSET($S49,1,0,$R47-2),($M47+1)&amp;"$",OFFSET(Z49,1,0,$R47-2)))</f>
        <v>17068.82</v>
      </c>
      <c r="AA49" s="439" t="n">
        <f aca="false" t="array" ref="AA49:AA49">IF($R47=2,
         IF(AND(ACOMPANHAMENTO="PLE",ISNUMBER($F47)),
                SUMIF((OFFSET(CÁLCULO!$BS$15:$CS$15,$F47,0,OFFSET(ORÇAMENTO!$D$15,CRONO!$F47,0))),CRONO!AA$12,OFFSET(CÁLCULO!$AR$15:$BR$15,$F47,0,OFFSET(ORÇAMENTO!$D$15,CRONO!$F47,0)))
                +IF(AND($F49&lt;&gt;"",$F49&lt;&gt;0),
                        SUMIF(CÁLCULO!$BS$15:$CS$205,CRONO!AA$12,CÁLCULO!$AR$15:$BR$205)/(ORÇAMENTO!$X$15-_xlfn.single(CÁLCULO.TotalAdmLocal))*CRONO!$F49,
                        0),
                 AA48*$S47),
          SUMIF(OFFSET($S49,1,0,$R47-2),($M47+1)&amp;"$",OFFSET(AA49,1,0,$R47-2)))</f>
        <v>17068.82</v>
      </c>
      <c r="AB49" s="439" t="n">
        <f aca="false" t="array" ref="AB49:AB49">IF($R47=2,
         IF(AND(ACOMPANHAMENTO="PLE",ISNUMBER($F47)),
                SUMIF((OFFSET(CÁLCULO!$BS$15:$CS$15,$F47,0,OFFSET(ORÇAMENTO!$D$15,CRONO!$F47,0))),CRONO!AB$12,OFFSET(CÁLCULO!$AR$15:$BR$15,$F47,0,OFFSET(ORÇAMENTO!$D$15,CRONO!$F47,0)))
                +IF(AND($F49&lt;&gt;"",$F49&lt;&gt;0),
                        SUMIF(CÁLCULO!$BS$15:$CS$205,CRONO!AB$12,CÁLCULO!$AR$15:$BR$205)/(ORÇAMENTO!$X$15-_xlfn.single(CÁLCULO.TotalAdmLocal))*CRONO!$F49,
                        0),
                 AB48*$S47),
          SUMIF(OFFSET($S49,1,0,$R47-2),($M47+1)&amp;"$",OFFSET(AB49,1,0,$R47-2)))</f>
        <v>17068.82</v>
      </c>
      <c r="AC49" s="439" t="n">
        <f aca="false" t="array" ref="AC49:AC49">IF($R47=2,
         IF(AND(ACOMPANHAMENTO="PLE",ISNUMBER($F47)),
                SUMIF((OFFSET(CÁLCULO!$BS$15:$CS$15,$F47,0,OFFSET(ORÇAMENTO!$D$15,CRONO!$F47,0))),CRONO!AC$12,OFFSET(CÁLCULO!$AR$15:$BR$15,$F47,0,OFFSET(ORÇAMENTO!$D$15,CRONO!$F47,0)))
                +IF(AND($F49&lt;&gt;"",$F49&lt;&gt;0),
                        SUMIF(CÁLCULO!$BS$15:$CS$205,CRONO!AC$12,CÁLCULO!$AR$15:$BR$205)/(ORÇAMENTO!$X$15-_xlfn.single(CÁLCULO.TotalAdmLocal))*CRONO!$F49,
                        0),
                 AC48*$S47),
          SUMIF(OFFSET($S49,1,0,$R47-2),($M47+1)&amp;"$",OFFSET(AC49,1,0,$R47-2)))</f>
        <v>17068.82</v>
      </c>
      <c r="AD49" s="439" t="n">
        <f aca="false" t="array" ref="AD49:AD49">IF($R47=2,
         IF(AND(ACOMPANHAMENTO="PLE",ISNUMBER($F47)),
                SUMIF((OFFSET(CÁLCULO!$BS$15:$CS$15,$F47,0,OFFSET(ORÇAMENTO!$D$15,CRONO!$F47,0))),CRONO!AD$12,OFFSET(CÁLCULO!$AR$15:$BR$15,$F47,0,OFFSET(ORÇAMENTO!$D$15,CRONO!$F47,0)))
                +IF(AND($F49&lt;&gt;"",$F49&lt;&gt;0),
                        SUMIF(CÁLCULO!$BS$15:$CS$205,CRONO!AD$12,CÁLCULO!$AR$15:$BR$205)/(ORÇAMENTO!$X$15-_xlfn.single(CÁLCULO.TotalAdmLocal))*CRONO!$F49,
                        0),
                 AD48*$S47),
          SUMIF(OFFSET($S49,1,0,$R47-2),($M47+1)&amp;"$",OFFSET(AD49,1,0,$R47-2)))</f>
        <v>17068.82</v>
      </c>
      <c r="AE49" s="439" t="n">
        <f aca="false" t="array" ref="AE49:AE49">IF($R47=2,
         IF(AND(ACOMPANHAMENTO="PLE",ISNUMBER($F47)),
                SUMIF((OFFSET(CÁLCULO!$BS$15:$CS$15,$F47,0,OFFSET(ORÇAMENTO!$D$15,CRONO!$F47,0))),CRONO!AE$12,OFFSET(CÁLCULO!$AR$15:$BR$15,$F47,0,OFFSET(ORÇAMENTO!$D$15,CRONO!$F47,0)))
                +IF(AND($F49&lt;&gt;"",$F49&lt;&gt;0),
                        SUMIF(CÁLCULO!$BS$15:$CS$205,CRONO!AE$12,CÁLCULO!$AR$15:$BR$205)/(ORÇAMENTO!$X$15-_xlfn.single(CÁLCULO.TotalAdmLocal))*CRONO!$F49,
                        0),
                 AE48*$S47),
          SUMIF(OFFSET($S49,1,0,$R47-2),($M47+1)&amp;"$",OFFSET(AE49,1,0,$R47-2)))</f>
        <v>17068.82</v>
      </c>
      <c r="AF49" s="439" t="n">
        <f aca="false" t="array" ref="AF49:AF49">IF($R47=2,
         IF(AND(ACOMPANHAMENTO="PLE",ISNUMBER($F47)),
                SUMIF((OFFSET(CÁLCULO!$BS$15:$CS$15,$F47,0,OFFSET(ORÇAMENTO!$D$15,CRONO!$F47,0))),CRONO!AF$12,OFFSET(CÁLCULO!$AR$15:$BR$15,$F47,0,OFFSET(ORÇAMENTO!$D$15,CRONO!$F47,0)))
                +IF(AND($F49&lt;&gt;"",$F49&lt;&gt;0),
                        SUMIF(CÁLCULO!$BS$15:$CS$205,CRONO!AF$12,CÁLCULO!$AR$15:$BR$205)/(ORÇAMENTO!$X$15-_xlfn.single(CÁLCULO.TotalAdmLocal))*CRONO!$F49,
                        0),
                 AF48*$S47),
          SUMIF(OFFSET($S49,1,0,$R47-2),($M47+1)&amp;"$",OFFSET(AF49,1,0,$R47-2)))</f>
        <v>17068.82</v>
      </c>
      <c r="AG49" s="439" t="n">
        <f aca="false" t="array" ref="AG49:AG49">IF($R47=2,
         IF(AND(ACOMPANHAMENTO="PLE",ISNUMBER($F47)),
                SUMIF((OFFSET(CÁLCULO!$BS$15:$CS$15,$F47,0,OFFSET(ORÇAMENTO!$D$15,CRONO!$F47,0))),CRONO!AG$12,OFFSET(CÁLCULO!$AR$15:$BR$15,$F47,0,OFFSET(ORÇAMENTO!$D$15,CRONO!$F47,0)))
                +IF(AND($F49&lt;&gt;"",$F49&lt;&gt;0),
                        SUMIF(CÁLCULO!$BS$15:$CS$205,CRONO!AG$12,CÁLCULO!$AR$15:$BR$205)/(ORÇAMENTO!$X$15-_xlfn.single(CÁLCULO.TotalAdmLocal))*CRONO!$F49,
                        0),
                 AG48*$S47),
          SUMIF(OFFSET($S49,1,0,$R47-2),($M47+1)&amp;"$",OFFSET(AG49,1,0,$R47-2)))</f>
        <v>17068.82</v>
      </c>
      <c r="AH49" s="439" t="n">
        <f aca="false" t="array" ref="AH49:AH49">IF($R47=2,
         IF(AND(ACOMPANHAMENTO="PLE",ISNUMBER($F47)),
                SUMIF((OFFSET(CÁLCULO!$BS$15:$CS$15,$F47,0,OFFSET(ORÇAMENTO!$D$15,CRONO!$F47,0))),CRONO!AH$12,OFFSET(CÁLCULO!$AR$15:$BR$15,$F47,0,OFFSET(ORÇAMENTO!$D$15,CRONO!$F47,0)))
                +IF(AND($F49&lt;&gt;"",$F49&lt;&gt;0),
                        SUMIF(CÁLCULO!$BS$15:$CS$205,CRONO!AH$12,CÁLCULO!$AR$15:$BR$205)/(ORÇAMENTO!$X$15-_xlfn.single(CÁLCULO.TotalAdmLocal))*CRONO!$F49,
                        0),
                 AH48*$S47),
          SUMIF(OFFSET($S49,1,0,$R47-2),($M47+1)&amp;"$",OFFSET(AH49,1,0,$R47-2)))</f>
        <v>17068.82</v>
      </c>
      <c r="AI49" s="439" t="n">
        <f aca="false" t="array" ref="AI49:AI49">IF($R47=2,
         IF(AND(ACOMPANHAMENTO="PLE",ISNUMBER($F47)),
                SUMIF((OFFSET(CÁLCULO!$BS$15:$CS$15,$F47,0,OFFSET(ORÇAMENTO!$D$15,CRONO!$F47,0))),CRONO!AI$12,OFFSET(CÁLCULO!$AR$15:$BR$15,$F47,0,OFFSET(ORÇAMENTO!$D$15,CRONO!$F47,0)))
                +IF(AND($F49&lt;&gt;"",$F49&lt;&gt;0),
                        SUMIF(CÁLCULO!$BS$15:$CS$205,CRONO!AI$12,CÁLCULO!$AR$15:$BR$205)/(ORÇAMENTO!$X$15-_xlfn.single(CÁLCULO.TotalAdmLocal))*CRONO!$F49,
                        0),
                 AI48*$S47),
          SUMIF(OFFSET($S49,1,0,$R47-2),($M47+1)&amp;"$",OFFSET(AI49,1,0,$R47-2)))</f>
        <v>17068.82</v>
      </c>
      <c r="AJ49" s="439" t="n">
        <f aca="false" t="array" ref="AJ49:AJ49">IF($R47=2,
         IF(AND(ACOMPANHAMENTO="PLE",ISNUMBER($F47)),
                SUMIF((OFFSET(CÁLCULO!$BS$15:$CS$15,$F47,0,OFFSET(ORÇAMENTO!$D$15,CRONO!$F47,0))),CRONO!AJ$12,OFFSET(CÁLCULO!$AR$15:$BR$15,$F47,0,OFFSET(ORÇAMENTO!$D$15,CRONO!$F47,0)))
                +IF(AND($F49&lt;&gt;"",$F49&lt;&gt;0),
                        SUMIF(CÁLCULO!$BS$15:$CS$205,CRONO!AJ$12,CÁLCULO!$AR$15:$BR$205)/(ORÇAMENTO!$X$15-_xlfn.single(CÁLCULO.TotalAdmLocal))*CRONO!$F49,
                        0),
                 AJ48*$S47),
          SUMIF(OFFSET($S49,1,0,$R47-2),($M47+1)&amp;"$",OFFSET(AJ49,1,0,$R47-2)))</f>
        <v>17068.82</v>
      </c>
      <c r="AK49" s="439" t="n">
        <f aca="false" t="array" ref="AK49:AK49">IF($R47=2,
         IF(AND(ACOMPANHAMENTO="PLE",ISNUMBER($F47)),
                SUMIF((OFFSET(CÁLCULO!$BS$15:$CS$15,$F47,0,OFFSET(ORÇAMENTO!$D$15,CRONO!$F47,0))),CRONO!AK$12,OFFSET(CÁLCULO!$AR$15:$BR$15,$F47,0,OFFSET(ORÇAMENTO!$D$15,CRONO!$F47,0)))
                +IF(AND($F49&lt;&gt;"",$F49&lt;&gt;0),
                        SUMIF(CÁLCULO!$BS$15:$CS$205,CRONO!AK$12,CÁLCULO!$AR$15:$BR$205)/(ORÇAMENTO!$X$15-_xlfn.single(CÁLCULO.TotalAdmLocal))*CRONO!$F49,
                        0),
                 AK48*$S47),
          SUMIF(OFFSET($S49,1,0,$R47-2),($M47+1)&amp;"$",OFFSET(AK49,1,0,$R47-2)))</f>
        <v>17068.82</v>
      </c>
      <c r="AL49" s="439" t="n">
        <f aca="false" t="array" ref="AL49:AL49">IF($R47=2,
         IF(AND(ACOMPANHAMENTO="PLE",ISNUMBER($F47)),
                SUMIF((OFFSET(CÁLCULO!$BS$15:$CS$15,$F47,0,OFFSET(ORÇAMENTO!$D$15,CRONO!$F47,0))),CRONO!AL$12,OFFSET(CÁLCULO!$AR$15:$BR$15,$F47,0,OFFSET(ORÇAMENTO!$D$15,CRONO!$F47,0)))
                +IF(AND($F49&lt;&gt;"",$F49&lt;&gt;0),
                        SUMIF(CÁLCULO!$BS$15:$CS$205,CRONO!AL$12,CÁLCULO!$AR$15:$BR$205)/(ORÇAMENTO!$X$15-_xlfn.single(CÁLCULO.TotalAdmLocal))*CRONO!$F49,
                        0),
                 AL48*$S47),
          SUMIF(OFFSET($S49,1,0,$R47-2),($M47+1)&amp;"$",OFFSET(AL49,1,0,$R47-2)))</f>
        <v>17068.82</v>
      </c>
      <c r="AM49" s="439" t="n">
        <f aca="false" t="array" ref="AM49:AM49">IF($R47=2,
         IF(AND(ACOMPANHAMENTO="PLE",ISNUMBER($F47)),
                SUMIF((OFFSET(CÁLCULO!$BS$15:$CS$15,$F47,0,OFFSET(ORÇAMENTO!$D$15,CRONO!$F47,0))),CRONO!AM$12,OFFSET(CÁLCULO!$AR$15:$BR$15,$F47,0,OFFSET(ORÇAMENTO!$D$15,CRONO!$F47,0)))
                +IF(AND($F49&lt;&gt;"",$F49&lt;&gt;0),
                        SUMIF(CÁLCULO!$BS$15:$CS$205,CRONO!AM$12,CÁLCULO!$AR$15:$BR$205)/(ORÇAMENTO!$X$15-_xlfn.single(CÁLCULO.TotalAdmLocal))*CRONO!$F49,
                        0),
                 AM48*$S47),
          SUMIF(OFFSET($S49,1,0,$R47-2),($M47+1)&amp;"$",OFFSET(AM49,1,0,$R47-2)))</f>
        <v>17068.82</v>
      </c>
      <c r="AN49" s="439" t="n">
        <f aca="false" t="array" ref="AN49:AN49">IF($R47=2,
         IF(AND(ACOMPANHAMENTO="PLE",ISNUMBER($F47)),
                SUMIF((OFFSET(CÁLCULO!$BS$15:$CS$15,$F47,0,OFFSET(ORÇAMENTO!$D$15,CRONO!$F47,0))),CRONO!AN$12,OFFSET(CÁLCULO!$AR$15:$BR$15,$F47,0,OFFSET(ORÇAMENTO!$D$15,CRONO!$F47,0)))
                +IF(AND($F49&lt;&gt;"",$F49&lt;&gt;0),
                        SUMIF(CÁLCULO!$BS$15:$CS$205,CRONO!AN$12,CÁLCULO!$AR$15:$BR$205)/(ORÇAMENTO!$X$15-_xlfn.single(CÁLCULO.TotalAdmLocal))*CRONO!$F49,
                        0),
                 AN48*$S47),
          SUMIF(OFFSET($S49,1,0,$R47-2),($M47+1)&amp;"$",OFFSET(AN49,1,0,$R47-2)))</f>
        <v>17068.82</v>
      </c>
      <c r="AO49" s="439" t="n">
        <f aca="false" t="array" ref="AO49:AO49">IF($R47=2,
         IF(AND(ACOMPANHAMENTO="PLE",ISNUMBER($F47)),
                SUMIF((OFFSET(CÁLCULO!$BS$15:$CS$15,$F47,0,OFFSET(ORÇAMENTO!$D$15,CRONO!$F47,0))),CRONO!AO$12,OFFSET(CÁLCULO!$AR$15:$BR$15,$F47,0,OFFSET(ORÇAMENTO!$D$15,CRONO!$F47,0)))
                +IF(AND($F49&lt;&gt;"",$F49&lt;&gt;0),
                        SUMIF(CÁLCULO!$BS$15:$CS$205,CRONO!AO$12,CÁLCULO!$AR$15:$BR$205)/(ORÇAMENTO!$X$15-_xlfn.single(CÁLCULO.TotalAdmLocal))*CRONO!$F49,
                        0),
                 AO48*$S47),
          SUMIF(OFFSET($S49,1,0,$R47-2),($M47+1)&amp;"$",OFFSET(AO49,1,0,$R47-2)))</f>
        <v>17068.82</v>
      </c>
      <c r="AP49" s="439" t="n">
        <f aca="false" t="array" ref="AP49:AP49">IF($R47=2,
         IF(AND(ACOMPANHAMENTO="PLE",ISNUMBER($F47)),
                SUMIF((OFFSET(CÁLCULO!$BS$15:$CS$15,$F47,0,OFFSET(ORÇAMENTO!$D$15,CRONO!$F47,0))),CRONO!AP$12,OFFSET(CÁLCULO!$AR$15:$BR$15,$F47,0,OFFSET(ORÇAMENTO!$D$15,CRONO!$F47,0)))
                +IF(AND($F49&lt;&gt;"",$F49&lt;&gt;0),
                        SUMIF(CÁLCULO!$BS$15:$CS$205,CRONO!AP$12,CÁLCULO!$AR$15:$BR$205)/(ORÇAMENTO!$X$15-_xlfn.single(CÁLCULO.TotalAdmLocal))*CRONO!$F49,
                        0),
                 AP48*$S47),
          SUMIF(OFFSET($S49,1,0,$R47-2),($M47+1)&amp;"$",OFFSET(AP49,1,0,$R47-2)))</f>
        <v>17068.82</v>
      </c>
      <c r="AQ49" s="439" t="n">
        <f aca="false" t="array" ref="AQ49:AQ49">IF($R47=2,
         IF(AND(ACOMPANHAMENTO="PLE",ISNUMBER($F47)),
                SUMIF((OFFSET(CÁLCULO!$BS$15:$CS$15,$F47,0,OFFSET(ORÇAMENTO!$D$15,CRONO!$F47,0))),CRONO!AQ$12,OFFSET(CÁLCULO!$AR$15:$BR$15,$F47,0,OFFSET(ORÇAMENTO!$D$15,CRONO!$F47,0)))
                +IF(AND($F49&lt;&gt;"",$F49&lt;&gt;0),
                        SUMIF(CÁLCULO!$BS$15:$CS$205,CRONO!AQ$12,CÁLCULO!$AR$15:$BR$205)/(ORÇAMENTO!$X$15-_xlfn.single(CÁLCULO.TotalAdmLocal))*CRONO!$F49,
                        0),
                 AQ48*$S47),
          SUMIF(OFFSET($S49,1,0,$R47-2),($M47+1)&amp;"$",OFFSET(AQ49,1,0,$R47-2)))</f>
        <v>17068.82</v>
      </c>
      <c r="AR49" s="439" t="n">
        <f aca="false" t="array" ref="AR49:AR49">IF($R47=2,
         IF(AND(ACOMPANHAMENTO="PLE",ISNUMBER($F47)),
                SUMIF((OFFSET(CÁLCULO!$BS$15:$CS$15,$F47,0,OFFSET(ORÇAMENTO!$D$15,CRONO!$F47,0))),CRONO!AR$12,OFFSET(CÁLCULO!$AR$15:$BR$15,$F47,0,OFFSET(ORÇAMENTO!$D$15,CRONO!$F47,0)))
                +IF(AND($F49&lt;&gt;"",$F49&lt;&gt;0),
                        SUMIF(CÁLCULO!$BS$15:$CS$205,CRONO!AR$12,CÁLCULO!$AR$15:$BR$205)/(ORÇAMENTO!$X$15-_xlfn.single(CÁLCULO.TotalAdmLocal))*CRONO!$F49,
                        0),
                 AR48*$S47),
          SUMIF(OFFSET($S49,1,0,$R47-2),($M47+1)&amp;"$",OFFSET(AR49,1,0,$R47-2)))</f>
        <v>17068.82</v>
      </c>
      <c r="AS49" s="439" t="n">
        <f aca="false" t="array" ref="AS49:AS49">IF($R47=2,
         IF(AND(ACOMPANHAMENTO="PLE",ISNUMBER($F47)),
                SUMIF((OFFSET(CÁLCULO!$BS$15:$CS$15,$F47,0,OFFSET(ORÇAMENTO!$D$15,CRONO!$F47,0))),CRONO!AS$12,OFFSET(CÁLCULO!$AR$15:$BR$15,$F47,0,OFFSET(ORÇAMENTO!$D$15,CRONO!$F47,0)))
                +IF(AND($F49&lt;&gt;"",$F49&lt;&gt;0),
                        SUMIF(CÁLCULO!$BS$15:$CS$205,CRONO!AS$12,CÁLCULO!$AR$15:$BR$205)/(ORÇAMENTO!$X$15-_xlfn.single(CÁLCULO.TotalAdmLocal))*CRONO!$F49,
                        0),
                 AS48*$S47),
          SUMIF(OFFSET($S49,1,0,$R47-2),($M47+1)&amp;"$",OFFSET(AS49,1,0,$R47-2)))</f>
        <v>17068.82</v>
      </c>
      <c r="AT49" s="439" t="n">
        <f aca="false" t="array" ref="AT49:AT49">IF($R47=2,
         IF(AND(ACOMPANHAMENTO="PLE",ISNUMBER($F47)),
                SUMIF((OFFSET(CÁLCULO!$BS$15:$CS$15,$F47,0,OFFSET(ORÇAMENTO!$D$15,CRONO!$F47,0))),CRONO!AT$12,OFFSET(CÁLCULO!$AR$15:$BR$15,$F47,0,OFFSET(ORÇAMENTO!$D$15,CRONO!$F47,0)))
                +IF(AND($F49&lt;&gt;"",$F49&lt;&gt;0),
                        SUMIF(CÁLCULO!$BS$15:$CS$205,CRONO!AT$12,CÁLCULO!$AR$15:$BR$205)/(ORÇAMENTO!$X$15-_xlfn.single(CÁLCULO.TotalAdmLocal))*CRONO!$F49,
                        0),
                 AT48*$S47),
          SUMIF(OFFSET($S49,1,0,$R47-2),($M47+1)&amp;"$",OFFSET(AT49,1,0,$R47-2)))</f>
        <v>0</v>
      </c>
      <c r="AU49" s="439" t="n">
        <f aca="false" t="array" ref="AU49:AU49">IF($R47=2,
         IF(AND(ACOMPANHAMENTO="PLE",ISNUMBER($F47)),
                SUMIF((OFFSET(CÁLCULO!$BS$15:$CS$15,$F47,0,OFFSET(ORÇAMENTO!$D$15,CRONO!$F47,0))),CRONO!AU$12,OFFSET(CÁLCULO!$AR$15:$BR$15,$F47,0,OFFSET(ORÇAMENTO!$D$15,CRONO!$F47,0)))
                +IF(AND($F49&lt;&gt;"",$F49&lt;&gt;0),
                        SUMIF(CÁLCULO!$BS$15:$CS$205,CRONO!AU$12,CÁLCULO!$AR$15:$BR$205)/(ORÇAMENTO!$X$15-_xlfn.single(CÁLCULO.TotalAdmLocal))*CRONO!$F49,
                        0),
                 AU48*$S47),
          SUMIF(OFFSET($S49,1,0,$R47-2),($M47+1)&amp;"$",OFFSET(AU49,1,0,$R47-2)))</f>
        <v>0</v>
      </c>
      <c r="AV49" s="439" t="n">
        <f aca="false" t="array" ref="AV49:AV49">IF($R47=2,
         IF(AND(ACOMPANHAMENTO="PLE",ISNUMBER($F47)),
                SUMIF((OFFSET(CÁLCULO!$BS$15:$CS$15,$F47,0,OFFSET(ORÇAMENTO!$D$15,CRONO!$F47,0))),CRONO!AV$12,OFFSET(CÁLCULO!$AR$15:$BR$15,$F47,0,OFFSET(ORÇAMENTO!$D$15,CRONO!$F47,0)))
                +IF(AND($F49&lt;&gt;"",$F49&lt;&gt;0),
                        SUMIF(CÁLCULO!$BS$15:$CS$205,CRONO!AV$12,CÁLCULO!$AR$15:$BR$205)/(ORÇAMENTO!$X$15-_xlfn.single(CÁLCULO.TotalAdmLocal))*CRONO!$F49,
                        0),
                 AV48*$S47),
          SUMIF(OFFSET($S49,1,0,$R47-2),($M47+1)&amp;"$",OFFSET(AV49,1,0,$R47-2)))</f>
        <v>0</v>
      </c>
      <c r="AW49" s="439" t="n">
        <f aca="false" t="array" ref="AW49:AW49">IF($R47=2,
         IF(AND(ACOMPANHAMENTO="PLE",ISNUMBER($F47)),
                SUMIF((OFFSET(CÁLCULO!$BS$15:$CS$15,$F47,0,OFFSET(ORÇAMENTO!$D$15,CRONO!$F47,0))),CRONO!AW$12,OFFSET(CÁLCULO!$AR$15:$BR$15,$F47,0,OFFSET(ORÇAMENTO!$D$15,CRONO!$F47,0)))
                +IF(AND($F49&lt;&gt;"",$F49&lt;&gt;0),
                        SUMIF(CÁLCULO!$BS$15:$CS$205,CRONO!AW$12,CÁLCULO!$AR$15:$BR$205)/(ORÇAMENTO!$X$15-_xlfn.single(CÁLCULO.TotalAdmLocal))*CRONO!$F49,
                        0),
                 AW48*$S47),
          SUMIF(OFFSET($S49,1,0,$R47-2),($M47+1)&amp;"$",OFFSET(AW49,1,0,$R47-2)))</f>
        <v>0</v>
      </c>
      <c r="AX49" s="439" t="n">
        <f aca="false" t="array" ref="AX49:AX49">IF($R47=2,
         IF(AND(ACOMPANHAMENTO="PLE",ISNUMBER($F47)),
                SUMIF((OFFSET(CÁLCULO!$BS$15:$CS$15,$F47,0,OFFSET(ORÇAMENTO!$D$15,CRONO!$F47,0))),CRONO!AX$12,OFFSET(CÁLCULO!$AR$15:$BR$15,$F47,0,OFFSET(ORÇAMENTO!$D$15,CRONO!$F47,0)))
                +IF(AND($F49&lt;&gt;"",$F49&lt;&gt;0),
                        SUMIF(CÁLCULO!$BS$15:$CS$205,CRONO!AX$12,CÁLCULO!$AR$15:$BR$205)/(ORÇAMENTO!$X$15-_xlfn.single(CÁLCULO.TotalAdmLocal))*CRONO!$F49,
                        0),
                 AX48*$S47),
          SUMIF(OFFSET($S49,1,0,$R47-2),($M47+1)&amp;"$",OFFSET(AX49,1,0,$R47-2)))</f>
        <v>0</v>
      </c>
      <c r="AY49" s="439" t="n">
        <f aca="false" t="array" ref="AY49:AY49">IF($R47=2,
         IF(AND(ACOMPANHAMENTO="PLE",ISNUMBER($F47)),
                SUMIF((OFFSET(CÁLCULO!$BS$15:$CS$15,$F47,0,OFFSET(ORÇAMENTO!$D$15,CRONO!$F47,0))),CRONO!AY$12,OFFSET(CÁLCULO!$AR$15:$BR$15,$F47,0,OFFSET(ORÇAMENTO!$D$15,CRONO!$F47,0)))
                +IF(AND($F49&lt;&gt;"",$F49&lt;&gt;0),
                        SUMIF(CÁLCULO!$BS$15:$CS$205,CRONO!AY$12,CÁLCULO!$AR$15:$BR$205)/(ORÇAMENTO!$X$15-_xlfn.single(CÁLCULO.TotalAdmLocal))*CRONO!$F49,
                        0),
                 AY48*$S47),
          SUMIF(OFFSET($S49,1,0,$R47-2),($M47+1)&amp;"$",OFFSET(AY49,1,0,$R47-2)))</f>
        <v>0</v>
      </c>
      <c r="AZ49" s="439" t="n">
        <f aca="false" t="array" ref="AZ49:AZ49">IF($R47=2,
         IF(AND(ACOMPANHAMENTO="PLE",ISNUMBER($F47)),
                SUMIF((OFFSET(CÁLCULO!$BS$15:$CS$15,$F47,0,OFFSET(ORÇAMENTO!$D$15,CRONO!$F47,0))),CRONO!AZ$12,OFFSET(CÁLCULO!$AR$15:$BR$15,$F47,0,OFFSET(ORÇAMENTO!$D$15,CRONO!$F47,0)))
                +IF(AND($F49&lt;&gt;"",$F49&lt;&gt;0),
                        SUMIF(CÁLCULO!$BS$15:$CS$205,CRONO!AZ$12,CÁLCULO!$AR$15:$BR$205)/(ORÇAMENTO!$X$15-_xlfn.single(CÁLCULO.TotalAdmLocal))*CRONO!$F49,
                        0),
                 AZ48*$S47),
          SUMIF(OFFSET($S49,1,0,$R47-2),($M47+1)&amp;"$",OFFSET(AZ49,1,0,$R47-2)))</f>
        <v>0</v>
      </c>
      <c r="BA49" s="439" t="n">
        <f aca="false" t="array" ref="BA49:BA49">IF($R47=2,
         IF(AND(ACOMPANHAMENTO="PLE",ISNUMBER($F47)),
                SUMIF((OFFSET(CÁLCULO!$BS$15:$CS$15,$F47,0,OFFSET(ORÇAMENTO!$D$15,CRONO!$F47,0))),CRONO!BA$12,OFFSET(CÁLCULO!$AR$15:$BR$15,$F47,0,OFFSET(ORÇAMENTO!$D$15,CRONO!$F47,0)))
                +IF(AND($F49&lt;&gt;"",$F49&lt;&gt;0),
                        SUMIF(CÁLCULO!$BS$15:$CS$205,CRONO!BA$12,CÁLCULO!$AR$15:$BR$205)/(ORÇAMENTO!$X$15-_xlfn.single(CÁLCULO.TotalAdmLocal))*CRONO!$F49,
                        0),
                 BA48*$S47),
          SUMIF(OFFSET($S49,1,0,$R47-2),($M47+1)&amp;"$",OFFSET(BA49,1,0,$R47-2)))</f>
        <v>0</v>
      </c>
      <c r="BB49" s="439" t="n">
        <f aca="false" t="array" ref="BB49:BB49">IF($R47=2,
         IF(AND(ACOMPANHAMENTO="PLE",ISNUMBER($F47)),
                SUMIF((OFFSET(CÁLCULO!$BS$15:$CS$15,$F47,0,OFFSET(ORÇAMENTO!$D$15,CRONO!$F47,0))),CRONO!BB$12,OFFSET(CÁLCULO!$AR$15:$BR$15,$F47,0,OFFSET(ORÇAMENTO!$D$15,CRONO!$F47,0)))
                +IF(AND($F49&lt;&gt;"",$F49&lt;&gt;0),
                        SUMIF(CÁLCULO!$BS$15:$CS$205,CRONO!BB$12,CÁLCULO!$AR$15:$BR$205)/(ORÇAMENTO!$X$15-_xlfn.single(CÁLCULO.TotalAdmLocal))*CRONO!$F49,
                        0),
                 BB48*$S47),
          SUMIF(OFFSET($S49,1,0,$R47-2),($M47+1)&amp;"$",OFFSET(BB49,1,0,$R47-2)))</f>
        <v>0</v>
      </c>
      <c r="BC49" s="439" t="n">
        <f aca="false" t="array" ref="BC49:BC49">IF($R47=2,
         IF(AND(ACOMPANHAMENTO="PLE",ISNUMBER($F47)),
                SUMIF((OFFSET(CÁLCULO!$BS$15:$CS$15,$F47,0,OFFSET(ORÇAMENTO!$D$15,CRONO!$F47,0))),CRONO!BC$12,OFFSET(CÁLCULO!$AR$15:$BR$15,$F47,0,OFFSET(ORÇAMENTO!$D$15,CRONO!$F47,0)))
                +IF(AND($F49&lt;&gt;"",$F49&lt;&gt;0),
                        SUMIF(CÁLCULO!$BS$15:$CS$205,CRONO!BC$12,CÁLCULO!$AR$15:$BR$205)/(ORÇAMENTO!$X$15-_xlfn.single(CÁLCULO.TotalAdmLocal))*CRONO!$F49,
                        0),
                 BC48*$S47),
          SUMIF(OFFSET($S49,1,0,$R47-2),($M47+1)&amp;"$",OFFSET(BC49,1,0,$R47-2)))</f>
        <v>0</v>
      </c>
      <c r="BD49" s="439" t="n">
        <f aca="false" t="array" ref="BD49:BD49">IF($R47=2,
         IF(AND(ACOMPANHAMENTO="PLE",ISNUMBER($F47)),
                SUMIF((OFFSET(CÁLCULO!$BS$15:$CS$15,$F47,0,OFFSET(ORÇAMENTO!$D$15,CRONO!$F47,0))),CRONO!BD$12,OFFSET(CÁLCULO!$AR$15:$BR$15,$F47,0,OFFSET(ORÇAMENTO!$D$15,CRONO!$F47,0)))
                +IF(AND($F49&lt;&gt;"",$F49&lt;&gt;0),
                        SUMIF(CÁLCULO!$BS$15:$CS$205,CRONO!BD$12,CÁLCULO!$AR$15:$BR$205)/(ORÇAMENTO!$X$15-_xlfn.single(CÁLCULO.TotalAdmLocal))*CRONO!$F49,
                        0),
                 BD48*$S47),
          SUMIF(OFFSET($S49,1,0,$R47-2),($M47+1)&amp;"$",OFFSET(BD49,1,0,$R47-2)))</f>
        <v>0</v>
      </c>
      <c r="BE49" s="430"/>
    </row>
    <row r="50" customFormat="false" ht="12.75" hidden="false" customHeight="false" outlineLevel="0" collapsed="false">
      <c r="A50" s="382" t="str">
        <f aca="false">IF($M50&gt;1,_xlfn.CONCAT($I50," ",$J50),"")</f>
        <v>1.12. ESQUADRIAS METÁLICAS</v>
      </c>
      <c r="B50" s="419" t="n">
        <f aca="true">OFFSET(B50,-3,0)+1</f>
        <v>13</v>
      </c>
      <c r="C50" s="419" t="n">
        <f aca="true">IF($R50&lt;&gt;2,0,IF($S50=0,1,IF(F51&gt;0,OFFSET(QCI!$M$13,SUBSTITUTE(F51,".",""),0),OFFSET(ORÇAMENTO!$AA$15,CRONO!$F50,0))/$S50))</f>
        <v>0.110981526562671</v>
      </c>
      <c r="D50" s="419" t="n">
        <f aca="true">IF($R50&lt;&gt;2,0,IF($S50=0,1,IF(F51&gt;0,OFFSET(QCI!$N$13,SUBSTITUTE(F51,".",""),0),OFFSET(ORÇAMENTO!$AB$15,CRONO!$F50,0))/$S50))</f>
        <v>0</v>
      </c>
      <c r="E50" s="422" t="n">
        <f aca="false" t="array" ref="E50:E50">IF(AND($R50=2,ACOMPANHAMENTO="BM"),ROUND(E51,4),E52/$S50)</f>
        <v>0.04</v>
      </c>
      <c r="F50" s="419" t="n">
        <f aca="true">IF(B50&lt;=ORÇAMENTO.MáximoListaCrono,MATCH(B50,ORÇAMENTO.ListaCrono,0),NA())</f>
        <v>45</v>
      </c>
      <c r="G50" s="419" t="str">
        <f aca="false">IF(AND($F51&lt;&gt;-1,$S50&gt;0),"F","")</f>
        <v>F</v>
      </c>
      <c r="H50" s="423" t="str">
        <f aca="false" t="array" ref="H50:H50">IF(OR(S50=0,S50=""),"Linha",IF(AND(OR(ACOMPANHAMENTO="PLE",$R50&lt;&gt;2),$F51=0),"Linha",ROUND(1-SUM(U50:BE50),4)))</f>
        <v>Linha</v>
      </c>
      <c r="I50" s="424" t="str">
        <f aca="true">IF($F51=0,OFFSET(ORÇAMENTO!O$15,$F50,0),IF($F51&lt;&gt;-1,OFFSET(QCI!$D$13,$F51,0),""))</f>
        <v>1.12.</v>
      </c>
      <c r="J50" s="425" t="str">
        <f aca="true">IF($F51=0,OFFSET(ORÇAMENTO!R$15,$F50,0),IF($F51&lt;&gt;-1,OFFSET(QCI!$G$13,$F51,0),""))</f>
        <v>ESQUADRIAS METÁLICAS</v>
      </c>
      <c r="K50" s="425"/>
      <c r="L50" s="425"/>
      <c r="M50" s="426" t="n">
        <f aca="true">IF($F51=0,OFFSET(ORÇAMENTO!C$15,$F50,0),1)</f>
        <v>2</v>
      </c>
      <c r="N50" s="427" t="n">
        <f aca="true">IF($F51=-1,0,IF(N$13&lt;=$M50,IF(ISERROR(MATCH(N$13,OFFSET($M50,1,0,ROW($M$182)-ROW($M50)-1),0)),ROW($M$182)-ROW($M50)-1,MATCH(N$13,OFFSET($M50,1,0,ROW($M$182)-ROW($M50)-1),0)-1),0))</f>
        <v>131</v>
      </c>
      <c r="O50" s="427" t="n">
        <f aca="true">IF($F51=-1,0,IF(O$13&lt;=$M50,IF(ISERROR(MATCH(O$13,OFFSET($M50,1,0,ROW($M$182)-ROW($M50)-1),0)),ROW($M$182)-ROW($M50)-1,MATCH(O$13,OFFSET($M50,1,0,ROW($M$182)-ROW($M50)-1),0)-1),0))</f>
        <v>2</v>
      </c>
      <c r="P50" s="427" t="n">
        <f aca="true">IF($F51=-1,0,IF(P$13&lt;=$M50,IF(ISERROR(MATCH(P$13,OFFSET($M50,1,0,ROW($M$182)-ROW($M50)-1),0)),ROW($M$182)-ROW($M50)-1,MATCH(P$13,OFFSET($M50,1,0,ROW($M$182)-ROW($M50)-1),0)-1),0))</f>
        <v>0</v>
      </c>
      <c r="Q50" s="427" t="n">
        <f aca="true">IF($F51=-1,0,IF(Q$13&lt;=$M50,IF(ISERROR(MATCH(Q$13,OFFSET($M50,1,0,ROW($M$182)-ROW($M50)-1),0)),ROW($M$182)-ROW($M50)-1,MATCH(Q$13,OFFSET($M50,1,0,ROW($M$182)-ROW($M50)-1),0)-1),0))</f>
        <v>0</v>
      </c>
      <c r="R50" s="427" t="n">
        <f aca="true">MIN(OFFSET(M50,0,1,,M50))</f>
        <v>2</v>
      </c>
      <c r="S50" s="428" t="n">
        <f aca="true">IF($F51=0,OFFSET(ORÇAMENTO!X$15,$F50,0),IF($F51&lt;&gt;-1,OFFSET(QCI!$O$13,$F51,0),""))</f>
        <v>65420.5</v>
      </c>
      <c r="T50" s="429" t="s">
        <v>996</v>
      </c>
      <c r="U50" s="422" t="n">
        <f aca="false" t="array" ref="U50:U50">IF(AND($R50=2,ACOMPANHAMENTO="BM"),ROUND(U51,4),U52/$S50)</f>
        <v>0.04</v>
      </c>
      <c r="V50" s="422" t="n">
        <f aca="false" t="array" ref="V50:V50">IF(AND($R50=2,ACOMPANHAMENTO="BM"),ROUND(V51,4),V52/$S50)</f>
        <v>0.04</v>
      </c>
      <c r="W50" s="422" t="n">
        <f aca="false" t="array" ref="W50:W50">IF(AND($R50=2,ACOMPANHAMENTO="BM"),ROUND(W51,4),W52/$S50)</f>
        <v>0.04</v>
      </c>
      <c r="X50" s="422" t="n">
        <f aca="false" t="array" ref="X50:X50">IF(AND($R50=2,ACOMPANHAMENTO="BM"),ROUND(X51,4),X52/$S50)</f>
        <v>0.04</v>
      </c>
      <c r="Y50" s="422" t="n">
        <f aca="false" t="array" ref="Y50:Y50">IF(AND($R50=2,ACOMPANHAMENTO="BM"),ROUND(Y51,4),Y52/$S50)</f>
        <v>0.04</v>
      </c>
      <c r="Z50" s="422" t="n">
        <f aca="false" t="array" ref="Z50:Z50">IF(AND($R50=2,ACOMPANHAMENTO="BM"),ROUND(Z51,4),Z52/$S50)</f>
        <v>0.04</v>
      </c>
      <c r="AA50" s="422" t="n">
        <f aca="false" t="array" ref="AA50:AA50">IF(AND($R50=2,ACOMPANHAMENTO="BM"),ROUND(AA51,4),AA52/$S50)</f>
        <v>0.04</v>
      </c>
      <c r="AB50" s="422" t="n">
        <f aca="false" t="array" ref="AB50:AB50">IF(AND($R50=2,ACOMPANHAMENTO="BM"),ROUND(AB51,4),AB52/$S50)</f>
        <v>0.04</v>
      </c>
      <c r="AC50" s="422" t="n">
        <f aca="false" t="array" ref="AC50:AC50">IF(AND($R50=2,ACOMPANHAMENTO="BM"),ROUND(AC51,4),AC52/$S50)</f>
        <v>0.04</v>
      </c>
      <c r="AD50" s="422" t="n">
        <f aca="false" t="array" ref="AD50:AD50">IF(AND($R50=2,ACOMPANHAMENTO="BM"),ROUND(AD51,4),AD52/$S50)</f>
        <v>0.04</v>
      </c>
      <c r="AE50" s="422" t="n">
        <f aca="false" t="array" ref="AE50:AE50">IF(AND($R50=2,ACOMPANHAMENTO="BM"),ROUND(AE51,4),AE52/$S50)</f>
        <v>0.04</v>
      </c>
      <c r="AF50" s="422" t="n">
        <f aca="false" t="array" ref="AF50:AF50">IF(AND($R50=2,ACOMPANHAMENTO="BM"),ROUND(AF51,4),AF52/$S50)</f>
        <v>0.04</v>
      </c>
      <c r="AG50" s="422" t="n">
        <f aca="false" t="array" ref="AG50:AG50">IF(AND($R50=2,ACOMPANHAMENTO="BM"),ROUND(AG51,4),AG52/$S50)</f>
        <v>0.04</v>
      </c>
      <c r="AH50" s="422" t="n">
        <f aca="false" t="array" ref="AH50:AH50">IF(AND($R50=2,ACOMPANHAMENTO="BM"),ROUND(AH51,4),AH52/$S50)</f>
        <v>0.04</v>
      </c>
      <c r="AI50" s="422" t="n">
        <f aca="false" t="array" ref="AI50:AI50">IF(AND($R50=2,ACOMPANHAMENTO="BM"),ROUND(AI51,4),AI52/$S50)</f>
        <v>0.04</v>
      </c>
      <c r="AJ50" s="422" t="n">
        <f aca="false" t="array" ref="AJ50:AJ50">IF(AND($R50=2,ACOMPANHAMENTO="BM"),ROUND(AJ51,4),AJ52/$S50)</f>
        <v>0.04</v>
      </c>
      <c r="AK50" s="422" t="n">
        <f aca="false" t="array" ref="AK50:AK50">IF(AND($R50=2,ACOMPANHAMENTO="BM"),ROUND(AK51,4),AK52/$S50)</f>
        <v>0.04</v>
      </c>
      <c r="AL50" s="422" t="n">
        <f aca="false" t="array" ref="AL50:AL50">IF(AND($R50=2,ACOMPANHAMENTO="BM"),ROUND(AL51,4),AL52/$S50)</f>
        <v>0.04</v>
      </c>
      <c r="AM50" s="422" t="n">
        <f aca="false" t="array" ref="AM50:AM50">IF(AND($R50=2,ACOMPANHAMENTO="BM"),ROUND(AM51,4),AM52/$S50)</f>
        <v>0.04</v>
      </c>
      <c r="AN50" s="422" t="n">
        <f aca="false" t="array" ref="AN50:AN50">IF(AND($R50=2,ACOMPANHAMENTO="BM"),ROUND(AN51,4),AN52/$S50)</f>
        <v>0.04</v>
      </c>
      <c r="AO50" s="422" t="n">
        <f aca="false" t="array" ref="AO50:AO50">IF(AND($R50=2,ACOMPANHAMENTO="BM"),ROUND(AO51,4),AO52/$S50)</f>
        <v>0.04</v>
      </c>
      <c r="AP50" s="422" t="n">
        <f aca="false" t="array" ref="AP50:AP50">IF(AND($R50=2,ACOMPANHAMENTO="BM"),ROUND(AP51,4),AP52/$S50)</f>
        <v>0.04</v>
      </c>
      <c r="AQ50" s="422" t="n">
        <f aca="false" t="array" ref="AQ50:AQ50">IF(AND($R50=2,ACOMPANHAMENTO="BM"),ROUND(AQ51,4),AQ52/$S50)</f>
        <v>0.04</v>
      </c>
      <c r="AR50" s="422" t="n">
        <f aca="false" t="array" ref="AR50:AR50">IF(AND($R50=2,ACOMPANHAMENTO="BM"),ROUND(AR51,4),AR52/$S50)</f>
        <v>0.04</v>
      </c>
      <c r="AS50" s="422" t="n">
        <f aca="false" t="array" ref="AS50:AS50">IF(AND($R50=2,ACOMPANHAMENTO="BM"),ROUND(AS51,4),AS52/$S50)</f>
        <v>0.04</v>
      </c>
      <c r="AT50" s="422" t="n">
        <f aca="false" t="array" ref="AT50:AT50">IF(AND($R50=2,ACOMPANHAMENTO="BM"),ROUND(AT51,4),AT52/$S50)</f>
        <v>0</v>
      </c>
      <c r="AU50" s="422" t="n">
        <f aca="false" t="array" ref="AU50:AU50">IF(AND($R50=2,ACOMPANHAMENTO="BM"),ROUND(AU51,4),AU52/$S50)</f>
        <v>0</v>
      </c>
      <c r="AV50" s="422" t="n">
        <f aca="false" t="array" ref="AV50:AV50">IF(AND($R50=2,ACOMPANHAMENTO="BM"),ROUND(AV51,4),AV52/$S50)</f>
        <v>0</v>
      </c>
      <c r="AW50" s="422" t="n">
        <f aca="false" t="array" ref="AW50:AW50">IF(AND($R50=2,ACOMPANHAMENTO="BM"),ROUND(AW51,4),AW52/$S50)</f>
        <v>0</v>
      </c>
      <c r="AX50" s="422" t="n">
        <f aca="false" t="array" ref="AX50:AX50">IF(AND($R50=2,ACOMPANHAMENTO="BM"),ROUND(AX51,4),AX52/$S50)</f>
        <v>0</v>
      </c>
      <c r="AY50" s="422" t="n">
        <f aca="false" t="array" ref="AY50:AY50">IF(AND($R50=2,ACOMPANHAMENTO="BM"),ROUND(AY51,4),AY52/$S50)</f>
        <v>0</v>
      </c>
      <c r="AZ50" s="422" t="n">
        <f aca="false" t="array" ref="AZ50:AZ50">IF(AND($R50=2,ACOMPANHAMENTO="BM"),ROUND(AZ51,4),AZ52/$S50)</f>
        <v>0</v>
      </c>
      <c r="BA50" s="422" t="n">
        <f aca="false" t="array" ref="BA50:BA50">IF(AND($R50=2,ACOMPANHAMENTO="BM"),ROUND(BA51,4),BA52/$S50)</f>
        <v>0</v>
      </c>
      <c r="BB50" s="422" t="n">
        <f aca="false" t="array" ref="BB50:BB50">IF(AND($R50=2,ACOMPANHAMENTO="BM"),ROUND(BB51,4),BB52/$S50)</f>
        <v>0</v>
      </c>
      <c r="BC50" s="422" t="n">
        <f aca="false" t="array" ref="BC50:BC50">IF(AND($R50=2,ACOMPANHAMENTO="BM"),ROUND(BC51,4),BC52/$S50)</f>
        <v>0</v>
      </c>
      <c r="BD50" s="422" t="n">
        <f aca="false" t="array" ref="BD50:BD50">IF(AND($R50=2,ACOMPANHAMENTO="BM"),ROUND(BD51,4),BD52/$S50)</f>
        <v>0</v>
      </c>
      <c r="BE50" s="430"/>
    </row>
    <row r="51" customFormat="false" ht="12.75" hidden="true" customHeight="true" outlineLevel="0" collapsed="false">
      <c r="E51" s="431"/>
      <c r="F51" s="419" t="n">
        <f aca="true">IF(ISERROR(F50),IF(1+COUNTIF($M$13:OFFSET(M50,-1,0),1)&lt;=MAX(QCI!$D$13:$D$15),1+COUNTIF($M$13:OFFSET(M50,-1,0),1),-1),0)</f>
        <v>0</v>
      </c>
      <c r="G51" s="419" t="str">
        <f aca="true" t="array" ref="G51:G51">IF(ACOMPANHAMENTO="BM",OFFSET(G51,-1,0),"")</f>
        <v/>
      </c>
      <c r="H51" s="432" t="str">
        <f aca="false" t="array" ref="H51:H51">IF(OR(S50=0,S50=""),"vazia",IF(AND(OR(ACOMPANHAMENTO="PLE",$R50&lt;&gt;2),$F51=0),"calculada","--&gt;"))</f>
        <v>calculada</v>
      </c>
      <c r="I51" s="433"/>
      <c r="J51" s="434" t="str">
        <f aca="false">IF(AND(H50&lt;&gt;0,ISNUMBER(H50)),"PREENCHA ESTA LINHA --&gt;","")</f>
        <v/>
      </c>
      <c r="K51" s="434"/>
      <c r="L51" s="434"/>
      <c r="M51" s="435"/>
      <c r="N51" s="435"/>
      <c r="O51" s="435"/>
      <c r="P51" s="435"/>
      <c r="Q51" s="435"/>
      <c r="R51" s="435"/>
      <c r="S51" s="436"/>
      <c r="T51" s="437"/>
      <c r="U51" s="431"/>
      <c r="V51" s="431"/>
      <c r="W51" s="431"/>
      <c r="X51" s="431"/>
      <c r="Y51" s="431"/>
      <c r="Z51" s="431"/>
      <c r="AA51" s="431"/>
      <c r="AB51" s="431"/>
      <c r="AC51" s="431"/>
      <c r="AD51" s="431"/>
      <c r="AE51" s="431"/>
      <c r="AF51" s="431"/>
      <c r="AG51" s="431"/>
      <c r="AH51" s="431"/>
      <c r="AI51" s="431"/>
      <c r="AJ51" s="431"/>
      <c r="AK51" s="431"/>
      <c r="AL51" s="431"/>
      <c r="AM51" s="431"/>
      <c r="AN51" s="431"/>
      <c r="AO51" s="431"/>
      <c r="AP51" s="431"/>
      <c r="AQ51" s="431"/>
      <c r="AR51" s="431"/>
      <c r="AS51" s="431"/>
      <c r="AT51" s="431"/>
      <c r="AU51" s="431"/>
      <c r="AV51" s="431"/>
      <c r="AW51" s="431"/>
      <c r="AX51" s="431"/>
      <c r="AY51" s="431"/>
      <c r="AZ51" s="431"/>
      <c r="BA51" s="431"/>
      <c r="BB51" s="431"/>
      <c r="BC51" s="431"/>
      <c r="BD51" s="431"/>
      <c r="BE51" s="430"/>
    </row>
    <row r="52" customFormat="false" ht="12.75" hidden="true" customHeight="true" outlineLevel="0" collapsed="false">
      <c r="D52" s="438"/>
      <c r="E52" s="439" t="n">
        <f aca="false" t="array" ref="E52:E52">IF($R50=2,
         IF(AND(ACOMPANHAMENTO="PLE",ISNUMBER($F50)),
                SUMIF((OFFSET(CÁLCULO!$BS$15:$CS$15,$F50,0,OFFSET(ORÇAMENTO!$D$15,CRONO!$F50,0))),CRONO!E$12,OFFSET(CÁLCULO!$AR$15:$BR$15,$F50,0,OFFSET(ORÇAMENTO!$D$15,CRONO!$F50,0)))
                +IF(AND($F52&lt;&gt;"",$F52&lt;&gt;0),
                        SUMIF(CÁLCULO!$BS$15:$CS$205,CRONO!E$12,CÁLCULO!$AR$15:$BR$205)/(ORÇAMENTO!$X$15-_xlfn.single(CÁLCULO.TotalAdmLocal))*CRONO!$F52,
                        0),
                 E51*$S50),
          SUMIF(OFFSET($S52,1,0,$R50-2),($M50+1)&amp;"$",OFFSET(E52,1,0,$R50-2)))</f>
        <v>2616.82</v>
      </c>
      <c r="F52" s="419" t="str">
        <f aca="true">IF(OR($R50&lt;&gt;2,AUTOEVENTO&lt;&gt;"manual",$F51&gt;0),"",
        IF(Import.TipoArredondamento="Tradicional",
              SUMIF(OFFSET(CÁLCULO!$M$15,CRONO!$F50,0,OFFSET(ORÇAMENTO!$D$15,CRONO!$F50,0)),1,OFFSET(ORÇAMENTO!$X$15,CRONO!$F50,0,OFFSET(ORÇAMENTO!$D$15,CRONO!$F50,0))),
              0))</f>
        <v/>
      </c>
      <c r="H52" s="440"/>
      <c r="S52" s="441" t="str">
        <f aca="false">M50&amp;"$"</f>
        <v>2$</v>
      </c>
      <c r="T52" s="442"/>
      <c r="U52" s="439" t="n">
        <f aca="false" t="array" ref="U52:U52">IF($R50=2,
         IF(AND(ACOMPANHAMENTO="PLE",ISNUMBER($F50)),
                SUMIF((OFFSET(CÁLCULO!$BS$15:$CS$15,$F50,0,OFFSET(ORÇAMENTO!$D$15,CRONO!$F50,0))),CRONO!U$12,OFFSET(CÁLCULO!$AR$15:$BR$15,$F50,0,OFFSET(ORÇAMENTO!$D$15,CRONO!$F50,0)))
                +IF(AND($F52&lt;&gt;"",$F52&lt;&gt;0),
                        SUMIF(CÁLCULO!$BS$15:$CS$205,CRONO!U$12,CÁLCULO!$AR$15:$BR$205)/(ORÇAMENTO!$X$15-_xlfn.single(CÁLCULO.TotalAdmLocal))*CRONO!$F52,
                        0),
                 U51*$S50),
          SUMIF(OFFSET($S52,1,0,$R50-2),($M50+1)&amp;"$",OFFSET(U52,1,0,$R50-2)))</f>
        <v>2616.82</v>
      </c>
      <c r="V52" s="439" t="n">
        <f aca="false" t="array" ref="V52:V52">IF($R50=2,
         IF(AND(ACOMPANHAMENTO="PLE",ISNUMBER($F50)),
                SUMIF((OFFSET(CÁLCULO!$BS$15:$CS$15,$F50,0,OFFSET(ORÇAMENTO!$D$15,CRONO!$F50,0))),CRONO!V$12,OFFSET(CÁLCULO!$AR$15:$BR$15,$F50,0,OFFSET(ORÇAMENTO!$D$15,CRONO!$F50,0)))
                +IF(AND($F52&lt;&gt;"",$F52&lt;&gt;0),
                        SUMIF(CÁLCULO!$BS$15:$CS$205,CRONO!V$12,CÁLCULO!$AR$15:$BR$205)/(ORÇAMENTO!$X$15-_xlfn.single(CÁLCULO.TotalAdmLocal))*CRONO!$F52,
                        0),
                 V51*$S50),
          SUMIF(OFFSET($S52,1,0,$R50-2),($M50+1)&amp;"$",OFFSET(V52,1,0,$R50-2)))</f>
        <v>2616.82</v>
      </c>
      <c r="W52" s="439" t="n">
        <f aca="false" t="array" ref="W52:W52">IF($R50=2,
         IF(AND(ACOMPANHAMENTO="PLE",ISNUMBER($F50)),
                SUMIF((OFFSET(CÁLCULO!$BS$15:$CS$15,$F50,0,OFFSET(ORÇAMENTO!$D$15,CRONO!$F50,0))),CRONO!W$12,OFFSET(CÁLCULO!$AR$15:$BR$15,$F50,0,OFFSET(ORÇAMENTO!$D$15,CRONO!$F50,0)))
                +IF(AND($F52&lt;&gt;"",$F52&lt;&gt;0),
                        SUMIF(CÁLCULO!$BS$15:$CS$205,CRONO!W$12,CÁLCULO!$AR$15:$BR$205)/(ORÇAMENTO!$X$15-_xlfn.single(CÁLCULO.TotalAdmLocal))*CRONO!$F52,
                        0),
                 W51*$S50),
          SUMIF(OFFSET($S52,1,0,$R50-2),($M50+1)&amp;"$",OFFSET(W52,1,0,$R50-2)))</f>
        <v>2616.82</v>
      </c>
      <c r="X52" s="439" t="n">
        <f aca="false" t="array" ref="X52:X52">IF($R50=2,
         IF(AND(ACOMPANHAMENTO="PLE",ISNUMBER($F50)),
                SUMIF((OFFSET(CÁLCULO!$BS$15:$CS$15,$F50,0,OFFSET(ORÇAMENTO!$D$15,CRONO!$F50,0))),CRONO!X$12,OFFSET(CÁLCULO!$AR$15:$BR$15,$F50,0,OFFSET(ORÇAMENTO!$D$15,CRONO!$F50,0)))
                +IF(AND($F52&lt;&gt;"",$F52&lt;&gt;0),
                        SUMIF(CÁLCULO!$BS$15:$CS$205,CRONO!X$12,CÁLCULO!$AR$15:$BR$205)/(ORÇAMENTO!$X$15-_xlfn.single(CÁLCULO.TotalAdmLocal))*CRONO!$F52,
                        0),
                 X51*$S50),
          SUMIF(OFFSET($S52,1,0,$R50-2),($M50+1)&amp;"$",OFFSET(X52,1,0,$R50-2)))</f>
        <v>2616.82</v>
      </c>
      <c r="Y52" s="439" t="n">
        <f aca="false" t="array" ref="Y52:Y52">IF($R50=2,
         IF(AND(ACOMPANHAMENTO="PLE",ISNUMBER($F50)),
                SUMIF((OFFSET(CÁLCULO!$BS$15:$CS$15,$F50,0,OFFSET(ORÇAMENTO!$D$15,CRONO!$F50,0))),CRONO!Y$12,OFFSET(CÁLCULO!$AR$15:$BR$15,$F50,0,OFFSET(ORÇAMENTO!$D$15,CRONO!$F50,0)))
                +IF(AND($F52&lt;&gt;"",$F52&lt;&gt;0),
                        SUMIF(CÁLCULO!$BS$15:$CS$205,CRONO!Y$12,CÁLCULO!$AR$15:$BR$205)/(ORÇAMENTO!$X$15-_xlfn.single(CÁLCULO.TotalAdmLocal))*CRONO!$F52,
                        0),
                 Y51*$S50),
          SUMIF(OFFSET($S52,1,0,$R50-2),($M50+1)&amp;"$",OFFSET(Y52,1,0,$R50-2)))</f>
        <v>2616.82</v>
      </c>
      <c r="Z52" s="439" t="n">
        <f aca="false" t="array" ref="Z52:Z52">IF($R50=2,
         IF(AND(ACOMPANHAMENTO="PLE",ISNUMBER($F50)),
                SUMIF((OFFSET(CÁLCULO!$BS$15:$CS$15,$F50,0,OFFSET(ORÇAMENTO!$D$15,CRONO!$F50,0))),CRONO!Z$12,OFFSET(CÁLCULO!$AR$15:$BR$15,$F50,0,OFFSET(ORÇAMENTO!$D$15,CRONO!$F50,0)))
                +IF(AND($F52&lt;&gt;"",$F52&lt;&gt;0),
                        SUMIF(CÁLCULO!$BS$15:$CS$205,CRONO!Z$12,CÁLCULO!$AR$15:$BR$205)/(ORÇAMENTO!$X$15-_xlfn.single(CÁLCULO.TotalAdmLocal))*CRONO!$F52,
                        0),
                 Z51*$S50),
          SUMIF(OFFSET($S52,1,0,$R50-2),($M50+1)&amp;"$",OFFSET(Z52,1,0,$R50-2)))</f>
        <v>2616.82</v>
      </c>
      <c r="AA52" s="439" t="n">
        <f aca="false" t="array" ref="AA52:AA52">IF($R50=2,
         IF(AND(ACOMPANHAMENTO="PLE",ISNUMBER($F50)),
                SUMIF((OFFSET(CÁLCULO!$BS$15:$CS$15,$F50,0,OFFSET(ORÇAMENTO!$D$15,CRONO!$F50,0))),CRONO!AA$12,OFFSET(CÁLCULO!$AR$15:$BR$15,$F50,0,OFFSET(ORÇAMENTO!$D$15,CRONO!$F50,0)))
                +IF(AND($F52&lt;&gt;"",$F52&lt;&gt;0),
                        SUMIF(CÁLCULO!$BS$15:$CS$205,CRONO!AA$12,CÁLCULO!$AR$15:$BR$205)/(ORÇAMENTO!$X$15-_xlfn.single(CÁLCULO.TotalAdmLocal))*CRONO!$F52,
                        0),
                 AA51*$S50),
          SUMIF(OFFSET($S52,1,0,$R50-2),($M50+1)&amp;"$",OFFSET(AA52,1,0,$R50-2)))</f>
        <v>2616.82</v>
      </c>
      <c r="AB52" s="439" t="n">
        <f aca="false" t="array" ref="AB52:AB52">IF($R50=2,
         IF(AND(ACOMPANHAMENTO="PLE",ISNUMBER($F50)),
                SUMIF((OFFSET(CÁLCULO!$BS$15:$CS$15,$F50,0,OFFSET(ORÇAMENTO!$D$15,CRONO!$F50,0))),CRONO!AB$12,OFFSET(CÁLCULO!$AR$15:$BR$15,$F50,0,OFFSET(ORÇAMENTO!$D$15,CRONO!$F50,0)))
                +IF(AND($F52&lt;&gt;"",$F52&lt;&gt;0),
                        SUMIF(CÁLCULO!$BS$15:$CS$205,CRONO!AB$12,CÁLCULO!$AR$15:$BR$205)/(ORÇAMENTO!$X$15-_xlfn.single(CÁLCULO.TotalAdmLocal))*CRONO!$F52,
                        0),
                 AB51*$S50),
          SUMIF(OFFSET($S52,1,0,$R50-2),($M50+1)&amp;"$",OFFSET(AB52,1,0,$R50-2)))</f>
        <v>2616.82</v>
      </c>
      <c r="AC52" s="439" t="n">
        <f aca="false" t="array" ref="AC52:AC52">IF($R50=2,
         IF(AND(ACOMPANHAMENTO="PLE",ISNUMBER($F50)),
                SUMIF((OFFSET(CÁLCULO!$BS$15:$CS$15,$F50,0,OFFSET(ORÇAMENTO!$D$15,CRONO!$F50,0))),CRONO!AC$12,OFFSET(CÁLCULO!$AR$15:$BR$15,$F50,0,OFFSET(ORÇAMENTO!$D$15,CRONO!$F50,0)))
                +IF(AND($F52&lt;&gt;"",$F52&lt;&gt;0),
                        SUMIF(CÁLCULO!$BS$15:$CS$205,CRONO!AC$12,CÁLCULO!$AR$15:$BR$205)/(ORÇAMENTO!$X$15-_xlfn.single(CÁLCULO.TotalAdmLocal))*CRONO!$F52,
                        0),
                 AC51*$S50),
          SUMIF(OFFSET($S52,1,0,$R50-2),($M50+1)&amp;"$",OFFSET(AC52,1,0,$R50-2)))</f>
        <v>2616.82</v>
      </c>
      <c r="AD52" s="439" t="n">
        <f aca="false" t="array" ref="AD52:AD52">IF($R50=2,
         IF(AND(ACOMPANHAMENTO="PLE",ISNUMBER($F50)),
                SUMIF((OFFSET(CÁLCULO!$BS$15:$CS$15,$F50,0,OFFSET(ORÇAMENTO!$D$15,CRONO!$F50,0))),CRONO!AD$12,OFFSET(CÁLCULO!$AR$15:$BR$15,$F50,0,OFFSET(ORÇAMENTO!$D$15,CRONO!$F50,0)))
                +IF(AND($F52&lt;&gt;"",$F52&lt;&gt;0),
                        SUMIF(CÁLCULO!$BS$15:$CS$205,CRONO!AD$12,CÁLCULO!$AR$15:$BR$205)/(ORÇAMENTO!$X$15-_xlfn.single(CÁLCULO.TotalAdmLocal))*CRONO!$F52,
                        0),
                 AD51*$S50),
          SUMIF(OFFSET($S52,1,0,$R50-2),($M50+1)&amp;"$",OFFSET(AD52,1,0,$R50-2)))</f>
        <v>2616.82</v>
      </c>
      <c r="AE52" s="439" t="n">
        <f aca="false" t="array" ref="AE52:AE52">IF($R50=2,
         IF(AND(ACOMPANHAMENTO="PLE",ISNUMBER($F50)),
                SUMIF((OFFSET(CÁLCULO!$BS$15:$CS$15,$F50,0,OFFSET(ORÇAMENTO!$D$15,CRONO!$F50,0))),CRONO!AE$12,OFFSET(CÁLCULO!$AR$15:$BR$15,$F50,0,OFFSET(ORÇAMENTO!$D$15,CRONO!$F50,0)))
                +IF(AND($F52&lt;&gt;"",$F52&lt;&gt;0),
                        SUMIF(CÁLCULO!$BS$15:$CS$205,CRONO!AE$12,CÁLCULO!$AR$15:$BR$205)/(ORÇAMENTO!$X$15-_xlfn.single(CÁLCULO.TotalAdmLocal))*CRONO!$F52,
                        0),
                 AE51*$S50),
          SUMIF(OFFSET($S52,1,0,$R50-2),($M50+1)&amp;"$",OFFSET(AE52,1,0,$R50-2)))</f>
        <v>2616.82</v>
      </c>
      <c r="AF52" s="439" t="n">
        <f aca="false" t="array" ref="AF52:AF52">IF($R50=2,
         IF(AND(ACOMPANHAMENTO="PLE",ISNUMBER($F50)),
                SUMIF((OFFSET(CÁLCULO!$BS$15:$CS$15,$F50,0,OFFSET(ORÇAMENTO!$D$15,CRONO!$F50,0))),CRONO!AF$12,OFFSET(CÁLCULO!$AR$15:$BR$15,$F50,0,OFFSET(ORÇAMENTO!$D$15,CRONO!$F50,0)))
                +IF(AND($F52&lt;&gt;"",$F52&lt;&gt;0),
                        SUMIF(CÁLCULO!$BS$15:$CS$205,CRONO!AF$12,CÁLCULO!$AR$15:$BR$205)/(ORÇAMENTO!$X$15-_xlfn.single(CÁLCULO.TotalAdmLocal))*CRONO!$F52,
                        0),
                 AF51*$S50),
          SUMIF(OFFSET($S52,1,0,$R50-2),($M50+1)&amp;"$",OFFSET(AF52,1,0,$R50-2)))</f>
        <v>2616.82</v>
      </c>
      <c r="AG52" s="439" t="n">
        <f aca="false" t="array" ref="AG52:AG52">IF($R50=2,
         IF(AND(ACOMPANHAMENTO="PLE",ISNUMBER($F50)),
                SUMIF((OFFSET(CÁLCULO!$BS$15:$CS$15,$F50,0,OFFSET(ORÇAMENTO!$D$15,CRONO!$F50,0))),CRONO!AG$12,OFFSET(CÁLCULO!$AR$15:$BR$15,$F50,0,OFFSET(ORÇAMENTO!$D$15,CRONO!$F50,0)))
                +IF(AND($F52&lt;&gt;"",$F52&lt;&gt;0),
                        SUMIF(CÁLCULO!$BS$15:$CS$205,CRONO!AG$12,CÁLCULO!$AR$15:$BR$205)/(ORÇAMENTO!$X$15-_xlfn.single(CÁLCULO.TotalAdmLocal))*CRONO!$F52,
                        0),
                 AG51*$S50),
          SUMIF(OFFSET($S52,1,0,$R50-2),($M50+1)&amp;"$",OFFSET(AG52,1,0,$R50-2)))</f>
        <v>2616.82</v>
      </c>
      <c r="AH52" s="439" t="n">
        <f aca="false" t="array" ref="AH52:AH52">IF($R50=2,
         IF(AND(ACOMPANHAMENTO="PLE",ISNUMBER($F50)),
                SUMIF((OFFSET(CÁLCULO!$BS$15:$CS$15,$F50,0,OFFSET(ORÇAMENTO!$D$15,CRONO!$F50,0))),CRONO!AH$12,OFFSET(CÁLCULO!$AR$15:$BR$15,$F50,0,OFFSET(ORÇAMENTO!$D$15,CRONO!$F50,0)))
                +IF(AND($F52&lt;&gt;"",$F52&lt;&gt;0),
                        SUMIF(CÁLCULO!$BS$15:$CS$205,CRONO!AH$12,CÁLCULO!$AR$15:$BR$205)/(ORÇAMENTO!$X$15-_xlfn.single(CÁLCULO.TotalAdmLocal))*CRONO!$F52,
                        0),
                 AH51*$S50),
          SUMIF(OFFSET($S52,1,0,$R50-2),($M50+1)&amp;"$",OFFSET(AH52,1,0,$R50-2)))</f>
        <v>2616.82</v>
      </c>
      <c r="AI52" s="439" t="n">
        <f aca="false" t="array" ref="AI52:AI52">IF($R50=2,
         IF(AND(ACOMPANHAMENTO="PLE",ISNUMBER($F50)),
                SUMIF((OFFSET(CÁLCULO!$BS$15:$CS$15,$F50,0,OFFSET(ORÇAMENTO!$D$15,CRONO!$F50,0))),CRONO!AI$12,OFFSET(CÁLCULO!$AR$15:$BR$15,$F50,0,OFFSET(ORÇAMENTO!$D$15,CRONO!$F50,0)))
                +IF(AND($F52&lt;&gt;"",$F52&lt;&gt;0),
                        SUMIF(CÁLCULO!$BS$15:$CS$205,CRONO!AI$12,CÁLCULO!$AR$15:$BR$205)/(ORÇAMENTO!$X$15-_xlfn.single(CÁLCULO.TotalAdmLocal))*CRONO!$F52,
                        0),
                 AI51*$S50),
          SUMIF(OFFSET($S52,1,0,$R50-2),($M50+1)&amp;"$",OFFSET(AI52,1,0,$R50-2)))</f>
        <v>2616.82</v>
      </c>
      <c r="AJ52" s="439" t="n">
        <f aca="false" t="array" ref="AJ52:AJ52">IF($R50=2,
         IF(AND(ACOMPANHAMENTO="PLE",ISNUMBER($F50)),
                SUMIF((OFFSET(CÁLCULO!$BS$15:$CS$15,$F50,0,OFFSET(ORÇAMENTO!$D$15,CRONO!$F50,0))),CRONO!AJ$12,OFFSET(CÁLCULO!$AR$15:$BR$15,$F50,0,OFFSET(ORÇAMENTO!$D$15,CRONO!$F50,0)))
                +IF(AND($F52&lt;&gt;"",$F52&lt;&gt;0),
                        SUMIF(CÁLCULO!$BS$15:$CS$205,CRONO!AJ$12,CÁLCULO!$AR$15:$BR$205)/(ORÇAMENTO!$X$15-_xlfn.single(CÁLCULO.TotalAdmLocal))*CRONO!$F52,
                        0),
                 AJ51*$S50),
          SUMIF(OFFSET($S52,1,0,$R50-2),($M50+1)&amp;"$",OFFSET(AJ52,1,0,$R50-2)))</f>
        <v>2616.82</v>
      </c>
      <c r="AK52" s="439" t="n">
        <f aca="false" t="array" ref="AK52:AK52">IF($R50=2,
         IF(AND(ACOMPANHAMENTO="PLE",ISNUMBER($F50)),
                SUMIF((OFFSET(CÁLCULO!$BS$15:$CS$15,$F50,0,OFFSET(ORÇAMENTO!$D$15,CRONO!$F50,0))),CRONO!AK$12,OFFSET(CÁLCULO!$AR$15:$BR$15,$F50,0,OFFSET(ORÇAMENTO!$D$15,CRONO!$F50,0)))
                +IF(AND($F52&lt;&gt;"",$F52&lt;&gt;0),
                        SUMIF(CÁLCULO!$BS$15:$CS$205,CRONO!AK$12,CÁLCULO!$AR$15:$BR$205)/(ORÇAMENTO!$X$15-_xlfn.single(CÁLCULO.TotalAdmLocal))*CRONO!$F52,
                        0),
                 AK51*$S50),
          SUMIF(OFFSET($S52,1,0,$R50-2),($M50+1)&amp;"$",OFFSET(AK52,1,0,$R50-2)))</f>
        <v>2616.82</v>
      </c>
      <c r="AL52" s="439" t="n">
        <f aca="false" t="array" ref="AL52:AL52">IF($R50=2,
         IF(AND(ACOMPANHAMENTO="PLE",ISNUMBER($F50)),
                SUMIF((OFFSET(CÁLCULO!$BS$15:$CS$15,$F50,0,OFFSET(ORÇAMENTO!$D$15,CRONO!$F50,0))),CRONO!AL$12,OFFSET(CÁLCULO!$AR$15:$BR$15,$F50,0,OFFSET(ORÇAMENTO!$D$15,CRONO!$F50,0)))
                +IF(AND($F52&lt;&gt;"",$F52&lt;&gt;0),
                        SUMIF(CÁLCULO!$BS$15:$CS$205,CRONO!AL$12,CÁLCULO!$AR$15:$BR$205)/(ORÇAMENTO!$X$15-_xlfn.single(CÁLCULO.TotalAdmLocal))*CRONO!$F52,
                        0),
                 AL51*$S50),
          SUMIF(OFFSET($S52,1,0,$R50-2),($M50+1)&amp;"$",OFFSET(AL52,1,0,$R50-2)))</f>
        <v>2616.82</v>
      </c>
      <c r="AM52" s="439" t="n">
        <f aca="false" t="array" ref="AM52:AM52">IF($R50=2,
         IF(AND(ACOMPANHAMENTO="PLE",ISNUMBER($F50)),
                SUMIF((OFFSET(CÁLCULO!$BS$15:$CS$15,$F50,0,OFFSET(ORÇAMENTO!$D$15,CRONO!$F50,0))),CRONO!AM$12,OFFSET(CÁLCULO!$AR$15:$BR$15,$F50,0,OFFSET(ORÇAMENTO!$D$15,CRONO!$F50,0)))
                +IF(AND($F52&lt;&gt;"",$F52&lt;&gt;0),
                        SUMIF(CÁLCULO!$BS$15:$CS$205,CRONO!AM$12,CÁLCULO!$AR$15:$BR$205)/(ORÇAMENTO!$X$15-_xlfn.single(CÁLCULO.TotalAdmLocal))*CRONO!$F52,
                        0),
                 AM51*$S50),
          SUMIF(OFFSET($S52,1,0,$R50-2),($M50+1)&amp;"$",OFFSET(AM52,1,0,$R50-2)))</f>
        <v>2616.82</v>
      </c>
      <c r="AN52" s="439" t="n">
        <f aca="false" t="array" ref="AN52:AN52">IF($R50=2,
         IF(AND(ACOMPANHAMENTO="PLE",ISNUMBER($F50)),
                SUMIF((OFFSET(CÁLCULO!$BS$15:$CS$15,$F50,0,OFFSET(ORÇAMENTO!$D$15,CRONO!$F50,0))),CRONO!AN$12,OFFSET(CÁLCULO!$AR$15:$BR$15,$F50,0,OFFSET(ORÇAMENTO!$D$15,CRONO!$F50,0)))
                +IF(AND($F52&lt;&gt;"",$F52&lt;&gt;0),
                        SUMIF(CÁLCULO!$BS$15:$CS$205,CRONO!AN$12,CÁLCULO!$AR$15:$BR$205)/(ORÇAMENTO!$X$15-_xlfn.single(CÁLCULO.TotalAdmLocal))*CRONO!$F52,
                        0),
                 AN51*$S50),
          SUMIF(OFFSET($S52,1,0,$R50-2),($M50+1)&amp;"$",OFFSET(AN52,1,0,$R50-2)))</f>
        <v>2616.82</v>
      </c>
      <c r="AO52" s="439" t="n">
        <f aca="false" t="array" ref="AO52:AO52">IF($R50=2,
         IF(AND(ACOMPANHAMENTO="PLE",ISNUMBER($F50)),
                SUMIF((OFFSET(CÁLCULO!$BS$15:$CS$15,$F50,0,OFFSET(ORÇAMENTO!$D$15,CRONO!$F50,0))),CRONO!AO$12,OFFSET(CÁLCULO!$AR$15:$BR$15,$F50,0,OFFSET(ORÇAMENTO!$D$15,CRONO!$F50,0)))
                +IF(AND($F52&lt;&gt;"",$F52&lt;&gt;0),
                        SUMIF(CÁLCULO!$BS$15:$CS$205,CRONO!AO$12,CÁLCULO!$AR$15:$BR$205)/(ORÇAMENTO!$X$15-_xlfn.single(CÁLCULO.TotalAdmLocal))*CRONO!$F52,
                        0),
                 AO51*$S50),
          SUMIF(OFFSET($S52,1,0,$R50-2),($M50+1)&amp;"$",OFFSET(AO52,1,0,$R50-2)))</f>
        <v>2616.82</v>
      </c>
      <c r="AP52" s="439" t="n">
        <f aca="false" t="array" ref="AP52:AP52">IF($R50=2,
         IF(AND(ACOMPANHAMENTO="PLE",ISNUMBER($F50)),
                SUMIF((OFFSET(CÁLCULO!$BS$15:$CS$15,$F50,0,OFFSET(ORÇAMENTO!$D$15,CRONO!$F50,0))),CRONO!AP$12,OFFSET(CÁLCULO!$AR$15:$BR$15,$F50,0,OFFSET(ORÇAMENTO!$D$15,CRONO!$F50,0)))
                +IF(AND($F52&lt;&gt;"",$F52&lt;&gt;0),
                        SUMIF(CÁLCULO!$BS$15:$CS$205,CRONO!AP$12,CÁLCULO!$AR$15:$BR$205)/(ORÇAMENTO!$X$15-_xlfn.single(CÁLCULO.TotalAdmLocal))*CRONO!$F52,
                        0),
                 AP51*$S50),
          SUMIF(OFFSET($S52,1,0,$R50-2),($M50+1)&amp;"$",OFFSET(AP52,1,0,$R50-2)))</f>
        <v>2616.82</v>
      </c>
      <c r="AQ52" s="439" t="n">
        <f aca="false" t="array" ref="AQ52:AQ52">IF($R50=2,
         IF(AND(ACOMPANHAMENTO="PLE",ISNUMBER($F50)),
                SUMIF((OFFSET(CÁLCULO!$BS$15:$CS$15,$F50,0,OFFSET(ORÇAMENTO!$D$15,CRONO!$F50,0))),CRONO!AQ$12,OFFSET(CÁLCULO!$AR$15:$BR$15,$F50,0,OFFSET(ORÇAMENTO!$D$15,CRONO!$F50,0)))
                +IF(AND($F52&lt;&gt;"",$F52&lt;&gt;0),
                        SUMIF(CÁLCULO!$BS$15:$CS$205,CRONO!AQ$12,CÁLCULO!$AR$15:$BR$205)/(ORÇAMENTO!$X$15-_xlfn.single(CÁLCULO.TotalAdmLocal))*CRONO!$F52,
                        0),
                 AQ51*$S50),
          SUMIF(OFFSET($S52,1,0,$R50-2),($M50+1)&amp;"$",OFFSET(AQ52,1,0,$R50-2)))</f>
        <v>2616.82</v>
      </c>
      <c r="AR52" s="439" t="n">
        <f aca="false" t="array" ref="AR52:AR52">IF($R50=2,
         IF(AND(ACOMPANHAMENTO="PLE",ISNUMBER($F50)),
                SUMIF((OFFSET(CÁLCULO!$BS$15:$CS$15,$F50,0,OFFSET(ORÇAMENTO!$D$15,CRONO!$F50,0))),CRONO!AR$12,OFFSET(CÁLCULO!$AR$15:$BR$15,$F50,0,OFFSET(ORÇAMENTO!$D$15,CRONO!$F50,0)))
                +IF(AND($F52&lt;&gt;"",$F52&lt;&gt;0),
                        SUMIF(CÁLCULO!$BS$15:$CS$205,CRONO!AR$12,CÁLCULO!$AR$15:$BR$205)/(ORÇAMENTO!$X$15-_xlfn.single(CÁLCULO.TotalAdmLocal))*CRONO!$F52,
                        0),
                 AR51*$S50),
          SUMIF(OFFSET($S52,1,0,$R50-2),($M50+1)&amp;"$",OFFSET(AR52,1,0,$R50-2)))</f>
        <v>2616.82</v>
      </c>
      <c r="AS52" s="439" t="n">
        <f aca="false" t="array" ref="AS52:AS52">IF($R50=2,
         IF(AND(ACOMPANHAMENTO="PLE",ISNUMBER($F50)),
                SUMIF((OFFSET(CÁLCULO!$BS$15:$CS$15,$F50,0,OFFSET(ORÇAMENTO!$D$15,CRONO!$F50,0))),CRONO!AS$12,OFFSET(CÁLCULO!$AR$15:$BR$15,$F50,0,OFFSET(ORÇAMENTO!$D$15,CRONO!$F50,0)))
                +IF(AND($F52&lt;&gt;"",$F52&lt;&gt;0),
                        SUMIF(CÁLCULO!$BS$15:$CS$205,CRONO!AS$12,CÁLCULO!$AR$15:$BR$205)/(ORÇAMENTO!$X$15-_xlfn.single(CÁLCULO.TotalAdmLocal))*CRONO!$F52,
                        0),
                 AS51*$S50),
          SUMIF(OFFSET($S52,1,0,$R50-2),($M50+1)&amp;"$",OFFSET(AS52,1,0,$R50-2)))</f>
        <v>2616.82</v>
      </c>
      <c r="AT52" s="439" t="n">
        <f aca="false" t="array" ref="AT52:AT52">IF($R50=2,
         IF(AND(ACOMPANHAMENTO="PLE",ISNUMBER($F50)),
                SUMIF((OFFSET(CÁLCULO!$BS$15:$CS$15,$F50,0,OFFSET(ORÇAMENTO!$D$15,CRONO!$F50,0))),CRONO!AT$12,OFFSET(CÁLCULO!$AR$15:$BR$15,$F50,0,OFFSET(ORÇAMENTO!$D$15,CRONO!$F50,0)))
                +IF(AND($F52&lt;&gt;"",$F52&lt;&gt;0),
                        SUMIF(CÁLCULO!$BS$15:$CS$205,CRONO!AT$12,CÁLCULO!$AR$15:$BR$205)/(ORÇAMENTO!$X$15-_xlfn.single(CÁLCULO.TotalAdmLocal))*CRONO!$F52,
                        0),
                 AT51*$S50),
          SUMIF(OFFSET($S52,1,0,$R50-2),($M50+1)&amp;"$",OFFSET(AT52,1,0,$R50-2)))</f>
        <v>0</v>
      </c>
      <c r="AU52" s="439" t="n">
        <f aca="false" t="array" ref="AU52:AU52">IF($R50=2,
         IF(AND(ACOMPANHAMENTO="PLE",ISNUMBER($F50)),
                SUMIF((OFFSET(CÁLCULO!$BS$15:$CS$15,$F50,0,OFFSET(ORÇAMENTO!$D$15,CRONO!$F50,0))),CRONO!AU$12,OFFSET(CÁLCULO!$AR$15:$BR$15,$F50,0,OFFSET(ORÇAMENTO!$D$15,CRONO!$F50,0)))
                +IF(AND($F52&lt;&gt;"",$F52&lt;&gt;0),
                        SUMIF(CÁLCULO!$BS$15:$CS$205,CRONO!AU$12,CÁLCULO!$AR$15:$BR$205)/(ORÇAMENTO!$X$15-_xlfn.single(CÁLCULO.TotalAdmLocal))*CRONO!$F52,
                        0),
                 AU51*$S50),
          SUMIF(OFFSET($S52,1,0,$R50-2),($M50+1)&amp;"$",OFFSET(AU52,1,0,$R50-2)))</f>
        <v>0</v>
      </c>
      <c r="AV52" s="439" t="n">
        <f aca="false" t="array" ref="AV52:AV52">IF($R50=2,
         IF(AND(ACOMPANHAMENTO="PLE",ISNUMBER($F50)),
                SUMIF((OFFSET(CÁLCULO!$BS$15:$CS$15,$F50,0,OFFSET(ORÇAMENTO!$D$15,CRONO!$F50,0))),CRONO!AV$12,OFFSET(CÁLCULO!$AR$15:$BR$15,$F50,0,OFFSET(ORÇAMENTO!$D$15,CRONO!$F50,0)))
                +IF(AND($F52&lt;&gt;"",$F52&lt;&gt;0),
                        SUMIF(CÁLCULO!$BS$15:$CS$205,CRONO!AV$12,CÁLCULO!$AR$15:$BR$205)/(ORÇAMENTO!$X$15-_xlfn.single(CÁLCULO.TotalAdmLocal))*CRONO!$F52,
                        0),
                 AV51*$S50),
          SUMIF(OFFSET($S52,1,0,$R50-2),($M50+1)&amp;"$",OFFSET(AV52,1,0,$R50-2)))</f>
        <v>0</v>
      </c>
      <c r="AW52" s="439" t="n">
        <f aca="false" t="array" ref="AW52:AW52">IF($R50=2,
         IF(AND(ACOMPANHAMENTO="PLE",ISNUMBER($F50)),
                SUMIF((OFFSET(CÁLCULO!$BS$15:$CS$15,$F50,0,OFFSET(ORÇAMENTO!$D$15,CRONO!$F50,0))),CRONO!AW$12,OFFSET(CÁLCULO!$AR$15:$BR$15,$F50,0,OFFSET(ORÇAMENTO!$D$15,CRONO!$F50,0)))
                +IF(AND($F52&lt;&gt;"",$F52&lt;&gt;0),
                        SUMIF(CÁLCULO!$BS$15:$CS$205,CRONO!AW$12,CÁLCULO!$AR$15:$BR$205)/(ORÇAMENTO!$X$15-_xlfn.single(CÁLCULO.TotalAdmLocal))*CRONO!$F52,
                        0),
                 AW51*$S50),
          SUMIF(OFFSET($S52,1,0,$R50-2),($M50+1)&amp;"$",OFFSET(AW52,1,0,$R50-2)))</f>
        <v>0</v>
      </c>
      <c r="AX52" s="439" t="n">
        <f aca="false" t="array" ref="AX52:AX52">IF($R50=2,
         IF(AND(ACOMPANHAMENTO="PLE",ISNUMBER($F50)),
                SUMIF((OFFSET(CÁLCULO!$BS$15:$CS$15,$F50,0,OFFSET(ORÇAMENTO!$D$15,CRONO!$F50,0))),CRONO!AX$12,OFFSET(CÁLCULO!$AR$15:$BR$15,$F50,0,OFFSET(ORÇAMENTO!$D$15,CRONO!$F50,0)))
                +IF(AND($F52&lt;&gt;"",$F52&lt;&gt;0),
                        SUMIF(CÁLCULO!$BS$15:$CS$205,CRONO!AX$12,CÁLCULO!$AR$15:$BR$205)/(ORÇAMENTO!$X$15-_xlfn.single(CÁLCULO.TotalAdmLocal))*CRONO!$F52,
                        0),
                 AX51*$S50),
          SUMIF(OFFSET($S52,1,0,$R50-2),($M50+1)&amp;"$",OFFSET(AX52,1,0,$R50-2)))</f>
        <v>0</v>
      </c>
      <c r="AY52" s="439" t="n">
        <f aca="false" t="array" ref="AY52:AY52">IF($R50=2,
         IF(AND(ACOMPANHAMENTO="PLE",ISNUMBER($F50)),
                SUMIF((OFFSET(CÁLCULO!$BS$15:$CS$15,$F50,0,OFFSET(ORÇAMENTO!$D$15,CRONO!$F50,0))),CRONO!AY$12,OFFSET(CÁLCULO!$AR$15:$BR$15,$F50,0,OFFSET(ORÇAMENTO!$D$15,CRONO!$F50,0)))
                +IF(AND($F52&lt;&gt;"",$F52&lt;&gt;0),
                        SUMIF(CÁLCULO!$BS$15:$CS$205,CRONO!AY$12,CÁLCULO!$AR$15:$BR$205)/(ORÇAMENTO!$X$15-_xlfn.single(CÁLCULO.TotalAdmLocal))*CRONO!$F52,
                        0),
                 AY51*$S50),
          SUMIF(OFFSET($S52,1,0,$R50-2),($M50+1)&amp;"$",OFFSET(AY52,1,0,$R50-2)))</f>
        <v>0</v>
      </c>
      <c r="AZ52" s="439" t="n">
        <f aca="false" t="array" ref="AZ52:AZ52">IF($R50=2,
         IF(AND(ACOMPANHAMENTO="PLE",ISNUMBER($F50)),
                SUMIF((OFFSET(CÁLCULO!$BS$15:$CS$15,$F50,0,OFFSET(ORÇAMENTO!$D$15,CRONO!$F50,0))),CRONO!AZ$12,OFFSET(CÁLCULO!$AR$15:$BR$15,$F50,0,OFFSET(ORÇAMENTO!$D$15,CRONO!$F50,0)))
                +IF(AND($F52&lt;&gt;"",$F52&lt;&gt;0),
                        SUMIF(CÁLCULO!$BS$15:$CS$205,CRONO!AZ$12,CÁLCULO!$AR$15:$BR$205)/(ORÇAMENTO!$X$15-_xlfn.single(CÁLCULO.TotalAdmLocal))*CRONO!$F52,
                        0),
                 AZ51*$S50),
          SUMIF(OFFSET($S52,1,0,$R50-2),($M50+1)&amp;"$",OFFSET(AZ52,1,0,$R50-2)))</f>
        <v>0</v>
      </c>
      <c r="BA52" s="439" t="n">
        <f aca="false" t="array" ref="BA52:BA52">IF($R50=2,
         IF(AND(ACOMPANHAMENTO="PLE",ISNUMBER($F50)),
                SUMIF((OFFSET(CÁLCULO!$BS$15:$CS$15,$F50,0,OFFSET(ORÇAMENTO!$D$15,CRONO!$F50,0))),CRONO!BA$12,OFFSET(CÁLCULO!$AR$15:$BR$15,$F50,0,OFFSET(ORÇAMENTO!$D$15,CRONO!$F50,0)))
                +IF(AND($F52&lt;&gt;"",$F52&lt;&gt;0),
                        SUMIF(CÁLCULO!$BS$15:$CS$205,CRONO!BA$12,CÁLCULO!$AR$15:$BR$205)/(ORÇAMENTO!$X$15-_xlfn.single(CÁLCULO.TotalAdmLocal))*CRONO!$F52,
                        0),
                 BA51*$S50),
          SUMIF(OFFSET($S52,1,0,$R50-2),($M50+1)&amp;"$",OFFSET(BA52,1,0,$R50-2)))</f>
        <v>0</v>
      </c>
      <c r="BB52" s="439" t="n">
        <f aca="false" t="array" ref="BB52:BB52">IF($R50=2,
         IF(AND(ACOMPANHAMENTO="PLE",ISNUMBER($F50)),
                SUMIF((OFFSET(CÁLCULO!$BS$15:$CS$15,$F50,0,OFFSET(ORÇAMENTO!$D$15,CRONO!$F50,0))),CRONO!BB$12,OFFSET(CÁLCULO!$AR$15:$BR$15,$F50,0,OFFSET(ORÇAMENTO!$D$15,CRONO!$F50,0)))
                +IF(AND($F52&lt;&gt;"",$F52&lt;&gt;0),
                        SUMIF(CÁLCULO!$BS$15:$CS$205,CRONO!BB$12,CÁLCULO!$AR$15:$BR$205)/(ORÇAMENTO!$X$15-_xlfn.single(CÁLCULO.TotalAdmLocal))*CRONO!$F52,
                        0),
                 BB51*$S50),
          SUMIF(OFFSET($S52,1,0,$R50-2),($M50+1)&amp;"$",OFFSET(BB52,1,0,$R50-2)))</f>
        <v>0</v>
      </c>
      <c r="BC52" s="439" t="n">
        <f aca="false" t="array" ref="BC52:BC52">IF($R50=2,
         IF(AND(ACOMPANHAMENTO="PLE",ISNUMBER($F50)),
                SUMIF((OFFSET(CÁLCULO!$BS$15:$CS$15,$F50,0,OFFSET(ORÇAMENTO!$D$15,CRONO!$F50,0))),CRONO!BC$12,OFFSET(CÁLCULO!$AR$15:$BR$15,$F50,0,OFFSET(ORÇAMENTO!$D$15,CRONO!$F50,0)))
                +IF(AND($F52&lt;&gt;"",$F52&lt;&gt;0),
                        SUMIF(CÁLCULO!$BS$15:$CS$205,CRONO!BC$12,CÁLCULO!$AR$15:$BR$205)/(ORÇAMENTO!$X$15-_xlfn.single(CÁLCULO.TotalAdmLocal))*CRONO!$F52,
                        0),
                 BC51*$S50),
          SUMIF(OFFSET($S52,1,0,$R50-2),($M50+1)&amp;"$",OFFSET(BC52,1,0,$R50-2)))</f>
        <v>0</v>
      </c>
      <c r="BD52" s="439" t="n">
        <f aca="false" t="array" ref="BD52:BD52">IF($R50=2,
         IF(AND(ACOMPANHAMENTO="PLE",ISNUMBER($F50)),
                SUMIF((OFFSET(CÁLCULO!$BS$15:$CS$15,$F50,0,OFFSET(ORÇAMENTO!$D$15,CRONO!$F50,0))),CRONO!BD$12,OFFSET(CÁLCULO!$AR$15:$BR$15,$F50,0,OFFSET(ORÇAMENTO!$D$15,CRONO!$F50,0)))
                +IF(AND($F52&lt;&gt;"",$F52&lt;&gt;0),
                        SUMIF(CÁLCULO!$BS$15:$CS$205,CRONO!BD$12,CÁLCULO!$AR$15:$BR$205)/(ORÇAMENTO!$X$15-_xlfn.single(CÁLCULO.TotalAdmLocal))*CRONO!$F52,
                        0),
                 BD51*$S50),
          SUMIF(OFFSET($S52,1,0,$R50-2),($M50+1)&amp;"$",OFFSET(BD52,1,0,$R50-2)))</f>
        <v>0</v>
      </c>
      <c r="BE52" s="430"/>
    </row>
    <row r="53" customFormat="false" ht="12.75" hidden="false" customHeight="false" outlineLevel="0" collapsed="false">
      <c r="A53" s="382" t="str">
        <f aca="false">IF($M53&gt;1,_xlfn.CONCAT($I53," ",$J53),"")</f>
        <v>1.13. ESQUADRIAS DE MADEIRAS</v>
      </c>
      <c r="B53" s="419" t="n">
        <f aca="true">OFFSET(B53,-3,0)+1</f>
        <v>14</v>
      </c>
      <c r="C53" s="419" t="n">
        <f aca="true">IF($R53&lt;&gt;2,0,IF($S53=0,1,IF(F54&gt;0,OFFSET(QCI!$M$13,SUBSTITUTE(F54,".",""),0),OFFSET(ORÇAMENTO!$AA$15,CRONO!$F53,0))/$S53))</f>
        <v>0.110981526562671</v>
      </c>
      <c r="D53" s="419" t="n">
        <f aca="true">IF($R53&lt;&gt;2,0,IF($S53=0,1,IF(F54&gt;0,OFFSET(QCI!$N$13,SUBSTITUTE(F54,".",""),0),OFFSET(ORÇAMENTO!$AB$15,CRONO!$F53,0))/$S53))</f>
        <v>0</v>
      </c>
      <c r="E53" s="422" t="n">
        <f aca="false" t="array" ref="E53:E53">IF(AND($R53=2,ACOMPANHAMENTO="BM"),ROUND(E54,4),E55/$S53)</f>
        <v>0.04</v>
      </c>
      <c r="F53" s="419" t="n">
        <f aca="true">IF(B53&lt;=ORÇAMENTO.MáximoListaCrono,MATCH(B53,ORÇAMENTO.ListaCrono,0),NA())</f>
        <v>48</v>
      </c>
      <c r="G53" s="419" t="str">
        <f aca="false">IF(AND($F54&lt;&gt;-1,$S53&gt;0),"F","")</f>
        <v>F</v>
      </c>
      <c r="H53" s="423" t="str">
        <f aca="false" t="array" ref="H53:H53">IF(OR(S53=0,S53=""),"Linha",IF(AND(OR(ACOMPANHAMENTO="PLE",$R53&lt;&gt;2),$F54=0),"Linha",ROUND(1-SUM(U53:BE53),4)))</f>
        <v>Linha</v>
      </c>
      <c r="I53" s="424" t="str">
        <f aca="true">IF($F54=0,OFFSET(ORÇAMENTO!O$15,$F53,0),IF($F54&lt;&gt;-1,OFFSET(QCI!$D$13,$F54,0),""))</f>
        <v>1.13.</v>
      </c>
      <c r="J53" s="425" t="str">
        <f aca="true">IF($F54=0,OFFSET(ORÇAMENTO!R$15,$F53,0),IF($F54&lt;&gt;-1,OFFSET(QCI!$G$13,$F54,0),""))</f>
        <v>ESQUADRIAS DE MADEIRAS</v>
      </c>
      <c r="K53" s="425"/>
      <c r="L53" s="425"/>
      <c r="M53" s="426" t="n">
        <f aca="true">IF($F54=0,OFFSET(ORÇAMENTO!C$15,$F53,0),1)</f>
        <v>2</v>
      </c>
      <c r="N53" s="427" t="n">
        <f aca="true">IF($F54=-1,0,IF(N$13&lt;=$M53,IF(ISERROR(MATCH(N$13,OFFSET($M53,1,0,ROW($M$182)-ROW($M53)-1),0)),ROW($M$182)-ROW($M53)-1,MATCH(N$13,OFFSET($M53,1,0,ROW($M$182)-ROW($M53)-1),0)-1),0))</f>
        <v>128</v>
      </c>
      <c r="O53" s="427" t="n">
        <f aca="true">IF($F54=-1,0,IF(O$13&lt;=$M53,IF(ISERROR(MATCH(O$13,OFFSET($M53,1,0,ROW($M$182)-ROW($M53)-1),0)),ROW($M$182)-ROW($M53)-1,MATCH(O$13,OFFSET($M53,1,0,ROW($M$182)-ROW($M53)-1),0)-1),0))</f>
        <v>2</v>
      </c>
      <c r="P53" s="427" t="n">
        <f aca="true">IF($F54=-1,0,IF(P$13&lt;=$M53,IF(ISERROR(MATCH(P$13,OFFSET($M53,1,0,ROW($M$182)-ROW($M53)-1),0)),ROW($M$182)-ROW($M53)-1,MATCH(P$13,OFFSET($M53,1,0,ROW($M$182)-ROW($M53)-1),0)-1),0))</f>
        <v>0</v>
      </c>
      <c r="Q53" s="427" t="n">
        <f aca="true">IF($F54=-1,0,IF(Q$13&lt;=$M53,IF(ISERROR(MATCH(Q$13,OFFSET($M53,1,0,ROW($M$182)-ROW($M53)-1),0)),ROW($M$182)-ROW($M53)-1,MATCH(Q$13,OFFSET($M53,1,0,ROW($M$182)-ROW($M53)-1),0)-1),0))</f>
        <v>0</v>
      </c>
      <c r="R53" s="427" t="n">
        <f aca="true">MIN(OFFSET(M53,0,1,,M53))</f>
        <v>2</v>
      </c>
      <c r="S53" s="428" t="n">
        <f aca="true">IF($F54=0,OFFSET(ORÇAMENTO!X$15,$F53,0),IF($F54&lt;&gt;-1,OFFSET(QCI!$O$13,$F54,0),""))</f>
        <v>85711.5</v>
      </c>
      <c r="T53" s="429" t="s">
        <v>996</v>
      </c>
      <c r="U53" s="422" t="n">
        <f aca="false" t="array" ref="U53:U53">IF(AND($R53=2,ACOMPANHAMENTO="BM"),ROUND(U54,4),U55/$S53)</f>
        <v>0.04</v>
      </c>
      <c r="V53" s="422" t="n">
        <f aca="false" t="array" ref="V53:V53">IF(AND($R53=2,ACOMPANHAMENTO="BM"),ROUND(V54,4),V55/$S53)</f>
        <v>0.04</v>
      </c>
      <c r="W53" s="422" t="n">
        <f aca="false" t="array" ref="W53:W53">IF(AND($R53=2,ACOMPANHAMENTO="BM"),ROUND(W54,4),W55/$S53)</f>
        <v>0.04</v>
      </c>
      <c r="X53" s="422" t="n">
        <f aca="false" t="array" ref="X53:X53">IF(AND($R53=2,ACOMPANHAMENTO="BM"),ROUND(X54,4),X55/$S53)</f>
        <v>0.04</v>
      </c>
      <c r="Y53" s="422" t="n">
        <f aca="false" t="array" ref="Y53:Y53">IF(AND($R53=2,ACOMPANHAMENTO="BM"),ROUND(Y54,4),Y55/$S53)</f>
        <v>0.04</v>
      </c>
      <c r="Z53" s="422" t="n">
        <f aca="false" t="array" ref="Z53:Z53">IF(AND($R53=2,ACOMPANHAMENTO="BM"),ROUND(Z54,4),Z55/$S53)</f>
        <v>0.04</v>
      </c>
      <c r="AA53" s="422" t="n">
        <f aca="false" t="array" ref="AA53:AA53">IF(AND($R53=2,ACOMPANHAMENTO="BM"),ROUND(AA54,4),AA55/$S53)</f>
        <v>0.04</v>
      </c>
      <c r="AB53" s="422" t="n">
        <f aca="false" t="array" ref="AB53:AB53">IF(AND($R53=2,ACOMPANHAMENTO="BM"),ROUND(AB54,4),AB55/$S53)</f>
        <v>0.04</v>
      </c>
      <c r="AC53" s="422" t="n">
        <f aca="false" t="array" ref="AC53:AC53">IF(AND($R53=2,ACOMPANHAMENTO="BM"),ROUND(AC54,4),AC55/$S53)</f>
        <v>0.04</v>
      </c>
      <c r="AD53" s="422" t="n">
        <f aca="false" t="array" ref="AD53:AD53">IF(AND($R53=2,ACOMPANHAMENTO="BM"),ROUND(AD54,4),AD55/$S53)</f>
        <v>0.04</v>
      </c>
      <c r="AE53" s="422" t="n">
        <f aca="false" t="array" ref="AE53:AE53">IF(AND($R53=2,ACOMPANHAMENTO="BM"),ROUND(AE54,4),AE55/$S53)</f>
        <v>0.04</v>
      </c>
      <c r="AF53" s="422" t="n">
        <f aca="false" t="array" ref="AF53:AF53">IF(AND($R53=2,ACOMPANHAMENTO="BM"),ROUND(AF54,4),AF55/$S53)</f>
        <v>0.04</v>
      </c>
      <c r="AG53" s="422" t="n">
        <f aca="false" t="array" ref="AG53:AG53">IF(AND($R53=2,ACOMPANHAMENTO="BM"),ROUND(AG54,4),AG55/$S53)</f>
        <v>0.04</v>
      </c>
      <c r="AH53" s="422" t="n">
        <f aca="false" t="array" ref="AH53:AH53">IF(AND($R53=2,ACOMPANHAMENTO="BM"),ROUND(AH54,4),AH55/$S53)</f>
        <v>0.04</v>
      </c>
      <c r="AI53" s="422" t="n">
        <f aca="false" t="array" ref="AI53:AI53">IF(AND($R53=2,ACOMPANHAMENTO="BM"),ROUND(AI54,4),AI55/$S53)</f>
        <v>0.04</v>
      </c>
      <c r="AJ53" s="422" t="n">
        <f aca="false" t="array" ref="AJ53:AJ53">IF(AND($R53=2,ACOMPANHAMENTO="BM"),ROUND(AJ54,4),AJ55/$S53)</f>
        <v>0.04</v>
      </c>
      <c r="AK53" s="422" t="n">
        <f aca="false" t="array" ref="AK53:AK53">IF(AND($R53=2,ACOMPANHAMENTO="BM"),ROUND(AK54,4),AK55/$S53)</f>
        <v>0.04</v>
      </c>
      <c r="AL53" s="422" t="n">
        <f aca="false" t="array" ref="AL53:AL53">IF(AND($R53=2,ACOMPANHAMENTO="BM"),ROUND(AL54,4),AL55/$S53)</f>
        <v>0.04</v>
      </c>
      <c r="AM53" s="422" t="n">
        <f aca="false" t="array" ref="AM53:AM53">IF(AND($R53=2,ACOMPANHAMENTO="BM"),ROUND(AM54,4),AM55/$S53)</f>
        <v>0.04</v>
      </c>
      <c r="AN53" s="422" t="n">
        <f aca="false" t="array" ref="AN53:AN53">IF(AND($R53=2,ACOMPANHAMENTO="BM"),ROUND(AN54,4),AN55/$S53)</f>
        <v>0.04</v>
      </c>
      <c r="AO53" s="422" t="n">
        <f aca="false" t="array" ref="AO53:AO53">IF(AND($R53=2,ACOMPANHAMENTO="BM"),ROUND(AO54,4),AO55/$S53)</f>
        <v>0.04</v>
      </c>
      <c r="AP53" s="422" t="n">
        <f aca="false" t="array" ref="AP53:AP53">IF(AND($R53=2,ACOMPANHAMENTO="BM"),ROUND(AP54,4),AP55/$S53)</f>
        <v>0.04</v>
      </c>
      <c r="AQ53" s="422" t="n">
        <f aca="false" t="array" ref="AQ53:AQ53">IF(AND($R53=2,ACOMPANHAMENTO="BM"),ROUND(AQ54,4),AQ55/$S53)</f>
        <v>0.04</v>
      </c>
      <c r="AR53" s="422" t="n">
        <f aca="false" t="array" ref="AR53:AR53">IF(AND($R53=2,ACOMPANHAMENTO="BM"),ROUND(AR54,4),AR55/$S53)</f>
        <v>0.04</v>
      </c>
      <c r="AS53" s="422" t="n">
        <f aca="false" t="array" ref="AS53:AS53">IF(AND($R53=2,ACOMPANHAMENTO="BM"),ROUND(AS54,4),AS55/$S53)</f>
        <v>0.04</v>
      </c>
      <c r="AT53" s="422" t="n">
        <f aca="false" t="array" ref="AT53:AT53">IF(AND($R53=2,ACOMPANHAMENTO="BM"),ROUND(AT54,4),AT55/$S53)</f>
        <v>0</v>
      </c>
      <c r="AU53" s="422" t="n">
        <f aca="false" t="array" ref="AU53:AU53">IF(AND($R53=2,ACOMPANHAMENTO="BM"),ROUND(AU54,4),AU55/$S53)</f>
        <v>0</v>
      </c>
      <c r="AV53" s="422" t="n">
        <f aca="false" t="array" ref="AV53:AV53">IF(AND($R53=2,ACOMPANHAMENTO="BM"),ROUND(AV54,4),AV55/$S53)</f>
        <v>0</v>
      </c>
      <c r="AW53" s="422" t="n">
        <f aca="false" t="array" ref="AW53:AW53">IF(AND($R53=2,ACOMPANHAMENTO="BM"),ROUND(AW54,4),AW55/$S53)</f>
        <v>0</v>
      </c>
      <c r="AX53" s="422" t="n">
        <f aca="false" t="array" ref="AX53:AX53">IF(AND($R53=2,ACOMPANHAMENTO="BM"),ROUND(AX54,4),AX55/$S53)</f>
        <v>0</v>
      </c>
      <c r="AY53" s="422" t="n">
        <f aca="false" t="array" ref="AY53:AY53">IF(AND($R53=2,ACOMPANHAMENTO="BM"),ROUND(AY54,4),AY55/$S53)</f>
        <v>0</v>
      </c>
      <c r="AZ53" s="422" t="n">
        <f aca="false" t="array" ref="AZ53:AZ53">IF(AND($R53=2,ACOMPANHAMENTO="BM"),ROUND(AZ54,4),AZ55/$S53)</f>
        <v>0</v>
      </c>
      <c r="BA53" s="422" t="n">
        <f aca="false" t="array" ref="BA53:BA53">IF(AND($R53=2,ACOMPANHAMENTO="BM"),ROUND(BA54,4),BA55/$S53)</f>
        <v>0</v>
      </c>
      <c r="BB53" s="422" t="n">
        <f aca="false" t="array" ref="BB53:BB53">IF(AND($R53=2,ACOMPANHAMENTO="BM"),ROUND(BB54,4),BB55/$S53)</f>
        <v>0</v>
      </c>
      <c r="BC53" s="422" t="n">
        <f aca="false" t="array" ref="BC53:BC53">IF(AND($R53=2,ACOMPANHAMENTO="BM"),ROUND(BC54,4),BC55/$S53)</f>
        <v>0</v>
      </c>
      <c r="BD53" s="422" t="n">
        <f aca="false" t="array" ref="BD53:BD53">IF(AND($R53=2,ACOMPANHAMENTO="BM"),ROUND(BD54,4),BD55/$S53)</f>
        <v>0</v>
      </c>
      <c r="BE53" s="430"/>
    </row>
    <row r="54" customFormat="false" ht="12.75" hidden="true" customHeight="true" outlineLevel="0" collapsed="false">
      <c r="E54" s="431"/>
      <c r="F54" s="419" t="n">
        <f aca="true">IF(ISERROR(F53),IF(1+COUNTIF($M$13:OFFSET(M53,-1,0),1)&lt;=MAX(QCI!$D$13:$D$15),1+COUNTIF($M$13:OFFSET(M53,-1,0),1),-1),0)</f>
        <v>0</v>
      </c>
      <c r="G54" s="419" t="str">
        <f aca="true" t="array" ref="G54:G54">IF(ACOMPANHAMENTO="BM",OFFSET(G54,-1,0),"")</f>
        <v/>
      </c>
      <c r="H54" s="432" t="str">
        <f aca="false" t="array" ref="H54:H54">IF(OR(S53=0,S53=""),"vazia",IF(AND(OR(ACOMPANHAMENTO="PLE",$R53&lt;&gt;2),$F54=0),"calculada","--&gt;"))</f>
        <v>calculada</v>
      </c>
      <c r="I54" s="433"/>
      <c r="J54" s="434" t="str">
        <f aca="false">IF(AND(H53&lt;&gt;0,ISNUMBER(H53)),"PREENCHA ESTA LINHA --&gt;","")</f>
        <v/>
      </c>
      <c r="K54" s="434"/>
      <c r="L54" s="434"/>
      <c r="M54" s="435"/>
      <c r="N54" s="435"/>
      <c r="O54" s="435"/>
      <c r="P54" s="435"/>
      <c r="Q54" s="435"/>
      <c r="R54" s="435"/>
      <c r="S54" s="436"/>
      <c r="T54" s="437"/>
      <c r="U54" s="431"/>
      <c r="V54" s="431"/>
      <c r="W54" s="431"/>
      <c r="X54" s="431"/>
      <c r="Y54" s="431"/>
      <c r="Z54" s="431"/>
      <c r="AA54" s="431"/>
      <c r="AB54" s="431"/>
      <c r="AC54" s="431"/>
      <c r="AD54" s="431"/>
      <c r="AE54" s="431"/>
      <c r="AF54" s="431"/>
      <c r="AG54" s="431"/>
      <c r="AH54" s="431"/>
      <c r="AI54" s="431"/>
      <c r="AJ54" s="431"/>
      <c r="AK54" s="431"/>
      <c r="AL54" s="431"/>
      <c r="AM54" s="431"/>
      <c r="AN54" s="431"/>
      <c r="AO54" s="431"/>
      <c r="AP54" s="431"/>
      <c r="AQ54" s="431"/>
      <c r="AR54" s="431"/>
      <c r="AS54" s="431"/>
      <c r="AT54" s="431"/>
      <c r="AU54" s="431"/>
      <c r="AV54" s="431"/>
      <c r="AW54" s="431"/>
      <c r="AX54" s="431"/>
      <c r="AY54" s="431"/>
      <c r="AZ54" s="431"/>
      <c r="BA54" s="431"/>
      <c r="BB54" s="431"/>
      <c r="BC54" s="431"/>
      <c r="BD54" s="431"/>
      <c r="BE54" s="430"/>
    </row>
    <row r="55" customFormat="false" ht="12.75" hidden="true" customHeight="true" outlineLevel="0" collapsed="false">
      <c r="D55" s="438"/>
      <c r="E55" s="439" t="n">
        <f aca="false" t="array" ref="E55:E55">IF($R53=2,
         IF(AND(ACOMPANHAMENTO="PLE",ISNUMBER($F53)),
                SUMIF((OFFSET(CÁLCULO!$BS$15:$CS$15,$F53,0,OFFSET(ORÇAMENTO!$D$15,CRONO!$F53,0))),CRONO!E$12,OFFSET(CÁLCULO!$AR$15:$BR$15,$F53,0,OFFSET(ORÇAMENTO!$D$15,CRONO!$F53,0)))
                +IF(AND($F55&lt;&gt;"",$F55&lt;&gt;0),
                        SUMIF(CÁLCULO!$BS$15:$CS$205,CRONO!E$12,CÁLCULO!$AR$15:$BR$205)/(ORÇAMENTO!$X$15-_xlfn.single(CÁLCULO.TotalAdmLocal))*CRONO!$F55,
                        0),
                 E54*$S53),
          SUMIF(OFFSET($S55,1,0,$R53-2),($M53+1)&amp;"$",OFFSET(E55,1,0,$R53-2)))</f>
        <v>3428.46</v>
      </c>
      <c r="F55" s="419" t="str">
        <f aca="true">IF(OR($R53&lt;&gt;2,AUTOEVENTO&lt;&gt;"manual",$F54&gt;0),"",
        IF(Import.TipoArredondamento="Tradicional",
              SUMIF(OFFSET(CÁLCULO!$M$15,CRONO!$F53,0,OFFSET(ORÇAMENTO!$D$15,CRONO!$F53,0)),1,OFFSET(ORÇAMENTO!$X$15,CRONO!$F53,0,OFFSET(ORÇAMENTO!$D$15,CRONO!$F53,0))),
              0))</f>
        <v/>
      </c>
      <c r="H55" s="440"/>
      <c r="S55" s="441" t="str">
        <f aca="false">M53&amp;"$"</f>
        <v>2$</v>
      </c>
      <c r="T55" s="442"/>
      <c r="U55" s="439" t="n">
        <f aca="false" t="array" ref="U55:U55">IF($R53=2,
         IF(AND(ACOMPANHAMENTO="PLE",ISNUMBER($F53)),
                SUMIF((OFFSET(CÁLCULO!$BS$15:$CS$15,$F53,0,OFFSET(ORÇAMENTO!$D$15,CRONO!$F53,0))),CRONO!U$12,OFFSET(CÁLCULO!$AR$15:$BR$15,$F53,0,OFFSET(ORÇAMENTO!$D$15,CRONO!$F53,0)))
                +IF(AND($F55&lt;&gt;"",$F55&lt;&gt;0),
                        SUMIF(CÁLCULO!$BS$15:$CS$205,CRONO!U$12,CÁLCULO!$AR$15:$BR$205)/(ORÇAMENTO!$X$15-_xlfn.single(CÁLCULO.TotalAdmLocal))*CRONO!$F55,
                        0),
                 U54*$S53),
          SUMIF(OFFSET($S55,1,0,$R53-2),($M53+1)&amp;"$",OFFSET(U55,1,0,$R53-2)))</f>
        <v>3428.46</v>
      </c>
      <c r="V55" s="439" t="n">
        <f aca="false" t="array" ref="V55:V55">IF($R53=2,
         IF(AND(ACOMPANHAMENTO="PLE",ISNUMBER($F53)),
                SUMIF((OFFSET(CÁLCULO!$BS$15:$CS$15,$F53,0,OFFSET(ORÇAMENTO!$D$15,CRONO!$F53,0))),CRONO!V$12,OFFSET(CÁLCULO!$AR$15:$BR$15,$F53,0,OFFSET(ORÇAMENTO!$D$15,CRONO!$F53,0)))
                +IF(AND($F55&lt;&gt;"",$F55&lt;&gt;0),
                        SUMIF(CÁLCULO!$BS$15:$CS$205,CRONO!V$12,CÁLCULO!$AR$15:$BR$205)/(ORÇAMENTO!$X$15-_xlfn.single(CÁLCULO.TotalAdmLocal))*CRONO!$F55,
                        0),
                 V54*$S53),
          SUMIF(OFFSET($S55,1,0,$R53-2),($M53+1)&amp;"$",OFFSET(V55,1,0,$R53-2)))</f>
        <v>3428.46</v>
      </c>
      <c r="W55" s="439" t="n">
        <f aca="false" t="array" ref="W55:W55">IF($R53=2,
         IF(AND(ACOMPANHAMENTO="PLE",ISNUMBER($F53)),
                SUMIF((OFFSET(CÁLCULO!$BS$15:$CS$15,$F53,0,OFFSET(ORÇAMENTO!$D$15,CRONO!$F53,0))),CRONO!W$12,OFFSET(CÁLCULO!$AR$15:$BR$15,$F53,0,OFFSET(ORÇAMENTO!$D$15,CRONO!$F53,0)))
                +IF(AND($F55&lt;&gt;"",$F55&lt;&gt;0),
                        SUMIF(CÁLCULO!$BS$15:$CS$205,CRONO!W$12,CÁLCULO!$AR$15:$BR$205)/(ORÇAMENTO!$X$15-_xlfn.single(CÁLCULO.TotalAdmLocal))*CRONO!$F55,
                        0),
                 W54*$S53),
          SUMIF(OFFSET($S55,1,0,$R53-2),($M53+1)&amp;"$",OFFSET(W55,1,0,$R53-2)))</f>
        <v>3428.46</v>
      </c>
      <c r="X55" s="439" t="n">
        <f aca="false" t="array" ref="X55:X55">IF($R53=2,
         IF(AND(ACOMPANHAMENTO="PLE",ISNUMBER($F53)),
                SUMIF((OFFSET(CÁLCULO!$BS$15:$CS$15,$F53,0,OFFSET(ORÇAMENTO!$D$15,CRONO!$F53,0))),CRONO!X$12,OFFSET(CÁLCULO!$AR$15:$BR$15,$F53,0,OFFSET(ORÇAMENTO!$D$15,CRONO!$F53,0)))
                +IF(AND($F55&lt;&gt;"",$F55&lt;&gt;0),
                        SUMIF(CÁLCULO!$BS$15:$CS$205,CRONO!X$12,CÁLCULO!$AR$15:$BR$205)/(ORÇAMENTO!$X$15-_xlfn.single(CÁLCULO.TotalAdmLocal))*CRONO!$F55,
                        0),
                 X54*$S53),
          SUMIF(OFFSET($S55,1,0,$R53-2),($M53+1)&amp;"$",OFFSET(X55,1,0,$R53-2)))</f>
        <v>3428.46</v>
      </c>
      <c r="Y55" s="439" t="n">
        <f aca="false" t="array" ref="Y55:Y55">IF($R53=2,
         IF(AND(ACOMPANHAMENTO="PLE",ISNUMBER($F53)),
                SUMIF((OFFSET(CÁLCULO!$BS$15:$CS$15,$F53,0,OFFSET(ORÇAMENTO!$D$15,CRONO!$F53,0))),CRONO!Y$12,OFFSET(CÁLCULO!$AR$15:$BR$15,$F53,0,OFFSET(ORÇAMENTO!$D$15,CRONO!$F53,0)))
                +IF(AND($F55&lt;&gt;"",$F55&lt;&gt;0),
                        SUMIF(CÁLCULO!$BS$15:$CS$205,CRONO!Y$12,CÁLCULO!$AR$15:$BR$205)/(ORÇAMENTO!$X$15-_xlfn.single(CÁLCULO.TotalAdmLocal))*CRONO!$F55,
                        0),
                 Y54*$S53),
          SUMIF(OFFSET($S55,1,0,$R53-2),($M53+1)&amp;"$",OFFSET(Y55,1,0,$R53-2)))</f>
        <v>3428.46</v>
      </c>
      <c r="Z55" s="439" t="n">
        <f aca="false" t="array" ref="Z55:Z55">IF($R53=2,
         IF(AND(ACOMPANHAMENTO="PLE",ISNUMBER($F53)),
                SUMIF((OFFSET(CÁLCULO!$BS$15:$CS$15,$F53,0,OFFSET(ORÇAMENTO!$D$15,CRONO!$F53,0))),CRONO!Z$12,OFFSET(CÁLCULO!$AR$15:$BR$15,$F53,0,OFFSET(ORÇAMENTO!$D$15,CRONO!$F53,0)))
                +IF(AND($F55&lt;&gt;"",$F55&lt;&gt;0),
                        SUMIF(CÁLCULO!$BS$15:$CS$205,CRONO!Z$12,CÁLCULO!$AR$15:$BR$205)/(ORÇAMENTO!$X$15-_xlfn.single(CÁLCULO.TotalAdmLocal))*CRONO!$F55,
                        0),
                 Z54*$S53),
          SUMIF(OFFSET($S55,1,0,$R53-2),($M53+1)&amp;"$",OFFSET(Z55,1,0,$R53-2)))</f>
        <v>3428.46</v>
      </c>
      <c r="AA55" s="439" t="n">
        <f aca="false" t="array" ref="AA55:AA55">IF($R53=2,
         IF(AND(ACOMPANHAMENTO="PLE",ISNUMBER($F53)),
                SUMIF((OFFSET(CÁLCULO!$BS$15:$CS$15,$F53,0,OFFSET(ORÇAMENTO!$D$15,CRONO!$F53,0))),CRONO!AA$12,OFFSET(CÁLCULO!$AR$15:$BR$15,$F53,0,OFFSET(ORÇAMENTO!$D$15,CRONO!$F53,0)))
                +IF(AND($F55&lt;&gt;"",$F55&lt;&gt;0),
                        SUMIF(CÁLCULO!$BS$15:$CS$205,CRONO!AA$12,CÁLCULO!$AR$15:$BR$205)/(ORÇAMENTO!$X$15-_xlfn.single(CÁLCULO.TotalAdmLocal))*CRONO!$F55,
                        0),
                 AA54*$S53),
          SUMIF(OFFSET($S55,1,0,$R53-2),($M53+1)&amp;"$",OFFSET(AA55,1,0,$R53-2)))</f>
        <v>3428.46</v>
      </c>
      <c r="AB55" s="439" t="n">
        <f aca="false" t="array" ref="AB55:AB55">IF($R53=2,
         IF(AND(ACOMPANHAMENTO="PLE",ISNUMBER($F53)),
                SUMIF((OFFSET(CÁLCULO!$BS$15:$CS$15,$F53,0,OFFSET(ORÇAMENTO!$D$15,CRONO!$F53,0))),CRONO!AB$12,OFFSET(CÁLCULO!$AR$15:$BR$15,$F53,0,OFFSET(ORÇAMENTO!$D$15,CRONO!$F53,0)))
                +IF(AND($F55&lt;&gt;"",$F55&lt;&gt;0),
                        SUMIF(CÁLCULO!$BS$15:$CS$205,CRONO!AB$12,CÁLCULO!$AR$15:$BR$205)/(ORÇAMENTO!$X$15-_xlfn.single(CÁLCULO.TotalAdmLocal))*CRONO!$F55,
                        0),
                 AB54*$S53),
          SUMIF(OFFSET($S55,1,0,$R53-2),($M53+1)&amp;"$",OFFSET(AB55,1,0,$R53-2)))</f>
        <v>3428.46</v>
      </c>
      <c r="AC55" s="439" t="n">
        <f aca="false" t="array" ref="AC55:AC55">IF($R53=2,
         IF(AND(ACOMPANHAMENTO="PLE",ISNUMBER($F53)),
                SUMIF((OFFSET(CÁLCULO!$BS$15:$CS$15,$F53,0,OFFSET(ORÇAMENTO!$D$15,CRONO!$F53,0))),CRONO!AC$12,OFFSET(CÁLCULO!$AR$15:$BR$15,$F53,0,OFFSET(ORÇAMENTO!$D$15,CRONO!$F53,0)))
                +IF(AND($F55&lt;&gt;"",$F55&lt;&gt;0),
                        SUMIF(CÁLCULO!$BS$15:$CS$205,CRONO!AC$12,CÁLCULO!$AR$15:$BR$205)/(ORÇAMENTO!$X$15-_xlfn.single(CÁLCULO.TotalAdmLocal))*CRONO!$F55,
                        0),
                 AC54*$S53),
          SUMIF(OFFSET($S55,1,0,$R53-2),($M53+1)&amp;"$",OFFSET(AC55,1,0,$R53-2)))</f>
        <v>3428.46</v>
      </c>
      <c r="AD55" s="439" t="n">
        <f aca="false" t="array" ref="AD55:AD55">IF($R53=2,
         IF(AND(ACOMPANHAMENTO="PLE",ISNUMBER($F53)),
                SUMIF((OFFSET(CÁLCULO!$BS$15:$CS$15,$F53,0,OFFSET(ORÇAMENTO!$D$15,CRONO!$F53,0))),CRONO!AD$12,OFFSET(CÁLCULO!$AR$15:$BR$15,$F53,0,OFFSET(ORÇAMENTO!$D$15,CRONO!$F53,0)))
                +IF(AND($F55&lt;&gt;"",$F55&lt;&gt;0),
                        SUMIF(CÁLCULO!$BS$15:$CS$205,CRONO!AD$12,CÁLCULO!$AR$15:$BR$205)/(ORÇAMENTO!$X$15-_xlfn.single(CÁLCULO.TotalAdmLocal))*CRONO!$F55,
                        0),
                 AD54*$S53),
          SUMIF(OFFSET($S55,1,0,$R53-2),($M53+1)&amp;"$",OFFSET(AD55,1,0,$R53-2)))</f>
        <v>3428.46</v>
      </c>
      <c r="AE55" s="439" t="n">
        <f aca="false" t="array" ref="AE55:AE55">IF($R53=2,
         IF(AND(ACOMPANHAMENTO="PLE",ISNUMBER($F53)),
                SUMIF((OFFSET(CÁLCULO!$BS$15:$CS$15,$F53,0,OFFSET(ORÇAMENTO!$D$15,CRONO!$F53,0))),CRONO!AE$12,OFFSET(CÁLCULO!$AR$15:$BR$15,$F53,0,OFFSET(ORÇAMENTO!$D$15,CRONO!$F53,0)))
                +IF(AND($F55&lt;&gt;"",$F55&lt;&gt;0),
                        SUMIF(CÁLCULO!$BS$15:$CS$205,CRONO!AE$12,CÁLCULO!$AR$15:$BR$205)/(ORÇAMENTO!$X$15-_xlfn.single(CÁLCULO.TotalAdmLocal))*CRONO!$F55,
                        0),
                 AE54*$S53),
          SUMIF(OFFSET($S55,1,0,$R53-2),($M53+1)&amp;"$",OFFSET(AE55,1,0,$R53-2)))</f>
        <v>3428.46</v>
      </c>
      <c r="AF55" s="439" t="n">
        <f aca="false" t="array" ref="AF55:AF55">IF($R53=2,
         IF(AND(ACOMPANHAMENTO="PLE",ISNUMBER($F53)),
                SUMIF((OFFSET(CÁLCULO!$BS$15:$CS$15,$F53,0,OFFSET(ORÇAMENTO!$D$15,CRONO!$F53,0))),CRONO!AF$12,OFFSET(CÁLCULO!$AR$15:$BR$15,$F53,0,OFFSET(ORÇAMENTO!$D$15,CRONO!$F53,0)))
                +IF(AND($F55&lt;&gt;"",$F55&lt;&gt;0),
                        SUMIF(CÁLCULO!$BS$15:$CS$205,CRONO!AF$12,CÁLCULO!$AR$15:$BR$205)/(ORÇAMENTO!$X$15-_xlfn.single(CÁLCULO.TotalAdmLocal))*CRONO!$F55,
                        0),
                 AF54*$S53),
          SUMIF(OFFSET($S55,1,0,$R53-2),($M53+1)&amp;"$",OFFSET(AF55,1,0,$R53-2)))</f>
        <v>3428.46</v>
      </c>
      <c r="AG55" s="439" t="n">
        <f aca="false" t="array" ref="AG55:AG55">IF($R53=2,
         IF(AND(ACOMPANHAMENTO="PLE",ISNUMBER($F53)),
                SUMIF((OFFSET(CÁLCULO!$BS$15:$CS$15,$F53,0,OFFSET(ORÇAMENTO!$D$15,CRONO!$F53,0))),CRONO!AG$12,OFFSET(CÁLCULO!$AR$15:$BR$15,$F53,0,OFFSET(ORÇAMENTO!$D$15,CRONO!$F53,0)))
                +IF(AND($F55&lt;&gt;"",$F55&lt;&gt;0),
                        SUMIF(CÁLCULO!$BS$15:$CS$205,CRONO!AG$12,CÁLCULO!$AR$15:$BR$205)/(ORÇAMENTO!$X$15-_xlfn.single(CÁLCULO.TotalAdmLocal))*CRONO!$F55,
                        0),
                 AG54*$S53),
          SUMIF(OFFSET($S55,1,0,$R53-2),($M53+1)&amp;"$",OFFSET(AG55,1,0,$R53-2)))</f>
        <v>3428.46</v>
      </c>
      <c r="AH55" s="439" t="n">
        <f aca="false" t="array" ref="AH55:AH55">IF($R53=2,
         IF(AND(ACOMPANHAMENTO="PLE",ISNUMBER($F53)),
                SUMIF((OFFSET(CÁLCULO!$BS$15:$CS$15,$F53,0,OFFSET(ORÇAMENTO!$D$15,CRONO!$F53,0))),CRONO!AH$12,OFFSET(CÁLCULO!$AR$15:$BR$15,$F53,0,OFFSET(ORÇAMENTO!$D$15,CRONO!$F53,0)))
                +IF(AND($F55&lt;&gt;"",$F55&lt;&gt;0),
                        SUMIF(CÁLCULO!$BS$15:$CS$205,CRONO!AH$12,CÁLCULO!$AR$15:$BR$205)/(ORÇAMENTO!$X$15-_xlfn.single(CÁLCULO.TotalAdmLocal))*CRONO!$F55,
                        0),
                 AH54*$S53),
          SUMIF(OFFSET($S55,1,0,$R53-2),($M53+1)&amp;"$",OFFSET(AH55,1,0,$R53-2)))</f>
        <v>3428.46</v>
      </c>
      <c r="AI55" s="439" t="n">
        <f aca="false" t="array" ref="AI55:AI55">IF($R53=2,
         IF(AND(ACOMPANHAMENTO="PLE",ISNUMBER($F53)),
                SUMIF((OFFSET(CÁLCULO!$BS$15:$CS$15,$F53,0,OFFSET(ORÇAMENTO!$D$15,CRONO!$F53,0))),CRONO!AI$12,OFFSET(CÁLCULO!$AR$15:$BR$15,$F53,0,OFFSET(ORÇAMENTO!$D$15,CRONO!$F53,0)))
                +IF(AND($F55&lt;&gt;"",$F55&lt;&gt;0),
                        SUMIF(CÁLCULO!$BS$15:$CS$205,CRONO!AI$12,CÁLCULO!$AR$15:$BR$205)/(ORÇAMENTO!$X$15-_xlfn.single(CÁLCULO.TotalAdmLocal))*CRONO!$F55,
                        0),
                 AI54*$S53),
          SUMIF(OFFSET($S55,1,0,$R53-2),($M53+1)&amp;"$",OFFSET(AI55,1,0,$R53-2)))</f>
        <v>3428.46</v>
      </c>
      <c r="AJ55" s="439" t="n">
        <f aca="false" t="array" ref="AJ55:AJ55">IF($R53=2,
         IF(AND(ACOMPANHAMENTO="PLE",ISNUMBER($F53)),
                SUMIF((OFFSET(CÁLCULO!$BS$15:$CS$15,$F53,0,OFFSET(ORÇAMENTO!$D$15,CRONO!$F53,0))),CRONO!AJ$12,OFFSET(CÁLCULO!$AR$15:$BR$15,$F53,0,OFFSET(ORÇAMENTO!$D$15,CRONO!$F53,0)))
                +IF(AND($F55&lt;&gt;"",$F55&lt;&gt;0),
                        SUMIF(CÁLCULO!$BS$15:$CS$205,CRONO!AJ$12,CÁLCULO!$AR$15:$BR$205)/(ORÇAMENTO!$X$15-_xlfn.single(CÁLCULO.TotalAdmLocal))*CRONO!$F55,
                        0),
                 AJ54*$S53),
          SUMIF(OFFSET($S55,1,0,$R53-2),($M53+1)&amp;"$",OFFSET(AJ55,1,0,$R53-2)))</f>
        <v>3428.46</v>
      </c>
      <c r="AK55" s="439" t="n">
        <f aca="false" t="array" ref="AK55:AK55">IF($R53=2,
         IF(AND(ACOMPANHAMENTO="PLE",ISNUMBER($F53)),
                SUMIF((OFFSET(CÁLCULO!$BS$15:$CS$15,$F53,0,OFFSET(ORÇAMENTO!$D$15,CRONO!$F53,0))),CRONO!AK$12,OFFSET(CÁLCULO!$AR$15:$BR$15,$F53,0,OFFSET(ORÇAMENTO!$D$15,CRONO!$F53,0)))
                +IF(AND($F55&lt;&gt;"",$F55&lt;&gt;0),
                        SUMIF(CÁLCULO!$BS$15:$CS$205,CRONO!AK$12,CÁLCULO!$AR$15:$BR$205)/(ORÇAMENTO!$X$15-_xlfn.single(CÁLCULO.TotalAdmLocal))*CRONO!$F55,
                        0),
                 AK54*$S53),
          SUMIF(OFFSET($S55,1,0,$R53-2),($M53+1)&amp;"$",OFFSET(AK55,1,0,$R53-2)))</f>
        <v>3428.46</v>
      </c>
      <c r="AL55" s="439" t="n">
        <f aca="false" t="array" ref="AL55:AL55">IF($R53=2,
         IF(AND(ACOMPANHAMENTO="PLE",ISNUMBER($F53)),
                SUMIF((OFFSET(CÁLCULO!$BS$15:$CS$15,$F53,0,OFFSET(ORÇAMENTO!$D$15,CRONO!$F53,0))),CRONO!AL$12,OFFSET(CÁLCULO!$AR$15:$BR$15,$F53,0,OFFSET(ORÇAMENTO!$D$15,CRONO!$F53,0)))
                +IF(AND($F55&lt;&gt;"",$F55&lt;&gt;0),
                        SUMIF(CÁLCULO!$BS$15:$CS$205,CRONO!AL$12,CÁLCULO!$AR$15:$BR$205)/(ORÇAMENTO!$X$15-_xlfn.single(CÁLCULO.TotalAdmLocal))*CRONO!$F55,
                        0),
                 AL54*$S53),
          SUMIF(OFFSET($S55,1,0,$R53-2),($M53+1)&amp;"$",OFFSET(AL55,1,0,$R53-2)))</f>
        <v>3428.46</v>
      </c>
      <c r="AM55" s="439" t="n">
        <f aca="false" t="array" ref="AM55:AM55">IF($R53=2,
         IF(AND(ACOMPANHAMENTO="PLE",ISNUMBER($F53)),
                SUMIF((OFFSET(CÁLCULO!$BS$15:$CS$15,$F53,0,OFFSET(ORÇAMENTO!$D$15,CRONO!$F53,0))),CRONO!AM$12,OFFSET(CÁLCULO!$AR$15:$BR$15,$F53,0,OFFSET(ORÇAMENTO!$D$15,CRONO!$F53,0)))
                +IF(AND($F55&lt;&gt;"",$F55&lt;&gt;0),
                        SUMIF(CÁLCULO!$BS$15:$CS$205,CRONO!AM$12,CÁLCULO!$AR$15:$BR$205)/(ORÇAMENTO!$X$15-_xlfn.single(CÁLCULO.TotalAdmLocal))*CRONO!$F55,
                        0),
                 AM54*$S53),
          SUMIF(OFFSET($S55,1,0,$R53-2),($M53+1)&amp;"$",OFFSET(AM55,1,0,$R53-2)))</f>
        <v>3428.46</v>
      </c>
      <c r="AN55" s="439" t="n">
        <f aca="false" t="array" ref="AN55:AN55">IF($R53=2,
         IF(AND(ACOMPANHAMENTO="PLE",ISNUMBER($F53)),
                SUMIF((OFFSET(CÁLCULO!$BS$15:$CS$15,$F53,0,OFFSET(ORÇAMENTO!$D$15,CRONO!$F53,0))),CRONO!AN$12,OFFSET(CÁLCULO!$AR$15:$BR$15,$F53,0,OFFSET(ORÇAMENTO!$D$15,CRONO!$F53,0)))
                +IF(AND($F55&lt;&gt;"",$F55&lt;&gt;0),
                        SUMIF(CÁLCULO!$BS$15:$CS$205,CRONO!AN$12,CÁLCULO!$AR$15:$BR$205)/(ORÇAMENTO!$X$15-_xlfn.single(CÁLCULO.TotalAdmLocal))*CRONO!$F55,
                        0),
                 AN54*$S53),
          SUMIF(OFFSET($S55,1,0,$R53-2),($M53+1)&amp;"$",OFFSET(AN55,1,0,$R53-2)))</f>
        <v>3428.46</v>
      </c>
      <c r="AO55" s="439" t="n">
        <f aca="false" t="array" ref="AO55:AO55">IF($R53=2,
         IF(AND(ACOMPANHAMENTO="PLE",ISNUMBER($F53)),
                SUMIF((OFFSET(CÁLCULO!$BS$15:$CS$15,$F53,0,OFFSET(ORÇAMENTO!$D$15,CRONO!$F53,0))),CRONO!AO$12,OFFSET(CÁLCULO!$AR$15:$BR$15,$F53,0,OFFSET(ORÇAMENTO!$D$15,CRONO!$F53,0)))
                +IF(AND($F55&lt;&gt;"",$F55&lt;&gt;0),
                        SUMIF(CÁLCULO!$BS$15:$CS$205,CRONO!AO$12,CÁLCULO!$AR$15:$BR$205)/(ORÇAMENTO!$X$15-_xlfn.single(CÁLCULO.TotalAdmLocal))*CRONO!$F55,
                        0),
                 AO54*$S53),
          SUMIF(OFFSET($S55,1,0,$R53-2),($M53+1)&amp;"$",OFFSET(AO55,1,0,$R53-2)))</f>
        <v>3428.46</v>
      </c>
      <c r="AP55" s="439" t="n">
        <f aca="false" t="array" ref="AP55:AP55">IF($R53=2,
         IF(AND(ACOMPANHAMENTO="PLE",ISNUMBER($F53)),
                SUMIF((OFFSET(CÁLCULO!$BS$15:$CS$15,$F53,0,OFFSET(ORÇAMENTO!$D$15,CRONO!$F53,0))),CRONO!AP$12,OFFSET(CÁLCULO!$AR$15:$BR$15,$F53,0,OFFSET(ORÇAMENTO!$D$15,CRONO!$F53,0)))
                +IF(AND($F55&lt;&gt;"",$F55&lt;&gt;0),
                        SUMIF(CÁLCULO!$BS$15:$CS$205,CRONO!AP$12,CÁLCULO!$AR$15:$BR$205)/(ORÇAMENTO!$X$15-_xlfn.single(CÁLCULO.TotalAdmLocal))*CRONO!$F55,
                        0),
                 AP54*$S53),
          SUMIF(OFFSET($S55,1,0,$R53-2),($M53+1)&amp;"$",OFFSET(AP55,1,0,$R53-2)))</f>
        <v>3428.46</v>
      </c>
      <c r="AQ55" s="439" t="n">
        <f aca="false" t="array" ref="AQ55:AQ55">IF($R53=2,
         IF(AND(ACOMPANHAMENTO="PLE",ISNUMBER($F53)),
                SUMIF((OFFSET(CÁLCULO!$BS$15:$CS$15,$F53,0,OFFSET(ORÇAMENTO!$D$15,CRONO!$F53,0))),CRONO!AQ$12,OFFSET(CÁLCULO!$AR$15:$BR$15,$F53,0,OFFSET(ORÇAMENTO!$D$15,CRONO!$F53,0)))
                +IF(AND($F55&lt;&gt;"",$F55&lt;&gt;0),
                        SUMIF(CÁLCULO!$BS$15:$CS$205,CRONO!AQ$12,CÁLCULO!$AR$15:$BR$205)/(ORÇAMENTO!$X$15-_xlfn.single(CÁLCULO.TotalAdmLocal))*CRONO!$F55,
                        0),
                 AQ54*$S53),
          SUMIF(OFFSET($S55,1,0,$R53-2),($M53+1)&amp;"$",OFFSET(AQ55,1,0,$R53-2)))</f>
        <v>3428.46</v>
      </c>
      <c r="AR55" s="439" t="n">
        <f aca="false" t="array" ref="AR55:AR55">IF($R53=2,
         IF(AND(ACOMPANHAMENTO="PLE",ISNUMBER($F53)),
                SUMIF((OFFSET(CÁLCULO!$BS$15:$CS$15,$F53,0,OFFSET(ORÇAMENTO!$D$15,CRONO!$F53,0))),CRONO!AR$12,OFFSET(CÁLCULO!$AR$15:$BR$15,$F53,0,OFFSET(ORÇAMENTO!$D$15,CRONO!$F53,0)))
                +IF(AND($F55&lt;&gt;"",$F55&lt;&gt;0),
                        SUMIF(CÁLCULO!$BS$15:$CS$205,CRONO!AR$12,CÁLCULO!$AR$15:$BR$205)/(ORÇAMENTO!$X$15-_xlfn.single(CÁLCULO.TotalAdmLocal))*CRONO!$F55,
                        0),
                 AR54*$S53),
          SUMIF(OFFSET($S55,1,0,$R53-2),($M53+1)&amp;"$",OFFSET(AR55,1,0,$R53-2)))</f>
        <v>3428.46</v>
      </c>
      <c r="AS55" s="439" t="n">
        <f aca="false" t="array" ref="AS55:AS55">IF($R53=2,
         IF(AND(ACOMPANHAMENTO="PLE",ISNUMBER($F53)),
                SUMIF((OFFSET(CÁLCULO!$BS$15:$CS$15,$F53,0,OFFSET(ORÇAMENTO!$D$15,CRONO!$F53,0))),CRONO!AS$12,OFFSET(CÁLCULO!$AR$15:$BR$15,$F53,0,OFFSET(ORÇAMENTO!$D$15,CRONO!$F53,0)))
                +IF(AND($F55&lt;&gt;"",$F55&lt;&gt;0),
                        SUMIF(CÁLCULO!$BS$15:$CS$205,CRONO!AS$12,CÁLCULO!$AR$15:$BR$205)/(ORÇAMENTO!$X$15-_xlfn.single(CÁLCULO.TotalAdmLocal))*CRONO!$F55,
                        0),
                 AS54*$S53),
          SUMIF(OFFSET($S55,1,0,$R53-2),($M53+1)&amp;"$",OFFSET(AS55,1,0,$R53-2)))</f>
        <v>3428.46</v>
      </c>
      <c r="AT55" s="439" t="n">
        <f aca="false" t="array" ref="AT55:AT55">IF($R53=2,
         IF(AND(ACOMPANHAMENTO="PLE",ISNUMBER($F53)),
                SUMIF((OFFSET(CÁLCULO!$BS$15:$CS$15,$F53,0,OFFSET(ORÇAMENTO!$D$15,CRONO!$F53,0))),CRONO!AT$12,OFFSET(CÁLCULO!$AR$15:$BR$15,$F53,0,OFFSET(ORÇAMENTO!$D$15,CRONO!$F53,0)))
                +IF(AND($F55&lt;&gt;"",$F55&lt;&gt;0),
                        SUMIF(CÁLCULO!$BS$15:$CS$205,CRONO!AT$12,CÁLCULO!$AR$15:$BR$205)/(ORÇAMENTO!$X$15-_xlfn.single(CÁLCULO.TotalAdmLocal))*CRONO!$F55,
                        0),
                 AT54*$S53),
          SUMIF(OFFSET($S55,1,0,$R53-2),($M53+1)&amp;"$",OFFSET(AT55,1,0,$R53-2)))</f>
        <v>0</v>
      </c>
      <c r="AU55" s="439" t="n">
        <f aca="false" t="array" ref="AU55:AU55">IF($R53=2,
         IF(AND(ACOMPANHAMENTO="PLE",ISNUMBER($F53)),
                SUMIF((OFFSET(CÁLCULO!$BS$15:$CS$15,$F53,0,OFFSET(ORÇAMENTO!$D$15,CRONO!$F53,0))),CRONO!AU$12,OFFSET(CÁLCULO!$AR$15:$BR$15,$F53,0,OFFSET(ORÇAMENTO!$D$15,CRONO!$F53,0)))
                +IF(AND($F55&lt;&gt;"",$F55&lt;&gt;0),
                        SUMIF(CÁLCULO!$BS$15:$CS$205,CRONO!AU$12,CÁLCULO!$AR$15:$BR$205)/(ORÇAMENTO!$X$15-_xlfn.single(CÁLCULO.TotalAdmLocal))*CRONO!$F55,
                        0),
                 AU54*$S53),
          SUMIF(OFFSET($S55,1,0,$R53-2),($M53+1)&amp;"$",OFFSET(AU55,1,0,$R53-2)))</f>
        <v>0</v>
      </c>
      <c r="AV55" s="439" t="n">
        <f aca="false" t="array" ref="AV55:AV55">IF($R53=2,
         IF(AND(ACOMPANHAMENTO="PLE",ISNUMBER($F53)),
                SUMIF((OFFSET(CÁLCULO!$BS$15:$CS$15,$F53,0,OFFSET(ORÇAMENTO!$D$15,CRONO!$F53,0))),CRONO!AV$12,OFFSET(CÁLCULO!$AR$15:$BR$15,$F53,0,OFFSET(ORÇAMENTO!$D$15,CRONO!$F53,0)))
                +IF(AND($F55&lt;&gt;"",$F55&lt;&gt;0),
                        SUMIF(CÁLCULO!$BS$15:$CS$205,CRONO!AV$12,CÁLCULO!$AR$15:$BR$205)/(ORÇAMENTO!$X$15-_xlfn.single(CÁLCULO.TotalAdmLocal))*CRONO!$F55,
                        0),
                 AV54*$S53),
          SUMIF(OFFSET($S55,1,0,$R53-2),($M53+1)&amp;"$",OFFSET(AV55,1,0,$R53-2)))</f>
        <v>0</v>
      </c>
      <c r="AW55" s="439" t="n">
        <f aca="false" t="array" ref="AW55:AW55">IF($R53=2,
         IF(AND(ACOMPANHAMENTO="PLE",ISNUMBER($F53)),
                SUMIF((OFFSET(CÁLCULO!$BS$15:$CS$15,$F53,0,OFFSET(ORÇAMENTO!$D$15,CRONO!$F53,0))),CRONO!AW$12,OFFSET(CÁLCULO!$AR$15:$BR$15,$F53,0,OFFSET(ORÇAMENTO!$D$15,CRONO!$F53,0)))
                +IF(AND($F55&lt;&gt;"",$F55&lt;&gt;0),
                        SUMIF(CÁLCULO!$BS$15:$CS$205,CRONO!AW$12,CÁLCULO!$AR$15:$BR$205)/(ORÇAMENTO!$X$15-_xlfn.single(CÁLCULO.TotalAdmLocal))*CRONO!$F55,
                        0),
                 AW54*$S53),
          SUMIF(OFFSET($S55,1,0,$R53-2),($M53+1)&amp;"$",OFFSET(AW55,1,0,$R53-2)))</f>
        <v>0</v>
      </c>
      <c r="AX55" s="439" t="n">
        <f aca="false" t="array" ref="AX55:AX55">IF($R53=2,
         IF(AND(ACOMPANHAMENTO="PLE",ISNUMBER($F53)),
                SUMIF((OFFSET(CÁLCULO!$BS$15:$CS$15,$F53,0,OFFSET(ORÇAMENTO!$D$15,CRONO!$F53,0))),CRONO!AX$12,OFFSET(CÁLCULO!$AR$15:$BR$15,$F53,0,OFFSET(ORÇAMENTO!$D$15,CRONO!$F53,0)))
                +IF(AND($F55&lt;&gt;"",$F55&lt;&gt;0),
                        SUMIF(CÁLCULO!$BS$15:$CS$205,CRONO!AX$12,CÁLCULO!$AR$15:$BR$205)/(ORÇAMENTO!$X$15-_xlfn.single(CÁLCULO.TotalAdmLocal))*CRONO!$F55,
                        0),
                 AX54*$S53),
          SUMIF(OFFSET($S55,1,0,$R53-2),($M53+1)&amp;"$",OFFSET(AX55,1,0,$R53-2)))</f>
        <v>0</v>
      </c>
      <c r="AY55" s="439" t="n">
        <f aca="false" t="array" ref="AY55:AY55">IF($R53=2,
         IF(AND(ACOMPANHAMENTO="PLE",ISNUMBER($F53)),
                SUMIF((OFFSET(CÁLCULO!$BS$15:$CS$15,$F53,0,OFFSET(ORÇAMENTO!$D$15,CRONO!$F53,0))),CRONO!AY$12,OFFSET(CÁLCULO!$AR$15:$BR$15,$F53,0,OFFSET(ORÇAMENTO!$D$15,CRONO!$F53,0)))
                +IF(AND($F55&lt;&gt;"",$F55&lt;&gt;0),
                        SUMIF(CÁLCULO!$BS$15:$CS$205,CRONO!AY$12,CÁLCULO!$AR$15:$BR$205)/(ORÇAMENTO!$X$15-_xlfn.single(CÁLCULO.TotalAdmLocal))*CRONO!$F55,
                        0),
                 AY54*$S53),
          SUMIF(OFFSET($S55,1,0,$R53-2),($M53+1)&amp;"$",OFFSET(AY55,1,0,$R53-2)))</f>
        <v>0</v>
      </c>
      <c r="AZ55" s="439" t="n">
        <f aca="false" t="array" ref="AZ55:AZ55">IF($R53=2,
         IF(AND(ACOMPANHAMENTO="PLE",ISNUMBER($F53)),
                SUMIF((OFFSET(CÁLCULO!$BS$15:$CS$15,$F53,0,OFFSET(ORÇAMENTO!$D$15,CRONO!$F53,0))),CRONO!AZ$12,OFFSET(CÁLCULO!$AR$15:$BR$15,$F53,0,OFFSET(ORÇAMENTO!$D$15,CRONO!$F53,0)))
                +IF(AND($F55&lt;&gt;"",$F55&lt;&gt;0),
                        SUMIF(CÁLCULO!$BS$15:$CS$205,CRONO!AZ$12,CÁLCULO!$AR$15:$BR$205)/(ORÇAMENTO!$X$15-_xlfn.single(CÁLCULO.TotalAdmLocal))*CRONO!$F55,
                        0),
                 AZ54*$S53),
          SUMIF(OFFSET($S55,1,0,$R53-2),($M53+1)&amp;"$",OFFSET(AZ55,1,0,$R53-2)))</f>
        <v>0</v>
      </c>
      <c r="BA55" s="439" t="n">
        <f aca="false" t="array" ref="BA55:BA55">IF($R53=2,
         IF(AND(ACOMPANHAMENTO="PLE",ISNUMBER($F53)),
                SUMIF((OFFSET(CÁLCULO!$BS$15:$CS$15,$F53,0,OFFSET(ORÇAMENTO!$D$15,CRONO!$F53,0))),CRONO!BA$12,OFFSET(CÁLCULO!$AR$15:$BR$15,$F53,0,OFFSET(ORÇAMENTO!$D$15,CRONO!$F53,0)))
                +IF(AND($F55&lt;&gt;"",$F55&lt;&gt;0),
                        SUMIF(CÁLCULO!$BS$15:$CS$205,CRONO!BA$12,CÁLCULO!$AR$15:$BR$205)/(ORÇAMENTO!$X$15-_xlfn.single(CÁLCULO.TotalAdmLocal))*CRONO!$F55,
                        0),
                 BA54*$S53),
          SUMIF(OFFSET($S55,1,0,$R53-2),($M53+1)&amp;"$",OFFSET(BA55,1,0,$R53-2)))</f>
        <v>0</v>
      </c>
      <c r="BB55" s="439" t="n">
        <f aca="false" t="array" ref="BB55:BB55">IF($R53=2,
         IF(AND(ACOMPANHAMENTO="PLE",ISNUMBER($F53)),
                SUMIF((OFFSET(CÁLCULO!$BS$15:$CS$15,$F53,0,OFFSET(ORÇAMENTO!$D$15,CRONO!$F53,0))),CRONO!BB$12,OFFSET(CÁLCULO!$AR$15:$BR$15,$F53,0,OFFSET(ORÇAMENTO!$D$15,CRONO!$F53,0)))
                +IF(AND($F55&lt;&gt;"",$F55&lt;&gt;0),
                        SUMIF(CÁLCULO!$BS$15:$CS$205,CRONO!BB$12,CÁLCULO!$AR$15:$BR$205)/(ORÇAMENTO!$X$15-_xlfn.single(CÁLCULO.TotalAdmLocal))*CRONO!$F55,
                        0),
                 BB54*$S53),
          SUMIF(OFFSET($S55,1,0,$R53-2),($M53+1)&amp;"$",OFFSET(BB55,1,0,$R53-2)))</f>
        <v>0</v>
      </c>
      <c r="BC55" s="439" t="n">
        <f aca="false" t="array" ref="BC55:BC55">IF($R53=2,
         IF(AND(ACOMPANHAMENTO="PLE",ISNUMBER($F53)),
                SUMIF((OFFSET(CÁLCULO!$BS$15:$CS$15,$F53,0,OFFSET(ORÇAMENTO!$D$15,CRONO!$F53,0))),CRONO!BC$12,OFFSET(CÁLCULO!$AR$15:$BR$15,$F53,0,OFFSET(ORÇAMENTO!$D$15,CRONO!$F53,0)))
                +IF(AND($F55&lt;&gt;"",$F55&lt;&gt;0),
                        SUMIF(CÁLCULO!$BS$15:$CS$205,CRONO!BC$12,CÁLCULO!$AR$15:$BR$205)/(ORÇAMENTO!$X$15-_xlfn.single(CÁLCULO.TotalAdmLocal))*CRONO!$F55,
                        0),
                 BC54*$S53),
          SUMIF(OFFSET($S55,1,0,$R53-2),($M53+1)&amp;"$",OFFSET(BC55,1,0,$R53-2)))</f>
        <v>0</v>
      </c>
      <c r="BD55" s="439" t="n">
        <f aca="false" t="array" ref="BD55:BD55">IF($R53=2,
         IF(AND(ACOMPANHAMENTO="PLE",ISNUMBER($F53)),
                SUMIF((OFFSET(CÁLCULO!$BS$15:$CS$15,$F53,0,OFFSET(ORÇAMENTO!$D$15,CRONO!$F53,0))),CRONO!BD$12,OFFSET(CÁLCULO!$AR$15:$BR$15,$F53,0,OFFSET(ORÇAMENTO!$D$15,CRONO!$F53,0)))
                +IF(AND($F55&lt;&gt;"",$F55&lt;&gt;0),
                        SUMIF(CÁLCULO!$BS$15:$CS$205,CRONO!BD$12,CÁLCULO!$AR$15:$BR$205)/(ORÇAMENTO!$X$15-_xlfn.single(CÁLCULO.TotalAdmLocal))*CRONO!$F55,
                        0),
                 BD54*$S53),
          SUMIF(OFFSET($S55,1,0,$R53-2),($M53+1)&amp;"$",OFFSET(BD55,1,0,$R53-2)))</f>
        <v>0</v>
      </c>
      <c r="BE55" s="430"/>
    </row>
    <row r="56" customFormat="false" ht="12.75" hidden="false" customHeight="false" outlineLevel="0" collapsed="false">
      <c r="A56" s="382" t="str">
        <f aca="false">IF($M56&gt;1,_xlfn.CONCAT($I56," ",$J56),"")</f>
        <v>1.14. VIDROS E ESQUADRIAS ESPECIAIS</v>
      </c>
      <c r="B56" s="419" t="n">
        <f aca="true">OFFSET(B56,-3,0)+1</f>
        <v>15</v>
      </c>
      <c r="C56" s="419" t="n">
        <f aca="true">IF($R56&lt;&gt;2,0,IF($S56=0,1,IF(F57&gt;0,OFFSET(QCI!$M$13,SUBSTITUTE(F57,".",""),0),OFFSET(ORÇAMENTO!$AA$15,CRONO!$F56,0))/$S56))</f>
        <v>0.110981526562671</v>
      </c>
      <c r="D56" s="419" t="n">
        <f aca="true">IF($R56&lt;&gt;2,0,IF($S56=0,1,IF(F57&gt;0,OFFSET(QCI!$N$13,SUBSTITUTE(F57,".",""),0),OFFSET(ORÇAMENTO!$AB$15,CRONO!$F56,0))/$S56))</f>
        <v>0</v>
      </c>
      <c r="E56" s="422" t="n">
        <f aca="false" t="array" ref="E56:E56">IF(AND($R56=2,ACOMPANHAMENTO="BM"),ROUND(E57,4),E58/$S56)</f>
        <v>0.04</v>
      </c>
      <c r="F56" s="419" t="n">
        <f aca="true">IF(B56&lt;=ORÇAMENTO.MáximoListaCrono,MATCH(B56,ORÇAMENTO.ListaCrono,0),NA())</f>
        <v>50</v>
      </c>
      <c r="G56" s="419" t="str">
        <f aca="false">IF(AND($F57&lt;&gt;-1,$S56&gt;0),"F","")</f>
        <v>F</v>
      </c>
      <c r="H56" s="423" t="str">
        <f aca="false" t="array" ref="H56:H56">IF(OR(S56=0,S56=""),"Linha",IF(AND(OR(ACOMPANHAMENTO="PLE",$R56&lt;&gt;2),$F57=0),"Linha",ROUND(1-SUM(U56:BE56),4)))</f>
        <v>Linha</v>
      </c>
      <c r="I56" s="424" t="str">
        <f aca="true">IF($F57=0,OFFSET(ORÇAMENTO!O$15,$F56,0),IF($F57&lt;&gt;-1,OFFSET(QCI!$D$13,$F57,0),""))</f>
        <v>1.14.</v>
      </c>
      <c r="J56" s="425" t="str">
        <f aca="true">IF($F57=0,OFFSET(ORÇAMENTO!R$15,$F56,0),IF($F57&lt;&gt;-1,OFFSET(QCI!$G$13,$F57,0),""))</f>
        <v>VIDROS E ESQUADRIAS ESPECIAIS</v>
      </c>
      <c r="K56" s="425"/>
      <c r="L56" s="425"/>
      <c r="M56" s="426" t="n">
        <f aca="true">IF($F57=0,OFFSET(ORÇAMENTO!C$15,$F56,0),1)</f>
        <v>2</v>
      </c>
      <c r="N56" s="427" t="n">
        <f aca="true">IF($F57=-1,0,IF(N$13&lt;=$M56,IF(ISERROR(MATCH(N$13,OFFSET($M56,1,0,ROW($M$182)-ROW($M56)-1),0)),ROW($M$182)-ROW($M56)-1,MATCH(N$13,OFFSET($M56,1,0,ROW($M$182)-ROW($M56)-1),0)-1),0))</f>
        <v>125</v>
      </c>
      <c r="O56" s="427" t="n">
        <f aca="true">IF($F57=-1,0,IF(O$13&lt;=$M56,IF(ISERROR(MATCH(O$13,OFFSET($M56,1,0,ROW($M$182)-ROW($M56)-1),0)),ROW($M$182)-ROW($M56)-1,MATCH(O$13,OFFSET($M56,1,0,ROW($M$182)-ROW($M56)-1),0)-1),0))</f>
        <v>2</v>
      </c>
      <c r="P56" s="427" t="n">
        <f aca="true">IF($F57=-1,0,IF(P$13&lt;=$M56,IF(ISERROR(MATCH(P$13,OFFSET($M56,1,0,ROW($M$182)-ROW($M56)-1),0)),ROW($M$182)-ROW($M56)-1,MATCH(P$13,OFFSET($M56,1,0,ROW($M$182)-ROW($M56)-1),0)-1),0))</f>
        <v>0</v>
      </c>
      <c r="Q56" s="427" t="n">
        <f aca="true">IF($F57=-1,0,IF(Q$13&lt;=$M56,IF(ISERROR(MATCH(Q$13,OFFSET($M56,1,0,ROW($M$182)-ROW($M56)-1),0)),ROW($M$182)-ROW($M56)-1,MATCH(Q$13,OFFSET($M56,1,0,ROW($M$182)-ROW($M56)-1),0)-1),0))</f>
        <v>0</v>
      </c>
      <c r="R56" s="427" t="n">
        <f aca="true">MIN(OFFSET(M56,0,1,,M56))</f>
        <v>2</v>
      </c>
      <c r="S56" s="428" t="n">
        <f aca="true">IF($F57=0,OFFSET(ORÇAMENTO!X$15,$F56,0),IF($F57&lt;&gt;-1,OFFSET(QCI!$O$13,$F57,0),""))</f>
        <v>126828.5</v>
      </c>
      <c r="T56" s="429" t="s">
        <v>996</v>
      </c>
      <c r="U56" s="422" t="n">
        <f aca="false" t="array" ref="U56:U56">IF(AND($R56=2,ACOMPANHAMENTO="BM"),ROUND(U57,4),U58/$S56)</f>
        <v>0.04</v>
      </c>
      <c r="V56" s="422" t="n">
        <f aca="false" t="array" ref="V56:V56">IF(AND($R56=2,ACOMPANHAMENTO="BM"),ROUND(V57,4),V58/$S56)</f>
        <v>0.04</v>
      </c>
      <c r="W56" s="422" t="n">
        <f aca="false" t="array" ref="W56:W56">IF(AND($R56=2,ACOMPANHAMENTO="BM"),ROUND(W57,4),W58/$S56)</f>
        <v>0.04</v>
      </c>
      <c r="X56" s="422" t="n">
        <f aca="false" t="array" ref="X56:X56">IF(AND($R56=2,ACOMPANHAMENTO="BM"),ROUND(X57,4),X58/$S56)</f>
        <v>0.04</v>
      </c>
      <c r="Y56" s="422" t="n">
        <f aca="false" t="array" ref="Y56:Y56">IF(AND($R56=2,ACOMPANHAMENTO="BM"),ROUND(Y57,4),Y58/$S56)</f>
        <v>0.04</v>
      </c>
      <c r="Z56" s="422" t="n">
        <f aca="false" t="array" ref="Z56:Z56">IF(AND($R56=2,ACOMPANHAMENTO="BM"),ROUND(Z57,4),Z58/$S56)</f>
        <v>0.04</v>
      </c>
      <c r="AA56" s="422" t="n">
        <f aca="false" t="array" ref="AA56:AA56">IF(AND($R56=2,ACOMPANHAMENTO="BM"),ROUND(AA57,4),AA58/$S56)</f>
        <v>0.04</v>
      </c>
      <c r="AB56" s="422" t="n">
        <f aca="false" t="array" ref="AB56:AB56">IF(AND($R56=2,ACOMPANHAMENTO="BM"),ROUND(AB57,4),AB58/$S56)</f>
        <v>0.04</v>
      </c>
      <c r="AC56" s="422" t="n">
        <f aca="false" t="array" ref="AC56:AC56">IF(AND($R56=2,ACOMPANHAMENTO="BM"),ROUND(AC57,4),AC58/$S56)</f>
        <v>0.04</v>
      </c>
      <c r="AD56" s="422" t="n">
        <f aca="false" t="array" ref="AD56:AD56">IF(AND($R56=2,ACOMPANHAMENTO="BM"),ROUND(AD57,4),AD58/$S56)</f>
        <v>0.04</v>
      </c>
      <c r="AE56" s="422" t="n">
        <f aca="false" t="array" ref="AE56:AE56">IF(AND($R56=2,ACOMPANHAMENTO="BM"),ROUND(AE57,4),AE58/$S56)</f>
        <v>0.04</v>
      </c>
      <c r="AF56" s="422" t="n">
        <f aca="false" t="array" ref="AF56:AF56">IF(AND($R56=2,ACOMPANHAMENTO="BM"),ROUND(AF57,4),AF58/$S56)</f>
        <v>0.04</v>
      </c>
      <c r="AG56" s="422" t="n">
        <f aca="false" t="array" ref="AG56:AG56">IF(AND($R56=2,ACOMPANHAMENTO="BM"),ROUND(AG57,4),AG58/$S56)</f>
        <v>0.04</v>
      </c>
      <c r="AH56" s="422" t="n">
        <f aca="false" t="array" ref="AH56:AH56">IF(AND($R56=2,ACOMPANHAMENTO="BM"),ROUND(AH57,4),AH58/$S56)</f>
        <v>0.04</v>
      </c>
      <c r="AI56" s="422" t="n">
        <f aca="false" t="array" ref="AI56:AI56">IF(AND($R56=2,ACOMPANHAMENTO="BM"),ROUND(AI57,4),AI58/$S56)</f>
        <v>0.04</v>
      </c>
      <c r="AJ56" s="422" t="n">
        <f aca="false" t="array" ref="AJ56:AJ56">IF(AND($R56=2,ACOMPANHAMENTO="BM"),ROUND(AJ57,4),AJ58/$S56)</f>
        <v>0.04</v>
      </c>
      <c r="AK56" s="422" t="n">
        <f aca="false" t="array" ref="AK56:AK56">IF(AND($R56=2,ACOMPANHAMENTO="BM"),ROUND(AK57,4),AK58/$S56)</f>
        <v>0.04</v>
      </c>
      <c r="AL56" s="422" t="n">
        <f aca="false" t="array" ref="AL56:AL56">IF(AND($R56=2,ACOMPANHAMENTO="BM"),ROUND(AL57,4),AL58/$S56)</f>
        <v>0.04</v>
      </c>
      <c r="AM56" s="422" t="n">
        <f aca="false" t="array" ref="AM56:AM56">IF(AND($R56=2,ACOMPANHAMENTO="BM"),ROUND(AM57,4),AM58/$S56)</f>
        <v>0.04</v>
      </c>
      <c r="AN56" s="422" t="n">
        <f aca="false" t="array" ref="AN56:AN56">IF(AND($R56=2,ACOMPANHAMENTO="BM"),ROUND(AN57,4),AN58/$S56)</f>
        <v>0.04</v>
      </c>
      <c r="AO56" s="422" t="n">
        <f aca="false" t="array" ref="AO56:AO56">IF(AND($R56=2,ACOMPANHAMENTO="BM"),ROUND(AO57,4),AO58/$S56)</f>
        <v>0.04</v>
      </c>
      <c r="AP56" s="422" t="n">
        <f aca="false" t="array" ref="AP56:AP56">IF(AND($R56=2,ACOMPANHAMENTO="BM"),ROUND(AP57,4),AP58/$S56)</f>
        <v>0.04</v>
      </c>
      <c r="AQ56" s="422" t="n">
        <f aca="false" t="array" ref="AQ56:AQ56">IF(AND($R56=2,ACOMPANHAMENTO="BM"),ROUND(AQ57,4),AQ58/$S56)</f>
        <v>0.04</v>
      </c>
      <c r="AR56" s="422" t="n">
        <f aca="false" t="array" ref="AR56:AR56">IF(AND($R56=2,ACOMPANHAMENTO="BM"),ROUND(AR57,4),AR58/$S56)</f>
        <v>0.04</v>
      </c>
      <c r="AS56" s="422" t="n">
        <f aca="false" t="array" ref="AS56:AS56">IF(AND($R56=2,ACOMPANHAMENTO="BM"),ROUND(AS57,4),AS58/$S56)</f>
        <v>0.04</v>
      </c>
      <c r="AT56" s="422" t="n">
        <f aca="false" t="array" ref="AT56:AT56">IF(AND($R56=2,ACOMPANHAMENTO="BM"),ROUND(AT57,4),AT58/$S56)</f>
        <v>0</v>
      </c>
      <c r="AU56" s="422" t="n">
        <f aca="false" t="array" ref="AU56:AU56">IF(AND($R56=2,ACOMPANHAMENTO="BM"),ROUND(AU57,4),AU58/$S56)</f>
        <v>0</v>
      </c>
      <c r="AV56" s="422" t="n">
        <f aca="false" t="array" ref="AV56:AV56">IF(AND($R56=2,ACOMPANHAMENTO="BM"),ROUND(AV57,4),AV58/$S56)</f>
        <v>0</v>
      </c>
      <c r="AW56" s="422" t="n">
        <f aca="false" t="array" ref="AW56:AW56">IF(AND($R56=2,ACOMPANHAMENTO="BM"),ROUND(AW57,4),AW58/$S56)</f>
        <v>0</v>
      </c>
      <c r="AX56" s="422" t="n">
        <f aca="false" t="array" ref="AX56:AX56">IF(AND($R56=2,ACOMPANHAMENTO="BM"),ROUND(AX57,4),AX58/$S56)</f>
        <v>0</v>
      </c>
      <c r="AY56" s="422" t="n">
        <f aca="false" t="array" ref="AY56:AY56">IF(AND($R56=2,ACOMPANHAMENTO="BM"),ROUND(AY57,4),AY58/$S56)</f>
        <v>0</v>
      </c>
      <c r="AZ56" s="422" t="n">
        <f aca="false" t="array" ref="AZ56:AZ56">IF(AND($R56=2,ACOMPANHAMENTO="BM"),ROUND(AZ57,4),AZ58/$S56)</f>
        <v>0</v>
      </c>
      <c r="BA56" s="422" t="n">
        <f aca="false" t="array" ref="BA56:BA56">IF(AND($R56=2,ACOMPANHAMENTO="BM"),ROUND(BA57,4),BA58/$S56)</f>
        <v>0</v>
      </c>
      <c r="BB56" s="422" t="n">
        <f aca="false" t="array" ref="BB56:BB56">IF(AND($R56=2,ACOMPANHAMENTO="BM"),ROUND(BB57,4),BB58/$S56)</f>
        <v>0</v>
      </c>
      <c r="BC56" s="422" t="n">
        <f aca="false" t="array" ref="BC56:BC56">IF(AND($R56=2,ACOMPANHAMENTO="BM"),ROUND(BC57,4),BC58/$S56)</f>
        <v>0</v>
      </c>
      <c r="BD56" s="422" t="n">
        <f aca="false" t="array" ref="BD56:BD56">IF(AND($R56=2,ACOMPANHAMENTO="BM"),ROUND(BD57,4),BD58/$S56)</f>
        <v>0</v>
      </c>
      <c r="BE56" s="430"/>
    </row>
    <row r="57" customFormat="false" ht="12.75" hidden="true" customHeight="true" outlineLevel="0" collapsed="false">
      <c r="E57" s="431"/>
      <c r="F57" s="419" t="n">
        <f aca="true">IF(ISERROR(F56),IF(1+COUNTIF($M$13:OFFSET(M56,-1,0),1)&lt;=MAX(QCI!$D$13:$D$15),1+COUNTIF($M$13:OFFSET(M56,-1,0),1),-1),0)</f>
        <v>0</v>
      </c>
      <c r="G57" s="419" t="str">
        <f aca="true" t="array" ref="G57:G57">IF(ACOMPANHAMENTO="BM",OFFSET(G57,-1,0),"")</f>
        <v/>
      </c>
      <c r="H57" s="432" t="str">
        <f aca="false" t="array" ref="H57:H57">IF(OR(S56=0,S56=""),"vazia",IF(AND(OR(ACOMPANHAMENTO="PLE",$R56&lt;&gt;2),$F57=0),"calculada","--&gt;"))</f>
        <v>calculada</v>
      </c>
      <c r="I57" s="433"/>
      <c r="J57" s="434" t="str">
        <f aca="false">IF(AND(H56&lt;&gt;0,ISNUMBER(H56)),"PREENCHA ESTA LINHA --&gt;","")</f>
        <v/>
      </c>
      <c r="K57" s="434"/>
      <c r="L57" s="434"/>
      <c r="M57" s="435"/>
      <c r="N57" s="435"/>
      <c r="O57" s="435"/>
      <c r="P57" s="435"/>
      <c r="Q57" s="435"/>
      <c r="R57" s="435"/>
      <c r="S57" s="436"/>
      <c r="T57" s="437"/>
      <c r="U57" s="431"/>
      <c r="V57" s="431"/>
      <c r="W57" s="431"/>
      <c r="X57" s="431"/>
      <c r="Y57" s="431"/>
      <c r="Z57" s="431"/>
      <c r="AA57" s="431"/>
      <c r="AB57" s="431"/>
      <c r="AC57" s="431"/>
      <c r="AD57" s="431"/>
      <c r="AE57" s="431"/>
      <c r="AF57" s="431"/>
      <c r="AG57" s="431"/>
      <c r="AH57" s="431"/>
      <c r="AI57" s="431"/>
      <c r="AJ57" s="431"/>
      <c r="AK57" s="431"/>
      <c r="AL57" s="431"/>
      <c r="AM57" s="431"/>
      <c r="AN57" s="431"/>
      <c r="AO57" s="431"/>
      <c r="AP57" s="431"/>
      <c r="AQ57" s="431"/>
      <c r="AR57" s="431"/>
      <c r="AS57" s="431"/>
      <c r="AT57" s="431"/>
      <c r="AU57" s="431"/>
      <c r="AV57" s="431"/>
      <c r="AW57" s="431"/>
      <c r="AX57" s="431"/>
      <c r="AY57" s="431"/>
      <c r="AZ57" s="431"/>
      <c r="BA57" s="431"/>
      <c r="BB57" s="431"/>
      <c r="BC57" s="431"/>
      <c r="BD57" s="431"/>
      <c r="BE57" s="430"/>
    </row>
    <row r="58" customFormat="false" ht="12.75" hidden="true" customHeight="true" outlineLevel="0" collapsed="false">
      <c r="D58" s="438"/>
      <c r="E58" s="439" t="n">
        <f aca="false" t="array" ref="E58:E58">IF($R56=2,
         IF(AND(ACOMPANHAMENTO="PLE",ISNUMBER($F56)),
                SUMIF((OFFSET(CÁLCULO!$BS$15:$CS$15,$F56,0,OFFSET(ORÇAMENTO!$D$15,CRONO!$F56,0))),CRONO!E$12,OFFSET(CÁLCULO!$AR$15:$BR$15,$F56,0,OFFSET(ORÇAMENTO!$D$15,CRONO!$F56,0)))
                +IF(AND($F58&lt;&gt;"",$F58&lt;&gt;0),
                        SUMIF(CÁLCULO!$BS$15:$CS$205,CRONO!E$12,CÁLCULO!$AR$15:$BR$205)/(ORÇAMENTO!$X$15-_xlfn.single(CÁLCULO.TotalAdmLocal))*CRONO!$F58,
                        0),
                 E57*$S56),
          SUMIF(OFFSET($S58,1,0,$R56-2),($M56+1)&amp;"$",OFFSET(E58,1,0,$R56-2)))</f>
        <v>5073.14</v>
      </c>
      <c r="F58" s="419" t="str">
        <f aca="true">IF(OR($R56&lt;&gt;2,AUTOEVENTO&lt;&gt;"manual",$F57&gt;0),"",
        IF(Import.TipoArredondamento="Tradicional",
              SUMIF(OFFSET(CÁLCULO!$M$15,CRONO!$F56,0,OFFSET(ORÇAMENTO!$D$15,CRONO!$F56,0)),1,OFFSET(ORÇAMENTO!$X$15,CRONO!$F56,0,OFFSET(ORÇAMENTO!$D$15,CRONO!$F56,0))),
              0))</f>
        <v/>
      </c>
      <c r="H58" s="440"/>
      <c r="S58" s="441" t="str">
        <f aca="false">M56&amp;"$"</f>
        <v>2$</v>
      </c>
      <c r="T58" s="442"/>
      <c r="U58" s="439" t="n">
        <f aca="false" t="array" ref="U58:U58">IF($R56=2,
         IF(AND(ACOMPANHAMENTO="PLE",ISNUMBER($F56)),
                SUMIF((OFFSET(CÁLCULO!$BS$15:$CS$15,$F56,0,OFFSET(ORÇAMENTO!$D$15,CRONO!$F56,0))),CRONO!U$12,OFFSET(CÁLCULO!$AR$15:$BR$15,$F56,0,OFFSET(ORÇAMENTO!$D$15,CRONO!$F56,0)))
                +IF(AND($F58&lt;&gt;"",$F58&lt;&gt;0),
                        SUMIF(CÁLCULO!$BS$15:$CS$205,CRONO!U$12,CÁLCULO!$AR$15:$BR$205)/(ORÇAMENTO!$X$15-_xlfn.single(CÁLCULO.TotalAdmLocal))*CRONO!$F58,
                        0),
                 U57*$S56),
          SUMIF(OFFSET($S58,1,0,$R56-2),($M56+1)&amp;"$",OFFSET(U58,1,0,$R56-2)))</f>
        <v>5073.14</v>
      </c>
      <c r="V58" s="439" t="n">
        <f aca="false" t="array" ref="V58:V58">IF($R56=2,
         IF(AND(ACOMPANHAMENTO="PLE",ISNUMBER($F56)),
                SUMIF((OFFSET(CÁLCULO!$BS$15:$CS$15,$F56,0,OFFSET(ORÇAMENTO!$D$15,CRONO!$F56,0))),CRONO!V$12,OFFSET(CÁLCULO!$AR$15:$BR$15,$F56,0,OFFSET(ORÇAMENTO!$D$15,CRONO!$F56,0)))
                +IF(AND($F58&lt;&gt;"",$F58&lt;&gt;0),
                        SUMIF(CÁLCULO!$BS$15:$CS$205,CRONO!V$12,CÁLCULO!$AR$15:$BR$205)/(ORÇAMENTO!$X$15-_xlfn.single(CÁLCULO.TotalAdmLocal))*CRONO!$F58,
                        0),
                 V57*$S56),
          SUMIF(OFFSET($S58,1,0,$R56-2),($M56+1)&amp;"$",OFFSET(V58,1,0,$R56-2)))</f>
        <v>5073.14</v>
      </c>
      <c r="W58" s="439" t="n">
        <f aca="false" t="array" ref="W58:W58">IF($R56=2,
         IF(AND(ACOMPANHAMENTO="PLE",ISNUMBER($F56)),
                SUMIF((OFFSET(CÁLCULO!$BS$15:$CS$15,$F56,0,OFFSET(ORÇAMENTO!$D$15,CRONO!$F56,0))),CRONO!W$12,OFFSET(CÁLCULO!$AR$15:$BR$15,$F56,0,OFFSET(ORÇAMENTO!$D$15,CRONO!$F56,0)))
                +IF(AND($F58&lt;&gt;"",$F58&lt;&gt;0),
                        SUMIF(CÁLCULO!$BS$15:$CS$205,CRONO!W$12,CÁLCULO!$AR$15:$BR$205)/(ORÇAMENTO!$X$15-_xlfn.single(CÁLCULO.TotalAdmLocal))*CRONO!$F58,
                        0),
                 W57*$S56),
          SUMIF(OFFSET($S58,1,0,$R56-2),($M56+1)&amp;"$",OFFSET(W58,1,0,$R56-2)))</f>
        <v>5073.14</v>
      </c>
      <c r="X58" s="439" t="n">
        <f aca="false" t="array" ref="X58:X58">IF($R56=2,
         IF(AND(ACOMPANHAMENTO="PLE",ISNUMBER($F56)),
                SUMIF((OFFSET(CÁLCULO!$BS$15:$CS$15,$F56,0,OFFSET(ORÇAMENTO!$D$15,CRONO!$F56,0))),CRONO!X$12,OFFSET(CÁLCULO!$AR$15:$BR$15,$F56,0,OFFSET(ORÇAMENTO!$D$15,CRONO!$F56,0)))
                +IF(AND($F58&lt;&gt;"",$F58&lt;&gt;0),
                        SUMIF(CÁLCULO!$BS$15:$CS$205,CRONO!X$12,CÁLCULO!$AR$15:$BR$205)/(ORÇAMENTO!$X$15-_xlfn.single(CÁLCULO.TotalAdmLocal))*CRONO!$F58,
                        0),
                 X57*$S56),
          SUMIF(OFFSET($S58,1,0,$R56-2),($M56+1)&amp;"$",OFFSET(X58,1,0,$R56-2)))</f>
        <v>5073.14</v>
      </c>
      <c r="Y58" s="439" t="n">
        <f aca="false" t="array" ref="Y58:Y58">IF($R56=2,
         IF(AND(ACOMPANHAMENTO="PLE",ISNUMBER($F56)),
                SUMIF((OFFSET(CÁLCULO!$BS$15:$CS$15,$F56,0,OFFSET(ORÇAMENTO!$D$15,CRONO!$F56,0))),CRONO!Y$12,OFFSET(CÁLCULO!$AR$15:$BR$15,$F56,0,OFFSET(ORÇAMENTO!$D$15,CRONO!$F56,0)))
                +IF(AND($F58&lt;&gt;"",$F58&lt;&gt;0),
                        SUMIF(CÁLCULO!$BS$15:$CS$205,CRONO!Y$12,CÁLCULO!$AR$15:$BR$205)/(ORÇAMENTO!$X$15-_xlfn.single(CÁLCULO.TotalAdmLocal))*CRONO!$F58,
                        0),
                 Y57*$S56),
          SUMIF(OFFSET($S58,1,0,$R56-2),($M56+1)&amp;"$",OFFSET(Y58,1,0,$R56-2)))</f>
        <v>5073.14</v>
      </c>
      <c r="Z58" s="439" t="n">
        <f aca="false" t="array" ref="Z58:Z58">IF($R56=2,
         IF(AND(ACOMPANHAMENTO="PLE",ISNUMBER($F56)),
                SUMIF((OFFSET(CÁLCULO!$BS$15:$CS$15,$F56,0,OFFSET(ORÇAMENTO!$D$15,CRONO!$F56,0))),CRONO!Z$12,OFFSET(CÁLCULO!$AR$15:$BR$15,$F56,0,OFFSET(ORÇAMENTO!$D$15,CRONO!$F56,0)))
                +IF(AND($F58&lt;&gt;"",$F58&lt;&gt;0),
                        SUMIF(CÁLCULO!$BS$15:$CS$205,CRONO!Z$12,CÁLCULO!$AR$15:$BR$205)/(ORÇAMENTO!$X$15-_xlfn.single(CÁLCULO.TotalAdmLocal))*CRONO!$F58,
                        0),
                 Z57*$S56),
          SUMIF(OFFSET($S58,1,0,$R56-2),($M56+1)&amp;"$",OFFSET(Z58,1,0,$R56-2)))</f>
        <v>5073.14</v>
      </c>
      <c r="AA58" s="439" t="n">
        <f aca="false" t="array" ref="AA58:AA58">IF($R56=2,
         IF(AND(ACOMPANHAMENTO="PLE",ISNUMBER($F56)),
                SUMIF((OFFSET(CÁLCULO!$BS$15:$CS$15,$F56,0,OFFSET(ORÇAMENTO!$D$15,CRONO!$F56,0))),CRONO!AA$12,OFFSET(CÁLCULO!$AR$15:$BR$15,$F56,0,OFFSET(ORÇAMENTO!$D$15,CRONO!$F56,0)))
                +IF(AND($F58&lt;&gt;"",$F58&lt;&gt;0),
                        SUMIF(CÁLCULO!$BS$15:$CS$205,CRONO!AA$12,CÁLCULO!$AR$15:$BR$205)/(ORÇAMENTO!$X$15-_xlfn.single(CÁLCULO.TotalAdmLocal))*CRONO!$F58,
                        0),
                 AA57*$S56),
          SUMIF(OFFSET($S58,1,0,$R56-2),($M56+1)&amp;"$",OFFSET(AA58,1,0,$R56-2)))</f>
        <v>5073.14</v>
      </c>
      <c r="AB58" s="439" t="n">
        <f aca="false" t="array" ref="AB58:AB58">IF($R56=2,
         IF(AND(ACOMPANHAMENTO="PLE",ISNUMBER($F56)),
                SUMIF((OFFSET(CÁLCULO!$BS$15:$CS$15,$F56,0,OFFSET(ORÇAMENTO!$D$15,CRONO!$F56,0))),CRONO!AB$12,OFFSET(CÁLCULO!$AR$15:$BR$15,$F56,0,OFFSET(ORÇAMENTO!$D$15,CRONO!$F56,0)))
                +IF(AND($F58&lt;&gt;"",$F58&lt;&gt;0),
                        SUMIF(CÁLCULO!$BS$15:$CS$205,CRONO!AB$12,CÁLCULO!$AR$15:$BR$205)/(ORÇAMENTO!$X$15-_xlfn.single(CÁLCULO.TotalAdmLocal))*CRONO!$F58,
                        0),
                 AB57*$S56),
          SUMIF(OFFSET($S58,1,0,$R56-2),($M56+1)&amp;"$",OFFSET(AB58,1,0,$R56-2)))</f>
        <v>5073.14</v>
      </c>
      <c r="AC58" s="439" t="n">
        <f aca="false" t="array" ref="AC58:AC58">IF($R56=2,
         IF(AND(ACOMPANHAMENTO="PLE",ISNUMBER($F56)),
                SUMIF((OFFSET(CÁLCULO!$BS$15:$CS$15,$F56,0,OFFSET(ORÇAMENTO!$D$15,CRONO!$F56,0))),CRONO!AC$12,OFFSET(CÁLCULO!$AR$15:$BR$15,$F56,0,OFFSET(ORÇAMENTO!$D$15,CRONO!$F56,0)))
                +IF(AND($F58&lt;&gt;"",$F58&lt;&gt;0),
                        SUMIF(CÁLCULO!$BS$15:$CS$205,CRONO!AC$12,CÁLCULO!$AR$15:$BR$205)/(ORÇAMENTO!$X$15-_xlfn.single(CÁLCULO.TotalAdmLocal))*CRONO!$F58,
                        0),
                 AC57*$S56),
          SUMIF(OFFSET($S58,1,0,$R56-2),($M56+1)&amp;"$",OFFSET(AC58,1,0,$R56-2)))</f>
        <v>5073.14</v>
      </c>
      <c r="AD58" s="439" t="n">
        <f aca="false" t="array" ref="AD58:AD58">IF($R56=2,
         IF(AND(ACOMPANHAMENTO="PLE",ISNUMBER($F56)),
                SUMIF((OFFSET(CÁLCULO!$BS$15:$CS$15,$F56,0,OFFSET(ORÇAMENTO!$D$15,CRONO!$F56,0))),CRONO!AD$12,OFFSET(CÁLCULO!$AR$15:$BR$15,$F56,0,OFFSET(ORÇAMENTO!$D$15,CRONO!$F56,0)))
                +IF(AND($F58&lt;&gt;"",$F58&lt;&gt;0),
                        SUMIF(CÁLCULO!$BS$15:$CS$205,CRONO!AD$12,CÁLCULO!$AR$15:$BR$205)/(ORÇAMENTO!$X$15-_xlfn.single(CÁLCULO.TotalAdmLocal))*CRONO!$F58,
                        0),
                 AD57*$S56),
          SUMIF(OFFSET($S58,1,0,$R56-2),($M56+1)&amp;"$",OFFSET(AD58,1,0,$R56-2)))</f>
        <v>5073.14</v>
      </c>
      <c r="AE58" s="439" t="n">
        <f aca="false" t="array" ref="AE58:AE58">IF($R56=2,
         IF(AND(ACOMPANHAMENTO="PLE",ISNUMBER($F56)),
                SUMIF((OFFSET(CÁLCULO!$BS$15:$CS$15,$F56,0,OFFSET(ORÇAMENTO!$D$15,CRONO!$F56,0))),CRONO!AE$12,OFFSET(CÁLCULO!$AR$15:$BR$15,$F56,0,OFFSET(ORÇAMENTO!$D$15,CRONO!$F56,0)))
                +IF(AND($F58&lt;&gt;"",$F58&lt;&gt;0),
                        SUMIF(CÁLCULO!$BS$15:$CS$205,CRONO!AE$12,CÁLCULO!$AR$15:$BR$205)/(ORÇAMENTO!$X$15-_xlfn.single(CÁLCULO.TotalAdmLocal))*CRONO!$F58,
                        0),
                 AE57*$S56),
          SUMIF(OFFSET($S58,1,0,$R56-2),($M56+1)&amp;"$",OFFSET(AE58,1,0,$R56-2)))</f>
        <v>5073.14</v>
      </c>
      <c r="AF58" s="439" t="n">
        <f aca="false" t="array" ref="AF58:AF58">IF($R56=2,
         IF(AND(ACOMPANHAMENTO="PLE",ISNUMBER($F56)),
                SUMIF((OFFSET(CÁLCULO!$BS$15:$CS$15,$F56,0,OFFSET(ORÇAMENTO!$D$15,CRONO!$F56,0))),CRONO!AF$12,OFFSET(CÁLCULO!$AR$15:$BR$15,$F56,0,OFFSET(ORÇAMENTO!$D$15,CRONO!$F56,0)))
                +IF(AND($F58&lt;&gt;"",$F58&lt;&gt;0),
                        SUMIF(CÁLCULO!$BS$15:$CS$205,CRONO!AF$12,CÁLCULO!$AR$15:$BR$205)/(ORÇAMENTO!$X$15-_xlfn.single(CÁLCULO.TotalAdmLocal))*CRONO!$F58,
                        0),
                 AF57*$S56),
          SUMIF(OFFSET($S58,1,0,$R56-2),($M56+1)&amp;"$",OFFSET(AF58,1,0,$R56-2)))</f>
        <v>5073.14</v>
      </c>
      <c r="AG58" s="439" t="n">
        <f aca="false" t="array" ref="AG58:AG58">IF($R56=2,
         IF(AND(ACOMPANHAMENTO="PLE",ISNUMBER($F56)),
                SUMIF((OFFSET(CÁLCULO!$BS$15:$CS$15,$F56,0,OFFSET(ORÇAMENTO!$D$15,CRONO!$F56,0))),CRONO!AG$12,OFFSET(CÁLCULO!$AR$15:$BR$15,$F56,0,OFFSET(ORÇAMENTO!$D$15,CRONO!$F56,0)))
                +IF(AND($F58&lt;&gt;"",$F58&lt;&gt;0),
                        SUMIF(CÁLCULO!$BS$15:$CS$205,CRONO!AG$12,CÁLCULO!$AR$15:$BR$205)/(ORÇAMENTO!$X$15-_xlfn.single(CÁLCULO.TotalAdmLocal))*CRONO!$F58,
                        0),
                 AG57*$S56),
          SUMIF(OFFSET($S58,1,0,$R56-2),($M56+1)&amp;"$",OFFSET(AG58,1,0,$R56-2)))</f>
        <v>5073.14</v>
      </c>
      <c r="AH58" s="439" t="n">
        <f aca="false" t="array" ref="AH58:AH58">IF($R56=2,
         IF(AND(ACOMPANHAMENTO="PLE",ISNUMBER($F56)),
                SUMIF((OFFSET(CÁLCULO!$BS$15:$CS$15,$F56,0,OFFSET(ORÇAMENTO!$D$15,CRONO!$F56,0))),CRONO!AH$12,OFFSET(CÁLCULO!$AR$15:$BR$15,$F56,0,OFFSET(ORÇAMENTO!$D$15,CRONO!$F56,0)))
                +IF(AND($F58&lt;&gt;"",$F58&lt;&gt;0),
                        SUMIF(CÁLCULO!$BS$15:$CS$205,CRONO!AH$12,CÁLCULO!$AR$15:$BR$205)/(ORÇAMENTO!$X$15-_xlfn.single(CÁLCULO.TotalAdmLocal))*CRONO!$F58,
                        0),
                 AH57*$S56),
          SUMIF(OFFSET($S58,1,0,$R56-2),($M56+1)&amp;"$",OFFSET(AH58,1,0,$R56-2)))</f>
        <v>5073.14</v>
      </c>
      <c r="AI58" s="439" t="n">
        <f aca="false" t="array" ref="AI58:AI58">IF($R56=2,
         IF(AND(ACOMPANHAMENTO="PLE",ISNUMBER($F56)),
                SUMIF((OFFSET(CÁLCULO!$BS$15:$CS$15,$F56,0,OFFSET(ORÇAMENTO!$D$15,CRONO!$F56,0))),CRONO!AI$12,OFFSET(CÁLCULO!$AR$15:$BR$15,$F56,0,OFFSET(ORÇAMENTO!$D$15,CRONO!$F56,0)))
                +IF(AND($F58&lt;&gt;"",$F58&lt;&gt;0),
                        SUMIF(CÁLCULO!$BS$15:$CS$205,CRONO!AI$12,CÁLCULO!$AR$15:$BR$205)/(ORÇAMENTO!$X$15-_xlfn.single(CÁLCULO.TotalAdmLocal))*CRONO!$F58,
                        0),
                 AI57*$S56),
          SUMIF(OFFSET($S58,1,0,$R56-2),($M56+1)&amp;"$",OFFSET(AI58,1,0,$R56-2)))</f>
        <v>5073.14</v>
      </c>
      <c r="AJ58" s="439" t="n">
        <f aca="false" t="array" ref="AJ58:AJ58">IF($R56=2,
         IF(AND(ACOMPANHAMENTO="PLE",ISNUMBER($F56)),
                SUMIF((OFFSET(CÁLCULO!$BS$15:$CS$15,$F56,0,OFFSET(ORÇAMENTO!$D$15,CRONO!$F56,0))),CRONO!AJ$12,OFFSET(CÁLCULO!$AR$15:$BR$15,$F56,0,OFFSET(ORÇAMENTO!$D$15,CRONO!$F56,0)))
                +IF(AND($F58&lt;&gt;"",$F58&lt;&gt;0),
                        SUMIF(CÁLCULO!$BS$15:$CS$205,CRONO!AJ$12,CÁLCULO!$AR$15:$BR$205)/(ORÇAMENTO!$X$15-_xlfn.single(CÁLCULO.TotalAdmLocal))*CRONO!$F58,
                        0),
                 AJ57*$S56),
          SUMIF(OFFSET($S58,1,0,$R56-2),($M56+1)&amp;"$",OFFSET(AJ58,1,0,$R56-2)))</f>
        <v>5073.14</v>
      </c>
      <c r="AK58" s="439" t="n">
        <f aca="false" t="array" ref="AK58:AK58">IF($R56=2,
         IF(AND(ACOMPANHAMENTO="PLE",ISNUMBER($F56)),
                SUMIF((OFFSET(CÁLCULO!$BS$15:$CS$15,$F56,0,OFFSET(ORÇAMENTO!$D$15,CRONO!$F56,0))),CRONO!AK$12,OFFSET(CÁLCULO!$AR$15:$BR$15,$F56,0,OFFSET(ORÇAMENTO!$D$15,CRONO!$F56,0)))
                +IF(AND($F58&lt;&gt;"",$F58&lt;&gt;0),
                        SUMIF(CÁLCULO!$BS$15:$CS$205,CRONO!AK$12,CÁLCULO!$AR$15:$BR$205)/(ORÇAMENTO!$X$15-_xlfn.single(CÁLCULO.TotalAdmLocal))*CRONO!$F58,
                        0),
                 AK57*$S56),
          SUMIF(OFFSET($S58,1,0,$R56-2),($M56+1)&amp;"$",OFFSET(AK58,1,0,$R56-2)))</f>
        <v>5073.14</v>
      </c>
      <c r="AL58" s="439" t="n">
        <f aca="false" t="array" ref="AL58:AL58">IF($R56=2,
         IF(AND(ACOMPANHAMENTO="PLE",ISNUMBER($F56)),
                SUMIF((OFFSET(CÁLCULO!$BS$15:$CS$15,$F56,0,OFFSET(ORÇAMENTO!$D$15,CRONO!$F56,0))),CRONO!AL$12,OFFSET(CÁLCULO!$AR$15:$BR$15,$F56,0,OFFSET(ORÇAMENTO!$D$15,CRONO!$F56,0)))
                +IF(AND($F58&lt;&gt;"",$F58&lt;&gt;0),
                        SUMIF(CÁLCULO!$BS$15:$CS$205,CRONO!AL$12,CÁLCULO!$AR$15:$BR$205)/(ORÇAMENTO!$X$15-_xlfn.single(CÁLCULO.TotalAdmLocal))*CRONO!$F58,
                        0),
                 AL57*$S56),
          SUMIF(OFFSET($S58,1,0,$R56-2),($M56+1)&amp;"$",OFFSET(AL58,1,0,$R56-2)))</f>
        <v>5073.14</v>
      </c>
      <c r="AM58" s="439" t="n">
        <f aca="false" t="array" ref="AM58:AM58">IF($R56=2,
         IF(AND(ACOMPANHAMENTO="PLE",ISNUMBER($F56)),
                SUMIF((OFFSET(CÁLCULO!$BS$15:$CS$15,$F56,0,OFFSET(ORÇAMENTO!$D$15,CRONO!$F56,0))),CRONO!AM$12,OFFSET(CÁLCULO!$AR$15:$BR$15,$F56,0,OFFSET(ORÇAMENTO!$D$15,CRONO!$F56,0)))
                +IF(AND($F58&lt;&gt;"",$F58&lt;&gt;0),
                        SUMIF(CÁLCULO!$BS$15:$CS$205,CRONO!AM$12,CÁLCULO!$AR$15:$BR$205)/(ORÇAMENTO!$X$15-_xlfn.single(CÁLCULO.TotalAdmLocal))*CRONO!$F58,
                        0),
                 AM57*$S56),
          SUMIF(OFFSET($S58,1,0,$R56-2),($M56+1)&amp;"$",OFFSET(AM58,1,0,$R56-2)))</f>
        <v>5073.14</v>
      </c>
      <c r="AN58" s="439" t="n">
        <f aca="false" t="array" ref="AN58:AN58">IF($R56=2,
         IF(AND(ACOMPANHAMENTO="PLE",ISNUMBER($F56)),
                SUMIF((OFFSET(CÁLCULO!$BS$15:$CS$15,$F56,0,OFFSET(ORÇAMENTO!$D$15,CRONO!$F56,0))),CRONO!AN$12,OFFSET(CÁLCULO!$AR$15:$BR$15,$F56,0,OFFSET(ORÇAMENTO!$D$15,CRONO!$F56,0)))
                +IF(AND($F58&lt;&gt;"",$F58&lt;&gt;0),
                        SUMIF(CÁLCULO!$BS$15:$CS$205,CRONO!AN$12,CÁLCULO!$AR$15:$BR$205)/(ORÇAMENTO!$X$15-_xlfn.single(CÁLCULO.TotalAdmLocal))*CRONO!$F58,
                        0),
                 AN57*$S56),
          SUMIF(OFFSET($S58,1,0,$R56-2),($M56+1)&amp;"$",OFFSET(AN58,1,0,$R56-2)))</f>
        <v>5073.14</v>
      </c>
      <c r="AO58" s="439" t="n">
        <f aca="false" t="array" ref="AO58:AO58">IF($R56=2,
         IF(AND(ACOMPANHAMENTO="PLE",ISNUMBER($F56)),
                SUMIF((OFFSET(CÁLCULO!$BS$15:$CS$15,$F56,0,OFFSET(ORÇAMENTO!$D$15,CRONO!$F56,0))),CRONO!AO$12,OFFSET(CÁLCULO!$AR$15:$BR$15,$F56,0,OFFSET(ORÇAMENTO!$D$15,CRONO!$F56,0)))
                +IF(AND($F58&lt;&gt;"",$F58&lt;&gt;0),
                        SUMIF(CÁLCULO!$BS$15:$CS$205,CRONO!AO$12,CÁLCULO!$AR$15:$BR$205)/(ORÇAMENTO!$X$15-_xlfn.single(CÁLCULO.TotalAdmLocal))*CRONO!$F58,
                        0),
                 AO57*$S56),
          SUMIF(OFFSET($S58,1,0,$R56-2),($M56+1)&amp;"$",OFFSET(AO58,1,0,$R56-2)))</f>
        <v>5073.14</v>
      </c>
      <c r="AP58" s="439" t="n">
        <f aca="false" t="array" ref="AP58:AP58">IF($R56=2,
         IF(AND(ACOMPANHAMENTO="PLE",ISNUMBER($F56)),
                SUMIF((OFFSET(CÁLCULO!$BS$15:$CS$15,$F56,0,OFFSET(ORÇAMENTO!$D$15,CRONO!$F56,0))),CRONO!AP$12,OFFSET(CÁLCULO!$AR$15:$BR$15,$F56,0,OFFSET(ORÇAMENTO!$D$15,CRONO!$F56,0)))
                +IF(AND($F58&lt;&gt;"",$F58&lt;&gt;0),
                        SUMIF(CÁLCULO!$BS$15:$CS$205,CRONO!AP$12,CÁLCULO!$AR$15:$BR$205)/(ORÇAMENTO!$X$15-_xlfn.single(CÁLCULO.TotalAdmLocal))*CRONO!$F58,
                        0),
                 AP57*$S56),
          SUMIF(OFFSET($S58,1,0,$R56-2),($M56+1)&amp;"$",OFFSET(AP58,1,0,$R56-2)))</f>
        <v>5073.14</v>
      </c>
      <c r="AQ58" s="439" t="n">
        <f aca="false" t="array" ref="AQ58:AQ58">IF($R56=2,
         IF(AND(ACOMPANHAMENTO="PLE",ISNUMBER($F56)),
                SUMIF((OFFSET(CÁLCULO!$BS$15:$CS$15,$F56,0,OFFSET(ORÇAMENTO!$D$15,CRONO!$F56,0))),CRONO!AQ$12,OFFSET(CÁLCULO!$AR$15:$BR$15,$F56,0,OFFSET(ORÇAMENTO!$D$15,CRONO!$F56,0)))
                +IF(AND($F58&lt;&gt;"",$F58&lt;&gt;0),
                        SUMIF(CÁLCULO!$BS$15:$CS$205,CRONO!AQ$12,CÁLCULO!$AR$15:$BR$205)/(ORÇAMENTO!$X$15-_xlfn.single(CÁLCULO.TotalAdmLocal))*CRONO!$F58,
                        0),
                 AQ57*$S56),
          SUMIF(OFFSET($S58,1,0,$R56-2),($M56+1)&amp;"$",OFFSET(AQ58,1,0,$R56-2)))</f>
        <v>5073.14</v>
      </c>
      <c r="AR58" s="439" t="n">
        <f aca="false" t="array" ref="AR58:AR58">IF($R56=2,
         IF(AND(ACOMPANHAMENTO="PLE",ISNUMBER($F56)),
                SUMIF((OFFSET(CÁLCULO!$BS$15:$CS$15,$F56,0,OFFSET(ORÇAMENTO!$D$15,CRONO!$F56,0))),CRONO!AR$12,OFFSET(CÁLCULO!$AR$15:$BR$15,$F56,0,OFFSET(ORÇAMENTO!$D$15,CRONO!$F56,0)))
                +IF(AND($F58&lt;&gt;"",$F58&lt;&gt;0),
                        SUMIF(CÁLCULO!$BS$15:$CS$205,CRONO!AR$12,CÁLCULO!$AR$15:$BR$205)/(ORÇAMENTO!$X$15-_xlfn.single(CÁLCULO.TotalAdmLocal))*CRONO!$F58,
                        0),
                 AR57*$S56),
          SUMIF(OFFSET($S58,1,0,$R56-2),($M56+1)&amp;"$",OFFSET(AR58,1,0,$R56-2)))</f>
        <v>5073.14</v>
      </c>
      <c r="AS58" s="439" t="n">
        <f aca="false" t="array" ref="AS58:AS58">IF($R56=2,
         IF(AND(ACOMPANHAMENTO="PLE",ISNUMBER($F56)),
                SUMIF((OFFSET(CÁLCULO!$BS$15:$CS$15,$F56,0,OFFSET(ORÇAMENTO!$D$15,CRONO!$F56,0))),CRONO!AS$12,OFFSET(CÁLCULO!$AR$15:$BR$15,$F56,0,OFFSET(ORÇAMENTO!$D$15,CRONO!$F56,0)))
                +IF(AND($F58&lt;&gt;"",$F58&lt;&gt;0),
                        SUMIF(CÁLCULO!$BS$15:$CS$205,CRONO!AS$12,CÁLCULO!$AR$15:$BR$205)/(ORÇAMENTO!$X$15-_xlfn.single(CÁLCULO.TotalAdmLocal))*CRONO!$F58,
                        0),
                 AS57*$S56),
          SUMIF(OFFSET($S58,1,0,$R56-2),($M56+1)&amp;"$",OFFSET(AS58,1,0,$R56-2)))</f>
        <v>5073.14</v>
      </c>
      <c r="AT58" s="439" t="n">
        <f aca="false" t="array" ref="AT58:AT58">IF($R56=2,
         IF(AND(ACOMPANHAMENTO="PLE",ISNUMBER($F56)),
                SUMIF((OFFSET(CÁLCULO!$BS$15:$CS$15,$F56,0,OFFSET(ORÇAMENTO!$D$15,CRONO!$F56,0))),CRONO!AT$12,OFFSET(CÁLCULO!$AR$15:$BR$15,$F56,0,OFFSET(ORÇAMENTO!$D$15,CRONO!$F56,0)))
                +IF(AND($F58&lt;&gt;"",$F58&lt;&gt;0),
                        SUMIF(CÁLCULO!$BS$15:$CS$205,CRONO!AT$12,CÁLCULO!$AR$15:$BR$205)/(ORÇAMENTO!$X$15-_xlfn.single(CÁLCULO.TotalAdmLocal))*CRONO!$F58,
                        0),
                 AT57*$S56),
          SUMIF(OFFSET($S58,1,0,$R56-2),($M56+1)&amp;"$",OFFSET(AT58,1,0,$R56-2)))</f>
        <v>0</v>
      </c>
      <c r="AU58" s="439" t="n">
        <f aca="false" t="array" ref="AU58:AU58">IF($R56=2,
         IF(AND(ACOMPANHAMENTO="PLE",ISNUMBER($F56)),
                SUMIF((OFFSET(CÁLCULO!$BS$15:$CS$15,$F56,0,OFFSET(ORÇAMENTO!$D$15,CRONO!$F56,0))),CRONO!AU$12,OFFSET(CÁLCULO!$AR$15:$BR$15,$F56,0,OFFSET(ORÇAMENTO!$D$15,CRONO!$F56,0)))
                +IF(AND($F58&lt;&gt;"",$F58&lt;&gt;0),
                        SUMIF(CÁLCULO!$BS$15:$CS$205,CRONO!AU$12,CÁLCULO!$AR$15:$BR$205)/(ORÇAMENTO!$X$15-_xlfn.single(CÁLCULO.TotalAdmLocal))*CRONO!$F58,
                        0),
                 AU57*$S56),
          SUMIF(OFFSET($S58,1,0,$R56-2),($M56+1)&amp;"$",OFFSET(AU58,1,0,$R56-2)))</f>
        <v>0</v>
      </c>
      <c r="AV58" s="439" t="n">
        <f aca="false" t="array" ref="AV58:AV58">IF($R56=2,
         IF(AND(ACOMPANHAMENTO="PLE",ISNUMBER($F56)),
                SUMIF((OFFSET(CÁLCULO!$BS$15:$CS$15,$F56,0,OFFSET(ORÇAMENTO!$D$15,CRONO!$F56,0))),CRONO!AV$12,OFFSET(CÁLCULO!$AR$15:$BR$15,$F56,0,OFFSET(ORÇAMENTO!$D$15,CRONO!$F56,0)))
                +IF(AND($F58&lt;&gt;"",$F58&lt;&gt;0),
                        SUMIF(CÁLCULO!$BS$15:$CS$205,CRONO!AV$12,CÁLCULO!$AR$15:$BR$205)/(ORÇAMENTO!$X$15-_xlfn.single(CÁLCULO.TotalAdmLocal))*CRONO!$F58,
                        0),
                 AV57*$S56),
          SUMIF(OFFSET($S58,1,0,$R56-2),($M56+1)&amp;"$",OFFSET(AV58,1,0,$R56-2)))</f>
        <v>0</v>
      </c>
      <c r="AW58" s="439" t="n">
        <f aca="false" t="array" ref="AW58:AW58">IF($R56=2,
         IF(AND(ACOMPANHAMENTO="PLE",ISNUMBER($F56)),
                SUMIF((OFFSET(CÁLCULO!$BS$15:$CS$15,$F56,0,OFFSET(ORÇAMENTO!$D$15,CRONO!$F56,0))),CRONO!AW$12,OFFSET(CÁLCULO!$AR$15:$BR$15,$F56,0,OFFSET(ORÇAMENTO!$D$15,CRONO!$F56,0)))
                +IF(AND($F58&lt;&gt;"",$F58&lt;&gt;0),
                        SUMIF(CÁLCULO!$BS$15:$CS$205,CRONO!AW$12,CÁLCULO!$AR$15:$BR$205)/(ORÇAMENTO!$X$15-_xlfn.single(CÁLCULO.TotalAdmLocal))*CRONO!$F58,
                        0),
                 AW57*$S56),
          SUMIF(OFFSET($S58,1,0,$R56-2),($M56+1)&amp;"$",OFFSET(AW58,1,0,$R56-2)))</f>
        <v>0</v>
      </c>
      <c r="AX58" s="439" t="n">
        <f aca="false" t="array" ref="AX58:AX58">IF($R56=2,
         IF(AND(ACOMPANHAMENTO="PLE",ISNUMBER($F56)),
                SUMIF((OFFSET(CÁLCULO!$BS$15:$CS$15,$F56,0,OFFSET(ORÇAMENTO!$D$15,CRONO!$F56,0))),CRONO!AX$12,OFFSET(CÁLCULO!$AR$15:$BR$15,$F56,0,OFFSET(ORÇAMENTO!$D$15,CRONO!$F56,0)))
                +IF(AND($F58&lt;&gt;"",$F58&lt;&gt;0),
                        SUMIF(CÁLCULO!$BS$15:$CS$205,CRONO!AX$12,CÁLCULO!$AR$15:$BR$205)/(ORÇAMENTO!$X$15-_xlfn.single(CÁLCULO.TotalAdmLocal))*CRONO!$F58,
                        0),
                 AX57*$S56),
          SUMIF(OFFSET($S58,1,0,$R56-2),($M56+1)&amp;"$",OFFSET(AX58,1,0,$R56-2)))</f>
        <v>0</v>
      </c>
      <c r="AY58" s="439" t="n">
        <f aca="false" t="array" ref="AY58:AY58">IF($R56=2,
         IF(AND(ACOMPANHAMENTO="PLE",ISNUMBER($F56)),
                SUMIF((OFFSET(CÁLCULO!$BS$15:$CS$15,$F56,0,OFFSET(ORÇAMENTO!$D$15,CRONO!$F56,0))),CRONO!AY$12,OFFSET(CÁLCULO!$AR$15:$BR$15,$F56,0,OFFSET(ORÇAMENTO!$D$15,CRONO!$F56,0)))
                +IF(AND($F58&lt;&gt;"",$F58&lt;&gt;0),
                        SUMIF(CÁLCULO!$BS$15:$CS$205,CRONO!AY$12,CÁLCULO!$AR$15:$BR$205)/(ORÇAMENTO!$X$15-_xlfn.single(CÁLCULO.TotalAdmLocal))*CRONO!$F58,
                        0),
                 AY57*$S56),
          SUMIF(OFFSET($S58,1,0,$R56-2),($M56+1)&amp;"$",OFFSET(AY58,1,0,$R56-2)))</f>
        <v>0</v>
      </c>
      <c r="AZ58" s="439" t="n">
        <f aca="false" t="array" ref="AZ58:AZ58">IF($R56=2,
         IF(AND(ACOMPANHAMENTO="PLE",ISNUMBER($F56)),
                SUMIF((OFFSET(CÁLCULO!$BS$15:$CS$15,$F56,0,OFFSET(ORÇAMENTO!$D$15,CRONO!$F56,0))),CRONO!AZ$12,OFFSET(CÁLCULO!$AR$15:$BR$15,$F56,0,OFFSET(ORÇAMENTO!$D$15,CRONO!$F56,0)))
                +IF(AND($F58&lt;&gt;"",$F58&lt;&gt;0),
                        SUMIF(CÁLCULO!$BS$15:$CS$205,CRONO!AZ$12,CÁLCULO!$AR$15:$BR$205)/(ORÇAMENTO!$X$15-_xlfn.single(CÁLCULO.TotalAdmLocal))*CRONO!$F58,
                        0),
                 AZ57*$S56),
          SUMIF(OFFSET($S58,1,0,$R56-2),($M56+1)&amp;"$",OFFSET(AZ58,1,0,$R56-2)))</f>
        <v>0</v>
      </c>
      <c r="BA58" s="439" t="n">
        <f aca="false" t="array" ref="BA58:BA58">IF($R56=2,
         IF(AND(ACOMPANHAMENTO="PLE",ISNUMBER($F56)),
                SUMIF((OFFSET(CÁLCULO!$BS$15:$CS$15,$F56,0,OFFSET(ORÇAMENTO!$D$15,CRONO!$F56,0))),CRONO!BA$12,OFFSET(CÁLCULO!$AR$15:$BR$15,$F56,0,OFFSET(ORÇAMENTO!$D$15,CRONO!$F56,0)))
                +IF(AND($F58&lt;&gt;"",$F58&lt;&gt;0),
                        SUMIF(CÁLCULO!$BS$15:$CS$205,CRONO!BA$12,CÁLCULO!$AR$15:$BR$205)/(ORÇAMENTO!$X$15-_xlfn.single(CÁLCULO.TotalAdmLocal))*CRONO!$F58,
                        0),
                 BA57*$S56),
          SUMIF(OFFSET($S58,1,0,$R56-2),($M56+1)&amp;"$",OFFSET(BA58,1,0,$R56-2)))</f>
        <v>0</v>
      </c>
      <c r="BB58" s="439" t="n">
        <f aca="false" t="array" ref="BB58:BB58">IF($R56=2,
         IF(AND(ACOMPANHAMENTO="PLE",ISNUMBER($F56)),
                SUMIF((OFFSET(CÁLCULO!$BS$15:$CS$15,$F56,0,OFFSET(ORÇAMENTO!$D$15,CRONO!$F56,0))),CRONO!BB$12,OFFSET(CÁLCULO!$AR$15:$BR$15,$F56,0,OFFSET(ORÇAMENTO!$D$15,CRONO!$F56,0)))
                +IF(AND($F58&lt;&gt;"",$F58&lt;&gt;0),
                        SUMIF(CÁLCULO!$BS$15:$CS$205,CRONO!BB$12,CÁLCULO!$AR$15:$BR$205)/(ORÇAMENTO!$X$15-_xlfn.single(CÁLCULO.TotalAdmLocal))*CRONO!$F58,
                        0),
                 BB57*$S56),
          SUMIF(OFFSET($S58,1,0,$R56-2),($M56+1)&amp;"$",OFFSET(BB58,1,0,$R56-2)))</f>
        <v>0</v>
      </c>
      <c r="BC58" s="439" t="n">
        <f aca="false" t="array" ref="BC58:BC58">IF($R56=2,
         IF(AND(ACOMPANHAMENTO="PLE",ISNUMBER($F56)),
                SUMIF((OFFSET(CÁLCULO!$BS$15:$CS$15,$F56,0,OFFSET(ORÇAMENTO!$D$15,CRONO!$F56,0))),CRONO!BC$12,OFFSET(CÁLCULO!$AR$15:$BR$15,$F56,0,OFFSET(ORÇAMENTO!$D$15,CRONO!$F56,0)))
                +IF(AND($F58&lt;&gt;"",$F58&lt;&gt;0),
                        SUMIF(CÁLCULO!$BS$15:$CS$205,CRONO!BC$12,CÁLCULO!$AR$15:$BR$205)/(ORÇAMENTO!$X$15-_xlfn.single(CÁLCULO.TotalAdmLocal))*CRONO!$F58,
                        0),
                 BC57*$S56),
          SUMIF(OFFSET($S58,1,0,$R56-2),($M56+1)&amp;"$",OFFSET(BC58,1,0,$R56-2)))</f>
        <v>0</v>
      </c>
      <c r="BD58" s="439" t="n">
        <f aca="false" t="array" ref="BD58:BD58">IF($R56=2,
         IF(AND(ACOMPANHAMENTO="PLE",ISNUMBER($F56)),
                SUMIF((OFFSET(CÁLCULO!$BS$15:$CS$15,$F56,0,OFFSET(ORÇAMENTO!$D$15,CRONO!$F56,0))),CRONO!BD$12,OFFSET(CÁLCULO!$AR$15:$BR$15,$F56,0,OFFSET(ORÇAMENTO!$D$15,CRONO!$F56,0)))
                +IF(AND($F58&lt;&gt;"",$F58&lt;&gt;0),
                        SUMIF(CÁLCULO!$BS$15:$CS$205,CRONO!BD$12,CÁLCULO!$AR$15:$BR$205)/(ORÇAMENTO!$X$15-_xlfn.single(CÁLCULO.TotalAdmLocal))*CRONO!$F58,
                        0),
                 BD57*$S56),
          SUMIF(OFFSET($S58,1,0,$R56-2),($M56+1)&amp;"$",OFFSET(BD58,1,0,$R56-2)))</f>
        <v>0</v>
      </c>
      <c r="BE58" s="430"/>
    </row>
    <row r="59" customFormat="false" ht="12.75" hidden="false" customHeight="false" outlineLevel="0" collapsed="false">
      <c r="A59" s="382" t="str">
        <f aca="false">IF($M59&gt;1,_xlfn.CONCAT($I59," ",$J59),"")</f>
        <v>1.15. COBERTURA E PROTEÇÕES</v>
      </c>
      <c r="B59" s="419" t="n">
        <f aca="true">OFFSET(B59,-3,0)+1</f>
        <v>16</v>
      </c>
      <c r="C59" s="419" t="n">
        <f aca="true">IF($R59&lt;&gt;2,0,IF($S59=0,1,IF(F60&gt;0,OFFSET(QCI!$M$13,SUBSTITUTE(F60,".",""),0),OFFSET(ORÇAMENTO!$AA$15,CRONO!$F59,0))/$S59))</f>
        <v>0.110981526562671</v>
      </c>
      <c r="D59" s="419" t="n">
        <f aca="true">IF($R59&lt;&gt;2,0,IF($S59=0,1,IF(F60&gt;0,OFFSET(QCI!$N$13,SUBSTITUTE(F60,".",""),0),OFFSET(ORÇAMENTO!$AB$15,CRONO!$F59,0))/$S59))</f>
        <v>0</v>
      </c>
      <c r="E59" s="422" t="n">
        <f aca="false" t="array" ref="E59:E59">IF(AND($R59=2,ACOMPANHAMENTO="BM"),ROUND(E60,4),E61/$S59)</f>
        <v>0.04</v>
      </c>
      <c r="F59" s="419" t="n">
        <f aca="true">IF(B59&lt;=ORÇAMENTO.MáximoListaCrono,MATCH(B59,ORÇAMENTO.ListaCrono,0),NA())</f>
        <v>53</v>
      </c>
      <c r="G59" s="419" t="str">
        <f aca="false">IF(AND($F60&lt;&gt;-1,$S59&gt;0),"F","")</f>
        <v>F</v>
      </c>
      <c r="H59" s="423" t="str">
        <f aca="false" t="array" ref="H59:H59">IF(OR(S59=0,S59=""),"Linha",IF(AND(OR(ACOMPANHAMENTO="PLE",$R59&lt;&gt;2),$F60=0),"Linha",ROUND(1-SUM(U59:BE59),4)))</f>
        <v>Linha</v>
      </c>
      <c r="I59" s="424" t="str">
        <f aca="true">IF($F60=0,OFFSET(ORÇAMENTO!O$15,$F59,0),IF($F60&lt;&gt;-1,OFFSET(QCI!$D$13,$F60,0),""))</f>
        <v>1.15.</v>
      </c>
      <c r="J59" s="425" t="str">
        <f aca="true">IF($F60=0,OFFSET(ORÇAMENTO!R$15,$F59,0),IF($F60&lt;&gt;-1,OFFSET(QCI!$G$13,$F60,0),""))</f>
        <v>COBERTURA E PROTEÇÕES</v>
      </c>
      <c r="K59" s="425"/>
      <c r="L59" s="425"/>
      <c r="M59" s="426" t="n">
        <f aca="true">IF($F60=0,OFFSET(ORÇAMENTO!C$15,$F59,0),1)</f>
        <v>2</v>
      </c>
      <c r="N59" s="427" t="n">
        <f aca="true">IF($F60=-1,0,IF(N$13&lt;=$M59,IF(ISERROR(MATCH(N$13,OFFSET($M59,1,0,ROW($M$182)-ROW($M59)-1),0)),ROW($M$182)-ROW($M59)-1,MATCH(N$13,OFFSET($M59,1,0,ROW($M$182)-ROW($M59)-1),0)-1),0))</f>
        <v>122</v>
      </c>
      <c r="O59" s="427" t="n">
        <f aca="true">IF($F60=-1,0,IF(O$13&lt;=$M59,IF(ISERROR(MATCH(O$13,OFFSET($M59,1,0,ROW($M$182)-ROW($M59)-1),0)),ROW($M$182)-ROW($M59)-1,MATCH(O$13,OFFSET($M59,1,0,ROW($M$182)-ROW($M59)-1),0)-1),0))</f>
        <v>2</v>
      </c>
      <c r="P59" s="427" t="n">
        <f aca="true">IF($F60=-1,0,IF(P$13&lt;=$M59,IF(ISERROR(MATCH(P$13,OFFSET($M59,1,0,ROW($M$182)-ROW($M59)-1),0)),ROW($M$182)-ROW($M59)-1,MATCH(P$13,OFFSET($M59,1,0,ROW($M$182)-ROW($M59)-1),0)-1),0))</f>
        <v>0</v>
      </c>
      <c r="Q59" s="427" t="n">
        <f aca="true">IF($F60=-1,0,IF(Q$13&lt;=$M59,IF(ISERROR(MATCH(Q$13,OFFSET($M59,1,0,ROW($M$182)-ROW($M59)-1),0)),ROW($M$182)-ROW($M59)-1,MATCH(Q$13,OFFSET($M59,1,0,ROW($M$182)-ROW($M59)-1),0)-1),0))</f>
        <v>0</v>
      </c>
      <c r="R59" s="427" t="n">
        <f aca="true">MIN(OFFSET(M59,0,1,,M59))</f>
        <v>2</v>
      </c>
      <c r="S59" s="428" t="n">
        <f aca="true">IF($F60=0,OFFSET(ORÇAMENTO!X$15,$F59,0),IF($F60&lt;&gt;-1,OFFSET(QCI!$O$13,$F60,0),""))</f>
        <v>327746.5</v>
      </c>
      <c r="T59" s="429" t="s">
        <v>996</v>
      </c>
      <c r="U59" s="422" t="n">
        <f aca="false" t="array" ref="U59:U59">IF(AND($R59=2,ACOMPANHAMENTO="BM"),ROUND(U60,4),U61/$S59)</f>
        <v>0.04</v>
      </c>
      <c r="V59" s="422" t="n">
        <f aca="false" t="array" ref="V59:V59">IF(AND($R59=2,ACOMPANHAMENTO="BM"),ROUND(V60,4),V61/$S59)</f>
        <v>0.04</v>
      </c>
      <c r="W59" s="422" t="n">
        <f aca="false" t="array" ref="W59:W59">IF(AND($R59=2,ACOMPANHAMENTO="BM"),ROUND(W60,4),W61/$S59)</f>
        <v>0.04</v>
      </c>
      <c r="X59" s="422" t="n">
        <f aca="false" t="array" ref="X59:X59">IF(AND($R59=2,ACOMPANHAMENTO="BM"),ROUND(X60,4),X61/$S59)</f>
        <v>0.04</v>
      </c>
      <c r="Y59" s="422" t="n">
        <f aca="false" t="array" ref="Y59:Y59">IF(AND($R59=2,ACOMPANHAMENTO="BM"),ROUND(Y60,4),Y61/$S59)</f>
        <v>0.04</v>
      </c>
      <c r="Z59" s="422" t="n">
        <f aca="false" t="array" ref="Z59:Z59">IF(AND($R59=2,ACOMPANHAMENTO="BM"),ROUND(Z60,4),Z61/$S59)</f>
        <v>0.04</v>
      </c>
      <c r="AA59" s="422" t="n">
        <f aca="false" t="array" ref="AA59:AA59">IF(AND($R59=2,ACOMPANHAMENTO="BM"),ROUND(AA60,4),AA61/$S59)</f>
        <v>0.04</v>
      </c>
      <c r="AB59" s="422" t="n">
        <f aca="false" t="array" ref="AB59:AB59">IF(AND($R59=2,ACOMPANHAMENTO="BM"),ROUND(AB60,4),AB61/$S59)</f>
        <v>0.04</v>
      </c>
      <c r="AC59" s="422" t="n">
        <f aca="false" t="array" ref="AC59:AC59">IF(AND($R59=2,ACOMPANHAMENTO="BM"),ROUND(AC60,4),AC61/$S59)</f>
        <v>0.04</v>
      </c>
      <c r="AD59" s="422" t="n">
        <f aca="false" t="array" ref="AD59:AD59">IF(AND($R59=2,ACOMPANHAMENTO="BM"),ROUND(AD60,4),AD61/$S59)</f>
        <v>0.04</v>
      </c>
      <c r="AE59" s="422" t="n">
        <f aca="false" t="array" ref="AE59:AE59">IF(AND($R59=2,ACOMPANHAMENTO="BM"),ROUND(AE60,4),AE61/$S59)</f>
        <v>0.04</v>
      </c>
      <c r="AF59" s="422" t="n">
        <f aca="false" t="array" ref="AF59:AF59">IF(AND($R59=2,ACOMPANHAMENTO="BM"),ROUND(AF60,4),AF61/$S59)</f>
        <v>0.04</v>
      </c>
      <c r="AG59" s="422" t="n">
        <f aca="false" t="array" ref="AG59:AG59">IF(AND($R59=2,ACOMPANHAMENTO="BM"),ROUND(AG60,4),AG61/$S59)</f>
        <v>0.04</v>
      </c>
      <c r="AH59" s="422" t="n">
        <f aca="false" t="array" ref="AH59:AH59">IF(AND($R59=2,ACOMPANHAMENTO="BM"),ROUND(AH60,4),AH61/$S59)</f>
        <v>0.04</v>
      </c>
      <c r="AI59" s="422" t="n">
        <f aca="false" t="array" ref="AI59:AI59">IF(AND($R59=2,ACOMPANHAMENTO="BM"),ROUND(AI60,4),AI61/$S59)</f>
        <v>0.04</v>
      </c>
      <c r="AJ59" s="422" t="n">
        <f aca="false" t="array" ref="AJ59:AJ59">IF(AND($R59=2,ACOMPANHAMENTO="BM"),ROUND(AJ60,4),AJ61/$S59)</f>
        <v>0.04</v>
      </c>
      <c r="AK59" s="422" t="n">
        <f aca="false" t="array" ref="AK59:AK59">IF(AND($R59=2,ACOMPANHAMENTO="BM"),ROUND(AK60,4),AK61/$S59)</f>
        <v>0.04</v>
      </c>
      <c r="AL59" s="422" t="n">
        <f aca="false" t="array" ref="AL59:AL59">IF(AND($R59=2,ACOMPANHAMENTO="BM"),ROUND(AL60,4),AL61/$S59)</f>
        <v>0.04</v>
      </c>
      <c r="AM59" s="422" t="n">
        <f aca="false" t="array" ref="AM59:AM59">IF(AND($R59=2,ACOMPANHAMENTO="BM"),ROUND(AM60,4),AM61/$S59)</f>
        <v>0.04</v>
      </c>
      <c r="AN59" s="422" t="n">
        <f aca="false" t="array" ref="AN59:AN59">IF(AND($R59=2,ACOMPANHAMENTO="BM"),ROUND(AN60,4),AN61/$S59)</f>
        <v>0.04</v>
      </c>
      <c r="AO59" s="422" t="n">
        <f aca="false" t="array" ref="AO59:AO59">IF(AND($R59=2,ACOMPANHAMENTO="BM"),ROUND(AO60,4),AO61/$S59)</f>
        <v>0.04</v>
      </c>
      <c r="AP59" s="422" t="n">
        <f aca="false" t="array" ref="AP59:AP59">IF(AND($R59=2,ACOMPANHAMENTO="BM"),ROUND(AP60,4),AP61/$S59)</f>
        <v>0.04</v>
      </c>
      <c r="AQ59" s="422" t="n">
        <f aca="false" t="array" ref="AQ59:AQ59">IF(AND($R59=2,ACOMPANHAMENTO="BM"),ROUND(AQ60,4),AQ61/$S59)</f>
        <v>0.04</v>
      </c>
      <c r="AR59" s="422" t="n">
        <f aca="false" t="array" ref="AR59:AR59">IF(AND($R59=2,ACOMPANHAMENTO="BM"),ROUND(AR60,4),AR61/$S59)</f>
        <v>0.04</v>
      </c>
      <c r="AS59" s="422" t="n">
        <f aca="false" t="array" ref="AS59:AS59">IF(AND($R59=2,ACOMPANHAMENTO="BM"),ROUND(AS60,4),AS61/$S59)</f>
        <v>0.04</v>
      </c>
      <c r="AT59" s="422" t="n">
        <f aca="false" t="array" ref="AT59:AT59">IF(AND($R59=2,ACOMPANHAMENTO="BM"),ROUND(AT60,4),AT61/$S59)</f>
        <v>0</v>
      </c>
      <c r="AU59" s="422" t="n">
        <f aca="false" t="array" ref="AU59:AU59">IF(AND($R59=2,ACOMPANHAMENTO="BM"),ROUND(AU60,4),AU61/$S59)</f>
        <v>0</v>
      </c>
      <c r="AV59" s="422" t="n">
        <f aca="false" t="array" ref="AV59:AV59">IF(AND($R59=2,ACOMPANHAMENTO="BM"),ROUND(AV60,4),AV61/$S59)</f>
        <v>0</v>
      </c>
      <c r="AW59" s="422" t="n">
        <f aca="false" t="array" ref="AW59:AW59">IF(AND($R59=2,ACOMPANHAMENTO="BM"),ROUND(AW60,4),AW61/$S59)</f>
        <v>0</v>
      </c>
      <c r="AX59" s="422" t="n">
        <f aca="false" t="array" ref="AX59:AX59">IF(AND($R59=2,ACOMPANHAMENTO="BM"),ROUND(AX60,4),AX61/$S59)</f>
        <v>0</v>
      </c>
      <c r="AY59" s="422" t="n">
        <f aca="false" t="array" ref="AY59:AY59">IF(AND($R59=2,ACOMPANHAMENTO="BM"),ROUND(AY60,4),AY61/$S59)</f>
        <v>0</v>
      </c>
      <c r="AZ59" s="422" t="n">
        <f aca="false" t="array" ref="AZ59:AZ59">IF(AND($R59=2,ACOMPANHAMENTO="BM"),ROUND(AZ60,4),AZ61/$S59)</f>
        <v>0</v>
      </c>
      <c r="BA59" s="422" t="n">
        <f aca="false" t="array" ref="BA59:BA59">IF(AND($R59=2,ACOMPANHAMENTO="BM"),ROUND(BA60,4),BA61/$S59)</f>
        <v>0</v>
      </c>
      <c r="BB59" s="422" t="n">
        <f aca="false" t="array" ref="BB59:BB59">IF(AND($R59=2,ACOMPANHAMENTO="BM"),ROUND(BB60,4),BB61/$S59)</f>
        <v>0</v>
      </c>
      <c r="BC59" s="422" t="n">
        <f aca="false" t="array" ref="BC59:BC59">IF(AND($R59=2,ACOMPANHAMENTO="BM"),ROUND(BC60,4),BC61/$S59)</f>
        <v>0</v>
      </c>
      <c r="BD59" s="422" t="n">
        <f aca="false" t="array" ref="BD59:BD59">IF(AND($R59=2,ACOMPANHAMENTO="BM"),ROUND(BD60,4),BD61/$S59)</f>
        <v>0</v>
      </c>
      <c r="BE59" s="430"/>
    </row>
    <row r="60" customFormat="false" ht="12.75" hidden="true" customHeight="true" outlineLevel="0" collapsed="false">
      <c r="E60" s="431"/>
      <c r="F60" s="419" t="n">
        <f aca="true">IF(ISERROR(F59),IF(1+COUNTIF($M$13:OFFSET(M59,-1,0),1)&lt;=MAX(QCI!$D$13:$D$15),1+COUNTIF($M$13:OFFSET(M59,-1,0),1),-1),0)</f>
        <v>0</v>
      </c>
      <c r="G60" s="419" t="str">
        <f aca="true" t="array" ref="G60:G60">IF(ACOMPANHAMENTO="BM",OFFSET(G60,-1,0),"")</f>
        <v/>
      </c>
      <c r="H60" s="432" t="str">
        <f aca="false" t="array" ref="H60:H60">IF(OR(S59=0,S59=""),"vazia",IF(AND(OR(ACOMPANHAMENTO="PLE",$R59&lt;&gt;2),$F60=0),"calculada","--&gt;"))</f>
        <v>calculada</v>
      </c>
      <c r="I60" s="433"/>
      <c r="J60" s="434" t="str">
        <f aca="false">IF(AND(H59&lt;&gt;0,ISNUMBER(H59)),"PREENCHA ESTA LINHA --&gt;","")</f>
        <v/>
      </c>
      <c r="K60" s="434"/>
      <c r="L60" s="434"/>
      <c r="M60" s="435"/>
      <c r="N60" s="435"/>
      <c r="O60" s="435"/>
      <c r="P60" s="435"/>
      <c r="Q60" s="435"/>
      <c r="R60" s="435"/>
      <c r="S60" s="436"/>
      <c r="T60" s="437"/>
      <c r="U60" s="431"/>
      <c r="V60" s="431"/>
      <c r="W60" s="431"/>
      <c r="X60" s="431"/>
      <c r="Y60" s="431"/>
      <c r="Z60" s="431"/>
      <c r="AA60" s="431"/>
      <c r="AB60" s="431"/>
      <c r="AC60" s="431"/>
      <c r="AD60" s="431"/>
      <c r="AE60" s="431"/>
      <c r="AF60" s="431"/>
      <c r="AG60" s="431"/>
      <c r="AH60" s="431"/>
      <c r="AI60" s="431"/>
      <c r="AJ60" s="431"/>
      <c r="AK60" s="431"/>
      <c r="AL60" s="431"/>
      <c r="AM60" s="431"/>
      <c r="AN60" s="431"/>
      <c r="AO60" s="431"/>
      <c r="AP60" s="431"/>
      <c r="AQ60" s="431"/>
      <c r="AR60" s="431"/>
      <c r="AS60" s="431"/>
      <c r="AT60" s="431"/>
      <c r="AU60" s="431"/>
      <c r="AV60" s="431"/>
      <c r="AW60" s="431"/>
      <c r="AX60" s="431"/>
      <c r="AY60" s="431"/>
      <c r="AZ60" s="431"/>
      <c r="BA60" s="431"/>
      <c r="BB60" s="431"/>
      <c r="BC60" s="431"/>
      <c r="BD60" s="431"/>
      <c r="BE60" s="430"/>
    </row>
    <row r="61" customFormat="false" ht="12.75" hidden="true" customHeight="true" outlineLevel="0" collapsed="false">
      <c r="D61" s="438"/>
      <c r="E61" s="439" t="n">
        <f aca="false" t="array" ref="E61:E61">IF($R59=2,
         IF(AND(ACOMPANHAMENTO="PLE",ISNUMBER($F59)),
                SUMIF((OFFSET(CÁLCULO!$BS$15:$CS$15,$F59,0,OFFSET(ORÇAMENTO!$D$15,CRONO!$F59,0))),CRONO!E$12,OFFSET(CÁLCULO!$AR$15:$BR$15,$F59,0,OFFSET(ORÇAMENTO!$D$15,CRONO!$F59,0)))
                +IF(AND($F61&lt;&gt;"",$F61&lt;&gt;0),
                        SUMIF(CÁLCULO!$BS$15:$CS$205,CRONO!E$12,CÁLCULO!$AR$15:$BR$205)/(ORÇAMENTO!$X$15-_xlfn.single(CÁLCULO.TotalAdmLocal))*CRONO!$F61,
                        0),
                 E60*$S59),
          SUMIF(OFFSET($S61,1,0,$R59-2),($M59+1)&amp;"$",OFFSET(E61,1,0,$R59-2)))</f>
        <v>13109.86</v>
      </c>
      <c r="F61" s="419" t="str">
        <f aca="true">IF(OR($R59&lt;&gt;2,AUTOEVENTO&lt;&gt;"manual",$F60&gt;0),"",
        IF(Import.TipoArredondamento="Tradicional",
              SUMIF(OFFSET(CÁLCULO!$M$15,CRONO!$F59,0,OFFSET(ORÇAMENTO!$D$15,CRONO!$F59,0)),1,OFFSET(ORÇAMENTO!$X$15,CRONO!$F59,0,OFFSET(ORÇAMENTO!$D$15,CRONO!$F59,0))),
              0))</f>
        <v/>
      </c>
      <c r="H61" s="440"/>
      <c r="S61" s="441" t="str">
        <f aca="false">M59&amp;"$"</f>
        <v>2$</v>
      </c>
      <c r="T61" s="442"/>
      <c r="U61" s="439" t="n">
        <f aca="false" t="array" ref="U61:U61">IF($R59=2,
         IF(AND(ACOMPANHAMENTO="PLE",ISNUMBER($F59)),
                SUMIF((OFFSET(CÁLCULO!$BS$15:$CS$15,$F59,0,OFFSET(ORÇAMENTO!$D$15,CRONO!$F59,0))),CRONO!U$12,OFFSET(CÁLCULO!$AR$15:$BR$15,$F59,0,OFFSET(ORÇAMENTO!$D$15,CRONO!$F59,0)))
                +IF(AND($F61&lt;&gt;"",$F61&lt;&gt;0),
                        SUMIF(CÁLCULO!$BS$15:$CS$205,CRONO!U$12,CÁLCULO!$AR$15:$BR$205)/(ORÇAMENTO!$X$15-_xlfn.single(CÁLCULO.TotalAdmLocal))*CRONO!$F61,
                        0),
                 U60*$S59),
          SUMIF(OFFSET($S61,1,0,$R59-2),($M59+1)&amp;"$",OFFSET(U61,1,0,$R59-2)))</f>
        <v>13109.86</v>
      </c>
      <c r="V61" s="439" t="n">
        <f aca="false" t="array" ref="V61:V61">IF($R59=2,
         IF(AND(ACOMPANHAMENTO="PLE",ISNUMBER($F59)),
                SUMIF((OFFSET(CÁLCULO!$BS$15:$CS$15,$F59,0,OFFSET(ORÇAMENTO!$D$15,CRONO!$F59,0))),CRONO!V$12,OFFSET(CÁLCULO!$AR$15:$BR$15,$F59,0,OFFSET(ORÇAMENTO!$D$15,CRONO!$F59,0)))
                +IF(AND($F61&lt;&gt;"",$F61&lt;&gt;0),
                        SUMIF(CÁLCULO!$BS$15:$CS$205,CRONO!V$12,CÁLCULO!$AR$15:$BR$205)/(ORÇAMENTO!$X$15-_xlfn.single(CÁLCULO.TotalAdmLocal))*CRONO!$F61,
                        0),
                 V60*$S59),
          SUMIF(OFFSET($S61,1,0,$R59-2),($M59+1)&amp;"$",OFFSET(V61,1,0,$R59-2)))</f>
        <v>13109.86</v>
      </c>
      <c r="W61" s="439" t="n">
        <f aca="false" t="array" ref="W61:W61">IF($R59=2,
         IF(AND(ACOMPANHAMENTO="PLE",ISNUMBER($F59)),
                SUMIF((OFFSET(CÁLCULO!$BS$15:$CS$15,$F59,0,OFFSET(ORÇAMENTO!$D$15,CRONO!$F59,0))),CRONO!W$12,OFFSET(CÁLCULO!$AR$15:$BR$15,$F59,0,OFFSET(ORÇAMENTO!$D$15,CRONO!$F59,0)))
                +IF(AND($F61&lt;&gt;"",$F61&lt;&gt;0),
                        SUMIF(CÁLCULO!$BS$15:$CS$205,CRONO!W$12,CÁLCULO!$AR$15:$BR$205)/(ORÇAMENTO!$X$15-_xlfn.single(CÁLCULO.TotalAdmLocal))*CRONO!$F61,
                        0),
                 W60*$S59),
          SUMIF(OFFSET($S61,1,0,$R59-2),($M59+1)&amp;"$",OFFSET(W61,1,0,$R59-2)))</f>
        <v>13109.86</v>
      </c>
      <c r="X61" s="439" t="n">
        <f aca="false" t="array" ref="X61:X61">IF($R59=2,
         IF(AND(ACOMPANHAMENTO="PLE",ISNUMBER($F59)),
                SUMIF((OFFSET(CÁLCULO!$BS$15:$CS$15,$F59,0,OFFSET(ORÇAMENTO!$D$15,CRONO!$F59,0))),CRONO!X$12,OFFSET(CÁLCULO!$AR$15:$BR$15,$F59,0,OFFSET(ORÇAMENTO!$D$15,CRONO!$F59,0)))
                +IF(AND($F61&lt;&gt;"",$F61&lt;&gt;0),
                        SUMIF(CÁLCULO!$BS$15:$CS$205,CRONO!X$12,CÁLCULO!$AR$15:$BR$205)/(ORÇAMENTO!$X$15-_xlfn.single(CÁLCULO.TotalAdmLocal))*CRONO!$F61,
                        0),
                 X60*$S59),
          SUMIF(OFFSET($S61,1,0,$R59-2),($M59+1)&amp;"$",OFFSET(X61,1,0,$R59-2)))</f>
        <v>13109.86</v>
      </c>
      <c r="Y61" s="439" t="n">
        <f aca="false" t="array" ref="Y61:Y61">IF($R59=2,
         IF(AND(ACOMPANHAMENTO="PLE",ISNUMBER($F59)),
                SUMIF((OFFSET(CÁLCULO!$BS$15:$CS$15,$F59,0,OFFSET(ORÇAMENTO!$D$15,CRONO!$F59,0))),CRONO!Y$12,OFFSET(CÁLCULO!$AR$15:$BR$15,$F59,0,OFFSET(ORÇAMENTO!$D$15,CRONO!$F59,0)))
                +IF(AND($F61&lt;&gt;"",$F61&lt;&gt;0),
                        SUMIF(CÁLCULO!$BS$15:$CS$205,CRONO!Y$12,CÁLCULO!$AR$15:$BR$205)/(ORÇAMENTO!$X$15-_xlfn.single(CÁLCULO.TotalAdmLocal))*CRONO!$F61,
                        0),
                 Y60*$S59),
          SUMIF(OFFSET($S61,1,0,$R59-2),($M59+1)&amp;"$",OFFSET(Y61,1,0,$R59-2)))</f>
        <v>13109.86</v>
      </c>
      <c r="Z61" s="439" t="n">
        <f aca="false" t="array" ref="Z61:Z61">IF($R59=2,
         IF(AND(ACOMPANHAMENTO="PLE",ISNUMBER($F59)),
                SUMIF((OFFSET(CÁLCULO!$BS$15:$CS$15,$F59,0,OFFSET(ORÇAMENTO!$D$15,CRONO!$F59,0))),CRONO!Z$12,OFFSET(CÁLCULO!$AR$15:$BR$15,$F59,0,OFFSET(ORÇAMENTO!$D$15,CRONO!$F59,0)))
                +IF(AND($F61&lt;&gt;"",$F61&lt;&gt;0),
                        SUMIF(CÁLCULO!$BS$15:$CS$205,CRONO!Z$12,CÁLCULO!$AR$15:$BR$205)/(ORÇAMENTO!$X$15-_xlfn.single(CÁLCULO.TotalAdmLocal))*CRONO!$F61,
                        0),
                 Z60*$S59),
          SUMIF(OFFSET($S61,1,0,$R59-2),($M59+1)&amp;"$",OFFSET(Z61,1,0,$R59-2)))</f>
        <v>13109.86</v>
      </c>
      <c r="AA61" s="439" t="n">
        <f aca="false" t="array" ref="AA61:AA61">IF($R59=2,
         IF(AND(ACOMPANHAMENTO="PLE",ISNUMBER($F59)),
                SUMIF((OFFSET(CÁLCULO!$BS$15:$CS$15,$F59,0,OFFSET(ORÇAMENTO!$D$15,CRONO!$F59,0))),CRONO!AA$12,OFFSET(CÁLCULO!$AR$15:$BR$15,$F59,0,OFFSET(ORÇAMENTO!$D$15,CRONO!$F59,0)))
                +IF(AND($F61&lt;&gt;"",$F61&lt;&gt;0),
                        SUMIF(CÁLCULO!$BS$15:$CS$205,CRONO!AA$12,CÁLCULO!$AR$15:$BR$205)/(ORÇAMENTO!$X$15-_xlfn.single(CÁLCULO.TotalAdmLocal))*CRONO!$F61,
                        0),
                 AA60*$S59),
          SUMIF(OFFSET($S61,1,0,$R59-2),($M59+1)&amp;"$",OFFSET(AA61,1,0,$R59-2)))</f>
        <v>13109.86</v>
      </c>
      <c r="AB61" s="439" t="n">
        <f aca="false" t="array" ref="AB61:AB61">IF($R59=2,
         IF(AND(ACOMPANHAMENTO="PLE",ISNUMBER($F59)),
                SUMIF((OFFSET(CÁLCULO!$BS$15:$CS$15,$F59,0,OFFSET(ORÇAMENTO!$D$15,CRONO!$F59,0))),CRONO!AB$12,OFFSET(CÁLCULO!$AR$15:$BR$15,$F59,0,OFFSET(ORÇAMENTO!$D$15,CRONO!$F59,0)))
                +IF(AND($F61&lt;&gt;"",$F61&lt;&gt;0),
                        SUMIF(CÁLCULO!$BS$15:$CS$205,CRONO!AB$12,CÁLCULO!$AR$15:$BR$205)/(ORÇAMENTO!$X$15-_xlfn.single(CÁLCULO.TotalAdmLocal))*CRONO!$F61,
                        0),
                 AB60*$S59),
          SUMIF(OFFSET($S61,1,0,$R59-2),($M59+1)&amp;"$",OFFSET(AB61,1,0,$R59-2)))</f>
        <v>13109.86</v>
      </c>
      <c r="AC61" s="439" t="n">
        <f aca="false" t="array" ref="AC61:AC61">IF($R59=2,
         IF(AND(ACOMPANHAMENTO="PLE",ISNUMBER($F59)),
                SUMIF((OFFSET(CÁLCULO!$BS$15:$CS$15,$F59,0,OFFSET(ORÇAMENTO!$D$15,CRONO!$F59,0))),CRONO!AC$12,OFFSET(CÁLCULO!$AR$15:$BR$15,$F59,0,OFFSET(ORÇAMENTO!$D$15,CRONO!$F59,0)))
                +IF(AND($F61&lt;&gt;"",$F61&lt;&gt;0),
                        SUMIF(CÁLCULO!$BS$15:$CS$205,CRONO!AC$12,CÁLCULO!$AR$15:$BR$205)/(ORÇAMENTO!$X$15-_xlfn.single(CÁLCULO.TotalAdmLocal))*CRONO!$F61,
                        0),
                 AC60*$S59),
          SUMIF(OFFSET($S61,1,0,$R59-2),($M59+1)&amp;"$",OFFSET(AC61,1,0,$R59-2)))</f>
        <v>13109.86</v>
      </c>
      <c r="AD61" s="439" t="n">
        <f aca="false" t="array" ref="AD61:AD61">IF($R59=2,
         IF(AND(ACOMPANHAMENTO="PLE",ISNUMBER($F59)),
                SUMIF((OFFSET(CÁLCULO!$BS$15:$CS$15,$F59,0,OFFSET(ORÇAMENTO!$D$15,CRONO!$F59,0))),CRONO!AD$12,OFFSET(CÁLCULO!$AR$15:$BR$15,$F59,0,OFFSET(ORÇAMENTO!$D$15,CRONO!$F59,0)))
                +IF(AND($F61&lt;&gt;"",$F61&lt;&gt;0),
                        SUMIF(CÁLCULO!$BS$15:$CS$205,CRONO!AD$12,CÁLCULO!$AR$15:$BR$205)/(ORÇAMENTO!$X$15-_xlfn.single(CÁLCULO.TotalAdmLocal))*CRONO!$F61,
                        0),
                 AD60*$S59),
          SUMIF(OFFSET($S61,1,0,$R59-2),($M59+1)&amp;"$",OFFSET(AD61,1,0,$R59-2)))</f>
        <v>13109.86</v>
      </c>
      <c r="AE61" s="439" t="n">
        <f aca="false" t="array" ref="AE61:AE61">IF($R59=2,
         IF(AND(ACOMPANHAMENTO="PLE",ISNUMBER($F59)),
                SUMIF((OFFSET(CÁLCULO!$BS$15:$CS$15,$F59,0,OFFSET(ORÇAMENTO!$D$15,CRONO!$F59,0))),CRONO!AE$12,OFFSET(CÁLCULO!$AR$15:$BR$15,$F59,0,OFFSET(ORÇAMENTO!$D$15,CRONO!$F59,0)))
                +IF(AND($F61&lt;&gt;"",$F61&lt;&gt;0),
                        SUMIF(CÁLCULO!$BS$15:$CS$205,CRONO!AE$12,CÁLCULO!$AR$15:$BR$205)/(ORÇAMENTO!$X$15-_xlfn.single(CÁLCULO.TotalAdmLocal))*CRONO!$F61,
                        0),
                 AE60*$S59),
          SUMIF(OFFSET($S61,1,0,$R59-2),($M59+1)&amp;"$",OFFSET(AE61,1,0,$R59-2)))</f>
        <v>13109.86</v>
      </c>
      <c r="AF61" s="439" t="n">
        <f aca="false" t="array" ref="AF61:AF61">IF($R59=2,
         IF(AND(ACOMPANHAMENTO="PLE",ISNUMBER($F59)),
                SUMIF((OFFSET(CÁLCULO!$BS$15:$CS$15,$F59,0,OFFSET(ORÇAMENTO!$D$15,CRONO!$F59,0))),CRONO!AF$12,OFFSET(CÁLCULO!$AR$15:$BR$15,$F59,0,OFFSET(ORÇAMENTO!$D$15,CRONO!$F59,0)))
                +IF(AND($F61&lt;&gt;"",$F61&lt;&gt;0),
                        SUMIF(CÁLCULO!$BS$15:$CS$205,CRONO!AF$12,CÁLCULO!$AR$15:$BR$205)/(ORÇAMENTO!$X$15-_xlfn.single(CÁLCULO.TotalAdmLocal))*CRONO!$F61,
                        0),
                 AF60*$S59),
          SUMIF(OFFSET($S61,1,0,$R59-2),($M59+1)&amp;"$",OFFSET(AF61,1,0,$R59-2)))</f>
        <v>13109.86</v>
      </c>
      <c r="AG61" s="439" t="n">
        <f aca="false" t="array" ref="AG61:AG61">IF($R59=2,
         IF(AND(ACOMPANHAMENTO="PLE",ISNUMBER($F59)),
                SUMIF((OFFSET(CÁLCULO!$BS$15:$CS$15,$F59,0,OFFSET(ORÇAMENTO!$D$15,CRONO!$F59,0))),CRONO!AG$12,OFFSET(CÁLCULO!$AR$15:$BR$15,$F59,0,OFFSET(ORÇAMENTO!$D$15,CRONO!$F59,0)))
                +IF(AND($F61&lt;&gt;"",$F61&lt;&gt;0),
                        SUMIF(CÁLCULO!$BS$15:$CS$205,CRONO!AG$12,CÁLCULO!$AR$15:$BR$205)/(ORÇAMENTO!$X$15-_xlfn.single(CÁLCULO.TotalAdmLocal))*CRONO!$F61,
                        0),
                 AG60*$S59),
          SUMIF(OFFSET($S61,1,0,$R59-2),($M59+1)&amp;"$",OFFSET(AG61,1,0,$R59-2)))</f>
        <v>13109.86</v>
      </c>
      <c r="AH61" s="439" t="n">
        <f aca="false" t="array" ref="AH61:AH61">IF($R59=2,
         IF(AND(ACOMPANHAMENTO="PLE",ISNUMBER($F59)),
                SUMIF((OFFSET(CÁLCULO!$BS$15:$CS$15,$F59,0,OFFSET(ORÇAMENTO!$D$15,CRONO!$F59,0))),CRONO!AH$12,OFFSET(CÁLCULO!$AR$15:$BR$15,$F59,0,OFFSET(ORÇAMENTO!$D$15,CRONO!$F59,0)))
                +IF(AND($F61&lt;&gt;"",$F61&lt;&gt;0),
                        SUMIF(CÁLCULO!$BS$15:$CS$205,CRONO!AH$12,CÁLCULO!$AR$15:$BR$205)/(ORÇAMENTO!$X$15-_xlfn.single(CÁLCULO.TotalAdmLocal))*CRONO!$F61,
                        0),
                 AH60*$S59),
          SUMIF(OFFSET($S61,1,0,$R59-2),($M59+1)&amp;"$",OFFSET(AH61,1,0,$R59-2)))</f>
        <v>13109.86</v>
      </c>
      <c r="AI61" s="439" t="n">
        <f aca="false" t="array" ref="AI61:AI61">IF($R59=2,
         IF(AND(ACOMPANHAMENTO="PLE",ISNUMBER($F59)),
                SUMIF((OFFSET(CÁLCULO!$BS$15:$CS$15,$F59,0,OFFSET(ORÇAMENTO!$D$15,CRONO!$F59,0))),CRONO!AI$12,OFFSET(CÁLCULO!$AR$15:$BR$15,$F59,0,OFFSET(ORÇAMENTO!$D$15,CRONO!$F59,0)))
                +IF(AND($F61&lt;&gt;"",$F61&lt;&gt;0),
                        SUMIF(CÁLCULO!$BS$15:$CS$205,CRONO!AI$12,CÁLCULO!$AR$15:$BR$205)/(ORÇAMENTO!$X$15-_xlfn.single(CÁLCULO.TotalAdmLocal))*CRONO!$F61,
                        0),
                 AI60*$S59),
          SUMIF(OFFSET($S61,1,0,$R59-2),($M59+1)&amp;"$",OFFSET(AI61,1,0,$R59-2)))</f>
        <v>13109.86</v>
      </c>
      <c r="AJ61" s="439" t="n">
        <f aca="false" t="array" ref="AJ61:AJ61">IF($R59=2,
         IF(AND(ACOMPANHAMENTO="PLE",ISNUMBER($F59)),
                SUMIF((OFFSET(CÁLCULO!$BS$15:$CS$15,$F59,0,OFFSET(ORÇAMENTO!$D$15,CRONO!$F59,0))),CRONO!AJ$12,OFFSET(CÁLCULO!$AR$15:$BR$15,$F59,0,OFFSET(ORÇAMENTO!$D$15,CRONO!$F59,0)))
                +IF(AND($F61&lt;&gt;"",$F61&lt;&gt;0),
                        SUMIF(CÁLCULO!$BS$15:$CS$205,CRONO!AJ$12,CÁLCULO!$AR$15:$BR$205)/(ORÇAMENTO!$X$15-_xlfn.single(CÁLCULO.TotalAdmLocal))*CRONO!$F61,
                        0),
                 AJ60*$S59),
          SUMIF(OFFSET($S61,1,0,$R59-2),($M59+1)&amp;"$",OFFSET(AJ61,1,0,$R59-2)))</f>
        <v>13109.86</v>
      </c>
      <c r="AK61" s="439" t="n">
        <f aca="false" t="array" ref="AK61:AK61">IF($R59=2,
         IF(AND(ACOMPANHAMENTO="PLE",ISNUMBER($F59)),
                SUMIF((OFFSET(CÁLCULO!$BS$15:$CS$15,$F59,0,OFFSET(ORÇAMENTO!$D$15,CRONO!$F59,0))),CRONO!AK$12,OFFSET(CÁLCULO!$AR$15:$BR$15,$F59,0,OFFSET(ORÇAMENTO!$D$15,CRONO!$F59,0)))
                +IF(AND($F61&lt;&gt;"",$F61&lt;&gt;0),
                        SUMIF(CÁLCULO!$BS$15:$CS$205,CRONO!AK$12,CÁLCULO!$AR$15:$BR$205)/(ORÇAMENTO!$X$15-_xlfn.single(CÁLCULO.TotalAdmLocal))*CRONO!$F61,
                        0),
                 AK60*$S59),
          SUMIF(OFFSET($S61,1,0,$R59-2),($M59+1)&amp;"$",OFFSET(AK61,1,0,$R59-2)))</f>
        <v>13109.86</v>
      </c>
      <c r="AL61" s="439" t="n">
        <f aca="false" t="array" ref="AL61:AL61">IF($R59=2,
         IF(AND(ACOMPANHAMENTO="PLE",ISNUMBER($F59)),
                SUMIF((OFFSET(CÁLCULO!$BS$15:$CS$15,$F59,0,OFFSET(ORÇAMENTO!$D$15,CRONO!$F59,0))),CRONO!AL$12,OFFSET(CÁLCULO!$AR$15:$BR$15,$F59,0,OFFSET(ORÇAMENTO!$D$15,CRONO!$F59,0)))
                +IF(AND($F61&lt;&gt;"",$F61&lt;&gt;0),
                        SUMIF(CÁLCULO!$BS$15:$CS$205,CRONO!AL$12,CÁLCULO!$AR$15:$BR$205)/(ORÇAMENTO!$X$15-_xlfn.single(CÁLCULO.TotalAdmLocal))*CRONO!$F61,
                        0),
                 AL60*$S59),
          SUMIF(OFFSET($S61,1,0,$R59-2),($M59+1)&amp;"$",OFFSET(AL61,1,0,$R59-2)))</f>
        <v>13109.86</v>
      </c>
      <c r="AM61" s="439" t="n">
        <f aca="false" t="array" ref="AM61:AM61">IF($R59=2,
         IF(AND(ACOMPANHAMENTO="PLE",ISNUMBER($F59)),
                SUMIF((OFFSET(CÁLCULO!$BS$15:$CS$15,$F59,0,OFFSET(ORÇAMENTO!$D$15,CRONO!$F59,0))),CRONO!AM$12,OFFSET(CÁLCULO!$AR$15:$BR$15,$F59,0,OFFSET(ORÇAMENTO!$D$15,CRONO!$F59,0)))
                +IF(AND($F61&lt;&gt;"",$F61&lt;&gt;0),
                        SUMIF(CÁLCULO!$BS$15:$CS$205,CRONO!AM$12,CÁLCULO!$AR$15:$BR$205)/(ORÇAMENTO!$X$15-_xlfn.single(CÁLCULO.TotalAdmLocal))*CRONO!$F61,
                        0),
                 AM60*$S59),
          SUMIF(OFFSET($S61,1,0,$R59-2),($M59+1)&amp;"$",OFFSET(AM61,1,0,$R59-2)))</f>
        <v>13109.86</v>
      </c>
      <c r="AN61" s="439" t="n">
        <f aca="false" t="array" ref="AN61:AN61">IF($R59=2,
         IF(AND(ACOMPANHAMENTO="PLE",ISNUMBER($F59)),
                SUMIF((OFFSET(CÁLCULO!$BS$15:$CS$15,$F59,0,OFFSET(ORÇAMENTO!$D$15,CRONO!$F59,0))),CRONO!AN$12,OFFSET(CÁLCULO!$AR$15:$BR$15,$F59,0,OFFSET(ORÇAMENTO!$D$15,CRONO!$F59,0)))
                +IF(AND($F61&lt;&gt;"",$F61&lt;&gt;0),
                        SUMIF(CÁLCULO!$BS$15:$CS$205,CRONO!AN$12,CÁLCULO!$AR$15:$BR$205)/(ORÇAMENTO!$X$15-_xlfn.single(CÁLCULO.TotalAdmLocal))*CRONO!$F61,
                        0),
                 AN60*$S59),
          SUMIF(OFFSET($S61,1,0,$R59-2),($M59+1)&amp;"$",OFFSET(AN61,1,0,$R59-2)))</f>
        <v>13109.86</v>
      </c>
      <c r="AO61" s="439" t="n">
        <f aca="false" t="array" ref="AO61:AO61">IF($R59=2,
         IF(AND(ACOMPANHAMENTO="PLE",ISNUMBER($F59)),
                SUMIF((OFFSET(CÁLCULO!$BS$15:$CS$15,$F59,0,OFFSET(ORÇAMENTO!$D$15,CRONO!$F59,0))),CRONO!AO$12,OFFSET(CÁLCULO!$AR$15:$BR$15,$F59,0,OFFSET(ORÇAMENTO!$D$15,CRONO!$F59,0)))
                +IF(AND($F61&lt;&gt;"",$F61&lt;&gt;0),
                        SUMIF(CÁLCULO!$BS$15:$CS$205,CRONO!AO$12,CÁLCULO!$AR$15:$BR$205)/(ORÇAMENTO!$X$15-_xlfn.single(CÁLCULO.TotalAdmLocal))*CRONO!$F61,
                        0),
                 AO60*$S59),
          SUMIF(OFFSET($S61,1,0,$R59-2),($M59+1)&amp;"$",OFFSET(AO61,1,0,$R59-2)))</f>
        <v>13109.86</v>
      </c>
      <c r="AP61" s="439" t="n">
        <f aca="false" t="array" ref="AP61:AP61">IF($R59=2,
         IF(AND(ACOMPANHAMENTO="PLE",ISNUMBER($F59)),
                SUMIF((OFFSET(CÁLCULO!$BS$15:$CS$15,$F59,0,OFFSET(ORÇAMENTO!$D$15,CRONO!$F59,0))),CRONO!AP$12,OFFSET(CÁLCULO!$AR$15:$BR$15,$F59,0,OFFSET(ORÇAMENTO!$D$15,CRONO!$F59,0)))
                +IF(AND($F61&lt;&gt;"",$F61&lt;&gt;0),
                        SUMIF(CÁLCULO!$BS$15:$CS$205,CRONO!AP$12,CÁLCULO!$AR$15:$BR$205)/(ORÇAMENTO!$X$15-_xlfn.single(CÁLCULO.TotalAdmLocal))*CRONO!$F61,
                        0),
                 AP60*$S59),
          SUMIF(OFFSET($S61,1,0,$R59-2),($M59+1)&amp;"$",OFFSET(AP61,1,0,$R59-2)))</f>
        <v>13109.86</v>
      </c>
      <c r="AQ61" s="439" t="n">
        <f aca="false" t="array" ref="AQ61:AQ61">IF($R59=2,
         IF(AND(ACOMPANHAMENTO="PLE",ISNUMBER($F59)),
                SUMIF((OFFSET(CÁLCULO!$BS$15:$CS$15,$F59,0,OFFSET(ORÇAMENTO!$D$15,CRONO!$F59,0))),CRONO!AQ$12,OFFSET(CÁLCULO!$AR$15:$BR$15,$F59,0,OFFSET(ORÇAMENTO!$D$15,CRONO!$F59,0)))
                +IF(AND($F61&lt;&gt;"",$F61&lt;&gt;0),
                        SUMIF(CÁLCULO!$BS$15:$CS$205,CRONO!AQ$12,CÁLCULO!$AR$15:$BR$205)/(ORÇAMENTO!$X$15-_xlfn.single(CÁLCULO.TotalAdmLocal))*CRONO!$F61,
                        0),
                 AQ60*$S59),
          SUMIF(OFFSET($S61,1,0,$R59-2),($M59+1)&amp;"$",OFFSET(AQ61,1,0,$R59-2)))</f>
        <v>13109.86</v>
      </c>
      <c r="AR61" s="439" t="n">
        <f aca="false" t="array" ref="AR61:AR61">IF($R59=2,
         IF(AND(ACOMPANHAMENTO="PLE",ISNUMBER($F59)),
                SUMIF((OFFSET(CÁLCULO!$BS$15:$CS$15,$F59,0,OFFSET(ORÇAMENTO!$D$15,CRONO!$F59,0))),CRONO!AR$12,OFFSET(CÁLCULO!$AR$15:$BR$15,$F59,0,OFFSET(ORÇAMENTO!$D$15,CRONO!$F59,0)))
                +IF(AND($F61&lt;&gt;"",$F61&lt;&gt;0),
                        SUMIF(CÁLCULO!$BS$15:$CS$205,CRONO!AR$12,CÁLCULO!$AR$15:$BR$205)/(ORÇAMENTO!$X$15-_xlfn.single(CÁLCULO.TotalAdmLocal))*CRONO!$F61,
                        0),
                 AR60*$S59),
          SUMIF(OFFSET($S61,1,0,$R59-2),($M59+1)&amp;"$",OFFSET(AR61,1,0,$R59-2)))</f>
        <v>13109.86</v>
      </c>
      <c r="AS61" s="439" t="n">
        <f aca="false" t="array" ref="AS61:AS61">IF($R59=2,
         IF(AND(ACOMPANHAMENTO="PLE",ISNUMBER($F59)),
                SUMIF((OFFSET(CÁLCULO!$BS$15:$CS$15,$F59,0,OFFSET(ORÇAMENTO!$D$15,CRONO!$F59,0))),CRONO!AS$12,OFFSET(CÁLCULO!$AR$15:$BR$15,$F59,0,OFFSET(ORÇAMENTO!$D$15,CRONO!$F59,0)))
                +IF(AND($F61&lt;&gt;"",$F61&lt;&gt;0),
                        SUMIF(CÁLCULO!$BS$15:$CS$205,CRONO!AS$12,CÁLCULO!$AR$15:$BR$205)/(ORÇAMENTO!$X$15-_xlfn.single(CÁLCULO.TotalAdmLocal))*CRONO!$F61,
                        0),
                 AS60*$S59),
          SUMIF(OFFSET($S61,1,0,$R59-2),($M59+1)&amp;"$",OFFSET(AS61,1,0,$R59-2)))</f>
        <v>13109.86</v>
      </c>
      <c r="AT61" s="439" t="n">
        <f aca="false" t="array" ref="AT61:AT61">IF($R59=2,
         IF(AND(ACOMPANHAMENTO="PLE",ISNUMBER($F59)),
                SUMIF((OFFSET(CÁLCULO!$BS$15:$CS$15,$F59,0,OFFSET(ORÇAMENTO!$D$15,CRONO!$F59,0))),CRONO!AT$12,OFFSET(CÁLCULO!$AR$15:$BR$15,$F59,0,OFFSET(ORÇAMENTO!$D$15,CRONO!$F59,0)))
                +IF(AND($F61&lt;&gt;"",$F61&lt;&gt;0),
                        SUMIF(CÁLCULO!$BS$15:$CS$205,CRONO!AT$12,CÁLCULO!$AR$15:$BR$205)/(ORÇAMENTO!$X$15-_xlfn.single(CÁLCULO.TotalAdmLocal))*CRONO!$F61,
                        0),
                 AT60*$S59),
          SUMIF(OFFSET($S61,1,0,$R59-2),($M59+1)&amp;"$",OFFSET(AT61,1,0,$R59-2)))</f>
        <v>0</v>
      </c>
      <c r="AU61" s="439" t="n">
        <f aca="false" t="array" ref="AU61:AU61">IF($R59=2,
         IF(AND(ACOMPANHAMENTO="PLE",ISNUMBER($F59)),
                SUMIF((OFFSET(CÁLCULO!$BS$15:$CS$15,$F59,0,OFFSET(ORÇAMENTO!$D$15,CRONO!$F59,0))),CRONO!AU$12,OFFSET(CÁLCULO!$AR$15:$BR$15,$F59,0,OFFSET(ORÇAMENTO!$D$15,CRONO!$F59,0)))
                +IF(AND($F61&lt;&gt;"",$F61&lt;&gt;0),
                        SUMIF(CÁLCULO!$BS$15:$CS$205,CRONO!AU$12,CÁLCULO!$AR$15:$BR$205)/(ORÇAMENTO!$X$15-_xlfn.single(CÁLCULO.TotalAdmLocal))*CRONO!$F61,
                        0),
                 AU60*$S59),
          SUMIF(OFFSET($S61,1,0,$R59-2),($M59+1)&amp;"$",OFFSET(AU61,1,0,$R59-2)))</f>
        <v>0</v>
      </c>
      <c r="AV61" s="439" t="n">
        <f aca="false" t="array" ref="AV61:AV61">IF($R59=2,
         IF(AND(ACOMPANHAMENTO="PLE",ISNUMBER($F59)),
                SUMIF((OFFSET(CÁLCULO!$BS$15:$CS$15,$F59,0,OFFSET(ORÇAMENTO!$D$15,CRONO!$F59,0))),CRONO!AV$12,OFFSET(CÁLCULO!$AR$15:$BR$15,$F59,0,OFFSET(ORÇAMENTO!$D$15,CRONO!$F59,0)))
                +IF(AND($F61&lt;&gt;"",$F61&lt;&gt;0),
                        SUMIF(CÁLCULO!$BS$15:$CS$205,CRONO!AV$12,CÁLCULO!$AR$15:$BR$205)/(ORÇAMENTO!$X$15-_xlfn.single(CÁLCULO.TotalAdmLocal))*CRONO!$F61,
                        0),
                 AV60*$S59),
          SUMIF(OFFSET($S61,1,0,$R59-2),($M59+1)&amp;"$",OFFSET(AV61,1,0,$R59-2)))</f>
        <v>0</v>
      </c>
      <c r="AW61" s="439" t="n">
        <f aca="false" t="array" ref="AW61:AW61">IF($R59=2,
         IF(AND(ACOMPANHAMENTO="PLE",ISNUMBER($F59)),
                SUMIF((OFFSET(CÁLCULO!$BS$15:$CS$15,$F59,0,OFFSET(ORÇAMENTO!$D$15,CRONO!$F59,0))),CRONO!AW$12,OFFSET(CÁLCULO!$AR$15:$BR$15,$F59,0,OFFSET(ORÇAMENTO!$D$15,CRONO!$F59,0)))
                +IF(AND($F61&lt;&gt;"",$F61&lt;&gt;0),
                        SUMIF(CÁLCULO!$BS$15:$CS$205,CRONO!AW$12,CÁLCULO!$AR$15:$BR$205)/(ORÇAMENTO!$X$15-_xlfn.single(CÁLCULO.TotalAdmLocal))*CRONO!$F61,
                        0),
                 AW60*$S59),
          SUMIF(OFFSET($S61,1,0,$R59-2),($M59+1)&amp;"$",OFFSET(AW61,1,0,$R59-2)))</f>
        <v>0</v>
      </c>
      <c r="AX61" s="439" t="n">
        <f aca="false" t="array" ref="AX61:AX61">IF($R59=2,
         IF(AND(ACOMPANHAMENTO="PLE",ISNUMBER($F59)),
                SUMIF((OFFSET(CÁLCULO!$BS$15:$CS$15,$F59,0,OFFSET(ORÇAMENTO!$D$15,CRONO!$F59,0))),CRONO!AX$12,OFFSET(CÁLCULO!$AR$15:$BR$15,$F59,0,OFFSET(ORÇAMENTO!$D$15,CRONO!$F59,0)))
                +IF(AND($F61&lt;&gt;"",$F61&lt;&gt;0),
                        SUMIF(CÁLCULO!$BS$15:$CS$205,CRONO!AX$12,CÁLCULO!$AR$15:$BR$205)/(ORÇAMENTO!$X$15-_xlfn.single(CÁLCULO.TotalAdmLocal))*CRONO!$F61,
                        0),
                 AX60*$S59),
          SUMIF(OFFSET($S61,1,0,$R59-2),($M59+1)&amp;"$",OFFSET(AX61,1,0,$R59-2)))</f>
        <v>0</v>
      </c>
      <c r="AY61" s="439" t="n">
        <f aca="false" t="array" ref="AY61:AY61">IF($R59=2,
         IF(AND(ACOMPANHAMENTO="PLE",ISNUMBER($F59)),
                SUMIF((OFFSET(CÁLCULO!$BS$15:$CS$15,$F59,0,OFFSET(ORÇAMENTO!$D$15,CRONO!$F59,0))),CRONO!AY$12,OFFSET(CÁLCULO!$AR$15:$BR$15,$F59,0,OFFSET(ORÇAMENTO!$D$15,CRONO!$F59,0)))
                +IF(AND($F61&lt;&gt;"",$F61&lt;&gt;0),
                        SUMIF(CÁLCULO!$BS$15:$CS$205,CRONO!AY$12,CÁLCULO!$AR$15:$BR$205)/(ORÇAMENTO!$X$15-_xlfn.single(CÁLCULO.TotalAdmLocal))*CRONO!$F61,
                        0),
                 AY60*$S59),
          SUMIF(OFFSET($S61,1,0,$R59-2),($M59+1)&amp;"$",OFFSET(AY61,1,0,$R59-2)))</f>
        <v>0</v>
      </c>
      <c r="AZ61" s="439" t="n">
        <f aca="false" t="array" ref="AZ61:AZ61">IF($R59=2,
         IF(AND(ACOMPANHAMENTO="PLE",ISNUMBER($F59)),
                SUMIF((OFFSET(CÁLCULO!$BS$15:$CS$15,$F59,0,OFFSET(ORÇAMENTO!$D$15,CRONO!$F59,0))),CRONO!AZ$12,OFFSET(CÁLCULO!$AR$15:$BR$15,$F59,0,OFFSET(ORÇAMENTO!$D$15,CRONO!$F59,0)))
                +IF(AND($F61&lt;&gt;"",$F61&lt;&gt;0),
                        SUMIF(CÁLCULO!$BS$15:$CS$205,CRONO!AZ$12,CÁLCULO!$AR$15:$BR$205)/(ORÇAMENTO!$X$15-_xlfn.single(CÁLCULO.TotalAdmLocal))*CRONO!$F61,
                        0),
                 AZ60*$S59),
          SUMIF(OFFSET($S61,1,0,$R59-2),($M59+1)&amp;"$",OFFSET(AZ61,1,0,$R59-2)))</f>
        <v>0</v>
      </c>
      <c r="BA61" s="439" t="n">
        <f aca="false" t="array" ref="BA61:BA61">IF($R59=2,
         IF(AND(ACOMPANHAMENTO="PLE",ISNUMBER($F59)),
                SUMIF((OFFSET(CÁLCULO!$BS$15:$CS$15,$F59,0,OFFSET(ORÇAMENTO!$D$15,CRONO!$F59,0))),CRONO!BA$12,OFFSET(CÁLCULO!$AR$15:$BR$15,$F59,0,OFFSET(ORÇAMENTO!$D$15,CRONO!$F59,0)))
                +IF(AND($F61&lt;&gt;"",$F61&lt;&gt;0),
                        SUMIF(CÁLCULO!$BS$15:$CS$205,CRONO!BA$12,CÁLCULO!$AR$15:$BR$205)/(ORÇAMENTO!$X$15-_xlfn.single(CÁLCULO.TotalAdmLocal))*CRONO!$F61,
                        0),
                 BA60*$S59),
          SUMIF(OFFSET($S61,1,0,$R59-2),($M59+1)&amp;"$",OFFSET(BA61,1,0,$R59-2)))</f>
        <v>0</v>
      </c>
      <c r="BB61" s="439" t="n">
        <f aca="false" t="array" ref="BB61:BB61">IF($R59=2,
         IF(AND(ACOMPANHAMENTO="PLE",ISNUMBER($F59)),
                SUMIF((OFFSET(CÁLCULO!$BS$15:$CS$15,$F59,0,OFFSET(ORÇAMENTO!$D$15,CRONO!$F59,0))),CRONO!BB$12,OFFSET(CÁLCULO!$AR$15:$BR$15,$F59,0,OFFSET(ORÇAMENTO!$D$15,CRONO!$F59,0)))
                +IF(AND($F61&lt;&gt;"",$F61&lt;&gt;0),
                        SUMIF(CÁLCULO!$BS$15:$CS$205,CRONO!BB$12,CÁLCULO!$AR$15:$BR$205)/(ORÇAMENTO!$X$15-_xlfn.single(CÁLCULO.TotalAdmLocal))*CRONO!$F61,
                        0),
                 BB60*$S59),
          SUMIF(OFFSET($S61,1,0,$R59-2),($M59+1)&amp;"$",OFFSET(BB61,1,0,$R59-2)))</f>
        <v>0</v>
      </c>
      <c r="BC61" s="439" t="n">
        <f aca="false" t="array" ref="BC61:BC61">IF($R59=2,
         IF(AND(ACOMPANHAMENTO="PLE",ISNUMBER($F59)),
                SUMIF((OFFSET(CÁLCULO!$BS$15:$CS$15,$F59,0,OFFSET(ORÇAMENTO!$D$15,CRONO!$F59,0))),CRONO!BC$12,OFFSET(CÁLCULO!$AR$15:$BR$15,$F59,0,OFFSET(ORÇAMENTO!$D$15,CRONO!$F59,0)))
                +IF(AND($F61&lt;&gt;"",$F61&lt;&gt;0),
                        SUMIF(CÁLCULO!$BS$15:$CS$205,CRONO!BC$12,CÁLCULO!$AR$15:$BR$205)/(ORÇAMENTO!$X$15-_xlfn.single(CÁLCULO.TotalAdmLocal))*CRONO!$F61,
                        0),
                 BC60*$S59),
          SUMIF(OFFSET($S61,1,0,$R59-2),($M59+1)&amp;"$",OFFSET(BC61,1,0,$R59-2)))</f>
        <v>0</v>
      </c>
      <c r="BD61" s="439" t="n">
        <f aca="false" t="array" ref="BD61:BD61">IF($R59=2,
         IF(AND(ACOMPANHAMENTO="PLE",ISNUMBER($F59)),
                SUMIF((OFFSET(CÁLCULO!$BS$15:$CS$15,$F59,0,OFFSET(ORÇAMENTO!$D$15,CRONO!$F59,0))),CRONO!BD$12,OFFSET(CÁLCULO!$AR$15:$BR$15,$F59,0,OFFSET(ORÇAMENTO!$D$15,CRONO!$F59,0)))
                +IF(AND($F61&lt;&gt;"",$F61&lt;&gt;0),
                        SUMIF(CÁLCULO!$BS$15:$CS$205,CRONO!BD$12,CÁLCULO!$AR$15:$BR$205)/(ORÇAMENTO!$X$15-_xlfn.single(CÁLCULO.TotalAdmLocal))*CRONO!$F61,
                        0),
                 BD60*$S59),
          SUMIF(OFFSET($S61,1,0,$R59-2),($M59+1)&amp;"$",OFFSET(BD61,1,0,$R59-2)))</f>
        <v>0</v>
      </c>
      <c r="BE61" s="430"/>
    </row>
    <row r="62" customFormat="false" ht="12.75" hidden="true" customHeight="false" outlineLevel="0" collapsed="false">
      <c r="A62" s="382" t="str">
        <f aca="false">IF($M62&gt;1,_xlfn.CONCAT($I62," ",$J62),"")</f>
        <v>1.16. IMPERMEBILIZAÇÕES</v>
      </c>
      <c r="B62" s="419" t="n">
        <f aca="true">OFFSET(B62,-3,0)+1</f>
        <v>17</v>
      </c>
      <c r="C62" s="419" t="n">
        <f aca="true">IF($R62&lt;&gt;2,0,IF($S62=0,1,IF(F63&gt;0,OFFSET(QCI!$M$13,SUBSTITUTE(F63,".",""),0),OFFSET(ORÇAMENTO!$AA$15,CRONO!$F62,0))/$S62))</f>
        <v>1</v>
      </c>
      <c r="D62" s="419" t="n">
        <f aca="true">IF($R62&lt;&gt;2,0,IF($S62=0,1,IF(F63&gt;0,OFFSET(QCI!$N$13,SUBSTITUTE(F63,".",""),0),OFFSET(ORÇAMENTO!$AB$15,CRONO!$F62,0))/$S62))</f>
        <v>1</v>
      </c>
      <c r="E62" s="422" t="e">
        <f aca="false" t="array" ref="E62:E62">IF(AND($R62=2,ACOMPANHAMENTO="BM"),ROUND(E63,4),E64/$S62)</f>
        <v>#DIV/0!</v>
      </c>
      <c r="F62" s="419" t="n">
        <f aca="true">IF(B62&lt;=ORÇAMENTO.MáximoListaCrono,MATCH(B62,ORÇAMENTO.ListaCrono,0),NA())</f>
        <v>60</v>
      </c>
      <c r="G62" s="419" t="str">
        <f aca="false">IF(AND($F63&lt;&gt;-1,$S62&gt;0),"F","")</f>
        <v/>
      </c>
      <c r="H62" s="423" t="str">
        <f aca="false" t="array" ref="H62:H62">IF(OR(S62=0,S62=""),"Linha",IF(AND(OR(ACOMPANHAMENTO="PLE",$R62&lt;&gt;2),$F63=0),"Linha",ROUND(1-SUM(U62:BE62),4)))</f>
        <v>Linha</v>
      </c>
      <c r="I62" s="424" t="str">
        <f aca="true">IF($F63=0,OFFSET(ORÇAMENTO!O$15,$F62,0),IF($F63&lt;&gt;-1,OFFSET(QCI!$D$13,$F63,0),""))</f>
        <v>1.16.</v>
      </c>
      <c r="J62" s="425" t="str">
        <f aca="true">IF($F63=0,OFFSET(ORÇAMENTO!R$15,$F62,0),IF($F63&lt;&gt;-1,OFFSET(QCI!$G$13,$F63,0),""))</f>
        <v>IMPERMEBILIZAÇÕES</v>
      </c>
      <c r="K62" s="425"/>
      <c r="L62" s="425"/>
      <c r="M62" s="426" t="n">
        <f aca="true">IF($F63=0,OFFSET(ORÇAMENTO!C$15,$F62,0),1)</f>
        <v>2</v>
      </c>
      <c r="N62" s="427" t="n">
        <f aca="true">IF($F63=-1,0,IF(N$13&lt;=$M62,IF(ISERROR(MATCH(N$13,OFFSET($M62,1,0,ROW($M$182)-ROW($M62)-1),0)),ROW($M$182)-ROW($M62)-1,MATCH(N$13,OFFSET($M62,1,0,ROW($M$182)-ROW($M62)-1),0)-1),0))</f>
        <v>119</v>
      </c>
      <c r="O62" s="427" t="n">
        <f aca="true">IF($F63=-1,0,IF(O$13&lt;=$M62,IF(ISERROR(MATCH(O$13,OFFSET($M62,1,0,ROW($M$182)-ROW($M62)-1),0)),ROW($M$182)-ROW($M62)-1,MATCH(O$13,OFFSET($M62,1,0,ROW($M$182)-ROW($M62)-1),0)-1),0))</f>
        <v>2</v>
      </c>
      <c r="P62" s="427" t="n">
        <f aca="true">IF($F63=-1,0,IF(P$13&lt;=$M62,IF(ISERROR(MATCH(P$13,OFFSET($M62,1,0,ROW($M$182)-ROW($M62)-1),0)),ROW($M$182)-ROW($M62)-1,MATCH(P$13,OFFSET($M62,1,0,ROW($M$182)-ROW($M62)-1),0)-1),0))</f>
        <v>0</v>
      </c>
      <c r="Q62" s="427" t="n">
        <f aca="true">IF($F63=-1,0,IF(Q$13&lt;=$M62,IF(ISERROR(MATCH(Q$13,OFFSET($M62,1,0,ROW($M$182)-ROW($M62)-1),0)),ROW($M$182)-ROW($M62)-1,MATCH(Q$13,OFFSET($M62,1,0,ROW($M$182)-ROW($M62)-1),0)-1),0))</f>
        <v>0</v>
      </c>
      <c r="R62" s="427" t="n">
        <f aca="true">MIN(OFFSET(M62,0,1,,M62))</f>
        <v>2</v>
      </c>
      <c r="S62" s="428" t="n">
        <f aca="true">IF($F63=0,OFFSET(ORÇAMENTO!X$15,$F62,0),IF($F63&lt;&gt;-1,OFFSET(QCI!$O$13,$F63,0),""))</f>
        <v>0</v>
      </c>
      <c r="T62" s="429" t="s">
        <v>996</v>
      </c>
      <c r="U62" s="422" t="e">
        <f aca="false" t="array" ref="U62:U62">IF(AND($R62=2,ACOMPANHAMENTO="BM"),ROUND(U63,4),U64/$S62)</f>
        <v>#DIV/0!</v>
      </c>
      <c r="V62" s="422" t="e">
        <f aca="false" t="array" ref="V62:V62">IF(AND($R62=2,ACOMPANHAMENTO="BM"),ROUND(V63,4),V64/$S62)</f>
        <v>#DIV/0!</v>
      </c>
      <c r="W62" s="422" t="e">
        <f aca="false" t="array" ref="W62:W62">IF(AND($R62=2,ACOMPANHAMENTO="BM"),ROUND(W63,4),W64/$S62)</f>
        <v>#DIV/0!</v>
      </c>
      <c r="X62" s="422" t="e">
        <f aca="false" t="array" ref="X62:X62">IF(AND($R62=2,ACOMPANHAMENTO="BM"),ROUND(X63,4),X64/$S62)</f>
        <v>#DIV/0!</v>
      </c>
      <c r="Y62" s="422" t="e">
        <f aca="false" t="array" ref="Y62:Y62">IF(AND($R62=2,ACOMPANHAMENTO="BM"),ROUND(Y63,4),Y64/$S62)</f>
        <v>#DIV/0!</v>
      </c>
      <c r="Z62" s="422" t="e">
        <f aca="false" t="array" ref="Z62:Z62">IF(AND($R62=2,ACOMPANHAMENTO="BM"),ROUND(Z63,4),Z64/$S62)</f>
        <v>#DIV/0!</v>
      </c>
      <c r="AA62" s="422" t="e">
        <f aca="false" t="array" ref="AA62:AA62">IF(AND($R62=2,ACOMPANHAMENTO="BM"),ROUND(AA63,4),AA64/$S62)</f>
        <v>#DIV/0!</v>
      </c>
      <c r="AB62" s="422" t="e">
        <f aca="false" t="array" ref="AB62:AB62">IF(AND($R62=2,ACOMPANHAMENTO="BM"),ROUND(AB63,4),AB64/$S62)</f>
        <v>#DIV/0!</v>
      </c>
      <c r="AC62" s="422" t="e">
        <f aca="false" t="array" ref="AC62:AC62">IF(AND($R62=2,ACOMPANHAMENTO="BM"),ROUND(AC63,4),AC64/$S62)</f>
        <v>#DIV/0!</v>
      </c>
      <c r="AD62" s="422" t="e">
        <f aca="false" t="array" ref="AD62:AD62">IF(AND($R62=2,ACOMPANHAMENTO="BM"),ROUND(AD63,4),AD64/$S62)</f>
        <v>#DIV/0!</v>
      </c>
      <c r="AE62" s="422" t="e">
        <f aca="false" t="array" ref="AE62:AE62">IF(AND($R62=2,ACOMPANHAMENTO="BM"),ROUND(AE63,4),AE64/$S62)</f>
        <v>#DIV/0!</v>
      </c>
      <c r="AF62" s="422" t="e">
        <f aca="false" t="array" ref="AF62:AF62">IF(AND($R62=2,ACOMPANHAMENTO="BM"),ROUND(AF63,4),AF64/$S62)</f>
        <v>#DIV/0!</v>
      </c>
      <c r="AG62" s="422" t="e">
        <f aca="false" t="array" ref="AG62:AG62">IF(AND($R62=2,ACOMPANHAMENTO="BM"),ROUND(AG63,4),AG64/$S62)</f>
        <v>#DIV/0!</v>
      </c>
      <c r="AH62" s="422" t="e">
        <f aca="false" t="array" ref="AH62:AH62">IF(AND($R62=2,ACOMPANHAMENTO="BM"),ROUND(AH63,4),AH64/$S62)</f>
        <v>#DIV/0!</v>
      </c>
      <c r="AI62" s="422" t="e">
        <f aca="false" t="array" ref="AI62:AI62">IF(AND($R62=2,ACOMPANHAMENTO="BM"),ROUND(AI63,4),AI64/$S62)</f>
        <v>#DIV/0!</v>
      </c>
      <c r="AJ62" s="422" t="e">
        <f aca="false" t="array" ref="AJ62:AJ62">IF(AND($R62=2,ACOMPANHAMENTO="BM"),ROUND(AJ63,4),AJ64/$S62)</f>
        <v>#DIV/0!</v>
      </c>
      <c r="AK62" s="422" t="e">
        <f aca="false" t="array" ref="AK62:AK62">IF(AND($R62=2,ACOMPANHAMENTO="BM"),ROUND(AK63,4),AK64/$S62)</f>
        <v>#DIV/0!</v>
      </c>
      <c r="AL62" s="422" t="e">
        <f aca="false" t="array" ref="AL62:AL62">IF(AND($R62=2,ACOMPANHAMENTO="BM"),ROUND(AL63,4),AL64/$S62)</f>
        <v>#DIV/0!</v>
      </c>
      <c r="AM62" s="422" t="e">
        <f aca="false" t="array" ref="AM62:AM62">IF(AND($R62=2,ACOMPANHAMENTO="BM"),ROUND(AM63,4),AM64/$S62)</f>
        <v>#DIV/0!</v>
      </c>
      <c r="AN62" s="422" t="e">
        <f aca="false" t="array" ref="AN62:AN62">IF(AND($R62=2,ACOMPANHAMENTO="BM"),ROUND(AN63,4),AN64/$S62)</f>
        <v>#DIV/0!</v>
      </c>
      <c r="AO62" s="422" t="e">
        <f aca="false" t="array" ref="AO62:AO62">IF(AND($R62=2,ACOMPANHAMENTO="BM"),ROUND(AO63,4),AO64/$S62)</f>
        <v>#DIV/0!</v>
      </c>
      <c r="AP62" s="422" t="e">
        <f aca="false" t="array" ref="AP62:AP62">IF(AND($R62=2,ACOMPANHAMENTO="BM"),ROUND(AP63,4),AP64/$S62)</f>
        <v>#DIV/0!</v>
      </c>
      <c r="AQ62" s="422" t="e">
        <f aca="false" t="array" ref="AQ62:AQ62">IF(AND($R62=2,ACOMPANHAMENTO="BM"),ROUND(AQ63,4),AQ64/$S62)</f>
        <v>#DIV/0!</v>
      </c>
      <c r="AR62" s="422" t="e">
        <f aca="false" t="array" ref="AR62:AR62">IF(AND($R62=2,ACOMPANHAMENTO="BM"),ROUND(AR63,4),AR64/$S62)</f>
        <v>#DIV/0!</v>
      </c>
      <c r="AS62" s="422" t="e">
        <f aca="false" t="array" ref="AS62:AS62">IF(AND($R62=2,ACOMPANHAMENTO="BM"),ROUND(AS63,4),AS64/$S62)</f>
        <v>#DIV/0!</v>
      </c>
      <c r="AT62" s="422" t="e">
        <f aca="false" t="array" ref="AT62:AT62">IF(AND($R62=2,ACOMPANHAMENTO="BM"),ROUND(AT63,4),AT64/$S62)</f>
        <v>#DIV/0!</v>
      </c>
      <c r="AU62" s="422" t="e">
        <f aca="false" t="array" ref="AU62:AU62">IF(AND($R62=2,ACOMPANHAMENTO="BM"),ROUND(AU63,4),AU64/$S62)</f>
        <v>#DIV/0!</v>
      </c>
      <c r="AV62" s="422" t="e">
        <f aca="false" t="array" ref="AV62:AV62">IF(AND($R62=2,ACOMPANHAMENTO="BM"),ROUND(AV63,4),AV64/$S62)</f>
        <v>#DIV/0!</v>
      </c>
      <c r="AW62" s="422" t="e">
        <f aca="false" t="array" ref="AW62:AW62">IF(AND($R62=2,ACOMPANHAMENTO="BM"),ROUND(AW63,4),AW64/$S62)</f>
        <v>#DIV/0!</v>
      </c>
      <c r="AX62" s="422" t="e">
        <f aca="false" t="array" ref="AX62:AX62">IF(AND($R62=2,ACOMPANHAMENTO="BM"),ROUND(AX63,4),AX64/$S62)</f>
        <v>#DIV/0!</v>
      </c>
      <c r="AY62" s="422" t="e">
        <f aca="false" t="array" ref="AY62:AY62">IF(AND($R62=2,ACOMPANHAMENTO="BM"),ROUND(AY63,4),AY64/$S62)</f>
        <v>#DIV/0!</v>
      </c>
      <c r="AZ62" s="422" t="e">
        <f aca="false" t="array" ref="AZ62:AZ62">IF(AND($R62=2,ACOMPANHAMENTO="BM"),ROUND(AZ63,4),AZ64/$S62)</f>
        <v>#DIV/0!</v>
      </c>
      <c r="BA62" s="422" t="e">
        <f aca="false" t="array" ref="BA62:BA62">IF(AND($R62=2,ACOMPANHAMENTO="BM"),ROUND(BA63,4),BA64/$S62)</f>
        <v>#DIV/0!</v>
      </c>
      <c r="BB62" s="422" t="e">
        <f aca="false" t="array" ref="BB62:BB62">IF(AND($R62=2,ACOMPANHAMENTO="BM"),ROUND(BB63,4),BB64/$S62)</f>
        <v>#DIV/0!</v>
      </c>
      <c r="BC62" s="422" t="e">
        <f aca="false" t="array" ref="BC62:BC62">IF(AND($R62=2,ACOMPANHAMENTO="BM"),ROUND(BC63,4),BC64/$S62)</f>
        <v>#DIV/0!</v>
      </c>
      <c r="BD62" s="422" t="e">
        <f aca="false" t="array" ref="BD62:BD62">IF(AND($R62=2,ACOMPANHAMENTO="BM"),ROUND(BD63,4),BD64/$S62)</f>
        <v>#DIV/0!</v>
      </c>
      <c r="BE62" s="430"/>
    </row>
    <row r="63" customFormat="false" ht="12.75" hidden="true" customHeight="true" outlineLevel="0" collapsed="false">
      <c r="E63" s="431"/>
      <c r="F63" s="419" t="n">
        <f aca="true">IF(ISERROR(F62),IF(1+COUNTIF($M$13:OFFSET(M62,-1,0),1)&lt;=MAX(QCI!$D$13:$D$15),1+COUNTIF($M$13:OFFSET(M62,-1,0),1),-1),0)</f>
        <v>0</v>
      </c>
      <c r="G63" s="419" t="str">
        <f aca="true" t="array" ref="G63:G63">IF(ACOMPANHAMENTO="BM",OFFSET(G63,-1,0),"")</f>
        <v/>
      </c>
      <c r="H63" s="432" t="str">
        <f aca="false" t="array" ref="H63:H63">IF(OR(S62=0,S62=""),"vazia",IF(AND(OR(ACOMPANHAMENTO="PLE",$R62&lt;&gt;2),$F63=0),"calculada","--&gt;"))</f>
        <v>vazia</v>
      </c>
      <c r="I63" s="433"/>
      <c r="J63" s="434" t="str">
        <f aca="false">IF(AND(H62&lt;&gt;0,ISNUMBER(H62)),"PREENCHA ESTA LINHA --&gt;","")</f>
        <v/>
      </c>
      <c r="K63" s="434"/>
      <c r="L63" s="434"/>
      <c r="M63" s="435"/>
      <c r="N63" s="435"/>
      <c r="O63" s="435"/>
      <c r="P63" s="435"/>
      <c r="Q63" s="435"/>
      <c r="R63" s="435"/>
      <c r="S63" s="436"/>
      <c r="T63" s="437"/>
      <c r="U63" s="431"/>
      <c r="V63" s="431"/>
      <c r="W63" s="431"/>
      <c r="X63" s="431"/>
      <c r="Y63" s="431"/>
      <c r="Z63" s="431"/>
      <c r="AA63" s="431"/>
      <c r="AB63" s="431"/>
      <c r="AC63" s="431"/>
      <c r="AD63" s="431"/>
      <c r="AE63" s="431"/>
      <c r="AF63" s="431"/>
      <c r="AG63" s="431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1"/>
      <c r="AT63" s="431"/>
      <c r="AU63" s="431"/>
      <c r="AV63" s="431"/>
      <c r="AW63" s="431"/>
      <c r="AX63" s="431"/>
      <c r="AY63" s="431"/>
      <c r="AZ63" s="431"/>
      <c r="BA63" s="431"/>
      <c r="BB63" s="431"/>
      <c r="BC63" s="431"/>
      <c r="BD63" s="431"/>
      <c r="BE63" s="430"/>
    </row>
    <row r="64" customFormat="false" ht="12.75" hidden="true" customHeight="true" outlineLevel="0" collapsed="false">
      <c r="D64" s="438"/>
      <c r="E64" s="439" t="n">
        <f aca="false" t="array" ref="E64:E64">IF($R62=2,
         IF(AND(ACOMPANHAMENTO="PLE",ISNUMBER($F62)),
                SUMIF((OFFSET(CÁLCULO!$BS$15:$CS$15,$F62,0,OFFSET(ORÇAMENTO!$D$15,CRONO!$F62,0))),CRONO!E$12,OFFSET(CÁLCULO!$AR$15:$BR$15,$F62,0,OFFSET(ORÇAMENTO!$D$15,CRONO!$F62,0)))
                +IF(AND($F64&lt;&gt;"",$F64&lt;&gt;0),
                        SUMIF(CÁLCULO!$BS$15:$CS$205,CRONO!E$12,CÁLCULO!$AR$15:$BR$205)/(ORÇAMENTO!$X$15-_xlfn.single(CÁLCULO.TotalAdmLocal))*CRONO!$F64,
                        0),
                 E63*$S62),
          SUMIF(OFFSET($S64,1,0,$R62-2),($M62+1)&amp;"$",OFFSET(E64,1,0,$R62-2)))</f>
        <v>0</v>
      </c>
      <c r="F64" s="419" t="str">
        <f aca="true">IF(OR($R62&lt;&gt;2,AUTOEVENTO&lt;&gt;"manual",$F63&gt;0),"",
        IF(Import.TipoArredondamento="Tradicional",
              SUMIF(OFFSET(CÁLCULO!$M$15,CRONO!$F62,0,OFFSET(ORÇAMENTO!$D$15,CRONO!$F62,0)),1,OFFSET(ORÇAMENTO!$X$15,CRONO!$F62,0,OFFSET(ORÇAMENTO!$D$15,CRONO!$F62,0))),
              0))</f>
        <v/>
      </c>
      <c r="H64" s="440"/>
      <c r="S64" s="441" t="str">
        <f aca="false">M62&amp;"$"</f>
        <v>2$</v>
      </c>
      <c r="T64" s="442"/>
      <c r="U64" s="439" t="n">
        <f aca="false" t="array" ref="U64:U64">IF($R62=2,
         IF(AND(ACOMPANHAMENTO="PLE",ISNUMBER($F62)),
                SUMIF((OFFSET(CÁLCULO!$BS$15:$CS$15,$F62,0,OFFSET(ORÇAMENTO!$D$15,CRONO!$F62,0))),CRONO!U$12,OFFSET(CÁLCULO!$AR$15:$BR$15,$F62,0,OFFSET(ORÇAMENTO!$D$15,CRONO!$F62,0)))
                +IF(AND($F64&lt;&gt;"",$F64&lt;&gt;0),
                        SUMIF(CÁLCULO!$BS$15:$CS$205,CRONO!U$12,CÁLCULO!$AR$15:$BR$205)/(ORÇAMENTO!$X$15-_xlfn.single(CÁLCULO.TotalAdmLocal))*CRONO!$F64,
                        0),
                 U63*$S62),
          SUMIF(OFFSET($S64,1,0,$R62-2),($M62+1)&amp;"$",OFFSET(U64,1,0,$R62-2)))</f>
        <v>0</v>
      </c>
      <c r="V64" s="439" t="n">
        <f aca="false" t="array" ref="V64:V64">IF($R62=2,
         IF(AND(ACOMPANHAMENTO="PLE",ISNUMBER($F62)),
                SUMIF((OFFSET(CÁLCULO!$BS$15:$CS$15,$F62,0,OFFSET(ORÇAMENTO!$D$15,CRONO!$F62,0))),CRONO!V$12,OFFSET(CÁLCULO!$AR$15:$BR$15,$F62,0,OFFSET(ORÇAMENTO!$D$15,CRONO!$F62,0)))
                +IF(AND($F64&lt;&gt;"",$F64&lt;&gt;0),
                        SUMIF(CÁLCULO!$BS$15:$CS$205,CRONO!V$12,CÁLCULO!$AR$15:$BR$205)/(ORÇAMENTO!$X$15-_xlfn.single(CÁLCULO.TotalAdmLocal))*CRONO!$F64,
                        0),
                 V63*$S62),
          SUMIF(OFFSET($S64,1,0,$R62-2),($M62+1)&amp;"$",OFFSET(V64,1,0,$R62-2)))</f>
        <v>0</v>
      </c>
      <c r="W64" s="439" t="n">
        <f aca="false" t="array" ref="W64:W64">IF($R62=2,
         IF(AND(ACOMPANHAMENTO="PLE",ISNUMBER($F62)),
                SUMIF((OFFSET(CÁLCULO!$BS$15:$CS$15,$F62,0,OFFSET(ORÇAMENTO!$D$15,CRONO!$F62,0))),CRONO!W$12,OFFSET(CÁLCULO!$AR$15:$BR$15,$F62,0,OFFSET(ORÇAMENTO!$D$15,CRONO!$F62,0)))
                +IF(AND($F64&lt;&gt;"",$F64&lt;&gt;0),
                        SUMIF(CÁLCULO!$BS$15:$CS$205,CRONO!W$12,CÁLCULO!$AR$15:$BR$205)/(ORÇAMENTO!$X$15-_xlfn.single(CÁLCULO.TotalAdmLocal))*CRONO!$F64,
                        0),
                 W63*$S62),
          SUMIF(OFFSET($S64,1,0,$R62-2),($M62+1)&amp;"$",OFFSET(W64,1,0,$R62-2)))</f>
        <v>0</v>
      </c>
      <c r="X64" s="439" t="n">
        <f aca="false" t="array" ref="X64:X64">IF($R62=2,
         IF(AND(ACOMPANHAMENTO="PLE",ISNUMBER($F62)),
                SUMIF((OFFSET(CÁLCULO!$BS$15:$CS$15,$F62,0,OFFSET(ORÇAMENTO!$D$15,CRONO!$F62,0))),CRONO!X$12,OFFSET(CÁLCULO!$AR$15:$BR$15,$F62,0,OFFSET(ORÇAMENTO!$D$15,CRONO!$F62,0)))
                +IF(AND($F64&lt;&gt;"",$F64&lt;&gt;0),
                        SUMIF(CÁLCULO!$BS$15:$CS$205,CRONO!X$12,CÁLCULO!$AR$15:$BR$205)/(ORÇAMENTO!$X$15-_xlfn.single(CÁLCULO.TotalAdmLocal))*CRONO!$F64,
                        0),
                 X63*$S62),
          SUMIF(OFFSET($S64,1,0,$R62-2),($M62+1)&amp;"$",OFFSET(X64,1,0,$R62-2)))</f>
        <v>0</v>
      </c>
      <c r="Y64" s="439" t="n">
        <f aca="false" t="array" ref="Y64:Y64">IF($R62=2,
         IF(AND(ACOMPANHAMENTO="PLE",ISNUMBER($F62)),
                SUMIF((OFFSET(CÁLCULO!$BS$15:$CS$15,$F62,0,OFFSET(ORÇAMENTO!$D$15,CRONO!$F62,0))),CRONO!Y$12,OFFSET(CÁLCULO!$AR$15:$BR$15,$F62,0,OFFSET(ORÇAMENTO!$D$15,CRONO!$F62,0)))
                +IF(AND($F64&lt;&gt;"",$F64&lt;&gt;0),
                        SUMIF(CÁLCULO!$BS$15:$CS$205,CRONO!Y$12,CÁLCULO!$AR$15:$BR$205)/(ORÇAMENTO!$X$15-_xlfn.single(CÁLCULO.TotalAdmLocal))*CRONO!$F64,
                        0),
                 Y63*$S62),
          SUMIF(OFFSET($S64,1,0,$R62-2),($M62+1)&amp;"$",OFFSET(Y64,1,0,$R62-2)))</f>
        <v>0</v>
      </c>
      <c r="Z64" s="439" t="n">
        <f aca="false" t="array" ref="Z64:Z64">IF($R62=2,
         IF(AND(ACOMPANHAMENTO="PLE",ISNUMBER($F62)),
                SUMIF((OFFSET(CÁLCULO!$BS$15:$CS$15,$F62,0,OFFSET(ORÇAMENTO!$D$15,CRONO!$F62,0))),CRONO!Z$12,OFFSET(CÁLCULO!$AR$15:$BR$15,$F62,0,OFFSET(ORÇAMENTO!$D$15,CRONO!$F62,0)))
                +IF(AND($F64&lt;&gt;"",$F64&lt;&gt;0),
                        SUMIF(CÁLCULO!$BS$15:$CS$205,CRONO!Z$12,CÁLCULO!$AR$15:$BR$205)/(ORÇAMENTO!$X$15-_xlfn.single(CÁLCULO.TotalAdmLocal))*CRONO!$F64,
                        0),
                 Z63*$S62),
          SUMIF(OFFSET($S64,1,0,$R62-2),($M62+1)&amp;"$",OFFSET(Z64,1,0,$R62-2)))</f>
        <v>0</v>
      </c>
      <c r="AA64" s="439" t="n">
        <f aca="false" t="array" ref="AA64:AA64">IF($R62=2,
         IF(AND(ACOMPANHAMENTO="PLE",ISNUMBER($F62)),
                SUMIF((OFFSET(CÁLCULO!$BS$15:$CS$15,$F62,0,OFFSET(ORÇAMENTO!$D$15,CRONO!$F62,0))),CRONO!AA$12,OFFSET(CÁLCULO!$AR$15:$BR$15,$F62,0,OFFSET(ORÇAMENTO!$D$15,CRONO!$F62,0)))
                +IF(AND($F64&lt;&gt;"",$F64&lt;&gt;0),
                        SUMIF(CÁLCULO!$BS$15:$CS$205,CRONO!AA$12,CÁLCULO!$AR$15:$BR$205)/(ORÇAMENTO!$X$15-_xlfn.single(CÁLCULO.TotalAdmLocal))*CRONO!$F64,
                        0),
                 AA63*$S62),
          SUMIF(OFFSET($S64,1,0,$R62-2),($M62+1)&amp;"$",OFFSET(AA64,1,0,$R62-2)))</f>
        <v>0</v>
      </c>
      <c r="AB64" s="439" t="n">
        <f aca="false" t="array" ref="AB64:AB64">IF($R62=2,
         IF(AND(ACOMPANHAMENTO="PLE",ISNUMBER($F62)),
                SUMIF((OFFSET(CÁLCULO!$BS$15:$CS$15,$F62,0,OFFSET(ORÇAMENTO!$D$15,CRONO!$F62,0))),CRONO!AB$12,OFFSET(CÁLCULO!$AR$15:$BR$15,$F62,0,OFFSET(ORÇAMENTO!$D$15,CRONO!$F62,0)))
                +IF(AND($F64&lt;&gt;"",$F64&lt;&gt;0),
                        SUMIF(CÁLCULO!$BS$15:$CS$205,CRONO!AB$12,CÁLCULO!$AR$15:$BR$205)/(ORÇAMENTO!$X$15-_xlfn.single(CÁLCULO.TotalAdmLocal))*CRONO!$F64,
                        0),
                 AB63*$S62),
          SUMIF(OFFSET($S64,1,0,$R62-2),($M62+1)&amp;"$",OFFSET(AB64,1,0,$R62-2)))</f>
        <v>0</v>
      </c>
      <c r="AC64" s="439" t="n">
        <f aca="false" t="array" ref="AC64:AC64">IF($R62=2,
         IF(AND(ACOMPANHAMENTO="PLE",ISNUMBER($F62)),
                SUMIF((OFFSET(CÁLCULO!$BS$15:$CS$15,$F62,0,OFFSET(ORÇAMENTO!$D$15,CRONO!$F62,0))),CRONO!AC$12,OFFSET(CÁLCULO!$AR$15:$BR$15,$F62,0,OFFSET(ORÇAMENTO!$D$15,CRONO!$F62,0)))
                +IF(AND($F64&lt;&gt;"",$F64&lt;&gt;0),
                        SUMIF(CÁLCULO!$BS$15:$CS$205,CRONO!AC$12,CÁLCULO!$AR$15:$BR$205)/(ORÇAMENTO!$X$15-_xlfn.single(CÁLCULO.TotalAdmLocal))*CRONO!$F64,
                        0),
                 AC63*$S62),
          SUMIF(OFFSET($S64,1,0,$R62-2),($M62+1)&amp;"$",OFFSET(AC64,1,0,$R62-2)))</f>
        <v>0</v>
      </c>
      <c r="AD64" s="439" t="n">
        <f aca="false" t="array" ref="AD64:AD64">IF($R62=2,
         IF(AND(ACOMPANHAMENTO="PLE",ISNUMBER($F62)),
                SUMIF((OFFSET(CÁLCULO!$BS$15:$CS$15,$F62,0,OFFSET(ORÇAMENTO!$D$15,CRONO!$F62,0))),CRONO!AD$12,OFFSET(CÁLCULO!$AR$15:$BR$15,$F62,0,OFFSET(ORÇAMENTO!$D$15,CRONO!$F62,0)))
                +IF(AND($F64&lt;&gt;"",$F64&lt;&gt;0),
                        SUMIF(CÁLCULO!$BS$15:$CS$205,CRONO!AD$12,CÁLCULO!$AR$15:$BR$205)/(ORÇAMENTO!$X$15-_xlfn.single(CÁLCULO.TotalAdmLocal))*CRONO!$F64,
                        0),
                 AD63*$S62),
          SUMIF(OFFSET($S64,1,0,$R62-2),($M62+1)&amp;"$",OFFSET(AD64,1,0,$R62-2)))</f>
        <v>0</v>
      </c>
      <c r="AE64" s="439" t="n">
        <f aca="false" t="array" ref="AE64:AE64">IF($R62=2,
         IF(AND(ACOMPANHAMENTO="PLE",ISNUMBER($F62)),
                SUMIF((OFFSET(CÁLCULO!$BS$15:$CS$15,$F62,0,OFFSET(ORÇAMENTO!$D$15,CRONO!$F62,0))),CRONO!AE$12,OFFSET(CÁLCULO!$AR$15:$BR$15,$F62,0,OFFSET(ORÇAMENTO!$D$15,CRONO!$F62,0)))
                +IF(AND($F64&lt;&gt;"",$F64&lt;&gt;0),
                        SUMIF(CÁLCULO!$BS$15:$CS$205,CRONO!AE$12,CÁLCULO!$AR$15:$BR$205)/(ORÇAMENTO!$X$15-_xlfn.single(CÁLCULO.TotalAdmLocal))*CRONO!$F64,
                        0),
                 AE63*$S62),
          SUMIF(OFFSET($S64,1,0,$R62-2),($M62+1)&amp;"$",OFFSET(AE64,1,0,$R62-2)))</f>
        <v>0</v>
      </c>
      <c r="AF64" s="439" t="n">
        <f aca="false" t="array" ref="AF64:AF64">IF($R62=2,
         IF(AND(ACOMPANHAMENTO="PLE",ISNUMBER($F62)),
                SUMIF((OFFSET(CÁLCULO!$BS$15:$CS$15,$F62,0,OFFSET(ORÇAMENTO!$D$15,CRONO!$F62,0))),CRONO!AF$12,OFFSET(CÁLCULO!$AR$15:$BR$15,$F62,0,OFFSET(ORÇAMENTO!$D$15,CRONO!$F62,0)))
                +IF(AND($F64&lt;&gt;"",$F64&lt;&gt;0),
                        SUMIF(CÁLCULO!$BS$15:$CS$205,CRONO!AF$12,CÁLCULO!$AR$15:$BR$205)/(ORÇAMENTO!$X$15-_xlfn.single(CÁLCULO.TotalAdmLocal))*CRONO!$F64,
                        0),
                 AF63*$S62),
          SUMIF(OFFSET($S64,1,0,$R62-2),($M62+1)&amp;"$",OFFSET(AF64,1,0,$R62-2)))</f>
        <v>0</v>
      </c>
      <c r="AG64" s="439" t="n">
        <f aca="false" t="array" ref="AG64:AG64">IF($R62=2,
         IF(AND(ACOMPANHAMENTO="PLE",ISNUMBER($F62)),
                SUMIF((OFFSET(CÁLCULO!$BS$15:$CS$15,$F62,0,OFFSET(ORÇAMENTO!$D$15,CRONO!$F62,0))),CRONO!AG$12,OFFSET(CÁLCULO!$AR$15:$BR$15,$F62,0,OFFSET(ORÇAMENTO!$D$15,CRONO!$F62,0)))
                +IF(AND($F64&lt;&gt;"",$F64&lt;&gt;0),
                        SUMIF(CÁLCULO!$BS$15:$CS$205,CRONO!AG$12,CÁLCULO!$AR$15:$BR$205)/(ORÇAMENTO!$X$15-_xlfn.single(CÁLCULO.TotalAdmLocal))*CRONO!$F64,
                        0),
                 AG63*$S62),
          SUMIF(OFFSET($S64,1,0,$R62-2),($M62+1)&amp;"$",OFFSET(AG64,1,0,$R62-2)))</f>
        <v>0</v>
      </c>
      <c r="AH64" s="439" t="n">
        <f aca="false" t="array" ref="AH64:AH64">IF($R62=2,
         IF(AND(ACOMPANHAMENTO="PLE",ISNUMBER($F62)),
                SUMIF((OFFSET(CÁLCULO!$BS$15:$CS$15,$F62,0,OFFSET(ORÇAMENTO!$D$15,CRONO!$F62,0))),CRONO!AH$12,OFFSET(CÁLCULO!$AR$15:$BR$15,$F62,0,OFFSET(ORÇAMENTO!$D$15,CRONO!$F62,0)))
                +IF(AND($F64&lt;&gt;"",$F64&lt;&gt;0),
                        SUMIF(CÁLCULO!$BS$15:$CS$205,CRONO!AH$12,CÁLCULO!$AR$15:$BR$205)/(ORÇAMENTO!$X$15-_xlfn.single(CÁLCULO.TotalAdmLocal))*CRONO!$F64,
                        0),
                 AH63*$S62),
          SUMIF(OFFSET($S64,1,0,$R62-2),($M62+1)&amp;"$",OFFSET(AH64,1,0,$R62-2)))</f>
        <v>0</v>
      </c>
      <c r="AI64" s="439" t="n">
        <f aca="false" t="array" ref="AI64:AI64">IF($R62=2,
         IF(AND(ACOMPANHAMENTO="PLE",ISNUMBER($F62)),
                SUMIF((OFFSET(CÁLCULO!$BS$15:$CS$15,$F62,0,OFFSET(ORÇAMENTO!$D$15,CRONO!$F62,0))),CRONO!AI$12,OFFSET(CÁLCULO!$AR$15:$BR$15,$F62,0,OFFSET(ORÇAMENTO!$D$15,CRONO!$F62,0)))
                +IF(AND($F64&lt;&gt;"",$F64&lt;&gt;0),
                        SUMIF(CÁLCULO!$BS$15:$CS$205,CRONO!AI$12,CÁLCULO!$AR$15:$BR$205)/(ORÇAMENTO!$X$15-_xlfn.single(CÁLCULO.TotalAdmLocal))*CRONO!$F64,
                        0),
                 AI63*$S62),
          SUMIF(OFFSET($S64,1,0,$R62-2),($M62+1)&amp;"$",OFFSET(AI64,1,0,$R62-2)))</f>
        <v>0</v>
      </c>
      <c r="AJ64" s="439" t="n">
        <f aca="false" t="array" ref="AJ64:AJ64">IF($R62=2,
         IF(AND(ACOMPANHAMENTO="PLE",ISNUMBER($F62)),
                SUMIF((OFFSET(CÁLCULO!$BS$15:$CS$15,$F62,0,OFFSET(ORÇAMENTO!$D$15,CRONO!$F62,0))),CRONO!AJ$12,OFFSET(CÁLCULO!$AR$15:$BR$15,$F62,0,OFFSET(ORÇAMENTO!$D$15,CRONO!$F62,0)))
                +IF(AND($F64&lt;&gt;"",$F64&lt;&gt;0),
                        SUMIF(CÁLCULO!$BS$15:$CS$205,CRONO!AJ$12,CÁLCULO!$AR$15:$BR$205)/(ORÇAMENTO!$X$15-_xlfn.single(CÁLCULO.TotalAdmLocal))*CRONO!$F64,
                        0),
                 AJ63*$S62),
          SUMIF(OFFSET($S64,1,0,$R62-2),($M62+1)&amp;"$",OFFSET(AJ64,1,0,$R62-2)))</f>
        <v>0</v>
      </c>
      <c r="AK64" s="439" t="n">
        <f aca="false" t="array" ref="AK64:AK64">IF($R62=2,
         IF(AND(ACOMPANHAMENTO="PLE",ISNUMBER($F62)),
                SUMIF((OFFSET(CÁLCULO!$BS$15:$CS$15,$F62,0,OFFSET(ORÇAMENTO!$D$15,CRONO!$F62,0))),CRONO!AK$12,OFFSET(CÁLCULO!$AR$15:$BR$15,$F62,0,OFFSET(ORÇAMENTO!$D$15,CRONO!$F62,0)))
                +IF(AND($F64&lt;&gt;"",$F64&lt;&gt;0),
                        SUMIF(CÁLCULO!$BS$15:$CS$205,CRONO!AK$12,CÁLCULO!$AR$15:$BR$205)/(ORÇAMENTO!$X$15-_xlfn.single(CÁLCULO.TotalAdmLocal))*CRONO!$F64,
                        0),
                 AK63*$S62),
          SUMIF(OFFSET($S64,1,0,$R62-2),($M62+1)&amp;"$",OFFSET(AK64,1,0,$R62-2)))</f>
        <v>0</v>
      </c>
      <c r="AL64" s="439" t="n">
        <f aca="false" t="array" ref="AL64:AL64">IF($R62=2,
         IF(AND(ACOMPANHAMENTO="PLE",ISNUMBER($F62)),
                SUMIF((OFFSET(CÁLCULO!$BS$15:$CS$15,$F62,0,OFFSET(ORÇAMENTO!$D$15,CRONO!$F62,0))),CRONO!AL$12,OFFSET(CÁLCULO!$AR$15:$BR$15,$F62,0,OFFSET(ORÇAMENTO!$D$15,CRONO!$F62,0)))
                +IF(AND($F64&lt;&gt;"",$F64&lt;&gt;0),
                        SUMIF(CÁLCULO!$BS$15:$CS$205,CRONO!AL$12,CÁLCULO!$AR$15:$BR$205)/(ORÇAMENTO!$X$15-_xlfn.single(CÁLCULO.TotalAdmLocal))*CRONO!$F64,
                        0),
                 AL63*$S62),
          SUMIF(OFFSET($S64,1,0,$R62-2),($M62+1)&amp;"$",OFFSET(AL64,1,0,$R62-2)))</f>
        <v>0</v>
      </c>
      <c r="AM64" s="439" t="n">
        <f aca="false" t="array" ref="AM64:AM64">IF($R62=2,
         IF(AND(ACOMPANHAMENTO="PLE",ISNUMBER($F62)),
                SUMIF((OFFSET(CÁLCULO!$BS$15:$CS$15,$F62,0,OFFSET(ORÇAMENTO!$D$15,CRONO!$F62,0))),CRONO!AM$12,OFFSET(CÁLCULO!$AR$15:$BR$15,$F62,0,OFFSET(ORÇAMENTO!$D$15,CRONO!$F62,0)))
                +IF(AND($F64&lt;&gt;"",$F64&lt;&gt;0),
                        SUMIF(CÁLCULO!$BS$15:$CS$205,CRONO!AM$12,CÁLCULO!$AR$15:$BR$205)/(ORÇAMENTO!$X$15-_xlfn.single(CÁLCULO.TotalAdmLocal))*CRONO!$F64,
                        0),
                 AM63*$S62),
          SUMIF(OFFSET($S64,1,0,$R62-2),($M62+1)&amp;"$",OFFSET(AM64,1,0,$R62-2)))</f>
        <v>0</v>
      </c>
      <c r="AN64" s="439" t="n">
        <f aca="false" t="array" ref="AN64:AN64">IF($R62=2,
         IF(AND(ACOMPANHAMENTO="PLE",ISNUMBER($F62)),
                SUMIF((OFFSET(CÁLCULO!$BS$15:$CS$15,$F62,0,OFFSET(ORÇAMENTO!$D$15,CRONO!$F62,0))),CRONO!AN$12,OFFSET(CÁLCULO!$AR$15:$BR$15,$F62,0,OFFSET(ORÇAMENTO!$D$15,CRONO!$F62,0)))
                +IF(AND($F64&lt;&gt;"",$F64&lt;&gt;0),
                        SUMIF(CÁLCULO!$BS$15:$CS$205,CRONO!AN$12,CÁLCULO!$AR$15:$BR$205)/(ORÇAMENTO!$X$15-_xlfn.single(CÁLCULO.TotalAdmLocal))*CRONO!$F64,
                        0),
                 AN63*$S62),
          SUMIF(OFFSET($S64,1,0,$R62-2),($M62+1)&amp;"$",OFFSET(AN64,1,0,$R62-2)))</f>
        <v>0</v>
      </c>
      <c r="AO64" s="439" t="n">
        <f aca="false" t="array" ref="AO64:AO64">IF($R62=2,
         IF(AND(ACOMPANHAMENTO="PLE",ISNUMBER($F62)),
                SUMIF((OFFSET(CÁLCULO!$BS$15:$CS$15,$F62,0,OFFSET(ORÇAMENTO!$D$15,CRONO!$F62,0))),CRONO!AO$12,OFFSET(CÁLCULO!$AR$15:$BR$15,$F62,0,OFFSET(ORÇAMENTO!$D$15,CRONO!$F62,0)))
                +IF(AND($F64&lt;&gt;"",$F64&lt;&gt;0),
                        SUMIF(CÁLCULO!$BS$15:$CS$205,CRONO!AO$12,CÁLCULO!$AR$15:$BR$205)/(ORÇAMENTO!$X$15-_xlfn.single(CÁLCULO.TotalAdmLocal))*CRONO!$F64,
                        0),
                 AO63*$S62),
          SUMIF(OFFSET($S64,1,0,$R62-2),($M62+1)&amp;"$",OFFSET(AO64,1,0,$R62-2)))</f>
        <v>0</v>
      </c>
      <c r="AP64" s="439" t="n">
        <f aca="false" t="array" ref="AP64:AP64">IF($R62=2,
         IF(AND(ACOMPANHAMENTO="PLE",ISNUMBER($F62)),
                SUMIF((OFFSET(CÁLCULO!$BS$15:$CS$15,$F62,0,OFFSET(ORÇAMENTO!$D$15,CRONO!$F62,0))),CRONO!AP$12,OFFSET(CÁLCULO!$AR$15:$BR$15,$F62,0,OFFSET(ORÇAMENTO!$D$15,CRONO!$F62,0)))
                +IF(AND($F64&lt;&gt;"",$F64&lt;&gt;0),
                        SUMIF(CÁLCULO!$BS$15:$CS$205,CRONO!AP$12,CÁLCULO!$AR$15:$BR$205)/(ORÇAMENTO!$X$15-_xlfn.single(CÁLCULO.TotalAdmLocal))*CRONO!$F64,
                        0),
                 AP63*$S62),
          SUMIF(OFFSET($S64,1,0,$R62-2),($M62+1)&amp;"$",OFFSET(AP64,1,0,$R62-2)))</f>
        <v>0</v>
      </c>
      <c r="AQ64" s="439" t="n">
        <f aca="false" t="array" ref="AQ64:AQ64">IF($R62=2,
         IF(AND(ACOMPANHAMENTO="PLE",ISNUMBER($F62)),
                SUMIF((OFFSET(CÁLCULO!$BS$15:$CS$15,$F62,0,OFFSET(ORÇAMENTO!$D$15,CRONO!$F62,0))),CRONO!AQ$12,OFFSET(CÁLCULO!$AR$15:$BR$15,$F62,0,OFFSET(ORÇAMENTO!$D$15,CRONO!$F62,0)))
                +IF(AND($F64&lt;&gt;"",$F64&lt;&gt;0),
                        SUMIF(CÁLCULO!$BS$15:$CS$205,CRONO!AQ$12,CÁLCULO!$AR$15:$BR$205)/(ORÇAMENTO!$X$15-_xlfn.single(CÁLCULO.TotalAdmLocal))*CRONO!$F64,
                        0),
                 AQ63*$S62),
          SUMIF(OFFSET($S64,1,0,$R62-2),($M62+1)&amp;"$",OFFSET(AQ64,1,0,$R62-2)))</f>
        <v>0</v>
      </c>
      <c r="AR64" s="439" t="n">
        <f aca="false" t="array" ref="AR64:AR64">IF($R62=2,
         IF(AND(ACOMPANHAMENTO="PLE",ISNUMBER($F62)),
                SUMIF((OFFSET(CÁLCULO!$BS$15:$CS$15,$F62,0,OFFSET(ORÇAMENTO!$D$15,CRONO!$F62,0))),CRONO!AR$12,OFFSET(CÁLCULO!$AR$15:$BR$15,$F62,0,OFFSET(ORÇAMENTO!$D$15,CRONO!$F62,0)))
                +IF(AND($F64&lt;&gt;"",$F64&lt;&gt;0),
                        SUMIF(CÁLCULO!$BS$15:$CS$205,CRONO!AR$12,CÁLCULO!$AR$15:$BR$205)/(ORÇAMENTO!$X$15-_xlfn.single(CÁLCULO.TotalAdmLocal))*CRONO!$F64,
                        0),
                 AR63*$S62),
          SUMIF(OFFSET($S64,1,0,$R62-2),($M62+1)&amp;"$",OFFSET(AR64,1,0,$R62-2)))</f>
        <v>0</v>
      </c>
      <c r="AS64" s="439" t="n">
        <f aca="false" t="array" ref="AS64:AS64">IF($R62=2,
         IF(AND(ACOMPANHAMENTO="PLE",ISNUMBER($F62)),
                SUMIF((OFFSET(CÁLCULO!$BS$15:$CS$15,$F62,0,OFFSET(ORÇAMENTO!$D$15,CRONO!$F62,0))),CRONO!AS$12,OFFSET(CÁLCULO!$AR$15:$BR$15,$F62,0,OFFSET(ORÇAMENTO!$D$15,CRONO!$F62,0)))
                +IF(AND($F64&lt;&gt;"",$F64&lt;&gt;0),
                        SUMIF(CÁLCULO!$BS$15:$CS$205,CRONO!AS$12,CÁLCULO!$AR$15:$BR$205)/(ORÇAMENTO!$X$15-_xlfn.single(CÁLCULO.TotalAdmLocal))*CRONO!$F64,
                        0),
                 AS63*$S62),
          SUMIF(OFFSET($S64,1,0,$R62-2),($M62+1)&amp;"$",OFFSET(AS64,1,0,$R62-2)))</f>
        <v>0</v>
      </c>
      <c r="AT64" s="439" t="n">
        <f aca="false" t="array" ref="AT64:AT64">IF($R62=2,
         IF(AND(ACOMPANHAMENTO="PLE",ISNUMBER($F62)),
                SUMIF((OFFSET(CÁLCULO!$BS$15:$CS$15,$F62,0,OFFSET(ORÇAMENTO!$D$15,CRONO!$F62,0))),CRONO!AT$12,OFFSET(CÁLCULO!$AR$15:$BR$15,$F62,0,OFFSET(ORÇAMENTO!$D$15,CRONO!$F62,0)))
                +IF(AND($F64&lt;&gt;"",$F64&lt;&gt;0),
                        SUMIF(CÁLCULO!$BS$15:$CS$205,CRONO!AT$12,CÁLCULO!$AR$15:$BR$205)/(ORÇAMENTO!$X$15-_xlfn.single(CÁLCULO.TotalAdmLocal))*CRONO!$F64,
                        0),
                 AT63*$S62),
          SUMIF(OFFSET($S64,1,0,$R62-2),($M62+1)&amp;"$",OFFSET(AT64,1,0,$R62-2)))</f>
        <v>0</v>
      </c>
      <c r="AU64" s="439" t="n">
        <f aca="false" t="array" ref="AU64:AU64">IF($R62=2,
         IF(AND(ACOMPANHAMENTO="PLE",ISNUMBER($F62)),
                SUMIF((OFFSET(CÁLCULO!$BS$15:$CS$15,$F62,0,OFFSET(ORÇAMENTO!$D$15,CRONO!$F62,0))),CRONO!AU$12,OFFSET(CÁLCULO!$AR$15:$BR$15,$F62,0,OFFSET(ORÇAMENTO!$D$15,CRONO!$F62,0)))
                +IF(AND($F64&lt;&gt;"",$F64&lt;&gt;0),
                        SUMIF(CÁLCULO!$BS$15:$CS$205,CRONO!AU$12,CÁLCULO!$AR$15:$BR$205)/(ORÇAMENTO!$X$15-_xlfn.single(CÁLCULO.TotalAdmLocal))*CRONO!$F64,
                        0),
                 AU63*$S62),
          SUMIF(OFFSET($S64,1,0,$R62-2),($M62+1)&amp;"$",OFFSET(AU64,1,0,$R62-2)))</f>
        <v>0</v>
      </c>
      <c r="AV64" s="439" t="n">
        <f aca="false" t="array" ref="AV64:AV64">IF($R62=2,
         IF(AND(ACOMPANHAMENTO="PLE",ISNUMBER($F62)),
                SUMIF((OFFSET(CÁLCULO!$BS$15:$CS$15,$F62,0,OFFSET(ORÇAMENTO!$D$15,CRONO!$F62,0))),CRONO!AV$12,OFFSET(CÁLCULO!$AR$15:$BR$15,$F62,0,OFFSET(ORÇAMENTO!$D$15,CRONO!$F62,0)))
                +IF(AND($F64&lt;&gt;"",$F64&lt;&gt;0),
                        SUMIF(CÁLCULO!$BS$15:$CS$205,CRONO!AV$12,CÁLCULO!$AR$15:$BR$205)/(ORÇAMENTO!$X$15-_xlfn.single(CÁLCULO.TotalAdmLocal))*CRONO!$F64,
                        0),
                 AV63*$S62),
          SUMIF(OFFSET($S64,1,0,$R62-2),($M62+1)&amp;"$",OFFSET(AV64,1,0,$R62-2)))</f>
        <v>0</v>
      </c>
      <c r="AW64" s="439" t="n">
        <f aca="false" t="array" ref="AW64:AW64">IF($R62=2,
         IF(AND(ACOMPANHAMENTO="PLE",ISNUMBER($F62)),
                SUMIF((OFFSET(CÁLCULO!$BS$15:$CS$15,$F62,0,OFFSET(ORÇAMENTO!$D$15,CRONO!$F62,0))),CRONO!AW$12,OFFSET(CÁLCULO!$AR$15:$BR$15,$F62,0,OFFSET(ORÇAMENTO!$D$15,CRONO!$F62,0)))
                +IF(AND($F64&lt;&gt;"",$F64&lt;&gt;0),
                        SUMIF(CÁLCULO!$BS$15:$CS$205,CRONO!AW$12,CÁLCULO!$AR$15:$BR$205)/(ORÇAMENTO!$X$15-_xlfn.single(CÁLCULO.TotalAdmLocal))*CRONO!$F64,
                        0),
                 AW63*$S62),
          SUMIF(OFFSET($S64,1,0,$R62-2),($M62+1)&amp;"$",OFFSET(AW64,1,0,$R62-2)))</f>
        <v>0</v>
      </c>
      <c r="AX64" s="439" t="n">
        <f aca="false" t="array" ref="AX64:AX64">IF($R62=2,
         IF(AND(ACOMPANHAMENTO="PLE",ISNUMBER($F62)),
                SUMIF((OFFSET(CÁLCULO!$BS$15:$CS$15,$F62,0,OFFSET(ORÇAMENTO!$D$15,CRONO!$F62,0))),CRONO!AX$12,OFFSET(CÁLCULO!$AR$15:$BR$15,$F62,0,OFFSET(ORÇAMENTO!$D$15,CRONO!$F62,0)))
                +IF(AND($F64&lt;&gt;"",$F64&lt;&gt;0),
                        SUMIF(CÁLCULO!$BS$15:$CS$205,CRONO!AX$12,CÁLCULO!$AR$15:$BR$205)/(ORÇAMENTO!$X$15-_xlfn.single(CÁLCULO.TotalAdmLocal))*CRONO!$F64,
                        0),
                 AX63*$S62),
          SUMIF(OFFSET($S64,1,0,$R62-2),($M62+1)&amp;"$",OFFSET(AX64,1,0,$R62-2)))</f>
        <v>0</v>
      </c>
      <c r="AY64" s="439" t="n">
        <f aca="false" t="array" ref="AY64:AY64">IF($R62=2,
         IF(AND(ACOMPANHAMENTO="PLE",ISNUMBER($F62)),
                SUMIF((OFFSET(CÁLCULO!$BS$15:$CS$15,$F62,0,OFFSET(ORÇAMENTO!$D$15,CRONO!$F62,0))),CRONO!AY$12,OFFSET(CÁLCULO!$AR$15:$BR$15,$F62,0,OFFSET(ORÇAMENTO!$D$15,CRONO!$F62,0)))
                +IF(AND($F64&lt;&gt;"",$F64&lt;&gt;0),
                        SUMIF(CÁLCULO!$BS$15:$CS$205,CRONO!AY$12,CÁLCULO!$AR$15:$BR$205)/(ORÇAMENTO!$X$15-_xlfn.single(CÁLCULO.TotalAdmLocal))*CRONO!$F64,
                        0),
                 AY63*$S62),
          SUMIF(OFFSET($S64,1,0,$R62-2),($M62+1)&amp;"$",OFFSET(AY64,1,0,$R62-2)))</f>
        <v>0</v>
      </c>
      <c r="AZ64" s="439" t="n">
        <f aca="false" t="array" ref="AZ64:AZ64">IF($R62=2,
         IF(AND(ACOMPANHAMENTO="PLE",ISNUMBER($F62)),
                SUMIF((OFFSET(CÁLCULO!$BS$15:$CS$15,$F62,0,OFFSET(ORÇAMENTO!$D$15,CRONO!$F62,0))),CRONO!AZ$12,OFFSET(CÁLCULO!$AR$15:$BR$15,$F62,0,OFFSET(ORÇAMENTO!$D$15,CRONO!$F62,0)))
                +IF(AND($F64&lt;&gt;"",$F64&lt;&gt;0),
                        SUMIF(CÁLCULO!$BS$15:$CS$205,CRONO!AZ$12,CÁLCULO!$AR$15:$BR$205)/(ORÇAMENTO!$X$15-_xlfn.single(CÁLCULO.TotalAdmLocal))*CRONO!$F64,
                        0),
                 AZ63*$S62),
          SUMIF(OFFSET($S64,1,0,$R62-2),($M62+1)&amp;"$",OFFSET(AZ64,1,0,$R62-2)))</f>
        <v>0</v>
      </c>
      <c r="BA64" s="439" t="n">
        <f aca="false" t="array" ref="BA64:BA64">IF($R62=2,
         IF(AND(ACOMPANHAMENTO="PLE",ISNUMBER($F62)),
                SUMIF((OFFSET(CÁLCULO!$BS$15:$CS$15,$F62,0,OFFSET(ORÇAMENTO!$D$15,CRONO!$F62,0))),CRONO!BA$12,OFFSET(CÁLCULO!$AR$15:$BR$15,$F62,0,OFFSET(ORÇAMENTO!$D$15,CRONO!$F62,0)))
                +IF(AND($F64&lt;&gt;"",$F64&lt;&gt;0),
                        SUMIF(CÁLCULO!$BS$15:$CS$205,CRONO!BA$12,CÁLCULO!$AR$15:$BR$205)/(ORÇAMENTO!$X$15-_xlfn.single(CÁLCULO.TotalAdmLocal))*CRONO!$F64,
                        0),
                 BA63*$S62),
          SUMIF(OFFSET($S64,1,0,$R62-2),($M62+1)&amp;"$",OFFSET(BA64,1,0,$R62-2)))</f>
        <v>0</v>
      </c>
      <c r="BB64" s="439" t="n">
        <f aca="false" t="array" ref="BB64:BB64">IF($R62=2,
         IF(AND(ACOMPANHAMENTO="PLE",ISNUMBER($F62)),
                SUMIF((OFFSET(CÁLCULO!$BS$15:$CS$15,$F62,0,OFFSET(ORÇAMENTO!$D$15,CRONO!$F62,0))),CRONO!BB$12,OFFSET(CÁLCULO!$AR$15:$BR$15,$F62,0,OFFSET(ORÇAMENTO!$D$15,CRONO!$F62,0)))
                +IF(AND($F64&lt;&gt;"",$F64&lt;&gt;0),
                        SUMIF(CÁLCULO!$BS$15:$CS$205,CRONO!BB$12,CÁLCULO!$AR$15:$BR$205)/(ORÇAMENTO!$X$15-_xlfn.single(CÁLCULO.TotalAdmLocal))*CRONO!$F64,
                        0),
                 BB63*$S62),
          SUMIF(OFFSET($S64,1,0,$R62-2),($M62+1)&amp;"$",OFFSET(BB64,1,0,$R62-2)))</f>
        <v>0</v>
      </c>
      <c r="BC64" s="439" t="n">
        <f aca="false" t="array" ref="BC64:BC64">IF($R62=2,
         IF(AND(ACOMPANHAMENTO="PLE",ISNUMBER($F62)),
                SUMIF((OFFSET(CÁLCULO!$BS$15:$CS$15,$F62,0,OFFSET(ORÇAMENTO!$D$15,CRONO!$F62,0))),CRONO!BC$12,OFFSET(CÁLCULO!$AR$15:$BR$15,$F62,0,OFFSET(ORÇAMENTO!$D$15,CRONO!$F62,0)))
                +IF(AND($F64&lt;&gt;"",$F64&lt;&gt;0),
                        SUMIF(CÁLCULO!$BS$15:$CS$205,CRONO!BC$12,CÁLCULO!$AR$15:$BR$205)/(ORÇAMENTO!$X$15-_xlfn.single(CÁLCULO.TotalAdmLocal))*CRONO!$F64,
                        0),
                 BC63*$S62),
          SUMIF(OFFSET($S64,1,0,$R62-2),($M62+1)&amp;"$",OFFSET(BC64,1,0,$R62-2)))</f>
        <v>0</v>
      </c>
      <c r="BD64" s="439" t="n">
        <f aca="false" t="array" ref="BD64:BD64">IF($R62=2,
         IF(AND(ACOMPANHAMENTO="PLE",ISNUMBER($F62)),
                SUMIF((OFFSET(CÁLCULO!$BS$15:$CS$15,$F62,0,OFFSET(ORÇAMENTO!$D$15,CRONO!$F62,0))),CRONO!BD$12,OFFSET(CÁLCULO!$AR$15:$BR$15,$F62,0,OFFSET(ORÇAMENTO!$D$15,CRONO!$F62,0)))
                +IF(AND($F64&lt;&gt;"",$F64&lt;&gt;0),
                        SUMIF(CÁLCULO!$BS$15:$CS$205,CRONO!BD$12,CÁLCULO!$AR$15:$BR$205)/(ORÇAMENTO!$X$15-_xlfn.single(CÁLCULO.TotalAdmLocal))*CRONO!$F64,
                        0),
                 BD63*$S62),
          SUMIF(OFFSET($S64,1,0,$R62-2),($M62+1)&amp;"$",OFFSET(BD64,1,0,$R62-2)))</f>
        <v>0</v>
      </c>
      <c r="BE64" s="430"/>
    </row>
    <row r="65" customFormat="false" ht="12.75" hidden="true" customHeight="false" outlineLevel="0" collapsed="false">
      <c r="A65" s="382" t="str">
        <f aca="false">IF($M65&gt;1,_xlfn.CONCAT($I65," ",$J65),"")</f>
        <v>1.17. REVESTIMENTOS</v>
      </c>
      <c r="B65" s="419" t="n">
        <f aca="true">OFFSET(B65,-3,0)+1</f>
        <v>18</v>
      </c>
      <c r="C65" s="419" t="n">
        <f aca="true">IF($R65&lt;&gt;2,0,IF($S65=0,1,IF(F66&gt;0,OFFSET(QCI!$M$13,SUBSTITUTE(F66,".",""),0),OFFSET(ORÇAMENTO!$AA$15,CRONO!$F65,0))/$S65))</f>
        <v>1</v>
      </c>
      <c r="D65" s="419" t="n">
        <f aca="true">IF($R65&lt;&gt;2,0,IF($S65=0,1,IF(F66&gt;0,OFFSET(QCI!$N$13,SUBSTITUTE(F66,".",""),0),OFFSET(ORÇAMENTO!$AB$15,CRONO!$F65,0))/$S65))</f>
        <v>1</v>
      </c>
      <c r="E65" s="422" t="e">
        <f aca="false" t="array" ref="E65:E65">IF(AND($R65=2,ACOMPANHAMENTO="BM"),ROUND(E66,4),E67/$S65)</f>
        <v>#DIV/0!</v>
      </c>
      <c r="F65" s="419" t="n">
        <f aca="true">IF(B65&lt;=ORÇAMENTO.MáximoListaCrono,MATCH(B65,ORÇAMENTO.ListaCrono,0),NA())</f>
        <v>61</v>
      </c>
      <c r="G65" s="419" t="str">
        <f aca="false">IF(AND($F66&lt;&gt;-1,$S65&gt;0),"F","")</f>
        <v/>
      </c>
      <c r="H65" s="423" t="str">
        <f aca="false" t="array" ref="H65:H65">IF(OR(S65=0,S65=""),"Linha",IF(AND(OR(ACOMPANHAMENTO="PLE",$R65&lt;&gt;2),$F66=0),"Linha",ROUND(1-SUM(U65:BE65),4)))</f>
        <v>Linha</v>
      </c>
      <c r="I65" s="424" t="str">
        <f aca="true">IF($F66=0,OFFSET(ORÇAMENTO!O$15,$F65,0),IF($F66&lt;&gt;-1,OFFSET(QCI!$D$13,$F66,0),""))</f>
        <v>1.17.</v>
      </c>
      <c r="J65" s="425" t="str">
        <f aca="true">IF($F66=0,OFFSET(ORÇAMENTO!R$15,$F65,0),IF($F66&lt;&gt;-1,OFFSET(QCI!$G$13,$F66,0),""))</f>
        <v>REVESTIMENTOS</v>
      </c>
      <c r="K65" s="425"/>
      <c r="L65" s="425"/>
      <c r="M65" s="426" t="n">
        <f aca="true">IF($F66=0,OFFSET(ORÇAMENTO!C$15,$F65,0),1)</f>
        <v>2</v>
      </c>
      <c r="N65" s="427" t="n">
        <f aca="true">IF($F66=-1,0,IF(N$13&lt;=$M65,IF(ISERROR(MATCH(N$13,OFFSET($M65,1,0,ROW($M$182)-ROW($M65)-1),0)),ROW($M$182)-ROW($M65)-1,MATCH(N$13,OFFSET($M65,1,0,ROW($M$182)-ROW($M65)-1),0)-1),0))</f>
        <v>116</v>
      </c>
      <c r="O65" s="427" t="n">
        <f aca="true">IF($F66=-1,0,IF(O$13&lt;=$M65,IF(ISERROR(MATCH(O$13,OFFSET($M65,1,0,ROW($M$182)-ROW($M65)-1),0)),ROW($M$182)-ROW($M65)-1,MATCH(O$13,OFFSET($M65,1,0,ROW($M$182)-ROW($M65)-1),0)-1),0))</f>
        <v>2</v>
      </c>
      <c r="P65" s="427" t="n">
        <f aca="true">IF($F66=-1,0,IF(P$13&lt;=$M65,IF(ISERROR(MATCH(P$13,OFFSET($M65,1,0,ROW($M$182)-ROW($M65)-1),0)),ROW($M$182)-ROW($M65)-1,MATCH(P$13,OFFSET($M65,1,0,ROW($M$182)-ROW($M65)-1),0)-1),0))</f>
        <v>0</v>
      </c>
      <c r="Q65" s="427" t="n">
        <f aca="true">IF($F66=-1,0,IF(Q$13&lt;=$M65,IF(ISERROR(MATCH(Q$13,OFFSET($M65,1,0,ROW($M$182)-ROW($M65)-1),0)),ROW($M$182)-ROW($M65)-1,MATCH(Q$13,OFFSET($M65,1,0,ROW($M$182)-ROW($M65)-1),0)-1),0))</f>
        <v>0</v>
      </c>
      <c r="R65" s="427" t="n">
        <f aca="true">MIN(OFFSET(M65,0,1,,M65))</f>
        <v>2</v>
      </c>
      <c r="S65" s="428" t="n">
        <f aca="true">IF($F66=0,OFFSET(ORÇAMENTO!X$15,$F65,0),IF($F66&lt;&gt;-1,OFFSET(QCI!$O$13,$F66,0),""))</f>
        <v>0</v>
      </c>
      <c r="T65" s="429" t="s">
        <v>996</v>
      </c>
      <c r="U65" s="422" t="e">
        <f aca="false" t="array" ref="U65:U65">IF(AND($R65=2,ACOMPANHAMENTO="BM"),ROUND(U66,4),U67/$S65)</f>
        <v>#DIV/0!</v>
      </c>
      <c r="V65" s="422" t="e">
        <f aca="false" t="array" ref="V65:V65">IF(AND($R65=2,ACOMPANHAMENTO="BM"),ROUND(V66,4),V67/$S65)</f>
        <v>#DIV/0!</v>
      </c>
      <c r="W65" s="422" t="e">
        <f aca="false" t="array" ref="W65:W65">IF(AND($R65=2,ACOMPANHAMENTO="BM"),ROUND(W66,4),W67/$S65)</f>
        <v>#DIV/0!</v>
      </c>
      <c r="X65" s="422" t="e">
        <f aca="false" t="array" ref="X65:X65">IF(AND($R65=2,ACOMPANHAMENTO="BM"),ROUND(X66,4),X67/$S65)</f>
        <v>#DIV/0!</v>
      </c>
      <c r="Y65" s="422" t="e">
        <f aca="false" t="array" ref="Y65:Y65">IF(AND($R65=2,ACOMPANHAMENTO="BM"),ROUND(Y66,4),Y67/$S65)</f>
        <v>#DIV/0!</v>
      </c>
      <c r="Z65" s="422" t="e">
        <f aca="false" t="array" ref="Z65:Z65">IF(AND($R65=2,ACOMPANHAMENTO="BM"),ROUND(Z66,4),Z67/$S65)</f>
        <v>#DIV/0!</v>
      </c>
      <c r="AA65" s="422" t="e">
        <f aca="false" t="array" ref="AA65:AA65">IF(AND($R65=2,ACOMPANHAMENTO="BM"),ROUND(AA66,4),AA67/$S65)</f>
        <v>#DIV/0!</v>
      </c>
      <c r="AB65" s="422" t="e">
        <f aca="false" t="array" ref="AB65:AB65">IF(AND($R65=2,ACOMPANHAMENTO="BM"),ROUND(AB66,4),AB67/$S65)</f>
        <v>#DIV/0!</v>
      </c>
      <c r="AC65" s="422" t="e">
        <f aca="false" t="array" ref="AC65:AC65">IF(AND($R65=2,ACOMPANHAMENTO="BM"),ROUND(AC66,4),AC67/$S65)</f>
        <v>#DIV/0!</v>
      </c>
      <c r="AD65" s="422" t="e">
        <f aca="false" t="array" ref="AD65:AD65">IF(AND($R65=2,ACOMPANHAMENTO="BM"),ROUND(AD66,4),AD67/$S65)</f>
        <v>#DIV/0!</v>
      </c>
      <c r="AE65" s="422" t="e">
        <f aca="false" t="array" ref="AE65:AE65">IF(AND($R65=2,ACOMPANHAMENTO="BM"),ROUND(AE66,4),AE67/$S65)</f>
        <v>#DIV/0!</v>
      </c>
      <c r="AF65" s="422" t="e">
        <f aca="false" t="array" ref="AF65:AF65">IF(AND($R65=2,ACOMPANHAMENTO="BM"),ROUND(AF66,4),AF67/$S65)</f>
        <v>#DIV/0!</v>
      </c>
      <c r="AG65" s="422" t="e">
        <f aca="false" t="array" ref="AG65:AG65">IF(AND($R65=2,ACOMPANHAMENTO="BM"),ROUND(AG66,4),AG67/$S65)</f>
        <v>#DIV/0!</v>
      </c>
      <c r="AH65" s="422" t="e">
        <f aca="false" t="array" ref="AH65:AH65">IF(AND($R65=2,ACOMPANHAMENTO="BM"),ROUND(AH66,4),AH67/$S65)</f>
        <v>#DIV/0!</v>
      </c>
      <c r="AI65" s="422" t="e">
        <f aca="false" t="array" ref="AI65:AI65">IF(AND($R65=2,ACOMPANHAMENTO="BM"),ROUND(AI66,4),AI67/$S65)</f>
        <v>#DIV/0!</v>
      </c>
      <c r="AJ65" s="422" t="e">
        <f aca="false" t="array" ref="AJ65:AJ65">IF(AND($R65=2,ACOMPANHAMENTO="BM"),ROUND(AJ66,4),AJ67/$S65)</f>
        <v>#DIV/0!</v>
      </c>
      <c r="AK65" s="422" t="e">
        <f aca="false" t="array" ref="AK65:AK65">IF(AND($R65=2,ACOMPANHAMENTO="BM"),ROUND(AK66,4),AK67/$S65)</f>
        <v>#DIV/0!</v>
      </c>
      <c r="AL65" s="422" t="e">
        <f aca="false" t="array" ref="AL65:AL65">IF(AND($R65=2,ACOMPANHAMENTO="BM"),ROUND(AL66,4),AL67/$S65)</f>
        <v>#DIV/0!</v>
      </c>
      <c r="AM65" s="422" t="e">
        <f aca="false" t="array" ref="AM65:AM65">IF(AND($R65=2,ACOMPANHAMENTO="BM"),ROUND(AM66,4),AM67/$S65)</f>
        <v>#DIV/0!</v>
      </c>
      <c r="AN65" s="422" t="e">
        <f aca="false" t="array" ref="AN65:AN65">IF(AND($R65=2,ACOMPANHAMENTO="BM"),ROUND(AN66,4),AN67/$S65)</f>
        <v>#DIV/0!</v>
      </c>
      <c r="AO65" s="422" t="e">
        <f aca="false" t="array" ref="AO65:AO65">IF(AND($R65=2,ACOMPANHAMENTO="BM"),ROUND(AO66,4),AO67/$S65)</f>
        <v>#DIV/0!</v>
      </c>
      <c r="AP65" s="422" t="e">
        <f aca="false" t="array" ref="AP65:AP65">IF(AND($R65=2,ACOMPANHAMENTO="BM"),ROUND(AP66,4),AP67/$S65)</f>
        <v>#DIV/0!</v>
      </c>
      <c r="AQ65" s="422" t="e">
        <f aca="false" t="array" ref="AQ65:AQ65">IF(AND($R65=2,ACOMPANHAMENTO="BM"),ROUND(AQ66,4),AQ67/$S65)</f>
        <v>#DIV/0!</v>
      </c>
      <c r="AR65" s="422" t="e">
        <f aca="false" t="array" ref="AR65:AR65">IF(AND($R65=2,ACOMPANHAMENTO="BM"),ROUND(AR66,4),AR67/$S65)</f>
        <v>#DIV/0!</v>
      </c>
      <c r="AS65" s="422" t="e">
        <f aca="false" t="array" ref="AS65:AS65">IF(AND($R65=2,ACOMPANHAMENTO="BM"),ROUND(AS66,4),AS67/$S65)</f>
        <v>#DIV/0!</v>
      </c>
      <c r="AT65" s="422" t="e">
        <f aca="false" t="array" ref="AT65:AT65">IF(AND($R65=2,ACOMPANHAMENTO="BM"),ROUND(AT66,4),AT67/$S65)</f>
        <v>#DIV/0!</v>
      </c>
      <c r="AU65" s="422" t="e">
        <f aca="false" t="array" ref="AU65:AU65">IF(AND($R65=2,ACOMPANHAMENTO="BM"),ROUND(AU66,4),AU67/$S65)</f>
        <v>#DIV/0!</v>
      </c>
      <c r="AV65" s="422" t="e">
        <f aca="false" t="array" ref="AV65:AV65">IF(AND($R65=2,ACOMPANHAMENTO="BM"),ROUND(AV66,4),AV67/$S65)</f>
        <v>#DIV/0!</v>
      </c>
      <c r="AW65" s="422" t="e">
        <f aca="false" t="array" ref="AW65:AW65">IF(AND($R65=2,ACOMPANHAMENTO="BM"),ROUND(AW66,4),AW67/$S65)</f>
        <v>#DIV/0!</v>
      </c>
      <c r="AX65" s="422" t="e">
        <f aca="false" t="array" ref="AX65:AX65">IF(AND($R65=2,ACOMPANHAMENTO="BM"),ROUND(AX66,4),AX67/$S65)</f>
        <v>#DIV/0!</v>
      </c>
      <c r="AY65" s="422" t="e">
        <f aca="false" t="array" ref="AY65:AY65">IF(AND($R65=2,ACOMPANHAMENTO="BM"),ROUND(AY66,4),AY67/$S65)</f>
        <v>#DIV/0!</v>
      </c>
      <c r="AZ65" s="422" t="e">
        <f aca="false" t="array" ref="AZ65:AZ65">IF(AND($R65=2,ACOMPANHAMENTO="BM"),ROUND(AZ66,4),AZ67/$S65)</f>
        <v>#DIV/0!</v>
      </c>
      <c r="BA65" s="422" t="e">
        <f aca="false" t="array" ref="BA65:BA65">IF(AND($R65=2,ACOMPANHAMENTO="BM"),ROUND(BA66,4),BA67/$S65)</f>
        <v>#DIV/0!</v>
      </c>
      <c r="BB65" s="422" t="e">
        <f aca="false" t="array" ref="BB65:BB65">IF(AND($R65=2,ACOMPANHAMENTO="BM"),ROUND(BB66,4),BB67/$S65)</f>
        <v>#DIV/0!</v>
      </c>
      <c r="BC65" s="422" t="e">
        <f aca="false" t="array" ref="BC65:BC65">IF(AND($R65=2,ACOMPANHAMENTO="BM"),ROUND(BC66,4),BC67/$S65)</f>
        <v>#DIV/0!</v>
      </c>
      <c r="BD65" s="422" t="e">
        <f aca="false" t="array" ref="BD65:BD65">IF(AND($R65=2,ACOMPANHAMENTO="BM"),ROUND(BD66,4),BD67/$S65)</f>
        <v>#DIV/0!</v>
      </c>
      <c r="BE65" s="430"/>
    </row>
    <row r="66" customFormat="false" ht="12.75" hidden="true" customHeight="true" outlineLevel="0" collapsed="false">
      <c r="E66" s="431"/>
      <c r="F66" s="419" t="n">
        <f aca="true">IF(ISERROR(F65),IF(1+COUNTIF($M$13:OFFSET(M65,-1,0),1)&lt;=MAX(QCI!$D$13:$D$15),1+COUNTIF($M$13:OFFSET(M65,-1,0),1),-1),0)</f>
        <v>0</v>
      </c>
      <c r="G66" s="419" t="str">
        <f aca="true" t="array" ref="G66:G66">IF(ACOMPANHAMENTO="BM",OFFSET(G66,-1,0),"")</f>
        <v/>
      </c>
      <c r="H66" s="432" t="str">
        <f aca="false" t="array" ref="H66:H66">IF(OR(S65=0,S65=""),"vazia",IF(AND(OR(ACOMPANHAMENTO="PLE",$R65&lt;&gt;2),$F66=0),"calculada","--&gt;"))</f>
        <v>vazia</v>
      </c>
      <c r="I66" s="433"/>
      <c r="J66" s="434" t="str">
        <f aca="false">IF(AND(H65&lt;&gt;0,ISNUMBER(H65)),"PREENCHA ESTA LINHA --&gt;","")</f>
        <v/>
      </c>
      <c r="K66" s="434"/>
      <c r="L66" s="434"/>
      <c r="M66" s="435"/>
      <c r="N66" s="435"/>
      <c r="O66" s="435"/>
      <c r="P66" s="435"/>
      <c r="Q66" s="435"/>
      <c r="R66" s="435"/>
      <c r="S66" s="436"/>
      <c r="T66" s="437"/>
      <c r="U66" s="431"/>
      <c r="V66" s="431"/>
      <c r="W66" s="431"/>
      <c r="X66" s="431"/>
      <c r="Y66" s="431"/>
      <c r="Z66" s="431"/>
      <c r="AA66" s="431"/>
      <c r="AB66" s="431"/>
      <c r="AC66" s="431"/>
      <c r="AD66" s="431"/>
      <c r="AE66" s="431"/>
      <c r="AF66" s="431"/>
      <c r="AG66" s="431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1"/>
      <c r="AT66" s="431"/>
      <c r="AU66" s="431"/>
      <c r="AV66" s="431"/>
      <c r="AW66" s="431"/>
      <c r="AX66" s="431"/>
      <c r="AY66" s="431"/>
      <c r="AZ66" s="431"/>
      <c r="BA66" s="431"/>
      <c r="BB66" s="431"/>
      <c r="BC66" s="431"/>
      <c r="BD66" s="431"/>
      <c r="BE66" s="430"/>
    </row>
    <row r="67" customFormat="false" ht="12.75" hidden="true" customHeight="true" outlineLevel="0" collapsed="false">
      <c r="D67" s="438"/>
      <c r="E67" s="439" t="n">
        <f aca="false" t="array" ref="E67:E67">IF($R65=2,
         IF(AND(ACOMPANHAMENTO="PLE",ISNUMBER($F65)),
                SUMIF((OFFSET(CÁLCULO!$BS$15:$CS$15,$F65,0,OFFSET(ORÇAMENTO!$D$15,CRONO!$F65,0))),CRONO!E$12,OFFSET(CÁLCULO!$AR$15:$BR$15,$F65,0,OFFSET(ORÇAMENTO!$D$15,CRONO!$F65,0)))
                +IF(AND($F67&lt;&gt;"",$F67&lt;&gt;0),
                        SUMIF(CÁLCULO!$BS$15:$CS$205,CRONO!E$12,CÁLCULO!$AR$15:$BR$205)/(ORÇAMENTO!$X$15-_xlfn.single(CÁLCULO.TotalAdmLocal))*CRONO!$F67,
                        0),
                 E66*$S65),
          SUMIF(OFFSET($S67,1,0,$R65-2),($M65+1)&amp;"$",OFFSET(E67,1,0,$R65-2)))</f>
        <v>0</v>
      </c>
      <c r="F67" s="419" t="str">
        <f aca="true">IF(OR($R65&lt;&gt;2,AUTOEVENTO&lt;&gt;"manual",$F66&gt;0),"",
        IF(Import.TipoArredondamento="Tradicional",
              SUMIF(OFFSET(CÁLCULO!$M$15,CRONO!$F65,0,OFFSET(ORÇAMENTO!$D$15,CRONO!$F65,0)),1,OFFSET(ORÇAMENTO!$X$15,CRONO!$F65,0,OFFSET(ORÇAMENTO!$D$15,CRONO!$F65,0))),
              0))</f>
        <v/>
      </c>
      <c r="H67" s="440"/>
      <c r="S67" s="441" t="str">
        <f aca="false">M65&amp;"$"</f>
        <v>2$</v>
      </c>
      <c r="T67" s="442"/>
      <c r="U67" s="439" t="n">
        <f aca="false" t="array" ref="U67:U67">IF($R65=2,
         IF(AND(ACOMPANHAMENTO="PLE",ISNUMBER($F65)),
                SUMIF((OFFSET(CÁLCULO!$BS$15:$CS$15,$F65,0,OFFSET(ORÇAMENTO!$D$15,CRONO!$F65,0))),CRONO!U$12,OFFSET(CÁLCULO!$AR$15:$BR$15,$F65,0,OFFSET(ORÇAMENTO!$D$15,CRONO!$F65,0)))
                +IF(AND($F67&lt;&gt;"",$F67&lt;&gt;0),
                        SUMIF(CÁLCULO!$BS$15:$CS$205,CRONO!U$12,CÁLCULO!$AR$15:$BR$205)/(ORÇAMENTO!$X$15-_xlfn.single(CÁLCULO.TotalAdmLocal))*CRONO!$F67,
                        0),
                 U66*$S65),
          SUMIF(OFFSET($S67,1,0,$R65-2),($M65+1)&amp;"$",OFFSET(U67,1,0,$R65-2)))</f>
        <v>0</v>
      </c>
      <c r="V67" s="439" t="n">
        <f aca="false" t="array" ref="V67:V67">IF($R65=2,
         IF(AND(ACOMPANHAMENTO="PLE",ISNUMBER($F65)),
                SUMIF((OFFSET(CÁLCULO!$BS$15:$CS$15,$F65,0,OFFSET(ORÇAMENTO!$D$15,CRONO!$F65,0))),CRONO!V$12,OFFSET(CÁLCULO!$AR$15:$BR$15,$F65,0,OFFSET(ORÇAMENTO!$D$15,CRONO!$F65,0)))
                +IF(AND($F67&lt;&gt;"",$F67&lt;&gt;0),
                        SUMIF(CÁLCULO!$BS$15:$CS$205,CRONO!V$12,CÁLCULO!$AR$15:$BR$205)/(ORÇAMENTO!$X$15-_xlfn.single(CÁLCULO.TotalAdmLocal))*CRONO!$F67,
                        0),
                 V66*$S65),
          SUMIF(OFFSET($S67,1,0,$R65-2),($M65+1)&amp;"$",OFFSET(V67,1,0,$R65-2)))</f>
        <v>0</v>
      </c>
      <c r="W67" s="439" t="n">
        <f aca="false" t="array" ref="W67:W67">IF($R65=2,
         IF(AND(ACOMPANHAMENTO="PLE",ISNUMBER($F65)),
                SUMIF((OFFSET(CÁLCULO!$BS$15:$CS$15,$F65,0,OFFSET(ORÇAMENTO!$D$15,CRONO!$F65,0))),CRONO!W$12,OFFSET(CÁLCULO!$AR$15:$BR$15,$F65,0,OFFSET(ORÇAMENTO!$D$15,CRONO!$F65,0)))
                +IF(AND($F67&lt;&gt;"",$F67&lt;&gt;0),
                        SUMIF(CÁLCULO!$BS$15:$CS$205,CRONO!W$12,CÁLCULO!$AR$15:$BR$205)/(ORÇAMENTO!$X$15-_xlfn.single(CÁLCULO.TotalAdmLocal))*CRONO!$F67,
                        0),
                 W66*$S65),
          SUMIF(OFFSET($S67,1,0,$R65-2),($M65+1)&amp;"$",OFFSET(W67,1,0,$R65-2)))</f>
        <v>0</v>
      </c>
      <c r="X67" s="439" t="n">
        <f aca="false" t="array" ref="X67:X67">IF($R65=2,
         IF(AND(ACOMPANHAMENTO="PLE",ISNUMBER($F65)),
                SUMIF((OFFSET(CÁLCULO!$BS$15:$CS$15,$F65,0,OFFSET(ORÇAMENTO!$D$15,CRONO!$F65,0))),CRONO!X$12,OFFSET(CÁLCULO!$AR$15:$BR$15,$F65,0,OFFSET(ORÇAMENTO!$D$15,CRONO!$F65,0)))
                +IF(AND($F67&lt;&gt;"",$F67&lt;&gt;0),
                        SUMIF(CÁLCULO!$BS$15:$CS$205,CRONO!X$12,CÁLCULO!$AR$15:$BR$205)/(ORÇAMENTO!$X$15-_xlfn.single(CÁLCULO.TotalAdmLocal))*CRONO!$F67,
                        0),
                 X66*$S65),
          SUMIF(OFFSET($S67,1,0,$R65-2),($M65+1)&amp;"$",OFFSET(X67,1,0,$R65-2)))</f>
        <v>0</v>
      </c>
      <c r="Y67" s="439" t="n">
        <f aca="false" t="array" ref="Y67:Y67">IF($R65=2,
         IF(AND(ACOMPANHAMENTO="PLE",ISNUMBER($F65)),
                SUMIF((OFFSET(CÁLCULO!$BS$15:$CS$15,$F65,0,OFFSET(ORÇAMENTO!$D$15,CRONO!$F65,0))),CRONO!Y$12,OFFSET(CÁLCULO!$AR$15:$BR$15,$F65,0,OFFSET(ORÇAMENTO!$D$15,CRONO!$F65,0)))
                +IF(AND($F67&lt;&gt;"",$F67&lt;&gt;0),
                        SUMIF(CÁLCULO!$BS$15:$CS$205,CRONO!Y$12,CÁLCULO!$AR$15:$BR$205)/(ORÇAMENTO!$X$15-_xlfn.single(CÁLCULO.TotalAdmLocal))*CRONO!$F67,
                        0),
                 Y66*$S65),
          SUMIF(OFFSET($S67,1,0,$R65-2),($M65+1)&amp;"$",OFFSET(Y67,1,0,$R65-2)))</f>
        <v>0</v>
      </c>
      <c r="Z67" s="439" t="n">
        <f aca="false" t="array" ref="Z67:Z67">IF($R65=2,
         IF(AND(ACOMPANHAMENTO="PLE",ISNUMBER($F65)),
                SUMIF((OFFSET(CÁLCULO!$BS$15:$CS$15,$F65,0,OFFSET(ORÇAMENTO!$D$15,CRONO!$F65,0))),CRONO!Z$12,OFFSET(CÁLCULO!$AR$15:$BR$15,$F65,0,OFFSET(ORÇAMENTO!$D$15,CRONO!$F65,0)))
                +IF(AND($F67&lt;&gt;"",$F67&lt;&gt;0),
                        SUMIF(CÁLCULO!$BS$15:$CS$205,CRONO!Z$12,CÁLCULO!$AR$15:$BR$205)/(ORÇAMENTO!$X$15-_xlfn.single(CÁLCULO.TotalAdmLocal))*CRONO!$F67,
                        0),
                 Z66*$S65),
          SUMIF(OFFSET($S67,1,0,$R65-2),($M65+1)&amp;"$",OFFSET(Z67,1,0,$R65-2)))</f>
        <v>0</v>
      </c>
      <c r="AA67" s="439" t="n">
        <f aca="false" t="array" ref="AA67:AA67">IF($R65=2,
         IF(AND(ACOMPANHAMENTO="PLE",ISNUMBER($F65)),
                SUMIF((OFFSET(CÁLCULO!$BS$15:$CS$15,$F65,0,OFFSET(ORÇAMENTO!$D$15,CRONO!$F65,0))),CRONO!AA$12,OFFSET(CÁLCULO!$AR$15:$BR$15,$F65,0,OFFSET(ORÇAMENTO!$D$15,CRONO!$F65,0)))
                +IF(AND($F67&lt;&gt;"",$F67&lt;&gt;0),
                        SUMIF(CÁLCULO!$BS$15:$CS$205,CRONO!AA$12,CÁLCULO!$AR$15:$BR$205)/(ORÇAMENTO!$X$15-_xlfn.single(CÁLCULO.TotalAdmLocal))*CRONO!$F67,
                        0),
                 AA66*$S65),
          SUMIF(OFFSET($S67,1,0,$R65-2),($M65+1)&amp;"$",OFFSET(AA67,1,0,$R65-2)))</f>
        <v>0</v>
      </c>
      <c r="AB67" s="439" t="n">
        <f aca="false" t="array" ref="AB67:AB67">IF($R65=2,
         IF(AND(ACOMPANHAMENTO="PLE",ISNUMBER($F65)),
                SUMIF((OFFSET(CÁLCULO!$BS$15:$CS$15,$F65,0,OFFSET(ORÇAMENTO!$D$15,CRONO!$F65,0))),CRONO!AB$12,OFFSET(CÁLCULO!$AR$15:$BR$15,$F65,0,OFFSET(ORÇAMENTO!$D$15,CRONO!$F65,0)))
                +IF(AND($F67&lt;&gt;"",$F67&lt;&gt;0),
                        SUMIF(CÁLCULO!$BS$15:$CS$205,CRONO!AB$12,CÁLCULO!$AR$15:$BR$205)/(ORÇAMENTO!$X$15-_xlfn.single(CÁLCULO.TotalAdmLocal))*CRONO!$F67,
                        0),
                 AB66*$S65),
          SUMIF(OFFSET($S67,1,0,$R65-2),($M65+1)&amp;"$",OFFSET(AB67,1,0,$R65-2)))</f>
        <v>0</v>
      </c>
      <c r="AC67" s="439" t="n">
        <f aca="false" t="array" ref="AC67:AC67">IF($R65=2,
         IF(AND(ACOMPANHAMENTO="PLE",ISNUMBER($F65)),
                SUMIF((OFFSET(CÁLCULO!$BS$15:$CS$15,$F65,0,OFFSET(ORÇAMENTO!$D$15,CRONO!$F65,0))),CRONO!AC$12,OFFSET(CÁLCULO!$AR$15:$BR$15,$F65,0,OFFSET(ORÇAMENTO!$D$15,CRONO!$F65,0)))
                +IF(AND($F67&lt;&gt;"",$F67&lt;&gt;0),
                        SUMIF(CÁLCULO!$BS$15:$CS$205,CRONO!AC$12,CÁLCULO!$AR$15:$BR$205)/(ORÇAMENTO!$X$15-_xlfn.single(CÁLCULO.TotalAdmLocal))*CRONO!$F67,
                        0),
                 AC66*$S65),
          SUMIF(OFFSET($S67,1,0,$R65-2),($M65+1)&amp;"$",OFFSET(AC67,1,0,$R65-2)))</f>
        <v>0</v>
      </c>
      <c r="AD67" s="439" t="n">
        <f aca="false" t="array" ref="AD67:AD67">IF($R65=2,
         IF(AND(ACOMPANHAMENTO="PLE",ISNUMBER($F65)),
                SUMIF((OFFSET(CÁLCULO!$BS$15:$CS$15,$F65,0,OFFSET(ORÇAMENTO!$D$15,CRONO!$F65,0))),CRONO!AD$12,OFFSET(CÁLCULO!$AR$15:$BR$15,$F65,0,OFFSET(ORÇAMENTO!$D$15,CRONO!$F65,0)))
                +IF(AND($F67&lt;&gt;"",$F67&lt;&gt;0),
                        SUMIF(CÁLCULO!$BS$15:$CS$205,CRONO!AD$12,CÁLCULO!$AR$15:$BR$205)/(ORÇAMENTO!$X$15-_xlfn.single(CÁLCULO.TotalAdmLocal))*CRONO!$F67,
                        0),
                 AD66*$S65),
          SUMIF(OFFSET($S67,1,0,$R65-2),($M65+1)&amp;"$",OFFSET(AD67,1,0,$R65-2)))</f>
        <v>0</v>
      </c>
      <c r="AE67" s="439" t="n">
        <f aca="false" t="array" ref="AE67:AE67">IF($R65=2,
         IF(AND(ACOMPANHAMENTO="PLE",ISNUMBER($F65)),
                SUMIF((OFFSET(CÁLCULO!$BS$15:$CS$15,$F65,0,OFFSET(ORÇAMENTO!$D$15,CRONO!$F65,0))),CRONO!AE$12,OFFSET(CÁLCULO!$AR$15:$BR$15,$F65,0,OFFSET(ORÇAMENTO!$D$15,CRONO!$F65,0)))
                +IF(AND($F67&lt;&gt;"",$F67&lt;&gt;0),
                        SUMIF(CÁLCULO!$BS$15:$CS$205,CRONO!AE$12,CÁLCULO!$AR$15:$BR$205)/(ORÇAMENTO!$X$15-_xlfn.single(CÁLCULO.TotalAdmLocal))*CRONO!$F67,
                        0),
                 AE66*$S65),
          SUMIF(OFFSET($S67,1,0,$R65-2),($M65+1)&amp;"$",OFFSET(AE67,1,0,$R65-2)))</f>
        <v>0</v>
      </c>
      <c r="AF67" s="439" t="n">
        <f aca="false" t="array" ref="AF67:AF67">IF($R65=2,
         IF(AND(ACOMPANHAMENTO="PLE",ISNUMBER($F65)),
                SUMIF((OFFSET(CÁLCULO!$BS$15:$CS$15,$F65,0,OFFSET(ORÇAMENTO!$D$15,CRONO!$F65,0))),CRONO!AF$12,OFFSET(CÁLCULO!$AR$15:$BR$15,$F65,0,OFFSET(ORÇAMENTO!$D$15,CRONO!$F65,0)))
                +IF(AND($F67&lt;&gt;"",$F67&lt;&gt;0),
                        SUMIF(CÁLCULO!$BS$15:$CS$205,CRONO!AF$12,CÁLCULO!$AR$15:$BR$205)/(ORÇAMENTO!$X$15-_xlfn.single(CÁLCULO.TotalAdmLocal))*CRONO!$F67,
                        0),
                 AF66*$S65),
          SUMIF(OFFSET($S67,1,0,$R65-2),($M65+1)&amp;"$",OFFSET(AF67,1,0,$R65-2)))</f>
        <v>0</v>
      </c>
      <c r="AG67" s="439" t="n">
        <f aca="false" t="array" ref="AG67:AG67">IF($R65=2,
         IF(AND(ACOMPANHAMENTO="PLE",ISNUMBER($F65)),
                SUMIF((OFFSET(CÁLCULO!$BS$15:$CS$15,$F65,0,OFFSET(ORÇAMENTO!$D$15,CRONO!$F65,0))),CRONO!AG$12,OFFSET(CÁLCULO!$AR$15:$BR$15,$F65,0,OFFSET(ORÇAMENTO!$D$15,CRONO!$F65,0)))
                +IF(AND($F67&lt;&gt;"",$F67&lt;&gt;0),
                        SUMIF(CÁLCULO!$BS$15:$CS$205,CRONO!AG$12,CÁLCULO!$AR$15:$BR$205)/(ORÇAMENTO!$X$15-_xlfn.single(CÁLCULO.TotalAdmLocal))*CRONO!$F67,
                        0),
                 AG66*$S65),
          SUMIF(OFFSET($S67,1,0,$R65-2),($M65+1)&amp;"$",OFFSET(AG67,1,0,$R65-2)))</f>
        <v>0</v>
      </c>
      <c r="AH67" s="439" t="n">
        <f aca="false" t="array" ref="AH67:AH67">IF($R65=2,
         IF(AND(ACOMPANHAMENTO="PLE",ISNUMBER($F65)),
                SUMIF((OFFSET(CÁLCULO!$BS$15:$CS$15,$F65,0,OFFSET(ORÇAMENTO!$D$15,CRONO!$F65,0))),CRONO!AH$12,OFFSET(CÁLCULO!$AR$15:$BR$15,$F65,0,OFFSET(ORÇAMENTO!$D$15,CRONO!$F65,0)))
                +IF(AND($F67&lt;&gt;"",$F67&lt;&gt;0),
                        SUMIF(CÁLCULO!$BS$15:$CS$205,CRONO!AH$12,CÁLCULO!$AR$15:$BR$205)/(ORÇAMENTO!$X$15-_xlfn.single(CÁLCULO.TotalAdmLocal))*CRONO!$F67,
                        0),
                 AH66*$S65),
          SUMIF(OFFSET($S67,1,0,$R65-2),($M65+1)&amp;"$",OFFSET(AH67,1,0,$R65-2)))</f>
        <v>0</v>
      </c>
      <c r="AI67" s="439" t="n">
        <f aca="false" t="array" ref="AI67:AI67">IF($R65=2,
         IF(AND(ACOMPANHAMENTO="PLE",ISNUMBER($F65)),
                SUMIF((OFFSET(CÁLCULO!$BS$15:$CS$15,$F65,0,OFFSET(ORÇAMENTO!$D$15,CRONO!$F65,0))),CRONO!AI$12,OFFSET(CÁLCULO!$AR$15:$BR$15,$F65,0,OFFSET(ORÇAMENTO!$D$15,CRONO!$F65,0)))
                +IF(AND($F67&lt;&gt;"",$F67&lt;&gt;0),
                        SUMIF(CÁLCULO!$BS$15:$CS$205,CRONO!AI$12,CÁLCULO!$AR$15:$BR$205)/(ORÇAMENTO!$X$15-_xlfn.single(CÁLCULO.TotalAdmLocal))*CRONO!$F67,
                        0),
                 AI66*$S65),
          SUMIF(OFFSET($S67,1,0,$R65-2),($M65+1)&amp;"$",OFFSET(AI67,1,0,$R65-2)))</f>
        <v>0</v>
      </c>
      <c r="AJ67" s="439" t="n">
        <f aca="false" t="array" ref="AJ67:AJ67">IF($R65=2,
         IF(AND(ACOMPANHAMENTO="PLE",ISNUMBER($F65)),
                SUMIF((OFFSET(CÁLCULO!$BS$15:$CS$15,$F65,0,OFFSET(ORÇAMENTO!$D$15,CRONO!$F65,0))),CRONO!AJ$12,OFFSET(CÁLCULO!$AR$15:$BR$15,$F65,0,OFFSET(ORÇAMENTO!$D$15,CRONO!$F65,0)))
                +IF(AND($F67&lt;&gt;"",$F67&lt;&gt;0),
                        SUMIF(CÁLCULO!$BS$15:$CS$205,CRONO!AJ$12,CÁLCULO!$AR$15:$BR$205)/(ORÇAMENTO!$X$15-_xlfn.single(CÁLCULO.TotalAdmLocal))*CRONO!$F67,
                        0),
                 AJ66*$S65),
          SUMIF(OFFSET($S67,1,0,$R65-2),($M65+1)&amp;"$",OFFSET(AJ67,1,0,$R65-2)))</f>
        <v>0</v>
      </c>
      <c r="AK67" s="439" t="n">
        <f aca="false" t="array" ref="AK67:AK67">IF($R65=2,
         IF(AND(ACOMPANHAMENTO="PLE",ISNUMBER($F65)),
                SUMIF((OFFSET(CÁLCULO!$BS$15:$CS$15,$F65,0,OFFSET(ORÇAMENTO!$D$15,CRONO!$F65,0))),CRONO!AK$12,OFFSET(CÁLCULO!$AR$15:$BR$15,$F65,0,OFFSET(ORÇAMENTO!$D$15,CRONO!$F65,0)))
                +IF(AND($F67&lt;&gt;"",$F67&lt;&gt;0),
                        SUMIF(CÁLCULO!$BS$15:$CS$205,CRONO!AK$12,CÁLCULO!$AR$15:$BR$205)/(ORÇAMENTO!$X$15-_xlfn.single(CÁLCULO.TotalAdmLocal))*CRONO!$F67,
                        0),
                 AK66*$S65),
          SUMIF(OFFSET($S67,1,0,$R65-2),($M65+1)&amp;"$",OFFSET(AK67,1,0,$R65-2)))</f>
        <v>0</v>
      </c>
      <c r="AL67" s="439" t="n">
        <f aca="false" t="array" ref="AL67:AL67">IF($R65=2,
         IF(AND(ACOMPANHAMENTO="PLE",ISNUMBER($F65)),
                SUMIF((OFFSET(CÁLCULO!$BS$15:$CS$15,$F65,0,OFFSET(ORÇAMENTO!$D$15,CRONO!$F65,0))),CRONO!AL$12,OFFSET(CÁLCULO!$AR$15:$BR$15,$F65,0,OFFSET(ORÇAMENTO!$D$15,CRONO!$F65,0)))
                +IF(AND($F67&lt;&gt;"",$F67&lt;&gt;0),
                        SUMIF(CÁLCULO!$BS$15:$CS$205,CRONO!AL$12,CÁLCULO!$AR$15:$BR$205)/(ORÇAMENTO!$X$15-_xlfn.single(CÁLCULO.TotalAdmLocal))*CRONO!$F67,
                        0),
                 AL66*$S65),
          SUMIF(OFFSET($S67,1,0,$R65-2),($M65+1)&amp;"$",OFFSET(AL67,1,0,$R65-2)))</f>
        <v>0</v>
      </c>
      <c r="AM67" s="439" t="n">
        <f aca="false" t="array" ref="AM67:AM67">IF($R65=2,
         IF(AND(ACOMPANHAMENTO="PLE",ISNUMBER($F65)),
                SUMIF((OFFSET(CÁLCULO!$BS$15:$CS$15,$F65,0,OFFSET(ORÇAMENTO!$D$15,CRONO!$F65,0))),CRONO!AM$12,OFFSET(CÁLCULO!$AR$15:$BR$15,$F65,0,OFFSET(ORÇAMENTO!$D$15,CRONO!$F65,0)))
                +IF(AND($F67&lt;&gt;"",$F67&lt;&gt;0),
                        SUMIF(CÁLCULO!$BS$15:$CS$205,CRONO!AM$12,CÁLCULO!$AR$15:$BR$205)/(ORÇAMENTO!$X$15-_xlfn.single(CÁLCULO.TotalAdmLocal))*CRONO!$F67,
                        0),
                 AM66*$S65),
          SUMIF(OFFSET($S67,1,0,$R65-2),($M65+1)&amp;"$",OFFSET(AM67,1,0,$R65-2)))</f>
        <v>0</v>
      </c>
      <c r="AN67" s="439" t="n">
        <f aca="false" t="array" ref="AN67:AN67">IF($R65=2,
         IF(AND(ACOMPANHAMENTO="PLE",ISNUMBER($F65)),
                SUMIF((OFFSET(CÁLCULO!$BS$15:$CS$15,$F65,0,OFFSET(ORÇAMENTO!$D$15,CRONO!$F65,0))),CRONO!AN$12,OFFSET(CÁLCULO!$AR$15:$BR$15,$F65,0,OFFSET(ORÇAMENTO!$D$15,CRONO!$F65,0)))
                +IF(AND($F67&lt;&gt;"",$F67&lt;&gt;0),
                        SUMIF(CÁLCULO!$BS$15:$CS$205,CRONO!AN$12,CÁLCULO!$AR$15:$BR$205)/(ORÇAMENTO!$X$15-_xlfn.single(CÁLCULO.TotalAdmLocal))*CRONO!$F67,
                        0),
                 AN66*$S65),
          SUMIF(OFFSET($S67,1,0,$R65-2),($M65+1)&amp;"$",OFFSET(AN67,1,0,$R65-2)))</f>
        <v>0</v>
      </c>
      <c r="AO67" s="439" t="n">
        <f aca="false" t="array" ref="AO67:AO67">IF($R65=2,
         IF(AND(ACOMPANHAMENTO="PLE",ISNUMBER($F65)),
                SUMIF((OFFSET(CÁLCULO!$BS$15:$CS$15,$F65,0,OFFSET(ORÇAMENTO!$D$15,CRONO!$F65,0))),CRONO!AO$12,OFFSET(CÁLCULO!$AR$15:$BR$15,$F65,0,OFFSET(ORÇAMENTO!$D$15,CRONO!$F65,0)))
                +IF(AND($F67&lt;&gt;"",$F67&lt;&gt;0),
                        SUMIF(CÁLCULO!$BS$15:$CS$205,CRONO!AO$12,CÁLCULO!$AR$15:$BR$205)/(ORÇAMENTO!$X$15-_xlfn.single(CÁLCULO.TotalAdmLocal))*CRONO!$F67,
                        0),
                 AO66*$S65),
          SUMIF(OFFSET($S67,1,0,$R65-2),($M65+1)&amp;"$",OFFSET(AO67,1,0,$R65-2)))</f>
        <v>0</v>
      </c>
      <c r="AP67" s="439" t="n">
        <f aca="false" t="array" ref="AP67:AP67">IF($R65=2,
         IF(AND(ACOMPANHAMENTO="PLE",ISNUMBER($F65)),
                SUMIF((OFFSET(CÁLCULO!$BS$15:$CS$15,$F65,0,OFFSET(ORÇAMENTO!$D$15,CRONO!$F65,0))),CRONO!AP$12,OFFSET(CÁLCULO!$AR$15:$BR$15,$F65,0,OFFSET(ORÇAMENTO!$D$15,CRONO!$F65,0)))
                +IF(AND($F67&lt;&gt;"",$F67&lt;&gt;0),
                        SUMIF(CÁLCULO!$BS$15:$CS$205,CRONO!AP$12,CÁLCULO!$AR$15:$BR$205)/(ORÇAMENTO!$X$15-_xlfn.single(CÁLCULO.TotalAdmLocal))*CRONO!$F67,
                        0),
                 AP66*$S65),
          SUMIF(OFFSET($S67,1,0,$R65-2),($M65+1)&amp;"$",OFFSET(AP67,1,0,$R65-2)))</f>
        <v>0</v>
      </c>
      <c r="AQ67" s="439" t="n">
        <f aca="false" t="array" ref="AQ67:AQ67">IF($R65=2,
         IF(AND(ACOMPANHAMENTO="PLE",ISNUMBER($F65)),
                SUMIF((OFFSET(CÁLCULO!$BS$15:$CS$15,$F65,0,OFFSET(ORÇAMENTO!$D$15,CRONO!$F65,0))),CRONO!AQ$12,OFFSET(CÁLCULO!$AR$15:$BR$15,$F65,0,OFFSET(ORÇAMENTO!$D$15,CRONO!$F65,0)))
                +IF(AND($F67&lt;&gt;"",$F67&lt;&gt;0),
                        SUMIF(CÁLCULO!$BS$15:$CS$205,CRONO!AQ$12,CÁLCULO!$AR$15:$BR$205)/(ORÇAMENTO!$X$15-_xlfn.single(CÁLCULO.TotalAdmLocal))*CRONO!$F67,
                        0),
                 AQ66*$S65),
          SUMIF(OFFSET($S67,1,0,$R65-2),($M65+1)&amp;"$",OFFSET(AQ67,1,0,$R65-2)))</f>
        <v>0</v>
      </c>
      <c r="AR67" s="439" t="n">
        <f aca="false" t="array" ref="AR67:AR67">IF($R65=2,
         IF(AND(ACOMPANHAMENTO="PLE",ISNUMBER($F65)),
                SUMIF((OFFSET(CÁLCULO!$BS$15:$CS$15,$F65,0,OFFSET(ORÇAMENTO!$D$15,CRONO!$F65,0))),CRONO!AR$12,OFFSET(CÁLCULO!$AR$15:$BR$15,$F65,0,OFFSET(ORÇAMENTO!$D$15,CRONO!$F65,0)))
                +IF(AND($F67&lt;&gt;"",$F67&lt;&gt;0),
                        SUMIF(CÁLCULO!$BS$15:$CS$205,CRONO!AR$12,CÁLCULO!$AR$15:$BR$205)/(ORÇAMENTO!$X$15-_xlfn.single(CÁLCULO.TotalAdmLocal))*CRONO!$F67,
                        0),
                 AR66*$S65),
          SUMIF(OFFSET($S67,1,0,$R65-2),($M65+1)&amp;"$",OFFSET(AR67,1,0,$R65-2)))</f>
        <v>0</v>
      </c>
      <c r="AS67" s="439" t="n">
        <f aca="false" t="array" ref="AS67:AS67">IF($R65=2,
         IF(AND(ACOMPANHAMENTO="PLE",ISNUMBER($F65)),
                SUMIF((OFFSET(CÁLCULO!$BS$15:$CS$15,$F65,0,OFFSET(ORÇAMENTO!$D$15,CRONO!$F65,0))),CRONO!AS$12,OFFSET(CÁLCULO!$AR$15:$BR$15,$F65,0,OFFSET(ORÇAMENTO!$D$15,CRONO!$F65,0)))
                +IF(AND($F67&lt;&gt;"",$F67&lt;&gt;0),
                        SUMIF(CÁLCULO!$BS$15:$CS$205,CRONO!AS$12,CÁLCULO!$AR$15:$BR$205)/(ORÇAMENTO!$X$15-_xlfn.single(CÁLCULO.TotalAdmLocal))*CRONO!$F67,
                        0),
                 AS66*$S65),
          SUMIF(OFFSET($S67,1,0,$R65-2),($M65+1)&amp;"$",OFFSET(AS67,1,0,$R65-2)))</f>
        <v>0</v>
      </c>
      <c r="AT67" s="439" t="n">
        <f aca="false" t="array" ref="AT67:AT67">IF($R65=2,
         IF(AND(ACOMPANHAMENTO="PLE",ISNUMBER($F65)),
                SUMIF((OFFSET(CÁLCULO!$BS$15:$CS$15,$F65,0,OFFSET(ORÇAMENTO!$D$15,CRONO!$F65,0))),CRONO!AT$12,OFFSET(CÁLCULO!$AR$15:$BR$15,$F65,0,OFFSET(ORÇAMENTO!$D$15,CRONO!$F65,0)))
                +IF(AND($F67&lt;&gt;"",$F67&lt;&gt;0),
                        SUMIF(CÁLCULO!$BS$15:$CS$205,CRONO!AT$12,CÁLCULO!$AR$15:$BR$205)/(ORÇAMENTO!$X$15-_xlfn.single(CÁLCULO.TotalAdmLocal))*CRONO!$F67,
                        0),
                 AT66*$S65),
          SUMIF(OFFSET($S67,1,0,$R65-2),($M65+1)&amp;"$",OFFSET(AT67,1,0,$R65-2)))</f>
        <v>0</v>
      </c>
      <c r="AU67" s="439" t="n">
        <f aca="false" t="array" ref="AU67:AU67">IF($R65=2,
         IF(AND(ACOMPANHAMENTO="PLE",ISNUMBER($F65)),
                SUMIF((OFFSET(CÁLCULO!$BS$15:$CS$15,$F65,0,OFFSET(ORÇAMENTO!$D$15,CRONO!$F65,0))),CRONO!AU$12,OFFSET(CÁLCULO!$AR$15:$BR$15,$F65,0,OFFSET(ORÇAMENTO!$D$15,CRONO!$F65,0)))
                +IF(AND($F67&lt;&gt;"",$F67&lt;&gt;0),
                        SUMIF(CÁLCULO!$BS$15:$CS$205,CRONO!AU$12,CÁLCULO!$AR$15:$BR$205)/(ORÇAMENTO!$X$15-_xlfn.single(CÁLCULO.TotalAdmLocal))*CRONO!$F67,
                        0),
                 AU66*$S65),
          SUMIF(OFFSET($S67,1,0,$R65-2),($M65+1)&amp;"$",OFFSET(AU67,1,0,$R65-2)))</f>
        <v>0</v>
      </c>
      <c r="AV67" s="439" t="n">
        <f aca="false" t="array" ref="AV67:AV67">IF($R65=2,
         IF(AND(ACOMPANHAMENTO="PLE",ISNUMBER($F65)),
                SUMIF((OFFSET(CÁLCULO!$BS$15:$CS$15,$F65,0,OFFSET(ORÇAMENTO!$D$15,CRONO!$F65,0))),CRONO!AV$12,OFFSET(CÁLCULO!$AR$15:$BR$15,$F65,0,OFFSET(ORÇAMENTO!$D$15,CRONO!$F65,0)))
                +IF(AND($F67&lt;&gt;"",$F67&lt;&gt;0),
                        SUMIF(CÁLCULO!$BS$15:$CS$205,CRONO!AV$12,CÁLCULO!$AR$15:$BR$205)/(ORÇAMENTO!$X$15-_xlfn.single(CÁLCULO.TotalAdmLocal))*CRONO!$F67,
                        0),
                 AV66*$S65),
          SUMIF(OFFSET($S67,1,0,$R65-2),($M65+1)&amp;"$",OFFSET(AV67,1,0,$R65-2)))</f>
        <v>0</v>
      </c>
      <c r="AW67" s="439" t="n">
        <f aca="false" t="array" ref="AW67:AW67">IF($R65=2,
         IF(AND(ACOMPANHAMENTO="PLE",ISNUMBER($F65)),
                SUMIF((OFFSET(CÁLCULO!$BS$15:$CS$15,$F65,0,OFFSET(ORÇAMENTO!$D$15,CRONO!$F65,0))),CRONO!AW$12,OFFSET(CÁLCULO!$AR$15:$BR$15,$F65,0,OFFSET(ORÇAMENTO!$D$15,CRONO!$F65,0)))
                +IF(AND($F67&lt;&gt;"",$F67&lt;&gt;0),
                        SUMIF(CÁLCULO!$BS$15:$CS$205,CRONO!AW$12,CÁLCULO!$AR$15:$BR$205)/(ORÇAMENTO!$X$15-_xlfn.single(CÁLCULO.TotalAdmLocal))*CRONO!$F67,
                        0),
                 AW66*$S65),
          SUMIF(OFFSET($S67,1,0,$R65-2),($M65+1)&amp;"$",OFFSET(AW67,1,0,$R65-2)))</f>
        <v>0</v>
      </c>
      <c r="AX67" s="439" t="n">
        <f aca="false" t="array" ref="AX67:AX67">IF($R65=2,
         IF(AND(ACOMPANHAMENTO="PLE",ISNUMBER($F65)),
                SUMIF((OFFSET(CÁLCULO!$BS$15:$CS$15,$F65,0,OFFSET(ORÇAMENTO!$D$15,CRONO!$F65,0))),CRONO!AX$12,OFFSET(CÁLCULO!$AR$15:$BR$15,$F65,0,OFFSET(ORÇAMENTO!$D$15,CRONO!$F65,0)))
                +IF(AND($F67&lt;&gt;"",$F67&lt;&gt;0),
                        SUMIF(CÁLCULO!$BS$15:$CS$205,CRONO!AX$12,CÁLCULO!$AR$15:$BR$205)/(ORÇAMENTO!$X$15-_xlfn.single(CÁLCULO.TotalAdmLocal))*CRONO!$F67,
                        0),
                 AX66*$S65),
          SUMIF(OFFSET($S67,1,0,$R65-2),($M65+1)&amp;"$",OFFSET(AX67,1,0,$R65-2)))</f>
        <v>0</v>
      </c>
      <c r="AY67" s="439" t="n">
        <f aca="false" t="array" ref="AY67:AY67">IF($R65=2,
         IF(AND(ACOMPANHAMENTO="PLE",ISNUMBER($F65)),
                SUMIF((OFFSET(CÁLCULO!$BS$15:$CS$15,$F65,0,OFFSET(ORÇAMENTO!$D$15,CRONO!$F65,0))),CRONO!AY$12,OFFSET(CÁLCULO!$AR$15:$BR$15,$F65,0,OFFSET(ORÇAMENTO!$D$15,CRONO!$F65,0)))
                +IF(AND($F67&lt;&gt;"",$F67&lt;&gt;0),
                        SUMIF(CÁLCULO!$BS$15:$CS$205,CRONO!AY$12,CÁLCULO!$AR$15:$BR$205)/(ORÇAMENTO!$X$15-_xlfn.single(CÁLCULO.TotalAdmLocal))*CRONO!$F67,
                        0),
                 AY66*$S65),
          SUMIF(OFFSET($S67,1,0,$R65-2),($M65+1)&amp;"$",OFFSET(AY67,1,0,$R65-2)))</f>
        <v>0</v>
      </c>
      <c r="AZ67" s="439" t="n">
        <f aca="false" t="array" ref="AZ67:AZ67">IF($R65=2,
         IF(AND(ACOMPANHAMENTO="PLE",ISNUMBER($F65)),
                SUMIF((OFFSET(CÁLCULO!$BS$15:$CS$15,$F65,0,OFFSET(ORÇAMENTO!$D$15,CRONO!$F65,0))),CRONO!AZ$12,OFFSET(CÁLCULO!$AR$15:$BR$15,$F65,0,OFFSET(ORÇAMENTO!$D$15,CRONO!$F65,0)))
                +IF(AND($F67&lt;&gt;"",$F67&lt;&gt;0),
                        SUMIF(CÁLCULO!$BS$15:$CS$205,CRONO!AZ$12,CÁLCULO!$AR$15:$BR$205)/(ORÇAMENTO!$X$15-_xlfn.single(CÁLCULO.TotalAdmLocal))*CRONO!$F67,
                        0),
                 AZ66*$S65),
          SUMIF(OFFSET($S67,1,0,$R65-2),($M65+1)&amp;"$",OFFSET(AZ67,1,0,$R65-2)))</f>
        <v>0</v>
      </c>
      <c r="BA67" s="439" t="n">
        <f aca="false" t="array" ref="BA67:BA67">IF($R65=2,
         IF(AND(ACOMPANHAMENTO="PLE",ISNUMBER($F65)),
                SUMIF((OFFSET(CÁLCULO!$BS$15:$CS$15,$F65,0,OFFSET(ORÇAMENTO!$D$15,CRONO!$F65,0))),CRONO!BA$12,OFFSET(CÁLCULO!$AR$15:$BR$15,$F65,0,OFFSET(ORÇAMENTO!$D$15,CRONO!$F65,0)))
                +IF(AND($F67&lt;&gt;"",$F67&lt;&gt;0),
                        SUMIF(CÁLCULO!$BS$15:$CS$205,CRONO!BA$12,CÁLCULO!$AR$15:$BR$205)/(ORÇAMENTO!$X$15-_xlfn.single(CÁLCULO.TotalAdmLocal))*CRONO!$F67,
                        0),
                 BA66*$S65),
          SUMIF(OFFSET($S67,1,0,$R65-2),($M65+1)&amp;"$",OFFSET(BA67,1,0,$R65-2)))</f>
        <v>0</v>
      </c>
      <c r="BB67" s="439" t="n">
        <f aca="false" t="array" ref="BB67:BB67">IF($R65=2,
         IF(AND(ACOMPANHAMENTO="PLE",ISNUMBER($F65)),
                SUMIF((OFFSET(CÁLCULO!$BS$15:$CS$15,$F65,0,OFFSET(ORÇAMENTO!$D$15,CRONO!$F65,0))),CRONO!BB$12,OFFSET(CÁLCULO!$AR$15:$BR$15,$F65,0,OFFSET(ORÇAMENTO!$D$15,CRONO!$F65,0)))
                +IF(AND($F67&lt;&gt;"",$F67&lt;&gt;0),
                        SUMIF(CÁLCULO!$BS$15:$CS$205,CRONO!BB$12,CÁLCULO!$AR$15:$BR$205)/(ORÇAMENTO!$X$15-_xlfn.single(CÁLCULO.TotalAdmLocal))*CRONO!$F67,
                        0),
                 BB66*$S65),
          SUMIF(OFFSET($S67,1,0,$R65-2),($M65+1)&amp;"$",OFFSET(BB67,1,0,$R65-2)))</f>
        <v>0</v>
      </c>
      <c r="BC67" s="439" t="n">
        <f aca="false" t="array" ref="BC67:BC67">IF($R65=2,
         IF(AND(ACOMPANHAMENTO="PLE",ISNUMBER($F65)),
                SUMIF((OFFSET(CÁLCULO!$BS$15:$CS$15,$F65,0,OFFSET(ORÇAMENTO!$D$15,CRONO!$F65,0))),CRONO!BC$12,OFFSET(CÁLCULO!$AR$15:$BR$15,$F65,0,OFFSET(ORÇAMENTO!$D$15,CRONO!$F65,0)))
                +IF(AND($F67&lt;&gt;"",$F67&lt;&gt;0),
                        SUMIF(CÁLCULO!$BS$15:$CS$205,CRONO!BC$12,CÁLCULO!$AR$15:$BR$205)/(ORÇAMENTO!$X$15-_xlfn.single(CÁLCULO.TotalAdmLocal))*CRONO!$F67,
                        0),
                 BC66*$S65),
          SUMIF(OFFSET($S67,1,0,$R65-2),($M65+1)&amp;"$",OFFSET(BC67,1,0,$R65-2)))</f>
        <v>0</v>
      </c>
      <c r="BD67" s="439" t="n">
        <f aca="false" t="array" ref="BD67:BD67">IF($R65=2,
         IF(AND(ACOMPANHAMENTO="PLE",ISNUMBER($F65)),
                SUMIF((OFFSET(CÁLCULO!$BS$15:$CS$15,$F65,0,OFFSET(ORÇAMENTO!$D$15,CRONO!$F65,0))),CRONO!BD$12,OFFSET(CÁLCULO!$AR$15:$BR$15,$F65,0,OFFSET(ORÇAMENTO!$D$15,CRONO!$F65,0)))
                +IF(AND($F67&lt;&gt;"",$F67&lt;&gt;0),
                        SUMIF(CÁLCULO!$BS$15:$CS$205,CRONO!BD$12,CÁLCULO!$AR$15:$BR$205)/(ORÇAMENTO!$X$15-_xlfn.single(CÁLCULO.TotalAdmLocal))*CRONO!$F67,
                        0),
                 BD66*$S65),
          SUMIF(OFFSET($S67,1,0,$R65-2),($M65+1)&amp;"$",OFFSET(BD67,1,0,$R65-2)))</f>
        <v>0</v>
      </c>
      <c r="BE67" s="430"/>
    </row>
    <row r="68" customFormat="false" ht="12.75" hidden="false" customHeight="false" outlineLevel="0" collapsed="false">
      <c r="A68" s="382" t="str">
        <f aca="false">IF($M68&gt;1,_xlfn.CONCAT($I68," ",$J68),"")</f>
        <v>1.18. REVESTIMENTOS INTERNOS</v>
      </c>
      <c r="B68" s="419" t="n">
        <f aca="true">OFFSET(B68,-3,0)+1</f>
        <v>19</v>
      </c>
      <c r="C68" s="419" t="n">
        <f aca="true">IF($R68&lt;&gt;2,0,IF($S68=0,1,IF(F69&gt;0,OFFSET(QCI!$M$13,SUBSTITUTE(F69,".",""),0),OFFSET(ORÇAMENTO!$AA$15,CRONO!$F68,0))/$S68))</f>
        <v>0.110981526562671</v>
      </c>
      <c r="D68" s="419" t="n">
        <f aca="true">IF($R68&lt;&gt;2,0,IF($S68=0,1,IF(F69&gt;0,OFFSET(QCI!$N$13,SUBSTITUTE(F69,".",""),0),OFFSET(ORÇAMENTO!$AB$15,CRONO!$F68,0))/$S68))</f>
        <v>0</v>
      </c>
      <c r="E68" s="422" t="n">
        <f aca="false" t="array" ref="E68:E68">IF(AND($R68=2,ACOMPANHAMENTO="BM"),ROUND(E69,4),E70/$S68)</f>
        <v>0.04</v>
      </c>
      <c r="F68" s="419" t="n">
        <f aca="true">IF(B68&lt;=ORÇAMENTO.MáximoListaCrono,MATCH(B68,ORÇAMENTO.ListaCrono,0),NA())</f>
        <v>62</v>
      </c>
      <c r="G68" s="419" t="str">
        <f aca="false">IF(AND($F69&lt;&gt;-1,$S68&gt;0),"F","")</f>
        <v>F</v>
      </c>
      <c r="H68" s="423" t="str">
        <f aca="false" t="array" ref="H68:H68">IF(OR(S68=0,S68=""),"Linha",IF(AND(OR(ACOMPANHAMENTO="PLE",$R68&lt;&gt;2),$F69=0),"Linha",ROUND(1-SUM(U68:BE68),4)))</f>
        <v>Linha</v>
      </c>
      <c r="I68" s="424" t="str">
        <f aca="true">IF($F69=0,OFFSET(ORÇAMENTO!O$15,$F68,0),IF($F69&lt;&gt;-1,OFFSET(QCI!$D$13,$F69,0),""))</f>
        <v>1.18.</v>
      </c>
      <c r="J68" s="425" t="str">
        <f aca="true">IF($F69=0,OFFSET(ORÇAMENTO!R$15,$F68,0),IF($F69&lt;&gt;-1,OFFSET(QCI!$G$13,$F69,0),""))</f>
        <v>REVESTIMENTOS INTERNOS</v>
      </c>
      <c r="K68" s="425"/>
      <c r="L68" s="425"/>
      <c r="M68" s="426" t="n">
        <f aca="true">IF($F69=0,OFFSET(ORÇAMENTO!C$15,$F68,0),1)</f>
        <v>2</v>
      </c>
      <c r="N68" s="427" t="n">
        <f aca="true">IF($F69=-1,0,IF(N$13&lt;=$M68,IF(ISERROR(MATCH(N$13,OFFSET($M68,1,0,ROW($M$182)-ROW($M68)-1),0)),ROW($M$182)-ROW($M68)-1,MATCH(N$13,OFFSET($M68,1,0,ROW($M$182)-ROW($M68)-1),0)-1),0))</f>
        <v>113</v>
      </c>
      <c r="O68" s="427" t="n">
        <f aca="true">IF($F69=-1,0,IF(O$13&lt;=$M68,IF(ISERROR(MATCH(O$13,OFFSET($M68,1,0,ROW($M$182)-ROW($M68)-1),0)),ROW($M$182)-ROW($M68)-1,MATCH(O$13,OFFSET($M68,1,0,ROW($M$182)-ROW($M68)-1),0)-1),0))</f>
        <v>2</v>
      </c>
      <c r="P68" s="427" t="n">
        <f aca="true">IF($F69=-1,0,IF(P$13&lt;=$M68,IF(ISERROR(MATCH(P$13,OFFSET($M68,1,0,ROW($M$182)-ROW($M68)-1),0)),ROW($M$182)-ROW($M68)-1,MATCH(P$13,OFFSET($M68,1,0,ROW($M$182)-ROW($M68)-1),0)-1),0))</f>
        <v>0</v>
      </c>
      <c r="Q68" s="427" t="n">
        <f aca="true">IF($F69=-1,0,IF(Q$13&lt;=$M68,IF(ISERROR(MATCH(Q$13,OFFSET($M68,1,0,ROW($M$182)-ROW($M68)-1),0)),ROW($M$182)-ROW($M68)-1,MATCH(Q$13,OFFSET($M68,1,0,ROW($M$182)-ROW($M68)-1),0)-1),0))</f>
        <v>0</v>
      </c>
      <c r="R68" s="427" t="n">
        <f aca="true">MIN(OFFSET(M68,0,1,,M68))</f>
        <v>2</v>
      </c>
      <c r="S68" s="428" t="n">
        <f aca="true">IF($F69=0,OFFSET(ORÇAMENTO!X$15,$F68,0),IF($F69&lt;&gt;-1,OFFSET(QCI!$O$13,$F69,0),""))</f>
        <v>135548.25</v>
      </c>
      <c r="T68" s="429" t="s">
        <v>996</v>
      </c>
      <c r="U68" s="422" t="n">
        <f aca="false" t="array" ref="U68:U68">IF(AND($R68=2,ACOMPANHAMENTO="BM"),ROUND(U69,4),U70/$S68)</f>
        <v>0.04</v>
      </c>
      <c r="V68" s="422" t="n">
        <f aca="false" t="array" ref="V68:V68">IF(AND($R68=2,ACOMPANHAMENTO="BM"),ROUND(V69,4),V70/$S68)</f>
        <v>0.04</v>
      </c>
      <c r="W68" s="422" t="n">
        <f aca="false" t="array" ref="W68:W68">IF(AND($R68=2,ACOMPANHAMENTO="BM"),ROUND(W69,4),W70/$S68)</f>
        <v>0.04</v>
      </c>
      <c r="X68" s="422" t="n">
        <f aca="false" t="array" ref="X68:X68">IF(AND($R68=2,ACOMPANHAMENTO="BM"),ROUND(X69,4),X70/$S68)</f>
        <v>0.04</v>
      </c>
      <c r="Y68" s="422" t="n">
        <f aca="false" t="array" ref="Y68:Y68">IF(AND($R68=2,ACOMPANHAMENTO="BM"),ROUND(Y69,4),Y70/$S68)</f>
        <v>0.04</v>
      </c>
      <c r="Z68" s="422" t="n">
        <f aca="false" t="array" ref="Z68:Z68">IF(AND($R68=2,ACOMPANHAMENTO="BM"),ROUND(Z69,4),Z70/$S68)</f>
        <v>0.04</v>
      </c>
      <c r="AA68" s="422" t="n">
        <f aca="false" t="array" ref="AA68:AA68">IF(AND($R68=2,ACOMPANHAMENTO="BM"),ROUND(AA69,4),AA70/$S68)</f>
        <v>0.04</v>
      </c>
      <c r="AB68" s="422" t="n">
        <f aca="false" t="array" ref="AB68:AB68">IF(AND($R68=2,ACOMPANHAMENTO="BM"),ROUND(AB69,4),AB70/$S68)</f>
        <v>0.04</v>
      </c>
      <c r="AC68" s="422" t="n">
        <f aca="false" t="array" ref="AC68:AC68">IF(AND($R68=2,ACOMPANHAMENTO="BM"),ROUND(AC69,4),AC70/$S68)</f>
        <v>0.04</v>
      </c>
      <c r="AD68" s="422" t="n">
        <f aca="false" t="array" ref="AD68:AD68">IF(AND($R68=2,ACOMPANHAMENTO="BM"),ROUND(AD69,4),AD70/$S68)</f>
        <v>0.04</v>
      </c>
      <c r="AE68" s="422" t="n">
        <f aca="false" t="array" ref="AE68:AE68">IF(AND($R68=2,ACOMPANHAMENTO="BM"),ROUND(AE69,4),AE70/$S68)</f>
        <v>0.04</v>
      </c>
      <c r="AF68" s="422" t="n">
        <f aca="false" t="array" ref="AF68:AF68">IF(AND($R68=2,ACOMPANHAMENTO="BM"),ROUND(AF69,4),AF70/$S68)</f>
        <v>0.04</v>
      </c>
      <c r="AG68" s="422" t="n">
        <f aca="false" t="array" ref="AG68:AG68">IF(AND($R68=2,ACOMPANHAMENTO="BM"),ROUND(AG69,4),AG70/$S68)</f>
        <v>0.04</v>
      </c>
      <c r="AH68" s="422" t="n">
        <f aca="false" t="array" ref="AH68:AH68">IF(AND($R68=2,ACOMPANHAMENTO="BM"),ROUND(AH69,4),AH70/$S68)</f>
        <v>0.04</v>
      </c>
      <c r="AI68" s="422" t="n">
        <f aca="false" t="array" ref="AI68:AI68">IF(AND($R68=2,ACOMPANHAMENTO="BM"),ROUND(AI69,4),AI70/$S68)</f>
        <v>0.04</v>
      </c>
      <c r="AJ68" s="422" t="n">
        <f aca="false" t="array" ref="AJ68:AJ68">IF(AND($R68=2,ACOMPANHAMENTO="BM"),ROUND(AJ69,4),AJ70/$S68)</f>
        <v>0.04</v>
      </c>
      <c r="AK68" s="422" t="n">
        <f aca="false" t="array" ref="AK68:AK68">IF(AND($R68=2,ACOMPANHAMENTO="BM"),ROUND(AK69,4),AK70/$S68)</f>
        <v>0.04</v>
      </c>
      <c r="AL68" s="422" t="n">
        <f aca="false" t="array" ref="AL68:AL68">IF(AND($R68=2,ACOMPANHAMENTO="BM"),ROUND(AL69,4),AL70/$S68)</f>
        <v>0.04</v>
      </c>
      <c r="AM68" s="422" t="n">
        <f aca="false" t="array" ref="AM68:AM68">IF(AND($R68=2,ACOMPANHAMENTO="BM"),ROUND(AM69,4),AM70/$S68)</f>
        <v>0.04</v>
      </c>
      <c r="AN68" s="422" t="n">
        <f aca="false" t="array" ref="AN68:AN68">IF(AND($R68=2,ACOMPANHAMENTO="BM"),ROUND(AN69,4),AN70/$S68)</f>
        <v>0.04</v>
      </c>
      <c r="AO68" s="422" t="n">
        <f aca="false" t="array" ref="AO68:AO68">IF(AND($R68=2,ACOMPANHAMENTO="BM"),ROUND(AO69,4),AO70/$S68)</f>
        <v>0.04</v>
      </c>
      <c r="AP68" s="422" t="n">
        <f aca="false" t="array" ref="AP68:AP68">IF(AND($R68=2,ACOMPANHAMENTO="BM"),ROUND(AP69,4),AP70/$S68)</f>
        <v>0.04</v>
      </c>
      <c r="AQ68" s="422" t="n">
        <f aca="false" t="array" ref="AQ68:AQ68">IF(AND($R68=2,ACOMPANHAMENTO="BM"),ROUND(AQ69,4),AQ70/$S68)</f>
        <v>0.04</v>
      </c>
      <c r="AR68" s="422" t="n">
        <f aca="false" t="array" ref="AR68:AR68">IF(AND($R68=2,ACOMPANHAMENTO="BM"),ROUND(AR69,4),AR70/$S68)</f>
        <v>0.04</v>
      </c>
      <c r="AS68" s="422" t="n">
        <f aca="false" t="array" ref="AS68:AS68">IF(AND($R68=2,ACOMPANHAMENTO="BM"),ROUND(AS69,4),AS70/$S68)</f>
        <v>0.04</v>
      </c>
      <c r="AT68" s="422" t="n">
        <f aca="false" t="array" ref="AT68:AT68">IF(AND($R68=2,ACOMPANHAMENTO="BM"),ROUND(AT69,4),AT70/$S68)</f>
        <v>0</v>
      </c>
      <c r="AU68" s="422" t="n">
        <f aca="false" t="array" ref="AU68:AU68">IF(AND($R68=2,ACOMPANHAMENTO="BM"),ROUND(AU69,4),AU70/$S68)</f>
        <v>0</v>
      </c>
      <c r="AV68" s="422" t="n">
        <f aca="false" t="array" ref="AV68:AV68">IF(AND($R68=2,ACOMPANHAMENTO="BM"),ROUND(AV69,4),AV70/$S68)</f>
        <v>0</v>
      </c>
      <c r="AW68" s="422" t="n">
        <f aca="false" t="array" ref="AW68:AW68">IF(AND($R68=2,ACOMPANHAMENTO="BM"),ROUND(AW69,4),AW70/$S68)</f>
        <v>0</v>
      </c>
      <c r="AX68" s="422" t="n">
        <f aca="false" t="array" ref="AX68:AX68">IF(AND($R68=2,ACOMPANHAMENTO="BM"),ROUND(AX69,4),AX70/$S68)</f>
        <v>0</v>
      </c>
      <c r="AY68" s="422" t="n">
        <f aca="false" t="array" ref="AY68:AY68">IF(AND($R68=2,ACOMPANHAMENTO="BM"),ROUND(AY69,4),AY70/$S68)</f>
        <v>0</v>
      </c>
      <c r="AZ68" s="422" t="n">
        <f aca="false" t="array" ref="AZ68:AZ68">IF(AND($R68=2,ACOMPANHAMENTO="BM"),ROUND(AZ69,4),AZ70/$S68)</f>
        <v>0</v>
      </c>
      <c r="BA68" s="422" t="n">
        <f aca="false" t="array" ref="BA68:BA68">IF(AND($R68=2,ACOMPANHAMENTO="BM"),ROUND(BA69,4),BA70/$S68)</f>
        <v>0</v>
      </c>
      <c r="BB68" s="422" t="n">
        <f aca="false" t="array" ref="BB68:BB68">IF(AND($R68=2,ACOMPANHAMENTO="BM"),ROUND(BB69,4),BB70/$S68)</f>
        <v>0</v>
      </c>
      <c r="BC68" s="422" t="n">
        <f aca="false" t="array" ref="BC68:BC68">IF(AND($R68=2,ACOMPANHAMENTO="BM"),ROUND(BC69,4),BC70/$S68)</f>
        <v>0</v>
      </c>
      <c r="BD68" s="422" t="n">
        <f aca="false" t="array" ref="BD68:BD68">IF(AND($R68=2,ACOMPANHAMENTO="BM"),ROUND(BD69,4),BD70/$S68)</f>
        <v>0</v>
      </c>
      <c r="BE68" s="430"/>
    </row>
    <row r="69" customFormat="false" ht="12.75" hidden="true" customHeight="true" outlineLevel="0" collapsed="false">
      <c r="E69" s="431"/>
      <c r="F69" s="419" t="n">
        <f aca="true">IF(ISERROR(F68),IF(1+COUNTIF($M$13:OFFSET(M68,-1,0),1)&lt;=MAX(QCI!$D$13:$D$15),1+COUNTIF($M$13:OFFSET(M68,-1,0),1),-1),0)</f>
        <v>0</v>
      </c>
      <c r="G69" s="419" t="str">
        <f aca="true" t="array" ref="G69:G69">IF(ACOMPANHAMENTO="BM",OFFSET(G69,-1,0),"")</f>
        <v/>
      </c>
      <c r="H69" s="432" t="str">
        <f aca="false" t="array" ref="H69:H69">IF(OR(S68=0,S68=""),"vazia",IF(AND(OR(ACOMPANHAMENTO="PLE",$R68&lt;&gt;2),$F69=0),"calculada","--&gt;"))</f>
        <v>calculada</v>
      </c>
      <c r="I69" s="433"/>
      <c r="J69" s="434" t="str">
        <f aca="false">IF(AND(H68&lt;&gt;0,ISNUMBER(H68)),"PREENCHA ESTA LINHA --&gt;","")</f>
        <v/>
      </c>
      <c r="K69" s="434"/>
      <c r="L69" s="434"/>
      <c r="M69" s="435"/>
      <c r="N69" s="435"/>
      <c r="O69" s="435"/>
      <c r="P69" s="435"/>
      <c r="Q69" s="435"/>
      <c r="R69" s="435"/>
      <c r="S69" s="436"/>
      <c r="T69" s="437"/>
      <c r="U69" s="431"/>
      <c r="V69" s="431"/>
      <c r="W69" s="431"/>
      <c r="X69" s="431"/>
      <c r="Y69" s="431"/>
      <c r="Z69" s="431"/>
      <c r="AA69" s="431"/>
      <c r="AB69" s="431"/>
      <c r="AC69" s="431"/>
      <c r="AD69" s="431"/>
      <c r="AE69" s="431"/>
      <c r="AF69" s="431"/>
      <c r="AG69" s="431"/>
      <c r="AH69" s="431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31"/>
      <c r="AT69" s="431"/>
      <c r="AU69" s="431"/>
      <c r="AV69" s="431"/>
      <c r="AW69" s="431"/>
      <c r="AX69" s="431"/>
      <c r="AY69" s="431"/>
      <c r="AZ69" s="431"/>
      <c r="BA69" s="431"/>
      <c r="BB69" s="431"/>
      <c r="BC69" s="431"/>
      <c r="BD69" s="431"/>
      <c r="BE69" s="430"/>
    </row>
    <row r="70" customFormat="false" ht="12.75" hidden="true" customHeight="true" outlineLevel="0" collapsed="false">
      <c r="D70" s="438"/>
      <c r="E70" s="439" t="n">
        <f aca="false" t="array" ref="E70:E70">IF($R68=2,
         IF(AND(ACOMPANHAMENTO="PLE",ISNUMBER($F68)),
                SUMIF((OFFSET(CÁLCULO!$BS$15:$CS$15,$F68,0,OFFSET(ORÇAMENTO!$D$15,CRONO!$F68,0))),CRONO!E$12,OFFSET(CÁLCULO!$AR$15:$BR$15,$F68,0,OFFSET(ORÇAMENTO!$D$15,CRONO!$F68,0)))
                +IF(AND($F70&lt;&gt;"",$F70&lt;&gt;0),
                        SUMIF(CÁLCULO!$BS$15:$CS$205,CRONO!E$12,CÁLCULO!$AR$15:$BR$205)/(ORÇAMENTO!$X$15-_xlfn.single(CÁLCULO.TotalAdmLocal))*CRONO!$F70,
                        0),
                 E69*$S68),
          SUMIF(OFFSET($S70,1,0,$R68-2),($M68+1)&amp;"$",OFFSET(E70,1,0,$R68-2)))</f>
        <v>5421.93</v>
      </c>
      <c r="F70" s="419" t="str">
        <f aca="true">IF(OR($R68&lt;&gt;2,AUTOEVENTO&lt;&gt;"manual",$F69&gt;0),"",
        IF(Import.TipoArredondamento="Tradicional",
              SUMIF(OFFSET(CÁLCULO!$M$15,CRONO!$F68,0,OFFSET(ORÇAMENTO!$D$15,CRONO!$F68,0)),1,OFFSET(ORÇAMENTO!$X$15,CRONO!$F68,0,OFFSET(ORÇAMENTO!$D$15,CRONO!$F68,0))),
              0))</f>
        <v/>
      </c>
      <c r="H70" s="440"/>
      <c r="S70" s="441" t="str">
        <f aca="false">M68&amp;"$"</f>
        <v>2$</v>
      </c>
      <c r="T70" s="442"/>
      <c r="U70" s="439" t="n">
        <f aca="false" t="array" ref="U70:U70">IF($R68=2,
         IF(AND(ACOMPANHAMENTO="PLE",ISNUMBER($F68)),
                SUMIF((OFFSET(CÁLCULO!$BS$15:$CS$15,$F68,0,OFFSET(ORÇAMENTO!$D$15,CRONO!$F68,0))),CRONO!U$12,OFFSET(CÁLCULO!$AR$15:$BR$15,$F68,0,OFFSET(ORÇAMENTO!$D$15,CRONO!$F68,0)))
                +IF(AND($F70&lt;&gt;"",$F70&lt;&gt;0),
                        SUMIF(CÁLCULO!$BS$15:$CS$205,CRONO!U$12,CÁLCULO!$AR$15:$BR$205)/(ORÇAMENTO!$X$15-_xlfn.single(CÁLCULO.TotalAdmLocal))*CRONO!$F70,
                        0),
                 U69*$S68),
          SUMIF(OFFSET($S70,1,0,$R68-2),($M68+1)&amp;"$",OFFSET(U70,1,0,$R68-2)))</f>
        <v>5421.93</v>
      </c>
      <c r="V70" s="439" t="n">
        <f aca="false" t="array" ref="V70:V70">IF($R68=2,
         IF(AND(ACOMPANHAMENTO="PLE",ISNUMBER($F68)),
                SUMIF((OFFSET(CÁLCULO!$BS$15:$CS$15,$F68,0,OFFSET(ORÇAMENTO!$D$15,CRONO!$F68,0))),CRONO!V$12,OFFSET(CÁLCULO!$AR$15:$BR$15,$F68,0,OFFSET(ORÇAMENTO!$D$15,CRONO!$F68,0)))
                +IF(AND($F70&lt;&gt;"",$F70&lt;&gt;0),
                        SUMIF(CÁLCULO!$BS$15:$CS$205,CRONO!V$12,CÁLCULO!$AR$15:$BR$205)/(ORÇAMENTO!$X$15-_xlfn.single(CÁLCULO.TotalAdmLocal))*CRONO!$F70,
                        0),
                 V69*$S68),
          SUMIF(OFFSET($S70,1,0,$R68-2),($M68+1)&amp;"$",OFFSET(V70,1,0,$R68-2)))</f>
        <v>5421.93</v>
      </c>
      <c r="W70" s="439" t="n">
        <f aca="false" t="array" ref="W70:W70">IF($R68=2,
         IF(AND(ACOMPANHAMENTO="PLE",ISNUMBER($F68)),
                SUMIF((OFFSET(CÁLCULO!$BS$15:$CS$15,$F68,0,OFFSET(ORÇAMENTO!$D$15,CRONO!$F68,0))),CRONO!W$12,OFFSET(CÁLCULO!$AR$15:$BR$15,$F68,0,OFFSET(ORÇAMENTO!$D$15,CRONO!$F68,0)))
                +IF(AND($F70&lt;&gt;"",$F70&lt;&gt;0),
                        SUMIF(CÁLCULO!$BS$15:$CS$205,CRONO!W$12,CÁLCULO!$AR$15:$BR$205)/(ORÇAMENTO!$X$15-_xlfn.single(CÁLCULO.TotalAdmLocal))*CRONO!$F70,
                        0),
                 W69*$S68),
          SUMIF(OFFSET($S70,1,0,$R68-2),($M68+1)&amp;"$",OFFSET(W70,1,0,$R68-2)))</f>
        <v>5421.93</v>
      </c>
      <c r="X70" s="439" t="n">
        <f aca="false" t="array" ref="X70:X70">IF($R68=2,
         IF(AND(ACOMPANHAMENTO="PLE",ISNUMBER($F68)),
                SUMIF((OFFSET(CÁLCULO!$BS$15:$CS$15,$F68,0,OFFSET(ORÇAMENTO!$D$15,CRONO!$F68,0))),CRONO!X$12,OFFSET(CÁLCULO!$AR$15:$BR$15,$F68,0,OFFSET(ORÇAMENTO!$D$15,CRONO!$F68,0)))
                +IF(AND($F70&lt;&gt;"",$F70&lt;&gt;0),
                        SUMIF(CÁLCULO!$BS$15:$CS$205,CRONO!X$12,CÁLCULO!$AR$15:$BR$205)/(ORÇAMENTO!$X$15-_xlfn.single(CÁLCULO.TotalAdmLocal))*CRONO!$F70,
                        0),
                 X69*$S68),
          SUMIF(OFFSET($S70,1,0,$R68-2),($M68+1)&amp;"$",OFFSET(X70,1,0,$R68-2)))</f>
        <v>5421.93</v>
      </c>
      <c r="Y70" s="439" t="n">
        <f aca="false" t="array" ref="Y70:Y70">IF($R68=2,
         IF(AND(ACOMPANHAMENTO="PLE",ISNUMBER($F68)),
                SUMIF((OFFSET(CÁLCULO!$BS$15:$CS$15,$F68,0,OFFSET(ORÇAMENTO!$D$15,CRONO!$F68,0))),CRONO!Y$12,OFFSET(CÁLCULO!$AR$15:$BR$15,$F68,0,OFFSET(ORÇAMENTO!$D$15,CRONO!$F68,0)))
                +IF(AND($F70&lt;&gt;"",$F70&lt;&gt;0),
                        SUMIF(CÁLCULO!$BS$15:$CS$205,CRONO!Y$12,CÁLCULO!$AR$15:$BR$205)/(ORÇAMENTO!$X$15-_xlfn.single(CÁLCULO.TotalAdmLocal))*CRONO!$F70,
                        0),
                 Y69*$S68),
          SUMIF(OFFSET($S70,1,0,$R68-2),($M68+1)&amp;"$",OFFSET(Y70,1,0,$R68-2)))</f>
        <v>5421.93</v>
      </c>
      <c r="Z70" s="439" t="n">
        <f aca="false" t="array" ref="Z70:Z70">IF($R68=2,
         IF(AND(ACOMPANHAMENTO="PLE",ISNUMBER($F68)),
                SUMIF((OFFSET(CÁLCULO!$BS$15:$CS$15,$F68,0,OFFSET(ORÇAMENTO!$D$15,CRONO!$F68,0))),CRONO!Z$12,OFFSET(CÁLCULO!$AR$15:$BR$15,$F68,0,OFFSET(ORÇAMENTO!$D$15,CRONO!$F68,0)))
                +IF(AND($F70&lt;&gt;"",$F70&lt;&gt;0),
                        SUMIF(CÁLCULO!$BS$15:$CS$205,CRONO!Z$12,CÁLCULO!$AR$15:$BR$205)/(ORÇAMENTO!$X$15-_xlfn.single(CÁLCULO.TotalAdmLocal))*CRONO!$F70,
                        0),
                 Z69*$S68),
          SUMIF(OFFSET($S70,1,0,$R68-2),($M68+1)&amp;"$",OFFSET(Z70,1,0,$R68-2)))</f>
        <v>5421.93</v>
      </c>
      <c r="AA70" s="439" t="n">
        <f aca="false" t="array" ref="AA70:AA70">IF($R68=2,
         IF(AND(ACOMPANHAMENTO="PLE",ISNUMBER($F68)),
                SUMIF((OFFSET(CÁLCULO!$BS$15:$CS$15,$F68,0,OFFSET(ORÇAMENTO!$D$15,CRONO!$F68,0))),CRONO!AA$12,OFFSET(CÁLCULO!$AR$15:$BR$15,$F68,0,OFFSET(ORÇAMENTO!$D$15,CRONO!$F68,0)))
                +IF(AND($F70&lt;&gt;"",$F70&lt;&gt;0),
                        SUMIF(CÁLCULO!$BS$15:$CS$205,CRONO!AA$12,CÁLCULO!$AR$15:$BR$205)/(ORÇAMENTO!$X$15-_xlfn.single(CÁLCULO.TotalAdmLocal))*CRONO!$F70,
                        0),
                 AA69*$S68),
          SUMIF(OFFSET($S70,1,0,$R68-2),($M68+1)&amp;"$",OFFSET(AA70,1,0,$R68-2)))</f>
        <v>5421.93</v>
      </c>
      <c r="AB70" s="439" t="n">
        <f aca="false" t="array" ref="AB70:AB70">IF($R68=2,
         IF(AND(ACOMPANHAMENTO="PLE",ISNUMBER($F68)),
                SUMIF((OFFSET(CÁLCULO!$BS$15:$CS$15,$F68,0,OFFSET(ORÇAMENTO!$D$15,CRONO!$F68,0))),CRONO!AB$12,OFFSET(CÁLCULO!$AR$15:$BR$15,$F68,0,OFFSET(ORÇAMENTO!$D$15,CRONO!$F68,0)))
                +IF(AND($F70&lt;&gt;"",$F70&lt;&gt;0),
                        SUMIF(CÁLCULO!$BS$15:$CS$205,CRONO!AB$12,CÁLCULO!$AR$15:$BR$205)/(ORÇAMENTO!$X$15-_xlfn.single(CÁLCULO.TotalAdmLocal))*CRONO!$F70,
                        0),
                 AB69*$S68),
          SUMIF(OFFSET($S70,1,0,$R68-2),($M68+1)&amp;"$",OFFSET(AB70,1,0,$R68-2)))</f>
        <v>5421.93</v>
      </c>
      <c r="AC70" s="439" t="n">
        <f aca="false" t="array" ref="AC70:AC70">IF($R68=2,
         IF(AND(ACOMPANHAMENTO="PLE",ISNUMBER($F68)),
                SUMIF((OFFSET(CÁLCULO!$BS$15:$CS$15,$F68,0,OFFSET(ORÇAMENTO!$D$15,CRONO!$F68,0))),CRONO!AC$12,OFFSET(CÁLCULO!$AR$15:$BR$15,$F68,0,OFFSET(ORÇAMENTO!$D$15,CRONO!$F68,0)))
                +IF(AND($F70&lt;&gt;"",$F70&lt;&gt;0),
                        SUMIF(CÁLCULO!$BS$15:$CS$205,CRONO!AC$12,CÁLCULO!$AR$15:$BR$205)/(ORÇAMENTO!$X$15-_xlfn.single(CÁLCULO.TotalAdmLocal))*CRONO!$F70,
                        0),
                 AC69*$S68),
          SUMIF(OFFSET($S70,1,0,$R68-2),($M68+1)&amp;"$",OFFSET(AC70,1,0,$R68-2)))</f>
        <v>5421.93</v>
      </c>
      <c r="AD70" s="439" t="n">
        <f aca="false" t="array" ref="AD70:AD70">IF($R68=2,
         IF(AND(ACOMPANHAMENTO="PLE",ISNUMBER($F68)),
                SUMIF((OFFSET(CÁLCULO!$BS$15:$CS$15,$F68,0,OFFSET(ORÇAMENTO!$D$15,CRONO!$F68,0))),CRONO!AD$12,OFFSET(CÁLCULO!$AR$15:$BR$15,$F68,0,OFFSET(ORÇAMENTO!$D$15,CRONO!$F68,0)))
                +IF(AND($F70&lt;&gt;"",$F70&lt;&gt;0),
                        SUMIF(CÁLCULO!$BS$15:$CS$205,CRONO!AD$12,CÁLCULO!$AR$15:$BR$205)/(ORÇAMENTO!$X$15-_xlfn.single(CÁLCULO.TotalAdmLocal))*CRONO!$F70,
                        0),
                 AD69*$S68),
          SUMIF(OFFSET($S70,1,0,$R68-2),($M68+1)&amp;"$",OFFSET(AD70,1,0,$R68-2)))</f>
        <v>5421.93</v>
      </c>
      <c r="AE70" s="439" t="n">
        <f aca="false" t="array" ref="AE70:AE70">IF($R68=2,
         IF(AND(ACOMPANHAMENTO="PLE",ISNUMBER($F68)),
                SUMIF((OFFSET(CÁLCULO!$BS$15:$CS$15,$F68,0,OFFSET(ORÇAMENTO!$D$15,CRONO!$F68,0))),CRONO!AE$12,OFFSET(CÁLCULO!$AR$15:$BR$15,$F68,0,OFFSET(ORÇAMENTO!$D$15,CRONO!$F68,0)))
                +IF(AND($F70&lt;&gt;"",$F70&lt;&gt;0),
                        SUMIF(CÁLCULO!$BS$15:$CS$205,CRONO!AE$12,CÁLCULO!$AR$15:$BR$205)/(ORÇAMENTO!$X$15-_xlfn.single(CÁLCULO.TotalAdmLocal))*CRONO!$F70,
                        0),
                 AE69*$S68),
          SUMIF(OFFSET($S70,1,0,$R68-2),($M68+1)&amp;"$",OFFSET(AE70,1,0,$R68-2)))</f>
        <v>5421.93</v>
      </c>
      <c r="AF70" s="439" t="n">
        <f aca="false" t="array" ref="AF70:AF70">IF($R68=2,
         IF(AND(ACOMPANHAMENTO="PLE",ISNUMBER($F68)),
                SUMIF((OFFSET(CÁLCULO!$BS$15:$CS$15,$F68,0,OFFSET(ORÇAMENTO!$D$15,CRONO!$F68,0))),CRONO!AF$12,OFFSET(CÁLCULO!$AR$15:$BR$15,$F68,0,OFFSET(ORÇAMENTO!$D$15,CRONO!$F68,0)))
                +IF(AND($F70&lt;&gt;"",$F70&lt;&gt;0),
                        SUMIF(CÁLCULO!$BS$15:$CS$205,CRONO!AF$12,CÁLCULO!$AR$15:$BR$205)/(ORÇAMENTO!$X$15-_xlfn.single(CÁLCULO.TotalAdmLocal))*CRONO!$F70,
                        0),
                 AF69*$S68),
          SUMIF(OFFSET($S70,1,0,$R68-2),($M68+1)&amp;"$",OFFSET(AF70,1,0,$R68-2)))</f>
        <v>5421.93</v>
      </c>
      <c r="AG70" s="439" t="n">
        <f aca="false" t="array" ref="AG70:AG70">IF($R68=2,
         IF(AND(ACOMPANHAMENTO="PLE",ISNUMBER($F68)),
                SUMIF((OFFSET(CÁLCULO!$BS$15:$CS$15,$F68,0,OFFSET(ORÇAMENTO!$D$15,CRONO!$F68,0))),CRONO!AG$12,OFFSET(CÁLCULO!$AR$15:$BR$15,$F68,0,OFFSET(ORÇAMENTO!$D$15,CRONO!$F68,0)))
                +IF(AND($F70&lt;&gt;"",$F70&lt;&gt;0),
                        SUMIF(CÁLCULO!$BS$15:$CS$205,CRONO!AG$12,CÁLCULO!$AR$15:$BR$205)/(ORÇAMENTO!$X$15-_xlfn.single(CÁLCULO.TotalAdmLocal))*CRONO!$F70,
                        0),
                 AG69*$S68),
          SUMIF(OFFSET($S70,1,0,$R68-2),($M68+1)&amp;"$",OFFSET(AG70,1,0,$R68-2)))</f>
        <v>5421.93</v>
      </c>
      <c r="AH70" s="439" t="n">
        <f aca="false" t="array" ref="AH70:AH70">IF($R68=2,
         IF(AND(ACOMPANHAMENTO="PLE",ISNUMBER($F68)),
                SUMIF((OFFSET(CÁLCULO!$BS$15:$CS$15,$F68,0,OFFSET(ORÇAMENTO!$D$15,CRONO!$F68,0))),CRONO!AH$12,OFFSET(CÁLCULO!$AR$15:$BR$15,$F68,0,OFFSET(ORÇAMENTO!$D$15,CRONO!$F68,0)))
                +IF(AND($F70&lt;&gt;"",$F70&lt;&gt;0),
                        SUMIF(CÁLCULO!$BS$15:$CS$205,CRONO!AH$12,CÁLCULO!$AR$15:$BR$205)/(ORÇAMENTO!$X$15-_xlfn.single(CÁLCULO.TotalAdmLocal))*CRONO!$F70,
                        0),
                 AH69*$S68),
          SUMIF(OFFSET($S70,1,0,$R68-2),($M68+1)&amp;"$",OFFSET(AH70,1,0,$R68-2)))</f>
        <v>5421.93</v>
      </c>
      <c r="AI70" s="439" t="n">
        <f aca="false" t="array" ref="AI70:AI70">IF($R68=2,
         IF(AND(ACOMPANHAMENTO="PLE",ISNUMBER($F68)),
                SUMIF((OFFSET(CÁLCULO!$BS$15:$CS$15,$F68,0,OFFSET(ORÇAMENTO!$D$15,CRONO!$F68,0))),CRONO!AI$12,OFFSET(CÁLCULO!$AR$15:$BR$15,$F68,0,OFFSET(ORÇAMENTO!$D$15,CRONO!$F68,0)))
                +IF(AND($F70&lt;&gt;"",$F70&lt;&gt;0),
                        SUMIF(CÁLCULO!$BS$15:$CS$205,CRONO!AI$12,CÁLCULO!$AR$15:$BR$205)/(ORÇAMENTO!$X$15-_xlfn.single(CÁLCULO.TotalAdmLocal))*CRONO!$F70,
                        0),
                 AI69*$S68),
          SUMIF(OFFSET($S70,1,0,$R68-2),($M68+1)&amp;"$",OFFSET(AI70,1,0,$R68-2)))</f>
        <v>5421.93</v>
      </c>
      <c r="AJ70" s="439" t="n">
        <f aca="false" t="array" ref="AJ70:AJ70">IF($R68=2,
         IF(AND(ACOMPANHAMENTO="PLE",ISNUMBER($F68)),
                SUMIF((OFFSET(CÁLCULO!$BS$15:$CS$15,$F68,0,OFFSET(ORÇAMENTO!$D$15,CRONO!$F68,0))),CRONO!AJ$12,OFFSET(CÁLCULO!$AR$15:$BR$15,$F68,0,OFFSET(ORÇAMENTO!$D$15,CRONO!$F68,0)))
                +IF(AND($F70&lt;&gt;"",$F70&lt;&gt;0),
                        SUMIF(CÁLCULO!$BS$15:$CS$205,CRONO!AJ$12,CÁLCULO!$AR$15:$BR$205)/(ORÇAMENTO!$X$15-_xlfn.single(CÁLCULO.TotalAdmLocal))*CRONO!$F70,
                        0),
                 AJ69*$S68),
          SUMIF(OFFSET($S70,1,0,$R68-2),($M68+1)&amp;"$",OFFSET(AJ70,1,0,$R68-2)))</f>
        <v>5421.93</v>
      </c>
      <c r="AK70" s="439" t="n">
        <f aca="false" t="array" ref="AK70:AK70">IF($R68=2,
         IF(AND(ACOMPANHAMENTO="PLE",ISNUMBER($F68)),
                SUMIF((OFFSET(CÁLCULO!$BS$15:$CS$15,$F68,0,OFFSET(ORÇAMENTO!$D$15,CRONO!$F68,0))),CRONO!AK$12,OFFSET(CÁLCULO!$AR$15:$BR$15,$F68,0,OFFSET(ORÇAMENTO!$D$15,CRONO!$F68,0)))
                +IF(AND($F70&lt;&gt;"",$F70&lt;&gt;0),
                        SUMIF(CÁLCULO!$BS$15:$CS$205,CRONO!AK$12,CÁLCULO!$AR$15:$BR$205)/(ORÇAMENTO!$X$15-_xlfn.single(CÁLCULO.TotalAdmLocal))*CRONO!$F70,
                        0),
                 AK69*$S68),
          SUMIF(OFFSET($S70,1,0,$R68-2),($M68+1)&amp;"$",OFFSET(AK70,1,0,$R68-2)))</f>
        <v>5421.93</v>
      </c>
      <c r="AL70" s="439" t="n">
        <f aca="false" t="array" ref="AL70:AL70">IF($R68=2,
         IF(AND(ACOMPANHAMENTO="PLE",ISNUMBER($F68)),
                SUMIF((OFFSET(CÁLCULO!$BS$15:$CS$15,$F68,0,OFFSET(ORÇAMENTO!$D$15,CRONO!$F68,0))),CRONO!AL$12,OFFSET(CÁLCULO!$AR$15:$BR$15,$F68,0,OFFSET(ORÇAMENTO!$D$15,CRONO!$F68,0)))
                +IF(AND($F70&lt;&gt;"",$F70&lt;&gt;0),
                        SUMIF(CÁLCULO!$BS$15:$CS$205,CRONO!AL$12,CÁLCULO!$AR$15:$BR$205)/(ORÇAMENTO!$X$15-_xlfn.single(CÁLCULO.TotalAdmLocal))*CRONO!$F70,
                        0),
                 AL69*$S68),
          SUMIF(OFFSET($S70,1,0,$R68-2),($M68+1)&amp;"$",OFFSET(AL70,1,0,$R68-2)))</f>
        <v>5421.93</v>
      </c>
      <c r="AM70" s="439" t="n">
        <f aca="false" t="array" ref="AM70:AM70">IF($R68=2,
         IF(AND(ACOMPANHAMENTO="PLE",ISNUMBER($F68)),
                SUMIF((OFFSET(CÁLCULO!$BS$15:$CS$15,$F68,0,OFFSET(ORÇAMENTO!$D$15,CRONO!$F68,0))),CRONO!AM$12,OFFSET(CÁLCULO!$AR$15:$BR$15,$F68,0,OFFSET(ORÇAMENTO!$D$15,CRONO!$F68,0)))
                +IF(AND($F70&lt;&gt;"",$F70&lt;&gt;0),
                        SUMIF(CÁLCULO!$BS$15:$CS$205,CRONO!AM$12,CÁLCULO!$AR$15:$BR$205)/(ORÇAMENTO!$X$15-_xlfn.single(CÁLCULO.TotalAdmLocal))*CRONO!$F70,
                        0),
                 AM69*$S68),
          SUMIF(OFFSET($S70,1,0,$R68-2),($M68+1)&amp;"$",OFFSET(AM70,1,0,$R68-2)))</f>
        <v>5421.93</v>
      </c>
      <c r="AN70" s="439" t="n">
        <f aca="false" t="array" ref="AN70:AN70">IF($R68=2,
         IF(AND(ACOMPANHAMENTO="PLE",ISNUMBER($F68)),
                SUMIF((OFFSET(CÁLCULO!$BS$15:$CS$15,$F68,0,OFFSET(ORÇAMENTO!$D$15,CRONO!$F68,0))),CRONO!AN$12,OFFSET(CÁLCULO!$AR$15:$BR$15,$F68,0,OFFSET(ORÇAMENTO!$D$15,CRONO!$F68,0)))
                +IF(AND($F70&lt;&gt;"",$F70&lt;&gt;0),
                        SUMIF(CÁLCULO!$BS$15:$CS$205,CRONO!AN$12,CÁLCULO!$AR$15:$BR$205)/(ORÇAMENTO!$X$15-_xlfn.single(CÁLCULO.TotalAdmLocal))*CRONO!$F70,
                        0),
                 AN69*$S68),
          SUMIF(OFFSET($S70,1,0,$R68-2),($M68+1)&amp;"$",OFFSET(AN70,1,0,$R68-2)))</f>
        <v>5421.93</v>
      </c>
      <c r="AO70" s="439" t="n">
        <f aca="false" t="array" ref="AO70:AO70">IF($R68=2,
         IF(AND(ACOMPANHAMENTO="PLE",ISNUMBER($F68)),
                SUMIF((OFFSET(CÁLCULO!$BS$15:$CS$15,$F68,0,OFFSET(ORÇAMENTO!$D$15,CRONO!$F68,0))),CRONO!AO$12,OFFSET(CÁLCULO!$AR$15:$BR$15,$F68,0,OFFSET(ORÇAMENTO!$D$15,CRONO!$F68,0)))
                +IF(AND($F70&lt;&gt;"",$F70&lt;&gt;0),
                        SUMIF(CÁLCULO!$BS$15:$CS$205,CRONO!AO$12,CÁLCULO!$AR$15:$BR$205)/(ORÇAMENTO!$X$15-_xlfn.single(CÁLCULO.TotalAdmLocal))*CRONO!$F70,
                        0),
                 AO69*$S68),
          SUMIF(OFFSET($S70,1,0,$R68-2),($M68+1)&amp;"$",OFFSET(AO70,1,0,$R68-2)))</f>
        <v>5421.93</v>
      </c>
      <c r="AP70" s="439" t="n">
        <f aca="false" t="array" ref="AP70:AP70">IF($R68=2,
         IF(AND(ACOMPANHAMENTO="PLE",ISNUMBER($F68)),
                SUMIF((OFFSET(CÁLCULO!$BS$15:$CS$15,$F68,0,OFFSET(ORÇAMENTO!$D$15,CRONO!$F68,0))),CRONO!AP$12,OFFSET(CÁLCULO!$AR$15:$BR$15,$F68,0,OFFSET(ORÇAMENTO!$D$15,CRONO!$F68,0)))
                +IF(AND($F70&lt;&gt;"",$F70&lt;&gt;0),
                        SUMIF(CÁLCULO!$BS$15:$CS$205,CRONO!AP$12,CÁLCULO!$AR$15:$BR$205)/(ORÇAMENTO!$X$15-_xlfn.single(CÁLCULO.TotalAdmLocal))*CRONO!$F70,
                        0),
                 AP69*$S68),
          SUMIF(OFFSET($S70,1,0,$R68-2),($M68+1)&amp;"$",OFFSET(AP70,1,0,$R68-2)))</f>
        <v>5421.93</v>
      </c>
      <c r="AQ70" s="439" t="n">
        <f aca="false" t="array" ref="AQ70:AQ70">IF($R68=2,
         IF(AND(ACOMPANHAMENTO="PLE",ISNUMBER($F68)),
                SUMIF((OFFSET(CÁLCULO!$BS$15:$CS$15,$F68,0,OFFSET(ORÇAMENTO!$D$15,CRONO!$F68,0))),CRONO!AQ$12,OFFSET(CÁLCULO!$AR$15:$BR$15,$F68,0,OFFSET(ORÇAMENTO!$D$15,CRONO!$F68,0)))
                +IF(AND($F70&lt;&gt;"",$F70&lt;&gt;0),
                        SUMIF(CÁLCULO!$BS$15:$CS$205,CRONO!AQ$12,CÁLCULO!$AR$15:$BR$205)/(ORÇAMENTO!$X$15-_xlfn.single(CÁLCULO.TotalAdmLocal))*CRONO!$F70,
                        0),
                 AQ69*$S68),
          SUMIF(OFFSET($S70,1,0,$R68-2),($M68+1)&amp;"$",OFFSET(AQ70,1,0,$R68-2)))</f>
        <v>5421.93</v>
      </c>
      <c r="AR70" s="439" t="n">
        <f aca="false" t="array" ref="AR70:AR70">IF($R68=2,
         IF(AND(ACOMPANHAMENTO="PLE",ISNUMBER($F68)),
                SUMIF((OFFSET(CÁLCULO!$BS$15:$CS$15,$F68,0,OFFSET(ORÇAMENTO!$D$15,CRONO!$F68,0))),CRONO!AR$12,OFFSET(CÁLCULO!$AR$15:$BR$15,$F68,0,OFFSET(ORÇAMENTO!$D$15,CRONO!$F68,0)))
                +IF(AND($F70&lt;&gt;"",$F70&lt;&gt;0),
                        SUMIF(CÁLCULO!$BS$15:$CS$205,CRONO!AR$12,CÁLCULO!$AR$15:$BR$205)/(ORÇAMENTO!$X$15-_xlfn.single(CÁLCULO.TotalAdmLocal))*CRONO!$F70,
                        0),
                 AR69*$S68),
          SUMIF(OFFSET($S70,1,0,$R68-2),($M68+1)&amp;"$",OFFSET(AR70,1,0,$R68-2)))</f>
        <v>5421.93</v>
      </c>
      <c r="AS70" s="439" t="n">
        <f aca="false" t="array" ref="AS70:AS70">IF($R68=2,
         IF(AND(ACOMPANHAMENTO="PLE",ISNUMBER($F68)),
                SUMIF((OFFSET(CÁLCULO!$BS$15:$CS$15,$F68,0,OFFSET(ORÇAMENTO!$D$15,CRONO!$F68,0))),CRONO!AS$12,OFFSET(CÁLCULO!$AR$15:$BR$15,$F68,0,OFFSET(ORÇAMENTO!$D$15,CRONO!$F68,0)))
                +IF(AND($F70&lt;&gt;"",$F70&lt;&gt;0),
                        SUMIF(CÁLCULO!$BS$15:$CS$205,CRONO!AS$12,CÁLCULO!$AR$15:$BR$205)/(ORÇAMENTO!$X$15-_xlfn.single(CÁLCULO.TotalAdmLocal))*CRONO!$F70,
                        0),
                 AS69*$S68),
          SUMIF(OFFSET($S70,1,0,$R68-2),($M68+1)&amp;"$",OFFSET(AS70,1,0,$R68-2)))</f>
        <v>5421.93</v>
      </c>
      <c r="AT70" s="439" t="n">
        <f aca="false" t="array" ref="AT70:AT70">IF($R68=2,
         IF(AND(ACOMPANHAMENTO="PLE",ISNUMBER($F68)),
                SUMIF((OFFSET(CÁLCULO!$BS$15:$CS$15,$F68,0,OFFSET(ORÇAMENTO!$D$15,CRONO!$F68,0))),CRONO!AT$12,OFFSET(CÁLCULO!$AR$15:$BR$15,$F68,0,OFFSET(ORÇAMENTO!$D$15,CRONO!$F68,0)))
                +IF(AND($F70&lt;&gt;"",$F70&lt;&gt;0),
                        SUMIF(CÁLCULO!$BS$15:$CS$205,CRONO!AT$12,CÁLCULO!$AR$15:$BR$205)/(ORÇAMENTO!$X$15-_xlfn.single(CÁLCULO.TotalAdmLocal))*CRONO!$F70,
                        0),
                 AT69*$S68),
          SUMIF(OFFSET($S70,1,0,$R68-2),($M68+1)&amp;"$",OFFSET(AT70,1,0,$R68-2)))</f>
        <v>0</v>
      </c>
      <c r="AU70" s="439" t="n">
        <f aca="false" t="array" ref="AU70:AU70">IF($R68=2,
         IF(AND(ACOMPANHAMENTO="PLE",ISNUMBER($F68)),
                SUMIF((OFFSET(CÁLCULO!$BS$15:$CS$15,$F68,0,OFFSET(ORÇAMENTO!$D$15,CRONO!$F68,0))),CRONO!AU$12,OFFSET(CÁLCULO!$AR$15:$BR$15,$F68,0,OFFSET(ORÇAMENTO!$D$15,CRONO!$F68,0)))
                +IF(AND($F70&lt;&gt;"",$F70&lt;&gt;0),
                        SUMIF(CÁLCULO!$BS$15:$CS$205,CRONO!AU$12,CÁLCULO!$AR$15:$BR$205)/(ORÇAMENTO!$X$15-_xlfn.single(CÁLCULO.TotalAdmLocal))*CRONO!$F70,
                        0),
                 AU69*$S68),
          SUMIF(OFFSET($S70,1,0,$R68-2),($M68+1)&amp;"$",OFFSET(AU70,1,0,$R68-2)))</f>
        <v>0</v>
      </c>
      <c r="AV70" s="439" t="n">
        <f aca="false" t="array" ref="AV70:AV70">IF($R68=2,
         IF(AND(ACOMPANHAMENTO="PLE",ISNUMBER($F68)),
                SUMIF((OFFSET(CÁLCULO!$BS$15:$CS$15,$F68,0,OFFSET(ORÇAMENTO!$D$15,CRONO!$F68,0))),CRONO!AV$12,OFFSET(CÁLCULO!$AR$15:$BR$15,$F68,0,OFFSET(ORÇAMENTO!$D$15,CRONO!$F68,0)))
                +IF(AND($F70&lt;&gt;"",$F70&lt;&gt;0),
                        SUMIF(CÁLCULO!$BS$15:$CS$205,CRONO!AV$12,CÁLCULO!$AR$15:$BR$205)/(ORÇAMENTO!$X$15-_xlfn.single(CÁLCULO.TotalAdmLocal))*CRONO!$F70,
                        0),
                 AV69*$S68),
          SUMIF(OFFSET($S70,1,0,$R68-2),($M68+1)&amp;"$",OFFSET(AV70,1,0,$R68-2)))</f>
        <v>0</v>
      </c>
      <c r="AW70" s="439" t="n">
        <f aca="false" t="array" ref="AW70:AW70">IF($R68=2,
         IF(AND(ACOMPANHAMENTO="PLE",ISNUMBER($F68)),
                SUMIF((OFFSET(CÁLCULO!$BS$15:$CS$15,$F68,0,OFFSET(ORÇAMENTO!$D$15,CRONO!$F68,0))),CRONO!AW$12,OFFSET(CÁLCULO!$AR$15:$BR$15,$F68,0,OFFSET(ORÇAMENTO!$D$15,CRONO!$F68,0)))
                +IF(AND($F70&lt;&gt;"",$F70&lt;&gt;0),
                        SUMIF(CÁLCULO!$BS$15:$CS$205,CRONO!AW$12,CÁLCULO!$AR$15:$BR$205)/(ORÇAMENTO!$X$15-_xlfn.single(CÁLCULO.TotalAdmLocal))*CRONO!$F70,
                        0),
                 AW69*$S68),
          SUMIF(OFFSET($S70,1,0,$R68-2),($M68+1)&amp;"$",OFFSET(AW70,1,0,$R68-2)))</f>
        <v>0</v>
      </c>
      <c r="AX70" s="439" t="n">
        <f aca="false" t="array" ref="AX70:AX70">IF($R68=2,
         IF(AND(ACOMPANHAMENTO="PLE",ISNUMBER($F68)),
                SUMIF((OFFSET(CÁLCULO!$BS$15:$CS$15,$F68,0,OFFSET(ORÇAMENTO!$D$15,CRONO!$F68,0))),CRONO!AX$12,OFFSET(CÁLCULO!$AR$15:$BR$15,$F68,0,OFFSET(ORÇAMENTO!$D$15,CRONO!$F68,0)))
                +IF(AND($F70&lt;&gt;"",$F70&lt;&gt;0),
                        SUMIF(CÁLCULO!$BS$15:$CS$205,CRONO!AX$12,CÁLCULO!$AR$15:$BR$205)/(ORÇAMENTO!$X$15-_xlfn.single(CÁLCULO.TotalAdmLocal))*CRONO!$F70,
                        0),
                 AX69*$S68),
          SUMIF(OFFSET($S70,1,0,$R68-2),($M68+1)&amp;"$",OFFSET(AX70,1,0,$R68-2)))</f>
        <v>0</v>
      </c>
      <c r="AY70" s="439" t="n">
        <f aca="false" t="array" ref="AY70:AY70">IF($R68=2,
         IF(AND(ACOMPANHAMENTO="PLE",ISNUMBER($F68)),
                SUMIF((OFFSET(CÁLCULO!$BS$15:$CS$15,$F68,0,OFFSET(ORÇAMENTO!$D$15,CRONO!$F68,0))),CRONO!AY$12,OFFSET(CÁLCULO!$AR$15:$BR$15,$F68,0,OFFSET(ORÇAMENTO!$D$15,CRONO!$F68,0)))
                +IF(AND($F70&lt;&gt;"",$F70&lt;&gt;0),
                        SUMIF(CÁLCULO!$BS$15:$CS$205,CRONO!AY$12,CÁLCULO!$AR$15:$BR$205)/(ORÇAMENTO!$X$15-_xlfn.single(CÁLCULO.TotalAdmLocal))*CRONO!$F70,
                        0),
                 AY69*$S68),
          SUMIF(OFFSET($S70,1,0,$R68-2),($M68+1)&amp;"$",OFFSET(AY70,1,0,$R68-2)))</f>
        <v>0</v>
      </c>
      <c r="AZ70" s="439" t="n">
        <f aca="false" t="array" ref="AZ70:AZ70">IF($R68=2,
         IF(AND(ACOMPANHAMENTO="PLE",ISNUMBER($F68)),
                SUMIF((OFFSET(CÁLCULO!$BS$15:$CS$15,$F68,0,OFFSET(ORÇAMENTO!$D$15,CRONO!$F68,0))),CRONO!AZ$12,OFFSET(CÁLCULO!$AR$15:$BR$15,$F68,0,OFFSET(ORÇAMENTO!$D$15,CRONO!$F68,0)))
                +IF(AND($F70&lt;&gt;"",$F70&lt;&gt;0),
                        SUMIF(CÁLCULO!$BS$15:$CS$205,CRONO!AZ$12,CÁLCULO!$AR$15:$BR$205)/(ORÇAMENTO!$X$15-_xlfn.single(CÁLCULO.TotalAdmLocal))*CRONO!$F70,
                        0),
                 AZ69*$S68),
          SUMIF(OFFSET($S70,1,0,$R68-2),($M68+1)&amp;"$",OFFSET(AZ70,1,0,$R68-2)))</f>
        <v>0</v>
      </c>
      <c r="BA70" s="439" t="n">
        <f aca="false" t="array" ref="BA70:BA70">IF($R68=2,
         IF(AND(ACOMPANHAMENTO="PLE",ISNUMBER($F68)),
                SUMIF((OFFSET(CÁLCULO!$BS$15:$CS$15,$F68,0,OFFSET(ORÇAMENTO!$D$15,CRONO!$F68,0))),CRONO!BA$12,OFFSET(CÁLCULO!$AR$15:$BR$15,$F68,0,OFFSET(ORÇAMENTO!$D$15,CRONO!$F68,0)))
                +IF(AND($F70&lt;&gt;"",$F70&lt;&gt;0),
                        SUMIF(CÁLCULO!$BS$15:$CS$205,CRONO!BA$12,CÁLCULO!$AR$15:$BR$205)/(ORÇAMENTO!$X$15-_xlfn.single(CÁLCULO.TotalAdmLocal))*CRONO!$F70,
                        0),
                 BA69*$S68),
          SUMIF(OFFSET($S70,1,0,$R68-2),($M68+1)&amp;"$",OFFSET(BA70,1,0,$R68-2)))</f>
        <v>0</v>
      </c>
      <c r="BB70" s="439" t="n">
        <f aca="false" t="array" ref="BB70:BB70">IF($R68=2,
         IF(AND(ACOMPANHAMENTO="PLE",ISNUMBER($F68)),
                SUMIF((OFFSET(CÁLCULO!$BS$15:$CS$15,$F68,0,OFFSET(ORÇAMENTO!$D$15,CRONO!$F68,0))),CRONO!BB$12,OFFSET(CÁLCULO!$AR$15:$BR$15,$F68,0,OFFSET(ORÇAMENTO!$D$15,CRONO!$F68,0)))
                +IF(AND($F70&lt;&gt;"",$F70&lt;&gt;0),
                        SUMIF(CÁLCULO!$BS$15:$CS$205,CRONO!BB$12,CÁLCULO!$AR$15:$BR$205)/(ORÇAMENTO!$X$15-_xlfn.single(CÁLCULO.TotalAdmLocal))*CRONO!$F70,
                        0),
                 BB69*$S68),
          SUMIF(OFFSET($S70,1,0,$R68-2),($M68+1)&amp;"$",OFFSET(BB70,1,0,$R68-2)))</f>
        <v>0</v>
      </c>
      <c r="BC70" s="439" t="n">
        <f aca="false" t="array" ref="BC70:BC70">IF($R68=2,
         IF(AND(ACOMPANHAMENTO="PLE",ISNUMBER($F68)),
                SUMIF((OFFSET(CÁLCULO!$BS$15:$CS$15,$F68,0,OFFSET(ORÇAMENTO!$D$15,CRONO!$F68,0))),CRONO!BC$12,OFFSET(CÁLCULO!$AR$15:$BR$15,$F68,0,OFFSET(ORÇAMENTO!$D$15,CRONO!$F68,0)))
                +IF(AND($F70&lt;&gt;"",$F70&lt;&gt;0),
                        SUMIF(CÁLCULO!$BS$15:$CS$205,CRONO!BC$12,CÁLCULO!$AR$15:$BR$205)/(ORÇAMENTO!$X$15-_xlfn.single(CÁLCULO.TotalAdmLocal))*CRONO!$F70,
                        0),
                 BC69*$S68),
          SUMIF(OFFSET($S70,1,0,$R68-2),($M68+1)&amp;"$",OFFSET(BC70,1,0,$R68-2)))</f>
        <v>0</v>
      </c>
      <c r="BD70" s="439" t="n">
        <f aca="false" t="array" ref="BD70:BD70">IF($R68=2,
         IF(AND(ACOMPANHAMENTO="PLE",ISNUMBER($F68)),
                SUMIF((OFFSET(CÁLCULO!$BS$15:$CS$15,$F68,0,OFFSET(ORÇAMENTO!$D$15,CRONO!$F68,0))),CRONO!BD$12,OFFSET(CÁLCULO!$AR$15:$BR$15,$F68,0,OFFSET(ORÇAMENTO!$D$15,CRONO!$F68,0)))
                +IF(AND($F70&lt;&gt;"",$F70&lt;&gt;0),
                        SUMIF(CÁLCULO!$BS$15:$CS$205,CRONO!BD$12,CÁLCULO!$AR$15:$BR$205)/(ORÇAMENTO!$X$15-_xlfn.single(CÁLCULO.TotalAdmLocal))*CRONO!$F70,
                        0),
                 BD69*$S68),
          SUMIF(OFFSET($S70,1,0,$R68-2),($M68+1)&amp;"$",OFFSET(BD70,1,0,$R68-2)))</f>
        <v>0</v>
      </c>
      <c r="BE70" s="430"/>
    </row>
    <row r="71" customFormat="false" ht="12.75" hidden="false" customHeight="false" outlineLevel="0" collapsed="false">
      <c r="A71" s="382" t="str">
        <f aca="false">IF($M71&gt;1,_xlfn.CONCAT($I71," ",$J71),"")</f>
        <v>1.19. REVESTIMENTOS CERÂMICOS</v>
      </c>
      <c r="B71" s="419" t="n">
        <f aca="true">OFFSET(B71,-3,0)+1</f>
        <v>20</v>
      </c>
      <c r="C71" s="419" t="n">
        <f aca="true">IF($R71&lt;&gt;2,0,IF($S71=0,1,IF(F72&gt;0,OFFSET(QCI!$M$13,SUBSTITUTE(F72,".",""),0),OFFSET(ORÇAMENTO!$AA$15,CRONO!$F71,0))/$S71))</f>
        <v>0.110981526562671</v>
      </c>
      <c r="D71" s="419" t="n">
        <f aca="true">IF($R71&lt;&gt;2,0,IF($S71=0,1,IF(F72&gt;0,OFFSET(QCI!$N$13,SUBSTITUTE(F72,".",""),0),OFFSET(ORÇAMENTO!$AB$15,CRONO!$F71,0))/$S71))</f>
        <v>0</v>
      </c>
      <c r="E71" s="422" t="n">
        <f aca="false" t="array" ref="E71:E71">IF(AND($R71=2,ACOMPANHAMENTO="BM"),ROUND(E72,4),E73/$S71)</f>
        <v>0.04</v>
      </c>
      <c r="F71" s="419" t="n">
        <f aca="true">IF(B71&lt;=ORÇAMENTO.MáximoListaCrono,MATCH(B71,ORÇAMENTO.ListaCrono,0),NA())</f>
        <v>67</v>
      </c>
      <c r="G71" s="419" t="str">
        <f aca="false">IF(AND($F72&lt;&gt;-1,$S71&gt;0),"F","")</f>
        <v>F</v>
      </c>
      <c r="H71" s="423" t="str">
        <f aca="false" t="array" ref="H71:H71">IF(OR(S71=0,S71=""),"Linha",IF(AND(OR(ACOMPANHAMENTO="PLE",$R71&lt;&gt;2),$F72=0),"Linha",ROUND(1-SUM(U71:BE71),4)))</f>
        <v>Linha</v>
      </c>
      <c r="I71" s="424" t="str">
        <f aca="true">IF($F72=0,OFFSET(ORÇAMENTO!O$15,$F71,0),IF($F72&lt;&gt;-1,OFFSET(QCI!$D$13,$F72,0),""))</f>
        <v>1.19.</v>
      </c>
      <c r="J71" s="425" t="str">
        <f aca="true">IF($F72=0,OFFSET(ORÇAMENTO!R$15,$F71,0),IF($F72&lt;&gt;-1,OFFSET(QCI!$G$13,$F72,0),""))</f>
        <v>REVESTIMENTOS CERÂMICOS</v>
      </c>
      <c r="K71" s="425"/>
      <c r="L71" s="425"/>
      <c r="M71" s="426" t="n">
        <f aca="true">IF($F72=0,OFFSET(ORÇAMENTO!C$15,$F71,0),1)</f>
        <v>2</v>
      </c>
      <c r="N71" s="427" t="n">
        <f aca="true">IF($F72=-1,0,IF(N$13&lt;=$M71,IF(ISERROR(MATCH(N$13,OFFSET($M71,1,0,ROW($M$182)-ROW($M71)-1),0)),ROW($M$182)-ROW($M71)-1,MATCH(N$13,OFFSET($M71,1,0,ROW($M$182)-ROW($M71)-1),0)-1),0))</f>
        <v>110</v>
      </c>
      <c r="O71" s="427" t="n">
        <f aca="true">IF($F72=-1,0,IF(O$13&lt;=$M71,IF(ISERROR(MATCH(O$13,OFFSET($M71,1,0,ROW($M$182)-ROW($M71)-1),0)),ROW($M$182)-ROW($M71)-1,MATCH(O$13,OFFSET($M71,1,0,ROW($M$182)-ROW($M71)-1),0)-1),0))</f>
        <v>2</v>
      </c>
      <c r="P71" s="427" t="n">
        <f aca="true">IF($F72=-1,0,IF(P$13&lt;=$M71,IF(ISERROR(MATCH(P$13,OFFSET($M71,1,0,ROW($M$182)-ROW($M71)-1),0)),ROW($M$182)-ROW($M71)-1,MATCH(P$13,OFFSET($M71,1,0,ROW($M$182)-ROW($M71)-1),0)-1),0))</f>
        <v>0</v>
      </c>
      <c r="Q71" s="427" t="n">
        <f aca="true">IF($F72=-1,0,IF(Q$13&lt;=$M71,IF(ISERROR(MATCH(Q$13,OFFSET($M71,1,0,ROW($M$182)-ROW($M71)-1),0)),ROW($M$182)-ROW($M71)-1,MATCH(Q$13,OFFSET($M71,1,0,ROW($M$182)-ROW($M71)-1),0)-1),0))</f>
        <v>0</v>
      </c>
      <c r="R71" s="427" t="n">
        <f aca="true">MIN(OFFSET(M71,0,1,,M71))</f>
        <v>2</v>
      </c>
      <c r="S71" s="428" t="n">
        <f aca="true">IF($F72=0,OFFSET(ORÇAMENTO!X$15,$F71,0),IF($F72&lt;&gt;-1,OFFSET(QCI!$O$13,$F72,0),""))</f>
        <v>79438.75</v>
      </c>
      <c r="T71" s="429" t="s">
        <v>996</v>
      </c>
      <c r="U71" s="422" t="n">
        <f aca="false" t="array" ref="U71:U71">IF(AND($R71=2,ACOMPANHAMENTO="BM"),ROUND(U72,4),U73/$S71)</f>
        <v>0.04</v>
      </c>
      <c r="V71" s="422" t="n">
        <f aca="false" t="array" ref="V71:V71">IF(AND($R71=2,ACOMPANHAMENTO="BM"),ROUND(V72,4),V73/$S71)</f>
        <v>0.04</v>
      </c>
      <c r="W71" s="422" t="n">
        <f aca="false" t="array" ref="W71:W71">IF(AND($R71=2,ACOMPANHAMENTO="BM"),ROUND(W72,4),W73/$S71)</f>
        <v>0.04</v>
      </c>
      <c r="X71" s="422" t="n">
        <f aca="false" t="array" ref="X71:X71">IF(AND($R71=2,ACOMPANHAMENTO="BM"),ROUND(X72,4),X73/$S71)</f>
        <v>0.04</v>
      </c>
      <c r="Y71" s="422" t="n">
        <f aca="false" t="array" ref="Y71:Y71">IF(AND($R71=2,ACOMPANHAMENTO="BM"),ROUND(Y72,4),Y73/$S71)</f>
        <v>0.04</v>
      </c>
      <c r="Z71" s="422" t="n">
        <f aca="false" t="array" ref="Z71:Z71">IF(AND($R71=2,ACOMPANHAMENTO="BM"),ROUND(Z72,4),Z73/$S71)</f>
        <v>0.04</v>
      </c>
      <c r="AA71" s="422" t="n">
        <f aca="false" t="array" ref="AA71:AA71">IF(AND($R71=2,ACOMPANHAMENTO="BM"),ROUND(AA72,4),AA73/$S71)</f>
        <v>0.04</v>
      </c>
      <c r="AB71" s="422" t="n">
        <f aca="false" t="array" ref="AB71:AB71">IF(AND($R71=2,ACOMPANHAMENTO="BM"),ROUND(AB72,4),AB73/$S71)</f>
        <v>0.04</v>
      </c>
      <c r="AC71" s="422" t="n">
        <f aca="false" t="array" ref="AC71:AC71">IF(AND($R71=2,ACOMPANHAMENTO="BM"),ROUND(AC72,4),AC73/$S71)</f>
        <v>0.04</v>
      </c>
      <c r="AD71" s="422" t="n">
        <f aca="false" t="array" ref="AD71:AD71">IF(AND($R71=2,ACOMPANHAMENTO="BM"),ROUND(AD72,4),AD73/$S71)</f>
        <v>0.04</v>
      </c>
      <c r="AE71" s="422" t="n">
        <f aca="false" t="array" ref="AE71:AE71">IF(AND($R71=2,ACOMPANHAMENTO="BM"),ROUND(AE72,4),AE73/$S71)</f>
        <v>0.04</v>
      </c>
      <c r="AF71" s="422" t="n">
        <f aca="false" t="array" ref="AF71:AF71">IF(AND($R71=2,ACOMPANHAMENTO="BM"),ROUND(AF72,4),AF73/$S71)</f>
        <v>0.04</v>
      </c>
      <c r="AG71" s="422" t="n">
        <f aca="false" t="array" ref="AG71:AG71">IF(AND($R71=2,ACOMPANHAMENTO="BM"),ROUND(AG72,4),AG73/$S71)</f>
        <v>0.04</v>
      </c>
      <c r="AH71" s="422" t="n">
        <f aca="false" t="array" ref="AH71:AH71">IF(AND($R71=2,ACOMPANHAMENTO="BM"),ROUND(AH72,4),AH73/$S71)</f>
        <v>0.04</v>
      </c>
      <c r="AI71" s="422" t="n">
        <f aca="false" t="array" ref="AI71:AI71">IF(AND($R71=2,ACOMPANHAMENTO="BM"),ROUND(AI72,4),AI73/$S71)</f>
        <v>0.04</v>
      </c>
      <c r="AJ71" s="422" t="n">
        <f aca="false" t="array" ref="AJ71:AJ71">IF(AND($R71=2,ACOMPANHAMENTO="BM"),ROUND(AJ72,4),AJ73/$S71)</f>
        <v>0.04</v>
      </c>
      <c r="AK71" s="422" t="n">
        <f aca="false" t="array" ref="AK71:AK71">IF(AND($R71=2,ACOMPANHAMENTO="BM"),ROUND(AK72,4),AK73/$S71)</f>
        <v>0.04</v>
      </c>
      <c r="AL71" s="422" t="n">
        <f aca="false" t="array" ref="AL71:AL71">IF(AND($R71=2,ACOMPANHAMENTO="BM"),ROUND(AL72,4),AL73/$S71)</f>
        <v>0.04</v>
      </c>
      <c r="AM71" s="422" t="n">
        <f aca="false" t="array" ref="AM71:AM71">IF(AND($R71=2,ACOMPANHAMENTO="BM"),ROUND(AM72,4),AM73/$S71)</f>
        <v>0.04</v>
      </c>
      <c r="AN71" s="422" t="n">
        <f aca="false" t="array" ref="AN71:AN71">IF(AND($R71=2,ACOMPANHAMENTO="BM"),ROUND(AN72,4),AN73/$S71)</f>
        <v>0.04</v>
      </c>
      <c r="AO71" s="422" t="n">
        <f aca="false" t="array" ref="AO71:AO71">IF(AND($R71=2,ACOMPANHAMENTO="BM"),ROUND(AO72,4),AO73/$S71)</f>
        <v>0.04</v>
      </c>
      <c r="AP71" s="422" t="n">
        <f aca="false" t="array" ref="AP71:AP71">IF(AND($R71=2,ACOMPANHAMENTO="BM"),ROUND(AP72,4),AP73/$S71)</f>
        <v>0.04</v>
      </c>
      <c r="AQ71" s="422" t="n">
        <f aca="false" t="array" ref="AQ71:AQ71">IF(AND($R71=2,ACOMPANHAMENTO="BM"),ROUND(AQ72,4),AQ73/$S71)</f>
        <v>0.04</v>
      </c>
      <c r="AR71" s="422" t="n">
        <f aca="false" t="array" ref="AR71:AR71">IF(AND($R71=2,ACOMPANHAMENTO="BM"),ROUND(AR72,4),AR73/$S71)</f>
        <v>0.04</v>
      </c>
      <c r="AS71" s="422" t="n">
        <f aca="false" t="array" ref="AS71:AS71">IF(AND($R71=2,ACOMPANHAMENTO="BM"),ROUND(AS72,4),AS73/$S71)</f>
        <v>0.04</v>
      </c>
      <c r="AT71" s="422" t="n">
        <f aca="false" t="array" ref="AT71:AT71">IF(AND($R71=2,ACOMPANHAMENTO="BM"),ROUND(AT72,4),AT73/$S71)</f>
        <v>0</v>
      </c>
      <c r="AU71" s="422" t="n">
        <f aca="false" t="array" ref="AU71:AU71">IF(AND($R71=2,ACOMPANHAMENTO="BM"),ROUND(AU72,4),AU73/$S71)</f>
        <v>0</v>
      </c>
      <c r="AV71" s="422" t="n">
        <f aca="false" t="array" ref="AV71:AV71">IF(AND($R71=2,ACOMPANHAMENTO="BM"),ROUND(AV72,4),AV73/$S71)</f>
        <v>0</v>
      </c>
      <c r="AW71" s="422" t="n">
        <f aca="false" t="array" ref="AW71:AW71">IF(AND($R71=2,ACOMPANHAMENTO="BM"),ROUND(AW72,4),AW73/$S71)</f>
        <v>0</v>
      </c>
      <c r="AX71" s="422" t="n">
        <f aca="false" t="array" ref="AX71:AX71">IF(AND($R71=2,ACOMPANHAMENTO="BM"),ROUND(AX72,4),AX73/$S71)</f>
        <v>0</v>
      </c>
      <c r="AY71" s="422" t="n">
        <f aca="false" t="array" ref="AY71:AY71">IF(AND($R71=2,ACOMPANHAMENTO="BM"),ROUND(AY72,4),AY73/$S71)</f>
        <v>0</v>
      </c>
      <c r="AZ71" s="422" t="n">
        <f aca="false" t="array" ref="AZ71:AZ71">IF(AND($R71=2,ACOMPANHAMENTO="BM"),ROUND(AZ72,4),AZ73/$S71)</f>
        <v>0</v>
      </c>
      <c r="BA71" s="422" t="n">
        <f aca="false" t="array" ref="BA71:BA71">IF(AND($R71=2,ACOMPANHAMENTO="BM"),ROUND(BA72,4),BA73/$S71)</f>
        <v>0</v>
      </c>
      <c r="BB71" s="422" t="n">
        <f aca="false" t="array" ref="BB71:BB71">IF(AND($R71=2,ACOMPANHAMENTO="BM"),ROUND(BB72,4),BB73/$S71)</f>
        <v>0</v>
      </c>
      <c r="BC71" s="422" t="n">
        <f aca="false" t="array" ref="BC71:BC71">IF(AND($R71=2,ACOMPANHAMENTO="BM"),ROUND(BC72,4),BC73/$S71)</f>
        <v>0</v>
      </c>
      <c r="BD71" s="422" t="n">
        <f aca="false" t="array" ref="BD71:BD71">IF(AND($R71=2,ACOMPANHAMENTO="BM"),ROUND(BD72,4),BD73/$S71)</f>
        <v>0</v>
      </c>
      <c r="BE71" s="430"/>
    </row>
    <row r="72" customFormat="false" ht="12.75" hidden="true" customHeight="true" outlineLevel="0" collapsed="false">
      <c r="E72" s="431"/>
      <c r="F72" s="419" t="n">
        <f aca="true">IF(ISERROR(F71),IF(1+COUNTIF($M$13:OFFSET(M71,-1,0),1)&lt;=MAX(QCI!$D$13:$D$15),1+COUNTIF($M$13:OFFSET(M71,-1,0),1),-1),0)</f>
        <v>0</v>
      </c>
      <c r="G72" s="419" t="str">
        <f aca="true" t="array" ref="G72:G72">IF(ACOMPANHAMENTO="BM",OFFSET(G72,-1,0),"")</f>
        <v/>
      </c>
      <c r="H72" s="432" t="str">
        <f aca="false" t="array" ref="H72:H72">IF(OR(S71=0,S71=""),"vazia",IF(AND(OR(ACOMPANHAMENTO="PLE",$R71&lt;&gt;2),$F72=0),"calculada","--&gt;"))</f>
        <v>calculada</v>
      </c>
      <c r="I72" s="433"/>
      <c r="J72" s="434" t="str">
        <f aca="false">IF(AND(H71&lt;&gt;0,ISNUMBER(H71)),"PREENCHA ESTA LINHA --&gt;","")</f>
        <v/>
      </c>
      <c r="K72" s="434"/>
      <c r="L72" s="434"/>
      <c r="M72" s="435"/>
      <c r="N72" s="435"/>
      <c r="O72" s="435"/>
      <c r="P72" s="435"/>
      <c r="Q72" s="435"/>
      <c r="R72" s="435"/>
      <c r="S72" s="436"/>
      <c r="T72" s="437"/>
      <c r="U72" s="431"/>
      <c r="V72" s="431"/>
      <c r="W72" s="431"/>
      <c r="X72" s="431"/>
      <c r="Y72" s="431"/>
      <c r="Z72" s="431"/>
      <c r="AA72" s="431"/>
      <c r="AB72" s="431"/>
      <c r="AC72" s="431"/>
      <c r="AD72" s="431"/>
      <c r="AE72" s="431"/>
      <c r="AF72" s="431"/>
      <c r="AG72" s="431"/>
      <c r="AH72" s="431"/>
      <c r="AI72" s="431"/>
      <c r="AJ72" s="431"/>
      <c r="AK72" s="431"/>
      <c r="AL72" s="431"/>
      <c r="AM72" s="431"/>
      <c r="AN72" s="431"/>
      <c r="AO72" s="431"/>
      <c r="AP72" s="431"/>
      <c r="AQ72" s="431"/>
      <c r="AR72" s="431"/>
      <c r="AS72" s="431"/>
      <c r="AT72" s="431"/>
      <c r="AU72" s="431"/>
      <c r="AV72" s="431"/>
      <c r="AW72" s="431"/>
      <c r="AX72" s="431"/>
      <c r="AY72" s="431"/>
      <c r="AZ72" s="431"/>
      <c r="BA72" s="431"/>
      <c r="BB72" s="431"/>
      <c r="BC72" s="431"/>
      <c r="BD72" s="431"/>
      <c r="BE72" s="430"/>
    </row>
    <row r="73" customFormat="false" ht="12.75" hidden="true" customHeight="true" outlineLevel="0" collapsed="false">
      <c r="D73" s="438"/>
      <c r="E73" s="439" t="n">
        <f aca="false" t="array" ref="E73:E73">IF($R71=2,
         IF(AND(ACOMPANHAMENTO="PLE",ISNUMBER($F71)),
                SUMIF((OFFSET(CÁLCULO!$BS$15:$CS$15,$F71,0,OFFSET(ORÇAMENTO!$D$15,CRONO!$F71,0))),CRONO!E$12,OFFSET(CÁLCULO!$AR$15:$BR$15,$F71,0,OFFSET(ORÇAMENTO!$D$15,CRONO!$F71,0)))
                +IF(AND($F73&lt;&gt;"",$F73&lt;&gt;0),
                        SUMIF(CÁLCULO!$BS$15:$CS$205,CRONO!E$12,CÁLCULO!$AR$15:$BR$205)/(ORÇAMENTO!$X$15-_xlfn.single(CÁLCULO.TotalAdmLocal))*CRONO!$F73,
                        0),
                 E72*$S71),
          SUMIF(OFFSET($S73,1,0,$R71-2),($M71+1)&amp;"$",OFFSET(E73,1,0,$R71-2)))</f>
        <v>3177.55</v>
      </c>
      <c r="F73" s="419" t="str">
        <f aca="true">IF(OR($R71&lt;&gt;2,AUTOEVENTO&lt;&gt;"manual",$F72&gt;0),"",
        IF(Import.TipoArredondamento="Tradicional",
              SUMIF(OFFSET(CÁLCULO!$M$15,CRONO!$F71,0,OFFSET(ORÇAMENTO!$D$15,CRONO!$F71,0)),1,OFFSET(ORÇAMENTO!$X$15,CRONO!$F71,0,OFFSET(ORÇAMENTO!$D$15,CRONO!$F71,0))),
              0))</f>
        <v/>
      </c>
      <c r="H73" s="440"/>
      <c r="S73" s="441" t="str">
        <f aca="false">M71&amp;"$"</f>
        <v>2$</v>
      </c>
      <c r="T73" s="442"/>
      <c r="U73" s="439" t="n">
        <f aca="false" t="array" ref="U73:U73">IF($R71=2,
         IF(AND(ACOMPANHAMENTO="PLE",ISNUMBER($F71)),
                SUMIF((OFFSET(CÁLCULO!$BS$15:$CS$15,$F71,0,OFFSET(ORÇAMENTO!$D$15,CRONO!$F71,0))),CRONO!U$12,OFFSET(CÁLCULO!$AR$15:$BR$15,$F71,0,OFFSET(ORÇAMENTO!$D$15,CRONO!$F71,0)))
                +IF(AND($F73&lt;&gt;"",$F73&lt;&gt;0),
                        SUMIF(CÁLCULO!$BS$15:$CS$205,CRONO!U$12,CÁLCULO!$AR$15:$BR$205)/(ORÇAMENTO!$X$15-_xlfn.single(CÁLCULO.TotalAdmLocal))*CRONO!$F73,
                        0),
                 U72*$S71),
          SUMIF(OFFSET($S73,1,0,$R71-2),($M71+1)&amp;"$",OFFSET(U73,1,0,$R71-2)))</f>
        <v>3177.55</v>
      </c>
      <c r="V73" s="439" t="n">
        <f aca="false" t="array" ref="V73:V73">IF($R71=2,
         IF(AND(ACOMPANHAMENTO="PLE",ISNUMBER($F71)),
                SUMIF((OFFSET(CÁLCULO!$BS$15:$CS$15,$F71,0,OFFSET(ORÇAMENTO!$D$15,CRONO!$F71,0))),CRONO!V$12,OFFSET(CÁLCULO!$AR$15:$BR$15,$F71,0,OFFSET(ORÇAMENTO!$D$15,CRONO!$F71,0)))
                +IF(AND($F73&lt;&gt;"",$F73&lt;&gt;0),
                        SUMIF(CÁLCULO!$BS$15:$CS$205,CRONO!V$12,CÁLCULO!$AR$15:$BR$205)/(ORÇAMENTO!$X$15-_xlfn.single(CÁLCULO.TotalAdmLocal))*CRONO!$F73,
                        0),
                 V72*$S71),
          SUMIF(OFFSET($S73,1,0,$R71-2),($M71+1)&amp;"$",OFFSET(V73,1,0,$R71-2)))</f>
        <v>3177.55</v>
      </c>
      <c r="W73" s="439" t="n">
        <f aca="false" t="array" ref="W73:W73">IF($R71=2,
         IF(AND(ACOMPANHAMENTO="PLE",ISNUMBER($F71)),
                SUMIF((OFFSET(CÁLCULO!$BS$15:$CS$15,$F71,0,OFFSET(ORÇAMENTO!$D$15,CRONO!$F71,0))),CRONO!W$12,OFFSET(CÁLCULO!$AR$15:$BR$15,$F71,0,OFFSET(ORÇAMENTO!$D$15,CRONO!$F71,0)))
                +IF(AND($F73&lt;&gt;"",$F73&lt;&gt;0),
                        SUMIF(CÁLCULO!$BS$15:$CS$205,CRONO!W$12,CÁLCULO!$AR$15:$BR$205)/(ORÇAMENTO!$X$15-_xlfn.single(CÁLCULO.TotalAdmLocal))*CRONO!$F73,
                        0),
                 W72*$S71),
          SUMIF(OFFSET($S73,1,0,$R71-2),($M71+1)&amp;"$",OFFSET(W73,1,0,$R71-2)))</f>
        <v>3177.55</v>
      </c>
      <c r="X73" s="439" t="n">
        <f aca="false" t="array" ref="X73:X73">IF($R71=2,
         IF(AND(ACOMPANHAMENTO="PLE",ISNUMBER($F71)),
                SUMIF((OFFSET(CÁLCULO!$BS$15:$CS$15,$F71,0,OFFSET(ORÇAMENTO!$D$15,CRONO!$F71,0))),CRONO!X$12,OFFSET(CÁLCULO!$AR$15:$BR$15,$F71,0,OFFSET(ORÇAMENTO!$D$15,CRONO!$F71,0)))
                +IF(AND($F73&lt;&gt;"",$F73&lt;&gt;0),
                        SUMIF(CÁLCULO!$BS$15:$CS$205,CRONO!X$12,CÁLCULO!$AR$15:$BR$205)/(ORÇAMENTO!$X$15-_xlfn.single(CÁLCULO.TotalAdmLocal))*CRONO!$F73,
                        0),
                 X72*$S71),
          SUMIF(OFFSET($S73,1,0,$R71-2),($M71+1)&amp;"$",OFFSET(X73,1,0,$R71-2)))</f>
        <v>3177.55</v>
      </c>
      <c r="Y73" s="439" t="n">
        <f aca="false" t="array" ref="Y73:Y73">IF($R71=2,
         IF(AND(ACOMPANHAMENTO="PLE",ISNUMBER($F71)),
                SUMIF((OFFSET(CÁLCULO!$BS$15:$CS$15,$F71,0,OFFSET(ORÇAMENTO!$D$15,CRONO!$F71,0))),CRONO!Y$12,OFFSET(CÁLCULO!$AR$15:$BR$15,$F71,0,OFFSET(ORÇAMENTO!$D$15,CRONO!$F71,0)))
                +IF(AND($F73&lt;&gt;"",$F73&lt;&gt;0),
                        SUMIF(CÁLCULO!$BS$15:$CS$205,CRONO!Y$12,CÁLCULO!$AR$15:$BR$205)/(ORÇAMENTO!$X$15-_xlfn.single(CÁLCULO.TotalAdmLocal))*CRONO!$F73,
                        0),
                 Y72*$S71),
          SUMIF(OFFSET($S73,1,0,$R71-2),($M71+1)&amp;"$",OFFSET(Y73,1,0,$R71-2)))</f>
        <v>3177.55</v>
      </c>
      <c r="Z73" s="439" t="n">
        <f aca="false" t="array" ref="Z73:Z73">IF($R71=2,
         IF(AND(ACOMPANHAMENTO="PLE",ISNUMBER($F71)),
                SUMIF((OFFSET(CÁLCULO!$BS$15:$CS$15,$F71,0,OFFSET(ORÇAMENTO!$D$15,CRONO!$F71,0))),CRONO!Z$12,OFFSET(CÁLCULO!$AR$15:$BR$15,$F71,0,OFFSET(ORÇAMENTO!$D$15,CRONO!$F71,0)))
                +IF(AND($F73&lt;&gt;"",$F73&lt;&gt;0),
                        SUMIF(CÁLCULO!$BS$15:$CS$205,CRONO!Z$12,CÁLCULO!$AR$15:$BR$205)/(ORÇAMENTO!$X$15-_xlfn.single(CÁLCULO.TotalAdmLocal))*CRONO!$F73,
                        0),
                 Z72*$S71),
          SUMIF(OFFSET($S73,1,0,$R71-2),($M71+1)&amp;"$",OFFSET(Z73,1,0,$R71-2)))</f>
        <v>3177.55</v>
      </c>
      <c r="AA73" s="439" t="n">
        <f aca="false" t="array" ref="AA73:AA73">IF($R71=2,
         IF(AND(ACOMPANHAMENTO="PLE",ISNUMBER($F71)),
                SUMIF((OFFSET(CÁLCULO!$BS$15:$CS$15,$F71,0,OFFSET(ORÇAMENTO!$D$15,CRONO!$F71,0))),CRONO!AA$12,OFFSET(CÁLCULO!$AR$15:$BR$15,$F71,0,OFFSET(ORÇAMENTO!$D$15,CRONO!$F71,0)))
                +IF(AND($F73&lt;&gt;"",$F73&lt;&gt;0),
                        SUMIF(CÁLCULO!$BS$15:$CS$205,CRONO!AA$12,CÁLCULO!$AR$15:$BR$205)/(ORÇAMENTO!$X$15-_xlfn.single(CÁLCULO.TotalAdmLocal))*CRONO!$F73,
                        0),
                 AA72*$S71),
          SUMIF(OFFSET($S73,1,0,$R71-2),($M71+1)&amp;"$",OFFSET(AA73,1,0,$R71-2)))</f>
        <v>3177.55</v>
      </c>
      <c r="AB73" s="439" t="n">
        <f aca="false" t="array" ref="AB73:AB73">IF($R71=2,
         IF(AND(ACOMPANHAMENTO="PLE",ISNUMBER($F71)),
                SUMIF((OFFSET(CÁLCULO!$BS$15:$CS$15,$F71,0,OFFSET(ORÇAMENTO!$D$15,CRONO!$F71,0))),CRONO!AB$12,OFFSET(CÁLCULO!$AR$15:$BR$15,$F71,0,OFFSET(ORÇAMENTO!$D$15,CRONO!$F71,0)))
                +IF(AND($F73&lt;&gt;"",$F73&lt;&gt;0),
                        SUMIF(CÁLCULO!$BS$15:$CS$205,CRONO!AB$12,CÁLCULO!$AR$15:$BR$205)/(ORÇAMENTO!$X$15-_xlfn.single(CÁLCULO.TotalAdmLocal))*CRONO!$F73,
                        0),
                 AB72*$S71),
          SUMIF(OFFSET($S73,1,0,$R71-2),($M71+1)&amp;"$",OFFSET(AB73,1,0,$R71-2)))</f>
        <v>3177.55</v>
      </c>
      <c r="AC73" s="439" t="n">
        <f aca="false" t="array" ref="AC73:AC73">IF($R71=2,
         IF(AND(ACOMPANHAMENTO="PLE",ISNUMBER($F71)),
                SUMIF((OFFSET(CÁLCULO!$BS$15:$CS$15,$F71,0,OFFSET(ORÇAMENTO!$D$15,CRONO!$F71,0))),CRONO!AC$12,OFFSET(CÁLCULO!$AR$15:$BR$15,$F71,0,OFFSET(ORÇAMENTO!$D$15,CRONO!$F71,0)))
                +IF(AND($F73&lt;&gt;"",$F73&lt;&gt;0),
                        SUMIF(CÁLCULO!$BS$15:$CS$205,CRONO!AC$12,CÁLCULO!$AR$15:$BR$205)/(ORÇAMENTO!$X$15-_xlfn.single(CÁLCULO.TotalAdmLocal))*CRONO!$F73,
                        0),
                 AC72*$S71),
          SUMIF(OFFSET($S73,1,0,$R71-2),($M71+1)&amp;"$",OFFSET(AC73,1,0,$R71-2)))</f>
        <v>3177.55</v>
      </c>
      <c r="AD73" s="439" t="n">
        <f aca="false" t="array" ref="AD73:AD73">IF($R71=2,
         IF(AND(ACOMPANHAMENTO="PLE",ISNUMBER($F71)),
                SUMIF((OFFSET(CÁLCULO!$BS$15:$CS$15,$F71,0,OFFSET(ORÇAMENTO!$D$15,CRONO!$F71,0))),CRONO!AD$12,OFFSET(CÁLCULO!$AR$15:$BR$15,$F71,0,OFFSET(ORÇAMENTO!$D$15,CRONO!$F71,0)))
                +IF(AND($F73&lt;&gt;"",$F73&lt;&gt;0),
                        SUMIF(CÁLCULO!$BS$15:$CS$205,CRONO!AD$12,CÁLCULO!$AR$15:$BR$205)/(ORÇAMENTO!$X$15-_xlfn.single(CÁLCULO.TotalAdmLocal))*CRONO!$F73,
                        0),
                 AD72*$S71),
          SUMIF(OFFSET($S73,1,0,$R71-2),($M71+1)&amp;"$",OFFSET(AD73,1,0,$R71-2)))</f>
        <v>3177.55</v>
      </c>
      <c r="AE73" s="439" t="n">
        <f aca="false" t="array" ref="AE73:AE73">IF($R71=2,
         IF(AND(ACOMPANHAMENTO="PLE",ISNUMBER($F71)),
                SUMIF((OFFSET(CÁLCULO!$BS$15:$CS$15,$F71,0,OFFSET(ORÇAMENTO!$D$15,CRONO!$F71,0))),CRONO!AE$12,OFFSET(CÁLCULO!$AR$15:$BR$15,$F71,0,OFFSET(ORÇAMENTO!$D$15,CRONO!$F71,0)))
                +IF(AND($F73&lt;&gt;"",$F73&lt;&gt;0),
                        SUMIF(CÁLCULO!$BS$15:$CS$205,CRONO!AE$12,CÁLCULO!$AR$15:$BR$205)/(ORÇAMENTO!$X$15-_xlfn.single(CÁLCULO.TotalAdmLocal))*CRONO!$F73,
                        0),
                 AE72*$S71),
          SUMIF(OFFSET($S73,1,0,$R71-2),($M71+1)&amp;"$",OFFSET(AE73,1,0,$R71-2)))</f>
        <v>3177.55</v>
      </c>
      <c r="AF73" s="439" t="n">
        <f aca="false" t="array" ref="AF73:AF73">IF($R71=2,
         IF(AND(ACOMPANHAMENTO="PLE",ISNUMBER($F71)),
                SUMIF((OFFSET(CÁLCULO!$BS$15:$CS$15,$F71,0,OFFSET(ORÇAMENTO!$D$15,CRONO!$F71,0))),CRONO!AF$12,OFFSET(CÁLCULO!$AR$15:$BR$15,$F71,0,OFFSET(ORÇAMENTO!$D$15,CRONO!$F71,0)))
                +IF(AND($F73&lt;&gt;"",$F73&lt;&gt;0),
                        SUMIF(CÁLCULO!$BS$15:$CS$205,CRONO!AF$12,CÁLCULO!$AR$15:$BR$205)/(ORÇAMENTO!$X$15-_xlfn.single(CÁLCULO.TotalAdmLocal))*CRONO!$F73,
                        0),
                 AF72*$S71),
          SUMIF(OFFSET($S73,1,0,$R71-2),($M71+1)&amp;"$",OFFSET(AF73,1,0,$R71-2)))</f>
        <v>3177.55</v>
      </c>
      <c r="AG73" s="439" t="n">
        <f aca="false" t="array" ref="AG73:AG73">IF($R71=2,
         IF(AND(ACOMPANHAMENTO="PLE",ISNUMBER($F71)),
                SUMIF((OFFSET(CÁLCULO!$BS$15:$CS$15,$F71,0,OFFSET(ORÇAMENTO!$D$15,CRONO!$F71,0))),CRONO!AG$12,OFFSET(CÁLCULO!$AR$15:$BR$15,$F71,0,OFFSET(ORÇAMENTO!$D$15,CRONO!$F71,0)))
                +IF(AND($F73&lt;&gt;"",$F73&lt;&gt;0),
                        SUMIF(CÁLCULO!$BS$15:$CS$205,CRONO!AG$12,CÁLCULO!$AR$15:$BR$205)/(ORÇAMENTO!$X$15-_xlfn.single(CÁLCULO.TotalAdmLocal))*CRONO!$F73,
                        0),
                 AG72*$S71),
          SUMIF(OFFSET($S73,1,0,$R71-2),($M71+1)&amp;"$",OFFSET(AG73,1,0,$R71-2)))</f>
        <v>3177.55</v>
      </c>
      <c r="AH73" s="439" t="n">
        <f aca="false" t="array" ref="AH73:AH73">IF($R71=2,
         IF(AND(ACOMPANHAMENTO="PLE",ISNUMBER($F71)),
                SUMIF((OFFSET(CÁLCULO!$BS$15:$CS$15,$F71,0,OFFSET(ORÇAMENTO!$D$15,CRONO!$F71,0))),CRONO!AH$12,OFFSET(CÁLCULO!$AR$15:$BR$15,$F71,0,OFFSET(ORÇAMENTO!$D$15,CRONO!$F71,0)))
                +IF(AND($F73&lt;&gt;"",$F73&lt;&gt;0),
                        SUMIF(CÁLCULO!$BS$15:$CS$205,CRONO!AH$12,CÁLCULO!$AR$15:$BR$205)/(ORÇAMENTO!$X$15-_xlfn.single(CÁLCULO.TotalAdmLocal))*CRONO!$F73,
                        0),
                 AH72*$S71),
          SUMIF(OFFSET($S73,1,0,$R71-2),($M71+1)&amp;"$",OFFSET(AH73,1,0,$R71-2)))</f>
        <v>3177.55</v>
      </c>
      <c r="AI73" s="439" t="n">
        <f aca="false" t="array" ref="AI73:AI73">IF($R71=2,
         IF(AND(ACOMPANHAMENTO="PLE",ISNUMBER($F71)),
                SUMIF((OFFSET(CÁLCULO!$BS$15:$CS$15,$F71,0,OFFSET(ORÇAMENTO!$D$15,CRONO!$F71,0))),CRONO!AI$12,OFFSET(CÁLCULO!$AR$15:$BR$15,$F71,0,OFFSET(ORÇAMENTO!$D$15,CRONO!$F71,0)))
                +IF(AND($F73&lt;&gt;"",$F73&lt;&gt;0),
                        SUMIF(CÁLCULO!$BS$15:$CS$205,CRONO!AI$12,CÁLCULO!$AR$15:$BR$205)/(ORÇAMENTO!$X$15-_xlfn.single(CÁLCULO.TotalAdmLocal))*CRONO!$F73,
                        0),
                 AI72*$S71),
          SUMIF(OFFSET($S73,1,0,$R71-2),($M71+1)&amp;"$",OFFSET(AI73,1,0,$R71-2)))</f>
        <v>3177.55</v>
      </c>
      <c r="AJ73" s="439" t="n">
        <f aca="false" t="array" ref="AJ73:AJ73">IF($R71=2,
         IF(AND(ACOMPANHAMENTO="PLE",ISNUMBER($F71)),
                SUMIF((OFFSET(CÁLCULO!$BS$15:$CS$15,$F71,0,OFFSET(ORÇAMENTO!$D$15,CRONO!$F71,0))),CRONO!AJ$12,OFFSET(CÁLCULO!$AR$15:$BR$15,$F71,0,OFFSET(ORÇAMENTO!$D$15,CRONO!$F71,0)))
                +IF(AND($F73&lt;&gt;"",$F73&lt;&gt;0),
                        SUMIF(CÁLCULO!$BS$15:$CS$205,CRONO!AJ$12,CÁLCULO!$AR$15:$BR$205)/(ORÇAMENTO!$X$15-_xlfn.single(CÁLCULO.TotalAdmLocal))*CRONO!$F73,
                        0),
                 AJ72*$S71),
          SUMIF(OFFSET($S73,1,0,$R71-2),($M71+1)&amp;"$",OFFSET(AJ73,1,0,$R71-2)))</f>
        <v>3177.55</v>
      </c>
      <c r="AK73" s="439" t="n">
        <f aca="false" t="array" ref="AK73:AK73">IF($R71=2,
         IF(AND(ACOMPANHAMENTO="PLE",ISNUMBER($F71)),
                SUMIF((OFFSET(CÁLCULO!$BS$15:$CS$15,$F71,0,OFFSET(ORÇAMENTO!$D$15,CRONO!$F71,0))),CRONO!AK$12,OFFSET(CÁLCULO!$AR$15:$BR$15,$F71,0,OFFSET(ORÇAMENTO!$D$15,CRONO!$F71,0)))
                +IF(AND($F73&lt;&gt;"",$F73&lt;&gt;0),
                        SUMIF(CÁLCULO!$BS$15:$CS$205,CRONO!AK$12,CÁLCULO!$AR$15:$BR$205)/(ORÇAMENTO!$X$15-_xlfn.single(CÁLCULO.TotalAdmLocal))*CRONO!$F73,
                        0),
                 AK72*$S71),
          SUMIF(OFFSET($S73,1,0,$R71-2),($M71+1)&amp;"$",OFFSET(AK73,1,0,$R71-2)))</f>
        <v>3177.55</v>
      </c>
      <c r="AL73" s="439" t="n">
        <f aca="false" t="array" ref="AL73:AL73">IF($R71=2,
         IF(AND(ACOMPANHAMENTO="PLE",ISNUMBER($F71)),
                SUMIF((OFFSET(CÁLCULO!$BS$15:$CS$15,$F71,0,OFFSET(ORÇAMENTO!$D$15,CRONO!$F71,0))),CRONO!AL$12,OFFSET(CÁLCULO!$AR$15:$BR$15,$F71,0,OFFSET(ORÇAMENTO!$D$15,CRONO!$F71,0)))
                +IF(AND($F73&lt;&gt;"",$F73&lt;&gt;0),
                        SUMIF(CÁLCULO!$BS$15:$CS$205,CRONO!AL$12,CÁLCULO!$AR$15:$BR$205)/(ORÇAMENTO!$X$15-_xlfn.single(CÁLCULO.TotalAdmLocal))*CRONO!$F73,
                        0),
                 AL72*$S71),
          SUMIF(OFFSET($S73,1,0,$R71-2),($M71+1)&amp;"$",OFFSET(AL73,1,0,$R71-2)))</f>
        <v>3177.55</v>
      </c>
      <c r="AM73" s="439" t="n">
        <f aca="false" t="array" ref="AM73:AM73">IF($R71=2,
         IF(AND(ACOMPANHAMENTO="PLE",ISNUMBER($F71)),
                SUMIF((OFFSET(CÁLCULO!$BS$15:$CS$15,$F71,0,OFFSET(ORÇAMENTO!$D$15,CRONO!$F71,0))),CRONO!AM$12,OFFSET(CÁLCULO!$AR$15:$BR$15,$F71,0,OFFSET(ORÇAMENTO!$D$15,CRONO!$F71,0)))
                +IF(AND($F73&lt;&gt;"",$F73&lt;&gt;0),
                        SUMIF(CÁLCULO!$BS$15:$CS$205,CRONO!AM$12,CÁLCULO!$AR$15:$BR$205)/(ORÇAMENTO!$X$15-_xlfn.single(CÁLCULO.TotalAdmLocal))*CRONO!$F73,
                        0),
                 AM72*$S71),
          SUMIF(OFFSET($S73,1,0,$R71-2),($M71+1)&amp;"$",OFFSET(AM73,1,0,$R71-2)))</f>
        <v>3177.55</v>
      </c>
      <c r="AN73" s="439" t="n">
        <f aca="false" t="array" ref="AN73:AN73">IF($R71=2,
         IF(AND(ACOMPANHAMENTO="PLE",ISNUMBER($F71)),
                SUMIF((OFFSET(CÁLCULO!$BS$15:$CS$15,$F71,0,OFFSET(ORÇAMENTO!$D$15,CRONO!$F71,0))),CRONO!AN$12,OFFSET(CÁLCULO!$AR$15:$BR$15,$F71,0,OFFSET(ORÇAMENTO!$D$15,CRONO!$F71,0)))
                +IF(AND($F73&lt;&gt;"",$F73&lt;&gt;0),
                        SUMIF(CÁLCULO!$BS$15:$CS$205,CRONO!AN$12,CÁLCULO!$AR$15:$BR$205)/(ORÇAMENTO!$X$15-_xlfn.single(CÁLCULO.TotalAdmLocal))*CRONO!$F73,
                        0),
                 AN72*$S71),
          SUMIF(OFFSET($S73,1,0,$R71-2),($M71+1)&amp;"$",OFFSET(AN73,1,0,$R71-2)))</f>
        <v>3177.55</v>
      </c>
      <c r="AO73" s="439" t="n">
        <f aca="false" t="array" ref="AO73:AO73">IF($R71=2,
         IF(AND(ACOMPANHAMENTO="PLE",ISNUMBER($F71)),
                SUMIF((OFFSET(CÁLCULO!$BS$15:$CS$15,$F71,0,OFFSET(ORÇAMENTO!$D$15,CRONO!$F71,0))),CRONO!AO$12,OFFSET(CÁLCULO!$AR$15:$BR$15,$F71,0,OFFSET(ORÇAMENTO!$D$15,CRONO!$F71,0)))
                +IF(AND($F73&lt;&gt;"",$F73&lt;&gt;0),
                        SUMIF(CÁLCULO!$BS$15:$CS$205,CRONO!AO$12,CÁLCULO!$AR$15:$BR$205)/(ORÇAMENTO!$X$15-_xlfn.single(CÁLCULO.TotalAdmLocal))*CRONO!$F73,
                        0),
                 AO72*$S71),
          SUMIF(OFFSET($S73,1,0,$R71-2),($M71+1)&amp;"$",OFFSET(AO73,1,0,$R71-2)))</f>
        <v>3177.55</v>
      </c>
      <c r="AP73" s="439" t="n">
        <f aca="false" t="array" ref="AP73:AP73">IF($R71=2,
         IF(AND(ACOMPANHAMENTO="PLE",ISNUMBER($F71)),
                SUMIF((OFFSET(CÁLCULO!$BS$15:$CS$15,$F71,0,OFFSET(ORÇAMENTO!$D$15,CRONO!$F71,0))),CRONO!AP$12,OFFSET(CÁLCULO!$AR$15:$BR$15,$F71,0,OFFSET(ORÇAMENTO!$D$15,CRONO!$F71,0)))
                +IF(AND($F73&lt;&gt;"",$F73&lt;&gt;0),
                        SUMIF(CÁLCULO!$BS$15:$CS$205,CRONO!AP$12,CÁLCULO!$AR$15:$BR$205)/(ORÇAMENTO!$X$15-_xlfn.single(CÁLCULO.TotalAdmLocal))*CRONO!$F73,
                        0),
                 AP72*$S71),
          SUMIF(OFFSET($S73,1,0,$R71-2),($M71+1)&amp;"$",OFFSET(AP73,1,0,$R71-2)))</f>
        <v>3177.55</v>
      </c>
      <c r="AQ73" s="439" t="n">
        <f aca="false" t="array" ref="AQ73:AQ73">IF($R71=2,
         IF(AND(ACOMPANHAMENTO="PLE",ISNUMBER($F71)),
                SUMIF((OFFSET(CÁLCULO!$BS$15:$CS$15,$F71,0,OFFSET(ORÇAMENTO!$D$15,CRONO!$F71,0))),CRONO!AQ$12,OFFSET(CÁLCULO!$AR$15:$BR$15,$F71,0,OFFSET(ORÇAMENTO!$D$15,CRONO!$F71,0)))
                +IF(AND($F73&lt;&gt;"",$F73&lt;&gt;0),
                        SUMIF(CÁLCULO!$BS$15:$CS$205,CRONO!AQ$12,CÁLCULO!$AR$15:$BR$205)/(ORÇAMENTO!$X$15-_xlfn.single(CÁLCULO.TotalAdmLocal))*CRONO!$F73,
                        0),
                 AQ72*$S71),
          SUMIF(OFFSET($S73,1,0,$R71-2),($M71+1)&amp;"$",OFFSET(AQ73,1,0,$R71-2)))</f>
        <v>3177.55</v>
      </c>
      <c r="AR73" s="439" t="n">
        <f aca="false" t="array" ref="AR73:AR73">IF($R71=2,
         IF(AND(ACOMPANHAMENTO="PLE",ISNUMBER($F71)),
                SUMIF((OFFSET(CÁLCULO!$BS$15:$CS$15,$F71,0,OFFSET(ORÇAMENTO!$D$15,CRONO!$F71,0))),CRONO!AR$12,OFFSET(CÁLCULO!$AR$15:$BR$15,$F71,0,OFFSET(ORÇAMENTO!$D$15,CRONO!$F71,0)))
                +IF(AND($F73&lt;&gt;"",$F73&lt;&gt;0),
                        SUMIF(CÁLCULO!$BS$15:$CS$205,CRONO!AR$12,CÁLCULO!$AR$15:$BR$205)/(ORÇAMENTO!$X$15-_xlfn.single(CÁLCULO.TotalAdmLocal))*CRONO!$F73,
                        0),
                 AR72*$S71),
          SUMIF(OFFSET($S73,1,0,$R71-2),($M71+1)&amp;"$",OFFSET(AR73,1,0,$R71-2)))</f>
        <v>3177.55</v>
      </c>
      <c r="AS73" s="439" t="n">
        <f aca="false" t="array" ref="AS73:AS73">IF($R71=2,
         IF(AND(ACOMPANHAMENTO="PLE",ISNUMBER($F71)),
                SUMIF((OFFSET(CÁLCULO!$BS$15:$CS$15,$F71,0,OFFSET(ORÇAMENTO!$D$15,CRONO!$F71,0))),CRONO!AS$12,OFFSET(CÁLCULO!$AR$15:$BR$15,$F71,0,OFFSET(ORÇAMENTO!$D$15,CRONO!$F71,0)))
                +IF(AND($F73&lt;&gt;"",$F73&lt;&gt;0),
                        SUMIF(CÁLCULO!$BS$15:$CS$205,CRONO!AS$12,CÁLCULO!$AR$15:$BR$205)/(ORÇAMENTO!$X$15-_xlfn.single(CÁLCULO.TotalAdmLocal))*CRONO!$F73,
                        0),
                 AS72*$S71),
          SUMIF(OFFSET($S73,1,0,$R71-2),($M71+1)&amp;"$",OFFSET(AS73,1,0,$R71-2)))</f>
        <v>3177.55</v>
      </c>
      <c r="AT73" s="439" t="n">
        <f aca="false" t="array" ref="AT73:AT73">IF($R71=2,
         IF(AND(ACOMPANHAMENTO="PLE",ISNUMBER($F71)),
                SUMIF((OFFSET(CÁLCULO!$BS$15:$CS$15,$F71,0,OFFSET(ORÇAMENTO!$D$15,CRONO!$F71,0))),CRONO!AT$12,OFFSET(CÁLCULO!$AR$15:$BR$15,$F71,0,OFFSET(ORÇAMENTO!$D$15,CRONO!$F71,0)))
                +IF(AND($F73&lt;&gt;"",$F73&lt;&gt;0),
                        SUMIF(CÁLCULO!$BS$15:$CS$205,CRONO!AT$12,CÁLCULO!$AR$15:$BR$205)/(ORÇAMENTO!$X$15-_xlfn.single(CÁLCULO.TotalAdmLocal))*CRONO!$F73,
                        0),
                 AT72*$S71),
          SUMIF(OFFSET($S73,1,0,$R71-2),($M71+1)&amp;"$",OFFSET(AT73,1,0,$R71-2)))</f>
        <v>0</v>
      </c>
      <c r="AU73" s="439" t="n">
        <f aca="false" t="array" ref="AU73:AU73">IF($R71=2,
         IF(AND(ACOMPANHAMENTO="PLE",ISNUMBER($F71)),
                SUMIF((OFFSET(CÁLCULO!$BS$15:$CS$15,$F71,0,OFFSET(ORÇAMENTO!$D$15,CRONO!$F71,0))),CRONO!AU$12,OFFSET(CÁLCULO!$AR$15:$BR$15,$F71,0,OFFSET(ORÇAMENTO!$D$15,CRONO!$F71,0)))
                +IF(AND($F73&lt;&gt;"",$F73&lt;&gt;0),
                        SUMIF(CÁLCULO!$BS$15:$CS$205,CRONO!AU$12,CÁLCULO!$AR$15:$BR$205)/(ORÇAMENTO!$X$15-_xlfn.single(CÁLCULO.TotalAdmLocal))*CRONO!$F73,
                        0),
                 AU72*$S71),
          SUMIF(OFFSET($S73,1,0,$R71-2),($M71+1)&amp;"$",OFFSET(AU73,1,0,$R71-2)))</f>
        <v>0</v>
      </c>
      <c r="AV73" s="439" t="n">
        <f aca="false" t="array" ref="AV73:AV73">IF($R71=2,
         IF(AND(ACOMPANHAMENTO="PLE",ISNUMBER($F71)),
                SUMIF((OFFSET(CÁLCULO!$BS$15:$CS$15,$F71,0,OFFSET(ORÇAMENTO!$D$15,CRONO!$F71,0))),CRONO!AV$12,OFFSET(CÁLCULO!$AR$15:$BR$15,$F71,0,OFFSET(ORÇAMENTO!$D$15,CRONO!$F71,0)))
                +IF(AND($F73&lt;&gt;"",$F73&lt;&gt;0),
                        SUMIF(CÁLCULO!$BS$15:$CS$205,CRONO!AV$12,CÁLCULO!$AR$15:$BR$205)/(ORÇAMENTO!$X$15-_xlfn.single(CÁLCULO.TotalAdmLocal))*CRONO!$F73,
                        0),
                 AV72*$S71),
          SUMIF(OFFSET($S73,1,0,$R71-2),($M71+1)&amp;"$",OFFSET(AV73,1,0,$R71-2)))</f>
        <v>0</v>
      </c>
      <c r="AW73" s="439" t="n">
        <f aca="false" t="array" ref="AW73:AW73">IF($R71=2,
         IF(AND(ACOMPANHAMENTO="PLE",ISNUMBER($F71)),
                SUMIF((OFFSET(CÁLCULO!$BS$15:$CS$15,$F71,0,OFFSET(ORÇAMENTO!$D$15,CRONO!$F71,0))),CRONO!AW$12,OFFSET(CÁLCULO!$AR$15:$BR$15,$F71,0,OFFSET(ORÇAMENTO!$D$15,CRONO!$F71,0)))
                +IF(AND($F73&lt;&gt;"",$F73&lt;&gt;0),
                        SUMIF(CÁLCULO!$BS$15:$CS$205,CRONO!AW$12,CÁLCULO!$AR$15:$BR$205)/(ORÇAMENTO!$X$15-_xlfn.single(CÁLCULO.TotalAdmLocal))*CRONO!$F73,
                        0),
                 AW72*$S71),
          SUMIF(OFFSET($S73,1,0,$R71-2),($M71+1)&amp;"$",OFFSET(AW73,1,0,$R71-2)))</f>
        <v>0</v>
      </c>
      <c r="AX73" s="439" t="n">
        <f aca="false" t="array" ref="AX73:AX73">IF($R71=2,
         IF(AND(ACOMPANHAMENTO="PLE",ISNUMBER($F71)),
                SUMIF((OFFSET(CÁLCULO!$BS$15:$CS$15,$F71,0,OFFSET(ORÇAMENTO!$D$15,CRONO!$F71,0))),CRONO!AX$12,OFFSET(CÁLCULO!$AR$15:$BR$15,$F71,0,OFFSET(ORÇAMENTO!$D$15,CRONO!$F71,0)))
                +IF(AND($F73&lt;&gt;"",$F73&lt;&gt;0),
                        SUMIF(CÁLCULO!$BS$15:$CS$205,CRONO!AX$12,CÁLCULO!$AR$15:$BR$205)/(ORÇAMENTO!$X$15-_xlfn.single(CÁLCULO.TotalAdmLocal))*CRONO!$F73,
                        0),
                 AX72*$S71),
          SUMIF(OFFSET($S73,1,0,$R71-2),($M71+1)&amp;"$",OFFSET(AX73,1,0,$R71-2)))</f>
        <v>0</v>
      </c>
      <c r="AY73" s="439" t="n">
        <f aca="false" t="array" ref="AY73:AY73">IF($R71=2,
         IF(AND(ACOMPANHAMENTO="PLE",ISNUMBER($F71)),
                SUMIF((OFFSET(CÁLCULO!$BS$15:$CS$15,$F71,0,OFFSET(ORÇAMENTO!$D$15,CRONO!$F71,0))),CRONO!AY$12,OFFSET(CÁLCULO!$AR$15:$BR$15,$F71,0,OFFSET(ORÇAMENTO!$D$15,CRONO!$F71,0)))
                +IF(AND($F73&lt;&gt;"",$F73&lt;&gt;0),
                        SUMIF(CÁLCULO!$BS$15:$CS$205,CRONO!AY$12,CÁLCULO!$AR$15:$BR$205)/(ORÇAMENTO!$X$15-_xlfn.single(CÁLCULO.TotalAdmLocal))*CRONO!$F73,
                        0),
                 AY72*$S71),
          SUMIF(OFFSET($S73,1,0,$R71-2),($M71+1)&amp;"$",OFFSET(AY73,1,0,$R71-2)))</f>
        <v>0</v>
      </c>
      <c r="AZ73" s="439" t="n">
        <f aca="false" t="array" ref="AZ73:AZ73">IF($R71=2,
         IF(AND(ACOMPANHAMENTO="PLE",ISNUMBER($F71)),
                SUMIF((OFFSET(CÁLCULO!$BS$15:$CS$15,$F71,0,OFFSET(ORÇAMENTO!$D$15,CRONO!$F71,0))),CRONO!AZ$12,OFFSET(CÁLCULO!$AR$15:$BR$15,$F71,0,OFFSET(ORÇAMENTO!$D$15,CRONO!$F71,0)))
                +IF(AND($F73&lt;&gt;"",$F73&lt;&gt;0),
                        SUMIF(CÁLCULO!$BS$15:$CS$205,CRONO!AZ$12,CÁLCULO!$AR$15:$BR$205)/(ORÇAMENTO!$X$15-_xlfn.single(CÁLCULO.TotalAdmLocal))*CRONO!$F73,
                        0),
                 AZ72*$S71),
          SUMIF(OFFSET($S73,1,0,$R71-2),($M71+1)&amp;"$",OFFSET(AZ73,1,0,$R71-2)))</f>
        <v>0</v>
      </c>
      <c r="BA73" s="439" t="n">
        <f aca="false" t="array" ref="BA73:BA73">IF($R71=2,
         IF(AND(ACOMPANHAMENTO="PLE",ISNUMBER($F71)),
                SUMIF((OFFSET(CÁLCULO!$BS$15:$CS$15,$F71,0,OFFSET(ORÇAMENTO!$D$15,CRONO!$F71,0))),CRONO!BA$12,OFFSET(CÁLCULO!$AR$15:$BR$15,$F71,0,OFFSET(ORÇAMENTO!$D$15,CRONO!$F71,0)))
                +IF(AND($F73&lt;&gt;"",$F73&lt;&gt;0),
                        SUMIF(CÁLCULO!$BS$15:$CS$205,CRONO!BA$12,CÁLCULO!$AR$15:$BR$205)/(ORÇAMENTO!$X$15-_xlfn.single(CÁLCULO.TotalAdmLocal))*CRONO!$F73,
                        0),
                 BA72*$S71),
          SUMIF(OFFSET($S73,1,0,$R71-2),($M71+1)&amp;"$",OFFSET(BA73,1,0,$R71-2)))</f>
        <v>0</v>
      </c>
      <c r="BB73" s="439" t="n">
        <f aca="false" t="array" ref="BB73:BB73">IF($R71=2,
         IF(AND(ACOMPANHAMENTO="PLE",ISNUMBER($F71)),
                SUMIF((OFFSET(CÁLCULO!$BS$15:$CS$15,$F71,0,OFFSET(ORÇAMENTO!$D$15,CRONO!$F71,0))),CRONO!BB$12,OFFSET(CÁLCULO!$AR$15:$BR$15,$F71,0,OFFSET(ORÇAMENTO!$D$15,CRONO!$F71,0)))
                +IF(AND($F73&lt;&gt;"",$F73&lt;&gt;0),
                        SUMIF(CÁLCULO!$BS$15:$CS$205,CRONO!BB$12,CÁLCULO!$AR$15:$BR$205)/(ORÇAMENTO!$X$15-_xlfn.single(CÁLCULO.TotalAdmLocal))*CRONO!$F73,
                        0),
                 BB72*$S71),
          SUMIF(OFFSET($S73,1,0,$R71-2),($M71+1)&amp;"$",OFFSET(BB73,1,0,$R71-2)))</f>
        <v>0</v>
      </c>
      <c r="BC73" s="439" t="n">
        <f aca="false" t="array" ref="BC73:BC73">IF($R71=2,
         IF(AND(ACOMPANHAMENTO="PLE",ISNUMBER($F71)),
                SUMIF((OFFSET(CÁLCULO!$BS$15:$CS$15,$F71,0,OFFSET(ORÇAMENTO!$D$15,CRONO!$F71,0))),CRONO!BC$12,OFFSET(CÁLCULO!$AR$15:$BR$15,$F71,0,OFFSET(ORÇAMENTO!$D$15,CRONO!$F71,0)))
                +IF(AND($F73&lt;&gt;"",$F73&lt;&gt;0),
                        SUMIF(CÁLCULO!$BS$15:$CS$205,CRONO!BC$12,CÁLCULO!$AR$15:$BR$205)/(ORÇAMENTO!$X$15-_xlfn.single(CÁLCULO.TotalAdmLocal))*CRONO!$F73,
                        0),
                 BC72*$S71),
          SUMIF(OFFSET($S73,1,0,$R71-2),($M71+1)&amp;"$",OFFSET(BC73,1,0,$R71-2)))</f>
        <v>0</v>
      </c>
      <c r="BD73" s="439" t="n">
        <f aca="false" t="array" ref="BD73:BD73">IF($R71=2,
         IF(AND(ACOMPANHAMENTO="PLE",ISNUMBER($F71)),
                SUMIF((OFFSET(CÁLCULO!$BS$15:$CS$15,$F71,0,OFFSET(ORÇAMENTO!$D$15,CRONO!$F71,0))),CRONO!BD$12,OFFSET(CÁLCULO!$AR$15:$BR$15,$F71,0,OFFSET(ORÇAMENTO!$D$15,CRONO!$F71,0)))
                +IF(AND($F73&lt;&gt;"",$F73&lt;&gt;0),
                        SUMIF(CÁLCULO!$BS$15:$CS$205,CRONO!BD$12,CÁLCULO!$AR$15:$BR$205)/(ORÇAMENTO!$X$15-_xlfn.single(CÁLCULO.TotalAdmLocal))*CRONO!$F73,
                        0),
                 BD72*$S71),
          SUMIF(OFFSET($S73,1,0,$R71-2),($M71+1)&amp;"$",OFFSET(BD73,1,0,$R71-2)))</f>
        <v>0</v>
      </c>
      <c r="BE73" s="430"/>
    </row>
    <row r="74" customFormat="false" ht="12.75" hidden="false" customHeight="false" outlineLevel="0" collapsed="false">
      <c r="A74" s="382" t="str">
        <f aca="false">IF($M74&gt;1,_xlfn.CONCAT($I74," ",$J74),"")</f>
        <v>1.20. REVESTIMENTOS EXTERNOS</v>
      </c>
      <c r="B74" s="419" t="n">
        <f aca="true">OFFSET(B74,-3,0)+1</f>
        <v>21</v>
      </c>
      <c r="C74" s="419" t="n">
        <f aca="true">IF($R74&lt;&gt;2,0,IF($S74=0,1,IF(F75&gt;0,OFFSET(QCI!$M$13,SUBSTITUTE(F75,".",""),0),OFFSET(ORÇAMENTO!$AA$15,CRONO!$F74,0))/$S74))</f>
        <v>0.110981526562671</v>
      </c>
      <c r="D74" s="419" t="n">
        <f aca="true">IF($R74&lt;&gt;2,0,IF($S74=0,1,IF(F75&gt;0,OFFSET(QCI!$N$13,SUBSTITUTE(F75,".",""),0),OFFSET(ORÇAMENTO!$AB$15,CRONO!$F74,0))/$S74))</f>
        <v>0</v>
      </c>
      <c r="E74" s="422" t="n">
        <f aca="false" t="array" ref="E74:E74">IF(AND($R74=2,ACOMPANHAMENTO="BM"),ROUND(E75,4),E76/$S74)</f>
        <v>0.04</v>
      </c>
      <c r="F74" s="419" t="n">
        <f aca="true">IF(B74&lt;=ORÇAMENTO.MáximoListaCrono,MATCH(B74,ORÇAMENTO.ListaCrono,0),NA())</f>
        <v>69</v>
      </c>
      <c r="G74" s="419" t="str">
        <f aca="false">IF(AND($F75&lt;&gt;-1,$S74&gt;0),"F","")</f>
        <v>F</v>
      </c>
      <c r="H74" s="423" t="str">
        <f aca="false" t="array" ref="H74:H74">IF(OR(S74=0,S74=""),"Linha",IF(AND(OR(ACOMPANHAMENTO="PLE",$R74&lt;&gt;2),$F75=0),"Linha",ROUND(1-SUM(U74:BE74),4)))</f>
        <v>Linha</v>
      </c>
      <c r="I74" s="424" t="str">
        <f aca="true">IF($F75=0,OFFSET(ORÇAMENTO!O$15,$F74,0),IF($F75&lt;&gt;-1,OFFSET(QCI!$D$13,$F75,0),""))</f>
        <v>1.20.</v>
      </c>
      <c r="J74" s="425" t="str">
        <f aca="true">IF($F75=0,OFFSET(ORÇAMENTO!R$15,$F74,0),IF($F75&lt;&gt;-1,OFFSET(QCI!$G$13,$F75,0),""))</f>
        <v>REVESTIMENTOS EXTERNOS</v>
      </c>
      <c r="K74" s="425"/>
      <c r="L74" s="425"/>
      <c r="M74" s="426" t="n">
        <f aca="true">IF($F75=0,OFFSET(ORÇAMENTO!C$15,$F74,0),1)</f>
        <v>2</v>
      </c>
      <c r="N74" s="427" t="n">
        <f aca="true">IF($F75=-1,0,IF(N$13&lt;=$M74,IF(ISERROR(MATCH(N$13,OFFSET($M74,1,0,ROW($M$182)-ROW($M74)-1),0)),ROW($M$182)-ROW($M74)-1,MATCH(N$13,OFFSET($M74,1,0,ROW($M$182)-ROW($M74)-1),0)-1),0))</f>
        <v>107</v>
      </c>
      <c r="O74" s="427" t="n">
        <f aca="true">IF($F75=-1,0,IF(O$13&lt;=$M74,IF(ISERROR(MATCH(O$13,OFFSET($M74,1,0,ROW($M$182)-ROW($M74)-1),0)),ROW($M$182)-ROW($M74)-1,MATCH(O$13,OFFSET($M74,1,0,ROW($M$182)-ROW($M74)-1),0)-1),0))</f>
        <v>2</v>
      </c>
      <c r="P74" s="427" t="n">
        <f aca="true">IF($F75=-1,0,IF(P$13&lt;=$M74,IF(ISERROR(MATCH(P$13,OFFSET($M74,1,0,ROW($M$182)-ROW($M74)-1),0)),ROW($M$182)-ROW($M74)-1,MATCH(P$13,OFFSET($M74,1,0,ROW($M$182)-ROW($M74)-1),0)-1),0))</f>
        <v>0</v>
      </c>
      <c r="Q74" s="427" t="n">
        <f aca="true">IF($F75=-1,0,IF(Q$13&lt;=$M74,IF(ISERROR(MATCH(Q$13,OFFSET($M74,1,0,ROW($M$182)-ROW($M74)-1),0)),ROW($M$182)-ROW($M74)-1,MATCH(Q$13,OFFSET($M74,1,0,ROW($M$182)-ROW($M74)-1),0)-1),0))</f>
        <v>0</v>
      </c>
      <c r="R74" s="427" t="n">
        <f aca="true">MIN(OFFSET(M74,0,1,,M74))</f>
        <v>2</v>
      </c>
      <c r="S74" s="428" t="n">
        <f aca="true">IF($F75=0,OFFSET(ORÇAMENTO!X$15,$F74,0),IF($F75&lt;&gt;-1,OFFSET(QCI!$O$13,$F75,0),""))</f>
        <v>191721.25</v>
      </c>
      <c r="T74" s="429" t="s">
        <v>996</v>
      </c>
      <c r="U74" s="422" t="n">
        <f aca="false" t="array" ref="U74:U74">IF(AND($R74=2,ACOMPANHAMENTO="BM"),ROUND(U75,4),U76/$S74)</f>
        <v>0.04</v>
      </c>
      <c r="V74" s="422" t="n">
        <f aca="false" t="array" ref="V74:V74">IF(AND($R74=2,ACOMPANHAMENTO="BM"),ROUND(V75,4),V76/$S74)</f>
        <v>0.04</v>
      </c>
      <c r="W74" s="422" t="n">
        <f aca="false" t="array" ref="W74:W74">IF(AND($R74=2,ACOMPANHAMENTO="BM"),ROUND(W75,4),W76/$S74)</f>
        <v>0.04</v>
      </c>
      <c r="X74" s="422" t="n">
        <f aca="false" t="array" ref="X74:X74">IF(AND($R74=2,ACOMPANHAMENTO="BM"),ROUND(X75,4),X76/$S74)</f>
        <v>0.04</v>
      </c>
      <c r="Y74" s="422" t="n">
        <f aca="false" t="array" ref="Y74:Y74">IF(AND($R74=2,ACOMPANHAMENTO="BM"),ROUND(Y75,4),Y76/$S74)</f>
        <v>0.04</v>
      </c>
      <c r="Z74" s="422" t="n">
        <f aca="false" t="array" ref="Z74:Z74">IF(AND($R74=2,ACOMPANHAMENTO="BM"),ROUND(Z75,4),Z76/$S74)</f>
        <v>0.04</v>
      </c>
      <c r="AA74" s="422" t="n">
        <f aca="false" t="array" ref="AA74:AA74">IF(AND($R74=2,ACOMPANHAMENTO="BM"),ROUND(AA75,4),AA76/$S74)</f>
        <v>0.04</v>
      </c>
      <c r="AB74" s="422" t="n">
        <f aca="false" t="array" ref="AB74:AB74">IF(AND($R74=2,ACOMPANHAMENTO="BM"),ROUND(AB75,4),AB76/$S74)</f>
        <v>0.04</v>
      </c>
      <c r="AC74" s="422" t="n">
        <f aca="false" t="array" ref="AC74:AC74">IF(AND($R74=2,ACOMPANHAMENTO="BM"),ROUND(AC75,4),AC76/$S74)</f>
        <v>0.04</v>
      </c>
      <c r="AD74" s="422" t="n">
        <f aca="false" t="array" ref="AD74:AD74">IF(AND($R74=2,ACOMPANHAMENTO="BM"),ROUND(AD75,4),AD76/$S74)</f>
        <v>0.04</v>
      </c>
      <c r="AE74" s="422" t="n">
        <f aca="false" t="array" ref="AE74:AE74">IF(AND($R74=2,ACOMPANHAMENTO="BM"),ROUND(AE75,4),AE76/$S74)</f>
        <v>0.04</v>
      </c>
      <c r="AF74" s="422" t="n">
        <f aca="false" t="array" ref="AF74:AF74">IF(AND($R74=2,ACOMPANHAMENTO="BM"),ROUND(AF75,4),AF76/$S74)</f>
        <v>0.04</v>
      </c>
      <c r="AG74" s="422" t="n">
        <f aca="false" t="array" ref="AG74:AG74">IF(AND($R74=2,ACOMPANHAMENTO="BM"),ROUND(AG75,4),AG76/$S74)</f>
        <v>0.04</v>
      </c>
      <c r="AH74" s="422" t="n">
        <f aca="false" t="array" ref="AH74:AH74">IF(AND($R74=2,ACOMPANHAMENTO="BM"),ROUND(AH75,4),AH76/$S74)</f>
        <v>0.04</v>
      </c>
      <c r="AI74" s="422" t="n">
        <f aca="false" t="array" ref="AI74:AI74">IF(AND($R74=2,ACOMPANHAMENTO="BM"),ROUND(AI75,4),AI76/$S74)</f>
        <v>0.04</v>
      </c>
      <c r="AJ74" s="422" t="n">
        <f aca="false" t="array" ref="AJ74:AJ74">IF(AND($R74=2,ACOMPANHAMENTO="BM"),ROUND(AJ75,4),AJ76/$S74)</f>
        <v>0.04</v>
      </c>
      <c r="AK74" s="422" t="n">
        <f aca="false" t="array" ref="AK74:AK74">IF(AND($R74=2,ACOMPANHAMENTO="BM"),ROUND(AK75,4),AK76/$S74)</f>
        <v>0.04</v>
      </c>
      <c r="AL74" s="422" t="n">
        <f aca="false" t="array" ref="AL74:AL74">IF(AND($R74=2,ACOMPANHAMENTO="BM"),ROUND(AL75,4),AL76/$S74)</f>
        <v>0.04</v>
      </c>
      <c r="AM74" s="422" t="n">
        <f aca="false" t="array" ref="AM74:AM74">IF(AND($R74=2,ACOMPANHAMENTO="BM"),ROUND(AM75,4),AM76/$S74)</f>
        <v>0.04</v>
      </c>
      <c r="AN74" s="422" t="n">
        <f aca="false" t="array" ref="AN74:AN74">IF(AND($R74=2,ACOMPANHAMENTO="BM"),ROUND(AN75,4),AN76/$S74)</f>
        <v>0.04</v>
      </c>
      <c r="AO74" s="422" t="n">
        <f aca="false" t="array" ref="AO74:AO74">IF(AND($R74=2,ACOMPANHAMENTO="BM"),ROUND(AO75,4),AO76/$S74)</f>
        <v>0.04</v>
      </c>
      <c r="AP74" s="422" t="n">
        <f aca="false" t="array" ref="AP74:AP74">IF(AND($R74=2,ACOMPANHAMENTO="BM"),ROUND(AP75,4),AP76/$S74)</f>
        <v>0.04</v>
      </c>
      <c r="AQ74" s="422" t="n">
        <f aca="false" t="array" ref="AQ74:AQ74">IF(AND($R74=2,ACOMPANHAMENTO="BM"),ROUND(AQ75,4),AQ76/$S74)</f>
        <v>0.04</v>
      </c>
      <c r="AR74" s="422" t="n">
        <f aca="false" t="array" ref="AR74:AR74">IF(AND($R74=2,ACOMPANHAMENTO="BM"),ROUND(AR75,4),AR76/$S74)</f>
        <v>0.04</v>
      </c>
      <c r="AS74" s="422" t="n">
        <f aca="false" t="array" ref="AS74:AS74">IF(AND($R74=2,ACOMPANHAMENTO="BM"),ROUND(AS75,4),AS76/$S74)</f>
        <v>0.04</v>
      </c>
      <c r="AT74" s="422" t="n">
        <f aca="false" t="array" ref="AT74:AT74">IF(AND($R74=2,ACOMPANHAMENTO="BM"),ROUND(AT75,4),AT76/$S74)</f>
        <v>0</v>
      </c>
      <c r="AU74" s="422" t="n">
        <f aca="false" t="array" ref="AU74:AU74">IF(AND($R74=2,ACOMPANHAMENTO="BM"),ROUND(AU75,4),AU76/$S74)</f>
        <v>0</v>
      </c>
      <c r="AV74" s="422" t="n">
        <f aca="false" t="array" ref="AV74:AV74">IF(AND($R74=2,ACOMPANHAMENTO="BM"),ROUND(AV75,4),AV76/$S74)</f>
        <v>0</v>
      </c>
      <c r="AW74" s="422" t="n">
        <f aca="false" t="array" ref="AW74:AW74">IF(AND($R74=2,ACOMPANHAMENTO="BM"),ROUND(AW75,4),AW76/$S74)</f>
        <v>0</v>
      </c>
      <c r="AX74" s="422" t="n">
        <f aca="false" t="array" ref="AX74:AX74">IF(AND($R74=2,ACOMPANHAMENTO="BM"),ROUND(AX75,4),AX76/$S74)</f>
        <v>0</v>
      </c>
      <c r="AY74" s="422" t="n">
        <f aca="false" t="array" ref="AY74:AY74">IF(AND($R74=2,ACOMPANHAMENTO="BM"),ROUND(AY75,4),AY76/$S74)</f>
        <v>0</v>
      </c>
      <c r="AZ74" s="422" t="n">
        <f aca="false" t="array" ref="AZ74:AZ74">IF(AND($R74=2,ACOMPANHAMENTO="BM"),ROUND(AZ75,4),AZ76/$S74)</f>
        <v>0</v>
      </c>
      <c r="BA74" s="422" t="n">
        <f aca="false" t="array" ref="BA74:BA74">IF(AND($R74=2,ACOMPANHAMENTO="BM"),ROUND(BA75,4),BA76/$S74)</f>
        <v>0</v>
      </c>
      <c r="BB74" s="422" t="n">
        <f aca="false" t="array" ref="BB74:BB74">IF(AND($R74=2,ACOMPANHAMENTO="BM"),ROUND(BB75,4),BB76/$S74)</f>
        <v>0</v>
      </c>
      <c r="BC74" s="422" t="n">
        <f aca="false" t="array" ref="BC74:BC74">IF(AND($R74=2,ACOMPANHAMENTO="BM"),ROUND(BC75,4),BC76/$S74)</f>
        <v>0</v>
      </c>
      <c r="BD74" s="422" t="n">
        <f aca="false" t="array" ref="BD74:BD74">IF(AND($R74=2,ACOMPANHAMENTO="BM"),ROUND(BD75,4),BD76/$S74)</f>
        <v>0</v>
      </c>
      <c r="BE74" s="430"/>
    </row>
    <row r="75" customFormat="false" ht="12.75" hidden="true" customHeight="true" outlineLevel="0" collapsed="false">
      <c r="E75" s="431"/>
      <c r="F75" s="419" t="n">
        <f aca="true">IF(ISERROR(F74),IF(1+COUNTIF($M$13:OFFSET(M74,-1,0),1)&lt;=MAX(QCI!$D$13:$D$15),1+COUNTIF($M$13:OFFSET(M74,-1,0),1),-1),0)</f>
        <v>0</v>
      </c>
      <c r="G75" s="419" t="str">
        <f aca="true" t="array" ref="G75:G75">IF(ACOMPANHAMENTO="BM",OFFSET(G75,-1,0),"")</f>
        <v/>
      </c>
      <c r="H75" s="432" t="str">
        <f aca="false" t="array" ref="H75:H75">IF(OR(S74=0,S74=""),"vazia",IF(AND(OR(ACOMPANHAMENTO="PLE",$R74&lt;&gt;2),$F75=0),"calculada","--&gt;"))</f>
        <v>calculada</v>
      </c>
      <c r="I75" s="433"/>
      <c r="J75" s="434" t="str">
        <f aca="false">IF(AND(H74&lt;&gt;0,ISNUMBER(H74)),"PREENCHA ESTA LINHA --&gt;","")</f>
        <v/>
      </c>
      <c r="K75" s="434"/>
      <c r="L75" s="434"/>
      <c r="M75" s="435"/>
      <c r="N75" s="435"/>
      <c r="O75" s="435"/>
      <c r="P75" s="435"/>
      <c r="Q75" s="435"/>
      <c r="R75" s="435"/>
      <c r="S75" s="436"/>
      <c r="T75" s="437"/>
      <c r="U75" s="431"/>
      <c r="V75" s="431"/>
      <c r="W75" s="431"/>
      <c r="X75" s="431"/>
      <c r="Y75" s="431"/>
      <c r="Z75" s="431"/>
      <c r="AA75" s="431"/>
      <c r="AB75" s="431"/>
      <c r="AC75" s="431"/>
      <c r="AD75" s="431"/>
      <c r="AE75" s="431"/>
      <c r="AF75" s="431"/>
      <c r="AG75" s="431"/>
      <c r="AH75" s="431"/>
      <c r="AI75" s="431"/>
      <c r="AJ75" s="431"/>
      <c r="AK75" s="431"/>
      <c r="AL75" s="431"/>
      <c r="AM75" s="431"/>
      <c r="AN75" s="431"/>
      <c r="AO75" s="431"/>
      <c r="AP75" s="431"/>
      <c r="AQ75" s="431"/>
      <c r="AR75" s="431"/>
      <c r="AS75" s="431"/>
      <c r="AT75" s="431"/>
      <c r="AU75" s="431"/>
      <c r="AV75" s="431"/>
      <c r="AW75" s="431"/>
      <c r="AX75" s="431"/>
      <c r="AY75" s="431"/>
      <c r="AZ75" s="431"/>
      <c r="BA75" s="431"/>
      <c r="BB75" s="431"/>
      <c r="BC75" s="431"/>
      <c r="BD75" s="431"/>
      <c r="BE75" s="430"/>
    </row>
    <row r="76" customFormat="false" ht="12.75" hidden="true" customHeight="true" outlineLevel="0" collapsed="false">
      <c r="D76" s="438"/>
      <c r="E76" s="439" t="n">
        <f aca="false" t="array" ref="E76:E76">IF($R74=2,
         IF(AND(ACOMPANHAMENTO="PLE",ISNUMBER($F74)),
                SUMIF((OFFSET(CÁLCULO!$BS$15:$CS$15,$F74,0,OFFSET(ORÇAMENTO!$D$15,CRONO!$F74,0))),CRONO!E$12,OFFSET(CÁLCULO!$AR$15:$BR$15,$F74,0,OFFSET(ORÇAMENTO!$D$15,CRONO!$F74,0)))
                +IF(AND($F76&lt;&gt;"",$F76&lt;&gt;0),
                        SUMIF(CÁLCULO!$BS$15:$CS$205,CRONO!E$12,CÁLCULO!$AR$15:$BR$205)/(ORÇAMENTO!$X$15-_xlfn.single(CÁLCULO.TotalAdmLocal))*CRONO!$F76,
                        0),
                 E75*$S74),
          SUMIF(OFFSET($S76,1,0,$R74-2),($M74+1)&amp;"$",OFFSET(E76,1,0,$R74-2)))</f>
        <v>7668.85</v>
      </c>
      <c r="F76" s="419" t="str">
        <f aca="true">IF(OR($R74&lt;&gt;2,AUTOEVENTO&lt;&gt;"manual",$F75&gt;0),"",
        IF(Import.TipoArredondamento="Tradicional",
              SUMIF(OFFSET(CÁLCULO!$M$15,CRONO!$F74,0,OFFSET(ORÇAMENTO!$D$15,CRONO!$F74,0)),1,OFFSET(ORÇAMENTO!$X$15,CRONO!$F74,0,OFFSET(ORÇAMENTO!$D$15,CRONO!$F74,0))),
              0))</f>
        <v/>
      </c>
      <c r="H76" s="440"/>
      <c r="S76" s="441" t="str">
        <f aca="false">M74&amp;"$"</f>
        <v>2$</v>
      </c>
      <c r="T76" s="442"/>
      <c r="U76" s="439" t="n">
        <f aca="false" t="array" ref="U76:U76">IF($R74=2,
         IF(AND(ACOMPANHAMENTO="PLE",ISNUMBER($F74)),
                SUMIF((OFFSET(CÁLCULO!$BS$15:$CS$15,$F74,0,OFFSET(ORÇAMENTO!$D$15,CRONO!$F74,0))),CRONO!U$12,OFFSET(CÁLCULO!$AR$15:$BR$15,$F74,0,OFFSET(ORÇAMENTO!$D$15,CRONO!$F74,0)))
                +IF(AND($F76&lt;&gt;"",$F76&lt;&gt;0),
                        SUMIF(CÁLCULO!$BS$15:$CS$205,CRONO!U$12,CÁLCULO!$AR$15:$BR$205)/(ORÇAMENTO!$X$15-_xlfn.single(CÁLCULO.TotalAdmLocal))*CRONO!$F76,
                        0),
                 U75*$S74),
          SUMIF(OFFSET($S76,1,0,$R74-2),($M74+1)&amp;"$",OFFSET(U76,1,0,$R74-2)))</f>
        <v>7668.85</v>
      </c>
      <c r="V76" s="439" t="n">
        <f aca="false" t="array" ref="V76:V76">IF($R74=2,
         IF(AND(ACOMPANHAMENTO="PLE",ISNUMBER($F74)),
                SUMIF((OFFSET(CÁLCULO!$BS$15:$CS$15,$F74,0,OFFSET(ORÇAMENTO!$D$15,CRONO!$F74,0))),CRONO!V$12,OFFSET(CÁLCULO!$AR$15:$BR$15,$F74,0,OFFSET(ORÇAMENTO!$D$15,CRONO!$F74,0)))
                +IF(AND($F76&lt;&gt;"",$F76&lt;&gt;0),
                        SUMIF(CÁLCULO!$BS$15:$CS$205,CRONO!V$12,CÁLCULO!$AR$15:$BR$205)/(ORÇAMENTO!$X$15-_xlfn.single(CÁLCULO.TotalAdmLocal))*CRONO!$F76,
                        0),
                 V75*$S74),
          SUMIF(OFFSET($S76,1,0,$R74-2),($M74+1)&amp;"$",OFFSET(V76,1,0,$R74-2)))</f>
        <v>7668.85</v>
      </c>
      <c r="W76" s="439" t="n">
        <f aca="false" t="array" ref="W76:W76">IF($R74=2,
         IF(AND(ACOMPANHAMENTO="PLE",ISNUMBER($F74)),
                SUMIF((OFFSET(CÁLCULO!$BS$15:$CS$15,$F74,0,OFFSET(ORÇAMENTO!$D$15,CRONO!$F74,0))),CRONO!W$12,OFFSET(CÁLCULO!$AR$15:$BR$15,$F74,0,OFFSET(ORÇAMENTO!$D$15,CRONO!$F74,0)))
                +IF(AND($F76&lt;&gt;"",$F76&lt;&gt;0),
                        SUMIF(CÁLCULO!$BS$15:$CS$205,CRONO!W$12,CÁLCULO!$AR$15:$BR$205)/(ORÇAMENTO!$X$15-_xlfn.single(CÁLCULO.TotalAdmLocal))*CRONO!$F76,
                        0),
                 W75*$S74),
          SUMIF(OFFSET($S76,1,0,$R74-2),($M74+1)&amp;"$",OFFSET(W76,1,0,$R74-2)))</f>
        <v>7668.85</v>
      </c>
      <c r="X76" s="439" t="n">
        <f aca="false" t="array" ref="X76:X76">IF($R74=2,
         IF(AND(ACOMPANHAMENTO="PLE",ISNUMBER($F74)),
                SUMIF((OFFSET(CÁLCULO!$BS$15:$CS$15,$F74,0,OFFSET(ORÇAMENTO!$D$15,CRONO!$F74,0))),CRONO!X$12,OFFSET(CÁLCULO!$AR$15:$BR$15,$F74,0,OFFSET(ORÇAMENTO!$D$15,CRONO!$F74,0)))
                +IF(AND($F76&lt;&gt;"",$F76&lt;&gt;0),
                        SUMIF(CÁLCULO!$BS$15:$CS$205,CRONO!X$12,CÁLCULO!$AR$15:$BR$205)/(ORÇAMENTO!$X$15-_xlfn.single(CÁLCULO.TotalAdmLocal))*CRONO!$F76,
                        0),
                 X75*$S74),
          SUMIF(OFFSET($S76,1,0,$R74-2),($M74+1)&amp;"$",OFFSET(X76,1,0,$R74-2)))</f>
        <v>7668.85</v>
      </c>
      <c r="Y76" s="439" t="n">
        <f aca="false" t="array" ref="Y76:Y76">IF($R74=2,
         IF(AND(ACOMPANHAMENTO="PLE",ISNUMBER($F74)),
                SUMIF((OFFSET(CÁLCULO!$BS$15:$CS$15,$F74,0,OFFSET(ORÇAMENTO!$D$15,CRONO!$F74,0))),CRONO!Y$12,OFFSET(CÁLCULO!$AR$15:$BR$15,$F74,0,OFFSET(ORÇAMENTO!$D$15,CRONO!$F74,0)))
                +IF(AND($F76&lt;&gt;"",$F76&lt;&gt;0),
                        SUMIF(CÁLCULO!$BS$15:$CS$205,CRONO!Y$12,CÁLCULO!$AR$15:$BR$205)/(ORÇAMENTO!$X$15-_xlfn.single(CÁLCULO.TotalAdmLocal))*CRONO!$F76,
                        0),
                 Y75*$S74),
          SUMIF(OFFSET($S76,1,0,$R74-2),($M74+1)&amp;"$",OFFSET(Y76,1,0,$R74-2)))</f>
        <v>7668.85</v>
      </c>
      <c r="Z76" s="439" t="n">
        <f aca="false" t="array" ref="Z76:Z76">IF($R74=2,
         IF(AND(ACOMPANHAMENTO="PLE",ISNUMBER($F74)),
                SUMIF((OFFSET(CÁLCULO!$BS$15:$CS$15,$F74,0,OFFSET(ORÇAMENTO!$D$15,CRONO!$F74,0))),CRONO!Z$12,OFFSET(CÁLCULO!$AR$15:$BR$15,$F74,0,OFFSET(ORÇAMENTO!$D$15,CRONO!$F74,0)))
                +IF(AND($F76&lt;&gt;"",$F76&lt;&gt;0),
                        SUMIF(CÁLCULO!$BS$15:$CS$205,CRONO!Z$12,CÁLCULO!$AR$15:$BR$205)/(ORÇAMENTO!$X$15-_xlfn.single(CÁLCULO.TotalAdmLocal))*CRONO!$F76,
                        0),
                 Z75*$S74),
          SUMIF(OFFSET($S76,1,0,$R74-2),($M74+1)&amp;"$",OFFSET(Z76,1,0,$R74-2)))</f>
        <v>7668.85</v>
      </c>
      <c r="AA76" s="439" t="n">
        <f aca="false" t="array" ref="AA76:AA76">IF($R74=2,
         IF(AND(ACOMPANHAMENTO="PLE",ISNUMBER($F74)),
                SUMIF((OFFSET(CÁLCULO!$BS$15:$CS$15,$F74,0,OFFSET(ORÇAMENTO!$D$15,CRONO!$F74,0))),CRONO!AA$12,OFFSET(CÁLCULO!$AR$15:$BR$15,$F74,0,OFFSET(ORÇAMENTO!$D$15,CRONO!$F74,0)))
                +IF(AND($F76&lt;&gt;"",$F76&lt;&gt;0),
                        SUMIF(CÁLCULO!$BS$15:$CS$205,CRONO!AA$12,CÁLCULO!$AR$15:$BR$205)/(ORÇAMENTO!$X$15-_xlfn.single(CÁLCULO.TotalAdmLocal))*CRONO!$F76,
                        0),
                 AA75*$S74),
          SUMIF(OFFSET($S76,1,0,$R74-2),($M74+1)&amp;"$",OFFSET(AA76,1,0,$R74-2)))</f>
        <v>7668.85</v>
      </c>
      <c r="AB76" s="439" t="n">
        <f aca="false" t="array" ref="AB76:AB76">IF($R74=2,
         IF(AND(ACOMPANHAMENTO="PLE",ISNUMBER($F74)),
                SUMIF((OFFSET(CÁLCULO!$BS$15:$CS$15,$F74,0,OFFSET(ORÇAMENTO!$D$15,CRONO!$F74,0))),CRONO!AB$12,OFFSET(CÁLCULO!$AR$15:$BR$15,$F74,0,OFFSET(ORÇAMENTO!$D$15,CRONO!$F74,0)))
                +IF(AND($F76&lt;&gt;"",$F76&lt;&gt;0),
                        SUMIF(CÁLCULO!$BS$15:$CS$205,CRONO!AB$12,CÁLCULO!$AR$15:$BR$205)/(ORÇAMENTO!$X$15-_xlfn.single(CÁLCULO.TotalAdmLocal))*CRONO!$F76,
                        0),
                 AB75*$S74),
          SUMIF(OFFSET($S76,1,0,$R74-2),($M74+1)&amp;"$",OFFSET(AB76,1,0,$R74-2)))</f>
        <v>7668.85</v>
      </c>
      <c r="AC76" s="439" t="n">
        <f aca="false" t="array" ref="AC76:AC76">IF($R74=2,
         IF(AND(ACOMPANHAMENTO="PLE",ISNUMBER($F74)),
                SUMIF((OFFSET(CÁLCULO!$BS$15:$CS$15,$F74,0,OFFSET(ORÇAMENTO!$D$15,CRONO!$F74,0))),CRONO!AC$12,OFFSET(CÁLCULO!$AR$15:$BR$15,$F74,0,OFFSET(ORÇAMENTO!$D$15,CRONO!$F74,0)))
                +IF(AND($F76&lt;&gt;"",$F76&lt;&gt;0),
                        SUMIF(CÁLCULO!$BS$15:$CS$205,CRONO!AC$12,CÁLCULO!$AR$15:$BR$205)/(ORÇAMENTO!$X$15-_xlfn.single(CÁLCULO.TotalAdmLocal))*CRONO!$F76,
                        0),
                 AC75*$S74),
          SUMIF(OFFSET($S76,1,0,$R74-2),($M74+1)&amp;"$",OFFSET(AC76,1,0,$R74-2)))</f>
        <v>7668.85</v>
      </c>
      <c r="AD76" s="439" t="n">
        <f aca="false" t="array" ref="AD76:AD76">IF($R74=2,
         IF(AND(ACOMPANHAMENTO="PLE",ISNUMBER($F74)),
                SUMIF((OFFSET(CÁLCULO!$BS$15:$CS$15,$F74,0,OFFSET(ORÇAMENTO!$D$15,CRONO!$F74,0))),CRONO!AD$12,OFFSET(CÁLCULO!$AR$15:$BR$15,$F74,0,OFFSET(ORÇAMENTO!$D$15,CRONO!$F74,0)))
                +IF(AND($F76&lt;&gt;"",$F76&lt;&gt;0),
                        SUMIF(CÁLCULO!$BS$15:$CS$205,CRONO!AD$12,CÁLCULO!$AR$15:$BR$205)/(ORÇAMENTO!$X$15-_xlfn.single(CÁLCULO.TotalAdmLocal))*CRONO!$F76,
                        0),
                 AD75*$S74),
          SUMIF(OFFSET($S76,1,0,$R74-2),($M74+1)&amp;"$",OFFSET(AD76,1,0,$R74-2)))</f>
        <v>7668.85</v>
      </c>
      <c r="AE76" s="439" t="n">
        <f aca="false" t="array" ref="AE76:AE76">IF($R74=2,
         IF(AND(ACOMPANHAMENTO="PLE",ISNUMBER($F74)),
                SUMIF((OFFSET(CÁLCULO!$BS$15:$CS$15,$F74,0,OFFSET(ORÇAMENTO!$D$15,CRONO!$F74,0))),CRONO!AE$12,OFFSET(CÁLCULO!$AR$15:$BR$15,$F74,0,OFFSET(ORÇAMENTO!$D$15,CRONO!$F74,0)))
                +IF(AND($F76&lt;&gt;"",$F76&lt;&gt;0),
                        SUMIF(CÁLCULO!$BS$15:$CS$205,CRONO!AE$12,CÁLCULO!$AR$15:$BR$205)/(ORÇAMENTO!$X$15-_xlfn.single(CÁLCULO.TotalAdmLocal))*CRONO!$F76,
                        0),
                 AE75*$S74),
          SUMIF(OFFSET($S76,1,0,$R74-2),($M74+1)&amp;"$",OFFSET(AE76,1,0,$R74-2)))</f>
        <v>7668.85</v>
      </c>
      <c r="AF76" s="439" t="n">
        <f aca="false" t="array" ref="AF76:AF76">IF($R74=2,
         IF(AND(ACOMPANHAMENTO="PLE",ISNUMBER($F74)),
                SUMIF((OFFSET(CÁLCULO!$BS$15:$CS$15,$F74,0,OFFSET(ORÇAMENTO!$D$15,CRONO!$F74,0))),CRONO!AF$12,OFFSET(CÁLCULO!$AR$15:$BR$15,$F74,0,OFFSET(ORÇAMENTO!$D$15,CRONO!$F74,0)))
                +IF(AND($F76&lt;&gt;"",$F76&lt;&gt;0),
                        SUMIF(CÁLCULO!$BS$15:$CS$205,CRONO!AF$12,CÁLCULO!$AR$15:$BR$205)/(ORÇAMENTO!$X$15-_xlfn.single(CÁLCULO.TotalAdmLocal))*CRONO!$F76,
                        0),
                 AF75*$S74),
          SUMIF(OFFSET($S76,1,0,$R74-2),($M74+1)&amp;"$",OFFSET(AF76,1,0,$R74-2)))</f>
        <v>7668.85</v>
      </c>
      <c r="AG76" s="439" t="n">
        <f aca="false" t="array" ref="AG76:AG76">IF($R74=2,
         IF(AND(ACOMPANHAMENTO="PLE",ISNUMBER($F74)),
                SUMIF((OFFSET(CÁLCULO!$BS$15:$CS$15,$F74,0,OFFSET(ORÇAMENTO!$D$15,CRONO!$F74,0))),CRONO!AG$12,OFFSET(CÁLCULO!$AR$15:$BR$15,$F74,0,OFFSET(ORÇAMENTO!$D$15,CRONO!$F74,0)))
                +IF(AND($F76&lt;&gt;"",$F76&lt;&gt;0),
                        SUMIF(CÁLCULO!$BS$15:$CS$205,CRONO!AG$12,CÁLCULO!$AR$15:$BR$205)/(ORÇAMENTO!$X$15-_xlfn.single(CÁLCULO.TotalAdmLocal))*CRONO!$F76,
                        0),
                 AG75*$S74),
          SUMIF(OFFSET($S76,1,0,$R74-2),($M74+1)&amp;"$",OFFSET(AG76,1,0,$R74-2)))</f>
        <v>7668.85</v>
      </c>
      <c r="AH76" s="439" t="n">
        <f aca="false" t="array" ref="AH76:AH76">IF($R74=2,
         IF(AND(ACOMPANHAMENTO="PLE",ISNUMBER($F74)),
                SUMIF((OFFSET(CÁLCULO!$BS$15:$CS$15,$F74,0,OFFSET(ORÇAMENTO!$D$15,CRONO!$F74,0))),CRONO!AH$12,OFFSET(CÁLCULO!$AR$15:$BR$15,$F74,0,OFFSET(ORÇAMENTO!$D$15,CRONO!$F74,0)))
                +IF(AND($F76&lt;&gt;"",$F76&lt;&gt;0),
                        SUMIF(CÁLCULO!$BS$15:$CS$205,CRONO!AH$12,CÁLCULO!$AR$15:$BR$205)/(ORÇAMENTO!$X$15-_xlfn.single(CÁLCULO.TotalAdmLocal))*CRONO!$F76,
                        0),
                 AH75*$S74),
          SUMIF(OFFSET($S76,1,0,$R74-2),($M74+1)&amp;"$",OFFSET(AH76,1,0,$R74-2)))</f>
        <v>7668.85</v>
      </c>
      <c r="AI76" s="439" t="n">
        <f aca="false" t="array" ref="AI76:AI76">IF($R74=2,
         IF(AND(ACOMPANHAMENTO="PLE",ISNUMBER($F74)),
                SUMIF((OFFSET(CÁLCULO!$BS$15:$CS$15,$F74,0,OFFSET(ORÇAMENTO!$D$15,CRONO!$F74,0))),CRONO!AI$12,OFFSET(CÁLCULO!$AR$15:$BR$15,$F74,0,OFFSET(ORÇAMENTO!$D$15,CRONO!$F74,0)))
                +IF(AND($F76&lt;&gt;"",$F76&lt;&gt;0),
                        SUMIF(CÁLCULO!$BS$15:$CS$205,CRONO!AI$12,CÁLCULO!$AR$15:$BR$205)/(ORÇAMENTO!$X$15-_xlfn.single(CÁLCULO.TotalAdmLocal))*CRONO!$F76,
                        0),
                 AI75*$S74),
          SUMIF(OFFSET($S76,1,0,$R74-2),($M74+1)&amp;"$",OFFSET(AI76,1,0,$R74-2)))</f>
        <v>7668.85</v>
      </c>
      <c r="AJ76" s="439" t="n">
        <f aca="false" t="array" ref="AJ76:AJ76">IF($R74=2,
         IF(AND(ACOMPANHAMENTO="PLE",ISNUMBER($F74)),
                SUMIF((OFFSET(CÁLCULO!$BS$15:$CS$15,$F74,0,OFFSET(ORÇAMENTO!$D$15,CRONO!$F74,0))),CRONO!AJ$12,OFFSET(CÁLCULO!$AR$15:$BR$15,$F74,0,OFFSET(ORÇAMENTO!$D$15,CRONO!$F74,0)))
                +IF(AND($F76&lt;&gt;"",$F76&lt;&gt;0),
                        SUMIF(CÁLCULO!$BS$15:$CS$205,CRONO!AJ$12,CÁLCULO!$AR$15:$BR$205)/(ORÇAMENTO!$X$15-_xlfn.single(CÁLCULO.TotalAdmLocal))*CRONO!$F76,
                        0),
                 AJ75*$S74),
          SUMIF(OFFSET($S76,1,0,$R74-2),($M74+1)&amp;"$",OFFSET(AJ76,1,0,$R74-2)))</f>
        <v>7668.85</v>
      </c>
      <c r="AK76" s="439" t="n">
        <f aca="false" t="array" ref="AK76:AK76">IF($R74=2,
         IF(AND(ACOMPANHAMENTO="PLE",ISNUMBER($F74)),
                SUMIF((OFFSET(CÁLCULO!$BS$15:$CS$15,$F74,0,OFFSET(ORÇAMENTO!$D$15,CRONO!$F74,0))),CRONO!AK$12,OFFSET(CÁLCULO!$AR$15:$BR$15,$F74,0,OFFSET(ORÇAMENTO!$D$15,CRONO!$F74,0)))
                +IF(AND($F76&lt;&gt;"",$F76&lt;&gt;0),
                        SUMIF(CÁLCULO!$BS$15:$CS$205,CRONO!AK$12,CÁLCULO!$AR$15:$BR$205)/(ORÇAMENTO!$X$15-_xlfn.single(CÁLCULO.TotalAdmLocal))*CRONO!$F76,
                        0),
                 AK75*$S74),
          SUMIF(OFFSET($S76,1,0,$R74-2),($M74+1)&amp;"$",OFFSET(AK76,1,0,$R74-2)))</f>
        <v>7668.85</v>
      </c>
      <c r="AL76" s="439" t="n">
        <f aca="false" t="array" ref="AL76:AL76">IF($R74=2,
         IF(AND(ACOMPANHAMENTO="PLE",ISNUMBER($F74)),
                SUMIF((OFFSET(CÁLCULO!$BS$15:$CS$15,$F74,0,OFFSET(ORÇAMENTO!$D$15,CRONO!$F74,0))),CRONO!AL$12,OFFSET(CÁLCULO!$AR$15:$BR$15,$F74,0,OFFSET(ORÇAMENTO!$D$15,CRONO!$F74,0)))
                +IF(AND($F76&lt;&gt;"",$F76&lt;&gt;0),
                        SUMIF(CÁLCULO!$BS$15:$CS$205,CRONO!AL$12,CÁLCULO!$AR$15:$BR$205)/(ORÇAMENTO!$X$15-_xlfn.single(CÁLCULO.TotalAdmLocal))*CRONO!$F76,
                        0),
                 AL75*$S74),
          SUMIF(OFFSET($S76,1,0,$R74-2),($M74+1)&amp;"$",OFFSET(AL76,1,0,$R74-2)))</f>
        <v>7668.85</v>
      </c>
      <c r="AM76" s="439" t="n">
        <f aca="false" t="array" ref="AM76:AM76">IF($R74=2,
         IF(AND(ACOMPANHAMENTO="PLE",ISNUMBER($F74)),
                SUMIF((OFFSET(CÁLCULO!$BS$15:$CS$15,$F74,0,OFFSET(ORÇAMENTO!$D$15,CRONO!$F74,0))),CRONO!AM$12,OFFSET(CÁLCULO!$AR$15:$BR$15,$F74,0,OFFSET(ORÇAMENTO!$D$15,CRONO!$F74,0)))
                +IF(AND($F76&lt;&gt;"",$F76&lt;&gt;0),
                        SUMIF(CÁLCULO!$BS$15:$CS$205,CRONO!AM$12,CÁLCULO!$AR$15:$BR$205)/(ORÇAMENTO!$X$15-_xlfn.single(CÁLCULO.TotalAdmLocal))*CRONO!$F76,
                        0),
                 AM75*$S74),
          SUMIF(OFFSET($S76,1,0,$R74-2),($M74+1)&amp;"$",OFFSET(AM76,1,0,$R74-2)))</f>
        <v>7668.85</v>
      </c>
      <c r="AN76" s="439" t="n">
        <f aca="false" t="array" ref="AN76:AN76">IF($R74=2,
         IF(AND(ACOMPANHAMENTO="PLE",ISNUMBER($F74)),
                SUMIF((OFFSET(CÁLCULO!$BS$15:$CS$15,$F74,0,OFFSET(ORÇAMENTO!$D$15,CRONO!$F74,0))),CRONO!AN$12,OFFSET(CÁLCULO!$AR$15:$BR$15,$F74,0,OFFSET(ORÇAMENTO!$D$15,CRONO!$F74,0)))
                +IF(AND($F76&lt;&gt;"",$F76&lt;&gt;0),
                        SUMIF(CÁLCULO!$BS$15:$CS$205,CRONO!AN$12,CÁLCULO!$AR$15:$BR$205)/(ORÇAMENTO!$X$15-_xlfn.single(CÁLCULO.TotalAdmLocal))*CRONO!$F76,
                        0),
                 AN75*$S74),
          SUMIF(OFFSET($S76,1,0,$R74-2),($M74+1)&amp;"$",OFFSET(AN76,1,0,$R74-2)))</f>
        <v>7668.85</v>
      </c>
      <c r="AO76" s="439" t="n">
        <f aca="false" t="array" ref="AO76:AO76">IF($R74=2,
         IF(AND(ACOMPANHAMENTO="PLE",ISNUMBER($F74)),
                SUMIF((OFFSET(CÁLCULO!$BS$15:$CS$15,$F74,0,OFFSET(ORÇAMENTO!$D$15,CRONO!$F74,0))),CRONO!AO$12,OFFSET(CÁLCULO!$AR$15:$BR$15,$F74,0,OFFSET(ORÇAMENTO!$D$15,CRONO!$F74,0)))
                +IF(AND($F76&lt;&gt;"",$F76&lt;&gt;0),
                        SUMIF(CÁLCULO!$BS$15:$CS$205,CRONO!AO$12,CÁLCULO!$AR$15:$BR$205)/(ORÇAMENTO!$X$15-_xlfn.single(CÁLCULO.TotalAdmLocal))*CRONO!$F76,
                        0),
                 AO75*$S74),
          SUMIF(OFFSET($S76,1,0,$R74-2),($M74+1)&amp;"$",OFFSET(AO76,1,0,$R74-2)))</f>
        <v>7668.85</v>
      </c>
      <c r="AP76" s="439" t="n">
        <f aca="false" t="array" ref="AP76:AP76">IF($R74=2,
         IF(AND(ACOMPANHAMENTO="PLE",ISNUMBER($F74)),
                SUMIF((OFFSET(CÁLCULO!$BS$15:$CS$15,$F74,0,OFFSET(ORÇAMENTO!$D$15,CRONO!$F74,0))),CRONO!AP$12,OFFSET(CÁLCULO!$AR$15:$BR$15,$F74,0,OFFSET(ORÇAMENTO!$D$15,CRONO!$F74,0)))
                +IF(AND($F76&lt;&gt;"",$F76&lt;&gt;0),
                        SUMIF(CÁLCULO!$BS$15:$CS$205,CRONO!AP$12,CÁLCULO!$AR$15:$BR$205)/(ORÇAMENTO!$X$15-_xlfn.single(CÁLCULO.TotalAdmLocal))*CRONO!$F76,
                        0),
                 AP75*$S74),
          SUMIF(OFFSET($S76,1,0,$R74-2),($M74+1)&amp;"$",OFFSET(AP76,1,0,$R74-2)))</f>
        <v>7668.85</v>
      </c>
      <c r="AQ76" s="439" t="n">
        <f aca="false" t="array" ref="AQ76:AQ76">IF($R74=2,
         IF(AND(ACOMPANHAMENTO="PLE",ISNUMBER($F74)),
                SUMIF((OFFSET(CÁLCULO!$BS$15:$CS$15,$F74,0,OFFSET(ORÇAMENTO!$D$15,CRONO!$F74,0))),CRONO!AQ$12,OFFSET(CÁLCULO!$AR$15:$BR$15,$F74,0,OFFSET(ORÇAMENTO!$D$15,CRONO!$F74,0)))
                +IF(AND($F76&lt;&gt;"",$F76&lt;&gt;0),
                        SUMIF(CÁLCULO!$BS$15:$CS$205,CRONO!AQ$12,CÁLCULO!$AR$15:$BR$205)/(ORÇAMENTO!$X$15-_xlfn.single(CÁLCULO.TotalAdmLocal))*CRONO!$F76,
                        0),
                 AQ75*$S74),
          SUMIF(OFFSET($S76,1,0,$R74-2),($M74+1)&amp;"$",OFFSET(AQ76,1,0,$R74-2)))</f>
        <v>7668.85</v>
      </c>
      <c r="AR76" s="439" t="n">
        <f aca="false" t="array" ref="AR76:AR76">IF($R74=2,
         IF(AND(ACOMPANHAMENTO="PLE",ISNUMBER($F74)),
                SUMIF((OFFSET(CÁLCULO!$BS$15:$CS$15,$F74,0,OFFSET(ORÇAMENTO!$D$15,CRONO!$F74,0))),CRONO!AR$12,OFFSET(CÁLCULO!$AR$15:$BR$15,$F74,0,OFFSET(ORÇAMENTO!$D$15,CRONO!$F74,0)))
                +IF(AND($F76&lt;&gt;"",$F76&lt;&gt;0),
                        SUMIF(CÁLCULO!$BS$15:$CS$205,CRONO!AR$12,CÁLCULO!$AR$15:$BR$205)/(ORÇAMENTO!$X$15-_xlfn.single(CÁLCULO.TotalAdmLocal))*CRONO!$F76,
                        0),
                 AR75*$S74),
          SUMIF(OFFSET($S76,1,0,$R74-2),($M74+1)&amp;"$",OFFSET(AR76,1,0,$R74-2)))</f>
        <v>7668.85</v>
      </c>
      <c r="AS76" s="439" t="n">
        <f aca="false" t="array" ref="AS76:AS76">IF($R74=2,
         IF(AND(ACOMPANHAMENTO="PLE",ISNUMBER($F74)),
                SUMIF((OFFSET(CÁLCULO!$BS$15:$CS$15,$F74,0,OFFSET(ORÇAMENTO!$D$15,CRONO!$F74,0))),CRONO!AS$12,OFFSET(CÁLCULO!$AR$15:$BR$15,$F74,0,OFFSET(ORÇAMENTO!$D$15,CRONO!$F74,0)))
                +IF(AND($F76&lt;&gt;"",$F76&lt;&gt;0),
                        SUMIF(CÁLCULO!$BS$15:$CS$205,CRONO!AS$12,CÁLCULO!$AR$15:$BR$205)/(ORÇAMENTO!$X$15-_xlfn.single(CÁLCULO.TotalAdmLocal))*CRONO!$F76,
                        0),
                 AS75*$S74),
          SUMIF(OFFSET($S76,1,0,$R74-2),($M74+1)&amp;"$",OFFSET(AS76,1,0,$R74-2)))</f>
        <v>7668.85</v>
      </c>
      <c r="AT76" s="439" t="n">
        <f aca="false" t="array" ref="AT76:AT76">IF($R74=2,
         IF(AND(ACOMPANHAMENTO="PLE",ISNUMBER($F74)),
                SUMIF((OFFSET(CÁLCULO!$BS$15:$CS$15,$F74,0,OFFSET(ORÇAMENTO!$D$15,CRONO!$F74,0))),CRONO!AT$12,OFFSET(CÁLCULO!$AR$15:$BR$15,$F74,0,OFFSET(ORÇAMENTO!$D$15,CRONO!$F74,0)))
                +IF(AND($F76&lt;&gt;"",$F76&lt;&gt;0),
                        SUMIF(CÁLCULO!$BS$15:$CS$205,CRONO!AT$12,CÁLCULO!$AR$15:$BR$205)/(ORÇAMENTO!$X$15-_xlfn.single(CÁLCULO.TotalAdmLocal))*CRONO!$F76,
                        0),
                 AT75*$S74),
          SUMIF(OFFSET($S76,1,0,$R74-2),($M74+1)&amp;"$",OFFSET(AT76,1,0,$R74-2)))</f>
        <v>0</v>
      </c>
      <c r="AU76" s="439" t="n">
        <f aca="false" t="array" ref="AU76:AU76">IF($R74=2,
         IF(AND(ACOMPANHAMENTO="PLE",ISNUMBER($F74)),
                SUMIF((OFFSET(CÁLCULO!$BS$15:$CS$15,$F74,0,OFFSET(ORÇAMENTO!$D$15,CRONO!$F74,0))),CRONO!AU$12,OFFSET(CÁLCULO!$AR$15:$BR$15,$F74,0,OFFSET(ORÇAMENTO!$D$15,CRONO!$F74,0)))
                +IF(AND($F76&lt;&gt;"",$F76&lt;&gt;0),
                        SUMIF(CÁLCULO!$BS$15:$CS$205,CRONO!AU$12,CÁLCULO!$AR$15:$BR$205)/(ORÇAMENTO!$X$15-_xlfn.single(CÁLCULO.TotalAdmLocal))*CRONO!$F76,
                        0),
                 AU75*$S74),
          SUMIF(OFFSET($S76,1,0,$R74-2),($M74+1)&amp;"$",OFFSET(AU76,1,0,$R74-2)))</f>
        <v>0</v>
      </c>
      <c r="AV76" s="439" t="n">
        <f aca="false" t="array" ref="AV76:AV76">IF($R74=2,
         IF(AND(ACOMPANHAMENTO="PLE",ISNUMBER($F74)),
                SUMIF((OFFSET(CÁLCULO!$BS$15:$CS$15,$F74,0,OFFSET(ORÇAMENTO!$D$15,CRONO!$F74,0))),CRONO!AV$12,OFFSET(CÁLCULO!$AR$15:$BR$15,$F74,0,OFFSET(ORÇAMENTO!$D$15,CRONO!$F74,0)))
                +IF(AND($F76&lt;&gt;"",$F76&lt;&gt;0),
                        SUMIF(CÁLCULO!$BS$15:$CS$205,CRONO!AV$12,CÁLCULO!$AR$15:$BR$205)/(ORÇAMENTO!$X$15-_xlfn.single(CÁLCULO.TotalAdmLocal))*CRONO!$F76,
                        0),
                 AV75*$S74),
          SUMIF(OFFSET($S76,1,0,$R74-2),($M74+1)&amp;"$",OFFSET(AV76,1,0,$R74-2)))</f>
        <v>0</v>
      </c>
      <c r="AW76" s="439" t="n">
        <f aca="false" t="array" ref="AW76:AW76">IF($R74=2,
         IF(AND(ACOMPANHAMENTO="PLE",ISNUMBER($F74)),
                SUMIF((OFFSET(CÁLCULO!$BS$15:$CS$15,$F74,0,OFFSET(ORÇAMENTO!$D$15,CRONO!$F74,0))),CRONO!AW$12,OFFSET(CÁLCULO!$AR$15:$BR$15,$F74,0,OFFSET(ORÇAMENTO!$D$15,CRONO!$F74,0)))
                +IF(AND($F76&lt;&gt;"",$F76&lt;&gt;0),
                        SUMIF(CÁLCULO!$BS$15:$CS$205,CRONO!AW$12,CÁLCULO!$AR$15:$BR$205)/(ORÇAMENTO!$X$15-_xlfn.single(CÁLCULO.TotalAdmLocal))*CRONO!$F76,
                        0),
                 AW75*$S74),
          SUMIF(OFFSET($S76,1,0,$R74-2),($M74+1)&amp;"$",OFFSET(AW76,1,0,$R74-2)))</f>
        <v>0</v>
      </c>
      <c r="AX76" s="439" t="n">
        <f aca="false" t="array" ref="AX76:AX76">IF($R74=2,
         IF(AND(ACOMPANHAMENTO="PLE",ISNUMBER($F74)),
                SUMIF((OFFSET(CÁLCULO!$BS$15:$CS$15,$F74,0,OFFSET(ORÇAMENTO!$D$15,CRONO!$F74,0))),CRONO!AX$12,OFFSET(CÁLCULO!$AR$15:$BR$15,$F74,0,OFFSET(ORÇAMENTO!$D$15,CRONO!$F74,0)))
                +IF(AND($F76&lt;&gt;"",$F76&lt;&gt;0),
                        SUMIF(CÁLCULO!$BS$15:$CS$205,CRONO!AX$12,CÁLCULO!$AR$15:$BR$205)/(ORÇAMENTO!$X$15-_xlfn.single(CÁLCULO.TotalAdmLocal))*CRONO!$F76,
                        0),
                 AX75*$S74),
          SUMIF(OFFSET($S76,1,0,$R74-2),($M74+1)&amp;"$",OFFSET(AX76,1,0,$R74-2)))</f>
        <v>0</v>
      </c>
      <c r="AY76" s="439" t="n">
        <f aca="false" t="array" ref="AY76:AY76">IF($R74=2,
         IF(AND(ACOMPANHAMENTO="PLE",ISNUMBER($F74)),
                SUMIF((OFFSET(CÁLCULO!$BS$15:$CS$15,$F74,0,OFFSET(ORÇAMENTO!$D$15,CRONO!$F74,0))),CRONO!AY$12,OFFSET(CÁLCULO!$AR$15:$BR$15,$F74,0,OFFSET(ORÇAMENTO!$D$15,CRONO!$F74,0)))
                +IF(AND($F76&lt;&gt;"",$F76&lt;&gt;0),
                        SUMIF(CÁLCULO!$BS$15:$CS$205,CRONO!AY$12,CÁLCULO!$AR$15:$BR$205)/(ORÇAMENTO!$X$15-_xlfn.single(CÁLCULO.TotalAdmLocal))*CRONO!$F76,
                        0),
                 AY75*$S74),
          SUMIF(OFFSET($S76,1,0,$R74-2),($M74+1)&amp;"$",OFFSET(AY76,1,0,$R74-2)))</f>
        <v>0</v>
      </c>
      <c r="AZ76" s="439" t="n">
        <f aca="false" t="array" ref="AZ76:AZ76">IF($R74=2,
         IF(AND(ACOMPANHAMENTO="PLE",ISNUMBER($F74)),
                SUMIF((OFFSET(CÁLCULO!$BS$15:$CS$15,$F74,0,OFFSET(ORÇAMENTO!$D$15,CRONO!$F74,0))),CRONO!AZ$12,OFFSET(CÁLCULO!$AR$15:$BR$15,$F74,0,OFFSET(ORÇAMENTO!$D$15,CRONO!$F74,0)))
                +IF(AND($F76&lt;&gt;"",$F76&lt;&gt;0),
                        SUMIF(CÁLCULO!$BS$15:$CS$205,CRONO!AZ$12,CÁLCULO!$AR$15:$BR$205)/(ORÇAMENTO!$X$15-_xlfn.single(CÁLCULO.TotalAdmLocal))*CRONO!$F76,
                        0),
                 AZ75*$S74),
          SUMIF(OFFSET($S76,1,0,$R74-2),($M74+1)&amp;"$",OFFSET(AZ76,1,0,$R74-2)))</f>
        <v>0</v>
      </c>
      <c r="BA76" s="439" t="n">
        <f aca="false" t="array" ref="BA76:BA76">IF($R74=2,
         IF(AND(ACOMPANHAMENTO="PLE",ISNUMBER($F74)),
                SUMIF((OFFSET(CÁLCULO!$BS$15:$CS$15,$F74,0,OFFSET(ORÇAMENTO!$D$15,CRONO!$F74,0))),CRONO!BA$12,OFFSET(CÁLCULO!$AR$15:$BR$15,$F74,0,OFFSET(ORÇAMENTO!$D$15,CRONO!$F74,0)))
                +IF(AND($F76&lt;&gt;"",$F76&lt;&gt;0),
                        SUMIF(CÁLCULO!$BS$15:$CS$205,CRONO!BA$12,CÁLCULO!$AR$15:$BR$205)/(ORÇAMENTO!$X$15-_xlfn.single(CÁLCULO.TotalAdmLocal))*CRONO!$F76,
                        0),
                 BA75*$S74),
          SUMIF(OFFSET($S76,1,0,$R74-2),($M74+1)&amp;"$",OFFSET(BA76,1,0,$R74-2)))</f>
        <v>0</v>
      </c>
      <c r="BB76" s="439" t="n">
        <f aca="false" t="array" ref="BB76:BB76">IF($R74=2,
         IF(AND(ACOMPANHAMENTO="PLE",ISNUMBER($F74)),
                SUMIF((OFFSET(CÁLCULO!$BS$15:$CS$15,$F74,0,OFFSET(ORÇAMENTO!$D$15,CRONO!$F74,0))),CRONO!BB$12,OFFSET(CÁLCULO!$AR$15:$BR$15,$F74,0,OFFSET(ORÇAMENTO!$D$15,CRONO!$F74,0)))
                +IF(AND($F76&lt;&gt;"",$F76&lt;&gt;0),
                        SUMIF(CÁLCULO!$BS$15:$CS$205,CRONO!BB$12,CÁLCULO!$AR$15:$BR$205)/(ORÇAMENTO!$X$15-_xlfn.single(CÁLCULO.TotalAdmLocal))*CRONO!$F76,
                        0),
                 BB75*$S74),
          SUMIF(OFFSET($S76,1,0,$R74-2),($M74+1)&amp;"$",OFFSET(BB76,1,0,$R74-2)))</f>
        <v>0</v>
      </c>
      <c r="BC76" s="439" t="n">
        <f aca="false" t="array" ref="BC76:BC76">IF($R74=2,
         IF(AND(ACOMPANHAMENTO="PLE",ISNUMBER($F74)),
                SUMIF((OFFSET(CÁLCULO!$BS$15:$CS$15,$F74,0,OFFSET(ORÇAMENTO!$D$15,CRONO!$F74,0))),CRONO!BC$12,OFFSET(CÁLCULO!$AR$15:$BR$15,$F74,0,OFFSET(ORÇAMENTO!$D$15,CRONO!$F74,0)))
                +IF(AND($F76&lt;&gt;"",$F76&lt;&gt;0),
                        SUMIF(CÁLCULO!$BS$15:$CS$205,CRONO!BC$12,CÁLCULO!$AR$15:$BR$205)/(ORÇAMENTO!$X$15-_xlfn.single(CÁLCULO.TotalAdmLocal))*CRONO!$F76,
                        0),
                 BC75*$S74),
          SUMIF(OFFSET($S76,1,0,$R74-2),($M74+1)&amp;"$",OFFSET(BC76,1,0,$R74-2)))</f>
        <v>0</v>
      </c>
      <c r="BD76" s="439" t="n">
        <f aca="false" t="array" ref="BD76:BD76">IF($R74=2,
         IF(AND(ACOMPANHAMENTO="PLE",ISNUMBER($F74)),
                SUMIF((OFFSET(CÁLCULO!$BS$15:$CS$15,$F74,0,OFFSET(ORÇAMENTO!$D$15,CRONO!$F74,0))),CRONO!BD$12,OFFSET(CÁLCULO!$AR$15:$BR$15,$F74,0,OFFSET(ORÇAMENTO!$D$15,CRONO!$F74,0)))
                +IF(AND($F76&lt;&gt;"",$F76&lt;&gt;0),
                        SUMIF(CÁLCULO!$BS$15:$CS$205,CRONO!BD$12,CÁLCULO!$AR$15:$BR$205)/(ORÇAMENTO!$X$15-_xlfn.single(CÁLCULO.TotalAdmLocal))*CRONO!$F76,
                        0),
                 BD75*$S74),
          SUMIF(OFFSET($S76,1,0,$R74-2),($M74+1)&amp;"$",OFFSET(BD76,1,0,$R74-2)))</f>
        <v>0</v>
      </c>
      <c r="BE76" s="430"/>
    </row>
    <row r="77" customFormat="false" ht="12.75" hidden="true" customHeight="false" outlineLevel="0" collapsed="false">
      <c r="A77" s="382" t="str">
        <f aca="false">IF($M77&gt;1,_xlfn.CONCAT($I77," ",$J77),"")</f>
        <v>1.21. FORROS</v>
      </c>
      <c r="B77" s="419" t="n">
        <f aca="true">OFFSET(B77,-3,0)+1</f>
        <v>22</v>
      </c>
      <c r="C77" s="419" t="n">
        <f aca="true">IF($R77&lt;&gt;2,0,IF($S77=0,1,IF(F78&gt;0,OFFSET(QCI!$M$13,SUBSTITUTE(F78,".",""),0),OFFSET(ORÇAMENTO!$AA$15,CRONO!$F77,0))/$S77))</f>
        <v>1</v>
      </c>
      <c r="D77" s="419" t="n">
        <f aca="true">IF($R77&lt;&gt;2,0,IF($S77=0,1,IF(F78&gt;0,OFFSET(QCI!$N$13,SUBSTITUTE(F78,".",""),0),OFFSET(ORÇAMENTO!$AB$15,CRONO!$F77,0))/$S77))</f>
        <v>1</v>
      </c>
      <c r="E77" s="422" t="e">
        <f aca="false" t="array" ref="E77:E77">IF(AND($R77=2,ACOMPANHAMENTO="BM"),ROUND(E78,4),E79/$S77)</f>
        <v>#DIV/0!</v>
      </c>
      <c r="F77" s="419" t="n">
        <f aca="true">IF(B77&lt;=ORÇAMENTO.MáximoListaCrono,MATCH(B77,ORÇAMENTO.ListaCrono,0),NA())</f>
        <v>72</v>
      </c>
      <c r="G77" s="419" t="str">
        <f aca="false">IF(AND($F78&lt;&gt;-1,$S77&gt;0),"F","")</f>
        <v/>
      </c>
      <c r="H77" s="423" t="str">
        <f aca="false" t="array" ref="H77:H77">IF(OR(S77=0,S77=""),"Linha",IF(AND(OR(ACOMPANHAMENTO="PLE",$R77&lt;&gt;2),$F78=0),"Linha",ROUND(1-SUM(U77:BE77),4)))</f>
        <v>Linha</v>
      </c>
      <c r="I77" s="424" t="str">
        <f aca="true">IF($F78=0,OFFSET(ORÇAMENTO!O$15,$F77,0),IF($F78&lt;&gt;-1,OFFSET(QCI!$D$13,$F78,0),""))</f>
        <v>1.21.</v>
      </c>
      <c r="J77" s="425" t="str">
        <f aca="true">IF($F78=0,OFFSET(ORÇAMENTO!R$15,$F77,0),IF($F78&lt;&gt;-1,OFFSET(QCI!$G$13,$F78,0),""))</f>
        <v>FORROS</v>
      </c>
      <c r="K77" s="425"/>
      <c r="L77" s="425"/>
      <c r="M77" s="426" t="n">
        <f aca="true">IF($F78=0,OFFSET(ORÇAMENTO!C$15,$F77,0),1)</f>
        <v>2</v>
      </c>
      <c r="N77" s="427" t="n">
        <f aca="true">IF($F78=-1,0,IF(N$13&lt;=$M77,IF(ISERROR(MATCH(N$13,OFFSET($M77,1,0,ROW($M$182)-ROW($M77)-1),0)),ROW($M$182)-ROW($M77)-1,MATCH(N$13,OFFSET($M77,1,0,ROW($M$182)-ROW($M77)-1),0)-1),0))</f>
        <v>104</v>
      </c>
      <c r="O77" s="427" t="n">
        <f aca="true">IF($F78=-1,0,IF(O$13&lt;=$M77,IF(ISERROR(MATCH(O$13,OFFSET($M77,1,0,ROW($M$182)-ROW($M77)-1),0)),ROW($M$182)-ROW($M77)-1,MATCH(O$13,OFFSET($M77,1,0,ROW($M$182)-ROW($M77)-1),0)-1),0))</f>
        <v>2</v>
      </c>
      <c r="P77" s="427" t="n">
        <f aca="true">IF($F78=-1,0,IF(P$13&lt;=$M77,IF(ISERROR(MATCH(P$13,OFFSET($M77,1,0,ROW($M$182)-ROW($M77)-1),0)),ROW($M$182)-ROW($M77)-1,MATCH(P$13,OFFSET($M77,1,0,ROW($M$182)-ROW($M77)-1),0)-1),0))</f>
        <v>0</v>
      </c>
      <c r="Q77" s="427" t="n">
        <f aca="true">IF($F78=-1,0,IF(Q$13&lt;=$M77,IF(ISERROR(MATCH(Q$13,OFFSET($M77,1,0,ROW($M$182)-ROW($M77)-1),0)),ROW($M$182)-ROW($M77)-1,MATCH(Q$13,OFFSET($M77,1,0,ROW($M$182)-ROW($M77)-1),0)-1),0))</f>
        <v>0</v>
      </c>
      <c r="R77" s="427" t="n">
        <f aca="true">MIN(OFFSET(M77,0,1,,M77))</f>
        <v>2</v>
      </c>
      <c r="S77" s="428" t="n">
        <f aca="true">IF($F78=0,OFFSET(ORÇAMENTO!X$15,$F77,0),IF($F78&lt;&gt;-1,OFFSET(QCI!$O$13,$F78,0),""))</f>
        <v>0</v>
      </c>
      <c r="T77" s="429" t="s">
        <v>996</v>
      </c>
      <c r="U77" s="422" t="e">
        <f aca="false" t="array" ref="U77:U77">IF(AND($R77=2,ACOMPANHAMENTO="BM"),ROUND(U78,4),U79/$S77)</f>
        <v>#DIV/0!</v>
      </c>
      <c r="V77" s="422" t="e">
        <f aca="false" t="array" ref="V77:V77">IF(AND($R77=2,ACOMPANHAMENTO="BM"),ROUND(V78,4),V79/$S77)</f>
        <v>#DIV/0!</v>
      </c>
      <c r="W77" s="422" t="e">
        <f aca="false" t="array" ref="W77:W77">IF(AND($R77=2,ACOMPANHAMENTO="BM"),ROUND(W78,4),W79/$S77)</f>
        <v>#DIV/0!</v>
      </c>
      <c r="X77" s="422" t="e">
        <f aca="false" t="array" ref="X77:X77">IF(AND($R77=2,ACOMPANHAMENTO="BM"),ROUND(X78,4),X79/$S77)</f>
        <v>#DIV/0!</v>
      </c>
      <c r="Y77" s="422" t="e">
        <f aca="false" t="array" ref="Y77:Y77">IF(AND($R77=2,ACOMPANHAMENTO="BM"),ROUND(Y78,4),Y79/$S77)</f>
        <v>#DIV/0!</v>
      </c>
      <c r="Z77" s="422" t="e">
        <f aca="false" t="array" ref="Z77:Z77">IF(AND($R77=2,ACOMPANHAMENTO="BM"),ROUND(Z78,4),Z79/$S77)</f>
        <v>#DIV/0!</v>
      </c>
      <c r="AA77" s="422" t="e">
        <f aca="false" t="array" ref="AA77:AA77">IF(AND($R77=2,ACOMPANHAMENTO="BM"),ROUND(AA78,4),AA79/$S77)</f>
        <v>#DIV/0!</v>
      </c>
      <c r="AB77" s="422" t="e">
        <f aca="false" t="array" ref="AB77:AB77">IF(AND($R77=2,ACOMPANHAMENTO="BM"),ROUND(AB78,4),AB79/$S77)</f>
        <v>#DIV/0!</v>
      </c>
      <c r="AC77" s="422" t="e">
        <f aca="false" t="array" ref="AC77:AC77">IF(AND($R77=2,ACOMPANHAMENTO="BM"),ROUND(AC78,4),AC79/$S77)</f>
        <v>#DIV/0!</v>
      </c>
      <c r="AD77" s="422" t="e">
        <f aca="false" t="array" ref="AD77:AD77">IF(AND($R77=2,ACOMPANHAMENTO="BM"),ROUND(AD78,4),AD79/$S77)</f>
        <v>#DIV/0!</v>
      </c>
      <c r="AE77" s="422" t="e">
        <f aca="false" t="array" ref="AE77:AE77">IF(AND($R77=2,ACOMPANHAMENTO="BM"),ROUND(AE78,4),AE79/$S77)</f>
        <v>#DIV/0!</v>
      </c>
      <c r="AF77" s="422" t="e">
        <f aca="false" t="array" ref="AF77:AF77">IF(AND($R77=2,ACOMPANHAMENTO="BM"),ROUND(AF78,4),AF79/$S77)</f>
        <v>#DIV/0!</v>
      </c>
      <c r="AG77" s="422" t="e">
        <f aca="false" t="array" ref="AG77:AG77">IF(AND($R77=2,ACOMPANHAMENTO="BM"),ROUND(AG78,4),AG79/$S77)</f>
        <v>#DIV/0!</v>
      </c>
      <c r="AH77" s="422" t="e">
        <f aca="false" t="array" ref="AH77:AH77">IF(AND($R77=2,ACOMPANHAMENTO="BM"),ROUND(AH78,4),AH79/$S77)</f>
        <v>#DIV/0!</v>
      </c>
      <c r="AI77" s="422" t="e">
        <f aca="false" t="array" ref="AI77:AI77">IF(AND($R77=2,ACOMPANHAMENTO="BM"),ROUND(AI78,4),AI79/$S77)</f>
        <v>#DIV/0!</v>
      </c>
      <c r="AJ77" s="422" t="e">
        <f aca="false" t="array" ref="AJ77:AJ77">IF(AND($R77=2,ACOMPANHAMENTO="BM"),ROUND(AJ78,4),AJ79/$S77)</f>
        <v>#DIV/0!</v>
      </c>
      <c r="AK77" s="422" t="e">
        <f aca="false" t="array" ref="AK77:AK77">IF(AND($R77=2,ACOMPANHAMENTO="BM"),ROUND(AK78,4),AK79/$S77)</f>
        <v>#DIV/0!</v>
      </c>
      <c r="AL77" s="422" t="e">
        <f aca="false" t="array" ref="AL77:AL77">IF(AND($R77=2,ACOMPANHAMENTO="BM"),ROUND(AL78,4),AL79/$S77)</f>
        <v>#DIV/0!</v>
      </c>
      <c r="AM77" s="422" t="e">
        <f aca="false" t="array" ref="AM77:AM77">IF(AND($R77=2,ACOMPANHAMENTO="BM"),ROUND(AM78,4),AM79/$S77)</f>
        <v>#DIV/0!</v>
      </c>
      <c r="AN77" s="422" t="e">
        <f aca="false" t="array" ref="AN77:AN77">IF(AND($R77=2,ACOMPANHAMENTO="BM"),ROUND(AN78,4),AN79/$S77)</f>
        <v>#DIV/0!</v>
      </c>
      <c r="AO77" s="422" t="e">
        <f aca="false" t="array" ref="AO77:AO77">IF(AND($R77=2,ACOMPANHAMENTO="BM"),ROUND(AO78,4),AO79/$S77)</f>
        <v>#DIV/0!</v>
      </c>
      <c r="AP77" s="422" t="e">
        <f aca="false" t="array" ref="AP77:AP77">IF(AND($R77=2,ACOMPANHAMENTO="BM"),ROUND(AP78,4),AP79/$S77)</f>
        <v>#DIV/0!</v>
      </c>
      <c r="AQ77" s="422" t="e">
        <f aca="false" t="array" ref="AQ77:AQ77">IF(AND($R77=2,ACOMPANHAMENTO="BM"),ROUND(AQ78,4),AQ79/$S77)</f>
        <v>#DIV/0!</v>
      </c>
      <c r="AR77" s="422" t="e">
        <f aca="false" t="array" ref="AR77:AR77">IF(AND($R77=2,ACOMPANHAMENTO="BM"),ROUND(AR78,4),AR79/$S77)</f>
        <v>#DIV/0!</v>
      </c>
      <c r="AS77" s="422" t="e">
        <f aca="false" t="array" ref="AS77:AS77">IF(AND($R77=2,ACOMPANHAMENTO="BM"),ROUND(AS78,4),AS79/$S77)</f>
        <v>#DIV/0!</v>
      </c>
      <c r="AT77" s="422" t="e">
        <f aca="false" t="array" ref="AT77:AT77">IF(AND($R77=2,ACOMPANHAMENTO="BM"),ROUND(AT78,4),AT79/$S77)</f>
        <v>#DIV/0!</v>
      </c>
      <c r="AU77" s="422" t="e">
        <f aca="false" t="array" ref="AU77:AU77">IF(AND($R77=2,ACOMPANHAMENTO="BM"),ROUND(AU78,4),AU79/$S77)</f>
        <v>#DIV/0!</v>
      </c>
      <c r="AV77" s="422" t="e">
        <f aca="false" t="array" ref="AV77:AV77">IF(AND($R77=2,ACOMPANHAMENTO="BM"),ROUND(AV78,4),AV79/$S77)</f>
        <v>#DIV/0!</v>
      </c>
      <c r="AW77" s="422" t="e">
        <f aca="false" t="array" ref="AW77:AW77">IF(AND($R77=2,ACOMPANHAMENTO="BM"),ROUND(AW78,4),AW79/$S77)</f>
        <v>#DIV/0!</v>
      </c>
      <c r="AX77" s="422" t="e">
        <f aca="false" t="array" ref="AX77:AX77">IF(AND($R77=2,ACOMPANHAMENTO="BM"),ROUND(AX78,4),AX79/$S77)</f>
        <v>#DIV/0!</v>
      </c>
      <c r="AY77" s="422" t="e">
        <f aca="false" t="array" ref="AY77:AY77">IF(AND($R77=2,ACOMPANHAMENTO="BM"),ROUND(AY78,4),AY79/$S77)</f>
        <v>#DIV/0!</v>
      </c>
      <c r="AZ77" s="422" t="e">
        <f aca="false" t="array" ref="AZ77:AZ77">IF(AND($R77=2,ACOMPANHAMENTO="BM"),ROUND(AZ78,4),AZ79/$S77)</f>
        <v>#DIV/0!</v>
      </c>
      <c r="BA77" s="422" t="e">
        <f aca="false" t="array" ref="BA77:BA77">IF(AND($R77=2,ACOMPANHAMENTO="BM"),ROUND(BA78,4),BA79/$S77)</f>
        <v>#DIV/0!</v>
      </c>
      <c r="BB77" s="422" t="e">
        <f aca="false" t="array" ref="BB77:BB77">IF(AND($R77=2,ACOMPANHAMENTO="BM"),ROUND(BB78,4),BB79/$S77)</f>
        <v>#DIV/0!</v>
      </c>
      <c r="BC77" s="422" t="e">
        <f aca="false" t="array" ref="BC77:BC77">IF(AND($R77=2,ACOMPANHAMENTO="BM"),ROUND(BC78,4),BC79/$S77)</f>
        <v>#DIV/0!</v>
      </c>
      <c r="BD77" s="422" t="e">
        <f aca="false" t="array" ref="BD77:BD77">IF(AND($R77=2,ACOMPANHAMENTO="BM"),ROUND(BD78,4),BD79/$S77)</f>
        <v>#DIV/0!</v>
      </c>
      <c r="BE77" s="430"/>
    </row>
    <row r="78" customFormat="false" ht="12.75" hidden="true" customHeight="true" outlineLevel="0" collapsed="false">
      <c r="E78" s="431"/>
      <c r="F78" s="419" t="n">
        <f aca="true">IF(ISERROR(F77),IF(1+COUNTIF($M$13:OFFSET(M77,-1,0),1)&lt;=MAX(QCI!$D$13:$D$15),1+COUNTIF($M$13:OFFSET(M77,-1,0),1),-1),0)</f>
        <v>0</v>
      </c>
      <c r="G78" s="419" t="str">
        <f aca="true" t="array" ref="G78:G78">IF(ACOMPANHAMENTO="BM",OFFSET(G78,-1,0),"")</f>
        <v/>
      </c>
      <c r="H78" s="432" t="str">
        <f aca="false" t="array" ref="H78:H78">IF(OR(S77=0,S77=""),"vazia",IF(AND(OR(ACOMPANHAMENTO="PLE",$R77&lt;&gt;2),$F78=0),"calculada","--&gt;"))</f>
        <v>vazia</v>
      </c>
      <c r="I78" s="433"/>
      <c r="J78" s="434" t="str">
        <f aca="false">IF(AND(H77&lt;&gt;0,ISNUMBER(H77)),"PREENCHA ESTA LINHA --&gt;","")</f>
        <v/>
      </c>
      <c r="K78" s="434"/>
      <c r="L78" s="434"/>
      <c r="M78" s="435"/>
      <c r="N78" s="435"/>
      <c r="O78" s="435"/>
      <c r="P78" s="435"/>
      <c r="Q78" s="435"/>
      <c r="R78" s="435"/>
      <c r="S78" s="436"/>
      <c r="T78" s="437"/>
      <c r="U78" s="431"/>
      <c r="V78" s="431"/>
      <c r="W78" s="431"/>
      <c r="X78" s="431"/>
      <c r="Y78" s="431"/>
      <c r="Z78" s="431"/>
      <c r="AA78" s="431"/>
      <c r="AB78" s="431"/>
      <c r="AC78" s="431"/>
      <c r="AD78" s="431"/>
      <c r="AE78" s="431"/>
      <c r="AF78" s="431"/>
      <c r="AG78" s="431"/>
      <c r="AH78" s="431"/>
      <c r="AI78" s="431"/>
      <c r="AJ78" s="431"/>
      <c r="AK78" s="431"/>
      <c r="AL78" s="431"/>
      <c r="AM78" s="431"/>
      <c r="AN78" s="431"/>
      <c r="AO78" s="431"/>
      <c r="AP78" s="431"/>
      <c r="AQ78" s="431"/>
      <c r="AR78" s="431"/>
      <c r="AS78" s="431"/>
      <c r="AT78" s="431"/>
      <c r="AU78" s="431"/>
      <c r="AV78" s="431"/>
      <c r="AW78" s="431"/>
      <c r="AX78" s="431"/>
      <c r="AY78" s="431"/>
      <c r="AZ78" s="431"/>
      <c r="BA78" s="431"/>
      <c r="BB78" s="431"/>
      <c r="BC78" s="431"/>
      <c r="BD78" s="431"/>
      <c r="BE78" s="430"/>
    </row>
    <row r="79" customFormat="false" ht="12.75" hidden="true" customHeight="true" outlineLevel="0" collapsed="false">
      <c r="D79" s="438"/>
      <c r="E79" s="439" t="n">
        <f aca="false" t="array" ref="E79:E79">IF($R77=2,
         IF(AND(ACOMPANHAMENTO="PLE",ISNUMBER($F77)),
                SUMIF((OFFSET(CÁLCULO!$BS$15:$CS$15,$F77,0,OFFSET(ORÇAMENTO!$D$15,CRONO!$F77,0))),CRONO!E$12,OFFSET(CÁLCULO!$AR$15:$BR$15,$F77,0,OFFSET(ORÇAMENTO!$D$15,CRONO!$F77,0)))
                +IF(AND($F79&lt;&gt;"",$F79&lt;&gt;0),
                        SUMIF(CÁLCULO!$BS$15:$CS$205,CRONO!E$12,CÁLCULO!$AR$15:$BR$205)/(ORÇAMENTO!$X$15-_xlfn.single(CÁLCULO.TotalAdmLocal))*CRONO!$F79,
                        0),
                 E78*$S77),
          SUMIF(OFFSET($S79,1,0,$R77-2),($M77+1)&amp;"$",OFFSET(E79,1,0,$R77-2)))</f>
        <v>0</v>
      </c>
      <c r="F79" s="419" t="str">
        <f aca="true">IF(OR($R77&lt;&gt;2,AUTOEVENTO&lt;&gt;"manual",$F78&gt;0),"",
        IF(Import.TipoArredondamento="Tradicional",
              SUMIF(OFFSET(CÁLCULO!$M$15,CRONO!$F77,0,OFFSET(ORÇAMENTO!$D$15,CRONO!$F77,0)),1,OFFSET(ORÇAMENTO!$X$15,CRONO!$F77,0,OFFSET(ORÇAMENTO!$D$15,CRONO!$F77,0))),
              0))</f>
        <v/>
      </c>
      <c r="H79" s="440"/>
      <c r="S79" s="441" t="str">
        <f aca="false">M77&amp;"$"</f>
        <v>2$</v>
      </c>
      <c r="T79" s="442"/>
      <c r="U79" s="439" t="n">
        <f aca="false" t="array" ref="U79:U79">IF($R77=2,
         IF(AND(ACOMPANHAMENTO="PLE",ISNUMBER($F77)),
                SUMIF((OFFSET(CÁLCULO!$BS$15:$CS$15,$F77,0,OFFSET(ORÇAMENTO!$D$15,CRONO!$F77,0))),CRONO!U$12,OFFSET(CÁLCULO!$AR$15:$BR$15,$F77,0,OFFSET(ORÇAMENTO!$D$15,CRONO!$F77,0)))
                +IF(AND($F79&lt;&gt;"",$F79&lt;&gt;0),
                        SUMIF(CÁLCULO!$BS$15:$CS$205,CRONO!U$12,CÁLCULO!$AR$15:$BR$205)/(ORÇAMENTO!$X$15-_xlfn.single(CÁLCULO.TotalAdmLocal))*CRONO!$F79,
                        0),
                 U78*$S77),
          SUMIF(OFFSET($S79,1,0,$R77-2),($M77+1)&amp;"$",OFFSET(U79,1,0,$R77-2)))</f>
        <v>0</v>
      </c>
      <c r="V79" s="439" t="n">
        <f aca="false" t="array" ref="V79:V79">IF($R77=2,
         IF(AND(ACOMPANHAMENTO="PLE",ISNUMBER($F77)),
                SUMIF((OFFSET(CÁLCULO!$BS$15:$CS$15,$F77,0,OFFSET(ORÇAMENTO!$D$15,CRONO!$F77,0))),CRONO!V$12,OFFSET(CÁLCULO!$AR$15:$BR$15,$F77,0,OFFSET(ORÇAMENTO!$D$15,CRONO!$F77,0)))
                +IF(AND($F79&lt;&gt;"",$F79&lt;&gt;0),
                        SUMIF(CÁLCULO!$BS$15:$CS$205,CRONO!V$12,CÁLCULO!$AR$15:$BR$205)/(ORÇAMENTO!$X$15-_xlfn.single(CÁLCULO.TotalAdmLocal))*CRONO!$F79,
                        0),
                 V78*$S77),
          SUMIF(OFFSET($S79,1,0,$R77-2),($M77+1)&amp;"$",OFFSET(V79,1,0,$R77-2)))</f>
        <v>0</v>
      </c>
      <c r="W79" s="439" t="n">
        <f aca="false" t="array" ref="W79:W79">IF($R77=2,
         IF(AND(ACOMPANHAMENTO="PLE",ISNUMBER($F77)),
                SUMIF((OFFSET(CÁLCULO!$BS$15:$CS$15,$F77,0,OFFSET(ORÇAMENTO!$D$15,CRONO!$F77,0))),CRONO!W$12,OFFSET(CÁLCULO!$AR$15:$BR$15,$F77,0,OFFSET(ORÇAMENTO!$D$15,CRONO!$F77,0)))
                +IF(AND($F79&lt;&gt;"",$F79&lt;&gt;0),
                        SUMIF(CÁLCULO!$BS$15:$CS$205,CRONO!W$12,CÁLCULO!$AR$15:$BR$205)/(ORÇAMENTO!$X$15-_xlfn.single(CÁLCULO.TotalAdmLocal))*CRONO!$F79,
                        0),
                 W78*$S77),
          SUMIF(OFFSET($S79,1,0,$R77-2),($M77+1)&amp;"$",OFFSET(W79,1,0,$R77-2)))</f>
        <v>0</v>
      </c>
      <c r="X79" s="439" t="n">
        <f aca="false" t="array" ref="X79:X79">IF($R77=2,
         IF(AND(ACOMPANHAMENTO="PLE",ISNUMBER($F77)),
                SUMIF((OFFSET(CÁLCULO!$BS$15:$CS$15,$F77,0,OFFSET(ORÇAMENTO!$D$15,CRONO!$F77,0))),CRONO!X$12,OFFSET(CÁLCULO!$AR$15:$BR$15,$F77,0,OFFSET(ORÇAMENTO!$D$15,CRONO!$F77,0)))
                +IF(AND($F79&lt;&gt;"",$F79&lt;&gt;0),
                        SUMIF(CÁLCULO!$BS$15:$CS$205,CRONO!X$12,CÁLCULO!$AR$15:$BR$205)/(ORÇAMENTO!$X$15-_xlfn.single(CÁLCULO.TotalAdmLocal))*CRONO!$F79,
                        0),
                 X78*$S77),
          SUMIF(OFFSET($S79,1,0,$R77-2),($M77+1)&amp;"$",OFFSET(X79,1,0,$R77-2)))</f>
        <v>0</v>
      </c>
      <c r="Y79" s="439" t="n">
        <f aca="false" t="array" ref="Y79:Y79">IF($R77=2,
         IF(AND(ACOMPANHAMENTO="PLE",ISNUMBER($F77)),
                SUMIF((OFFSET(CÁLCULO!$BS$15:$CS$15,$F77,0,OFFSET(ORÇAMENTO!$D$15,CRONO!$F77,0))),CRONO!Y$12,OFFSET(CÁLCULO!$AR$15:$BR$15,$F77,0,OFFSET(ORÇAMENTO!$D$15,CRONO!$F77,0)))
                +IF(AND($F79&lt;&gt;"",$F79&lt;&gt;0),
                        SUMIF(CÁLCULO!$BS$15:$CS$205,CRONO!Y$12,CÁLCULO!$AR$15:$BR$205)/(ORÇAMENTO!$X$15-_xlfn.single(CÁLCULO.TotalAdmLocal))*CRONO!$F79,
                        0),
                 Y78*$S77),
          SUMIF(OFFSET($S79,1,0,$R77-2),($M77+1)&amp;"$",OFFSET(Y79,1,0,$R77-2)))</f>
        <v>0</v>
      </c>
      <c r="Z79" s="439" t="n">
        <f aca="false" t="array" ref="Z79:Z79">IF($R77=2,
         IF(AND(ACOMPANHAMENTO="PLE",ISNUMBER($F77)),
                SUMIF((OFFSET(CÁLCULO!$BS$15:$CS$15,$F77,0,OFFSET(ORÇAMENTO!$D$15,CRONO!$F77,0))),CRONO!Z$12,OFFSET(CÁLCULO!$AR$15:$BR$15,$F77,0,OFFSET(ORÇAMENTO!$D$15,CRONO!$F77,0)))
                +IF(AND($F79&lt;&gt;"",$F79&lt;&gt;0),
                        SUMIF(CÁLCULO!$BS$15:$CS$205,CRONO!Z$12,CÁLCULO!$AR$15:$BR$205)/(ORÇAMENTO!$X$15-_xlfn.single(CÁLCULO.TotalAdmLocal))*CRONO!$F79,
                        0),
                 Z78*$S77),
          SUMIF(OFFSET($S79,1,0,$R77-2),($M77+1)&amp;"$",OFFSET(Z79,1,0,$R77-2)))</f>
        <v>0</v>
      </c>
      <c r="AA79" s="439" t="n">
        <f aca="false" t="array" ref="AA79:AA79">IF($R77=2,
         IF(AND(ACOMPANHAMENTO="PLE",ISNUMBER($F77)),
                SUMIF((OFFSET(CÁLCULO!$BS$15:$CS$15,$F77,0,OFFSET(ORÇAMENTO!$D$15,CRONO!$F77,0))),CRONO!AA$12,OFFSET(CÁLCULO!$AR$15:$BR$15,$F77,0,OFFSET(ORÇAMENTO!$D$15,CRONO!$F77,0)))
                +IF(AND($F79&lt;&gt;"",$F79&lt;&gt;0),
                        SUMIF(CÁLCULO!$BS$15:$CS$205,CRONO!AA$12,CÁLCULO!$AR$15:$BR$205)/(ORÇAMENTO!$X$15-_xlfn.single(CÁLCULO.TotalAdmLocal))*CRONO!$F79,
                        0),
                 AA78*$S77),
          SUMIF(OFFSET($S79,1,0,$R77-2),($M77+1)&amp;"$",OFFSET(AA79,1,0,$R77-2)))</f>
        <v>0</v>
      </c>
      <c r="AB79" s="439" t="n">
        <f aca="false" t="array" ref="AB79:AB79">IF($R77=2,
         IF(AND(ACOMPANHAMENTO="PLE",ISNUMBER($F77)),
                SUMIF((OFFSET(CÁLCULO!$BS$15:$CS$15,$F77,0,OFFSET(ORÇAMENTO!$D$15,CRONO!$F77,0))),CRONO!AB$12,OFFSET(CÁLCULO!$AR$15:$BR$15,$F77,0,OFFSET(ORÇAMENTO!$D$15,CRONO!$F77,0)))
                +IF(AND($F79&lt;&gt;"",$F79&lt;&gt;0),
                        SUMIF(CÁLCULO!$BS$15:$CS$205,CRONO!AB$12,CÁLCULO!$AR$15:$BR$205)/(ORÇAMENTO!$X$15-_xlfn.single(CÁLCULO.TotalAdmLocal))*CRONO!$F79,
                        0),
                 AB78*$S77),
          SUMIF(OFFSET($S79,1,0,$R77-2),($M77+1)&amp;"$",OFFSET(AB79,1,0,$R77-2)))</f>
        <v>0</v>
      </c>
      <c r="AC79" s="439" t="n">
        <f aca="false" t="array" ref="AC79:AC79">IF($R77=2,
         IF(AND(ACOMPANHAMENTO="PLE",ISNUMBER($F77)),
                SUMIF((OFFSET(CÁLCULO!$BS$15:$CS$15,$F77,0,OFFSET(ORÇAMENTO!$D$15,CRONO!$F77,0))),CRONO!AC$12,OFFSET(CÁLCULO!$AR$15:$BR$15,$F77,0,OFFSET(ORÇAMENTO!$D$15,CRONO!$F77,0)))
                +IF(AND($F79&lt;&gt;"",$F79&lt;&gt;0),
                        SUMIF(CÁLCULO!$BS$15:$CS$205,CRONO!AC$12,CÁLCULO!$AR$15:$BR$205)/(ORÇAMENTO!$X$15-_xlfn.single(CÁLCULO.TotalAdmLocal))*CRONO!$F79,
                        0),
                 AC78*$S77),
          SUMIF(OFFSET($S79,1,0,$R77-2),($M77+1)&amp;"$",OFFSET(AC79,1,0,$R77-2)))</f>
        <v>0</v>
      </c>
      <c r="AD79" s="439" t="n">
        <f aca="false" t="array" ref="AD79:AD79">IF($R77=2,
         IF(AND(ACOMPANHAMENTO="PLE",ISNUMBER($F77)),
                SUMIF((OFFSET(CÁLCULO!$BS$15:$CS$15,$F77,0,OFFSET(ORÇAMENTO!$D$15,CRONO!$F77,0))),CRONO!AD$12,OFFSET(CÁLCULO!$AR$15:$BR$15,$F77,0,OFFSET(ORÇAMENTO!$D$15,CRONO!$F77,0)))
                +IF(AND($F79&lt;&gt;"",$F79&lt;&gt;0),
                        SUMIF(CÁLCULO!$BS$15:$CS$205,CRONO!AD$12,CÁLCULO!$AR$15:$BR$205)/(ORÇAMENTO!$X$15-_xlfn.single(CÁLCULO.TotalAdmLocal))*CRONO!$F79,
                        0),
                 AD78*$S77),
          SUMIF(OFFSET($S79,1,0,$R77-2),($M77+1)&amp;"$",OFFSET(AD79,1,0,$R77-2)))</f>
        <v>0</v>
      </c>
      <c r="AE79" s="439" t="n">
        <f aca="false" t="array" ref="AE79:AE79">IF($R77=2,
         IF(AND(ACOMPANHAMENTO="PLE",ISNUMBER($F77)),
                SUMIF((OFFSET(CÁLCULO!$BS$15:$CS$15,$F77,0,OFFSET(ORÇAMENTO!$D$15,CRONO!$F77,0))),CRONO!AE$12,OFFSET(CÁLCULO!$AR$15:$BR$15,$F77,0,OFFSET(ORÇAMENTO!$D$15,CRONO!$F77,0)))
                +IF(AND($F79&lt;&gt;"",$F79&lt;&gt;0),
                        SUMIF(CÁLCULO!$BS$15:$CS$205,CRONO!AE$12,CÁLCULO!$AR$15:$BR$205)/(ORÇAMENTO!$X$15-_xlfn.single(CÁLCULO.TotalAdmLocal))*CRONO!$F79,
                        0),
                 AE78*$S77),
          SUMIF(OFFSET($S79,1,0,$R77-2),($M77+1)&amp;"$",OFFSET(AE79,1,0,$R77-2)))</f>
        <v>0</v>
      </c>
      <c r="AF79" s="439" t="n">
        <f aca="false" t="array" ref="AF79:AF79">IF($R77=2,
         IF(AND(ACOMPANHAMENTO="PLE",ISNUMBER($F77)),
                SUMIF((OFFSET(CÁLCULO!$BS$15:$CS$15,$F77,0,OFFSET(ORÇAMENTO!$D$15,CRONO!$F77,0))),CRONO!AF$12,OFFSET(CÁLCULO!$AR$15:$BR$15,$F77,0,OFFSET(ORÇAMENTO!$D$15,CRONO!$F77,0)))
                +IF(AND($F79&lt;&gt;"",$F79&lt;&gt;0),
                        SUMIF(CÁLCULO!$BS$15:$CS$205,CRONO!AF$12,CÁLCULO!$AR$15:$BR$205)/(ORÇAMENTO!$X$15-_xlfn.single(CÁLCULO.TotalAdmLocal))*CRONO!$F79,
                        0),
                 AF78*$S77),
          SUMIF(OFFSET($S79,1,0,$R77-2),($M77+1)&amp;"$",OFFSET(AF79,1,0,$R77-2)))</f>
        <v>0</v>
      </c>
      <c r="AG79" s="439" t="n">
        <f aca="false" t="array" ref="AG79:AG79">IF($R77=2,
         IF(AND(ACOMPANHAMENTO="PLE",ISNUMBER($F77)),
                SUMIF((OFFSET(CÁLCULO!$BS$15:$CS$15,$F77,0,OFFSET(ORÇAMENTO!$D$15,CRONO!$F77,0))),CRONO!AG$12,OFFSET(CÁLCULO!$AR$15:$BR$15,$F77,0,OFFSET(ORÇAMENTO!$D$15,CRONO!$F77,0)))
                +IF(AND($F79&lt;&gt;"",$F79&lt;&gt;0),
                        SUMIF(CÁLCULO!$BS$15:$CS$205,CRONO!AG$12,CÁLCULO!$AR$15:$BR$205)/(ORÇAMENTO!$X$15-_xlfn.single(CÁLCULO.TotalAdmLocal))*CRONO!$F79,
                        0),
                 AG78*$S77),
          SUMIF(OFFSET($S79,1,0,$R77-2),($M77+1)&amp;"$",OFFSET(AG79,1,0,$R77-2)))</f>
        <v>0</v>
      </c>
      <c r="AH79" s="439" t="n">
        <f aca="false" t="array" ref="AH79:AH79">IF($R77=2,
         IF(AND(ACOMPANHAMENTO="PLE",ISNUMBER($F77)),
                SUMIF((OFFSET(CÁLCULO!$BS$15:$CS$15,$F77,0,OFFSET(ORÇAMENTO!$D$15,CRONO!$F77,0))),CRONO!AH$12,OFFSET(CÁLCULO!$AR$15:$BR$15,$F77,0,OFFSET(ORÇAMENTO!$D$15,CRONO!$F77,0)))
                +IF(AND($F79&lt;&gt;"",$F79&lt;&gt;0),
                        SUMIF(CÁLCULO!$BS$15:$CS$205,CRONO!AH$12,CÁLCULO!$AR$15:$BR$205)/(ORÇAMENTO!$X$15-_xlfn.single(CÁLCULO.TotalAdmLocal))*CRONO!$F79,
                        0),
                 AH78*$S77),
          SUMIF(OFFSET($S79,1,0,$R77-2),($M77+1)&amp;"$",OFFSET(AH79,1,0,$R77-2)))</f>
        <v>0</v>
      </c>
      <c r="AI79" s="439" t="n">
        <f aca="false" t="array" ref="AI79:AI79">IF($R77=2,
         IF(AND(ACOMPANHAMENTO="PLE",ISNUMBER($F77)),
                SUMIF((OFFSET(CÁLCULO!$BS$15:$CS$15,$F77,0,OFFSET(ORÇAMENTO!$D$15,CRONO!$F77,0))),CRONO!AI$12,OFFSET(CÁLCULO!$AR$15:$BR$15,$F77,0,OFFSET(ORÇAMENTO!$D$15,CRONO!$F77,0)))
                +IF(AND($F79&lt;&gt;"",$F79&lt;&gt;0),
                        SUMIF(CÁLCULO!$BS$15:$CS$205,CRONO!AI$12,CÁLCULO!$AR$15:$BR$205)/(ORÇAMENTO!$X$15-_xlfn.single(CÁLCULO.TotalAdmLocal))*CRONO!$F79,
                        0),
                 AI78*$S77),
          SUMIF(OFFSET($S79,1,0,$R77-2),($M77+1)&amp;"$",OFFSET(AI79,1,0,$R77-2)))</f>
        <v>0</v>
      </c>
      <c r="AJ79" s="439" t="n">
        <f aca="false" t="array" ref="AJ79:AJ79">IF($R77=2,
         IF(AND(ACOMPANHAMENTO="PLE",ISNUMBER($F77)),
                SUMIF((OFFSET(CÁLCULO!$BS$15:$CS$15,$F77,0,OFFSET(ORÇAMENTO!$D$15,CRONO!$F77,0))),CRONO!AJ$12,OFFSET(CÁLCULO!$AR$15:$BR$15,$F77,0,OFFSET(ORÇAMENTO!$D$15,CRONO!$F77,0)))
                +IF(AND($F79&lt;&gt;"",$F79&lt;&gt;0),
                        SUMIF(CÁLCULO!$BS$15:$CS$205,CRONO!AJ$12,CÁLCULO!$AR$15:$BR$205)/(ORÇAMENTO!$X$15-_xlfn.single(CÁLCULO.TotalAdmLocal))*CRONO!$F79,
                        0),
                 AJ78*$S77),
          SUMIF(OFFSET($S79,1,0,$R77-2),($M77+1)&amp;"$",OFFSET(AJ79,1,0,$R77-2)))</f>
        <v>0</v>
      </c>
      <c r="AK79" s="439" t="n">
        <f aca="false" t="array" ref="AK79:AK79">IF($R77=2,
         IF(AND(ACOMPANHAMENTO="PLE",ISNUMBER($F77)),
                SUMIF((OFFSET(CÁLCULO!$BS$15:$CS$15,$F77,0,OFFSET(ORÇAMENTO!$D$15,CRONO!$F77,0))),CRONO!AK$12,OFFSET(CÁLCULO!$AR$15:$BR$15,$F77,0,OFFSET(ORÇAMENTO!$D$15,CRONO!$F77,0)))
                +IF(AND($F79&lt;&gt;"",$F79&lt;&gt;0),
                        SUMIF(CÁLCULO!$BS$15:$CS$205,CRONO!AK$12,CÁLCULO!$AR$15:$BR$205)/(ORÇAMENTO!$X$15-_xlfn.single(CÁLCULO.TotalAdmLocal))*CRONO!$F79,
                        0),
                 AK78*$S77),
          SUMIF(OFFSET($S79,1,0,$R77-2),($M77+1)&amp;"$",OFFSET(AK79,1,0,$R77-2)))</f>
        <v>0</v>
      </c>
      <c r="AL79" s="439" t="n">
        <f aca="false" t="array" ref="AL79:AL79">IF($R77=2,
         IF(AND(ACOMPANHAMENTO="PLE",ISNUMBER($F77)),
                SUMIF((OFFSET(CÁLCULO!$BS$15:$CS$15,$F77,0,OFFSET(ORÇAMENTO!$D$15,CRONO!$F77,0))),CRONO!AL$12,OFFSET(CÁLCULO!$AR$15:$BR$15,$F77,0,OFFSET(ORÇAMENTO!$D$15,CRONO!$F77,0)))
                +IF(AND($F79&lt;&gt;"",$F79&lt;&gt;0),
                        SUMIF(CÁLCULO!$BS$15:$CS$205,CRONO!AL$12,CÁLCULO!$AR$15:$BR$205)/(ORÇAMENTO!$X$15-_xlfn.single(CÁLCULO.TotalAdmLocal))*CRONO!$F79,
                        0),
                 AL78*$S77),
          SUMIF(OFFSET($S79,1,0,$R77-2),($M77+1)&amp;"$",OFFSET(AL79,1,0,$R77-2)))</f>
        <v>0</v>
      </c>
      <c r="AM79" s="439" t="n">
        <f aca="false" t="array" ref="AM79:AM79">IF($R77=2,
         IF(AND(ACOMPANHAMENTO="PLE",ISNUMBER($F77)),
                SUMIF((OFFSET(CÁLCULO!$BS$15:$CS$15,$F77,0,OFFSET(ORÇAMENTO!$D$15,CRONO!$F77,0))),CRONO!AM$12,OFFSET(CÁLCULO!$AR$15:$BR$15,$F77,0,OFFSET(ORÇAMENTO!$D$15,CRONO!$F77,0)))
                +IF(AND($F79&lt;&gt;"",$F79&lt;&gt;0),
                        SUMIF(CÁLCULO!$BS$15:$CS$205,CRONO!AM$12,CÁLCULO!$AR$15:$BR$205)/(ORÇAMENTO!$X$15-_xlfn.single(CÁLCULO.TotalAdmLocal))*CRONO!$F79,
                        0),
                 AM78*$S77),
          SUMIF(OFFSET($S79,1,0,$R77-2),($M77+1)&amp;"$",OFFSET(AM79,1,0,$R77-2)))</f>
        <v>0</v>
      </c>
      <c r="AN79" s="439" t="n">
        <f aca="false" t="array" ref="AN79:AN79">IF($R77=2,
         IF(AND(ACOMPANHAMENTO="PLE",ISNUMBER($F77)),
                SUMIF((OFFSET(CÁLCULO!$BS$15:$CS$15,$F77,0,OFFSET(ORÇAMENTO!$D$15,CRONO!$F77,0))),CRONO!AN$12,OFFSET(CÁLCULO!$AR$15:$BR$15,$F77,0,OFFSET(ORÇAMENTO!$D$15,CRONO!$F77,0)))
                +IF(AND($F79&lt;&gt;"",$F79&lt;&gt;0),
                        SUMIF(CÁLCULO!$BS$15:$CS$205,CRONO!AN$12,CÁLCULO!$AR$15:$BR$205)/(ORÇAMENTO!$X$15-_xlfn.single(CÁLCULO.TotalAdmLocal))*CRONO!$F79,
                        0),
                 AN78*$S77),
          SUMIF(OFFSET($S79,1,0,$R77-2),($M77+1)&amp;"$",OFFSET(AN79,1,0,$R77-2)))</f>
        <v>0</v>
      </c>
      <c r="AO79" s="439" t="n">
        <f aca="false" t="array" ref="AO79:AO79">IF($R77=2,
         IF(AND(ACOMPANHAMENTO="PLE",ISNUMBER($F77)),
                SUMIF((OFFSET(CÁLCULO!$BS$15:$CS$15,$F77,0,OFFSET(ORÇAMENTO!$D$15,CRONO!$F77,0))),CRONO!AO$12,OFFSET(CÁLCULO!$AR$15:$BR$15,$F77,0,OFFSET(ORÇAMENTO!$D$15,CRONO!$F77,0)))
                +IF(AND($F79&lt;&gt;"",$F79&lt;&gt;0),
                        SUMIF(CÁLCULO!$BS$15:$CS$205,CRONO!AO$12,CÁLCULO!$AR$15:$BR$205)/(ORÇAMENTO!$X$15-_xlfn.single(CÁLCULO.TotalAdmLocal))*CRONO!$F79,
                        0),
                 AO78*$S77),
          SUMIF(OFFSET($S79,1,0,$R77-2),($M77+1)&amp;"$",OFFSET(AO79,1,0,$R77-2)))</f>
        <v>0</v>
      </c>
      <c r="AP79" s="439" t="n">
        <f aca="false" t="array" ref="AP79:AP79">IF($R77=2,
         IF(AND(ACOMPANHAMENTO="PLE",ISNUMBER($F77)),
                SUMIF((OFFSET(CÁLCULO!$BS$15:$CS$15,$F77,0,OFFSET(ORÇAMENTO!$D$15,CRONO!$F77,0))),CRONO!AP$12,OFFSET(CÁLCULO!$AR$15:$BR$15,$F77,0,OFFSET(ORÇAMENTO!$D$15,CRONO!$F77,0)))
                +IF(AND($F79&lt;&gt;"",$F79&lt;&gt;0),
                        SUMIF(CÁLCULO!$BS$15:$CS$205,CRONO!AP$12,CÁLCULO!$AR$15:$BR$205)/(ORÇAMENTO!$X$15-_xlfn.single(CÁLCULO.TotalAdmLocal))*CRONO!$F79,
                        0),
                 AP78*$S77),
          SUMIF(OFFSET($S79,1,0,$R77-2),($M77+1)&amp;"$",OFFSET(AP79,1,0,$R77-2)))</f>
        <v>0</v>
      </c>
      <c r="AQ79" s="439" t="n">
        <f aca="false" t="array" ref="AQ79:AQ79">IF($R77=2,
         IF(AND(ACOMPANHAMENTO="PLE",ISNUMBER($F77)),
                SUMIF((OFFSET(CÁLCULO!$BS$15:$CS$15,$F77,0,OFFSET(ORÇAMENTO!$D$15,CRONO!$F77,0))),CRONO!AQ$12,OFFSET(CÁLCULO!$AR$15:$BR$15,$F77,0,OFFSET(ORÇAMENTO!$D$15,CRONO!$F77,0)))
                +IF(AND($F79&lt;&gt;"",$F79&lt;&gt;0),
                        SUMIF(CÁLCULO!$BS$15:$CS$205,CRONO!AQ$12,CÁLCULO!$AR$15:$BR$205)/(ORÇAMENTO!$X$15-_xlfn.single(CÁLCULO.TotalAdmLocal))*CRONO!$F79,
                        0),
                 AQ78*$S77),
          SUMIF(OFFSET($S79,1,0,$R77-2),($M77+1)&amp;"$",OFFSET(AQ79,1,0,$R77-2)))</f>
        <v>0</v>
      </c>
      <c r="AR79" s="439" t="n">
        <f aca="false" t="array" ref="AR79:AR79">IF($R77=2,
         IF(AND(ACOMPANHAMENTO="PLE",ISNUMBER($F77)),
                SUMIF((OFFSET(CÁLCULO!$BS$15:$CS$15,$F77,0,OFFSET(ORÇAMENTO!$D$15,CRONO!$F77,0))),CRONO!AR$12,OFFSET(CÁLCULO!$AR$15:$BR$15,$F77,0,OFFSET(ORÇAMENTO!$D$15,CRONO!$F77,0)))
                +IF(AND($F79&lt;&gt;"",$F79&lt;&gt;0),
                        SUMIF(CÁLCULO!$BS$15:$CS$205,CRONO!AR$12,CÁLCULO!$AR$15:$BR$205)/(ORÇAMENTO!$X$15-_xlfn.single(CÁLCULO.TotalAdmLocal))*CRONO!$F79,
                        0),
                 AR78*$S77),
          SUMIF(OFFSET($S79,1,0,$R77-2),($M77+1)&amp;"$",OFFSET(AR79,1,0,$R77-2)))</f>
        <v>0</v>
      </c>
      <c r="AS79" s="439" t="n">
        <f aca="false" t="array" ref="AS79:AS79">IF($R77=2,
         IF(AND(ACOMPANHAMENTO="PLE",ISNUMBER($F77)),
                SUMIF((OFFSET(CÁLCULO!$BS$15:$CS$15,$F77,0,OFFSET(ORÇAMENTO!$D$15,CRONO!$F77,0))),CRONO!AS$12,OFFSET(CÁLCULO!$AR$15:$BR$15,$F77,0,OFFSET(ORÇAMENTO!$D$15,CRONO!$F77,0)))
                +IF(AND($F79&lt;&gt;"",$F79&lt;&gt;0),
                        SUMIF(CÁLCULO!$BS$15:$CS$205,CRONO!AS$12,CÁLCULO!$AR$15:$BR$205)/(ORÇAMENTO!$X$15-_xlfn.single(CÁLCULO.TotalAdmLocal))*CRONO!$F79,
                        0),
                 AS78*$S77),
          SUMIF(OFFSET($S79,1,0,$R77-2),($M77+1)&amp;"$",OFFSET(AS79,1,0,$R77-2)))</f>
        <v>0</v>
      </c>
      <c r="AT79" s="439" t="n">
        <f aca="false" t="array" ref="AT79:AT79">IF($R77=2,
         IF(AND(ACOMPANHAMENTO="PLE",ISNUMBER($F77)),
                SUMIF((OFFSET(CÁLCULO!$BS$15:$CS$15,$F77,0,OFFSET(ORÇAMENTO!$D$15,CRONO!$F77,0))),CRONO!AT$12,OFFSET(CÁLCULO!$AR$15:$BR$15,$F77,0,OFFSET(ORÇAMENTO!$D$15,CRONO!$F77,0)))
                +IF(AND($F79&lt;&gt;"",$F79&lt;&gt;0),
                        SUMIF(CÁLCULO!$BS$15:$CS$205,CRONO!AT$12,CÁLCULO!$AR$15:$BR$205)/(ORÇAMENTO!$X$15-_xlfn.single(CÁLCULO.TotalAdmLocal))*CRONO!$F79,
                        0),
                 AT78*$S77),
          SUMIF(OFFSET($S79,1,0,$R77-2),($M77+1)&amp;"$",OFFSET(AT79,1,0,$R77-2)))</f>
        <v>0</v>
      </c>
      <c r="AU79" s="439" t="n">
        <f aca="false" t="array" ref="AU79:AU79">IF($R77=2,
         IF(AND(ACOMPANHAMENTO="PLE",ISNUMBER($F77)),
                SUMIF((OFFSET(CÁLCULO!$BS$15:$CS$15,$F77,0,OFFSET(ORÇAMENTO!$D$15,CRONO!$F77,0))),CRONO!AU$12,OFFSET(CÁLCULO!$AR$15:$BR$15,$F77,0,OFFSET(ORÇAMENTO!$D$15,CRONO!$F77,0)))
                +IF(AND($F79&lt;&gt;"",$F79&lt;&gt;0),
                        SUMIF(CÁLCULO!$BS$15:$CS$205,CRONO!AU$12,CÁLCULO!$AR$15:$BR$205)/(ORÇAMENTO!$X$15-_xlfn.single(CÁLCULO.TotalAdmLocal))*CRONO!$F79,
                        0),
                 AU78*$S77),
          SUMIF(OFFSET($S79,1,0,$R77-2),($M77+1)&amp;"$",OFFSET(AU79,1,0,$R77-2)))</f>
        <v>0</v>
      </c>
      <c r="AV79" s="439" t="n">
        <f aca="false" t="array" ref="AV79:AV79">IF($R77=2,
         IF(AND(ACOMPANHAMENTO="PLE",ISNUMBER($F77)),
                SUMIF((OFFSET(CÁLCULO!$BS$15:$CS$15,$F77,0,OFFSET(ORÇAMENTO!$D$15,CRONO!$F77,0))),CRONO!AV$12,OFFSET(CÁLCULO!$AR$15:$BR$15,$F77,0,OFFSET(ORÇAMENTO!$D$15,CRONO!$F77,0)))
                +IF(AND($F79&lt;&gt;"",$F79&lt;&gt;0),
                        SUMIF(CÁLCULO!$BS$15:$CS$205,CRONO!AV$12,CÁLCULO!$AR$15:$BR$205)/(ORÇAMENTO!$X$15-_xlfn.single(CÁLCULO.TotalAdmLocal))*CRONO!$F79,
                        0),
                 AV78*$S77),
          SUMIF(OFFSET($S79,1,0,$R77-2),($M77+1)&amp;"$",OFFSET(AV79,1,0,$R77-2)))</f>
        <v>0</v>
      </c>
      <c r="AW79" s="439" t="n">
        <f aca="false" t="array" ref="AW79:AW79">IF($R77=2,
         IF(AND(ACOMPANHAMENTO="PLE",ISNUMBER($F77)),
                SUMIF((OFFSET(CÁLCULO!$BS$15:$CS$15,$F77,0,OFFSET(ORÇAMENTO!$D$15,CRONO!$F77,0))),CRONO!AW$12,OFFSET(CÁLCULO!$AR$15:$BR$15,$F77,0,OFFSET(ORÇAMENTO!$D$15,CRONO!$F77,0)))
                +IF(AND($F79&lt;&gt;"",$F79&lt;&gt;0),
                        SUMIF(CÁLCULO!$BS$15:$CS$205,CRONO!AW$12,CÁLCULO!$AR$15:$BR$205)/(ORÇAMENTO!$X$15-_xlfn.single(CÁLCULO.TotalAdmLocal))*CRONO!$F79,
                        0),
                 AW78*$S77),
          SUMIF(OFFSET($S79,1,0,$R77-2),($M77+1)&amp;"$",OFFSET(AW79,1,0,$R77-2)))</f>
        <v>0</v>
      </c>
      <c r="AX79" s="439" t="n">
        <f aca="false" t="array" ref="AX79:AX79">IF($R77=2,
         IF(AND(ACOMPANHAMENTO="PLE",ISNUMBER($F77)),
                SUMIF((OFFSET(CÁLCULO!$BS$15:$CS$15,$F77,0,OFFSET(ORÇAMENTO!$D$15,CRONO!$F77,0))),CRONO!AX$12,OFFSET(CÁLCULO!$AR$15:$BR$15,$F77,0,OFFSET(ORÇAMENTO!$D$15,CRONO!$F77,0)))
                +IF(AND($F79&lt;&gt;"",$F79&lt;&gt;0),
                        SUMIF(CÁLCULO!$BS$15:$CS$205,CRONO!AX$12,CÁLCULO!$AR$15:$BR$205)/(ORÇAMENTO!$X$15-_xlfn.single(CÁLCULO.TotalAdmLocal))*CRONO!$F79,
                        0),
                 AX78*$S77),
          SUMIF(OFFSET($S79,1,0,$R77-2),($M77+1)&amp;"$",OFFSET(AX79,1,0,$R77-2)))</f>
        <v>0</v>
      </c>
      <c r="AY79" s="439" t="n">
        <f aca="false" t="array" ref="AY79:AY79">IF($R77=2,
         IF(AND(ACOMPANHAMENTO="PLE",ISNUMBER($F77)),
                SUMIF((OFFSET(CÁLCULO!$BS$15:$CS$15,$F77,0,OFFSET(ORÇAMENTO!$D$15,CRONO!$F77,0))),CRONO!AY$12,OFFSET(CÁLCULO!$AR$15:$BR$15,$F77,0,OFFSET(ORÇAMENTO!$D$15,CRONO!$F77,0)))
                +IF(AND($F79&lt;&gt;"",$F79&lt;&gt;0),
                        SUMIF(CÁLCULO!$BS$15:$CS$205,CRONO!AY$12,CÁLCULO!$AR$15:$BR$205)/(ORÇAMENTO!$X$15-_xlfn.single(CÁLCULO.TotalAdmLocal))*CRONO!$F79,
                        0),
                 AY78*$S77),
          SUMIF(OFFSET($S79,1,0,$R77-2),($M77+1)&amp;"$",OFFSET(AY79,1,0,$R77-2)))</f>
        <v>0</v>
      </c>
      <c r="AZ79" s="439" t="n">
        <f aca="false" t="array" ref="AZ79:AZ79">IF($R77=2,
         IF(AND(ACOMPANHAMENTO="PLE",ISNUMBER($F77)),
                SUMIF((OFFSET(CÁLCULO!$BS$15:$CS$15,$F77,0,OFFSET(ORÇAMENTO!$D$15,CRONO!$F77,0))),CRONO!AZ$12,OFFSET(CÁLCULO!$AR$15:$BR$15,$F77,0,OFFSET(ORÇAMENTO!$D$15,CRONO!$F77,0)))
                +IF(AND($F79&lt;&gt;"",$F79&lt;&gt;0),
                        SUMIF(CÁLCULO!$BS$15:$CS$205,CRONO!AZ$12,CÁLCULO!$AR$15:$BR$205)/(ORÇAMENTO!$X$15-_xlfn.single(CÁLCULO.TotalAdmLocal))*CRONO!$F79,
                        0),
                 AZ78*$S77),
          SUMIF(OFFSET($S79,1,0,$R77-2),($M77+1)&amp;"$",OFFSET(AZ79,1,0,$R77-2)))</f>
        <v>0</v>
      </c>
      <c r="BA79" s="439" t="n">
        <f aca="false" t="array" ref="BA79:BA79">IF($R77=2,
         IF(AND(ACOMPANHAMENTO="PLE",ISNUMBER($F77)),
                SUMIF((OFFSET(CÁLCULO!$BS$15:$CS$15,$F77,0,OFFSET(ORÇAMENTO!$D$15,CRONO!$F77,0))),CRONO!BA$12,OFFSET(CÁLCULO!$AR$15:$BR$15,$F77,0,OFFSET(ORÇAMENTO!$D$15,CRONO!$F77,0)))
                +IF(AND($F79&lt;&gt;"",$F79&lt;&gt;0),
                        SUMIF(CÁLCULO!$BS$15:$CS$205,CRONO!BA$12,CÁLCULO!$AR$15:$BR$205)/(ORÇAMENTO!$X$15-_xlfn.single(CÁLCULO.TotalAdmLocal))*CRONO!$F79,
                        0),
                 BA78*$S77),
          SUMIF(OFFSET($S79,1,0,$R77-2),($M77+1)&amp;"$",OFFSET(BA79,1,0,$R77-2)))</f>
        <v>0</v>
      </c>
      <c r="BB79" s="439" t="n">
        <f aca="false" t="array" ref="BB79:BB79">IF($R77=2,
         IF(AND(ACOMPANHAMENTO="PLE",ISNUMBER($F77)),
                SUMIF((OFFSET(CÁLCULO!$BS$15:$CS$15,$F77,0,OFFSET(ORÇAMENTO!$D$15,CRONO!$F77,0))),CRONO!BB$12,OFFSET(CÁLCULO!$AR$15:$BR$15,$F77,0,OFFSET(ORÇAMENTO!$D$15,CRONO!$F77,0)))
                +IF(AND($F79&lt;&gt;"",$F79&lt;&gt;0),
                        SUMIF(CÁLCULO!$BS$15:$CS$205,CRONO!BB$12,CÁLCULO!$AR$15:$BR$205)/(ORÇAMENTO!$X$15-_xlfn.single(CÁLCULO.TotalAdmLocal))*CRONO!$F79,
                        0),
                 BB78*$S77),
          SUMIF(OFFSET($S79,1,0,$R77-2),($M77+1)&amp;"$",OFFSET(BB79,1,0,$R77-2)))</f>
        <v>0</v>
      </c>
      <c r="BC79" s="439" t="n">
        <f aca="false" t="array" ref="BC79:BC79">IF($R77=2,
         IF(AND(ACOMPANHAMENTO="PLE",ISNUMBER($F77)),
                SUMIF((OFFSET(CÁLCULO!$BS$15:$CS$15,$F77,0,OFFSET(ORÇAMENTO!$D$15,CRONO!$F77,0))),CRONO!BC$12,OFFSET(CÁLCULO!$AR$15:$BR$15,$F77,0,OFFSET(ORÇAMENTO!$D$15,CRONO!$F77,0)))
                +IF(AND($F79&lt;&gt;"",$F79&lt;&gt;0),
                        SUMIF(CÁLCULO!$BS$15:$CS$205,CRONO!BC$12,CÁLCULO!$AR$15:$BR$205)/(ORÇAMENTO!$X$15-_xlfn.single(CÁLCULO.TotalAdmLocal))*CRONO!$F79,
                        0),
                 BC78*$S77),
          SUMIF(OFFSET($S79,1,0,$R77-2),($M77+1)&amp;"$",OFFSET(BC79,1,0,$R77-2)))</f>
        <v>0</v>
      </c>
      <c r="BD79" s="439" t="n">
        <f aca="false" t="array" ref="BD79:BD79">IF($R77=2,
         IF(AND(ACOMPANHAMENTO="PLE",ISNUMBER($F77)),
                SUMIF((OFFSET(CÁLCULO!$BS$15:$CS$15,$F77,0,OFFSET(ORÇAMENTO!$D$15,CRONO!$F77,0))),CRONO!BD$12,OFFSET(CÁLCULO!$AR$15:$BR$15,$F77,0,OFFSET(ORÇAMENTO!$D$15,CRONO!$F77,0)))
                +IF(AND($F79&lt;&gt;"",$F79&lt;&gt;0),
                        SUMIF(CÁLCULO!$BS$15:$CS$205,CRONO!BD$12,CÁLCULO!$AR$15:$BR$205)/(ORÇAMENTO!$X$15-_xlfn.single(CÁLCULO.TotalAdmLocal))*CRONO!$F79,
                        0),
                 BD78*$S77),
          SUMIF(OFFSET($S79,1,0,$R77-2),($M77+1)&amp;"$",OFFSET(BD79,1,0,$R77-2)))</f>
        <v>0</v>
      </c>
      <c r="BE79" s="430"/>
    </row>
    <row r="80" customFormat="false" ht="12.75" hidden="true" customHeight="false" outlineLevel="0" collapsed="false">
      <c r="A80" s="382" t="str">
        <f aca="false">IF($M80&gt;1,_xlfn.CONCAT($I80," ",$J80),"")</f>
        <v>1.22. PINTURA</v>
      </c>
      <c r="B80" s="419" t="n">
        <f aca="true">OFFSET(B80,-3,0)+1</f>
        <v>23</v>
      </c>
      <c r="C80" s="419" t="n">
        <f aca="true">IF($R80&lt;&gt;2,0,IF($S80=0,1,IF(F81&gt;0,OFFSET(QCI!$M$13,SUBSTITUTE(F81,".",""),0),OFFSET(ORÇAMENTO!$AA$15,CRONO!$F80,0))/$S80))</f>
        <v>1</v>
      </c>
      <c r="D80" s="419" t="n">
        <f aca="true">IF($R80&lt;&gt;2,0,IF($S80=0,1,IF(F81&gt;0,OFFSET(QCI!$N$13,SUBSTITUTE(F81,".",""),0),OFFSET(ORÇAMENTO!$AB$15,CRONO!$F80,0))/$S80))</f>
        <v>1</v>
      </c>
      <c r="E80" s="422" t="e">
        <f aca="false" t="array" ref="E80:E80">IF(AND($R80=2,ACOMPANHAMENTO="BM"),ROUND(E81,4),E82/$S80)</f>
        <v>#DIV/0!</v>
      </c>
      <c r="F80" s="419" t="n">
        <f aca="true">IF(B80&lt;=ORÇAMENTO.MáximoListaCrono,MATCH(B80,ORÇAMENTO.ListaCrono,0),NA())</f>
        <v>73</v>
      </c>
      <c r="G80" s="419" t="str">
        <f aca="false">IF(AND($F81&lt;&gt;-1,$S80&gt;0),"F","")</f>
        <v/>
      </c>
      <c r="H80" s="423" t="str">
        <f aca="false" t="array" ref="H80:H80">IF(OR(S80=0,S80=""),"Linha",IF(AND(OR(ACOMPANHAMENTO="PLE",$R80&lt;&gt;2),$F81=0),"Linha",ROUND(1-SUM(U80:BE80),4)))</f>
        <v>Linha</v>
      </c>
      <c r="I80" s="424" t="str">
        <f aca="true">IF($F81=0,OFFSET(ORÇAMENTO!O$15,$F80,0),IF($F81&lt;&gt;-1,OFFSET(QCI!$D$13,$F81,0),""))</f>
        <v>1.22.</v>
      </c>
      <c r="J80" s="425" t="str">
        <f aca="true">IF($F81=0,OFFSET(ORÇAMENTO!R$15,$F80,0),IF($F81&lt;&gt;-1,OFFSET(QCI!$G$13,$F81,0),""))</f>
        <v>PINTURA</v>
      </c>
      <c r="K80" s="425"/>
      <c r="L80" s="425"/>
      <c r="M80" s="426" t="n">
        <f aca="true">IF($F81=0,OFFSET(ORÇAMENTO!C$15,$F80,0),1)</f>
        <v>2</v>
      </c>
      <c r="N80" s="427" t="n">
        <f aca="true">IF($F81=-1,0,IF(N$13&lt;=$M80,IF(ISERROR(MATCH(N$13,OFFSET($M80,1,0,ROW($M$182)-ROW($M80)-1),0)),ROW($M$182)-ROW($M80)-1,MATCH(N$13,OFFSET($M80,1,0,ROW($M$182)-ROW($M80)-1),0)-1),0))</f>
        <v>101</v>
      </c>
      <c r="O80" s="427" t="n">
        <f aca="true">IF($F81=-1,0,IF(O$13&lt;=$M80,IF(ISERROR(MATCH(O$13,OFFSET($M80,1,0,ROW($M$182)-ROW($M80)-1),0)),ROW($M$182)-ROW($M80)-1,MATCH(O$13,OFFSET($M80,1,0,ROW($M$182)-ROW($M80)-1),0)-1),0))</f>
        <v>2</v>
      </c>
      <c r="P80" s="427" t="n">
        <f aca="true">IF($F81=-1,0,IF(P$13&lt;=$M80,IF(ISERROR(MATCH(P$13,OFFSET($M80,1,0,ROW($M$182)-ROW($M80)-1),0)),ROW($M$182)-ROW($M80)-1,MATCH(P$13,OFFSET($M80,1,0,ROW($M$182)-ROW($M80)-1),0)-1),0))</f>
        <v>0</v>
      </c>
      <c r="Q80" s="427" t="n">
        <f aca="true">IF($F81=-1,0,IF(Q$13&lt;=$M80,IF(ISERROR(MATCH(Q$13,OFFSET($M80,1,0,ROW($M$182)-ROW($M80)-1),0)),ROW($M$182)-ROW($M80)-1,MATCH(Q$13,OFFSET($M80,1,0,ROW($M$182)-ROW($M80)-1),0)-1),0))</f>
        <v>0</v>
      </c>
      <c r="R80" s="427" t="n">
        <f aca="true">MIN(OFFSET(M80,0,1,,M80))</f>
        <v>2</v>
      </c>
      <c r="S80" s="428" t="n">
        <f aca="true">IF($F81=0,OFFSET(ORÇAMENTO!X$15,$F80,0),IF($F81&lt;&gt;-1,OFFSET(QCI!$O$13,$F81,0),""))</f>
        <v>0</v>
      </c>
      <c r="T80" s="429" t="s">
        <v>996</v>
      </c>
      <c r="U80" s="422" t="e">
        <f aca="false" t="array" ref="U80:U80">IF(AND($R80=2,ACOMPANHAMENTO="BM"),ROUND(U81,4),U82/$S80)</f>
        <v>#DIV/0!</v>
      </c>
      <c r="V80" s="422" t="e">
        <f aca="false" t="array" ref="V80:V80">IF(AND($R80=2,ACOMPANHAMENTO="BM"),ROUND(V81,4),V82/$S80)</f>
        <v>#DIV/0!</v>
      </c>
      <c r="W80" s="422" t="e">
        <f aca="false" t="array" ref="W80:W80">IF(AND($R80=2,ACOMPANHAMENTO="BM"),ROUND(W81,4),W82/$S80)</f>
        <v>#DIV/0!</v>
      </c>
      <c r="X80" s="422" t="e">
        <f aca="false" t="array" ref="X80:X80">IF(AND($R80=2,ACOMPANHAMENTO="BM"),ROUND(X81,4),X82/$S80)</f>
        <v>#DIV/0!</v>
      </c>
      <c r="Y80" s="422" t="e">
        <f aca="false" t="array" ref="Y80:Y80">IF(AND($R80=2,ACOMPANHAMENTO="BM"),ROUND(Y81,4),Y82/$S80)</f>
        <v>#DIV/0!</v>
      </c>
      <c r="Z80" s="422" t="e">
        <f aca="false" t="array" ref="Z80:Z80">IF(AND($R80=2,ACOMPANHAMENTO="BM"),ROUND(Z81,4),Z82/$S80)</f>
        <v>#DIV/0!</v>
      </c>
      <c r="AA80" s="422" t="e">
        <f aca="false" t="array" ref="AA80:AA80">IF(AND($R80=2,ACOMPANHAMENTO="BM"),ROUND(AA81,4),AA82/$S80)</f>
        <v>#DIV/0!</v>
      </c>
      <c r="AB80" s="422" t="e">
        <f aca="false" t="array" ref="AB80:AB80">IF(AND($R80=2,ACOMPANHAMENTO="BM"),ROUND(AB81,4),AB82/$S80)</f>
        <v>#DIV/0!</v>
      </c>
      <c r="AC80" s="422" t="e">
        <f aca="false" t="array" ref="AC80:AC80">IF(AND($R80=2,ACOMPANHAMENTO="BM"),ROUND(AC81,4),AC82/$S80)</f>
        <v>#DIV/0!</v>
      </c>
      <c r="AD80" s="422" t="e">
        <f aca="false" t="array" ref="AD80:AD80">IF(AND($R80=2,ACOMPANHAMENTO="BM"),ROUND(AD81,4),AD82/$S80)</f>
        <v>#DIV/0!</v>
      </c>
      <c r="AE80" s="422" t="e">
        <f aca="false" t="array" ref="AE80:AE80">IF(AND($R80=2,ACOMPANHAMENTO="BM"),ROUND(AE81,4),AE82/$S80)</f>
        <v>#DIV/0!</v>
      </c>
      <c r="AF80" s="422" t="e">
        <f aca="false" t="array" ref="AF80:AF80">IF(AND($R80=2,ACOMPANHAMENTO="BM"),ROUND(AF81,4),AF82/$S80)</f>
        <v>#DIV/0!</v>
      </c>
      <c r="AG80" s="422" t="e">
        <f aca="false" t="array" ref="AG80:AG80">IF(AND($R80=2,ACOMPANHAMENTO="BM"),ROUND(AG81,4),AG82/$S80)</f>
        <v>#DIV/0!</v>
      </c>
      <c r="AH80" s="422" t="e">
        <f aca="false" t="array" ref="AH80:AH80">IF(AND($R80=2,ACOMPANHAMENTO="BM"),ROUND(AH81,4),AH82/$S80)</f>
        <v>#DIV/0!</v>
      </c>
      <c r="AI80" s="422" t="e">
        <f aca="false" t="array" ref="AI80:AI80">IF(AND($R80=2,ACOMPANHAMENTO="BM"),ROUND(AI81,4),AI82/$S80)</f>
        <v>#DIV/0!</v>
      </c>
      <c r="AJ80" s="422" t="e">
        <f aca="false" t="array" ref="AJ80:AJ80">IF(AND($R80=2,ACOMPANHAMENTO="BM"),ROUND(AJ81,4),AJ82/$S80)</f>
        <v>#DIV/0!</v>
      </c>
      <c r="AK80" s="422" t="e">
        <f aca="false" t="array" ref="AK80:AK80">IF(AND($R80=2,ACOMPANHAMENTO="BM"),ROUND(AK81,4),AK82/$S80)</f>
        <v>#DIV/0!</v>
      </c>
      <c r="AL80" s="422" t="e">
        <f aca="false" t="array" ref="AL80:AL80">IF(AND($R80=2,ACOMPANHAMENTO="BM"),ROUND(AL81,4),AL82/$S80)</f>
        <v>#DIV/0!</v>
      </c>
      <c r="AM80" s="422" t="e">
        <f aca="false" t="array" ref="AM80:AM80">IF(AND($R80=2,ACOMPANHAMENTO="BM"),ROUND(AM81,4),AM82/$S80)</f>
        <v>#DIV/0!</v>
      </c>
      <c r="AN80" s="422" t="e">
        <f aca="false" t="array" ref="AN80:AN80">IF(AND($R80=2,ACOMPANHAMENTO="BM"),ROUND(AN81,4),AN82/$S80)</f>
        <v>#DIV/0!</v>
      </c>
      <c r="AO80" s="422" t="e">
        <f aca="false" t="array" ref="AO80:AO80">IF(AND($R80=2,ACOMPANHAMENTO="BM"),ROUND(AO81,4),AO82/$S80)</f>
        <v>#DIV/0!</v>
      </c>
      <c r="AP80" s="422" t="e">
        <f aca="false" t="array" ref="AP80:AP80">IF(AND($R80=2,ACOMPANHAMENTO="BM"),ROUND(AP81,4),AP82/$S80)</f>
        <v>#DIV/0!</v>
      </c>
      <c r="AQ80" s="422" t="e">
        <f aca="false" t="array" ref="AQ80:AQ80">IF(AND($R80=2,ACOMPANHAMENTO="BM"),ROUND(AQ81,4),AQ82/$S80)</f>
        <v>#DIV/0!</v>
      </c>
      <c r="AR80" s="422" t="e">
        <f aca="false" t="array" ref="AR80:AR80">IF(AND($R80=2,ACOMPANHAMENTO="BM"),ROUND(AR81,4),AR82/$S80)</f>
        <v>#DIV/0!</v>
      </c>
      <c r="AS80" s="422" t="e">
        <f aca="false" t="array" ref="AS80:AS80">IF(AND($R80=2,ACOMPANHAMENTO="BM"),ROUND(AS81,4),AS82/$S80)</f>
        <v>#DIV/0!</v>
      </c>
      <c r="AT80" s="422" t="e">
        <f aca="false" t="array" ref="AT80:AT80">IF(AND($R80=2,ACOMPANHAMENTO="BM"),ROUND(AT81,4),AT82/$S80)</f>
        <v>#DIV/0!</v>
      </c>
      <c r="AU80" s="422" t="e">
        <f aca="false" t="array" ref="AU80:AU80">IF(AND($R80=2,ACOMPANHAMENTO="BM"),ROUND(AU81,4),AU82/$S80)</f>
        <v>#DIV/0!</v>
      </c>
      <c r="AV80" s="422" t="e">
        <f aca="false" t="array" ref="AV80:AV80">IF(AND($R80=2,ACOMPANHAMENTO="BM"),ROUND(AV81,4),AV82/$S80)</f>
        <v>#DIV/0!</v>
      </c>
      <c r="AW80" s="422" t="e">
        <f aca="false" t="array" ref="AW80:AW80">IF(AND($R80=2,ACOMPANHAMENTO="BM"),ROUND(AW81,4),AW82/$S80)</f>
        <v>#DIV/0!</v>
      </c>
      <c r="AX80" s="422" t="e">
        <f aca="false" t="array" ref="AX80:AX80">IF(AND($R80=2,ACOMPANHAMENTO="BM"),ROUND(AX81,4),AX82/$S80)</f>
        <v>#DIV/0!</v>
      </c>
      <c r="AY80" s="422" t="e">
        <f aca="false" t="array" ref="AY80:AY80">IF(AND($R80=2,ACOMPANHAMENTO="BM"),ROUND(AY81,4),AY82/$S80)</f>
        <v>#DIV/0!</v>
      </c>
      <c r="AZ80" s="422" t="e">
        <f aca="false" t="array" ref="AZ80:AZ80">IF(AND($R80=2,ACOMPANHAMENTO="BM"),ROUND(AZ81,4),AZ82/$S80)</f>
        <v>#DIV/0!</v>
      </c>
      <c r="BA80" s="422" t="e">
        <f aca="false" t="array" ref="BA80:BA80">IF(AND($R80=2,ACOMPANHAMENTO="BM"),ROUND(BA81,4),BA82/$S80)</f>
        <v>#DIV/0!</v>
      </c>
      <c r="BB80" s="422" t="e">
        <f aca="false" t="array" ref="BB80:BB80">IF(AND($R80=2,ACOMPANHAMENTO="BM"),ROUND(BB81,4),BB82/$S80)</f>
        <v>#DIV/0!</v>
      </c>
      <c r="BC80" s="422" t="e">
        <f aca="false" t="array" ref="BC80:BC80">IF(AND($R80=2,ACOMPANHAMENTO="BM"),ROUND(BC81,4),BC82/$S80)</f>
        <v>#DIV/0!</v>
      </c>
      <c r="BD80" s="422" t="e">
        <f aca="false" t="array" ref="BD80:BD80">IF(AND($R80=2,ACOMPANHAMENTO="BM"),ROUND(BD81,4),BD82/$S80)</f>
        <v>#DIV/0!</v>
      </c>
      <c r="BE80" s="430"/>
    </row>
    <row r="81" customFormat="false" ht="12.75" hidden="true" customHeight="true" outlineLevel="0" collapsed="false">
      <c r="E81" s="431"/>
      <c r="F81" s="419" t="n">
        <f aca="true">IF(ISERROR(F80),IF(1+COUNTIF($M$13:OFFSET(M80,-1,0),1)&lt;=MAX(QCI!$D$13:$D$15),1+COUNTIF($M$13:OFFSET(M80,-1,0),1),-1),0)</f>
        <v>0</v>
      </c>
      <c r="G81" s="419" t="str">
        <f aca="true" t="array" ref="G81:G81">IF(ACOMPANHAMENTO="BM",OFFSET(G81,-1,0),"")</f>
        <v/>
      </c>
      <c r="H81" s="432" t="str">
        <f aca="false" t="array" ref="H81:H81">IF(OR(S80=0,S80=""),"vazia",IF(AND(OR(ACOMPANHAMENTO="PLE",$R80&lt;&gt;2),$F81=0),"calculada","--&gt;"))</f>
        <v>vazia</v>
      </c>
      <c r="I81" s="433"/>
      <c r="J81" s="434" t="str">
        <f aca="false">IF(AND(H80&lt;&gt;0,ISNUMBER(H80)),"PREENCHA ESTA LINHA --&gt;","")</f>
        <v/>
      </c>
      <c r="K81" s="434"/>
      <c r="L81" s="434"/>
      <c r="M81" s="435"/>
      <c r="N81" s="435"/>
      <c r="O81" s="435"/>
      <c r="P81" s="435"/>
      <c r="Q81" s="435"/>
      <c r="R81" s="435"/>
      <c r="S81" s="436"/>
      <c r="T81" s="437"/>
      <c r="U81" s="431"/>
      <c r="V81" s="431"/>
      <c r="W81" s="431"/>
      <c r="X81" s="431"/>
      <c r="Y81" s="431"/>
      <c r="Z81" s="431"/>
      <c r="AA81" s="431"/>
      <c r="AB81" s="431"/>
      <c r="AC81" s="431"/>
      <c r="AD81" s="431"/>
      <c r="AE81" s="431"/>
      <c r="AF81" s="431"/>
      <c r="AG81" s="431"/>
      <c r="AH81" s="431"/>
      <c r="AI81" s="431"/>
      <c r="AJ81" s="431"/>
      <c r="AK81" s="431"/>
      <c r="AL81" s="431"/>
      <c r="AM81" s="431"/>
      <c r="AN81" s="431"/>
      <c r="AO81" s="431"/>
      <c r="AP81" s="431"/>
      <c r="AQ81" s="431"/>
      <c r="AR81" s="431"/>
      <c r="AS81" s="431"/>
      <c r="AT81" s="431"/>
      <c r="AU81" s="431"/>
      <c r="AV81" s="431"/>
      <c r="AW81" s="431"/>
      <c r="AX81" s="431"/>
      <c r="AY81" s="431"/>
      <c r="AZ81" s="431"/>
      <c r="BA81" s="431"/>
      <c r="BB81" s="431"/>
      <c r="BC81" s="431"/>
      <c r="BD81" s="431"/>
      <c r="BE81" s="430"/>
    </row>
    <row r="82" customFormat="false" ht="12.75" hidden="true" customHeight="true" outlineLevel="0" collapsed="false">
      <c r="D82" s="438"/>
      <c r="E82" s="439" t="n">
        <f aca="false" t="array" ref="E82:E82">IF($R80=2,
         IF(AND(ACOMPANHAMENTO="PLE",ISNUMBER($F80)),
                SUMIF((OFFSET(CÁLCULO!$BS$15:$CS$15,$F80,0,OFFSET(ORÇAMENTO!$D$15,CRONO!$F80,0))),CRONO!E$12,OFFSET(CÁLCULO!$AR$15:$BR$15,$F80,0,OFFSET(ORÇAMENTO!$D$15,CRONO!$F80,0)))
                +IF(AND($F82&lt;&gt;"",$F82&lt;&gt;0),
                        SUMIF(CÁLCULO!$BS$15:$CS$205,CRONO!E$12,CÁLCULO!$AR$15:$BR$205)/(ORÇAMENTO!$X$15-_xlfn.single(CÁLCULO.TotalAdmLocal))*CRONO!$F82,
                        0),
                 E81*$S80),
          SUMIF(OFFSET($S82,1,0,$R80-2),($M80+1)&amp;"$",OFFSET(E82,1,0,$R80-2)))</f>
        <v>0</v>
      </c>
      <c r="F82" s="419" t="str">
        <f aca="true">IF(OR($R80&lt;&gt;2,AUTOEVENTO&lt;&gt;"manual",$F81&gt;0),"",
        IF(Import.TipoArredondamento="Tradicional",
              SUMIF(OFFSET(CÁLCULO!$M$15,CRONO!$F80,0,OFFSET(ORÇAMENTO!$D$15,CRONO!$F80,0)),1,OFFSET(ORÇAMENTO!$X$15,CRONO!$F80,0,OFFSET(ORÇAMENTO!$D$15,CRONO!$F80,0))),
              0))</f>
        <v/>
      </c>
      <c r="H82" s="440"/>
      <c r="S82" s="441" t="str">
        <f aca="false">M80&amp;"$"</f>
        <v>2$</v>
      </c>
      <c r="T82" s="442"/>
      <c r="U82" s="439" t="n">
        <f aca="false" t="array" ref="U82:U82">IF($R80=2,
         IF(AND(ACOMPANHAMENTO="PLE",ISNUMBER($F80)),
                SUMIF((OFFSET(CÁLCULO!$BS$15:$CS$15,$F80,0,OFFSET(ORÇAMENTO!$D$15,CRONO!$F80,0))),CRONO!U$12,OFFSET(CÁLCULO!$AR$15:$BR$15,$F80,0,OFFSET(ORÇAMENTO!$D$15,CRONO!$F80,0)))
                +IF(AND($F82&lt;&gt;"",$F82&lt;&gt;0),
                        SUMIF(CÁLCULO!$BS$15:$CS$205,CRONO!U$12,CÁLCULO!$AR$15:$BR$205)/(ORÇAMENTO!$X$15-_xlfn.single(CÁLCULO.TotalAdmLocal))*CRONO!$F82,
                        0),
                 U81*$S80),
          SUMIF(OFFSET($S82,1,0,$R80-2),($M80+1)&amp;"$",OFFSET(U82,1,0,$R80-2)))</f>
        <v>0</v>
      </c>
      <c r="V82" s="439" t="n">
        <f aca="false" t="array" ref="V82:V82">IF($R80=2,
         IF(AND(ACOMPANHAMENTO="PLE",ISNUMBER($F80)),
                SUMIF((OFFSET(CÁLCULO!$BS$15:$CS$15,$F80,0,OFFSET(ORÇAMENTO!$D$15,CRONO!$F80,0))),CRONO!V$12,OFFSET(CÁLCULO!$AR$15:$BR$15,$F80,0,OFFSET(ORÇAMENTO!$D$15,CRONO!$F80,0)))
                +IF(AND($F82&lt;&gt;"",$F82&lt;&gt;0),
                        SUMIF(CÁLCULO!$BS$15:$CS$205,CRONO!V$12,CÁLCULO!$AR$15:$BR$205)/(ORÇAMENTO!$X$15-_xlfn.single(CÁLCULO.TotalAdmLocal))*CRONO!$F82,
                        0),
                 V81*$S80),
          SUMIF(OFFSET($S82,1,0,$R80-2),($M80+1)&amp;"$",OFFSET(V82,1,0,$R80-2)))</f>
        <v>0</v>
      </c>
      <c r="W82" s="439" t="n">
        <f aca="false" t="array" ref="W82:W82">IF($R80=2,
         IF(AND(ACOMPANHAMENTO="PLE",ISNUMBER($F80)),
                SUMIF((OFFSET(CÁLCULO!$BS$15:$CS$15,$F80,0,OFFSET(ORÇAMENTO!$D$15,CRONO!$F80,0))),CRONO!W$12,OFFSET(CÁLCULO!$AR$15:$BR$15,$F80,0,OFFSET(ORÇAMENTO!$D$15,CRONO!$F80,0)))
                +IF(AND($F82&lt;&gt;"",$F82&lt;&gt;0),
                        SUMIF(CÁLCULO!$BS$15:$CS$205,CRONO!W$12,CÁLCULO!$AR$15:$BR$205)/(ORÇAMENTO!$X$15-_xlfn.single(CÁLCULO.TotalAdmLocal))*CRONO!$F82,
                        0),
                 W81*$S80),
          SUMIF(OFFSET($S82,1,0,$R80-2),($M80+1)&amp;"$",OFFSET(W82,1,0,$R80-2)))</f>
        <v>0</v>
      </c>
      <c r="X82" s="439" t="n">
        <f aca="false" t="array" ref="X82:X82">IF($R80=2,
         IF(AND(ACOMPANHAMENTO="PLE",ISNUMBER($F80)),
                SUMIF((OFFSET(CÁLCULO!$BS$15:$CS$15,$F80,0,OFFSET(ORÇAMENTO!$D$15,CRONO!$F80,0))),CRONO!X$12,OFFSET(CÁLCULO!$AR$15:$BR$15,$F80,0,OFFSET(ORÇAMENTO!$D$15,CRONO!$F80,0)))
                +IF(AND($F82&lt;&gt;"",$F82&lt;&gt;0),
                        SUMIF(CÁLCULO!$BS$15:$CS$205,CRONO!X$12,CÁLCULO!$AR$15:$BR$205)/(ORÇAMENTO!$X$15-_xlfn.single(CÁLCULO.TotalAdmLocal))*CRONO!$F82,
                        0),
                 X81*$S80),
          SUMIF(OFFSET($S82,1,0,$R80-2),($M80+1)&amp;"$",OFFSET(X82,1,0,$R80-2)))</f>
        <v>0</v>
      </c>
      <c r="Y82" s="439" t="n">
        <f aca="false" t="array" ref="Y82:Y82">IF($R80=2,
         IF(AND(ACOMPANHAMENTO="PLE",ISNUMBER($F80)),
                SUMIF((OFFSET(CÁLCULO!$BS$15:$CS$15,$F80,0,OFFSET(ORÇAMENTO!$D$15,CRONO!$F80,0))),CRONO!Y$12,OFFSET(CÁLCULO!$AR$15:$BR$15,$F80,0,OFFSET(ORÇAMENTO!$D$15,CRONO!$F80,0)))
                +IF(AND($F82&lt;&gt;"",$F82&lt;&gt;0),
                        SUMIF(CÁLCULO!$BS$15:$CS$205,CRONO!Y$12,CÁLCULO!$AR$15:$BR$205)/(ORÇAMENTO!$X$15-_xlfn.single(CÁLCULO.TotalAdmLocal))*CRONO!$F82,
                        0),
                 Y81*$S80),
          SUMIF(OFFSET($S82,1,0,$R80-2),($M80+1)&amp;"$",OFFSET(Y82,1,0,$R80-2)))</f>
        <v>0</v>
      </c>
      <c r="Z82" s="439" t="n">
        <f aca="false" t="array" ref="Z82:Z82">IF($R80=2,
         IF(AND(ACOMPANHAMENTO="PLE",ISNUMBER($F80)),
                SUMIF((OFFSET(CÁLCULO!$BS$15:$CS$15,$F80,0,OFFSET(ORÇAMENTO!$D$15,CRONO!$F80,0))),CRONO!Z$12,OFFSET(CÁLCULO!$AR$15:$BR$15,$F80,0,OFFSET(ORÇAMENTO!$D$15,CRONO!$F80,0)))
                +IF(AND($F82&lt;&gt;"",$F82&lt;&gt;0),
                        SUMIF(CÁLCULO!$BS$15:$CS$205,CRONO!Z$12,CÁLCULO!$AR$15:$BR$205)/(ORÇAMENTO!$X$15-_xlfn.single(CÁLCULO.TotalAdmLocal))*CRONO!$F82,
                        0),
                 Z81*$S80),
          SUMIF(OFFSET($S82,1,0,$R80-2),($M80+1)&amp;"$",OFFSET(Z82,1,0,$R80-2)))</f>
        <v>0</v>
      </c>
      <c r="AA82" s="439" t="n">
        <f aca="false" t="array" ref="AA82:AA82">IF($R80=2,
         IF(AND(ACOMPANHAMENTO="PLE",ISNUMBER($F80)),
                SUMIF((OFFSET(CÁLCULO!$BS$15:$CS$15,$F80,0,OFFSET(ORÇAMENTO!$D$15,CRONO!$F80,0))),CRONO!AA$12,OFFSET(CÁLCULO!$AR$15:$BR$15,$F80,0,OFFSET(ORÇAMENTO!$D$15,CRONO!$F80,0)))
                +IF(AND($F82&lt;&gt;"",$F82&lt;&gt;0),
                        SUMIF(CÁLCULO!$BS$15:$CS$205,CRONO!AA$12,CÁLCULO!$AR$15:$BR$205)/(ORÇAMENTO!$X$15-_xlfn.single(CÁLCULO.TotalAdmLocal))*CRONO!$F82,
                        0),
                 AA81*$S80),
          SUMIF(OFFSET($S82,1,0,$R80-2),($M80+1)&amp;"$",OFFSET(AA82,1,0,$R80-2)))</f>
        <v>0</v>
      </c>
      <c r="AB82" s="439" t="n">
        <f aca="false" t="array" ref="AB82:AB82">IF($R80=2,
         IF(AND(ACOMPANHAMENTO="PLE",ISNUMBER($F80)),
                SUMIF((OFFSET(CÁLCULO!$BS$15:$CS$15,$F80,0,OFFSET(ORÇAMENTO!$D$15,CRONO!$F80,0))),CRONO!AB$12,OFFSET(CÁLCULO!$AR$15:$BR$15,$F80,0,OFFSET(ORÇAMENTO!$D$15,CRONO!$F80,0)))
                +IF(AND($F82&lt;&gt;"",$F82&lt;&gt;0),
                        SUMIF(CÁLCULO!$BS$15:$CS$205,CRONO!AB$12,CÁLCULO!$AR$15:$BR$205)/(ORÇAMENTO!$X$15-_xlfn.single(CÁLCULO.TotalAdmLocal))*CRONO!$F82,
                        0),
                 AB81*$S80),
          SUMIF(OFFSET($S82,1,0,$R80-2),($M80+1)&amp;"$",OFFSET(AB82,1,0,$R80-2)))</f>
        <v>0</v>
      </c>
      <c r="AC82" s="439" t="n">
        <f aca="false" t="array" ref="AC82:AC82">IF($R80=2,
         IF(AND(ACOMPANHAMENTO="PLE",ISNUMBER($F80)),
                SUMIF((OFFSET(CÁLCULO!$BS$15:$CS$15,$F80,0,OFFSET(ORÇAMENTO!$D$15,CRONO!$F80,0))),CRONO!AC$12,OFFSET(CÁLCULO!$AR$15:$BR$15,$F80,0,OFFSET(ORÇAMENTO!$D$15,CRONO!$F80,0)))
                +IF(AND($F82&lt;&gt;"",$F82&lt;&gt;0),
                        SUMIF(CÁLCULO!$BS$15:$CS$205,CRONO!AC$12,CÁLCULO!$AR$15:$BR$205)/(ORÇAMENTO!$X$15-_xlfn.single(CÁLCULO.TotalAdmLocal))*CRONO!$F82,
                        0),
                 AC81*$S80),
          SUMIF(OFFSET($S82,1,0,$R80-2),($M80+1)&amp;"$",OFFSET(AC82,1,0,$R80-2)))</f>
        <v>0</v>
      </c>
      <c r="AD82" s="439" t="n">
        <f aca="false" t="array" ref="AD82:AD82">IF($R80=2,
         IF(AND(ACOMPANHAMENTO="PLE",ISNUMBER($F80)),
                SUMIF((OFFSET(CÁLCULO!$BS$15:$CS$15,$F80,0,OFFSET(ORÇAMENTO!$D$15,CRONO!$F80,0))),CRONO!AD$12,OFFSET(CÁLCULO!$AR$15:$BR$15,$F80,0,OFFSET(ORÇAMENTO!$D$15,CRONO!$F80,0)))
                +IF(AND($F82&lt;&gt;"",$F82&lt;&gt;0),
                        SUMIF(CÁLCULO!$BS$15:$CS$205,CRONO!AD$12,CÁLCULO!$AR$15:$BR$205)/(ORÇAMENTO!$X$15-_xlfn.single(CÁLCULO.TotalAdmLocal))*CRONO!$F82,
                        0),
                 AD81*$S80),
          SUMIF(OFFSET($S82,1,0,$R80-2),($M80+1)&amp;"$",OFFSET(AD82,1,0,$R80-2)))</f>
        <v>0</v>
      </c>
      <c r="AE82" s="439" t="n">
        <f aca="false" t="array" ref="AE82:AE82">IF($R80=2,
         IF(AND(ACOMPANHAMENTO="PLE",ISNUMBER($F80)),
                SUMIF((OFFSET(CÁLCULO!$BS$15:$CS$15,$F80,0,OFFSET(ORÇAMENTO!$D$15,CRONO!$F80,0))),CRONO!AE$12,OFFSET(CÁLCULO!$AR$15:$BR$15,$F80,0,OFFSET(ORÇAMENTO!$D$15,CRONO!$F80,0)))
                +IF(AND($F82&lt;&gt;"",$F82&lt;&gt;0),
                        SUMIF(CÁLCULO!$BS$15:$CS$205,CRONO!AE$12,CÁLCULO!$AR$15:$BR$205)/(ORÇAMENTO!$X$15-_xlfn.single(CÁLCULO.TotalAdmLocal))*CRONO!$F82,
                        0),
                 AE81*$S80),
          SUMIF(OFFSET($S82,1,0,$R80-2),($M80+1)&amp;"$",OFFSET(AE82,1,0,$R80-2)))</f>
        <v>0</v>
      </c>
      <c r="AF82" s="439" t="n">
        <f aca="false" t="array" ref="AF82:AF82">IF($R80=2,
         IF(AND(ACOMPANHAMENTO="PLE",ISNUMBER($F80)),
                SUMIF((OFFSET(CÁLCULO!$BS$15:$CS$15,$F80,0,OFFSET(ORÇAMENTO!$D$15,CRONO!$F80,0))),CRONO!AF$12,OFFSET(CÁLCULO!$AR$15:$BR$15,$F80,0,OFFSET(ORÇAMENTO!$D$15,CRONO!$F80,0)))
                +IF(AND($F82&lt;&gt;"",$F82&lt;&gt;0),
                        SUMIF(CÁLCULO!$BS$15:$CS$205,CRONO!AF$12,CÁLCULO!$AR$15:$BR$205)/(ORÇAMENTO!$X$15-_xlfn.single(CÁLCULO.TotalAdmLocal))*CRONO!$F82,
                        0),
                 AF81*$S80),
          SUMIF(OFFSET($S82,1,0,$R80-2),($M80+1)&amp;"$",OFFSET(AF82,1,0,$R80-2)))</f>
        <v>0</v>
      </c>
      <c r="AG82" s="439" t="n">
        <f aca="false" t="array" ref="AG82:AG82">IF($R80=2,
         IF(AND(ACOMPANHAMENTO="PLE",ISNUMBER($F80)),
                SUMIF((OFFSET(CÁLCULO!$BS$15:$CS$15,$F80,0,OFFSET(ORÇAMENTO!$D$15,CRONO!$F80,0))),CRONO!AG$12,OFFSET(CÁLCULO!$AR$15:$BR$15,$F80,0,OFFSET(ORÇAMENTO!$D$15,CRONO!$F80,0)))
                +IF(AND($F82&lt;&gt;"",$F82&lt;&gt;0),
                        SUMIF(CÁLCULO!$BS$15:$CS$205,CRONO!AG$12,CÁLCULO!$AR$15:$BR$205)/(ORÇAMENTO!$X$15-_xlfn.single(CÁLCULO.TotalAdmLocal))*CRONO!$F82,
                        0),
                 AG81*$S80),
          SUMIF(OFFSET($S82,1,0,$R80-2),($M80+1)&amp;"$",OFFSET(AG82,1,0,$R80-2)))</f>
        <v>0</v>
      </c>
      <c r="AH82" s="439" t="n">
        <f aca="false" t="array" ref="AH82:AH82">IF($R80=2,
         IF(AND(ACOMPANHAMENTO="PLE",ISNUMBER($F80)),
                SUMIF((OFFSET(CÁLCULO!$BS$15:$CS$15,$F80,0,OFFSET(ORÇAMENTO!$D$15,CRONO!$F80,0))),CRONO!AH$12,OFFSET(CÁLCULO!$AR$15:$BR$15,$F80,0,OFFSET(ORÇAMENTO!$D$15,CRONO!$F80,0)))
                +IF(AND($F82&lt;&gt;"",$F82&lt;&gt;0),
                        SUMIF(CÁLCULO!$BS$15:$CS$205,CRONO!AH$12,CÁLCULO!$AR$15:$BR$205)/(ORÇAMENTO!$X$15-_xlfn.single(CÁLCULO.TotalAdmLocal))*CRONO!$F82,
                        0),
                 AH81*$S80),
          SUMIF(OFFSET($S82,1,0,$R80-2),($M80+1)&amp;"$",OFFSET(AH82,1,0,$R80-2)))</f>
        <v>0</v>
      </c>
      <c r="AI82" s="439" t="n">
        <f aca="false" t="array" ref="AI82:AI82">IF($R80=2,
         IF(AND(ACOMPANHAMENTO="PLE",ISNUMBER($F80)),
                SUMIF((OFFSET(CÁLCULO!$BS$15:$CS$15,$F80,0,OFFSET(ORÇAMENTO!$D$15,CRONO!$F80,0))),CRONO!AI$12,OFFSET(CÁLCULO!$AR$15:$BR$15,$F80,0,OFFSET(ORÇAMENTO!$D$15,CRONO!$F80,0)))
                +IF(AND($F82&lt;&gt;"",$F82&lt;&gt;0),
                        SUMIF(CÁLCULO!$BS$15:$CS$205,CRONO!AI$12,CÁLCULO!$AR$15:$BR$205)/(ORÇAMENTO!$X$15-_xlfn.single(CÁLCULO.TotalAdmLocal))*CRONO!$F82,
                        0),
                 AI81*$S80),
          SUMIF(OFFSET($S82,1,0,$R80-2),($M80+1)&amp;"$",OFFSET(AI82,1,0,$R80-2)))</f>
        <v>0</v>
      </c>
      <c r="AJ82" s="439" t="n">
        <f aca="false" t="array" ref="AJ82:AJ82">IF($R80=2,
         IF(AND(ACOMPANHAMENTO="PLE",ISNUMBER($F80)),
                SUMIF((OFFSET(CÁLCULO!$BS$15:$CS$15,$F80,0,OFFSET(ORÇAMENTO!$D$15,CRONO!$F80,0))),CRONO!AJ$12,OFFSET(CÁLCULO!$AR$15:$BR$15,$F80,0,OFFSET(ORÇAMENTO!$D$15,CRONO!$F80,0)))
                +IF(AND($F82&lt;&gt;"",$F82&lt;&gt;0),
                        SUMIF(CÁLCULO!$BS$15:$CS$205,CRONO!AJ$12,CÁLCULO!$AR$15:$BR$205)/(ORÇAMENTO!$X$15-_xlfn.single(CÁLCULO.TotalAdmLocal))*CRONO!$F82,
                        0),
                 AJ81*$S80),
          SUMIF(OFFSET($S82,1,0,$R80-2),($M80+1)&amp;"$",OFFSET(AJ82,1,0,$R80-2)))</f>
        <v>0</v>
      </c>
      <c r="AK82" s="439" t="n">
        <f aca="false" t="array" ref="AK82:AK82">IF($R80=2,
         IF(AND(ACOMPANHAMENTO="PLE",ISNUMBER($F80)),
                SUMIF((OFFSET(CÁLCULO!$BS$15:$CS$15,$F80,0,OFFSET(ORÇAMENTO!$D$15,CRONO!$F80,0))),CRONO!AK$12,OFFSET(CÁLCULO!$AR$15:$BR$15,$F80,0,OFFSET(ORÇAMENTO!$D$15,CRONO!$F80,0)))
                +IF(AND($F82&lt;&gt;"",$F82&lt;&gt;0),
                        SUMIF(CÁLCULO!$BS$15:$CS$205,CRONO!AK$12,CÁLCULO!$AR$15:$BR$205)/(ORÇAMENTO!$X$15-_xlfn.single(CÁLCULO.TotalAdmLocal))*CRONO!$F82,
                        0),
                 AK81*$S80),
          SUMIF(OFFSET($S82,1,0,$R80-2),($M80+1)&amp;"$",OFFSET(AK82,1,0,$R80-2)))</f>
        <v>0</v>
      </c>
      <c r="AL82" s="439" t="n">
        <f aca="false" t="array" ref="AL82:AL82">IF($R80=2,
         IF(AND(ACOMPANHAMENTO="PLE",ISNUMBER($F80)),
                SUMIF((OFFSET(CÁLCULO!$BS$15:$CS$15,$F80,0,OFFSET(ORÇAMENTO!$D$15,CRONO!$F80,0))),CRONO!AL$12,OFFSET(CÁLCULO!$AR$15:$BR$15,$F80,0,OFFSET(ORÇAMENTO!$D$15,CRONO!$F80,0)))
                +IF(AND($F82&lt;&gt;"",$F82&lt;&gt;0),
                        SUMIF(CÁLCULO!$BS$15:$CS$205,CRONO!AL$12,CÁLCULO!$AR$15:$BR$205)/(ORÇAMENTO!$X$15-_xlfn.single(CÁLCULO.TotalAdmLocal))*CRONO!$F82,
                        0),
                 AL81*$S80),
          SUMIF(OFFSET($S82,1,0,$R80-2),($M80+1)&amp;"$",OFFSET(AL82,1,0,$R80-2)))</f>
        <v>0</v>
      </c>
      <c r="AM82" s="439" t="n">
        <f aca="false" t="array" ref="AM82:AM82">IF($R80=2,
         IF(AND(ACOMPANHAMENTO="PLE",ISNUMBER($F80)),
                SUMIF((OFFSET(CÁLCULO!$BS$15:$CS$15,$F80,0,OFFSET(ORÇAMENTO!$D$15,CRONO!$F80,0))),CRONO!AM$12,OFFSET(CÁLCULO!$AR$15:$BR$15,$F80,0,OFFSET(ORÇAMENTO!$D$15,CRONO!$F80,0)))
                +IF(AND($F82&lt;&gt;"",$F82&lt;&gt;0),
                        SUMIF(CÁLCULO!$BS$15:$CS$205,CRONO!AM$12,CÁLCULO!$AR$15:$BR$205)/(ORÇAMENTO!$X$15-_xlfn.single(CÁLCULO.TotalAdmLocal))*CRONO!$F82,
                        0),
                 AM81*$S80),
          SUMIF(OFFSET($S82,1,0,$R80-2),($M80+1)&amp;"$",OFFSET(AM82,1,0,$R80-2)))</f>
        <v>0</v>
      </c>
      <c r="AN82" s="439" t="n">
        <f aca="false" t="array" ref="AN82:AN82">IF($R80=2,
         IF(AND(ACOMPANHAMENTO="PLE",ISNUMBER($F80)),
                SUMIF((OFFSET(CÁLCULO!$BS$15:$CS$15,$F80,0,OFFSET(ORÇAMENTO!$D$15,CRONO!$F80,0))),CRONO!AN$12,OFFSET(CÁLCULO!$AR$15:$BR$15,$F80,0,OFFSET(ORÇAMENTO!$D$15,CRONO!$F80,0)))
                +IF(AND($F82&lt;&gt;"",$F82&lt;&gt;0),
                        SUMIF(CÁLCULO!$BS$15:$CS$205,CRONO!AN$12,CÁLCULO!$AR$15:$BR$205)/(ORÇAMENTO!$X$15-_xlfn.single(CÁLCULO.TotalAdmLocal))*CRONO!$F82,
                        0),
                 AN81*$S80),
          SUMIF(OFFSET($S82,1,0,$R80-2),($M80+1)&amp;"$",OFFSET(AN82,1,0,$R80-2)))</f>
        <v>0</v>
      </c>
      <c r="AO82" s="439" t="n">
        <f aca="false" t="array" ref="AO82:AO82">IF($R80=2,
         IF(AND(ACOMPANHAMENTO="PLE",ISNUMBER($F80)),
                SUMIF((OFFSET(CÁLCULO!$BS$15:$CS$15,$F80,0,OFFSET(ORÇAMENTO!$D$15,CRONO!$F80,0))),CRONO!AO$12,OFFSET(CÁLCULO!$AR$15:$BR$15,$F80,0,OFFSET(ORÇAMENTO!$D$15,CRONO!$F80,0)))
                +IF(AND($F82&lt;&gt;"",$F82&lt;&gt;0),
                        SUMIF(CÁLCULO!$BS$15:$CS$205,CRONO!AO$12,CÁLCULO!$AR$15:$BR$205)/(ORÇAMENTO!$X$15-_xlfn.single(CÁLCULO.TotalAdmLocal))*CRONO!$F82,
                        0),
                 AO81*$S80),
          SUMIF(OFFSET($S82,1,0,$R80-2),($M80+1)&amp;"$",OFFSET(AO82,1,0,$R80-2)))</f>
        <v>0</v>
      </c>
      <c r="AP82" s="439" t="n">
        <f aca="false" t="array" ref="AP82:AP82">IF($R80=2,
         IF(AND(ACOMPANHAMENTO="PLE",ISNUMBER($F80)),
                SUMIF((OFFSET(CÁLCULO!$BS$15:$CS$15,$F80,0,OFFSET(ORÇAMENTO!$D$15,CRONO!$F80,0))),CRONO!AP$12,OFFSET(CÁLCULO!$AR$15:$BR$15,$F80,0,OFFSET(ORÇAMENTO!$D$15,CRONO!$F80,0)))
                +IF(AND($F82&lt;&gt;"",$F82&lt;&gt;0),
                        SUMIF(CÁLCULO!$BS$15:$CS$205,CRONO!AP$12,CÁLCULO!$AR$15:$BR$205)/(ORÇAMENTO!$X$15-_xlfn.single(CÁLCULO.TotalAdmLocal))*CRONO!$F82,
                        0),
                 AP81*$S80),
          SUMIF(OFFSET($S82,1,0,$R80-2),($M80+1)&amp;"$",OFFSET(AP82,1,0,$R80-2)))</f>
        <v>0</v>
      </c>
      <c r="AQ82" s="439" t="n">
        <f aca="false" t="array" ref="AQ82:AQ82">IF($R80=2,
         IF(AND(ACOMPANHAMENTO="PLE",ISNUMBER($F80)),
                SUMIF((OFFSET(CÁLCULO!$BS$15:$CS$15,$F80,0,OFFSET(ORÇAMENTO!$D$15,CRONO!$F80,0))),CRONO!AQ$12,OFFSET(CÁLCULO!$AR$15:$BR$15,$F80,0,OFFSET(ORÇAMENTO!$D$15,CRONO!$F80,0)))
                +IF(AND($F82&lt;&gt;"",$F82&lt;&gt;0),
                        SUMIF(CÁLCULO!$BS$15:$CS$205,CRONO!AQ$12,CÁLCULO!$AR$15:$BR$205)/(ORÇAMENTO!$X$15-_xlfn.single(CÁLCULO.TotalAdmLocal))*CRONO!$F82,
                        0),
                 AQ81*$S80),
          SUMIF(OFFSET($S82,1,0,$R80-2),($M80+1)&amp;"$",OFFSET(AQ82,1,0,$R80-2)))</f>
        <v>0</v>
      </c>
      <c r="AR82" s="439" t="n">
        <f aca="false" t="array" ref="AR82:AR82">IF($R80=2,
         IF(AND(ACOMPANHAMENTO="PLE",ISNUMBER($F80)),
                SUMIF((OFFSET(CÁLCULO!$BS$15:$CS$15,$F80,0,OFFSET(ORÇAMENTO!$D$15,CRONO!$F80,0))),CRONO!AR$12,OFFSET(CÁLCULO!$AR$15:$BR$15,$F80,0,OFFSET(ORÇAMENTO!$D$15,CRONO!$F80,0)))
                +IF(AND($F82&lt;&gt;"",$F82&lt;&gt;0),
                        SUMIF(CÁLCULO!$BS$15:$CS$205,CRONO!AR$12,CÁLCULO!$AR$15:$BR$205)/(ORÇAMENTO!$X$15-_xlfn.single(CÁLCULO.TotalAdmLocal))*CRONO!$F82,
                        0),
                 AR81*$S80),
          SUMIF(OFFSET($S82,1,0,$R80-2),($M80+1)&amp;"$",OFFSET(AR82,1,0,$R80-2)))</f>
        <v>0</v>
      </c>
      <c r="AS82" s="439" t="n">
        <f aca="false" t="array" ref="AS82:AS82">IF($R80=2,
         IF(AND(ACOMPANHAMENTO="PLE",ISNUMBER($F80)),
                SUMIF((OFFSET(CÁLCULO!$BS$15:$CS$15,$F80,0,OFFSET(ORÇAMENTO!$D$15,CRONO!$F80,0))),CRONO!AS$12,OFFSET(CÁLCULO!$AR$15:$BR$15,$F80,0,OFFSET(ORÇAMENTO!$D$15,CRONO!$F80,0)))
                +IF(AND($F82&lt;&gt;"",$F82&lt;&gt;0),
                        SUMIF(CÁLCULO!$BS$15:$CS$205,CRONO!AS$12,CÁLCULO!$AR$15:$BR$205)/(ORÇAMENTO!$X$15-_xlfn.single(CÁLCULO.TotalAdmLocal))*CRONO!$F82,
                        0),
                 AS81*$S80),
          SUMIF(OFFSET($S82,1,0,$R80-2),($M80+1)&amp;"$",OFFSET(AS82,1,0,$R80-2)))</f>
        <v>0</v>
      </c>
      <c r="AT82" s="439" t="n">
        <f aca="false" t="array" ref="AT82:AT82">IF($R80=2,
         IF(AND(ACOMPANHAMENTO="PLE",ISNUMBER($F80)),
                SUMIF((OFFSET(CÁLCULO!$BS$15:$CS$15,$F80,0,OFFSET(ORÇAMENTO!$D$15,CRONO!$F80,0))),CRONO!AT$12,OFFSET(CÁLCULO!$AR$15:$BR$15,$F80,0,OFFSET(ORÇAMENTO!$D$15,CRONO!$F80,0)))
                +IF(AND($F82&lt;&gt;"",$F82&lt;&gt;0),
                        SUMIF(CÁLCULO!$BS$15:$CS$205,CRONO!AT$12,CÁLCULO!$AR$15:$BR$205)/(ORÇAMENTO!$X$15-_xlfn.single(CÁLCULO.TotalAdmLocal))*CRONO!$F82,
                        0),
                 AT81*$S80),
          SUMIF(OFFSET($S82,1,0,$R80-2),($M80+1)&amp;"$",OFFSET(AT82,1,0,$R80-2)))</f>
        <v>0</v>
      </c>
      <c r="AU82" s="439" t="n">
        <f aca="false" t="array" ref="AU82:AU82">IF($R80=2,
         IF(AND(ACOMPANHAMENTO="PLE",ISNUMBER($F80)),
                SUMIF((OFFSET(CÁLCULO!$BS$15:$CS$15,$F80,0,OFFSET(ORÇAMENTO!$D$15,CRONO!$F80,0))),CRONO!AU$12,OFFSET(CÁLCULO!$AR$15:$BR$15,$F80,0,OFFSET(ORÇAMENTO!$D$15,CRONO!$F80,0)))
                +IF(AND($F82&lt;&gt;"",$F82&lt;&gt;0),
                        SUMIF(CÁLCULO!$BS$15:$CS$205,CRONO!AU$12,CÁLCULO!$AR$15:$BR$205)/(ORÇAMENTO!$X$15-_xlfn.single(CÁLCULO.TotalAdmLocal))*CRONO!$F82,
                        0),
                 AU81*$S80),
          SUMIF(OFFSET($S82,1,0,$R80-2),($M80+1)&amp;"$",OFFSET(AU82,1,0,$R80-2)))</f>
        <v>0</v>
      </c>
      <c r="AV82" s="439" t="n">
        <f aca="false" t="array" ref="AV82:AV82">IF($R80=2,
         IF(AND(ACOMPANHAMENTO="PLE",ISNUMBER($F80)),
                SUMIF((OFFSET(CÁLCULO!$BS$15:$CS$15,$F80,0,OFFSET(ORÇAMENTO!$D$15,CRONO!$F80,0))),CRONO!AV$12,OFFSET(CÁLCULO!$AR$15:$BR$15,$F80,0,OFFSET(ORÇAMENTO!$D$15,CRONO!$F80,0)))
                +IF(AND($F82&lt;&gt;"",$F82&lt;&gt;0),
                        SUMIF(CÁLCULO!$BS$15:$CS$205,CRONO!AV$12,CÁLCULO!$AR$15:$BR$205)/(ORÇAMENTO!$X$15-_xlfn.single(CÁLCULO.TotalAdmLocal))*CRONO!$F82,
                        0),
                 AV81*$S80),
          SUMIF(OFFSET($S82,1,0,$R80-2),($M80+1)&amp;"$",OFFSET(AV82,1,0,$R80-2)))</f>
        <v>0</v>
      </c>
      <c r="AW82" s="439" t="n">
        <f aca="false" t="array" ref="AW82:AW82">IF($R80=2,
         IF(AND(ACOMPANHAMENTO="PLE",ISNUMBER($F80)),
                SUMIF((OFFSET(CÁLCULO!$BS$15:$CS$15,$F80,0,OFFSET(ORÇAMENTO!$D$15,CRONO!$F80,0))),CRONO!AW$12,OFFSET(CÁLCULO!$AR$15:$BR$15,$F80,0,OFFSET(ORÇAMENTO!$D$15,CRONO!$F80,0)))
                +IF(AND($F82&lt;&gt;"",$F82&lt;&gt;0),
                        SUMIF(CÁLCULO!$BS$15:$CS$205,CRONO!AW$12,CÁLCULO!$AR$15:$BR$205)/(ORÇAMENTO!$X$15-_xlfn.single(CÁLCULO.TotalAdmLocal))*CRONO!$F82,
                        0),
                 AW81*$S80),
          SUMIF(OFFSET($S82,1,0,$R80-2),($M80+1)&amp;"$",OFFSET(AW82,1,0,$R80-2)))</f>
        <v>0</v>
      </c>
      <c r="AX82" s="439" t="n">
        <f aca="false" t="array" ref="AX82:AX82">IF($R80=2,
         IF(AND(ACOMPANHAMENTO="PLE",ISNUMBER($F80)),
                SUMIF((OFFSET(CÁLCULO!$BS$15:$CS$15,$F80,0,OFFSET(ORÇAMENTO!$D$15,CRONO!$F80,0))),CRONO!AX$12,OFFSET(CÁLCULO!$AR$15:$BR$15,$F80,0,OFFSET(ORÇAMENTO!$D$15,CRONO!$F80,0)))
                +IF(AND($F82&lt;&gt;"",$F82&lt;&gt;0),
                        SUMIF(CÁLCULO!$BS$15:$CS$205,CRONO!AX$12,CÁLCULO!$AR$15:$BR$205)/(ORÇAMENTO!$X$15-_xlfn.single(CÁLCULO.TotalAdmLocal))*CRONO!$F82,
                        0),
                 AX81*$S80),
          SUMIF(OFFSET($S82,1,0,$R80-2),($M80+1)&amp;"$",OFFSET(AX82,1,0,$R80-2)))</f>
        <v>0</v>
      </c>
      <c r="AY82" s="439" t="n">
        <f aca="false" t="array" ref="AY82:AY82">IF($R80=2,
         IF(AND(ACOMPANHAMENTO="PLE",ISNUMBER($F80)),
                SUMIF((OFFSET(CÁLCULO!$BS$15:$CS$15,$F80,0,OFFSET(ORÇAMENTO!$D$15,CRONO!$F80,0))),CRONO!AY$12,OFFSET(CÁLCULO!$AR$15:$BR$15,$F80,0,OFFSET(ORÇAMENTO!$D$15,CRONO!$F80,0)))
                +IF(AND($F82&lt;&gt;"",$F82&lt;&gt;0),
                        SUMIF(CÁLCULO!$BS$15:$CS$205,CRONO!AY$12,CÁLCULO!$AR$15:$BR$205)/(ORÇAMENTO!$X$15-_xlfn.single(CÁLCULO.TotalAdmLocal))*CRONO!$F82,
                        0),
                 AY81*$S80),
          SUMIF(OFFSET($S82,1,0,$R80-2),($M80+1)&amp;"$",OFFSET(AY82,1,0,$R80-2)))</f>
        <v>0</v>
      </c>
      <c r="AZ82" s="439" t="n">
        <f aca="false" t="array" ref="AZ82:AZ82">IF($R80=2,
         IF(AND(ACOMPANHAMENTO="PLE",ISNUMBER($F80)),
                SUMIF((OFFSET(CÁLCULO!$BS$15:$CS$15,$F80,0,OFFSET(ORÇAMENTO!$D$15,CRONO!$F80,0))),CRONO!AZ$12,OFFSET(CÁLCULO!$AR$15:$BR$15,$F80,0,OFFSET(ORÇAMENTO!$D$15,CRONO!$F80,0)))
                +IF(AND($F82&lt;&gt;"",$F82&lt;&gt;0),
                        SUMIF(CÁLCULO!$BS$15:$CS$205,CRONO!AZ$12,CÁLCULO!$AR$15:$BR$205)/(ORÇAMENTO!$X$15-_xlfn.single(CÁLCULO.TotalAdmLocal))*CRONO!$F82,
                        0),
                 AZ81*$S80),
          SUMIF(OFFSET($S82,1,0,$R80-2),($M80+1)&amp;"$",OFFSET(AZ82,1,0,$R80-2)))</f>
        <v>0</v>
      </c>
      <c r="BA82" s="439" t="n">
        <f aca="false" t="array" ref="BA82:BA82">IF($R80=2,
         IF(AND(ACOMPANHAMENTO="PLE",ISNUMBER($F80)),
                SUMIF((OFFSET(CÁLCULO!$BS$15:$CS$15,$F80,0,OFFSET(ORÇAMENTO!$D$15,CRONO!$F80,0))),CRONO!BA$12,OFFSET(CÁLCULO!$AR$15:$BR$15,$F80,0,OFFSET(ORÇAMENTO!$D$15,CRONO!$F80,0)))
                +IF(AND($F82&lt;&gt;"",$F82&lt;&gt;0),
                        SUMIF(CÁLCULO!$BS$15:$CS$205,CRONO!BA$12,CÁLCULO!$AR$15:$BR$205)/(ORÇAMENTO!$X$15-_xlfn.single(CÁLCULO.TotalAdmLocal))*CRONO!$F82,
                        0),
                 BA81*$S80),
          SUMIF(OFFSET($S82,1,0,$R80-2),($M80+1)&amp;"$",OFFSET(BA82,1,0,$R80-2)))</f>
        <v>0</v>
      </c>
      <c r="BB82" s="439" t="n">
        <f aca="false" t="array" ref="BB82:BB82">IF($R80=2,
         IF(AND(ACOMPANHAMENTO="PLE",ISNUMBER($F80)),
                SUMIF((OFFSET(CÁLCULO!$BS$15:$CS$15,$F80,0,OFFSET(ORÇAMENTO!$D$15,CRONO!$F80,0))),CRONO!BB$12,OFFSET(CÁLCULO!$AR$15:$BR$15,$F80,0,OFFSET(ORÇAMENTO!$D$15,CRONO!$F80,0)))
                +IF(AND($F82&lt;&gt;"",$F82&lt;&gt;0),
                        SUMIF(CÁLCULO!$BS$15:$CS$205,CRONO!BB$12,CÁLCULO!$AR$15:$BR$205)/(ORÇAMENTO!$X$15-_xlfn.single(CÁLCULO.TotalAdmLocal))*CRONO!$F82,
                        0),
                 BB81*$S80),
          SUMIF(OFFSET($S82,1,0,$R80-2),($M80+1)&amp;"$",OFFSET(BB82,1,0,$R80-2)))</f>
        <v>0</v>
      </c>
      <c r="BC82" s="439" t="n">
        <f aca="false" t="array" ref="BC82:BC82">IF($R80=2,
         IF(AND(ACOMPANHAMENTO="PLE",ISNUMBER($F80)),
                SUMIF((OFFSET(CÁLCULO!$BS$15:$CS$15,$F80,0,OFFSET(ORÇAMENTO!$D$15,CRONO!$F80,0))),CRONO!BC$12,OFFSET(CÁLCULO!$AR$15:$BR$15,$F80,0,OFFSET(ORÇAMENTO!$D$15,CRONO!$F80,0)))
                +IF(AND($F82&lt;&gt;"",$F82&lt;&gt;0),
                        SUMIF(CÁLCULO!$BS$15:$CS$205,CRONO!BC$12,CÁLCULO!$AR$15:$BR$205)/(ORÇAMENTO!$X$15-_xlfn.single(CÁLCULO.TotalAdmLocal))*CRONO!$F82,
                        0),
                 BC81*$S80),
          SUMIF(OFFSET($S82,1,0,$R80-2),($M80+1)&amp;"$",OFFSET(BC82,1,0,$R80-2)))</f>
        <v>0</v>
      </c>
      <c r="BD82" s="439" t="n">
        <f aca="false" t="array" ref="BD82:BD82">IF($R80=2,
         IF(AND(ACOMPANHAMENTO="PLE",ISNUMBER($F80)),
                SUMIF((OFFSET(CÁLCULO!$BS$15:$CS$15,$F80,0,OFFSET(ORÇAMENTO!$D$15,CRONO!$F80,0))),CRONO!BD$12,OFFSET(CÁLCULO!$AR$15:$BR$15,$F80,0,OFFSET(ORÇAMENTO!$D$15,CRONO!$F80,0)))
                +IF(AND($F82&lt;&gt;"",$F82&lt;&gt;0),
                        SUMIF(CÁLCULO!$BS$15:$CS$205,CRONO!BD$12,CÁLCULO!$AR$15:$BR$205)/(ORÇAMENTO!$X$15-_xlfn.single(CÁLCULO.TotalAdmLocal))*CRONO!$F82,
                        0),
                 BD81*$S80),
          SUMIF(OFFSET($S82,1,0,$R80-2),($M80+1)&amp;"$",OFFSET(BD82,1,0,$R80-2)))</f>
        <v>0</v>
      </c>
      <c r="BE82" s="430"/>
    </row>
    <row r="83" customFormat="false" ht="12.75" hidden="false" customHeight="false" outlineLevel="0" collapsed="false">
      <c r="A83" s="382" t="str">
        <f aca="false">IF($M83&gt;1,_xlfn.CONCAT($I83," ",$J83),"")</f>
        <v>1.23. PINTURAS INTERNAS</v>
      </c>
      <c r="B83" s="419" t="n">
        <f aca="true">OFFSET(B83,-3,0)+1</f>
        <v>24</v>
      </c>
      <c r="C83" s="419" t="n">
        <f aca="true">IF($R83&lt;&gt;2,0,IF($S83=0,1,IF(F84&gt;0,OFFSET(QCI!$M$13,SUBSTITUTE(F84,".",""),0),OFFSET(ORÇAMENTO!$AA$15,CRONO!$F83,0))/$S83))</f>
        <v>0.110981526562671</v>
      </c>
      <c r="D83" s="419" t="n">
        <f aca="true">IF($R83&lt;&gt;2,0,IF($S83=0,1,IF(F84&gt;0,OFFSET(QCI!$N$13,SUBSTITUTE(F84,".",""),0),OFFSET(ORÇAMENTO!$AB$15,CRONO!$F83,0))/$S83))</f>
        <v>0</v>
      </c>
      <c r="E83" s="422" t="n">
        <f aca="false" t="array" ref="E83:E83">IF(AND($R83=2,ACOMPANHAMENTO="BM"),ROUND(E84,4),E85/$S83)</f>
        <v>0.04</v>
      </c>
      <c r="F83" s="419" t="n">
        <f aca="true">IF(B83&lt;=ORÇAMENTO.MáximoListaCrono,MATCH(B83,ORÇAMENTO.ListaCrono,0),NA())</f>
        <v>74</v>
      </c>
      <c r="G83" s="419" t="str">
        <f aca="false">IF(AND($F84&lt;&gt;-1,$S83&gt;0),"F","")</f>
        <v>F</v>
      </c>
      <c r="H83" s="423" t="str">
        <f aca="false" t="array" ref="H83:H83">IF(OR(S83=0,S83=""),"Linha",IF(AND(OR(ACOMPANHAMENTO="PLE",$R83&lt;&gt;2),$F84=0),"Linha",ROUND(1-SUM(U83:BE83),4)))</f>
        <v>Linha</v>
      </c>
      <c r="I83" s="424" t="str">
        <f aca="true">IF($F84=0,OFFSET(ORÇAMENTO!O$15,$F83,0),IF($F84&lt;&gt;-1,OFFSET(QCI!$D$13,$F84,0),""))</f>
        <v>1.23.</v>
      </c>
      <c r="J83" s="425" t="str">
        <f aca="true">IF($F84=0,OFFSET(ORÇAMENTO!R$15,$F83,0),IF($F84&lt;&gt;-1,OFFSET(QCI!$G$13,$F84,0),""))</f>
        <v>PINTURAS INTERNAS</v>
      </c>
      <c r="K83" s="425"/>
      <c r="L83" s="425"/>
      <c r="M83" s="426" t="n">
        <f aca="true">IF($F84=0,OFFSET(ORÇAMENTO!C$15,$F83,0),1)</f>
        <v>2</v>
      </c>
      <c r="N83" s="427" t="n">
        <f aca="true">IF($F84=-1,0,IF(N$13&lt;=$M83,IF(ISERROR(MATCH(N$13,OFFSET($M83,1,0,ROW($M$182)-ROW($M83)-1),0)),ROW($M$182)-ROW($M83)-1,MATCH(N$13,OFFSET($M83,1,0,ROW($M$182)-ROW($M83)-1),0)-1),0))</f>
        <v>98</v>
      </c>
      <c r="O83" s="427" t="n">
        <f aca="true">IF($F84=-1,0,IF(O$13&lt;=$M83,IF(ISERROR(MATCH(O$13,OFFSET($M83,1,0,ROW($M$182)-ROW($M83)-1),0)),ROW($M$182)-ROW($M83)-1,MATCH(O$13,OFFSET($M83,1,0,ROW($M$182)-ROW($M83)-1),0)-1),0))</f>
        <v>2</v>
      </c>
      <c r="P83" s="427" t="n">
        <f aca="true">IF($F84=-1,0,IF(P$13&lt;=$M83,IF(ISERROR(MATCH(P$13,OFFSET($M83,1,0,ROW($M$182)-ROW($M83)-1),0)),ROW($M$182)-ROW($M83)-1,MATCH(P$13,OFFSET($M83,1,0,ROW($M$182)-ROW($M83)-1),0)-1),0))</f>
        <v>0</v>
      </c>
      <c r="Q83" s="427" t="n">
        <f aca="true">IF($F84=-1,0,IF(Q$13&lt;=$M83,IF(ISERROR(MATCH(Q$13,OFFSET($M83,1,0,ROW($M$182)-ROW($M83)-1),0)),ROW($M$182)-ROW($M83)-1,MATCH(Q$13,OFFSET($M83,1,0,ROW($M$182)-ROW($M83)-1),0)-1),0))</f>
        <v>0</v>
      </c>
      <c r="R83" s="427" t="n">
        <f aca="true">MIN(OFFSET(M83,0,1,,M83))</f>
        <v>2</v>
      </c>
      <c r="S83" s="428" t="n">
        <f aca="true">IF($F84=0,OFFSET(ORÇAMENTO!X$15,$F83,0),IF($F84&lt;&gt;-1,OFFSET(QCI!$O$13,$F84,0),""))</f>
        <v>75736.5</v>
      </c>
      <c r="T83" s="429" t="s">
        <v>996</v>
      </c>
      <c r="U83" s="422" t="n">
        <f aca="false" t="array" ref="U83:U83">IF(AND($R83=2,ACOMPANHAMENTO="BM"),ROUND(U84,4),U85/$S83)</f>
        <v>0.04</v>
      </c>
      <c r="V83" s="422" t="n">
        <f aca="false" t="array" ref="V83:V83">IF(AND($R83=2,ACOMPANHAMENTO="BM"),ROUND(V84,4),V85/$S83)</f>
        <v>0.04</v>
      </c>
      <c r="W83" s="422" t="n">
        <f aca="false" t="array" ref="W83:W83">IF(AND($R83=2,ACOMPANHAMENTO="BM"),ROUND(W84,4),W85/$S83)</f>
        <v>0.04</v>
      </c>
      <c r="X83" s="422" t="n">
        <f aca="false" t="array" ref="X83:X83">IF(AND($R83=2,ACOMPANHAMENTO="BM"),ROUND(X84,4),X85/$S83)</f>
        <v>0.04</v>
      </c>
      <c r="Y83" s="422" t="n">
        <f aca="false" t="array" ref="Y83:Y83">IF(AND($R83=2,ACOMPANHAMENTO="BM"),ROUND(Y84,4),Y85/$S83)</f>
        <v>0.04</v>
      </c>
      <c r="Z83" s="422" t="n">
        <f aca="false" t="array" ref="Z83:Z83">IF(AND($R83=2,ACOMPANHAMENTO="BM"),ROUND(Z84,4),Z85/$S83)</f>
        <v>0.04</v>
      </c>
      <c r="AA83" s="422" t="n">
        <f aca="false" t="array" ref="AA83:AA83">IF(AND($R83=2,ACOMPANHAMENTO="BM"),ROUND(AA84,4),AA85/$S83)</f>
        <v>0.04</v>
      </c>
      <c r="AB83" s="422" t="n">
        <f aca="false" t="array" ref="AB83:AB83">IF(AND($R83=2,ACOMPANHAMENTO="BM"),ROUND(AB84,4),AB85/$S83)</f>
        <v>0.04</v>
      </c>
      <c r="AC83" s="422" t="n">
        <f aca="false" t="array" ref="AC83:AC83">IF(AND($R83=2,ACOMPANHAMENTO="BM"),ROUND(AC84,4),AC85/$S83)</f>
        <v>0.04</v>
      </c>
      <c r="AD83" s="422" t="n">
        <f aca="false" t="array" ref="AD83:AD83">IF(AND($R83=2,ACOMPANHAMENTO="BM"),ROUND(AD84,4),AD85/$S83)</f>
        <v>0.04</v>
      </c>
      <c r="AE83" s="422" t="n">
        <f aca="false" t="array" ref="AE83:AE83">IF(AND($R83=2,ACOMPANHAMENTO="BM"),ROUND(AE84,4),AE85/$S83)</f>
        <v>0.04</v>
      </c>
      <c r="AF83" s="422" t="n">
        <f aca="false" t="array" ref="AF83:AF83">IF(AND($R83=2,ACOMPANHAMENTO="BM"),ROUND(AF84,4),AF85/$S83)</f>
        <v>0.04</v>
      </c>
      <c r="AG83" s="422" t="n">
        <f aca="false" t="array" ref="AG83:AG83">IF(AND($R83=2,ACOMPANHAMENTO="BM"),ROUND(AG84,4),AG85/$S83)</f>
        <v>0.04</v>
      </c>
      <c r="AH83" s="422" t="n">
        <f aca="false" t="array" ref="AH83:AH83">IF(AND($R83=2,ACOMPANHAMENTO="BM"),ROUND(AH84,4),AH85/$S83)</f>
        <v>0.04</v>
      </c>
      <c r="AI83" s="422" t="n">
        <f aca="false" t="array" ref="AI83:AI83">IF(AND($R83=2,ACOMPANHAMENTO="BM"),ROUND(AI84,4),AI85/$S83)</f>
        <v>0.04</v>
      </c>
      <c r="AJ83" s="422" t="n">
        <f aca="false" t="array" ref="AJ83:AJ83">IF(AND($R83=2,ACOMPANHAMENTO="BM"),ROUND(AJ84,4),AJ85/$S83)</f>
        <v>0.04</v>
      </c>
      <c r="AK83" s="422" t="n">
        <f aca="false" t="array" ref="AK83:AK83">IF(AND($R83=2,ACOMPANHAMENTO="BM"),ROUND(AK84,4),AK85/$S83)</f>
        <v>0.04</v>
      </c>
      <c r="AL83" s="422" t="n">
        <f aca="false" t="array" ref="AL83:AL83">IF(AND($R83=2,ACOMPANHAMENTO="BM"),ROUND(AL84,4),AL85/$S83)</f>
        <v>0.04</v>
      </c>
      <c r="AM83" s="422" t="n">
        <f aca="false" t="array" ref="AM83:AM83">IF(AND($R83=2,ACOMPANHAMENTO="BM"),ROUND(AM84,4),AM85/$S83)</f>
        <v>0.04</v>
      </c>
      <c r="AN83" s="422" t="n">
        <f aca="false" t="array" ref="AN83:AN83">IF(AND($R83=2,ACOMPANHAMENTO="BM"),ROUND(AN84,4),AN85/$S83)</f>
        <v>0.04</v>
      </c>
      <c r="AO83" s="422" t="n">
        <f aca="false" t="array" ref="AO83:AO83">IF(AND($R83=2,ACOMPANHAMENTO="BM"),ROUND(AO84,4),AO85/$S83)</f>
        <v>0.04</v>
      </c>
      <c r="AP83" s="422" t="n">
        <f aca="false" t="array" ref="AP83:AP83">IF(AND($R83=2,ACOMPANHAMENTO="BM"),ROUND(AP84,4),AP85/$S83)</f>
        <v>0.04</v>
      </c>
      <c r="AQ83" s="422" t="n">
        <f aca="false" t="array" ref="AQ83:AQ83">IF(AND($R83=2,ACOMPANHAMENTO="BM"),ROUND(AQ84,4),AQ85/$S83)</f>
        <v>0.04</v>
      </c>
      <c r="AR83" s="422" t="n">
        <f aca="false" t="array" ref="AR83:AR83">IF(AND($R83=2,ACOMPANHAMENTO="BM"),ROUND(AR84,4),AR85/$S83)</f>
        <v>0.04</v>
      </c>
      <c r="AS83" s="422" t="n">
        <f aca="false" t="array" ref="AS83:AS83">IF(AND($R83=2,ACOMPANHAMENTO="BM"),ROUND(AS84,4),AS85/$S83)</f>
        <v>0.04</v>
      </c>
      <c r="AT83" s="422" t="n">
        <f aca="false" t="array" ref="AT83:AT83">IF(AND($R83=2,ACOMPANHAMENTO="BM"),ROUND(AT84,4),AT85/$S83)</f>
        <v>0</v>
      </c>
      <c r="AU83" s="422" t="n">
        <f aca="false" t="array" ref="AU83:AU83">IF(AND($R83=2,ACOMPANHAMENTO="BM"),ROUND(AU84,4),AU85/$S83)</f>
        <v>0</v>
      </c>
      <c r="AV83" s="422" t="n">
        <f aca="false" t="array" ref="AV83:AV83">IF(AND($R83=2,ACOMPANHAMENTO="BM"),ROUND(AV84,4),AV85/$S83)</f>
        <v>0</v>
      </c>
      <c r="AW83" s="422" t="n">
        <f aca="false" t="array" ref="AW83:AW83">IF(AND($R83=2,ACOMPANHAMENTO="BM"),ROUND(AW84,4),AW85/$S83)</f>
        <v>0</v>
      </c>
      <c r="AX83" s="422" t="n">
        <f aca="false" t="array" ref="AX83:AX83">IF(AND($R83=2,ACOMPANHAMENTO="BM"),ROUND(AX84,4),AX85/$S83)</f>
        <v>0</v>
      </c>
      <c r="AY83" s="422" t="n">
        <f aca="false" t="array" ref="AY83:AY83">IF(AND($R83=2,ACOMPANHAMENTO="BM"),ROUND(AY84,4),AY85/$S83)</f>
        <v>0</v>
      </c>
      <c r="AZ83" s="422" t="n">
        <f aca="false" t="array" ref="AZ83:AZ83">IF(AND($R83=2,ACOMPANHAMENTO="BM"),ROUND(AZ84,4),AZ85/$S83)</f>
        <v>0</v>
      </c>
      <c r="BA83" s="422" t="n">
        <f aca="false" t="array" ref="BA83:BA83">IF(AND($R83=2,ACOMPANHAMENTO="BM"),ROUND(BA84,4),BA85/$S83)</f>
        <v>0</v>
      </c>
      <c r="BB83" s="422" t="n">
        <f aca="false" t="array" ref="BB83:BB83">IF(AND($R83=2,ACOMPANHAMENTO="BM"),ROUND(BB84,4),BB85/$S83)</f>
        <v>0</v>
      </c>
      <c r="BC83" s="422" t="n">
        <f aca="false" t="array" ref="BC83:BC83">IF(AND($R83=2,ACOMPANHAMENTO="BM"),ROUND(BC84,4),BC85/$S83)</f>
        <v>0</v>
      </c>
      <c r="BD83" s="422" t="n">
        <f aca="false" t="array" ref="BD83:BD83">IF(AND($R83=2,ACOMPANHAMENTO="BM"),ROUND(BD84,4),BD85/$S83)</f>
        <v>0</v>
      </c>
      <c r="BE83" s="430"/>
    </row>
    <row r="84" customFormat="false" ht="12.75" hidden="true" customHeight="true" outlineLevel="0" collapsed="false">
      <c r="E84" s="431"/>
      <c r="F84" s="419" t="n">
        <f aca="true">IF(ISERROR(F83),IF(1+COUNTIF($M$13:OFFSET(M83,-1,0),1)&lt;=MAX(QCI!$D$13:$D$15),1+COUNTIF($M$13:OFFSET(M83,-1,0),1),-1),0)</f>
        <v>0</v>
      </c>
      <c r="G84" s="419" t="str">
        <f aca="true" t="array" ref="G84:G84">IF(ACOMPANHAMENTO="BM",OFFSET(G84,-1,0),"")</f>
        <v/>
      </c>
      <c r="H84" s="432" t="str">
        <f aca="false" t="array" ref="H84:H84">IF(OR(S83=0,S83=""),"vazia",IF(AND(OR(ACOMPANHAMENTO="PLE",$R83&lt;&gt;2),$F84=0),"calculada","--&gt;"))</f>
        <v>calculada</v>
      </c>
      <c r="I84" s="433"/>
      <c r="J84" s="434" t="str">
        <f aca="false">IF(AND(H83&lt;&gt;0,ISNUMBER(H83)),"PREENCHA ESTA LINHA --&gt;","")</f>
        <v/>
      </c>
      <c r="K84" s="434"/>
      <c r="L84" s="434"/>
      <c r="M84" s="435"/>
      <c r="N84" s="435"/>
      <c r="O84" s="435"/>
      <c r="P84" s="435"/>
      <c r="Q84" s="435"/>
      <c r="R84" s="435"/>
      <c r="S84" s="436"/>
      <c r="T84" s="437"/>
      <c r="U84" s="431"/>
      <c r="V84" s="431"/>
      <c r="W84" s="431"/>
      <c r="X84" s="431"/>
      <c r="Y84" s="431"/>
      <c r="Z84" s="431"/>
      <c r="AA84" s="431"/>
      <c r="AB84" s="431"/>
      <c r="AC84" s="431"/>
      <c r="AD84" s="431"/>
      <c r="AE84" s="431"/>
      <c r="AF84" s="431"/>
      <c r="AG84" s="431"/>
      <c r="AH84" s="431"/>
      <c r="AI84" s="431"/>
      <c r="AJ84" s="431"/>
      <c r="AK84" s="431"/>
      <c r="AL84" s="431"/>
      <c r="AM84" s="431"/>
      <c r="AN84" s="431"/>
      <c r="AO84" s="431"/>
      <c r="AP84" s="431"/>
      <c r="AQ84" s="431"/>
      <c r="AR84" s="431"/>
      <c r="AS84" s="431"/>
      <c r="AT84" s="431"/>
      <c r="AU84" s="431"/>
      <c r="AV84" s="431"/>
      <c r="AW84" s="431"/>
      <c r="AX84" s="431"/>
      <c r="AY84" s="431"/>
      <c r="AZ84" s="431"/>
      <c r="BA84" s="431"/>
      <c r="BB84" s="431"/>
      <c r="BC84" s="431"/>
      <c r="BD84" s="431"/>
      <c r="BE84" s="430"/>
    </row>
    <row r="85" customFormat="false" ht="12.75" hidden="true" customHeight="true" outlineLevel="0" collapsed="false">
      <c r="D85" s="438"/>
      <c r="E85" s="439" t="n">
        <f aca="false" t="array" ref="E85:E85">IF($R83=2,
         IF(AND(ACOMPANHAMENTO="PLE",ISNUMBER($F83)),
                SUMIF((OFFSET(CÁLCULO!$BS$15:$CS$15,$F83,0,OFFSET(ORÇAMENTO!$D$15,CRONO!$F83,0))),CRONO!E$12,OFFSET(CÁLCULO!$AR$15:$BR$15,$F83,0,OFFSET(ORÇAMENTO!$D$15,CRONO!$F83,0)))
                +IF(AND($F85&lt;&gt;"",$F85&lt;&gt;0),
                        SUMIF(CÁLCULO!$BS$15:$CS$205,CRONO!E$12,CÁLCULO!$AR$15:$BR$205)/(ORÇAMENTO!$X$15-_xlfn.single(CÁLCULO.TotalAdmLocal))*CRONO!$F85,
                        0),
                 E84*$S83),
          SUMIF(OFFSET($S85,1,0,$R83-2),($M83+1)&amp;"$",OFFSET(E85,1,0,$R83-2)))</f>
        <v>3029.46</v>
      </c>
      <c r="F85" s="419" t="str">
        <f aca="true">IF(OR($R83&lt;&gt;2,AUTOEVENTO&lt;&gt;"manual",$F84&gt;0),"",
        IF(Import.TipoArredondamento="Tradicional",
              SUMIF(OFFSET(CÁLCULO!$M$15,CRONO!$F83,0,OFFSET(ORÇAMENTO!$D$15,CRONO!$F83,0)),1,OFFSET(ORÇAMENTO!$X$15,CRONO!$F83,0,OFFSET(ORÇAMENTO!$D$15,CRONO!$F83,0))),
              0))</f>
        <v/>
      </c>
      <c r="H85" s="440"/>
      <c r="S85" s="441" t="str">
        <f aca="false">M83&amp;"$"</f>
        <v>2$</v>
      </c>
      <c r="T85" s="442"/>
      <c r="U85" s="439" t="n">
        <f aca="false" t="array" ref="U85:U85">IF($R83=2,
         IF(AND(ACOMPANHAMENTO="PLE",ISNUMBER($F83)),
                SUMIF((OFFSET(CÁLCULO!$BS$15:$CS$15,$F83,0,OFFSET(ORÇAMENTO!$D$15,CRONO!$F83,0))),CRONO!U$12,OFFSET(CÁLCULO!$AR$15:$BR$15,$F83,0,OFFSET(ORÇAMENTO!$D$15,CRONO!$F83,0)))
                +IF(AND($F85&lt;&gt;"",$F85&lt;&gt;0),
                        SUMIF(CÁLCULO!$BS$15:$CS$205,CRONO!U$12,CÁLCULO!$AR$15:$BR$205)/(ORÇAMENTO!$X$15-_xlfn.single(CÁLCULO.TotalAdmLocal))*CRONO!$F85,
                        0),
                 U84*$S83),
          SUMIF(OFFSET($S85,1,0,$R83-2),($M83+1)&amp;"$",OFFSET(U85,1,0,$R83-2)))</f>
        <v>3029.46</v>
      </c>
      <c r="V85" s="439" t="n">
        <f aca="false" t="array" ref="V85:V85">IF($R83=2,
         IF(AND(ACOMPANHAMENTO="PLE",ISNUMBER($F83)),
                SUMIF((OFFSET(CÁLCULO!$BS$15:$CS$15,$F83,0,OFFSET(ORÇAMENTO!$D$15,CRONO!$F83,0))),CRONO!V$12,OFFSET(CÁLCULO!$AR$15:$BR$15,$F83,0,OFFSET(ORÇAMENTO!$D$15,CRONO!$F83,0)))
                +IF(AND($F85&lt;&gt;"",$F85&lt;&gt;0),
                        SUMIF(CÁLCULO!$BS$15:$CS$205,CRONO!V$12,CÁLCULO!$AR$15:$BR$205)/(ORÇAMENTO!$X$15-_xlfn.single(CÁLCULO.TotalAdmLocal))*CRONO!$F85,
                        0),
                 V84*$S83),
          SUMIF(OFFSET($S85,1,0,$R83-2),($M83+1)&amp;"$",OFFSET(V85,1,0,$R83-2)))</f>
        <v>3029.46</v>
      </c>
      <c r="W85" s="439" t="n">
        <f aca="false" t="array" ref="W85:W85">IF($R83=2,
         IF(AND(ACOMPANHAMENTO="PLE",ISNUMBER($F83)),
                SUMIF((OFFSET(CÁLCULO!$BS$15:$CS$15,$F83,0,OFFSET(ORÇAMENTO!$D$15,CRONO!$F83,0))),CRONO!W$12,OFFSET(CÁLCULO!$AR$15:$BR$15,$F83,0,OFFSET(ORÇAMENTO!$D$15,CRONO!$F83,0)))
                +IF(AND($F85&lt;&gt;"",$F85&lt;&gt;0),
                        SUMIF(CÁLCULO!$BS$15:$CS$205,CRONO!W$12,CÁLCULO!$AR$15:$BR$205)/(ORÇAMENTO!$X$15-_xlfn.single(CÁLCULO.TotalAdmLocal))*CRONO!$F85,
                        0),
                 W84*$S83),
          SUMIF(OFFSET($S85,1,0,$R83-2),($M83+1)&amp;"$",OFFSET(W85,1,0,$R83-2)))</f>
        <v>3029.46</v>
      </c>
      <c r="X85" s="439" t="n">
        <f aca="false" t="array" ref="X85:X85">IF($R83=2,
         IF(AND(ACOMPANHAMENTO="PLE",ISNUMBER($F83)),
                SUMIF((OFFSET(CÁLCULO!$BS$15:$CS$15,$F83,0,OFFSET(ORÇAMENTO!$D$15,CRONO!$F83,0))),CRONO!X$12,OFFSET(CÁLCULO!$AR$15:$BR$15,$F83,0,OFFSET(ORÇAMENTO!$D$15,CRONO!$F83,0)))
                +IF(AND($F85&lt;&gt;"",$F85&lt;&gt;0),
                        SUMIF(CÁLCULO!$BS$15:$CS$205,CRONO!X$12,CÁLCULO!$AR$15:$BR$205)/(ORÇAMENTO!$X$15-_xlfn.single(CÁLCULO.TotalAdmLocal))*CRONO!$F85,
                        0),
                 X84*$S83),
          SUMIF(OFFSET($S85,1,0,$R83-2),($M83+1)&amp;"$",OFFSET(X85,1,0,$R83-2)))</f>
        <v>3029.46</v>
      </c>
      <c r="Y85" s="439" t="n">
        <f aca="false" t="array" ref="Y85:Y85">IF($R83=2,
         IF(AND(ACOMPANHAMENTO="PLE",ISNUMBER($F83)),
                SUMIF((OFFSET(CÁLCULO!$BS$15:$CS$15,$F83,0,OFFSET(ORÇAMENTO!$D$15,CRONO!$F83,0))),CRONO!Y$12,OFFSET(CÁLCULO!$AR$15:$BR$15,$F83,0,OFFSET(ORÇAMENTO!$D$15,CRONO!$F83,0)))
                +IF(AND($F85&lt;&gt;"",$F85&lt;&gt;0),
                        SUMIF(CÁLCULO!$BS$15:$CS$205,CRONO!Y$12,CÁLCULO!$AR$15:$BR$205)/(ORÇAMENTO!$X$15-_xlfn.single(CÁLCULO.TotalAdmLocal))*CRONO!$F85,
                        0),
                 Y84*$S83),
          SUMIF(OFFSET($S85,1,0,$R83-2),($M83+1)&amp;"$",OFFSET(Y85,1,0,$R83-2)))</f>
        <v>3029.46</v>
      </c>
      <c r="Z85" s="439" t="n">
        <f aca="false" t="array" ref="Z85:Z85">IF($R83=2,
         IF(AND(ACOMPANHAMENTO="PLE",ISNUMBER($F83)),
                SUMIF((OFFSET(CÁLCULO!$BS$15:$CS$15,$F83,0,OFFSET(ORÇAMENTO!$D$15,CRONO!$F83,0))),CRONO!Z$12,OFFSET(CÁLCULO!$AR$15:$BR$15,$F83,0,OFFSET(ORÇAMENTO!$D$15,CRONO!$F83,0)))
                +IF(AND($F85&lt;&gt;"",$F85&lt;&gt;0),
                        SUMIF(CÁLCULO!$BS$15:$CS$205,CRONO!Z$12,CÁLCULO!$AR$15:$BR$205)/(ORÇAMENTO!$X$15-_xlfn.single(CÁLCULO.TotalAdmLocal))*CRONO!$F85,
                        0),
                 Z84*$S83),
          SUMIF(OFFSET($S85,1,0,$R83-2),($M83+1)&amp;"$",OFFSET(Z85,1,0,$R83-2)))</f>
        <v>3029.46</v>
      </c>
      <c r="AA85" s="439" t="n">
        <f aca="false" t="array" ref="AA85:AA85">IF($R83=2,
         IF(AND(ACOMPANHAMENTO="PLE",ISNUMBER($F83)),
                SUMIF((OFFSET(CÁLCULO!$BS$15:$CS$15,$F83,0,OFFSET(ORÇAMENTO!$D$15,CRONO!$F83,0))),CRONO!AA$12,OFFSET(CÁLCULO!$AR$15:$BR$15,$F83,0,OFFSET(ORÇAMENTO!$D$15,CRONO!$F83,0)))
                +IF(AND($F85&lt;&gt;"",$F85&lt;&gt;0),
                        SUMIF(CÁLCULO!$BS$15:$CS$205,CRONO!AA$12,CÁLCULO!$AR$15:$BR$205)/(ORÇAMENTO!$X$15-_xlfn.single(CÁLCULO.TotalAdmLocal))*CRONO!$F85,
                        0),
                 AA84*$S83),
          SUMIF(OFFSET($S85,1,0,$R83-2),($M83+1)&amp;"$",OFFSET(AA85,1,0,$R83-2)))</f>
        <v>3029.46</v>
      </c>
      <c r="AB85" s="439" t="n">
        <f aca="false" t="array" ref="AB85:AB85">IF($R83=2,
         IF(AND(ACOMPANHAMENTO="PLE",ISNUMBER($F83)),
                SUMIF((OFFSET(CÁLCULO!$BS$15:$CS$15,$F83,0,OFFSET(ORÇAMENTO!$D$15,CRONO!$F83,0))),CRONO!AB$12,OFFSET(CÁLCULO!$AR$15:$BR$15,$F83,0,OFFSET(ORÇAMENTO!$D$15,CRONO!$F83,0)))
                +IF(AND($F85&lt;&gt;"",$F85&lt;&gt;0),
                        SUMIF(CÁLCULO!$BS$15:$CS$205,CRONO!AB$12,CÁLCULO!$AR$15:$BR$205)/(ORÇAMENTO!$X$15-_xlfn.single(CÁLCULO.TotalAdmLocal))*CRONO!$F85,
                        0),
                 AB84*$S83),
          SUMIF(OFFSET($S85,1,0,$R83-2),($M83+1)&amp;"$",OFFSET(AB85,1,0,$R83-2)))</f>
        <v>3029.46</v>
      </c>
      <c r="AC85" s="439" t="n">
        <f aca="false" t="array" ref="AC85:AC85">IF($R83=2,
         IF(AND(ACOMPANHAMENTO="PLE",ISNUMBER($F83)),
                SUMIF((OFFSET(CÁLCULO!$BS$15:$CS$15,$F83,0,OFFSET(ORÇAMENTO!$D$15,CRONO!$F83,0))),CRONO!AC$12,OFFSET(CÁLCULO!$AR$15:$BR$15,$F83,0,OFFSET(ORÇAMENTO!$D$15,CRONO!$F83,0)))
                +IF(AND($F85&lt;&gt;"",$F85&lt;&gt;0),
                        SUMIF(CÁLCULO!$BS$15:$CS$205,CRONO!AC$12,CÁLCULO!$AR$15:$BR$205)/(ORÇAMENTO!$X$15-_xlfn.single(CÁLCULO.TotalAdmLocal))*CRONO!$F85,
                        0),
                 AC84*$S83),
          SUMIF(OFFSET($S85,1,0,$R83-2),($M83+1)&amp;"$",OFFSET(AC85,1,0,$R83-2)))</f>
        <v>3029.46</v>
      </c>
      <c r="AD85" s="439" t="n">
        <f aca="false" t="array" ref="AD85:AD85">IF($R83=2,
         IF(AND(ACOMPANHAMENTO="PLE",ISNUMBER($F83)),
                SUMIF((OFFSET(CÁLCULO!$BS$15:$CS$15,$F83,0,OFFSET(ORÇAMENTO!$D$15,CRONO!$F83,0))),CRONO!AD$12,OFFSET(CÁLCULO!$AR$15:$BR$15,$F83,0,OFFSET(ORÇAMENTO!$D$15,CRONO!$F83,0)))
                +IF(AND($F85&lt;&gt;"",$F85&lt;&gt;0),
                        SUMIF(CÁLCULO!$BS$15:$CS$205,CRONO!AD$12,CÁLCULO!$AR$15:$BR$205)/(ORÇAMENTO!$X$15-_xlfn.single(CÁLCULO.TotalAdmLocal))*CRONO!$F85,
                        0),
                 AD84*$S83),
          SUMIF(OFFSET($S85,1,0,$R83-2),($M83+1)&amp;"$",OFFSET(AD85,1,0,$R83-2)))</f>
        <v>3029.46</v>
      </c>
      <c r="AE85" s="439" t="n">
        <f aca="false" t="array" ref="AE85:AE85">IF($R83=2,
         IF(AND(ACOMPANHAMENTO="PLE",ISNUMBER($F83)),
                SUMIF((OFFSET(CÁLCULO!$BS$15:$CS$15,$F83,0,OFFSET(ORÇAMENTO!$D$15,CRONO!$F83,0))),CRONO!AE$12,OFFSET(CÁLCULO!$AR$15:$BR$15,$F83,0,OFFSET(ORÇAMENTO!$D$15,CRONO!$F83,0)))
                +IF(AND($F85&lt;&gt;"",$F85&lt;&gt;0),
                        SUMIF(CÁLCULO!$BS$15:$CS$205,CRONO!AE$12,CÁLCULO!$AR$15:$BR$205)/(ORÇAMENTO!$X$15-_xlfn.single(CÁLCULO.TotalAdmLocal))*CRONO!$F85,
                        0),
                 AE84*$S83),
          SUMIF(OFFSET($S85,1,0,$R83-2),($M83+1)&amp;"$",OFFSET(AE85,1,0,$R83-2)))</f>
        <v>3029.46</v>
      </c>
      <c r="AF85" s="439" t="n">
        <f aca="false" t="array" ref="AF85:AF85">IF($R83=2,
         IF(AND(ACOMPANHAMENTO="PLE",ISNUMBER($F83)),
                SUMIF((OFFSET(CÁLCULO!$BS$15:$CS$15,$F83,0,OFFSET(ORÇAMENTO!$D$15,CRONO!$F83,0))),CRONO!AF$12,OFFSET(CÁLCULO!$AR$15:$BR$15,$F83,0,OFFSET(ORÇAMENTO!$D$15,CRONO!$F83,0)))
                +IF(AND($F85&lt;&gt;"",$F85&lt;&gt;0),
                        SUMIF(CÁLCULO!$BS$15:$CS$205,CRONO!AF$12,CÁLCULO!$AR$15:$BR$205)/(ORÇAMENTO!$X$15-_xlfn.single(CÁLCULO.TotalAdmLocal))*CRONO!$F85,
                        0),
                 AF84*$S83),
          SUMIF(OFFSET($S85,1,0,$R83-2),($M83+1)&amp;"$",OFFSET(AF85,1,0,$R83-2)))</f>
        <v>3029.46</v>
      </c>
      <c r="AG85" s="439" t="n">
        <f aca="false" t="array" ref="AG85:AG85">IF($R83=2,
         IF(AND(ACOMPANHAMENTO="PLE",ISNUMBER($F83)),
                SUMIF((OFFSET(CÁLCULO!$BS$15:$CS$15,$F83,0,OFFSET(ORÇAMENTO!$D$15,CRONO!$F83,0))),CRONO!AG$12,OFFSET(CÁLCULO!$AR$15:$BR$15,$F83,0,OFFSET(ORÇAMENTO!$D$15,CRONO!$F83,0)))
                +IF(AND($F85&lt;&gt;"",$F85&lt;&gt;0),
                        SUMIF(CÁLCULO!$BS$15:$CS$205,CRONO!AG$12,CÁLCULO!$AR$15:$BR$205)/(ORÇAMENTO!$X$15-_xlfn.single(CÁLCULO.TotalAdmLocal))*CRONO!$F85,
                        0),
                 AG84*$S83),
          SUMIF(OFFSET($S85,1,0,$R83-2),($M83+1)&amp;"$",OFFSET(AG85,1,0,$R83-2)))</f>
        <v>3029.46</v>
      </c>
      <c r="AH85" s="439" t="n">
        <f aca="false" t="array" ref="AH85:AH85">IF($R83=2,
         IF(AND(ACOMPANHAMENTO="PLE",ISNUMBER($F83)),
                SUMIF((OFFSET(CÁLCULO!$BS$15:$CS$15,$F83,0,OFFSET(ORÇAMENTO!$D$15,CRONO!$F83,0))),CRONO!AH$12,OFFSET(CÁLCULO!$AR$15:$BR$15,$F83,0,OFFSET(ORÇAMENTO!$D$15,CRONO!$F83,0)))
                +IF(AND($F85&lt;&gt;"",$F85&lt;&gt;0),
                        SUMIF(CÁLCULO!$BS$15:$CS$205,CRONO!AH$12,CÁLCULO!$AR$15:$BR$205)/(ORÇAMENTO!$X$15-_xlfn.single(CÁLCULO.TotalAdmLocal))*CRONO!$F85,
                        0),
                 AH84*$S83),
          SUMIF(OFFSET($S85,1,0,$R83-2),($M83+1)&amp;"$",OFFSET(AH85,1,0,$R83-2)))</f>
        <v>3029.46</v>
      </c>
      <c r="AI85" s="439" t="n">
        <f aca="false" t="array" ref="AI85:AI85">IF($R83=2,
         IF(AND(ACOMPANHAMENTO="PLE",ISNUMBER($F83)),
                SUMIF((OFFSET(CÁLCULO!$BS$15:$CS$15,$F83,0,OFFSET(ORÇAMENTO!$D$15,CRONO!$F83,0))),CRONO!AI$12,OFFSET(CÁLCULO!$AR$15:$BR$15,$F83,0,OFFSET(ORÇAMENTO!$D$15,CRONO!$F83,0)))
                +IF(AND($F85&lt;&gt;"",$F85&lt;&gt;0),
                        SUMIF(CÁLCULO!$BS$15:$CS$205,CRONO!AI$12,CÁLCULO!$AR$15:$BR$205)/(ORÇAMENTO!$X$15-_xlfn.single(CÁLCULO.TotalAdmLocal))*CRONO!$F85,
                        0),
                 AI84*$S83),
          SUMIF(OFFSET($S85,1,0,$R83-2),($M83+1)&amp;"$",OFFSET(AI85,1,0,$R83-2)))</f>
        <v>3029.46</v>
      </c>
      <c r="AJ85" s="439" t="n">
        <f aca="false" t="array" ref="AJ85:AJ85">IF($R83=2,
         IF(AND(ACOMPANHAMENTO="PLE",ISNUMBER($F83)),
                SUMIF((OFFSET(CÁLCULO!$BS$15:$CS$15,$F83,0,OFFSET(ORÇAMENTO!$D$15,CRONO!$F83,0))),CRONO!AJ$12,OFFSET(CÁLCULO!$AR$15:$BR$15,$F83,0,OFFSET(ORÇAMENTO!$D$15,CRONO!$F83,0)))
                +IF(AND($F85&lt;&gt;"",$F85&lt;&gt;0),
                        SUMIF(CÁLCULO!$BS$15:$CS$205,CRONO!AJ$12,CÁLCULO!$AR$15:$BR$205)/(ORÇAMENTO!$X$15-_xlfn.single(CÁLCULO.TotalAdmLocal))*CRONO!$F85,
                        0),
                 AJ84*$S83),
          SUMIF(OFFSET($S85,1,0,$R83-2),($M83+1)&amp;"$",OFFSET(AJ85,1,0,$R83-2)))</f>
        <v>3029.46</v>
      </c>
      <c r="AK85" s="439" t="n">
        <f aca="false" t="array" ref="AK85:AK85">IF($R83=2,
         IF(AND(ACOMPANHAMENTO="PLE",ISNUMBER($F83)),
                SUMIF((OFFSET(CÁLCULO!$BS$15:$CS$15,$F83,0,OFFSET(ORÇAMENTO!$D$15,CRONO!$F83,0))),CRONO!AK$12,OFFSET(CÁLCULO!$AR$15:$BR$15,$F83,0,OFFSET(ORÇAMENTO!$D$15,CRONO!$F83,0)))
                +IF(AND($F85&lt;&gt;"",$F85&lt;&gt;0),
                        SUMIF(CÁLCULO!$BS$15:$CS$205,CRONO!AK$12,CÁLCULO!$AR$15:$BR$205)/(ORÇAMENTO!$X$15-_xlfn.single(CÁLCULO.TotalAdmLocal))*CRONO!$F85,
                        0),
                 AK84*$S83),
          SUMIF(OFFSET($S85,1,0,$R83-2),($M83+1)&amp;"$",OFFSET(AK85,1,0,$R83-2)))</f>
        <v>3029.46</v>
      </c>
      <c r="AL85" s="439" t="n">
        <f aca="false" t="array" ref="AL85:AL85">IF($R83=2,
         IF(AND(ACOMPANHAMENTO="PLE",ISNUMBER($F83)),
                SUMIF((OFFSET(CÁLCULO!$BS$15:$CS$15,$F83,0,OFFSET(ORÇAMENTO!$D$15,CRONO!$F83,0))),CRONO!AL$12,OFFSET(CÁLCULO!$AR$15:$BR$15,$F83,0,OFFSET(ORÇAMENTO!$D$15,CRONO!$F83,0)))
                +IF(AND($F85&lt;&gt;"",$F85&lt;&gt;0),
                        SUMIF(CÁLCULO!$BS$15:$CS$205,CRONO!AL$12,CÁLCULO!$AR$15:$BR$205)/(ORÇAMENTO!$X$15-_xlfn.single(CÁLCULO.TotalAdmLocal))*CRONO!$F85,
                        0),
                 AL84*$S83),
          SUMIF(OFFSET($S85,1,0,$R83-2),($M83+1)&amp;"$",OFFSET(AL85,1,0,$R83-2)))</f>
        <v>3029.46</v>
      </c>
      <c r="AM85" s="439" t="n">
        <f aca="false" t="array" ref="AM85:AM85">IF($R83=2,
         IF(AND(ACOMPANHAMENTO="PLE",ISNUMBER($F83)),
                SUMIF((OFFSET(CÁLCULO!$BS$15:$CS$15,$F83,0,OFFSET(ORÇAMENTO!$D$15,CRONO!$F83,0))),CRONO!AM$12,OFFSET(CÁLCULO!$AR$15:$BR$15,$F83,0,OFFSET(ORÇAMENTO!$D$15,CRONO!$F83,0)))
                +IF(AND($F85&lt;&gt;"",$F85&lt;&gt;0),
                        SUMIF(CÁLCULO!$BS$15:$CS$205,CRONO!AM$12,CÁLCULO!$AR$15:$BR$205)/(ORÇAMENTO!$X$15-_xlfn.single(CÁLCULO.TotalAdmLocal))*CRONO!$F85,
                        0),
                 AM84*$S83),
          SUMIF(OFFSET($S85,1,0,$R83-2),($M83+1)&amp;"$",OFFSET(AM85,1,0,$R83-2)))</f>
        <v>3029.46</v>
      </c>
      <c r="AN85" s="439" t="n">
        <f aca="false" t="array" ref="AN85:AN85">IF($R83=2,
         IF(AND(ACOMPANHAMENTO="PLE",ISNUMBER($F83)),
                SUMIF((OFFSET(CÁLCULO!$BS$15:$CS$15,$F83,0,OFFSET(ORÇAMENTO!$D$15,CRONO!$F83,0))),CRONO!AN$12,OFFSET(CÁLCULO!$AR$15:$BR$15,$F83,0,OFFSET(ORÇAMENTO!$D$15,CRONO!$F83,0)))
                +IF(AND($F85&lt;&gt;"",$F85&lt;&gt;0),
                        SUMIF(CÁLCULO!$BS$15:$CS$205,CRONO!AN$12,CÁLCULO!$AR$15:$BR$205)/(ORÇAMENTO!$X$15-_xlfn.single(CÁLCULO.TotalAdmLocal))*CRONO!$F85,
                        0),
                 AN84*$S83),
          SUMIF(OFFSET($S85,1,0,$R83-2),($M83+1)&amp;"$",OFFSET(AN85,1,0,$R83-2)))</f>
        <v>3029.46</v>
      </c>
      <c r="AO85" s="439" t="n">
        <f aca="false" t="array" ref="AO85:AO85">IF($R83=2,
         IF(AND(ACOMPANHAMENTO="PLE",ISNUMBER($F83)),
                SUMIF((OFFSET(CÁLCULO!$BS$15:$CS$15,$F83,0,OFFSET(ORÇAMENTO!$D$15,CRONO!$F83,0))),CRONO!AO$12,OFFSET(CÁLCULO!$AR$15:$BR$15,$F83,0,OFFSET(ORÇAMENTO!$D$15,CRONO!$F83,0)))
                +IF(AND($F85&lt;&gt;"",$F85&lt;&gt;0),
                        SUMIF(CÁLCULO!$BS$15:$CS$205,CRONO!AO$12,CÁLCULO!$AR$15:$BR$205)/(ORÇAMENTO!$X$15-_xlfn.single(CÁLCULO.TotalAdmLocal))*CRONO!$F85,
                        0),
                 AO84*$S83),
          SUMIF(OFFSET($S85,1,0,$R83-2),($M83+1)&amp;"$",OFFSET(AO85,1,0,$R83-2)))</f>
        <v>3029.46</v>
      </c>
      <c r="AP85" s="439" t="n">
        <f aca="false" t="array" ref="AP85:AP85">IF($R83=2,
         IF(AND(ACOMPANHAMENTO="PLE",ISNUMBER($F83)),
                SUMIF((OFFSET(CÁLCULO!$BS$15:$CS$15,$F83,0,OFFSET(ORÇAMENTO!$D$15,CRONO!$F83,0))),CRONO!AP$12,OFFSET(CÁLCULO!$AR$15:$BR$15,$F83,0,OFFSET(ORÇAMENTO!$D$15,CRONO!$F83,0)))
                +IF(AND($F85&lt;&gt;"",$F85&lt;&gt;0),
                        SUMIF(CÁLCULO!$BS$15:$CS$205,CRONO!AP$12,CÁLCULO!$AR$15:$BR$205)/(ORÇAMENTO!$X$15-_xlfn.single(CÁLCULO.TotalAdmLocal))*CRONO!$F85,
                        0),
                 AP84*$S83),
          SUMIF(OFFSET($S85,1,0,$R83-2),($M83+1)&amp;"$",OFFSET(AP85,1,0,$R83-2)))</f>
        <v>3029.46</v>
      </c>
      <c r="AQ85" s="439" t="n">
        <f aca="false" t="array" ref="AQ85:AQ85">IF($R83=2,
         IF(AND(ACOMPANHAMENTO="PLE",ISNUMBER($F83)),
                SUMIF((OFFSET(CÁLCULO!$BS$15:$CS$15,$F83,0,OFFSET(ORÇAMENTO!$D$15,CRONO!$F83,0))),CRONO!AQ$12,OFFSET(CÁLCULO!$AR$15:$BR$15,$F83,0,OFFSET(ORÇAMENTO!$D$15,CRONO!$F83,0)))
                +IF(AND($F85&lt;&gt;"",$F85&lt;&gt;0),
                        SUMIF(CÁLCULO!$BS$15:$CS$205,CRONO!AQ$12,CÁLCULO!$AR$15:$BR$205)/(ORÇAMENTO!$X$15-_xlfn.single(CÁLCULO.TotalAdmLocal))*CRONO!$F85,
                        0),
                 AQ84*$S83),
          SUMIF(OFFSET($S85,1,0,$R83-2),($M83+1)&amp;"$",OFFSET(AQ85,1,0,$R83-2)))</f>
        <v>3029.46</v>
      </c>
      <c r="AR85" s="439" t="n">
        <f aca="false" t="array" ref="AR85:AR85">IF($R83=2,
         IF(AND(ACOMPANHAMENTO="PLE",ISNUMBER($F83)),
                SUMIF((OFFSET(CÁLCULO!$BS$15:$CS$15,$F83,0,OFFSET(ORÇAMENTO!$D$15,CRONO!$F83,0))),CRONO!AR$12,OFFSET(CÁLCULO!$AR$15:$BR$15,$F83,0,OFFSET(ORÇAMENTO!$D$15,CRONO!$F83,0)))
                +IF(AND($F85&lt;&gt;"",$F85&lt;&gt;0),
                        SUMIF(CÁLCULO!$BS$15:$CS$205,CRONO!AR$12,CÁLCULO!$AR$15:$BR$205)/(ORÇAMENTO!$X$15-_xlfn.single(CÁLCULO.TotalAdmLocal))*CRONO!$F85,
                        0),
                 AR84*$S83),
          SUMIF(OFFSET($S85,1,0,$R83-2),($M83+1)&amp;"$",OFFSET(AR85,1,0,$R83-2)))</f>
        <v>3029.46</v>
      </c>
      <c r="AS85" s="439" t="n">
        <f aca="false" t="array" ref="AS85:AS85">IF($R83=2,
         IF(AND(ACOMPANHAMENTO="PLE",ISNUMBER($F83)),
                SUMIF((OFFSET(CÁLCULO!$BS$15:$CS$15,$F83,0,OFFSET(ORÇAMENTO!$D$15,CRONO!$F83,0))),CRONO!AS$12,OFFSET(CÁLCULO!$AR$15:$BR$15,$F83,0,OFFSET(ORÇAMENTO!$D$15,CRONO!$F83,0)))
                +IF(AND($F85&lt;&gt;"",$F85&lt;&gt;0),
                        SUMIF(CÁLCULO!$BS$15:$CS$205,CRONO!AS$12,CÁLCULO!$AR$15:$BR$205)/(ORÇAMENTO!$X$15-_xlfn.single(CÁLCULO.TotalAdmLocal))*CRONO!$F85,
                        0),
                 AS84*$S83),
          SUMIF(OFFSET($S85,1,0,$R83-2),($M83+1)&amp;"$",OFFSET(AS85,1,0,$R83-2)))</f>
        <v>3029.46</v>
      </c>
      <c r="AT85" s="439" t="n">
        <f aca="false" t="array" ref="AT85:AT85">IF($R83=2,
         IF(AND(ACOMPANHAMENTO="PLE",ISNUMBER($F83)),
                SUMIF((OFFSET(CÁLCULO!$BS$15:$CS$15,$F83,0,OFFSET(ORÇAMENTO!$D$15,CRONO!$F83,0))),CRONO!AT$12,OFFSET(CÁLCULO!$AR$15:$BR$15,$F83,0,OFFSET(ORÇAMENTO!$D$15,CRONO!$F83,0)))
                +IF(AND($F85&lt;&gt;"",$F85&lt;&gt;0),
                        SUMIF(CÁLCULO!$BS$15:$CS$205,CRONO!AT$12,CÁLCULO!$AR$15:$BR$205)/(ORÇAMENTO!$X$15-_xlfn.single(CÁLCULO.TotalAdmLocal))*CRONO!$F85,
                        0),
                 AT84*$S83),
          SUMIF(OFFSET($S85,1,0,$R83-2),($M83+1)&amp;"$",OFFSET(AT85,1,0,$R83-2)))</f>
        <v>0</v>
      </c>
      <c r="AU85" s="439" t="n">
        <f aca="false" t="array" ref="AU85:AU85">IF($R83=2,
         IF(AND(ACOMPANHAMENTO="PLE",ISNUMBER($F83)),
                SUMIF((OFFSET(CÁLCULO!$BS$15:$CS$15,$F83,0,OFFSET(ORÇAMENTO!$D$15,CRONO!$F83,0))),CRONO!AU$12,OFFSET(CÁLCULO!$AR$15:$BR$15,$F83,0,OFFSET(ORÇAMENTO!$D$15,CRONO!$F83,0)))
                +IF(AND($F85&lt;&gt;"",$F85&lt;&gt;0),
                        SUMIF(CÁLCULO!$BS$15:$CS$205,CRONO!AU$12,CÁLCULO!$AR$15:$BR$205)/(ORÇAMENTO!$X$15-_xlfn.single(CÁLCULO.TotalAdmLocal))*CRONO!$F85,
                        0),
                 AU84*$S83),
          SUMIF(OFFSET($S85,1,0,$R83-2),($M83+1)&amp;"$",OFFSET(AU85,1,0,$R83-2)))</f>
        <v>0</v>
      </c>
      <c r="AV85" s="439" t="n">
        <f aca="false" t="array" ref="AV85:AV85">IF($R83=2,
         IF(AND(ACOMPANHAMENTO="PLE",ISNUMBER($F83)),
                SUMIF((OFFSET(CÁLCULO!$BS$15:$CS$15,$F83,0,OFFSET(ORÇAMENTO!$D$15,CRONO!$F83,0))),CRONO!AV$12,OFFSET(CÁLCULO!$AR$15:$BR$15,$F83,0,OFFSET(ORÇAMENTO!$D$15,CRONO!$F83,0)))
                +IF(AND($F85&lt;&gt;"",$F85&lt;&gt;0),
                        SUMIF(CÁLCULO!$BS$15:$CS$205,CRONO!AV$12,CÁLCULO!$AR$15:$BR$205)/(ORÇAMENTO!$X$15-_xlfn.single(CÁLCULO.TotalAdmLocal))*CRONO!$F85,
                        0),
                 AV84*$S83),
          SUMIF(OFFSET($S85,1,0,$R83-2),($M83+1)&amp;"$",OFFSET(AV85,1,0,$R83-2)))</f>
        <v>0</v>
      </c>
      <c r="AW85" s="439" t="n">
        <f aca="false" t="array" ref="AW85:AW85">IF($R83=2,
         IF(AND(ACOMPANHAMENTO="PLE",ISNUMBER($F83)),
                SUMIF((OFFSET(CÁLCULO!$BS$15:$CS$15,$F83,0,OFFSET(ORÇAMENTO!$D$15,CRONO!$F83,0))),CRONO!AW$12,OFFSET(CÁLCULO!$AR$15:$BR$15,$F83,0,OFFSET(ORÇAMENTO!$D$15,CRONO!$F83,0)))
                +IF(AND($F85&lt;&gt;"",$F85&lt;&gt;0),
                        SUMIF(CÁLCULO!$BS$15:$CS$205,CRONO!AW$12,CÁLCULO!$AR$15:$BR$205)/(ORÇAMENTO!$X$15-_xlfn.single(CÁLCULO.TotalAdmLocal))*CRONO!$F85,
                        0),
                 AW84*$S83),
          SUMIF(OFFSET($S85,1,0,$R83-2),($M83+1)&amp;"$",OFFSET(AW85,1,0,$R83-2)))</f>
        <v>0</v>
      </c>
      <c r="AX85" s="439" t="n">
        <f aca="false" t="array" ref="AX85:AX85">IF($R83=2,
         IF(AND(ACOMPANHAMENTO="PLE",ISNUMBER($F83)),
                SUMIF((OFFSET(CÁLCULO!$BS$15:$CS$15,$F83,0,OFFSET(ORÇAMENTO!$D$15,CRONO!$F83,0))),CRONO!AX$12,OFFSET(CÁLCULO!$AR$15:$BR$15,$F83,0,OFFSET(ORÇAMENTO!$D$15,CRONO!$F83,0)))
                +IF(AND($F85&lt;&gt;"",$F85&lt;&gt;0),
                        SUMIF(CÁLCULO!$BS$15:$CS$205,CRONO!AX$12,CÁLCULO!$AR$15:$BR$205)/(ORÇAMENTO!$X$15-_xlfn.single(CÁLCULO.TotalAdmLocal))*CRONO!$F85,
                        0),
                 AX84*$S83),
          SUMIF(OFFSET($S85,1,0,$R83-2),($M83+1)&amp;"$",OFFSET(AX85,1,0,$R83-2)))</f>
        <v>0</v>
      </c>
      <c r="AY85" s="439" t="n">
        <f aca="false" t="array" ref="AY85:AY85">IF($R83=2,
         IF(AND(ACOMPANHAMENTO="PLE",ISNUMBER($F83)),
                SUMIF((OFFSET(CÁLCULO!$BS$15:$CS$15,$F83,0,OFFSET(ORÇAMENTO!$D$15,CRONO!$F83,0))),CRONO!AY$12,OFFSET(CÁLCULO!$AR$15:$BR$15,$F83,0,OFFSET(ORÇAMENTO!$D$15,CRONO!$F83,0)))
                +IF(AND($F85&lt;&gt;"",$F85&lt;&gt;0),
                        SUMIF(CÁLCULO!$BS$15:$CS$205,CRONO!AY$12,CÁLCULO!$AR$15:$BR$205)/(ORÇAMENTO!$X$15-_xlfn.single(CÁLCULO.TotalAdmLocal))*CRONO!$F85,
                        0),
                 AY84*$S83),
          SUMIF(OFFSET($S85,1,0,$R83-2),($M83+1)&amp;"$",OFFSET(AY85,1,0,$R83-2)))</f>
        <v>0</v>
      </c>
      <c r="AZ85" s="439" t="n">
        <f aca="false" t="array" ref="AZ85:AZ85">IF($R83=2,
         IF(AND(ACOMPANHAMENTO="PLE",ISNUMBER($F83)),
                SUMIF((OFFSET(CÁLCULO!$BS$15:$CS$15,$F83,0,OFFSET(ORÇAMENTO!$D$15,CRONO!$F83,0))),CRONO!AZ$12,OFFSET(CÁLCULO!$AR$15:$BR$15,$F83,0,OFFSET(ORÇAMENTO!$D$15,CRONO!$F83,0)))
                +IF(AND($F85&lt;&gt;"",$F85&lt;&gt;0),
                        SUMIF(CÁLCULO!$BS$15:$CS$205,CRONO!AZ$12,CÁLCULO!$AR$15:$BR$205)/(ORÇAMENTO!$X$15-_xlfn.single(CÁLCULO.TotalAdmLocal))*CRONO!$F85,
                        0),
                 AZ84*$S83),
          SUMIF(OFFSET($S85,1,0,$R83-2),($M83+1)&amp;"$",OFFSET(AZ85,1,0,$R83-2)))</f>
        <v>0</v>
      </c>
      <c r="BA85" s="439" t="n">
        <f aca="false" t="array" ref="BA85:BA85">IF($R83=2,
         IF(AND(ACOMPANHAMENTO="PLE",ISNUMBER($F83)),
                SUMIF((OFFSET(CÁLCULO!$BS$15:$CS$15,$F83,0,OFFSET(ORÇAMENTO!$D$15,CRONO!$F83,0))),CRONO!BA$12,OFFSET(CÁLCULO!$AR$15:$BR$15,$F83,0,OFFSET(ORÇAMENTO!$D$15,CRONO!$F83,0)))
                +IF(AND($F85&lt;&gt;"",$F85&lt;&gt;0),
                        SUMIF(CÁLCULO!$BS$15:$CS$205,CRONO!BA$12,CÁLCULO!$AR$15:$BR$205)/(ORÇAMENTO!$X$15-_xlfn.single(CÁLCULO.TotalAdmLocal))*CRONO!$F85,
                        0),
                 BA84*$S83),
          SUMIF(OFFSET($S85,1,0,$R83-2),($M83+1)&amp;"$",OFFSET(BA85,1,0,$R83-2)))</f>
        <v>0</v>
      </c>
      <c r="BB85" s="439" t="n">
        <f aca="false" t="array" ref="BB85:BB85">IF($R83=2,
         IF(AND(ACOMPANHAMENTO="PLE",ISNUMBER($F83)),
                SUMIF((OFFSET(CÁLCULO!$BS$15:$CS$15,$F83,0,OFFSET(ORÇAMENTO!$D$15,CRONO!$F83,0))),CRONO!BB$12,OFFSET(CÁLCULO!$AR$15:$BR$15,$F83,0,OFFSET(ORÇAMENTO!$D$15,CRONO!$F83,0)))
                +IF(AND($F85&lt;&gt;"",$F85&lt;&gt;0),
                        SUMIF(CÁLCULO!$BS$15:$CS$205,CRONO!BB$12,CÁLCULO!$AR$15:$BR$205)/(ORÇAMENTO!$X$15-_xlfn.single(CÁLCULO.TotalAdmLocal))*CRONO!$F85,
                        0),
                 BB84*$S83),
          SUMIF(OFFSET($S85,1,0,$R83-2),($M83+1)&amp;"$",OFFSET(BB85,1,0,$R83-2)))</f>
        <v>0</v>
      </c>
      <c r="BC85" s="439" t="n">
        <f aca="false" t="array" ref="BC85:BC85">IF($R83=2,
         IF(AND(ACOMPANHAMENTO="PLE",ISNUMBER($F83)),
                SUMIF((OFFSET(CÁLCULO!$BS$15:$CS$15,$F83,0,OFFSET(ORÇAMENTO!$D$15,CRONO!$F83,0))),CRONO!BC$12,OFFSET(CÁLCULO!$AR$15:$BR$15,$F83,0,OFFSET(ORÇAMENTO!$D$15,CRONO!$F83,0)))
                +IF(AND($F85&lt;&gt;"",$F85&lt;&gt;0),
                        SUMIF(CÁLCULO!$BS$15:$CS$205,CRONO!BC$12,CÁLCULO!$AR$15:$BR$205)/(ORÇAMENTO!$X$15-_xlfn.single(CÁLCULO.TotalAdmLocal))*CRONO!$F85,
                        0),
                 BC84*$S83),
          SUMIF(OFFSET($S85,1,0,$R83-2),($M83+1)&amp;"$",OFFSET(BC85,1,0,$R83-2)))</f>
        <v>0</v>
      </c>
      <c r="BD85" s="439" t="n">
        <f aca="false" t="array" ref="BD85:BD85">IF($R83=2,
         IF(AND(ACOMPANHAMENTO="PLE",ISNUMBER($F83)),
                SUMIF((OFFSET(CÁLCULO!$BS$15:$CS$15,$F83,0,OFFSET(ORÇAMENTO!$D$15,CRONO!$F83,0))),CRONO!BD$12,OFFSET(CÁLCULO!$AR$15:$BR$15,$F83,0,OFFSET(ORÇAMENTO!$D$15,CRONO!$F83,0)))
                +IF(AND($F85&lt;&gt;"",$F85&lt;&gt;0),
                        SUMIF(CÁLCULO!$BS$15:$CS$205,CRONO!BD$12,CÁLCULO!$AR$15:$BR$205)/(ORÇAMENTO!$X$15-_xlfn.single(CÁLCULO.TotalAdmLocal))*CRONO!$F85,
                        0),
                 BD84*$S83),
          SUMIF(OFFSET($S85,1,0,$R83-2),($M83+1)&amp;"$",OFFSET(BD85,1,0,$R83-2)))</f>
        <v>0</v>
      </c>
      <c r="BE85" s="430"/>
    </row>
    <row r="86" customFormat="false" ht="12.75" hidden="false" customHeight="false" outlineLevel="0" collapsed="false">
      <c r="A86" s="382" t="str">
        <f aca="false">IF($M86&gt;1,_xlfn.CONCAT($I86," ",$J86),"")</f>
        <v>1.24. PINTURAS EXTERNAS</v>
      </c>
      <c r="B86" s="419" t="n">
        <f aca="true">OFFSET(B86,-3,0)+1</f>
        <v>25</v>
      </c>
      <c r="C86" s="419" t="n">
        <f aca="true">IF($R86&lt;&gt;2,0,IF($S86=0,1,IF(F87&gt;0,OFFSET(QCI!$M$13,SUBSTITUTE(F87,".",""),0),OFFSET(ORÇAMENTO!$AA$15,CRONO!$F86,0))/$S86))</f>
        <v>0.110981526562671</v>
      </c>
      <c r="D86" s="419" t="n">
        <f aca="true">IF($R86&lt;&gt;2,0,IF($S86=0,1,IF(F87&gt;0,OFFSET(QCI!$N$13,SUBSTITUTE(F87,".",""),0),OFFSET(ORÇAMENTO!$AB$15,CRONO!$F86,0))/$S86))</f>
        <v>0</v>
      </c>
      <c r="E86" s="422" t="n">
        <f aca="false" t="array" ref="E86:E86">IF(AND($R86=2,ACOMPANHAMENTO="BM"),ROUND(E87,4),E88/$S86)</f>
        <v>0.04</v>
      </c>
      <c r="F86" s="419" t="n">
        <f aca="true">IF(B86&lt;=ORÇAMENTO.MáximoListaCrono,MATCH(B86,ORÇAMENTO.ListaCrono,0),NA())</f>
        <v>79</v>
      </c>
      <c r="G86" s="419" t="str">
        <f aca="false">IF(AND($F87&lt;&gt;-1,$S86&gt;0),"F","")</f>
        <v>F</v>
      </c>
      <c r="H86" s="423" t="str">
        <f aca="false" t="array" ref="H86:H86">IF(OR(S86=0,S86=""),"Linha",IF(AND(OR(ACOMPANHAMENTO="PLE",$R86&lt;&gt;2),$F87=0),"Linha",ROUND(1-SUM(U86:BE86),4)))</f>
        <v>Linha</v>
      </c>
      <c r="I86" s="424" t="str">
        <f aca="true">IF($F87=0,OFFSET(ORÇAMENTO!O$15,$F86,0),IF($F87&lt;&gt;-1,OFFSET(QCI!$D$13,$F87,0),""))</f>
        <v>1.24.</v>
      </c>
      <c r="J86" s="425" t="str">
        <f aca="true">IF($F87=0,OFFSET(ORÇAMENTO!R$15,$F86,0),IF($F87&lt;&gt;-1,OFFSET(QCI!$G$13,$F87,0),""))</f>
        <v>PINTURAS EXTERNAS</v>
      </c>
      <c r="K86" s="425"/>
      <c r="L86" s="425"/>
      <c r="M86" s="426" t="n">
        <f aca="true">IF($F87=0,OFFSET(ORÇAMENTO!C$15,$F86,0),1)</f>
        <v>2</v>
      </c>
      <c r="N86" s="427" t="n">
        <f aca="true">IF($F87=-1,0,IF(N$13&lt;=$M86,IF(ISERROR(MATCH(N$13,OFFSET($M86,1,0,ROW($M$182)-ROW($M86)-1),0)),ROW($M$182)-ROW($M86)-1,MATCH(N$13,OFFSET($M86,1,0,ROW($M$182)-ROW($M86)-1),0)-1),0))</f>
        <v>95</v>
      </c>
      <c r="O86" s="427" t="n">
        <f aca="true">IF($F87=-1,0,IF(O$13&lt;=$M86,IF(ISERROR(MATCH(O$13,OFFSET($M86,1,0,ROW($M$182)-ROW($M86)-1),0)),ROW($M$182)-ROW($M86)-1,MATCH(O$13,OFFSET($M86,1,0,ROW($M$182)-ROW($M86)-1),0)-1),0))</f>
        <v>2</v>
      </c>
      <c r="P86" s="427" t="n">
        <f aca="true">IF($F87=-1,0,IF(P$13&lt;=$M86,IF(ISERROR(MATCH(P$13,OFFSET($M86,1,0,ROW($M$182)-ROW($M86)-1),0)),ROW($M$182)-ROW($M86)-1,MATCH(P$13,OFFSET($M86,1,0,ROW($M$182)-ROW($M86)-1),0)-1),0))</f>
        <v>0</v>
      </c>
      <c r="Q86" s="427" t="n">
        <f aca="true">IF($F87=-1,0,IF(Q$13&lt;=$M86,IF(ISERROR(MATCH(Q$13,OFFSET($M86,1,0,ROW($M$182)-ROW($M86)-1),0)),ROW($M$182)-ROW($M86)-1,MATCH(Q$13,OFFSET($M86,1,0,ROW($M$182)-ROW($M86)-1),0)-1),0))</f>
        <v>0</v>
      </c>
      <c r="R86" s="427" t="n">
        <f aca="true">MIN(OFFSET(M86,0,1,,M86))</f>
        <v>2</v>
      </c>
      <c r="S86" s="428" t="n">
        <f aca="true">IF($F87=0,OFFSET(ORÇAMENTO!X$15,$F86,0),IF($F87&lt;&gt;-1,OFFSET(QCI!$O$13,$F87,0),""))</f>
        <v>69716.75</v>
      </c>
      <c r="T86" s="429" t="s">
        <v>996</v>
      </c>
      <c r="U86" s="422" t="n">
        <f aca="false" t="array" ref="U86:U86">IF(AND($R86=2,ACOMPANHAMENTO="BM"),ROUND(U87,4),U88/$S86)</f>
        <v>0.04</v>
      </c>
      <c r="V86" s="422" t="n">
        <f aca="false" t="array" ref="V86:V86">IF(AND($R86=2,ACOMPANHAMENTO="BM"),ROUND(V87,4),V88/$S86)</f>
        <v>0.04</v>
      </c>
      <c r="W86" s="422" t="n">
        <f aca="false" t="array" ref="W86:W86">IF(AND($R86=2,ACOMPANHAMENTO="BM"),ROUND(W87,4),W88/$S86)</f>
        <v>0.04</v>
      </c>
      <c r="X86" s="422" t="n">
        <f aca="false" t="array" ref="X86:X86">IF(AND($R86=2,ACOMPANHAMENTO="BM"),ROUND(X87,4),X88/$S86)</f>
        <v>0.04</v>
      </c>
      <c r="Y86" s="422" t="n">
        <f aca="false" t="array" ref="Y86:Y86">IF(AND($R86=2,ACOMPANHAMENTO="BM"),ROUND(Y87,4),Y88/$S86)</f>
        <v>0.04</v>
      </c>
      <c r="Z86" s="422" t="n">
        <f aca="false" t="array" ref="Z86:Z86">IF(AND($R86=2,ACOMPANHAMENTO="BM"),ROUND(Z87,4),Z88/$S86)</f>
        <v>0.04</v>
      </c>
      <c r="AA86" s="422" t="n">
        <f aca="false" t="array" ref="AA86:AA86">IF(AND($R86=2,ACOMPANHAMENTO="BM"),ROUND(AA87,4),AA88/$S86)</f>
        <v>0.04</v>
      </c>
      <c r="AB86" s="422" t="n">
        <f aca="false" t="array" ref="AB86:AB86">IF(AND($R86=2,ACOMPANHAMENTO="BM"),ROUND(AB87,4),AB88/$S86)</f>
        <v>0.04</v>
      </c>
      <c r="AC86" s="422" t="n">
        <f aca="false" t="array" ref="AC86:AC86">IF(AND($R86=2,ACOMPANHAMENTO="BM"),ROUND(AC87,4),AC88/$S86)</f>
        <v>0.04</v>
      </c>
      <c r="AD86" s="422" t="n">
        <f aca="false" t="array" ref="AD86:AD86">IF(AND($R86=2,ACOMPANHAMENTO="BM"),ROUND(AD87,4),AD88/$S86)</f>
        <v>0.04</v>
      </c>
      <c r="AE86" s="422" t="n">
        <f aca="false" t="array" ref="AE86:AE86">IF(AND($R86=2,ACOMPANHAMENTO="BM"),ROUND(AE87,4),AE88/$S86)</f>
        <v>0.04</v>
      </c>
      <c r="AF86" s="422" t="n">
        <f aca="false" t="array" ref="AF86:AF86">IF(AND($R86=2,ACOMPANHAMENTO="BM"),ROUND(AF87,4),AF88/$S86)</f>
        <v>0.04</v>
      </c>
      <c r="AG86" s="422" t="n">
        <f aca="false" t="array" ref="AG86:AG86">IF(AND($R86=2,ACOMPANHAMENTO="BM"),ROUND(AG87,4),AG88/$S86)</f>
        <v>0.04</v>
      </c>
      <c r="AH86" s="422" t="n">
        <f aca="false" t="array" ref="AH86:AH86">IF(AND($R86=2,ACOMPANHAMENTO="BM"),ROUND(AH87,4),AH88/$S86)</f>
        <v>0.04</v>
      </c>
      <c r="AI86" s="422" t="n">
        <f aca="false" t="array" ref="AI86:AI86">IF(AND($R86=2,ACOMPANHAMENTO="BM"),ROUND(AI87,4),AI88/$S86)</f>
        <v>0.04</v>
      </c>
      <c r="AJ86" s="422" t="n">
        <f aca="false" t="array" ref="AJ86:AJ86">IF(AND($R86=2,ACOMPANHAMENTO="BM"),ROUND(AJ87,4),AJ88/$S86)</f>
        <v>0.04</v>
      </c>
      <c r="AK86" s="422" t="n">
        <f aca="false" t="array" ref="AK86:AK86">IF(AND($R86=2,ACOMPANHAMENTO="BM"),ROUND(AK87,4),AK88/$S86)</f>
        <v>0.04</v>
      </c>
      <c r="AL86" s="422" t="n">
        <f aca="false" t="array" ref="AL86:AL86">IF(AND($R86=2,ACOMPANHAMENTO="BM"),ROUND(AL87,4),AL88/$S86)</f>
        <v>0.04</v>
      </c>
      <c r="AM86" s="422" t="n">
        <f aca="false" t="array" ref="AM86:AM86">IF(AND($R86=2,ACOMPANHAMENTO="BM"),ROUND(AM87,4),AM88/$S86)</f>
        <v>0.04</v>
      </c>
      <c r="AN86" s="422" t="n">
        <f aca="false" t="array" ref="AN86:AN86">IF(AND($R86=2,ACOMPANHAMENTO="BM"),ROUND(AN87,4),AN88/$S86)</f>
        <v>0.04</v>
      </c>
      <c r="AO86" s="422" t="n">
        <f aca="false" t="array" ref="AO86:AO86">IF(AND($R86=2,ACOMPANHAMENTO="BM"),ROUND(AO87,4),AO88/$S86)</f>
        <v>0.04</v>
      </c>
      <c r="AP86" s="422" t="n">
        <f aca="false" t="array" ref="AP86:AP86">IF(AND($R86=2,ACOMPANHAMENTO="BM"),ROUND(AP87,4),AP88/$S86)</f>
        <v>0.04</v>
      </c>
      <c r="AQ86" s="422" t="n">
        <f aca="false" t="array" ref="AQ86:AQ86">IF(AND($R86=2,ACOMPANHAMENTO="BM"),ROUND(AQ87,4),AQ88/$S86)</f>
        <v>0.04</v>
      </c>
      <c r="AR86" s="422" t="n">
        <f aca="false" t="array" ref="AR86:AR86">IF(AND($R86=2,ACOMPANHAMENTO="BM"),ROUND(AR87,4),AR88/$S86)</f>
        <v>0.04</v>
      </c>
      <c r="AS86" s="422" t="n">
        <f aca="false" t="array" ref="AS86:AS86">IF(AND($R86=2,ACOMPANHAMENTO="BM"),ROUND(AS87,4),AS88/$S86)</f>
        <v>0.04</v>
      </c>
      <c r="AT86" s="422" t="n">
        <f aca="false" t="array" ref="AT86:AT86">IF(AND($R86=2,ACOMPANHAMENTO="BM"),ROUND(AT87,4),AT88/$S86)</f>
        <v>0</v>
      </c>
      <c r="AU86" s="422" t="n">
        <f aca="false" t="array" ref="AU86:AU86">IF(AND($R86=2,ACOMPANHAMENTO="BM"),ROUND(AU87,4),AU88/$S86)</f>
        <v>0</v>
      </c>
      <c r="AV86" s="422" t="n">
        <f aca="false" t="array" ref="AV86:AV86">IF(AND($R86=2,ACOMPANHAMENTO="BM"),ROUND(AV87,4),AV88/$S86)</f>
        <v>0</v>
      </c>
      <c r="AW86" s="422" t="n">
        <f aca="false" t="array" ref="AW86:AW86">IF(AND($R86=2,ACOMPANHAMENTO="BM"),ROUND(AW87,4),AW88/$S86)</f>
        <v>0</v>
      </c>
      <c r="AX86" s="422" t="n">
        <f aca="false" t="array" ref="AX86:AX86">IF(AND($R86=2,ACOMPANHAMENTO="BM"),ROUND(AX87,4),AX88/$S86)</f>
        <v>0</v>
      </c>
      <c r="AY86" s="422" t="n">
        <f aca="false" t="array" ref="AY86:AY86">IF(AND($R86=2,ACOMPANHAMENTO="BM"),ROUND(AY87,4),AY88/$S86)</f>
        <v>0</v>
      </c>
      <c r="AZ86" s="422" t="n">
        <f aca="false" t="array" ref="AZ86:AZ86">IF(AND($R86=2,ACOMPANHAMENTO="BM"),ROUND(AZ87,4),AZ88/$S86)</f>
        <v>0</v>
      </c>
      <c r="BA86" s="422" t="n">
        <f aca="false" t="array" ref="BA86:BA86">IF(AND($R86=2,ACOMPANHAMENTO="BM"),ROUND(BA87,4),BA88/$S86)</f>
        <v>0</v>
      </c>
      <c r="BB86" s="422" t="n">
        <f aca="false" t="array" ref="BB86:BB86">IF(AND($R86=2,ACOMPANHAMENTO="BM"),ROUND(BB87,4),BB88/$S86)</f>
        <v>0</v>
      </c>
      <c r="BC86" s="422" t="n">
        <f aca="false" t="array" ref="BC86:BC86">IF(AND($R86=2,ACOMPANHAMENTO="BM"),ROUND(BC87,4),BC88/$S86)</f>
        <v>0</v>
      </c>
      <c r="BD86" s="422" t="n">
        <f aca="false" t="array" ref="BD86:BD86">IF(AND($R86=2,ACOMPANHAMENTO="BM"),ROUND(BD87,4),BD88/$S86)</f>
        <v>0</v>
      </c>
      <c r="BE86" s="430"/>
    </row>
    <row r="87" customFormat="false" ht="12.75" hidden="true" customHeight="true" outlineLevel="0" collapsed="false">
      <c r="E87" s="431"/>
      <c r="F87" s="419" t="n">
        <f aca="true">IF(ISERROR(F86),IF(1+COUNTIF($M$13:OFFSET(M86,-1,0),1)&lt;=MAX(QCI!$D$13:$D$15),1+COUNTIF($M$13:OFFSET(M86,-1,0),1),-1),0)</f>
        <v>0</v>
      </c>
      <c r="G87" s="419" t="str">
        <f aca="true" t="array" ref="G87:G87">IF(ACOMPANHAMENTO="BM",OFFSET(G87,-1,0),"")</f>
        <v/>
      </c>
      <c r="H87" s="432" t="str">
        <f aca="false" t="array" ref="H87:H87">IF(OR(S86=0,S86=""),"vazia",IF(AND(OR(ACOMPANHAMENTO="PLE",$R86&lt;&gt;2),$F87=0),"calculada","--&gt;"))</f>
        <v>calculada</v>
      </c>
      <c r="I87" s="433"/>
      <c r="J87" s="434" t="str">
        <f aca="false">IF(AND(H86&lt;&gt;0,ISNUMBER(H86)),"PREENCHA ESTA LINHA --&gt;","")</f>
        <v/>
      </c>
      <c r="K87" s="434"/>
      <c r="L87" s="434"/>
      <c r="M87" s="435"/>
      <c r="N87" s="435"/>
      <c r="O87" s="435"/>
      <c r="P87" s="435"/>
      <c r="Q87" s="435"/>
      <c r="R87" s="435"/>
      <c r="S87" s="436"/>
      <c r="T87" s="437"/>
      <c r="U87" s="431"/>
      <c r="V87" s="431"/>
      <c r="W87" s="431"/>
      <c r="X87" s="431"/>
      <c r="Y87" s="431"/>
      <c r="Z87" s="431"/>
      <c r="AA87" s="431"/>
      <c r="AB87" s="431"/>
      <c r="AC87" s="431"/>
      <c r="AD87" s="431"/>
      <c r="AE87" s="431"/>
      <c r="AF87" s="431"/>
      <c r="AG87" s="431"/>
      <c r="AH87" s="431"/>
      <c r="AI87" s="431"/>
      <c r="AJ87" s="431"/>
      <c r="AK87" s="431"/>
      <c r="AL87" s="431"/>
      <c r="AM87" s="431"/>
      <c r="AN87" s="431"/>
      <c r="AO87" s="431"/>
      <c r="AP87" s="431"/>
      <c r="AQ87" s="431"/>
      <c r="AR87" s="431"/>
      <c r="AS87" s="431"/>
      <c r="AT87" s="431"/>
      <c r="AU87" s="431"/>
      <c r="AV87" s="431"/>
      <c r="AW87" s="431"/>
      <c r="AX87" s="431"/>
      <c r="AY87" s="431"/>
      <c r="AZ87" s="431"/>
      <c r="BA87" s="431"/>
      <c r="BB87" s="431"/>
      <c r="BC87" s="431"/>
      <c r="BD87" s="431"/>
      <c r="BE87" s="430"/>
    </row>
    <row r="88" customFormat="false" ht="12.75" hidden="true" customHeight="true" outlineLevel="0" collapsed="false">
      <c r="D88" s="438"/>
      <c r="E88" s="439" t="n">
        <f aca="false" t="array" ref="E88:E88">IF($R86=2,
         IF(AND(ACOMPANHAMENTO="PLE",ISNUMBER($F86)),
                SUMIF((OFFSET(CÁLCULO!$BS$15:$CS$15,$F86,0,OFFSET(ORÇAMENTO!$D$15,CRONO!$F86,0))),CRONO!E$12,OFFSET(CÁLCULO!$AR$15:$BR$15,$F86,0,OFFSET(ORÇAMENTO!$D$15,CRONO!$F86,0)))
                +IF(AND($F88&lt;&gt;"",$F88&lt;&gt;0),
                        SUMIF(CÁLCULO!$BS$15:$CS$205,CRONO!E$12,CÁLCULO!$AR$15:$BR$205)/(ORÇAMENTO!$X$15-_xlfn.single(CÁLCULO.TotalAdmLocal))*CRONO!$F88,
                        0),
                 E87*$S86),
          SUMIF(OFFSET($S88,1,0,$R86-2),($M86+1)&amp;"$",OFFSET(E88,1,0,$R86-2)))</f>
        <v>2788.67</v>
      </c>
      <c r="F88" s="419" t="str">
        <f aca="true">IF(OR($R86&lt;&gt;2,AUTOEVENTO&lt;&gt;"manual",$F87&gt;0),"",
        IF(Import.TipoArredondamento="Tradicional",
              SUMIF(OFFSET(CÁLCULO!$M$15,CRONO!$F86,0,OFFSET(ORÇAMENTO!$D$15,CRONO!$F86,0)),1,OFFSET(ORÇAMENTO!$X$15,CRONO!$F86,0,OFFSET(ORÇAMENTO!$D$15,CRONO!$F86,0))),
              0))</f>
        <v/>
      </c>
      <c r="H88" s="440"/>
      <c r="S88" s="441" t="str">
        <f aca="false">M86&amp;"$"</f>
        <v>2$</v>
      </c>
      <c r="T88" s="442"/>
      <c r="U88" s="439" t="n">
        <f aca="false" t="array" ref="U88:U88">IF($R86=2,
         IF(AND(ACOMPANHAMENTO="PLE",ISNUMBER($F86)),
                SUMIF((OFFSET(CÁLCULO!$BS$15:$CS$15,$F86,0,OFFSET(ORÇAMENTO!$D$15,CRONO!$F86,0))),CRONO!U$12,OFFSET(CÁLCULO!$AR$15:$BR$15,$F86,0,OFFSET(ORÇAMENTO!$D$15,CRONO!$F86,0)))
                +IF(AND($F88&lt;&gt;"",$F88&lt;&gt;0),
                        SUMIF(CÁLCULO!$BS$15:$CS$205,CRONO!U$12,CÁLCULO!$AR$15:$BR$205)/(ORÇAMENTO!$X$15-_xlfn.single(CÁLCULO.TotalAdmLocal))*CRONO!$F88,
                        0),
                 U87*$S86),
          SUMIF(OFFSET($S88,1,0,$R86-2),($M86+1)&amp;"$",OFFSET(U88,1,0,$R86-2)))</f>
        <v>2788.67</v>
      </c>
      <c r="V88" s="439" t="n">
        <f aca="false" t="array" ref="V88:V88">IF($R86=2,
         IF(AND(ACOMPANHAMENTO="PLE",ISNUMBER($F86)),
                SUMIF((OFFSET(CÁLCULO!$BS$15:$CS$15,$F86,0,OFFSET(ORÇAMENTO!$D$15,CRONO!$F86,0))),CRONO!V$12,OFFSET(CÁLCULO!$AR$15:$BR$15,$F86,0,OFFSET(ORÇAMENTO!$D$15,CRONO!$F86,0)))
                +IF(AND($F88&lt;&gt;"",$F88&lt;&gt;0),
                        SUMIF(CÁLCULO!$BS$15:$CS$205,CRONO!V$12,CÁLCULO!$AR$15:$BR$205)/(ORÇAMENTO!$X$15-_xlfn.single(CÁLCULO.TotalAdmLocal))*CRONO!$F88,
                        0),
                 V87*$S86),
          SUMIF(OFFSET($S88,1,0,$R86-2),($M86+1)&amp;"$",OFFSET(V88,1,0,$R86-2)))</f>
        <v>2788.67</v>
      </c>
      <c r="W88" s="439" t="n">
        <f aca="false" t="array" ref="W88:W88">IF($R86=2,
         IF(AND(ACOMPANHAMENTO="PLE",ISNUMBER($F86)),
                SUMIF((OFFSET(CÁLCULO!$BS$15:$CS$15,$F86,0,OFFSET(ORÇAMENTO!$D$15,CRONO!$F86,0))),CRONO!W$12,OFFSET(CÁLCULO!$AR$15:$BR$15,$F86,0,OFFSET(ORÇAMENTO!$D$15,CRONO!$F86,0)))
                +IF(AND($F88&lt;&gt;"",$F88&lt;&gt;0),
                        SUMIF(CÁLCULO!$BS$15:$CS$205,CRONO!W$12,CÁLCULO!$AR$15:$BR$205)/(ORÇAMENTO!$X$15-_xlfn.single(CÁLCULO.TotalAdmLocal))*CRONO!$F88,
                        0),
                 W87*$S86),
          SUMIF(OFFSET($S88,1,0,$R86-2),($M86+1)&amp;"$",OFFSET(W88,1,0,$R86-2)))</f>
        <v>2788.67</v>
      </c>
      <c r="X88" s="439" t="n">
        <f aca="false" t="array" ref="X88:X88">IF($R86=2,
         IF(AND(ACOMPANHAMENTO="PLE",ISNUMBER($F86)),
                SUMIF((OFFSET(CÁLCULO!$BS$15:$CS$15,$F86,0,OFFSET(ORÇAMENTO!$D$15,CRONO!$F86,0))),CRONO!X$12,OFFSET(CÁLCULO!$AR$15:$BR$15,$F86,0,OFFSET(ORÇAMENTO!$D$15,CRONO!$F86,0)))
                +IF(AND($F88&lt;&gt;"",$F88&lt;&gt;0),
                        SUMIF(CÁLCULO!$BS$15:$CS$205,CRONO!X$12,CÁLCULO!$AR$15:$BR$205)/(ORÇAMENTO!$X$15-_xlfn.single(CÁLCULO.TotalAdmLocal))*CRONO!$F88,
                        0),
                 X87*$S86),
          SUMIF(OFFSET($S88,1,0,$R86-2),($M86+1)&amp;"$",OFFSET(X88,1,0,$R86-2)))</f>
        <v>2788.67</v>
      </c>
      <c r="Y88" s="439" t="n">
        <f aca="false" t="array" ref="Y88:Y88">IF($R86=2,
         IF(AND(ACOMPANHAMENTO="PLE",ISNUMBER($F86)),
                SUMIF((OFFSET(CÁLCULO!$BS$15:$CS$15,$F86,0,OFFSET(ORÇAMENTO!$D$15,CRONO!$F86,0))),CRONO!Y$12,OFFSET(CÁLCULO!$AR$15:$BR$15,$F86,0,OFFSET(ORÇAMENTO!$D$15,CRONO!$F86,0)))
                +IF(AND($F88&lt;&gt;"",$F88&lt;&gt;0),
                        SUMIF(CÁLCULO!$BS$15:$CS$205,CRONO!Y$12,CÁLCULO!$AR$15:$BR$205)/(ORÇAMENTO!$X$15-_xlfn.single(CÁLCULO.TotalAdmLocal))*CRONO!$F88,
                        0),
                 Y87*$S86),
          SUMIF(OFFSET($S88,1,0,$R86-2),($M86+1)&amp;"$",OFFSET(Y88,1,0,$R86-2)))</f>
        <v>2788.67</v>
      </c>
      <c r="Z88" s="439" t="n">
        <f aca="false" t="array" ref="Z88:Z88">IF($R86=2,
         IF(AND(ACOMPANHAMENTO="PLE",ISNUMBER($F86)),
                SUMIF((OFFSET(CÁLCULO!$BS$15:$CS$15,$F86,0,OFFSET(ORÇAMENTO!$D$15,CRONO!$F86,0))),CRONO!Z$12,OFFSET(CÁLCULO!$AR$15:$BR$15,$F86,0,OFFSET(ORÇAMENTO!$D$15,CRONO!$F86,0)))
                +IF(AND($F88&lt;&gt;"",$F88&lt;&gt;0),
                        SUMIF(CÁLCULO!$BS$15:$CS$205,CRONO!Z$12,CÁLCULO!$AR$15:$BR$205)/(ORÇAMENTO!$X$15-_xlfn.single(CÁLCULO.TotalAdmLocal))*CRONO!$F88,
                        0),
                 Z87*$S86),
          SUMIF(OFFSET($S88,1,0,$R86-2),($M86+1)&amp;"$",OFFSET(Z88,1,0,$R86-2)))</f>
        <v>2788.67</v>
      </c>
      <c r="AA88" s="439" t="n">
        <f aca="false" t="array" ref="AA88:AA88">IF($R86=2,
         IF(AND(ACOMPANHAMENTO="PLE",ISNUMBER($F86)),
                SUMIF((OFFSET(CÁLCULO!$BS$15:$CS$15,$F86,0,OFFSET(ORÇAMENTO!$D$15,CRONO!$F86,0))),CRONO!AA$12,OFFSET(CÁLCULO!$AR$15:$BR$15,$F86,0,OFFSET(ORÇAMENTO!$D$15,CRONO!$F86,0)))
                +IF(AND($F88&lt;&gt;"",$F88&lt;&gt;0),
                        SUMIF(CÁLCULO!$BS$15:$CS$205,CRONO!AA$12,CÁLCULO!$AR$15:$BR$205)/(ORÇAMENTO!$X$15-_xlfn.single(CÁLCULO.TotalAdmLocal))*CRONO!$F88,
                        0),
                 AA87*$S86),
          SUMIF(OFFSET($S88,1,0,$R86-2),($M86+1)&amp;"$",OFFSET(AA88,1,0,$R86-2)))</f>
        <v>2788.67</v>
      </c>
      <c r="AB88" s="439" t="n">
        <f aca="false" t="array" ref="AB88:AB88">IF($R86=2,
         IF(AND(ACOMPANHAMENTO="PLE",ISNUMBER($F86)),
                SUMIF((OFFSET(CÁLCULO!$BS$15:$CS$15,$F86,0,OFFSET(ORÇAMENTO!$D$15,CRONO!$F86,0))),CRONO!AB$12,OFFSET(CÁLCULO!$AR$15:$BR$15,$F86,0,OFFSET(ORÇAMENTO!$D$15,CRONO!$F86,0)))
                +IF(AND($F88&lt;&gt;"",$F88&lt;&gt;0),
                        SUMIF(CÁLCULO!$BS$15:$CS$205,CRONO!AB$12,CÁLCULO!$AR$15:$BR$205)/(ORÇAMENTO!$X$15-_xlfn.single(CÁLCULO.TotalAdmLocal))*CRONO!$F88,
                        0),
                 AB87*$S86),
          SUMIF(OFFSET($S88,1,0,$R86-2),($M86+1)&amp;"$",OFFSET(AB88,1,0,$R86-2)))</f>
        <v>2788.67</v>
      </c>
      <c r="AC88" s="439" t="n">
        <f aca="false" t="array" ref="AC88:AC88">IF($R86=2,
         IF(AND(ACOMPANHAMENTO="PLE",ISNUMBER($F86)),
                SUMIF((OFFSET(CÁLCULO!$BS$15:$CS$15,$F86,0,OFFSET(ORÇAMENTO!$D$15,CRONO!$F86,0))),CRONO!AC$12,OFFSET(CÁLCULO!$AR$15:$BR$15,$F86,0,OFFSET(ORÇAMENTO!$D$15,CRONO!$F86,0)))
                +IF(AND($F88&lt;&gt;"",$F88&lt;&gt;0),
                        SUMIF(CÁLCULO!$BS$15:$CS$205,CRONO!AC$12,CÁLCULO!$AR$15:$BR$205)/(ORÇAMENTO!$X$15-_xlfn.single(CÁLCULO.TotalAdmLocal))*CRONO!$F88,
                        0),
                 AC87*$S86),
          SUMIF(OFFSET($S88,1,0,$R86-2),($M86+1)&amp;"$",OFFSET(AC88,1,0,$R86-2)))</f>
        <v>2788.67</v>
      </c>
      <c r="AD88" s="439" t="n">
        <f aca="false" t="array" ref="AD88:AD88">IF($R86=2,
         IF(AND(ACOMPANHAMENTO="PLE",ISNUMBER($F86)),
                SUMIF((OFFSET(CÁLCULO!$BS$15:$CS$15,$F86,0,OFFSET(ORÇAMENTO!$D$15,CRONO!$F86,0))),CRONO!AD$12,OFFSET(CÁLCULO!$AR$15:$BR$15,$F86,0,OFFSET(ORÇAMENTO!$D$15,CRONO!$F86,0)))
                +IF(AND($F88&lt;&gt;"",$F88&lt;&gt;0),
                        SUMIF(CÁLCULO!$BS$15:$CS$205,CRONO!AD$12,CÁLCULO!$AR$15:$BR$205)/(ORÇAMENTO!$X$15-_xlfn.single(CÁLCULO.TotalAdmLocal))*CRONO!$F88,
                        0),
                 AD87*$S86),
          SUMIF(OFFSET($S88,1,0,$R86-2),($M86+1)&amp;"$",OFFSET(AD88,1,0,$R86-2)))</f>
        <v>2788.67</v>
      </c>
      <c r="AE88" s="439" t="n">
        <f aca="false" t="array" ref="AE88:AE88">IF($R86=2,
         IF(AND(ACOMPANHAMENTO="PLE",ISNUMBER($F86)),
                SUMIF((OFFSET(CÁLCULO!$BS$15:$CS$15,$F86,0,OFFSET(ORÇAMENTO!$D$15,CRONO!$F86,0))),CRONO!AE$12,OFFSET(CÁLCULO!$AR$15:$BR$15,$F86,0,OFFSET(ORÇAMENTO!$D$15,CRONO!$F86,0)))
                +IF(AND($F88&lt;&gt;"",$F88&lt;&gt;0),
                        SUMIF(CÁLCULO!$BS$15:$CS$205,CRONO!AE$12,CÁLCULO!$AR$15:$BR$205)/(ORÇAMENTO!$X$15-_xlfn.single(CÁLCULO.TotalAdmLocal))*CRONO!$F88,
                        0),
                 AE87*$S86),
          SUMIF(OFFSET($S88,1,0,$R86-2),($M86+1)&amp;"$",OFFSET(AE88,1,0,$R86-2)))</f>
        <v>2788.67</v>
      </c>
      <c r="AF88" s="439" t="n">
        <f aca="false" t="array" ref="AF88:AF88">IF($R86=2,
         IF(AND(ACOMPANHAMENTO="PLE",ISNUMBER($F86)),
                SUMIF((OFFSET(CÁLCULO!$BS$15:$CS$15,$F86,0,OFFSET(ORÇAMENTO!$D$15,CRONO!$F86,0))),CRONO!AF$12,OFFSET(CÁLCULO!$AR$15:$BR$15,$F86,0,OFFSET(ORÇAMENTO!$D$15,CRONO!$F86,0)))
                +IF(AND($F88&lt;&gt;"",$F88&lt;&gt;0),
                        SUMIF(CÁLCULO!$BS$15:$CS$205,CRONO!AF$12,CÁLCULO!$AR$15:$BR$205)/(ORÇAMENTO!$X$15-_xlfn.single(CÁLCULO.TotalAdmLocal))*CRONO!$F88,
                        0),
                 AF87*$S86),
          SUMIF(OFFSET($S88,1,0,$R86-2),($M86+1)&amp;"$",OFFSET(AF88,1,0,$R86-2)))</f>
        <v>2788.67</v>
      </c>
      <c r="AG88" s="439" t="n">
        <f aca="false" t="array" ref="AG88:AG88">IF($R86=2,
         IF(AND(ACOMPANHAMENTO="PLE",ISNUMBER($F86)),
                SUMIF((OFFSET(CÁLCULO!$BS$15:$CS$15,$F86,0,OFFSET(ORÇAMENTO!$D$15,CRONO!$F86,0))),CRONO!AG$12,OFFSET(CÁLCULO!$AR$15:$BR$15,$F86,0,OFFSET(ORÇAMENTO!$D$15,CRONO!$F86,0)))
                +IF(AND($F88&lt;&gt;"",$F88&lt;&gt;0),
                        SUMIF(CÁLCULO!$BS$15:$CS$205,CRONO!AG$12,CÁLCULO!$AR$15:$BR$205)/(ORÇAMENTO!$X$15-_xlfn.single(CÁLCULO.TotalAdmLocal))*CRONO!$F88,
                        0),
                 AG87*$S86),
          SUMIF(OFFSET($S88,1,0,$R86-2),($M86+1)&amp;"$",OFFSET(AG88,1,0,$R86-2)))</f>
        <v>2788.67</v>
      </c>
      <c r="AH88" s="439" t="n">
        <f aca="false" t="array" ref="AH88:AH88">IF($R86=2,
         IF(AND(ACOMPANHAMENTO="PLE",ISNUMBER($F86)),
                SUMIF((OFFSET(CÁLCULO!$BS$15:$CS$15,$F86,0,OFFSET(ORÇAMENTO!$D$15,CRONO!$F86,0))),CRONO!AH$12,OFFSET(CÁLCULO!$AR$15:$BR$15,$F86,0,OFFSET(ORÇAMENTO!$D$15,CRONO!$F86,0)))
                +IF(AND($F88&lt;&gt;"",$F88&lt;&gt;0),
                        SUMIF(CÁLCULO!$BS$15:$CS$205,CRONO!AH$12,CÁLCULO!$AR$15:$BR$205)/(ORÇAMENTO!$X$15-_xlfn.single(CÁLCULO.TotalAdmLocal))*CRONO!$F88,
                        0),
                 AH87*$S86),
          SUMIF(OFFSET($S88,1,0,$R86-2),($M86+1)&amp;"$",OFFSET(AH88,1,0,$R86-2)))</f>
        <v>2788.67</v>
      </c>
      <c r="AI88" s="439" t="n">
        <f aca="false" t="array" ref="AI88:AI88">IF($R86=2,
         IF(AND(ACOMPANHAMENTO="PLE",ISNUMBER($F86)),
                SUMIF((OFFSET(CÁLCULO!$BS$15:$CS$15,$F86,0,OFFSET(ORÇAMENTO!$D$15,CRONO!$F86,0))),CRONO!AI$12,OFFSET(CÁLCULO!$AR$15:$BR$15,$F86,0,OFFSET(ORÇAMENTO!$D$15,CRONO!$F86,0)))
                +IF(AND($F88&lt;&gt;"",$F88&lt;&gt;0),
                        SUMIF(CÁLCULO!$BS$15:$CS$205,CRONO!AI$12,CÁLCULO!$AR$15:$BR$205)/(ORÇAMENTO!$X$15-_xlfn.single(CÁLCULO.TotalAdmLocal))*CRONO!$F88,
                        0),
                 AI87*$S86),
          SUMIF(OFFSET($S88,1,0,$R86-2),($M86+1)&amp;"$",OFFSET(AI88,1,0,$R86-2)))</f>
        <v>2788.67</v>
      </c>
      <c r="AJ88" s="439" t="n">
        <f aca="false" t="array" ref="AJ88:AJ88">IF($R86=2,
         IF(AND(ACOMPANHAMENTO="PLE",ISNUMBER($F86)),
                SUMIF((OFFSET(CÁLCULO!$BS$15:$CS$15,$F86,0,OFFSET(ORÇAMENTO!$D$15,CRONO!$F86,0))),CRONO!AJ$12,OFFSET(CÁLCULO!$AR$15:$BR$15,$F86,0,OFFSET(ORÇAMENTO!$D$15,CRONO!$F86,0)))
                +IF(AND($F88&lt;&gt;"",$F88&lt;&gt;0),
                        SUMIF(CÁLCULO!$BS$15:$CS$205,CRONO!AJ$12,CÁLCULO!$AR$15:$BR$205)/(ORÇAMENTO!$X$15-_xlfn.single(CÁLCULO.TotalAdmLocal))*CRONO!$F88,
                        0),
                 AJ87*$S86),
          SUMIF(OFFSET($S88,1,0,$R86-2),($M86+1)&amp;"$",OFFSET(AJ88,1,0,$R86-2)))</f>
        <v>2788.67</v>
      </c>
      <c r="AK88" s="439" t="n">
        <f aca="false" t="array" ref="AK88:AK88">IF($R86=2,
         IF(AND(ACOMPANHAMENTO="PLE",ISNUMBER($F86)),
                SUMIF((OFFSET(CÁLCULO!$BS$15:$CS$15,$F86,0,OFFSET(ORÇAMENTO!$D$15,CRONO!$F86,0))),CRONO!AK$12,OFFSET(CÁLCULO!$AR$15:$BR$15,$F86,0,OFFSET(ORÇAMENTO!$D$15,CRONO!$F86,0)))
                +IF(AND($F88&lt;&gt;"",$F88&lt;&gt;0),
                        SUMIF(CÁLCULO!$BS$15:$CS$205,CRONO!AK$12,CÁLCULO!$AR$15:$BR$205)/(ORÇAMENTO!$X$15-_xlfn.single(CÁLCULO.TotalAdmLocal))*CRONO!$F88,
                        0),
                 AK87*$S86),
          SUMIF(OFFSET($S88,1,0,$R86-2),($M86+1)&amp;"$",OFFSET(AK88,1,0,$R86-2)))</f>
        <v>2788.67</v>
      </c>
      <c r="AL88" s="439" t="n">
        <f aca="false" t="array" ref="AL88:AL88">IF($R86=2,
         IF(AND(ACOMPANHAMENTO="PLE",ISNUMBER($F86)),
                SUMIF((OFFSET(CÁLCULO!$BS$15:$CS$15,$F86,0,OFFSET(ORÇAMENTO!$D$15,CRONO!$F86,0))),CRONO!AL$12,OFFSET(CÁLCULO!$AR$15:$BR$15,$F86,0,OFFSET(ORÇAMENTO!$D$15,CRONO!$F86,0)))
                +IF(AND($F88&lt;&gt;"",$F88&lt;&gt;0),
                        SUMIF(CÁLCULO!$BS$15:$CS$205,CRONO!AL$12,CÁLCULO!$AR$15:$BR$205)/(ORÇAMENTO!$X$15-_xlfn.single(CÁLCULO.TotalAdmLocal))*CRONO!$F88,
                        0),
                 AL87*$S86),
          SUMIF(OFFSET($S88,1,0,$R86-2),($M86+1)&amp;"$",OFFSET(AL88,1,0,$R86-2)))</f>
        <v>2788.67</v>
      </c>
      <c r="AM88" s="439" t="n">
        <f aca="false" t="array" ref="AM88:AM88">IF($R86=2,
         IF(AND(ACOMPANHAMENTO="PLE",ISNUMBER($F86)),
                SUMIF((OFFSET(CÁLCULO!$BS$15:$CS$15,$F86,0,OFFSET(ORÇAMENTO!$D$15,CRONO!$F86,0))),CRONO!AM$12,OFFSET(CÁLCULO!$AR$15:$BR$15,$F86,0,OFFSET(ORÇAMENTO!$D$15,CRONO!$F86,0)))
                +IF(AND($F88&lt;&gt;"",$F88&lt;&gt;0),
                        SUMIF(CÁLCULO!$BS$15:$CS$205,CRONO!AM$12,CÁLCULO!$AR$15:$BR$205)/(ORÇAMENTO!$X$15-_xlfn.single(CÁLCULO.TotalAdmLocal))*CRONO!$F88,
                        0),
                 AM87*$S86),
          SUMIF(OFFSET($S88,1,0,$R86-2),($M86+1)&amp;"$",OFFSET(AM88,1,0,$R86-2)))</f>
        <v>2788.67</v>
      </c>
      <c r="AN88" s="439" t="n">
        <f aca="false" t="array" ref="AN88:AN88">IF($R86=2,
         IF(AND(ACOMPANHAMENTO="PLE",ISNUMBER($F86)),
                SUMIF((OFFSET(CÁLCULO!$BS$15:$CS$15,$F86,0,OFFSET(ORÇAMENTO!$D$15,CRONO!$F86,0))),CRONO!AN$12,OFFSET(CÁLCULO!$AR$15:$BR$15,$F86,0,OFFSET(ORÇAMENTO!$D$15,CRONO!$F86,0)))
                +IF(AND($F88&lt;&gt;"",$F88&lt;&gt;0),
                        SUMIF(CÁLCULO!$BS$15:$CS$205,CRONO!AN$12,CÁLCULO!$AR$15:$BR$205)/(ORÇAMENTO!$X$15-_xlfn.single(CÁLCULO.TotalAdmLocal))*CRONO!$F88,
                        0),
                 AN87*$S86),
          SUMIF(OFFSET($S88,1,0,$R86-2),($M86+1)&amp;"$",OFFSET(AN88,1,0,$R86-2)))</f>
        <v>2788.67</v>
      </c>
      <c r="AO88" s="439" t="n">
        <f aca="false" t="array" ref="AO88:AO88">IF($R86=2,
         IF(AND(ACOMPANHAMENTO="PLE",ISNUMBER($F86)),
                SUMIF((OFFSET(CÁLCULO!$BS$15:$CS$15,$F86,0,OFFSET(ORÇAMENTO!$D$15,CRONO!$F86,0))),CRONO!AO$12,OFFSET(CÁLCULO!$AR$15:$BR$15,$F86,0,OFFSET(ORÇAMENTO!$D$15,CRONO!$F86,0)))
                +IF(AND($F88&lt;&gt;"",$F88&lt;&gt;0),
                        SUMIF(CÁLCULO!$BS$15:$CS$205,CRONO!AO$12,CÁLCULO!$AR$15:$BR$205)/(ORÇAMENTO!$X$15-_xlfn.single(CÁLCULO.TotalAdmLocal))*CRONO!$F88,
                        0),
                 AO87*$S86),
          SUMIF(OFFSET($S88,1,0,$R86-2),($M86+1)&amp;"$",OFFSET(AO88,1,0,$R86-2)))</f>
        <v>2788.67</v>
      </c>
      <c r="AP88" s="439" t="n">
        <f aca="false" t="array" ref="AP88:AP88">IF($R86=2,
         IF(AND(ACOMPANHAMENTO="PLE",ISNUMBER($F86)),
                SUMIF((OFFSET(CÁLCULO!$BS$15:$CS$15,$F86,0,OFFSET(ORÇAMENTO!$D$15,CRONO!$F86,0))),CRONO!AP$12,OFFSET(CÁLCULO!$AR$15:$BR$15,$F86,0,OFFSET(ORÇAMENTO!$D$15,CRONO!$F86,0)))
                +IF(AND($F88&lt;&gt;"",$F88&lt;&gt;0),
                        SUMIF(CÁLCULO!$BS$15:$CS$205,CRONO!AP$12,CÁLCULO!$AR$15:$BR$205)/(ORÇAMENTO!$X$15-_xlfn.single(CÁLCULO.TotalAdmLocal))*CRONO!$F88,
                        0),
                 AP87*$S86),
          SUMIF(OFFSET($S88,1,0,$R86-2),($M86+1)&amp;"$",OFFSET(AP88,1,0,$R86-2)))</f>
        <v>2788.67</v>
      </c>
      <c r="AQ88" s="439" t="n">
        <f aca="false" t="array" ref="AQ88:AQ88">IF($R86=2,
         IF(AND(ACOMPANHAMENTO="PLE",ISNUMBER($F86)),
                SUMIF((OFFSET(CÁLCULO!$BS$15:$CS$15,$F86,0,OFFSET(ORÇAMENTO!$D$15,CRONO!$F86,0))),CRONO!AQ$12,OFFSET(CÁLCULO!$AR$15:$BR$15,$F86,0,OFFSET(ORÇAMENTO!$D$15,CRONO!$F86,0)))
                +IF(AND($F88&lt;&gt;"",$F88&lt;&gt;0),
                        SUMIF(CÁLCULO!$BS$15:$CS$205,CRONO!AQ$12,CÁLCULO!$AR$15:$BR$205)/(ORÇAMENTO!$X$15-_xlfn.single(CÁLCULO.TotalAdmLocal))*CRONO!$F88,
                        0),
                 AQ87*$S86),
          SUMIF(OFFSET($S88,1,0,$R86-2),($M86+1)&amp;"$",OFFSET(AQ88,1,0,$R86-2)))</f>
        <v>2788.67</v>
      </c>
      <c r="AR88" s="439" t="n">
        <f aca="false" t="array" ref="AR88:AR88">IF($R86=2,
         IF(AND(ACOMPANHAMENTO="PLE",ISNUMBER($F86)),
                SUMIF((OFFSET(CÁLCULO!$BS$15:$CS$15,$F86,0,OFFSET(ORÇAMENTO!$D$15,CRONO!$F86,0))),CRONO!AR$12,OFFSET(CÁLCULO!$AR$15:$BR$15,$F86,0,OFFSET(ORÇAMENTO!$D$15,CRONO!$F86,0)))
                +IF(AND($F88&lt;&gt;"",$F88&lt;&gt;0),
                        SUMIF(CÁLCULO!$BS$15:$CS$205,CRONO!AR$12,CÁLCULO!$AR$15:$BR$205)/(ORÇAMENTO!$X$15-_xlfn.single(CÁLCULO.TotalAdmLocal))*CRONO!$F88,
                        0),
                 AR87*$S86),
          SUMIF(OFFSET($S88,1,0,$R86-2),($M86+1)&amp;"$",OFFSET(AR88,1,0,$R86-2)))</f>
        <v>2788.67</v>
      </c>
      <c r="AS88" s="439" t="n">
        <f aca="false" t="array" ref="AS88:AS88">IF($R86=2,
         IF(AND(ACOMPANHAMENTO="PLE",ISNUMBER($F86)),
                SUMIF((OFFSET(CÁLCULO!$BS$15:$CS$15,$F86,0,OFFSET(ORÇAMENTO!$D$15,CRONO!$F86,0))),CRONO!AS$12,OFFSET(CÁLCULO!$AR$15:$BR$15,$F86,0,OFFSET(ORÇAMENTO!$D$15,CRONO!$F86,0)))
                +IF(AND($F88&lt;&gt;"",$F88&lt;&gt;0),
                        SUMIF(CÁLCULO!$BS$15:$CS$205,CRONO!AS$12,CÁLCULO!$AR$15:$BR$205)/(ORÇAMENTO!$X$15-_xlfn.single(CÁLCULO.TotalAdmLocal))*CRONO!$F88,
                        0),
                 AS87*$S86),
          SUMIF(OFFSET($S88,1,0,$R86-2),($M86+1)&amp;"$",OFFSET(AS88,1,0,$R86-2)))</f>
        <v>2788.67</v>
      </c>
      <c r="AT88" s="439" t="n">
        <f aca="false" t="array" ref="AT88:AT88">IF($R86=2,
         IF(AND(ACOMPANHAMENTO="PLE",ISNUMBER($F86)),
                SUMIF((OFFSET(CÁLCULO!$BS$15:$CS$15,$F86,0,OFFSET(ORÇAMENTO!$D$15,CRONO!$F86,0))),CRONO!AT$12,OFFSET(CÁLCULO!$AR$15:$BR$15,$F86,0,OFFSET(ORÇAMENTO!$D$15,CRONO!$F86,0)))
                +IF(AND($F88&lt;&gt;"",$F88&lt;&gt;0),
                        SUMIF(CÁLCULO!$BS$15:$CS$205,CRONO!AT$12,CÁLCULO!$AR$15:$BR$205)/(ORÇAMENTO!$X$15-_xlfn.single(CÁLCULO.TotalAdmLocal))*CRONO!$F88,
                        0),
                 AT87*$S86),
          SUMIF(OFFSET($S88,1,0,$R86-2),($M86+1)&amp;"$",OFFSET(AT88,1,0,$R86-2)))</f>
        <v>0</v>
      </c>
      <c r="AU88" s="439" t="n">
        <f aca="false" t="array" ref="AU88:AU88">IF($R86=2,
         IF(AND(ACOMPANHAMENTO="PLE",ISNUMBER($F86)),
                SUMIF((OFFSET(CÁLCULO!$BS$15:$CS$15,$F86,0,OFFSET(ORÇAMENTO!$D$15,CRONO!$F86,0))),CRONO!AU$12,OFFSET(CÁLCULO!$AR$15:$BR$15,$F86,0,OFFSET(ORÇAMENTO!$D$15,CRONO!$F86,0)))
                +IF(AND($F88&lt;&gt;"",$F88&lt;&gt;0),
                        SUMIF(CÁLCULO!$BS$15:$CS$205,CRONO!AU$12,CÁLCULO!$AR$15:$BR$205)/(ORÇAMENTO!$X$15-_xlfn.single(CÁLCULO.TotalAdmLocal))*CRONO!$F88,
                        0),
                 AU87*$S86),
          SUMIF(OFFSET($S88,1,0,$R86-2),($M86+1)&amp;"$",OFFSET(AU88,1,0,$R86-2)))</f>
        <v>0</v>
      </c>
      <c r="AV88" s="439" t="n">
        <f aca="false" t="array" ref="AV88:AV88">IF($R86=2,
         IF(AND(ACOMPANHAMENTO="PLE",ISNUMBER($F86)),
                SUMIF((OFFSET(CÁLCULO!$BS$15:$CS$15,$F86,0,OFFSET(ORÇAMENTO!$D$15,CRONO!$F86,0))),CRONO!AV$12,OFFSET(CÁLCULO!$AR$15:$BR$15,$F86,0,OFFSET(ORÇAMENTO!$D$15,CRONO!$F86,0)))
                +IF(AND($F88&lt;&gt;"",$F88&lt;&gt;0),
                        SUMIF(CÁLCULO!$BS$15:$CS$205,CRONO!AV$12,CÁLCULO!$AR$15:$BR$205)/(ORÇAMENTO!$X$15-_xlfn.single(CÁLCULO.TotalAdmLocal))*CRONO!$F88,
                        0),
                 AV87*$S86),
          SUMIF(OFFSET($S88,1,0,$R86-2),($M86+1)&amp;"$",OFFSET(AV88,1,0,$R86-2)))</f>
        <v>0</v>
      </c>
      <c r="AW88" s="439" t="n">
        <f aca="false" t="array" ref="AW88:AW88">IF($R86=2,
         IF(AND(ACOMPANHAMENTO="PLE",ISNUMBER($F86)),
                SUMIF((OFFSET(CÁLCULO!$BS$15:$CS$15,$F86,0,OFFSET(ORÇAMENTO!$D$15,CRONO!$F86,0))),CRONO!AW$12,OFFSET(CÁLCULO!$AR$15:$BR$15,$F86,0,OFFSET(ORÇAMENTO!$D$15,CRONO!$F86,0)))
                +IF(AND($F88&lt;&gt;"",$F88&lt;&gt;0),
                        SUMIF(CÁLCULO!$BS$15:$CS$205,CRONO!AW$12,CÁLCULO!$AR$15:$BR$205)/(ORÇAMENTO!$X$15-_xlfn.single(CÁLCULO.TotalAdmLocal))*CRONO!$F88,
                        0),
                 AW87*$S86),
          SUMIF(OFFSET($S88,1,0,$R86-2),($M86+1)&amp;"$",OFFSET(AW88,1,0,$R86-2)))</f>
        <v>0</v>
      </c>
      <c r="AX88" s="439" t="n">
        <f aca="false" t="array" ref="AX88:AX88">IF($R86=2,
         IF(AND(ACOMPANHAMENTO="PLE",ISNUMBER($F86)),
                SUMIF((OFFSET(CÁLCULO!$BS$15:$CS$15,$F86,0,OFFSET(ORÇAMENTO!$D$15,CRONO!$F86,0))),CRONO!AX$12,OFFSET(CÁLCULO!$AR$15:$BR$15,$F86,0,OFFSET(ORÇAMENTO!$D$15,CRONO!$F86,0)))
                +IF(AND($F88&lt;&gt;"",$F88&lt;&gt;0),
                        SUMIF(CÁLCULO!$BS$15:$CS$205,CRONO!AX$12,CÁLCULO!$AR$15:$BR$205)/(ORÇAMENTO!$X$15-_xlfn.single(CÁLCULO.TotalAdmLocal))*CRONO!$F88,
                        0),
                 AX87*$S86),
          SUMIF(OFFSET($S88,1,0,$R86-2),($M86+1)&amp;"$",OFFSET(AX88,1,0,$R86-2)))</f>
        <v>0</v>
      </c>
      <c r="AY88" s="439" t="n">
        <f aca="false" t="array" ref="AY88:AY88">IF($R86=2,
         IF(AND(ACOMPANHAMENTO="PLE",ISNUMBER($F86)),
                SUMIF((OFFSET(CÁLCULO!$BS$15:$CS$15,$F86,0,OFFSET(ORÇAMENTO!$D$15,CRONO!$F86,0))),CRONO!AY$12,OFFSET(CÁLCULO!$AR$15:$BR$15,$F86,0,OFFSET(ORÇAMENTO!$D$15,CRONO!$F86,0)))
                +IF(AND($F88&lt;&gt;"",$F88&lt;&gt;0),
                        SUMIF(CÁLCULO!$BS$15:$CS$205,CRONO!AY$12,CÁLCULO!$AR$15:$BR$205)/(ORÇAMENTO!$X$15-_xlfn.single(CÁLCULO.TotalAdmLocal))*CRONO!$F88,
                        0),
                 AY87*$S86),
          SUMIF(OFFSET($S88,1,0,$R86-2),($M86+1)&amp;"$",OFFSET(AY88,1,0,$R86-2)))</f>
        <v>0</v>
      </c>
      <c r="AZ88" s="439" t="n">
        <f aca="false" t="array" ref="AZ88:AZ88">IF($R86=2,
         IF(AND(ACOMPANHAMENTO="PLE",ISNUMBER($F86)),
                SUMIF((OFFSET(CÁLCULO!$BS$15:$CS$15,$F86,0,OFFSET(ORÇAMENTO!$D$15,CRONO!$F86,0))),CRONO!AZ$12,OFFSET(CÁLCULO!$AR$15:$BR$15,$F86,0,OFFSET(ORÇAMENTO!$D$15,CRONO!$F86,0)))
                +IF(AND($F88&lt;&gt;"",$F88&lt;&gt;0),
                        SUMIF(CÁLCULO!$BS$15:$CS$205,CRONO!AZ$12,CÁLCULO!$AR$15:$BR$205)/(ORÇAMENTO!$X$15-_xlfn.single(CÁLCULO.TotalAdmLocal))*CRONO!$F88,
                        0),
                 AZ87*$S86),
          SUMIF(OFFSET($S88,1,0,$R86-2),($M86+1)&amp;"$",OFFSET(AZ88,1,0,$R86-2)))</f>
        <v>0</v>
      </c>
      <c r="BA88" s="439" t="n">
        <f aca="false" t="array" ref="BA88:BA88">IF($R86=2,
         IF(AND(ACOMPANHAMENTO="PLE",ISNUMBER($F86)),
                SUMIF((OFFSET(CÁLCULO!$BS$15:$CS$15,$F86,0,OFFSET(ORÇAMENTO!$D$15,CRONO!$F86,0))),CRONO!BA$12,OFFSET(CÁLCULO!$AR$15:$BR$15,$F86,0,OFFSET(ORÇAMENTO!$D$15,CRONO!$F86,0)))
                +IF(AND($F88&lt;&gt;"",$F88&lt;&gt;0),
                        SUMIF(CÁLCULO!$BS$15:$CS$205,CRONO!BA$12,CÁLCULO!$AR$15:$BR$205)/(ORÇAMENTO!$X$15-_xlfn.single(CÁLCULO.TotalAdmLocal))*CRONO!$F88,
                        0),
                 BA87*$S86),
          SUMIF(OFFSET($S88,1,0,$R86-2),($M86+1)&amp;"$",OFFSET(BA88,1,0,$R86-2)))</f>
        <v>0</v>
      </c>
      <c r="BB88" s="439" t="n">
        <f aca="false" t="array" ref="BB88:BB88">IF($R86=2,
         IF(AND(ACOMPANHAMENTO="PLE",ISNUMBER($F86)),
                SUMIF((OFFSET(CÁLCULO!$BS$15:$CS$15,$F86,0,OFFSET(ORÇAMENTO!$D$15,CRONO!$F86,0))),CRONO!BB$12,OFFSET(CÁLCULO!$AR$15:$BR$15,$F86,0,OFFSET(ORÇAMENTO!$D$15,CRONO!$F86,0)))
                +IF(AND($F88&lt;&gt;"",$F88&lt;&gt;0),
                        SUMIF(CÁLCULO!$BS$15:$CS$205,CRONO!BB$12,CÁLCULO!$AR$15:$BR$205)/(ORÇAMENTO!$X$15-_xlfn.single(CÁLCULO.TotalAdmLocal))*CRONO!$F88,
                        0),
                 BB87*$S86),
          SUMIF(OFFSET($S88,1,0,$R86-2),($M86+1)&amp;"$",OFFSET(BB88,1,0,$R86-2)))</f>
        <v>0</v>
      </c>
      <c r="BC88" s="439" t="n">
        <f aca="false" t="array" ref="BC88:BC88">IF($R86=2,
         IF(AND(ACOMPANHAMENTO="PLE",ISNUMBER($F86)),
                SUMIF((OFFSET(CÁLCULO!$BS$15:$CS$15,$F86,0,OFFSET(ORÇAMENTO!$D$15,CRONO!$F86,0))),CRONO!BC$12,OFFSET(CÁLCULO!$AR$15:$BR$15,$F86,0,OFFSET(ORÇAMENTO!$D$15,CRONO!$F86,0)))
                +IF(AND($F88&lt;&gt;"",$F88&lt;&gt;0),
                        SUMIF(CÁLCULO!$BS$15:$CS$205,CRONO!BC$12,CÁLCULO!$AR$15:$BR$205)/(ORÇAMENTO!$X$15-_xlfn.single(CÁLCULO.TotalAdmLocal))*CRONO!$F88,
                        0),
                 BC87*$S86),
          SUMIF(OFFSET($S88,1,0,$R86-2),($M86+1)&amp;"$",OFFSET(BC88,1,0,$R86-2)))</f>
        <v>0</v>
      </c>
      <c r="BD88" s="439" t="n">
        <f aca="false" t="array" ref="BD88:BD88">IF($R86=2,
         IF(AND(ACOMPANHAMENTO="PLE",ISNUMBER($F86)),
                SUMIF((OFFSET(CÁLCULO!$BS$15:$CS$15,$F86,0,OFFSET(ORÇAMENTO!$D$15,CRONO!$F86,0))),CRONO!BD$12,OFFSET(CÁLCULO!$AR$15:$BR$15,$F86,0,OFFSET(ORÇAMENTO!$D$15,CRONO!$F86,0)))
                +IF(AND($F88&lt;&gt;"",$F88&lt;&gt;0),
                        SUMIF(CÁLCULO!$BS$15:$CS$205,CRONO!BD$12,CÁLCULO!$AR$15:$BR$205)/(ORÇAMENTO!$X$15-_xlfn.single(CÁLCULO.TotalAdmLocal))*CRONO!$F88,
                        0),
                 BD87*$S86),
          SUMIF(OFFSET($S88,1,0,$R86-2),($M86+1)&amp;"$",OFFSET(BD88,1,0,$R86-2)))</f>
        <v>0</v>
      </c>
      <c r="BE88" s="430"/>
    </row>
    <row r="89" customFormat="false" ht="12.75" hidden="false" customHeight="false" outlineLevel="0" collapsed="false">
      <c r="A89" s="382" t="str">
        <f aca="false">IF($M89&gt;1,_xlfn.CONCAT($I89," ",$J89),"")</f>
        <v>1.25. PINTURA ESQUADRIAS</v>
      </c>
      <c r="B89" s="419" t="n">
        <f aca="true">OFFSET(B89,-3,0)+1</f>
        <v>26</v>
      </c>
      <c r="C89" s="419" t="n">
        <f aca="true">IF($R89&lt;&gt;2,0,IF($S89=0,1,IF(F90&gt;0,OFFSET(QCI!$M$13,SUBSTITUTE(F90,".",""),0),OFFSET(ORÇAMENTO!$AA$15,CRONO!$F89,0))/$S89))</f>
        <v>0.110981526562671</v>
      </c>
      <c r="D89" s="419" t="n">
        <f aca="true">IF($R89&lt;&gt;2,0,IF($S89=0,1,IF(F90&gt;0,OFFSET(QCI!$N$13,SUBSTITUTE(F90,".",""),0),OFFSET(ORÇAMENTO!$AB$15,CRONO!$F89,0))/$S89))</f>
        <v>0</v>
      </c>
      <c r="E89" s="422" t="n">
        <f aca="false" t="array" ref="E89:E89">IF(AND($R89=2,ACOMPANHAMENTO="BM"),ROUND(E90,4),E91/$S89)</f>
        <v>0.04</v>
      </c>
      <c r="F89" s="419" t="n">
        <f aca="true">IF(B89&lt;=ORÇAMENTO.MáximoListaCrono,MATCH(B89,ORÇAMENTO.ListaCrono,0),NA())</f>
        <v>82</v>
      </c>
      <c r="G89" s="419" t="str">
        <f aca="false">IF(AND($F90&lt;&gt;-1,$S89&gt;0),"F","")</f>
        <v>F</v>
      </c>
      <c r="H89" s="423" t="str">
        <f aca="false" t="array" ref="H89:H89">IF(OR(S89=0,S89=""),"Linha",IF(AND(OR(ACOMPANHAMENTO="PLE",$R89&lt;&gt;2),$F90=0),"Linha",ROUND(1-SUM(U89:BE89),4)))</f>
        <v>Linha</v>
      </c>
      <c r="I89" s="424" t="str">
        <f aca="true">IF($F90=0,OFFSET(ORÇAMENTO!O$15,$F89,0),IF($F90&lt;&gt;-1,OFFSET(QCI!$D$13,$F90,0),""))</f>
        <v>1.25.</v>
      </c>
      <c r="J89" s="425" t="str">
        <f aca="true">IF($F90=0,OFFSET(ORÇAMENTO!R$15,$F89,0),IF($F90&lt;&gt;-1,OFFSET(QCI!$G$13,$F90,0),""))</f>
        <v>PINTURA ESQUADRIAS</v>
      </c>
      <c r="K89" s="425"/>
      <c r="L89" s="425"/>
      <c r="M89" s="426" t="n">
        <f aca="true">IF($F90=0,OFFSET(ORÇAMENTO!C$15,$F89,0),1)</f>
        <v>2</v>
      </c>
      <c r="N89" s="427" t="n">
        <f aca="true">IF($F90=-1,0,IF(N$13&lt;=$M89,IF(ISERROR(MATCH(N$13,OFFSET($M89,1,0,ROW($M$182)-ROW($M89)-1),0)),ROW($M$182)-ROW($M89)-1,MATCH(N$13,OFFSET($M89,1,0,ROW($M$182)-ROW($M89)-1),0)-1),0))</f>
        <v>92</v>
      </c>
      <c r="O89" s="427" t="n">
        <f aca="true">IF($F90=-1,0,IF(O$13&lt;=$M89,IF(ISERROR(MATCH(O$13,OFFSET($M89,1,0,ROW($M$182)-ROW($M89)-1),0)),ROW($M$182)-ROW($M89)-1,MATCH(O$13,OFFSET($M89,1,0,ROW($M$182)-ROW($M89)-1),0)-1),0))</f>
        <v>2</v>
      </c>
      <c r="P89" s="427" t="n">
        <f aca="true">IF($F90=-1,0,IF(P$13&lt;=$M89,IF(ISERROR(MATCH(P$13,OFFSET($M89,1,0,ROW($M$182)-ROW($M89)-1),0)),ROW($M$182)-ROW($M89)-1,MATCH(P$13,OFFSET($M89,1,0,ROW($M$182)-ROW($M89)-1),0)-1),0))</f>
        <v>0</v>
      </c>
      <c r="Q89" s="427" t="n">
        <f aca="true">IF($F90=-1,0,IF(Q$13&lt;=$M89,IF(ISERROR(MATCH(Q$13,OFFSET($M89,1,0,ROW($M$182)-ROW($M89)-1),0)),ROW($M$182)-ROW($M89)-1,MATCH(Q$13,OFFSET($M89,1,0,ROW($M$182)-ROW($M89)-1),0)-1),0))</f>
        <v>0</v>
      </c>
      <c r="R89" s="427" t="n">
        <f aca="true">MIN(OFFSET(M89,0,1,,M89))</f>
        <v>2</v>
      </c>
      <c r="S89" s="428" t="n">
        <f aca="true">IF($F90=0,OFFSET(ORÇAMENTO!X$15,$F89,0),IF($F90&lt;&gt;-1,OFFSET(QCI!$O$13,$F90,0),""))</f>
        <v>17274.5</v>
      </c>
      <c r="T89" s="429" t="s">
        <v>996</v>
      </c>
      <c r="U89" s="422" t="n">
        <f aca="false" t="array" ref="U89:U89">IF(AND($R89=2,ACOMPANHAMENTO="BM"),ROUND(U90,4),U91/$S89)</f>
        <v>0.04</v>
      </c>
      <c r="V89" s="422" t="n">
        <f aca="false" t="array" ref="V89:V89">IF(AND($R89=2,ACOMPANHAMENTO="BM"),ROUND(V90,4),V91/$S89)</f>
        <v>0.04</v>
      </c>
      <c r="W89" s="422" t="n">
        <f aca="false" t="array" ref="W89:W89">IF(AND($R89=2,ACOMPANHAMENTO="BM"),ROUND(W90,4),W91/$S89)</f>
        <v>0.04</v>
      </c>
      <c r="X89" s="422" t="n">
        <f aca="false" t="array" ref="X89:X89">IF(AND($R89=2,ACOMPANHAMENTO="BM"),ROUND(X90,4),X91/$S89)</f>
        <v>0.04</v>
      </c>
      <c r="Y89" s="422" t="n">
        <f aca="false" t="array" ref="Y89:Y89">IF(AND($R89=2,ACOMPANHAMENTO="BM"),ROUND(Y90,4),Y91/$S89)</f>
        <v>0.04</v>
      </c>
      <c r="Z89" s="422" t="n">
        <f aca="false" t="array" ref="Z89:Z89">IF(AND($R89=2,ACOMPANHAMENTO="BM"),ROUND(Z90,4),Z91/$S89)</f>
        <v>0.04</v>
      </c>
      <c r="AA89" s="422" t="n">
        <f aca="false" t="array" ref="AA89:AA89">IF(AND($R89=2,ACOMPANHAMENTO="BM"),ROUND(AA90,4),AA91/$S89)</f>
        <v>0.04</v>
      </c>
      <c r="AB89" s="422" t="n">
        <f aca="false" t="array" ref="AB89:AB89">IF(AND($R89=2,ACOMPANHAMENTO="BM"),ROUND(AB90,4),AB91/$S89)</f>
        <v>0.04</v>
      </c>
      <c r="AC89" s="422" t="n">
        <f aca="false" t="array" ref="AC89:AC89">IF(AND($R89=2,ACOMPANHAMENTO="BM"),ROUND(AC90,4),AC91/$S89)</f>
        <v>0.04</v>
      </c>
      <c r="AD89" s="422" t="n">
        <f aca="false" t="array" ref="AD89:AD89">IF(AND($R89=2,ACOMPANHAMENTO="BM"),ROUND(AD90,4),AD91/$S89)</f>
        <v>0.04</v>
      </c>
      <c r="AE89" s="422" t="n">
        <f aca="false" t="array" ref="AE89:AE89">IF(AND($R89=2,ACOMPANHAMENTO="BM"),ROUND(AE90,4),AE91/$S89)</f>
        <v>0.04</v>
      </c>
      <c r="AF89" s="422" t="n">
        <f aca="false" t="array" ref="AF89:AF89">IF(AND($R89=2,ACOMPANHAMENTO="BM"),ROUND(AF90,4),AF91/$S89)</f>
        <v>0.04</v>
      </c>
      <c r="AG89" s="422" t="n">
        <f aca="false" t="array" ref="AG89:AG89">IF(AND($R89=2,ACOMPANHAMENTO="BM"),ROUND(AG90,4),AG91/$S89)</f>
        <v>0.04</v>
      </c>
      <c r="AH89" s="422" t="n">
        <f aca="false" t="array" ref="AH89:AH89">IF(AND($R89=2,ACOMPANHAMENTO="BM"),ROUND(AH90,4),AH91/$S89)</f>
        <v>0.04</v>
      </c>
      <c r="AI89" s="422" t="n">
        <f aca="false" t="array" ref="AI89:AI89">IF(AND($R89=2,ACOMPANHAMENTO="BM"),ROUND(AI90,4),AI91/$S89)</f>
        <v>0.04</v>
      </c>
      <c r="AJ89" s="422" t="n">
        <f aca="false" t="array" ref="AJ89:AJ89">IF(AND($R89=2,ACOMPANHAMENTO="BM"),ROUND(AJ90,4),AJ91/$S89)</f>
        <v>0.04</v>
      </c>
      <c r="AK89" s="422" t="n">
        <f aca="false" t="array" ref="AK89:AK89">IF(AND($R89=2,ACOMPANHAMENTO="BM"),ROUND(AK90,4),AK91/$S89)</f>
        <v>0.04</v>
      </c>
      <c r="AL89" s="422" t="n">
        <f aca="false" t="array" ref="AL89:AL89">IF(AND($R89=2,ACOMPANHAMENTO="BM"),ROUND(AL90,4),AL91/$S89)</f>
        <v>0.04</v>
      </c>
      <c r="AM89" s="422" t="n">
        <f aca="false" t="array" ref="AM89:AM89">IF(AND($R89=2,ACOMPANHAMENTO="BM"),ROUND(AM90,4),AM91/$S89)</f>
        <v>0.04</v>
      </c>
      <c r="AN89" s="422" t="n">
        <f aca="false" t="array" ref="AN89:AN89">IF(AND($R89=2,ACOMPANHAMENTO="BM"),ROUND(AN90,4),AN91/$S89)</f>
        <v>0.04</v>
      </c>
      <c r="AO89" s="422" t="n">
        <f aca="false" t="array" ref="AO89:AO89">IF(AND($R89=2,ACOMPANHAMENTO="BM"),ROUND(AO90,4),AO91/$S89)</f>
        <v>0.04</v>
      </c>
      <c r="AP89" s="422" t="n">
        <f aca="false" t="array" ref="AP89:AP89">IF(AND($R89=2,ACOMPANHAMENTO="BM"),ROUND(AP90,4),AP91/$S89)</f>
        <v>0.04</v>
      </c>
      <c r="AQ89" s="422" t="n">
        <f aca="false" t="array" ref="AQ89:AQ89">IF(AND($R89=2,ACOMPANHAMENTO="BM"),ROUND(AQ90,4),AQ91/$S89)</f>
        <v>0.04</v>
      </c>
      <c r="AR89" s="422" t="n">
        <f aca="false" t="array" ref="AR89:AR89">IF(AND($R89=2,ACOMPANHAMENTO="BM"),ROUND(AR90,4),AR91/$S89)</f>
        <v>0.04</v>
      </c>
      <c r="AS89" s="422" t="n">
        <f aca="false" t="array" ref="AS89:AS89">IF(AND($R89=2,ACOMPANHAMENTO="BM"),ROUND(AS90,4),AS91/$S89)</f>
        <v>0.04</v>
      </c>
      <c r="AT89" s="422" t="n">
        <f aca="false" t="array" ref="AT89:AT89">IF(AND($R89=2,ACOMPANHAMENTO="BM"),ROUND(AT90,4),AT91/$S89)</f>
        <v>0</v>
      </c>
      <c r="AU89" s="422" t="n">
        <f aca="false" t="array" ref="AU89:AU89">IF(AND($R89=2,ACOMPANHAMENTO="BM"),ROUND(AU90,4),AU91/$S89)</f>
        <v>0</v>
      </c>
      <c r="AV89" s="422" t="n">
        <f aca="false" t="array" ref="AV89:AV89">IF(AND($R89=2,ACOMPANHAMENTO="BM"),ROUND(AV90,4),AV91/$S89)</f>
        <v>0</v>
      </c>
      <c r="AW89" s="422" t="n">
        <f aca="false" t="array" ref="AW89:AW89">IF(AND($R89=2,ACOMPANHAMENTO="BM"),ROUND(AW90,4),AW91/$S89)</f>
        <v>0</v>
      </c>
      <c r="AX89" s="422" t="n">
        <f aca="false" t="array" ref="AX89:AX89">IF(AND($R89=2,ACOMPANHAMENTO="BM"),ROUND(AX90,4),AX91/$S89)</f>
        <v>0</v>
      </c>
      <c r="AY89" s="422" t="n">
        <f aca="false" t="array" ref="AY89:AY89">IF(AND($R89=2,ACOMPANHAMENTO="BM"),ROUND(AY90,4),AY91/$S89)</f>
        <v>0</v>
      </c>
      <c r="AZ89" s="422" t="n">
        <f aca="false" t="array" ref="AZ89:AZ89">IF(AND($R89=2,ACOMPANHAMENTO="BM"),ROUND(AZ90,4),AZ91/$S89)</f>
        <v>0</v>
      </c>
      <c r="BA89" s="422" t="n">
        <f aca="false" t="array" ref="BA89:BA89">IF(AND($R89=2,ACOMPANHAMENTO="BM"),ROUND(BA90,4),BA91/$S89)</f>
        <v>0</v>
      </c>
      <c r="BB89" s="422" t="n">
        <f aca="false" t="array" ref="BB89:BB89">IF(AND($R89=2,ACOMPANHAMENTO="BM"),ROUND(BB90,4),BB91/$S89)</f>
        <v>0</v>
      </c>
      <c r="BC89" s="422" t="n">
        <f aca="false" t="array" ref="BC89:BC89">IF(AND($R89=2,ACOMPANHAMENTO="BM"),ROUND(BC90,4),BC91/$S89)</f>
        <v>0</v>
      </c>
      <c r="BD89" s="422" t="n">
        <f aca="false" t="array" ref="BD89:BD89">IF(AND($R89=2,ACOMPANHAMENTO="BM"),ROUND(BD90,4),BD91/$S89)</f>
        <v>0</v>
      </c>
      <c r="BE89" s="430"/>
    </row>
    <row r="90" customFormat="false" ht="12.75" hidden="true" customHeight="true" outlineLevel="0" collapsed="false">
      <c r="E90" s="431"/>
      <c r="F90" s="419" t="n">
        <f aca="true">IF(ISERROR(F89),IF(1+COUNTIF($M$13:OFFSET(M89,-1,0),1)&lt;=MAX(QCI!$D$13:$D$15),1+COUNTIF($M$13:OFFSET(M89,-1,0),1),-1),0)</f>
        <v>0</v>
      </c>
      <c r="G90" s="419" t="str">
        <f aca="true" t="array" ref="G90:G90">IF(ACOMPANHAMENTO="BM",OFFSET(G90,-1,0),"")</f>
        <v/>
      </c>
      <c r="H90" s="432" t="str">
        <f aca="false" t="array" ref="H90:H90">IF(OR(S89=0,S89=""),"vazia",IF(AND(OR(ACOMPANHAMENTO="PLE",$R89&lt;&gt;2),$F90=0),"calculada","--&gt;"))</f>
        <v>calculada</v>
      </c>
      <c r="I90" s="433"/>
      <c r="J90" s="434" t="str">
        <f aca="false">IF(AND(H89&lt;&gt;0,ISNUMBER(H89)),"PREENCHA ESTA LINHA --&gt;","")</f>
        <v/>
      </c>
      <c r="K90" s="434"/>
      <c r="L90" s="434"/>
      <c r="M90" s="435"/>
      <c r="N90" s="435"/>
      <c r="O90" s="435"/>
      <c r="P90" s="435"/>
      <c r="Q90" s="435"/>
      <c r="R90" s="435"/>
      <c r="S90" s="436"/>
      <c r="T90" s="437"/>
      <c r="U90" s="431"/>
      <c r="V90" s="431"/>
      <c r="W90" s="431"/>
      <c r="X90" s="431"/>
      <c r="Y90" s="431"/>
      <c r="Z90" s="431"/>
      <c r="AA90" s="431"/>
      <c r="AB90" s="431"/>
      <c r="AC90" s="431"/>
      <c r="AD90" s="431"/>
      <c r="AE90" s="431"/>
      <c r="AF90" s="431"/>
      <c r="AG90" s="431"/>
      <c r="AH90" s="431"/>
      <c r="AI90" s="431"/>
      <c r="AJ90" s="431"/>
      <c r="AK90" s="431"/>
      <c r="AL90" s="431"/>
      <c r="AM90" s="431"/>
      <c r="AN90" s="431"/>
      <c r="AO90" s="431"/>
      <c r="AP90" s="431"/>
      <c r="AQ90" s="431"/>
      <c r="AR90" s="431"/>
      <c r="AS90" s="431"/>
      <c r="AT90" s="431"/>
      <c r="AU90" s="431"/>
      <c r="AV90" s="431"/>
      <c r="AW90" s="431"/>
      <c r="AX90" s="431"/>
      <c r="AY90" s="431"/>
      <c r="AZ90" s="431"/>
      <c r="BA90" s="431"/>
      <c r="BB90" s="431"/>
      <c r="BC90" s="431"/>
      <c r="BD90" s="431"/>
      <c r="BE90" s="430"/>
    </row>
    <row r="91" customFormat="false" ht="12.75" hidden="true" customHeight="true" outlineLevel="0" collapsed="false">
      <c r="D91" s="438"/>
      <c r="E91" s="439" t="n">
        <f aca="false" t="array" ref="E91:E91">IF($R89=2,
         IF(AND(ACOMPANHAMENTO="PLE",ISNUMBER($F89)),
                SUMIF((OFFSET(CÁLCULO!$BS$15:$CS$15,$F89,0,OFFSET(ORÇAMENTO!$D$15,CRONO!$F89,0))),CRONO!E$12,OFFSET(CÁLCULO!$AR$15:$BR$15,$F89,0,OFFSET(ORÇAMENTO!$D$15,CRONO!$F89,0)))
                +IF(AND($F91&lt;&gt;"",$F91&lt;&gt;0),
                        SUMIF(CÁLCULO!$BS$15:$CS$205,CRONO!E$12,CÁLCULO!$AR$15:$BR$205)/(ORÇAMENTO!$X$15-_xlfn.single(CÁLCULO.TotalAdmLocal))*CRONO!$F91,
                        0),
                 E90*$S89),
          SUMIF(OFFSET($S91,1,0,$R89-2),($M89+1)&amp;"$",OFFSET(E91,1,0,$R89-2)))</f>
        <v>690.98</v>
      </c>
      <c r="F91" s="419" t="str">
        <f aca="true">IF(OR($R89&lt;&gt;2,AUTOEVENTO&lt;&gt;"manual",$F90&gt;0),"",
        IF(Import.TipoArredondamento="Tradicional",
              SUMIF(OFFSET(CÁLCULO!$M$15,CRONO!$F89,0,OFFSET(ORÇAMENTO!$D$15,CRONO!$F89,0)),1,OFFSET(ORÇAMENTO!$X$15,CRONO!$F89,0,OFFSET(ORÇAMENTO!$D$15,CRONO!$F89,0))),
              0))</f>
        <v/>
      </c>
      <c r="H91" s="440"/>
      <c r="S91" s="441" t="str">
        <f aca="false">M89&amp;"$"</f>
        <v>2$</v>
      </c>
      <c r="T91" s="442"/>
      <c r="U91" s="439" t="n">
        <f aca="false" t="array" ref="U91:U91">IF($R89=2,
         IF(AND(ACOMPANHAMENTO="PLE",ISNUMBER($F89)),
                SUMIF((OFFSET(CÁLCULO!$BS$15:$CS$15,$F89,0,OFFSET(ORÇAMENTO!$D$15,CRONO!$F89,0))),CRONO!U$12,OFFSET(CÁLCULO!$AR$15:$BR$15,$F89,0,OFFSET(ORÇAMENTO!$D$15,CRONO!$F89,0)))
                +IF(AND($F91&lt;&gt;"",$F91&lt;&gt;0),
                        SUMIF(CÁLCULO!$BS$15:$CS$205,CRONO!U$12,CÁLCULO!$AR$15:$BR$205)/(ORÇAMENTO!$X$15-_xlfn.single(CÁLCULO.TotalAdmLocal))*CRONO!$F91,
                        0),
                 U90*$S89),
          SUMIF(OFFSET($S91,1,0,$R89-2),($M89+1)&amp;"$",OFFSET(U91,1,0,$R89-2)))</f>
        <v>690.98</v>
      </c>
      <c r="V91" s="439" t="n">
        <f aca="false" t="array" ref="V91:V91">IF($R89=2,
         IF(AND(ACOMPANHAMENTO="PLE",ISNUMBER($F89)),
                SUMIF((OFFSET(CÁLCULO!$BS$15:$CS$15,$F89,0,OFFSET(ORÇAMENTO!$D$15,CRONO!$F89,0))),CRONO!V$12,OFFSET(CÁLCULO!$AR$15:$BR$15,$F89,0,OFFSET(ORÇAMENTO!$D$15,CRONO!$F89,0)))
                +IF(AND($F91&lt;&gt;"",$F91&lt;&gt;0),
                        SUMIF(CÁLCULO!$BS$15:$CS$205,CRONO!V$12,CÁLCULO!$AR$15:$BR$205)/(ORÇAMENTO!$X$15-_xlfn.single(CÁLCULO.TotalAdmLocal))*CRONO!$F91,
                        0),
                 V90*$S89),
          SUMIF(OFFSET($S91,1,0,$R89-2),($M89+1)&amp;"$",OFFSET(V91,1,0,$R89-2)))</f>
        <v>690.98</v>
      </c>
      <c r="W91" s="439" t="n">
        <f aca="false" t="array" ref="W91:W91">IF($R89=2,
         IF(AND(ACOMPANHAMENTO="PLE",ISNUMBER($F89)),
                SUMIF((OFFSET(CÁLCULO!$BS$15:$CS$15,$F89,0,OFFSET(ORÇAMENTO!$D$15,CRONO!$F89,0))),CRONO!W$12,OFFSET(CÁLCULO!$AR$15:$BR$15,$F89,0,OFFSET(ORÇAMENTO!$D$15,CRONO!$F89,0)))
                +IF(AND($F91&lt;&gt;"",$F91&lt;&gt;0),
                        SUMIF(CÁLCULO!$BS$15:$CS$205,CRONO!W$12,CÁLCULO!$AR$15:$BR$205)/(ORÇAMENTO!$X$15-_xlfn.single(CÁLCULO.TotalAdmLocal))*CRONO!$F91,
                        0),
                 W90*$S89),
          SUMIF(OFFSET($S91,1,0,$R89-2),($M89+1)&amp;"$",OFFSET(W91,1,0,$R89-2)))</f>
        <v>690.98</v>
      </c>
      <c r="X91" s="439" t="n">
        <f aca="false" t="array" ref="X91:X91">IF($R89=2,
         IF(AND(ACOMPANHAMENTO="PLE",ISNUMBER($F89)),
                SUMIF((OFFSET(CÁLCULO!$BS$15:$CS$15,$F89,0,OFFSET(ORÇAMENTO!$D$15,CRONO!$F89,0))),CRONO!X$12,OFFSET(CÁLCULO!$AR$15:$BR$15,$F89,0,OFFSET(ORÇAMENTO!$D$15,CRONO!$F89,0)))
                +IF(AND($F91&lt;&gt;"",$F91&lt;&gt;0),
                        SUMIF(CÁLCULO!$BS$15:$CS$205,CRONO!X$12,CÁLCULO!$AR$15:$BR$205)/(ORÇAMENTO!$X$15-_xlfn.single(CÁLCULO.TotalAdmLocal))*CRONO!$F91,
                        0),
                 X90*$S89),
          SUMIF(OFFSET($S91,1,0,$R89-2),($M89+1)&amp;"$",OFFSET(X91,1,0,$R89-2)))</f>
        <v>690.98</v>
      </c>
      <c r="Y91" s="439" t="n">
        <f aca="false" t="array" ref="Y91:Y91">IF($R89=2,
         IF(AND(ACOMPANHAMENTO="PLE",ISNUMBER($F89)),
                SUMIF((OFFSET(CÁLCULO!$BS$15:$CS$15,$F89,0,OFFSET(ORÇAMENTO!$D$15,CRONO!$F89,0))),CRONO!Y$12,OFFSET(CÁLCULO!$AR$15:$BR$15,$F89,0,OFFSET(ORÇAMENTO!$D$15,CRONO!$F89,0)))
                +IF(AND($F91&lt;&gt;"",$F91&lt;&gt;0),
                        SUMIF(CÁLCULO!$BS$15:$CS$205,CRONO!Y$12,CÁLCULO!$AR$15:$BR$205)/(ORÇAMENTO!$X$15-_xlfn.single(CÁLCULO.TotalAdmLocal))*CRONO!$F91,
                        0),
                 Y90*$S89),
          SUMIF(OFFSET($S91,1,0,$R89-2),($M89+1)&amp;"$",OFFSET(Y91,1,0,$R89-2)))</f>
        <v>690.98</v>
      </c>
      <c r="Z91" s="439" t="n">
        <f aca="false" t="array" ref="Z91:Z91">IF($R89=2,
         IF(AND(ACOMPANHAMENTO="PLE",ISNUMBER($F89)),
                SUMIF((OFFSET(CÁLCULO!$BS$15:$CS$15,$F89,0,OFFSET(ORÇAMENTO!$D$15,CRONO!$F89,0))),CRONO!Z$12,OFFSET(CÁLCULO!$AR$15:$BR$15,$F89,0,OFFSET(ORÇAMENTO!$D$15,CRONO!$F89,0)))
                +IF(AND($F91&lt;&gt;"",$F91&lt;&gt;0),
                        SUMIF(CÁLCULO!$BS$15:$CS$205,CRONO!Z$12,CÁLCULO!$AR$15:$BR$205)/(ORÇAMENTO!$X$15-_xlfn.single(CÁLCULO.TotalAdmLocal))*CRONO!$F91,
                        0),
                 Z90*$S89),
          SUMIF(OFFSET($S91,1,0,$R89-2),($M89+1)&amp;"$",OFFSET(Z91,1,0,$R89-2)))</f>
        <v>690.98</v>
      </c>
      <c r="AA91" s="439" t="n">
        <f aca="false" t="array" ref="AA91:AA91">IF($R89=2,
         IF(AND(ACOMPANHAMENTO="PLE",ISNUMBER($F89)),
                SUMIF((OFFSET(CÁLCULO!$BS$15:$CS$15,$F89,0,OFFSET(ORÇAMENTO!$D$15,CRONO!$F89,0))),CRONO!AA$12,OFFSET(CÁLCULO!$AR$15:$BR$15,$F89,0,OFFSET(ORÇAMENTO!$D$15,CRONO!$F89,0)))
                +IF(AND($F91&lt;&gt;"",$F91&lt;&gt;0),
                        SUMIF(CÁLCULO!$BS$15:$CS$205,CRONO!AA$12,CÁLCULO!$AR$15:$BR$205)/(ORÇAMENTO!$X$15-_xlfn.single(CÁLCULO.TotalAdmLocal))*CRONO!$F91,
                        0),
                 AA90*$S89),
          SUMIF(OFFSET($S91,1,0,$R89-2),($M89+1)&amp;"$",OFFSET(AA91,1,0,$R89-2)))</f>
        <v>690.98</v>
      </c>
      <c r="AB91" s="439" t="n">
        <f aca="false" t="array" ref="AB91:AB91">IF($R89=2,
         IF(AND(ACOMPANHAMENTO="PLE",ISNUMBER($F89)),
                SUMIF((OFFSET(CÁLCULO!$BS$15:$CS$15,$F89,0,OFFSET(ORÇAMENTO!$D$15,CRONO!$F89,0))),CRONO!AB$12,OFFSET(CÁLCULO!$AR$15:$BR$15,$F89,0,OFFSET(ORÇAMENTO!$D$15,CRONO!$F89,0)))
                +IF(AND($F91&lt;&gt;"",$F91&lt;&gt;0),
                        SUMIF(CÁLCULO!$BS$15:$CS$205,CRONO!AB$12,CÁLCULO!$AR$15:$BR$205)/(ORÇAMENTO!$X$15-_xlfn.single(CÁLCULO.TotalAdmLocal))*CRONO!$F91,
                        0),
                 AB90*$S89),
          SUMIF(OFFSET($S91,1,0,$R89-2),($M89+1)&amp;"$",OFFSET(AB91,1,0,$R89-2)))</f>
        <v>690.98</v>
      </c>
      <c r="AC91" s="439" t="n">
        <f aca="false" t="array" ref="AC91:AC91">IF($R89=2,
         IF(AND(ACOMPANHAMENTO="PLE",ISNUMBER($F89)),
                SUMIF((OFFSET(CÁLCULO!$BS$15:$CS$15,$F89,0,OFFSET(ORÇAMENTO!$D$15,CRONO!$F89,0))),CRONO!AC$12,OFFSET(CÁLCULO!$AR$15:$BR$15,$F89,0,OFFSET(ORÇAMENTO!$D$15,CRONO!$F89,0)))
                +IF(AND($F91&lt;&gt;"",$F91&lt;&gt;0),
                        SUMIF(CÁLCULO!$BS$15:$CS$205,CRONO!AC$12,CÁLCULO!$AR$15:$BR$205)/(ORÇAMENTO!$X$15-_xlfn.single(CÁLCULO.TotalAdmLocal))*CRONO!$F91,
                        0),
                 AC90*$S89),
          SUMIF(OFFSET($S91,1,0,$R89-2),($M89+1)&amp;"$",OFFSET(AC91,1,0,$R89-2)))</f>
        <v>690.98</v>
      </c>
      <c r="AD91" s="439" t="n">
        <f aca="false" t="array" ref="AD91:AD91">IF($R89=2,
         IF(AND(ACOMPANHAMENTO="PLE",ISNUMBER($F89)),
                SUMIF((OFFSET(CÁLCULO!$BS$15:$CS$15,$F89,0,OFFSET(ORÇAMENTO!$D$15,CRONO!$F89,0))),CRONO!AD$12,OFFSET(CÁLCULO!$AR$15:$BR$15,$F89,0,OFFSET(ORÇAMENTO!$D$15,CRONO!$F89,0)))
                +IF(AND($F91&lt;&gt;"",$F91&lt;&gt;0),
                        SUMIF(CÁLCULO!$BS$15:$CS$205,CRONO!AD$12,CÁLCULO!$AR$15:$BR$205)/(ORÇAMENTO!$X$15-_xlfn.single(CÁLCULO.TotalAdmLocal))*CRONO!$F91,
                        0),
                 AD90*$S89),
          SUMIF(OFFSET($S91,1,0,$R89-2),($M89+1)&amp;"$",OFFSET(AD91,1,0,$R89-2)))</f>
        <v>690.98</v>
      </c>
      <c r="AE91" s="439" t="n">
        <f aca="false" t="array" ref="AE91:AE91">IF($R89=2,
         IF(AND(ACOMPANHAMENTO="PLE",ISNUMBER($F89)),
                SUMIF((OFFSET(CÁLCULO!$BS$15:$CS$15,$F89,0,OFFSET(ORÇAMENTO!$D$15,CRONO!$F89,0))),CRONO!AE$12,OFFSET(CÁLCULO!$AR$15:$BR$15,$F89,0,OFFSET(ORÇAMENTO!$D$15,CRONO!$F89,0)))
                +IF(AND($F91&lt;&gt;"",$F91&lt;&gt;0),
                        SUMIF(CÁLCULO!$BS$15:$CS$205,CRONO!AE$12,CÁLCULO!$AR$15:$BR$205)/(ORÇAMENTO!$X$15-_xlfn.single(CÁLCULO.TotalAdmLocal))*CRONO!$F91,
                        0),
                 AE90*$S89),
          SUMIF(OFFSET($S91,1,0,$R89-2),($M89+1)&amp;"$",OFFSET(AE91,1,0,$R89-2)))</f>
        <v>690.98</v>
      </c>
      <c r="AF91" s="439" t="n">
        <f aca="false" t="array" ref="AF91:AF91">IF($R89=2,
         IF(AND(ACOMPANHAMENTO="PLE",ISNUMBER($F89)),
                SUMIF((OFFSET(CÁLCULO!$BS$15:$CS$15,$F89,0,OFFSET(ORÇAMENTO!$D$15,CRONO!$F89,0))),CRONO!AF$12,OFFSET(CÁLCULO!$AR$15:$BR$15,$F89,0,OFFSET(ORÇAMENTO!$D$15,CRONO!$F89,0)))
                +IF(AND($F91&lt;&gt;"",$F91&lt;&gt;0),
                        SUMIF(CÁLCULO!$BS$15:$CS$205,CRONO!AF$12,CÁLCULO!$AR$15:$BR$205)/(ORÇAMENTO!$X$15-_xlfn.single(CÁLCULO.TotalAdmLocal))*CRONO!$F91,
                        0),
                 AF90*$S89),
          SUMIF(OFFSET($S91,1,0,$R89-2),($M89+1)&amp;"$",OFFSET(AF91,1,0,$R89-2)))</f>
        <v>690.98</v>
      </c>
      <c r="AG91" s="439" t="n">
        <f aca="false" t="array" ref="AG91:AG91">IF($R89=2,
         IF(AND(ACOMPANHAMENTO="PLE",ISNUMBER($F89)),
                SUMIF((OFFSET(CÁLCULO!$BS$15:$CS$15,$F89,0,OFFSET(ORÇAMENTO!$D$15,CRONO!$F89,0))),CRONO!AG$12,OFFSET(CÁLCULO!$AR$15:$BR$15,$F89,0,OFFSET(ORÇAMENTO!$D$15,CRONO!$F89,0)))
                +IF(AND($F91&lt;&gt;"",$F91&lt;&gt;0),
                        SUMIF(CÁLCULO!$BS$15:$CS$205,CRONO!AG$12,CÁLCULO!$AR$15:$BR$205)/(ORÇAMENTO!$X$15-_xlfn.single(CÁLCULO.TotalAdmLocal))*CRONO!$F91,
                        0),
                 AG90*$S89),
          SUMIF(OFFSET($S91,1,0,$R89-2),($M89+1)&amp;"$",OFFSET(AG91,1,0,$R89-2)))</f>
        <v>690.98</v>
      </c>
      <c r="AH91" s="439" t="n">
        <f aca="false" t="array" ref="AH91:AH91">IF($R89=2,
         IF(AND(ACOMPANHAMENTO="PLE",ISNUMBER($F89)),
                SUMIF((OFFSET(CÁLCULO!$BS$15:$CS$15,$F89,0,OFFSET(ORÇAMENTO!$D$15,CRONO!$F89,0))),CRONO!AH$12,OFFSET(CÁLCULO!$AR$15:$BR$15,$F89,0,OFFSET(ORÇAMENTO!$D$15,CRONO!$F89,0)))
                +IF(AND($F91&lt;&gt;"",$F91&lt;&gt;0),
                        SUMIF(CÁLCULO!$BS$15:$CS$205,CRONO!AH$12,CÁLCULO!$AR$15:$BR$205)/(ORÇAMENTO!$X$15-_xlfn.single(CÁLCULO.TotalAdmLocal))*CRONO!$F91,
                        0),
                 AH90*$S89),
          SUMIF(OFFSET($S91,1,0,$R89-2),($M89+1)&amp;"$",OFFSET(AH91,1,0,$R89-2)))</f>
        <v>690.98</v>
      </c>
      <c r="AI91" s="439" t="n">
        <f aca="false" t="array" ref="AI91:AI91">IF($R89=2,
         IF(AND(ACOMPANHAMENTO="PLE",ISNUMBER($F89)),
                SUMIF((OFFSET(CÁLCULO!$BS$15:$CS$15,$F89,0,OFFSET(ORÇAMENTO!$D$15,CRONO!$F89,0))),CRONO!AI$12,OFFSET(CÁLCULO!$AR$15:$BR$15,$F89,0,OFFSET(ORÇAMENTO!$D$15,CRONO!$F89,0)))
                +IF(AND($F91&lt;&gt;"",$F91&lt;&gt;0),
                        SUMIF(CÁLCULO!$BS$15:$CS$205,CRONO!AI$12,CÁLCULO!$AR$15:$BR$205)/(ORÇAMENTO!$X$15-_xlfn.single(CÁLCULO.TotalAdmLocal))*CRONO!$F91,
                        0),
                 AI90*$S89),
          SUMIF(OFFSET($S91,1,0,$R89-2),($M89+1)&amp;"$",OFFSET(AI91,1,0,$R89-2)))</f>
        <v>690.98</v>
      </c>
      <c r="AJ91" s="439" t="n">
        <f aca="false" t="array" ref="AJ91:AJ91">IF($R89=2,
         IF(AND(ACOMPANHAMENTO="PLE",ISNUMBER($F89)),
                SUMIF((OFFSET(CÁLCULO!$BS$15:$CS$15,$F89,0,OFFSET(ORÇAMENTO!$D$15,CRONO!$F89,0))),CRONO!AJ$12,OFFSET(CÁLCULO!$AR$15:$BR$15,$F89,0,OFFSET(ORÇAMENTO!$D$15,CRONO!$F89,0)))
                +IF(AND($F91&lt;&gt;"",$F91&lt;&gt;0),
                        SUMIF(CÁLCULO!$BS$15:$CS$205,CRONO!AJ$12,CÁLCULO!$AR$15:$BR$205)/(ORÇAMENTO!$X$15-_xlfn.single(CÁLCULO.TotalAdmLocal))*CRONO!$F91,
                        0),
                 AJ90*$S89),
          SUMIF(OFFSET($S91,1,0,$R89-2),($M89+1)&amp;"$",OFFSET(AJ91,1,0,$R89-2)))</f>
        <v>690.98</v>
      </c>
      <c r="AK91" s="439" t="n">
        <f aca="false" t="array" ref="AK91:AK91">IF($R89=2,
         IF(AND(ACOMPANHAMENTO="PLE",ISNUMBER($F89)),
                SUMIF((OFFSET(CÁLCULO!$BS$15:$CS$15,$F89,0,OFFSET(ORÇAMENTO!$D$15,CRONO!$F89,0))),CRONO!AK$12,OFFSET(CÁLCULO!$AR$15:$BR$15,$F89,0,OFFSET(ORÇAMENTO!$D$15,CRONO!$F89,0)))
                +IF(AND($F91&lt;&gt;"",$F91&lt;&gt;0),
                        SUMIF(CÁLCULO!$BS$15:$CS$205,CRONO!AK$12,CÁLCULO!$AR$15:$BR$205)/(ORÇAMENTO!$X$15-_xlfn.single(CÁLCULO.TotalAdmLocal))*CRONO!$F91,
                        0),
                 AK90*$S89),
          SUMIF(OFFSET($S91,1,0,$R89-2),($M89+1)&amp;"$",OFFSET(AK91,1,0,$R89-2)))</f>
        <v>690.98</v>
      </c>
      <c r="AL91" s="439" t="n">
        <f aca="false" t="array" ref="AL91:AL91">IF($R89=2,
         IF(AND(ACOMPANHAMENTO="PLE",ISNUMBER($F89)),
                SUMIF((OFFSET(CÁLCULO!$BS$15:$CS$15,$F89,0,OFFSET(ORÇAMENTO!$D$15,CRONO!$F89,0))),CRONO!AL$12,OFFSET(CÁLCULO!$AR$15:$BR$15,$F89,0,OFFSET(ORÇAMENTO!$D$15,CRONO!$F89,0)))
                +IF(AND($F91&lt;&gt;"",$F91&lt;&gt;0),
                        SUMIF(CÁLCULO!$BS$15:$CS$205,CRONO!AL$12,CÁLCULO!$AR$15:$BR$205)/(ORÇAMENTO!$X$15-_xlfn.single(CÁLCULO.TotalAdmLocal))*CRONO!$F91,
                        0),
                 AL90*$S89),
          SUMIF(OFFSET($S91,1,0,$R89-2),($M89+1)&amp;"$",OFFSET(AL91,1,0,$R89-2)))</f>
        <v>690.98</v>
      </c>
      <c r="AM91" s="439" t="n">
        <f aca="false" t="array" ref="AM91:AM91">IF($R89=2,
         IF(AND(ACOMPANHAMENTO="PLE",ISNUMBER($F89)),
                SUMIF((OFFSET(CÁLCULO!$BS$15:$CS$15,$F89,0,OFFSET(ORÇAMENTO!$D$15,CRONO!$F89,0))),CRONO!AM$12,OFFSET(CÁLCULO!$AR$15:$BR$15,$F89,0,OFFSET(ORÇAMENTO!$D$15,CRONO!$F89,0)))
                +IF(AND($F91&lt;&gt;"",$F91&lt;&gt;0),
                        SUMIF(CÁLCULO!$BS$15:$CS$205,CRONO!AM$12,CÁLCULO!$AR$15:$BR$205)/(ORÇAMENTO!$X$15-_xlfn.single(CÁLCULO.TotalAdmLocal))*CRONO!$F91,
                        0),
                 AM90*$S89),
          SUMIF(OFFSET($S91,1,0,$R89-2),($M89+1)&amp;"$",OFFSET(AM91,1,0,$R89-2)))</f>
        <v>690.98</v>
      </c>
      <c r="AN91" s="439" t="n">
        <f aca="false" t="array" ref="AN91:AN91">IF($R89=2,
         IF(AND(ACOMPANHAMENTO="PLE",ISNUMBER($F89)),
                SUMIF((OFFSET(CÁLCULO!$BS$15:$CS$15,$F89,0,OFFSET(ORÇAMENTO!$D$15,CRONO!$F89,0))),CRONO!AN$12,OFFSET(CÁLCULO!$AR$15:$BR$15,$F89,0,OFFSET(ORÇAMENTO!$D$15,CRONO!$F89,0)))
                +IF(AND($F91&lt;&gt;"",$F91&lt;&gt;0),
                        SUMIF(CÁLCULO!$BS$15:$CS$205,CRONO!AN$12,CÁLCULO!$AR$15:$BR$205)/(ORÇAMENTO!$X$15-_xlfn.single(CÁLCULO.TotalAdmLocal))*CRONO!$F91,
                        0),
                 AN90*$S89),
          SUMIF(OFFSET($S91,1,0,$R89-2),($M89+1)&amp;"$",OFFSET(AN91,1,0,$R89-2)))</f>
        <v>690.98</v>
      </c>
      <c r="AO91" s="439" t="n">
        <f aca="false" t="array" ref="AO91:AO91">IF($R89=2,
         IF(AND(ACOMPANHAMENTO="PLE",ISNUMBER($F89)),
                SUMIF((OFFSET(CÁLCULO!$BS$15:$CS$15,$F89,0,OFFSET(ORÇAMENTO!$D$15,CRONO!$F89,0))),CRONO!AO$12,OFFSET(CÁLCULO!$AR$15:$BR$15,$F89,0,OFFSET(ORÇAMENTO!$D$15,CRONO!$F89,0)))
                +IF(AND($F91&lt;&gt;"",$F91&lt;&gt;0),
                        SUMIF(CÁLCULO!$BS$15:$CS$205,CRONO!AO$12,CÁLCULO!$AR$15:$BR$205)/(ORÇAMENTO!$X$15-_xlfn.single(CÁLCULO.TotalAdmLocal))*CRONO!$F91,
                        0),
                 AO90*$S89),
          SUMIF(OFFSET($S91,1,0,$R89-2),($M89+1)&amp;"$",OFFSET(AO91,1,0,$R89-2)))</f>
        <v>690.98</v>
      </c>
      <c r="AP91" s="439" t="n">
        <f aca="false" t="array" ref="AP91:AP91">IF($R89=2,
         IF(AND(ACOMPANHAMENTO="PLE",ISNUMBER($F89)),
                SUMIF((OFFSET(CÁLCULO!$BS$15:$CS$15,$F89,0,OFFSET(ORÇAMENTO!$D$15,CRONO!$F89,0))),CRONO!AP$12,OFFSET(CÁLCULO!$AR$15:$BR$15,$F89,0,OFFSET(ORÇAMENTO!$D$15,CRONO!$F89,0)))
                +IF(AND($F91&lt;&gt;"",$F91&lt;&gt;0),
                        SUMIF(CÁLCULO!$BS$15:$CS$205,CRONO!AP$12,CÁLCULO!$AR$15:$BR$205)/(ORÇAMENTO!$X$15-_xlfn.single(CÁLCULO.TotalAdmLocal))*CRONO!$F91,
                        0),
                 AP90*$S89),
          SUMIF(OFFSET($S91,1,0,$R89-2),($M89+1)&amp;"$",OFFSET(AP91,1,0,$R89-2)))</f>
        <v>690.98</v>
      </c>
      <c r="AQ91" s="439" t="n">
        <f aca="false" t="array" ref="AQ91:AQ91">IF($R89=2,
         IF(AND(ACOMPANHAMENTO="PLE",ISNUMBER($F89)),
                SUMIF((OFFSET(CÁLCULO!$BS$15:$CS$15,$F89,0,OFFSET(ORÇAMENTO!$D$15,CRONO!$F89,0))),CRONO!AQ$12,OFFSET(CÁLCULO!$AR$15:$BR$15,$F89,0,OFFSET(ORÇAMENTO!$D$15,CRONO!$F89,0)))
                +IF(AND($F91&lt;&gt;"",$F91&lt;&gt;0),
                        SUMIF(CÁLCULO!$BS$15:$CS$205,CRONO!AQ$12,CÁLCULO!$AR$15:$BR$205)/(ORÇAMENTO!$X$15-_xlfn.single(CÁLCULO.TotalAdmLocal))*CRONO!$F91,
                        0),
                 AQ90*$S89),
          SUMIF(OFFSET($S91,1,0,$R89-2),($M89+1)&amp;"$",OFFSET(AQ91,1,0,$R89-2)))</f>
        <v>690.98</v>
      </c>
      <c r="AR91" s="439" t="n">
        <f aca="false" t="array" ref="AR91:AR91">IF($R89=2,
         IF(AND(ACOMPANHAMENTO="PLE",ISNUMBER($F89)),
                SUMIF((OFFSET(CÁLCULO!$BS$15:$CS$15,$F89,0,OFFSET(ORÇAMENTO!$D$15,CRONO!$F89,0))),CRONO!AR$12,OFFSET(CÁLCULO!$AR$15:$BR$15,$F89,0,OFFSET(ORÇAMENTO!$D$15,CRONO!$F89,0)))
                +IF(AND($F91&lt;&gt;"",$F91&lt;&gt;0),
                        SUMIF(CÁLCULO!$BS$15:$CS$205,CRONO!AR$12,CÁLCULO!$AR$15:$BR$205)/(ORÇAMENTO!$X$15-_xlfn.single(CÁLCULO.TotalAdmLocal))*CRONO!$F91,
                        0),
                 AR90*$S89),
          SUMIF(OFFSET($S91,1,0,$R89-2),($M89+1)&amp;"$",OFFSET(AR91,1,0,$R89-2)))</f>
        <v>690.98</v>
      </c>
      <c r="AS91" s="439" t="n">
        <f aca="false" t="array" ref="AS91:AS91">IF($R89=2,
         IF(AND(ACOMPANHAMENTO="PLE",ISNUMBER($F89)),
                SUMIF((OFFSET(CÁLCULO!$BS$15:$CS$15,$F89,0,OFFSET(ORÇAMENTO!$D$15,CRONO!$F89,0))),CRONO!AS$12,OFFSET(CÁLCULO!$AR$15:$BR$15,$F89,0,OFFSET(ORÇAMENTO!$D$15,CRONO!$F89,0)))
                +IF(AND($F91&lt;&gt;"",$F91&lt;&gt;0),
                        SUMIF(CÁLCULO!$BS$15:$CS$205,CRONO!AS$12,CÁLCULO!$AR$15:$BR$205)/(ORÇAMENTO!$X$15-_xlfn.single(CÁLCULO.TotalAdmLocal))*CRONO!$F91,
                        0),
                 AS90*$S89),
          SUMIF(OFFSET($S91,1,0,$R89-2),($M89+1)&amp;"$",OFFSET(AS91,1,0,$R89-2)))</f>
        <v>690.98</v>
      </c>
      <c r="AT91" s="439" t="n">
        <f aca="false" t="array" ref="AT91:AT91">IF($R89=2,
         IF(AND(ACOMPANHAMENTO="PLE",ISNUMBER($F89)),
                SUMIF((OFFSET(CÁLCULO!$BS$15:$CS$15,$F89,0,OFFSET(ORÇAMENTO!$D$15,CRONO!$F89,0))),CRONO!AT$12,OFFSET(CÁLCULO!$AR$15:$BR$15,$F89,0,OFFSET(ORÇAMENTO!$D$15,CRONO!$F89,0)))
                +IF(AND($F91&lt;&gt;"",$F91&lt;&gt;0),
                        SUMIF(CÁLCULO!$BS$15:$CS$205,CRONO!AT$12,CÁLCULO!$AR$15:$BR$205)/(ORÇAMENTO!$X$15-_xlfn.single(CÁLCULO.TotalAdmLocal))*CRONO!$F91,
                        0),
                 AT90*$S89),
          SUMIF(OFFSET($S91,1,0,$R89-2),($M89+1)&amp;"$",OFFSET(AT91,1,0,$R89-2)))</f>
        <v>0</v>
      </c>
      <c r="AU91" s="439" t="n">
        <f aca="false" t="array" ref="AU91:AU91">IF($R89=2,
         IF(AND(ACOMPANHAMENTO="PLE",ISNUMBER($F89)),
                SUMIF((OFFSET(CÁLCULO!$BS$15:$CS$15,$F89,0,OFFSET(ORÇAMENTO!$D$15,CRONO!$F89,0))),CRONO!AU$12,OFFSET(CÁLCULO!$AR$15:$BR$15,$F89,0,OFFSET(ORÇAMENTO!$D$15,CRONO!$F89,0)))
                +IF(AND($F91&lt;&gt;"",$F91&lt;&gt;0),
                        SUMIF(CÁLCULO!$BS$15:$CS$205,CRONO!AU$12,CÁLCULO!$AR$15:$BR$205)/(ORÇAMENTO!$X$15-_xlfn.single(CÁLCULO.TotalAdmLocal))*CRONO!$F91,
                        0),
                 AU90*$S89),
          SUMIF(OFFSET($S91,1,0,$R89-2),($M89+1)&amp;"$",OFFSET(AU91,1,0,$R89-2)))</f>
        <v>0</v>
      </c>
      <c r="AV91" s="439" t="n">
        <f aca="false" t="array" ref="AV91:AV91">IF($R89=2,
         IF(AND(ACOMPANHAMENTO="PLE",ISNUMBER($F89)),
                SUMIF((OFFSET(CÁLCULO!$BS$15:$CS$15,$F89,0,OFFSET(ORÇAMENTO!$D$15,CRONO!$F89,0))),CRONO!AV$12,OFFSET(CÁLCULO!$AR$15:$BR$15,$F89,0,OFFSET(ORÇAMENTO!$D$15,CRONO!$F89,0)))
                +IF(AND($F91&lt;&gt;"",$F91&lt;&gt;0),
                        SUMIF(CÁLCULO!$BS$15:$CS$205,CRONO!AV$12,CÁLCULO!$AR$15:$BR$205)/(ORÇAMENTO!$X$15-_xlfn.single(CÁLCULO.TotalAdmLocal))*CRONO!$F91,
                        0),
                 AV90*$S89),
          SUMIF(OFFSET($S91,1,0,$R89-2),($M89+1)&amp;"$",OFFSET(AV91,1,0,$R89-2)))</f>
        <v>0</v>
      </c>
      <c r="AW91" s="439" t="n">
        <f aca="false" t="array" ref="AW91:AW91">IF($R89=2,
         IF(AND(ACOMPANHAMENTO="PLE",ISNUMBER($F89)),
                SUMIF((OFFSET(CÁLCULO!$BS$15:$CS$15,$F89,0,OFFSET(ORÇAMENTO!$D$15,CRONO!$F89,0))),CRONO!AW$12,OFFSET(CÁLCULO!$AR$15:$BR$15,$F89,0,OFFSET(ORÇAMENTO!$D$15,CRONO!$F89,0)))
                +IF(AND($F91&lt;&gt;"",$F91&lt;&gt;0),
                        SUMIF(CÁLCULO!$BS$15:$CS$205,CRONO!AW$12,CÁLCULO!$AR$15:$BR$205)/(ORÇAMENTO!$X$15-_xlfn.single(CÁLCULO.TotalAdmLocal))*CRONO!$F91,
                        0),
                 AW90*$S89),
          SUMIF(OFFSET($S91,1,0,$R89-2),($M89+1)&amp;"$",OFFSET(AW91,1,0,$R89-2)))</f>
        <v>0</v>
      </c>
      <c r="AX91" s="439" t="n">
        <f aca="false" t="array" ref="AX91:AX91">IF($R89=2,
         IF(AND(ACOMPANHAMENTO="PLE",ISNUMBER($F89)),
                SUMIF((OFFSET(CÁLCULO!$BS$15:$CS$15,$F89,0,OFFSET(ORÇAMENTO!$D$15,CRONO!$F89,0))),CRONO!AX$12,OFFSET(CÁLCULO!$AR$15:$BR$15,$F89,0,OFFSET(ORÇAMENTO!$D$15,CRONO!$F89,0)))
                +IF(AND($F91&lt;&gt;"",$F91&lt;&gt;0),
                        SUMIF(CÁLCULO!$BS$15:$CS$205,CRONO!AX$12,CÁLCULO!$AR$15:$BR$205)/(ORÇAMENTO!$X$15-_xlfn.single(CÁLCULO.TotalAdmLocal))*CRONO!$F91,
                        0),
                 AX90*$S89),
          SUMIF(OFFSET($S91,1,0,$R89-2),($M89+1)&amp;"$",OFFSET(AX91,1,0,$R89-2)))</f>
        <v>0</v>
      </c>
      <c r="AY91" s="439" t="n">
        <f aca="false" t="array" ref="AY91:AY91">IF($R89=2,
         IF(AND(ACOMPANHAMENTO="PLE",ISNUMBER($F89)),
                SUMIF((OFFSET(CÁLCULO!$BS$15:$CS$15,$F89,0,OFFSET(ORÇAMENTO!$D$15,CRONO!$F89,0))),CRONO!AY$12,OFFSET(CÁLCULO!$AR$15:$BR$15,$F89,0,OFFSET(ORÇAMENTO!$D$15,CRONO!$F89,0)))
                +IF(AND($F91&lt;&gt;"",$F91&lt;&gt;0),
                        SUMIF(CÁLCULO!$BS$15:$CS$205,CRONO!AY$12,CÁLCULO!$AR$15:$BR$205)/(ORÇAMENTO!$X$15-_xlfn.single(CÁLCULO.TotalAdmLocal))*CRONO!$F91,
                        0),
                 AY90*$S89),
          SUMIF(OFFSET($S91,1,0,$R89-2),($M89+1)&amp;"$",OFFSET(AY91,1,0,$R89-2)))</f>
        <v>0</v>
      </c>
      <c r="AZ91" s="439" t="n">
        <f aca="false" t="array" ref="AZ91:AZ91">IF($R89=2,
         IF(AND(ACOMPANHAMENTO="PLE",ISNUMBER($F89)),
                SUMIF((OFFSET(CÁLCULO!$BS$15:$CS$15,$F89,0,OFFSET(ORÇAMENTO!$D$15,CRONO!$F89,0))),CRONO!AZ$12,OFFSET(CÁLCULO!$AR$15:$BR$15,$F89,0,OFFSET(ORÇAMENTO!$D$15,CRONO!$F89,0)))
                +IF(AND($F91&lt;&gt;"",$F91&lt;&gt;0),
                        SUMIF(CÁLCULO!$BS$15:$CS$205,CRONO!AZ$12,CÁLCULO!$AR$15:$BR$205)/(ORÇAMENTO!$X$15-_xlfn.single(CÁLCULO.TotalAdmLocal))*CRONO!$F91,
                        0),
                 AZ90*$S89),
          SUMIF(OFFSET($S91,1,0,$R89-2),($M89+1)&amp;"$",OFFSET(AZ91,1,0,$R89-2)))</f>
        <v>0</v>
      </c>
      <c r="BA91" s="439" t="n">
        <f aca="false" t="array" ref="BA91:BA91">IF($R89=2,
         IF(AND(ACOMPANHAMENTO="PLE",ISNUMBER($F89)),
                SUMIF((OFFSET(CÁLCULO!$BS$15:$CS$15,$F89,0,OFFSET(ORÇAMENTO!$D$15,CRONO!$F89,0))),CRONO!BA$12,OFFSET(CÁLCULO!$AR$15:$BR$15,$F89,0,OFFSET(ORÇAMENTO!$D$15,CRONO!$F89,0)))
                +IF(AND($F91&lt;&gt;"",$F91&lt;&gt;0),
                        SUMIF(CÁLCULO!$BS$15:$CS$205,CRONO!BA$12,CÁLCULO!$AR$15:$BR$205)/(ORÇAMENTO!$X$15-_xlfn.single(CÁLCULO.TotalAdmLocal))*CRONO!$F91,
                        0),
                 BA90*$S89),
          SUMIF(OFFSET($S91,1,0,$R89-2),($M89+1)&amp;"$",OFFSET(BA91,1,0,$R89-2)))</f>
        <v>0</v>
      </c>
      <c r="BB91" s="439" t="n">
        <f aca="false" t="array" ref="BB91:BB91">IF($R89=2,
         IF(AND(ACOMPANHAMENTO="PLE",ISNUMBER($F89)),
                SUMIF((OFFSET(CÁLCULO!$BS$15:$CS$15,$F89,0,OFFSET(ORÇAMENTO!$D$15,CRONO!$F89,0))),CRONO!BB$12,OFFSET(CÁLCULO!$AR$15:$BR$15,$F89,0,OFFSET(ORÇAMENTO!$D$15,CRONO!$F89,0)))
                +IF(AND($F91&lt;&gt;"",$F91&lt;&gt;0),
                        SUMIF(CÁLCULO!$BS$15:$CS$205,CRONO!BB$12,CÁLCULO!$AR$15:$BR$205)/(ORÇAMENTO!$X$15-_xlfn.single(CÁLCULO.TotalAdmLocal))*CRONO!$F91,
                        0),
                 BB90*$S89),
          SUMIF(OFFSET($S91,1,0,$R89-2),($M89+1)&amp;"$",OFFSET(BB91,1,0,$R89-2)))</f>
        <v>0</v>
      </c>
      <c r="BC91" s="439" t="n">
        <f aca="false" t="array" ref="BC91:BC91">IF($R89=2,
         IF(AND(ACOMPANHAMENTO="PLE",ISNUMBER($F89)),
                SUMIF((OFFSET(CÁLCULO!$BS$15:$CS$15,$F89,0,OFFSET(ORÇAMENTO!$D$15,CRONO!$F89,0))),CRONO!BC$12,OFFSET(CÁLCULO!$AR$15:$BR$15,$F89,0,OFFSET(ORÇAMENTO!$D$15,CRONO!$F89,0)))
                +IF(AND($F91&lt;&gt;"",$F91&lt;&gt;0),
                        SUMIF(CÁLCULO!$BS$15:$CS$205,CRONO!BC$12,CÁLCULO!$AR$15:$BR$205)/(ORÇAMENTO!$X$15-_xlfn.single(CÁLCULO.TotalAdmLocal))*CRONO!$F91,
                        0),
                 BC90*$S89),
          SUMIF(OFFSET($S91,1,0,$R89-2),($M89+1)&amp;"$",OFFSET(BC91,1,0,$R89-2)))</f>
        <v>0</v>
      </c>
      <c r="BD91" s="439" t="n">
        <f aca="false" t="array" ref="BD91:BD91">IF($R89=2,
         IF(AND(ACOMPANHAMENTO="PLE",ISNUMBER($F89)),
                SUMIF((OFFSET(CÁLCULO!$BS$15:$CS$15,$F89,0,OFFSET(ORÇAMENTO!$D$15,CRONO!$F89,0))),CRONO!BD$12,OFFSET(CÁLCULO!$AR$15:$BR$15,$F89,0,OFFSET(ORÇAMENTO!$D$15,CRONO!$F89,0)))
                +IF(AND($F91&lt;&gt;"",$F91&lt;&gt;0),
                        SUMIF(CÁLCULO!$BS$15:$CS$205,CRONO!BD$12,CÁLCULO!$AR$15:$BR$205)/(ORÇAMENTO!$X$15-_xlfn.single(CÁLCULO.TotalAdmLocal))*CRONO!$F91,
                        0),
                 BD90*$S89),
          SUMIF(OFFSET($S91,1,0,$R89-2),($M89+1)&amp;"$",OFFSET(BD91,1,0,$R89-2)))</f>
        <v>0</v>
      </c>
      <c r="BE91" s="430"/>
    </row>
    <row r="92" customFormat="false" ht="12.75" hidden="true" customHeight="false" outlineLevel="0" collapsed="false">
      <c r="A92" s="382" t="str">
        <f aca="false">IF($M92&gt;1,_xlfn.CONCAT($I92," ",$J92),"")</f>
        <v>1.26. ESPECIAIS / ELEMENTOS FACHADA</v>
      </c>
      <c r="B92" s="419" t="n">
        <f aca="true">OFFSET(B92,-3,0)+1</f>
        <v>27</v>
      </c>
      <c r="C92" s="419" t="n">
        <f aca="true">IF($R92&lt;&gt;2,0,IF($S92=0,1,IF(F93&gt;0,OFFSET(QCI!$M$13,SUBSTITUTE(F93,".",""),0),OFFSET(ORÇAMENTO!$AA$15,CRONO!$F92,0))/$S92))</f>
        <v>1</v>
      </c>
      <c r="D92" s="419" t="n">
        <f aca="true">IF($R92&lt;&gt;2,0,IF($S92=0,1,IF(F93&gt;0,OFFSET(QCI!$N$13,SUBSTITUTE(F93,".",""),0),OFFSET(ORÇAMENTO!$AB$15,CRONO!$F92,0))/$S92))</f>
        <v>1</v>
      </c>
      <c r="E92" s="422" t="e">
        <f aca="false" t="array" ref="E92:E92">IF(AND($R92=2,ACOMPANHAMENTO="BM"),ROUND(E93,4),E94/$S92)</f>
        <v>#DIV/0!</v>
      </c>
      <c r="F92" s="419" t="n">
        <f aca="true">IF(B92&lt;=ORÇAMENTO.MáximoListaCrono,MATCH(B92,ORÇAMENTO.ListaCrono,0),NA())</f>
        <v>86</v>
      </c>
      <c r="G92" s="419" t="str">
        <f aca="false">IF(AND($F93&lt;&gt;-1,$S92&gt;0),"F","")</f>
        <v/>
      </c>
      <c r="H92" s="423" t="str">
        <f aca="false" t="array" ref="H92:H92">IF(OR(S92=0,S92=""),"Linha",IF(AND(OR(ACOMPANHAMENTO="PLE",$R92&lt;&gt;2),$F93=0),"Linha",ROUND(1-SUM(U92:BE92),4)))</f>
        <v>Linha</v>
      </c>
      <c r="I92" s="424" t="str">
        <f aca="true">IF($F93=0,OFFSET(ORÇAMENTO!O$15,$F92,0),IF($F93&lt;&gt;-1,OFFSET(QCI!$D$13,$F93,0),""))</f>
        <v>1.26.</v>
      </c>
      <c r="J92" s="425" t="str">
        <f aca="true">IF($F93=0,OFFSET(ORÇAMENTO!R$15,$F92,0),IF($F93&lt;&gt;-1,OFFSET(QCI!$G$13,$F93,0),""))</f>
        <v>ESPECIAIS / ELEMENTOS FACHADA</v>
      </c>
      <c r="K92" s="425"/>
      <c r="L92" s="425"/>
      <c r="M92" s="426" t="n">
        <f aca="true">IF($F93=0,OFFSET(ORÇAMENTO!C$15,$F92,0),1)</f>
        <v>2</v>
      </c>
      <c r="N92" s="427" t="n">
        <f aca="true">IF($F93=-1,0,IF(N$13&lt;=$M92,IF(ISERROR(MATCH(N$13,OFFSET($M92,1,0,ROW($M$182)-ROW($M92)-1),0)),ROW($M$182)-ROW($M92)-1,MATCH(N$13,OFFSET($M92,1,0,ROW($M$182)-ROW($M92)-1),0)-1),0))</f>
        <v>89</v>
      </c>
      <c r="O92" s="427" t="n">
        <f aca="true">IF($F93=-1,0,IF(O$13&lt;=$M92,IF(ISERROR(MATCH(O$13,OFFSET($M92,1,0,ROW($M$182)-ROW($M92)-1),0)),ROW($M$182)-ROW($M92)-1,MATCH(O$13,OFFSET($M92,1,0,ROW($M$182)-ROW($M92)-1),0)-1),0))</f>
        <v>2</v>
      </c>
      <c r="P92" s="427" t="n">
        <f aca="true">IF($F93=-1,0,IF(P$13&lt;=$M92,IF(ISERROR(MATCH(P$13,OFFSET($M92,1,0,ROW($M$182)-ROW($M92)-1),0)),ROW($M$182)-ROW($M92)-1,MATCH(P$13,OFFSET($M92,1,0,ROW($M$182)-ROW($M92)-1),0)-1),0))</f>
        <v>0</v>
      </c>
      <c r="Q92" s="427" t="n">
        <f aca="true">IF($F93=-1,0,IF(Q$13&lt;=$M92,IF(ISERROR(MATCH(Q$13,OFFSET($M92,1,0,ROW($M$182)-ROW($M92)-1),0)),ROW($M$182)-ROW($M92)-1,MATCH(Q$13,OFFSET($M92,1,0,ROW($M$182)-ROW($M92)-1),0)-1),0))</f>
        <v>0</v>
      </c>
      <c r="R92" s="427" t="n">
        <f aca="true">MIN(OFFSET(M92,0,1,,M92))</f>
        <v>2</v>
      </c>
      <c r="S92" s="428" t="n">
        <f aca="true">IF($F93=0,OFFSET(ORÇAMENTO!X$15,$F92,0),IF($F93&lt;&gt;-1,OFFSET(QCI!$O$13,$F93,0),""))</f>
        <v>0</v>
      </c>
      <c r="T92" s="429" t="s">
        <v>996</v>
      </c>
      <c r="U92" s="422" t="e">
        <f aca="false" t="array" ref="U92:U92">IF(AND($R92=2,ACOMPANHAMENTO="BM"),ROUND(U93,4),U94/$S92)</f>
        <v>#DIV/0!</v>
      </c>
      <c r="V92" s="422" t="e">
        <f aca="false" t="array" ref="V92:V92">IF(AND($R92=2,ACOMPANHAMENTO="BM"),ROUND(V93,4),V94/$S92)</f>
        <v>#DIV/0!</v>
      </c>
      <c r="W92" s="422" t="e">
        <f aca="false" t="array" ref="W92:W92">IF(AND($R92=2,ACOMPANHAMENTO="BM"),ROUND(W93,4),W94/$S92)</f>
        <v>#DIV/0!</v>
      </c>
      <c r="X92" s="422" t="e">
        <f aca="false" t="array" ref="X92:X92">IF(AND($R92=2,ACOMPANHAMENTO="BM"),ROUND(X93,4),X94/$S92)</f>
        <v>#DIV/0!</v>
      </c>
      <c r="Y92" s="422" t="e">
        <f aca="false" t="array" ref="Y92:Y92">IF(AND($R92=2,ACOMPANHAMENTO="BM"),ROUND(Y93,4),Y94/$S92)</f>
        <v>#DIV/0!</v>
      </c>
      <c r="Z92" s="422" t="e">
        <f aca="false" t="array" ref="Z92:Z92">IF(AND($R92=2,ACOMPANHAMENTO="BM"),ROUND(Z93,4),Z94/$S92)</f>
        <v>#DIV/0!</v>
      </c>
      <c r="AA92" s="422" t="e">
        <f aca="false" t="array" ref="AA92:AA92">IF(AND($R92=2,ACOMPANHAMENTO="BM"),ROUND(AA93,4),AA94/$S92)</f>
        <v>#DIV/0!</v>
      </c>
      <c r="AB92" s="422" t="e">
        <f aca="false" t="array" ref="AB92:AB92">IF(AND($R92=2,ACOMPANHAMENTO="BM"),ROUND(AB93,4),AB94/$S92)</f>
        <v>#DIV/0!</v>
      </c>
      <c r="AC92" s="422" t="e">
        <f aca="false" t="array" ref="AC92:AC92">IF(AND($R92=2,ACOMPANHAMENTO="BM"),ROUND(AC93,4),AC94/$S92)</f>
        <v>#DIV/0!</v>
      </c>
      <c r="AD92" s="422" t="e">
        <f aca="false" t="array" ref="AD92:AD92">IF(AND($R92=2,ACOMPANHAMENTO="BM"),ROUND(AD93,4),AD94/$S92)</f>
        <v>#DIV/0!</v>
      </c>
      <c r="AE92" s="422" t="e">
        <f aca="false" t="array" ref="AE92:AE92">IF(AND($R92=2,ACOMPANHAMENTO="BM"),ROUND(AE93,4),AE94/$S92)</f>
        <v>#DIV/0!</v>
      </c>
      <c r="AF92" s="422" t="e">
        <f aca="false" t="array" ref="AF92:AF92">IF(AND($R92=2,ACOMPANHAMENTO="BM"),ROUND(AF93,4),AF94/$S92)</f>
        <v>#DIV/0!</v>
      </c>
      <c r="AG92" s="422" t="e">
        <f aca="false" t="array" ref="AG92:AG92">IF(AND($R92=2,ACOMPANHAMENTO="BM"),ROUND(AG93,4),AG94/$S92)</f>
        <v>#DIV/0!</v>
      </c>
      <c r="AH92" s="422" t="e">
        <f aca="false" t="array" ref="AH92:AH92">IF(AND($R92=2,ACOMPANHAMENTO="BM"),ROUND(AH93,4),AH94/$S92)</f>
        <v>#DIV/0!</v>
      </c>
      <c r="AI92" s="422" t="e">
        <f aca="false" t="array" ref="AI92:AI92">IF(AND($R92=2,ACOMPANHAMENTO="BM"),ROUND(AI93,4),AI94/$S92)</f>
        <v>#DIV/0!</v>
      </c>
      <c r="AJ92" s="422" t="e">
        <f aca="false" t="array" ref="AJ92:AJ92">IF(AND($R92=2,ACOMPANHAMENTO="BM"),ROUND(AJ93,4),AJ94/$S92)</f>
        <v>#DIV/0!</v>
      </c>
      <c r="AK92" s="422" t="e">
        <f aca="false" t="array" ref="AK92:AK92">IF(AND($R92=2,ACOMPANHAMENTO="BM"),ROUND(AK93,4),AK94/$S92)</f>
        <v>#DIV/0!</v>
      </c>
      <c r="AL92" s="422" t="e">
        <f aca="false" t="array" ref="AL92:AL92">IF(AND($R92=2,ACOMPANHAMENTO="BM"),ROUND(AL93,4),AL94/$S92)</f>
        <v>#DIV/0!</v>
      </c>
      <c r="AM92" s="422" t="e">
        <f aca="false" t="array" ref="AM92:AM92">IF(AND($R92=2,ACOMPANHAMENTO="BM"),ROUND(AM93,4),AM94/$S92)</f>
        <v>#DIV/0!</v>
      </c>
      <c r="AN92" s="422" t="e">
        <f aca="false" t="array" ref="AN92:AN92">IF(AND($R92=2,ACOMPANHAMENTO="BM"),ROUND(AN93,4),AN94/$S92)</f>
        <v>#DIV/0!</v>
      </c>
      <c r="AO92" s="422" t="e">
        <f aca="false" t="array" ref="AO92:AO92">IF(AND($R92=2,ACOMPANHAMENTO="BM"),ROUND(AO93,4),AO94/$S92)</f>
        <v>#DIV/0!</v>
      </c>
      <c r="AP92" s="422" t="e">
        <f aca="false" t="array" ref="AP92:AP92">IF(AND($R92=2,ACOMPANHAMENTO="BM"),ROUND(AP93,4),AP94/$S92)</f>
        <v>#DIV/0!</v>
      </c>
      <c r="AQ92" s="422" t="e">
        <f aca="false" t="array" ref="AQ92:AQ92">IF(AND($R92=2,ACOMPANHAMENTO="BM"),ROUND(AQ93,4),AQ94/$S92)</f>
        <v>#DIV/0!</v>
      </c>
      <c r="AR92" s="422" t="e">
        <f aca="false" t="array" ref="AR92:AR92">IF(AND($R92=2,ACOMPANHAMENTO="BM"),ROUND(AR93,4),AR94/$S92)</f>
        <v>#DIV/0!</v>
      </c>
      <c r="AS92" s="422" t="e">
        <f aca="false" t="array" ref="AS92:AS92">IF(AND($R92=2,ACOMPANHAMENTO="BM"),ROUND(AS93,4),AS94/$S92)</f>
        <v>#DIV/0!</v>
      </c>
      <c r="AT92" s="422" t="e">
        <f aca="false" t="array" ref="AT92:AT92">IF(AND($R92=2,ACOMPANHAMENTO="BM"),ROUND(AT93,4),AT94/$S92)</f>
        <v>#DIV/0!</v>
      </c>
      <c r="AU92" s="422" t="e">
        <f aca="false" t="array" ref="AU92:AU92">IF(AND($R92=2,ACOMPANHAMENTO="BM"),ROUND(AU93,4),AU94/$S92)</f>
        <v>#DIV/0!</v>
      </c>
      <c r="AV92" s="422" t="e">
        <f aca="false" t="array" ref="AV92:AV92">IF(AND($R92=2,ACOMPANHAMENTO="BM"),ROUND(AV93,4),AV94/$S92)</f>
        <v>#DIV/0!</v>
      </c>
      <c r="AW92" s="422" t="e">
        <f aca="false" t="array" ref="AW92:AW92">IF(AND($R92=2,ACOMPANHAMENTO="BM"),ROUND(AW93,4),AW94/$S92)</f>
        <v>#DIV/0!</v>
      </c>
      <c r="AX92" s="422" t="e">
        <f aca="false" t="array" ref="AX92:AX92">IF(AND($R92=2,ACOMPANHAMENTO="BM"),ROUND(AX93,4),AX94/$S92)</f>
        <v>#DIV/0!</v>
      </c>
      <c r="AY92" s="422" t="e">
        <f aca="false" t="array" ref="AY92:AY92">IF(AND($R92=2,ACOMPANHAMENTO="BM"),ROUND(AY93,4),AY94/$S92)</f>
        <v>#DIV/0!</v>
      </c>
      <c r="AZ92" s="422" t="e">
        <f aca="false" t="array" ref="AZ92:AZ92">IF(AND($R92=2,ACOMPANHAMENTO="BM"),ROUND(AZ93,4),AZ94/$S92)</f>
        <v>#DIV/0!</v>
      </c>
      <c r="BA92" s="422" t="e">
        <f aca="false" t="array" ref="BA92:BA92">IF(AND($R92=2,ACOMPANHAMENTO="BM"),ROUND(BA93,4),BA94/$S92)</f>
        <v>#DIV/0!</v>
      </c>
      <c r="BB92" s="422" t="e">
        <f aca="false" t="array" ref="BB92:BB92">IF(AND($R92=2,ACOMPANHAMENTO="BM"),ROUND(BB93,4),BB94/$S92)</f>
        <v>#DIV/0!</v>
      </c>
      <c r="BC92" s="422" t="e">
        <f aca="false" t="array" ref="BC92:BC92">IF(AND($R92=2,ACOMPANHAMENTO="BM"),ROUND(BC93,4),BC94/$S92)</f>
        <v>#DIV/0!</v>
      </c>
      <c r="BD92" s="422" t="e">
        <f aca="false" t="array" ref="BD92:BD92">IF(AND($R92=2,ACOMPANHAMENTO="BM"),ROUND(BD93,4),BD94/$S92)</f>
        <v>#DIV/0!</v>
      </c>
      <c r="BE92" s="430"/>
    </row>
    <row r="93" customFormat="false" ht="12.75" hidden="true" customHeight="true" outlineLevel="0" collapsed="false">
      <c r="E93" s="431"/>
      <c r="F93" s="419" t="n">
        <f aca="true">IF(ISERROR(F92),IF(1+COUNTIF($M$13:OFFSET(M92,-1,0),1)&lt;=MAX(QCI!$D$13:$D$15),1+COUNTIF($M$13:OFFSET(M92,-1,0),1),-1),0)</f>
        <v>0</v>
      </c>
      <c r="G93" s="419" t="str">
        <f aca="true" t="array" ref="G93:G93">IF(ACOMPANHAMENTO="BM",OFFSET(G93,-1,0),"")</f>
        <v/>
      </c>
      <c r="H93" s="432" t="str">
        <f aca="false" t="array" ref="H93:H93">IF(OR(S92=0,S92=""),"vazia",IF(AND(OR(ACOMPANHAMENTO="PLE",$R92&lt;&gt;2),$F93=0),"calculada","--&gt;"))</f>
        <v>vazia</v>
      </c>
      <c r="I93" s="433"/>
      <c r="J93" s="434" t="str">
        <f aca="false">IF(AND(H92&lt;&gt;0,ISNUMBER(H92)),"PREENCHA ESTA LINHA --&gt;","")</f>
        <v/>
      </c>
      <c r="K93" s="434"/>
      <c r="L93" s="434"/>
      <c r="M93" s="435"/>
      <c r="N93" s="435"/>
      <c r="O93" s="435"/>
      <c r="P93" s="435"/>
      <c r="Q93" s="435"/>
      <c r="R93" s="435"/>
      <c r="S93" s="436"/>
      <c r="T93" s="437"/>
      <c r="U93" s="431"/>
      <c r="V93" s="431"/>
      <c r="W93" s="431"/>
      <c r="X93" s="431"/>
      <c r="Y93" s="431"/>
      <c r="Z93" s="431"/>
      <c r="AA93" s="431"/>
      <c r="AB93" s="431"/>
      <c r="AC93" s="431"/>
      <c r="AD93" s="431"/>
      <c r="AE93" s="431"/>
      <c r="AF93" s="431"/>
      <c r="AG93" s="431"/>
      <c r="AH93" s="431"/>
      <c r="AI93" s="431"/>
      <c r="AJ93" s="431"/>
      <c r="AK93" s="431"/>
      <c r="AL93" s="431"/>
      <c r="AM93" s="431"/>
      <c r="AN93" s="431"/>
      <c r="AO93" s="431"/>
      <c r="AP93" s="431"/>
      <c r="AQ93" s="431"/>
      <c r="AR93" s="431"/>
      <c r="AS93" s="431"/>
      <c r="AT93" s="431"/>
      <c r="AU93" s="431"/>
      <c r="AV93" s="431"/>
      <c r="AW93" s="431"/>
      <c r="AX93" s="431"/>
      <c r="AY93" s="431"/>
      <c r="AZ93" s="431"/>
      <c r="BA93" s="431"/>
      <c r="BB93" s="431"/>
      <c r="BC93" s="431"/>
      <c r="BD93" s="431"/>
      <c r="BE93" s="430"/>
    </row>
    <row r="94" customFormat="false" ht="12.75" hidden="true" customHeight="true" outlineLevel="0" collapsed="false">
      <c r="D94" s="438"/>
      <c r="E94" s="439" t="n">
        <f aca="false" t="array" ref="E94:E94">IF($R92=2,
         IF(AND(ACOMPANHAMENTO="PLE",ISNUMBER($F92)),
                SUMIF((OFFSET(CÁLCULO!$BS$15:$CS$15,$F92,0,OFFSET(ORÇAMENTO!$D$15,CRONO!$F92,0))),CRONO!E$12,OFFSET(CÁLCULO!$AR$15:$BR$15,$F92,0,OFFSET(ORÇAMENTO!$D$15,CRONO!$F92,0)))
                +IF(AND($F94&lt;&gt;"",$F94&lt;&gt;0),
                        SUMIF(CÁLCULO!$BS$15:$CS$205,CRONO!E$12,CÁLCULO!$AR$15:$BR$205)/(ORÇAMENTO!$X$15-_xlfn.single(CÁLCULO.TotalAdmLocal))*CRONO!$F94,
                        0),
                 E93*$S92),
          SUMIF(OFFSET($S94,1,0,$R92-2),($M92+1)&amp;"$",OFFSET(E94,1,0,$R92-2)))</f>
        <v>0</v>
      </c>
      <c r="F94" s="419" t="str">
        <f aca="true">IF(OR($R92&lt;&gt;2,AUTOEVENTO&lt;&gt;"manual",$F93&gt;0),"",
        IF(Import.TipoArredondamento="Tradicional",
              SUMIF(OFFSET(CÁLCULO!$M$15,CRONO!$F92,0,OFFSET(ORÇAMENTO!$D$15,CRONO!$F92,0)),1,OFFSET(ORÇAMENTO!$X$15,CRONO!$F92,0,OFFSET(ORÇAMENTO!$D$15,CRONO!$F92,0))),
              0))</f>
        <v/>
      </c>
      <c r="H94" s="440"/>
      <c r="S94" s="441" t="str">
        <f aca="false">M92&amp;"$"</f>
        <v>2$</v>
      </c>
      <c r="T94" s="442"/>
      <c r="U94" s="439" t="n">
        <f aca="false" t="array" ref="U94:U94">IF($R92=2,
         IF(AND(ACOMPANHAMENTO="PLE",ISNUMBER($F92)),
                SUMIF((OFFSET(CÁLCULO!$BS$15:$CS$15,$F92,0,OFFSET(ORÇAMENTO!$D$15,CRONO!$F92,0))),CRONO!U$12,OFFSET(CÁLCULO!$AR$15:$BR$15,$F92,0,OFFSET(ORÇAMENTO!$D$15,CRONO!$F92,0)))
                +IF(AND($F94&lt;&gt;"",$F94&lt;&gt;0),
                        SUMIF(CÁLCULO!$BS$15:$CS$205,CRONO!U$12,CÁLCULO!$AR$15:$BR$205)/(ORÇAMENTO!$X$15-_xlfn.single(CÁLCULO.TotalAdmLocal))*CRONO!$F94,
                        0),
                 U93*$S92),
          SUMIF(OFFSET($S94,1,0,$R92-2),($M92+1)&amp;"$",OFFSET(U94,1,0,$R92-2)))</f>
        <v>0</v>
      </c>
      <c r="V94" s="439" t="n">
        <f aca="false" t="array" ref="V94:V94">IF($R92=2,
         IF(AND(ACOMPANHAMENTO="PLE",ISNUMBER($F92)),
                SUMIF((OFFSET(CÁLCULO!$BS$15:$CS$15,$F92,0,OFFSET(ORÇAMENTO!$D$15,CRONO!$F92,0))),CRONO!V$12,OFFSET(CÁLCULO!$AR$15:$BR$15,$F92,0,OFFSET(ORÇAMENTO!$D$15,CRONO!$F92,0)))
                +IF(AND($F94&lt;&gt;"",$F94&lt;&gt;0),
                        SUMIF(CÁLCULO!$BS$15:$CS$205,CRONO!V$12,CÁLCULO!$AR$15:$BR$205)/(ORÇAMENTO!$X$15-_xlfn.single(CÁLCULO.TotalAdmLocal))*CRONO!$F94,
                        0),
                 V93*$S92),
          SUMIF(OFFSET($S94,1,0,$R92-2),($M92+1)&amp;"$",OFFSET(V94,1,0,$R92-2)))</f>
        <v>0</v>
      </c>
      <c r="W94" s="439" t="n">
        <f aca="false" t="array" ref="W94:W94">IF($R92=2,
         IF(AND(ACOMPANHAMENTO="PLE",ISNUMBER($F92)),
                SUMIF((OFFSET(CÁLCULO!$BS$15:$CS$15,$F92,0,OFFSET(ORÇAMENTO!$D$15,CRONO!$F92,0))),CRONO!W$12,OFFSET(CÁLCULO!$AR$15:$BR$15,$F92,0,OFFSET(ORÇAMENTO!$D$15,CRONO!$F92,0)))
                +IF(AND($F94&lt;&gt;"",$F94&lt;&gt;0),
                        SUMIF(CÁLCULO!$BS$15:$CS$205,CRONO!W$12,CÁLCULO!$AR$15:$BR$205)/(ORÇAMENTO!$X$15-_xlfn.single(CÁLCULO.TotalAdmLocal))*CRONO!$F94,
                        0),
                 W93*$S92),
          SUMIF(OFFSET($S94,1,0,$R92-2),($M92+1)&amp;"$",OFFSET(W94,1,0,$R92-2)))</f>
        <v>0</v>
      </c>
      <c r="X94" s="439" t="n">
        <f aca="false" t="array" ref="X94:X94">IF($R92=2,
         IF(AND(ACOMPANHAMENTO="PLE",ISNUMBER($F92)),
                SUMIF((OFFSET(CÁLCULO!$BS$15:$CS$15,$F92,0,OFFSET(ORÇAMENTO!$D$15,CRONO!$F92,0))),CRONO!X$12,OFFSET(CÁLCULO!$AR$15:$BR$15,$F92,0,OFFSET(ORÇAMENTO!$D$15,CRONO!$F92,0)))
                +IF(AND($F94&lt;&gt;"",$F94&lt;&gt;0),
                        SUMIF(CÁLCULO!$BS$15:$CS$205,CRONO!X$12,CÁLCULO!$AR$15:$BR$205)/(ORÇAMENTO!$X$15-_xlfn.single(CÁLCULO.TotalAdmLocal))*CRONO!$F94,
                        0),
                 X93*$S92),
          SUMIF(OFFSET($S94,1,0,$R92-2),($M92+1)&amp;"$",OFFSET(X94,1,0,$R92-2)))</f>
        <v>0</v>
      </c>
      <c r="Y94" s="439" t="n">
        <f aca="false" t="array" ref="Y94:Y94">IF($R92=2,
         IF(AND(ACOMPANHAMENTO="PLE",ISNUMBER($F92)),
                SUMIF((OFFSET(CÁLCULO!$BS$15:$CS$15,$F92,0,OFFSET(ORÇAMENTO!$D$15,CRONO!$F92,0))),CRONO!Y$12,OFFSET(CÁLCULO!$AR$15:$BR$15,$F92,0,OFFSET(ORÇAMENTO!$D$15,CRONO!$F92,0)))
                +IF(AND($F94&lt;&gt;"",$F94&lt;&gt;0),
                        SUMIF(CÁLCULO!$BS$15:$CS$205,CRONO!Y$12,CÁLCULO!$AR$15:$BR$205)/(ORÇAMENTO!$X$15-_xlfn.single(CÁLCULO.TotalAdmLocal))*CRONO!$F94,
                        0),
                 Y93*$S92),
          SUMIF(OFFSET($S94,1,0,$R92-2),($M92+1)&amp;"$",OFFSET(Y94,1,0,$R92-2)))</f>
        <v>0</v>
      </c>
      <c r="Z94" s="439" t="n">
        <f aca="false" t="array" ref="Z94:Z94">IF($R92=2,
         IF(AND(ACOMPANHAMENTO="PLE",ISNUMBER($F92)),
                SUMIF((OFFSET(CÁLCULO!$BS$15:$CS$15,$F92,0,OFFSET(ORÇAMENTO!$D$15,CRONO!$F92,0))),CRONO!Z$12,OFFSET(CÁLCULO!$AR$15:$BR$15,$F92,0,OFFSET(ORÇAMENTO!$D$15,CRONO!$F92,0)))
                +IF(AND($F94&lt;&gt;"",$F94&lt;&gt;0),
                        SUMIF(CÁLCULO!$BS$15:$CS$205,CRONO!Z$12,CÁLCULO!$AR$15:$BR$205)/(ORÇAMENTO!$X$15-_xlfn.single(CÁLCULO.TotalAdmLocal))*CRONO!$F94,
                        0),
                 Z93*$S92),
          SUMIF(OFFSET($S94,1,0,$R92-2),($M92+1)&amp;"$",OFFSET(Z94,1,0,$R92-2)))</f>
        <v>0</v>
      </c>
      <c r="AA94" s="439" t="n">
        <f aca="false" t="array" ref="AA94:AA94">IF($R92=2,
         IF(AND(ACOMPANHAMENTO="PLE",ISNUMBER($F92)),
                SUMIF((OFFSET(CÁLCULO!$BS$15:$CS$15,$F92,0,OFFSET(ORÇAMENTO!$D$15,CRONO!$F92,0))),CRONO!AA$12,OFFSET(CÁLCULO!$AR$15:$BR$15,$F92,0,OFFSET(ORÇAMENTO!$D$15,CRONO!$F92,0)))
                +IF(AND($F94&lt;&gt;"",$F94&lt;&gt;0),
                        SUMIF(CÁLCULO!$BS$15:$CS$205,CRONO!AA$12,CÁLCULO!$AR$15:$BR$205)/(ORÇAMENTO!$X$15-_xlfn.single(CÁLCULO.TotalAdmLocal))*CRONO!$F94,
                        0),
                 AA93*$S92),
          SUMIF(OFFSET($S94,1,0,$R92-2),($M92+1)&amp;"$",OFFSET(AA94,1,0,$R92-2)))</f>
        <v>0</v>
      </c>
      <c r="AB94" s="439" t="n">
        <f aca="false" t="array" ref="AB94:AB94">IF($R92=2,
         IF(AND(ACOMPANHAMENTO="PLE",ISNUMBER($F92)),
                SUMIF((OFFSET(CÁLCULO!$BS$15:$CS$15,$F92,0,OFFSET(ORÇAMENTO!$D$15,CRONO!$F92,0))),CRONO!AB$12,OFFSET(CÁLCULO!$AR$15:$BR$15,$F92,0,OFFSET(ORÇAMENTO!$D$15,CRONO!$F92,0)))
                +IF(AND($F94&lt;&gt;"",$F94&lt;&gt;0),
                        SUMIF(CÁLCULO!$BS$15:$CS$205,CRONO!AB$12,CÁLCULO!$AR$15:$BR$205)/(ORÇAMENTO!$X$15-_xlfn.single(CÁLCULO.TotalAdmLocal))*CRONO!$F94,
                        0),
                 AB93*$S92),
          SUMIF(OFFSET($S94,1,0,$R92-2),($M92+1)&amp;"$",OFFSET(AB94,1,0,$R92-2)))</f>
        <v>0</v>
      </c>
      <c r="AC94" s="439" t="n">
        <f aca="false" t="array" ref="AC94:AC94">IF($R92=2,
         IF(AND(ACOMPANHAMENTO="PLE",ISNUMBER($F92)),
                SUMIF((OFFSET(CÁLCULO!$BS$15:$CS$15,$F92,0,OFFSET(ORÇAMENTO!$D$15,CRONO!$F92,0))),CRONO!AC$12,OFFSET(CÁLCULO!$AR$15:$BR$15,$F92,0,OFFSET(ORÇAMENTO!$D$15,CRONO!$F92,0)))
                +IF(AND($F94&lt;&gt;"",$F94&lt;&gt;0),
                        SUMIF(CÁLCULO!$BS$15:$CS$205,CRONO!AC$12,CÁLCULO!$AR$15:$BR$205)/(ORÇAMENTO!$X$15-_xlfn.single(CÁLCULO.TotalAdmLocal))*CRONO!$F94,
                        0),
                 AC93*$S92),
          SUMIF(OFFSET($S94,1,0,$R92-2),($M92+1)&amp;"$",OFFSET(AC94,1,0,$R92-2)))</f>
        <v>0</v>
      </c>
      <c r="AD94" s="439" t="n">
        <f aca="false" t="array" ref="AD94:AD94">IF($R92=2,
         IF(AND(ACOMPANHAMENTO="PLE",ISNUMBER($F92)),
                SUMIF((OFFSET(CÁLCULO!$BS$15:$CS$15,$F92,0,OFFSET(ORÇAMENTO!$D$15,CRONO!$F92,0))),CRONO!AD$12,OFFSET(CÁLCULO!$AR$15:$BR$15,$F92,0,OFFSET(ORÇAMENTO!$D$15,CRONO!$F92,0)))
                +IF(AND($F94&lt;&gt;"",$F94&lt;&gt;0),
                        SUMIF(CÁLCULO!$BS$15:$CS$205,CRONO!AD$12,CÁLCULO!$AR$15:$BR$205)/(ORÇAMENTO!$X$15-_xlfn.single(CÁLCULO.TotalAdmLocal))*CRONO!$F94,
                        0),
                 AD93*$S92),
          SUMIF(OFFSET($S94,1,0,$R92-2),($M92+1)&amp;"$",OFFSET(AD94,1,0,$R92-2)))</f>
        <v>0</v>
      </c>
      <c r="AE94" s="439" t="n">
        <f aca="false" t="array" ref="AE94:AE94">IF($R92=2,
         IF(AND(ACOMPANHAMENTO="PLE",ISNUMBER($F92)),
                SUMIF((OFFSET(CÁLCULO!$BS$15:$CS$15,$F92,0,OFFSET(ORÇAMENTO!$D$15,CRONO!$F92,0))),CRONO!AE$12,OFFSET(CÁLCULO!$AR$15:$BR$15,$F92,0,OFFSET(ORÇAMENTO!$D$15,CRONO!$F92,0)))
                +IF(AND($F94&lt;&gt;"",$F94&lt;&gt;0),
                        SUMIF(CÁLCULO!$BS$15:$CS$205,CRONO!AE$12,CÁLCULO!$AR$15:$BR$205)/(ORÇAMENTO!$X$15-_xlfn.single(CÁLCULO.TotalAdmLocal))*CRONO!$F94,
                        0),
                 AE93*$S92),
          SUMIF(OFFSET($S94,1,0,$R92-2),($M92+1)&amp;"$",OFFSET(AE94,1,0,$R92-2)))</f>
        <v>0</v>
      </c>
      <c r="AF94" s="439" t="n">
        <f aca="false" t="array" ref="AF94:AF94">IF($R92=2,
         IF(AND(ACOMPANHAMENTO="PLE",ISNUMBER($F92)),
                SUMIF((OFFSET(CÁLCULO!$BS$15:$CS$15,$F92,0,OFFSET(ORÇAMENTO!$D$15,CRONO!$F92,0))),CRONO!AF$12,OFFSET(CÁLCULO!$AR$15:$BR$15,$F92,0,OFFSET(ORÇAMENTO!$D$15,CRONO!$F92,0)))
                +IF(AND($F94&lt;&gt;"",$F94&lt;&gt;0),
                        SUMIF(CÁLCULO!$BS$15:$CS$205,CRONO!AF$12,CÁLCULO!$AR$15:$BR$205)/(ORÇAMENTO!$X$15-_xlfn.single(CÁLCULO.TotalAdmLocal))*CRONO!$F94,
                        0),
                 AF93*$S92),
          SUMIF(OFFSET($S94,1,0,$R92-2),($M92+1)&amp;"$",OFFSET(AF94,1,0,$R92-2)))</f>
        <v>0</v>
      </c>
      <c r="AG94" s="439" t="n">
        <f aca="false" t="array" ref="AG94:AG94">IF($R92=2,
         IF(AND(ACOMPANHAMENTO="PLE",ISNUMBER($F92)),
                SUMIF((OFFSET(CÁLCULO!$BS$15:$CS$15,$F92,0,OFFSET(ORÇAMENTO!$D$15,CRONO!$F92,0))),CRONO!AG$12,OFFSET(CÁLCULO!$AR$15:$BR$15,$F92,0,OFFSET(ORÇAMENTO!$D$15,CRONO!$F92,0)))
                +IF(AND($F94&lt;&gt;"",$F94&lt;&gt;0),
                        SUMIF(CÁLCULO!$BS$15:$CS$205,CRONO!AG$12,CÁLCULO!$AR$15:$BR$205)/(ORÇAMENTO!$X$15-_xlfn.single(CÁLCULO.TotalAdmLocal))*CRONO!$F94,
                        0),
                 AG93*$S92),
          SUMIF(OFFSET($S94,1,0,$R92-2),($M92+1)&amp;"$",OFFSET(AG94,1,0,$R92-2)))</f>
        <v>0</v>
      </c>
      <c r="AH94" s="439" t="n">
        <f aca="false" t="array" ref="AH94:AH94">IF($R92=2,
         IF(AND(ACOMPANHAMENTO="PLE",ISNUMBER($F92)),
                SUMIF((OFFSET(CÁLCULO!$BS$15:$CS$15,$F92,0,OFFSET(ORÇAMENTO!$D$15,CRONO!$F92,0))),CRONO!AH$12,OFFSET(CÁLCULO!$AR$15:$BR$15,$F92,0,OFFSET(ORÇAMENTO!$D$15,CRONO!$F92,0)))
                +IF(AND($F94&lt;&gt;"",$F94&lt;&gt;0),
                        SUMIF(CÁLCULO!$BS$15:$CS$205,CRONO!AH$12,CÁLCULO!$AR$15:$BR$205)/(ORÇAMENTO!$X$15-_xlfn.single(CÁLCULO.TotalAdmLocal))*CRONO!$F94,
                        0),
                 AH93*$S92),
          SUMIF(OFFSET($S94,1,0,$R92-2),($M92+1)&amp;"$",OFFSET(AH94,1,0,$R92-2)))</f>
        <v>0</v>
      </c>
      <c r="AI94" s="439" t="n">
        <f aca="false" t="array" ref="AI94:AI94">IF($R92=2,
         IF(AND(ACOMPANHAMENTO="PLE",ISNUMBER($F92)),
                SUMIF((OFFSET(CÁLCULO!$BS$15:$CS$15,$F92,0,OFFSET(ORÇAMENTO!$D$15,CRONO!$F92,0))),CRONO!AI$12,OFFSET(CÁLCULO!$AR$15:$BR$15,$F92,0,OFFSET(ORÇAMENTO!$D$15,CRONO!$F92,0)))
                +IF(AND($F94&lt;&gt;"",$F94&lt;&gt;0),
                        SUMIF(CÁLCULO!$BS$15:$CS$205,CRONO!AI$12,CÁLCULO!$AR$15:$BR$205)/(ORÇAMENTO!$X$15-_xlfn.single(CÁLCULO.TotalAdmLocal))*CRONO!$F94,
                        0),
                 AI93*$S92),
          SUMIF(OFFSET($S94,1,0,$R92-2),($M92+1)&amp;"$",OFFSET(AI94,1,0,$R92-2)))</f>
        <v>0</v>
      </c>
      <c r="AJ94" s="439" t="n">
        <f aca="false" t="array" ref="AJ94:AJ94">IF($R92=2,
         IF(AND(ACOMPANHAMENTO="PLE",ISNUMBER($F92)),
                SUMIF((OFFSET(CÁLCULO!$BS$15:$CS$15,$F92,0,OFFSET(ORÇAMENTO!$D$15,CRONO!$F92,0))),CRONO!AJ$12,OFFSET(CÁLCULO!$AR$15:$BR$15,$F92,0,OFFSET(ORÇAMENTO!$D$15,CRONO!$F92,0)))
                +IF(AND($F94&lt;&gt;"",$F94&lt;&gt;0),
                        SUMIF(CÁLCULO!$BS$15:$CS$205,CRONO!AJ$12,CÁLCULO!$AR$15:$BR$205)/(ORÇAMENTO!$X$15-_xlfn.single(CÁLCULO.TotalAdmLocal))*CRONO!$F94,
                        0),
                 AJ93*$S92),
          SUMIF(OFFSET($S94,1,0,$R92-2),($M92+1)&amp;"$",OFFSET(AJ94,1,0,$R92-2)))</f>
        <v>0</v>
      </c>
      <c r="AK94" s="439" t="n">
        <f aca="false" t="array" ref="AK94:AK94">IF($R92=2,
         IF(AND(ACOMPANHAMENTO="PLE",ISNUMBER($F92)),
                SUMIF((OFFSET(CÁLCULO!$BS$15:$CS$15,$F92,0,OFFSET(ORÇAMENTO!$D$15,CRONO!$F92,0))),CRONO!AK$12,OFFSET(CÁLCULO!$AR$15:$BR$15,$F92,0,OFFSET(ORÇAMENTO!$D$15,CRONO!$F92,0)))
                +IF(AND($F94&lt;&gt;"",$F94&lt;&gt;0),
                        SUMIF(CÁLCULO!$BS$15:$CS$205,CRONO!AK$12,CÁLCULO!$AR$15:$BR$205)/(ORÇAMENTO!$X$15-_xlfn.single(CÁLCULO.TotalAdmLocal))*CRONO!$F94,
                        0),
                 AK93*$S92),
          SUMIF(OFFSET($S94,1,0,$R92-2),($M92+1)&amp;"$",OFFSET(AK94,1,0,$R92-2)))</f>
        <v>0</v>
      </c>
      <c r="AL94" s="439" t="n">
        <f aca="false" t="array" ref="AL94:AL94">IF($R92=2,
         IF(AND(ACOMPANHAMENTO="PLE",ISNUMBER($F92)),
                SUMIF((OFFSET(CÁLCULO!$BS$15:$CS$15,$F92,0,OFFSET(ORÇAMENTO!$D$15,CRONO!$F92,0))),CRONO!AL$12,OFFSET(CÁLCULO!$AR$15:$BR$15,$F92,0,OFFSET(ORÇAMENTO!$D$15,CRONO!$F92,0)))
                +IF(AND($F94&lt;&gt;"",$F94&lt;&gt;0),
                        SUMIF(CÁLCULO!$BS$15:$CS$205,CRONO!AL$12,CÁLCULO!$AR$15:$BR$205)/(ORÇAMENTO!$X$15-_xlfn.single(CÁLCULO.TotalAdmLocal))*CRONO!$F94,
                        0),
                 AL93*$S92),
          SUMIF(OFFSET($S94,1,0,$R92-2),($M92+1)&amp;"$",OFFSET(AL94,1,0,$R92-2)))</f>
        <v>0</v>
      </c>
      <c r="AM94" s="439" t="n">
        <f aca="false" t="array" ref="AM94:AM94">IF($R92=2,
         IF(AND(ACOMPANHAMENTO="PLE",ISNUMBER($F92)),
                SUMIF((OFFSET(CÁLCULO!$BS$15:$CS$15,$F92,0,OFFSET(ORÇAMENTO!$D$15,CRONO!$F92,0))),CRONO!AM$12,OFFSET(CÁLCULO!$AR$15:$BR$15,$F92,0,OFFSET(ORÇAMENTO!$D$15,CRONO!$F92,0)))
                +IF(AND($F94&lt;&gt;"",$F94&lt;&gt;0),
                        SUMIF(CÁLCULO!$BS$15:$CS$205,CRONO!AM$12,CÁLCULO!$AR$15:$BR$205)/(ORÇAMENTO!$X$15-_xlfn.single(CÁLCULO.TotalAdmLocal))*CRONO!$F94,
                        0),
                 AM93*$S92),
          SUMIF(OFFSET($S94,1,0,$R92-2),($M92+1)&amp;"$",OFFSET(AM94,1,0,$R92-2)))</f>
        <v>0</v>
      </c>
      <c r="AN94" s="439" t="n">
        <f aca="false" t="array" ref="AN94:AN94">IF($R92=2,
         IF(AND(ACOMPANHAMENTO="PLE",ISNUMBER($F92)),
                SUMIF((OFFSET(CÁLCULO!$BS$15:$CS$15,$F92,0,OFFSET(ORÇAMENTO!$D$15,CRONO!$F92,0))),CRONO!AN$12,OFFSET(CÁLCULO!$AR$15:$BR$15,$F92,0,OFFSET(ORÇAMENTO!$D$15,CRONO!$F92,0)))
                +IF(AND($F94&lt;&gt;"",$F94&lt;&gt;0),
                        SUMIF(CÁLCULO!$BS$15:$CS$205,CRONO!AN$12,CÁLCULO!$AR$15:$BR$205)/(ORÇAMENTO!$X$15-_xlfn.single(CÁLCULO.TotalAdmLocal))*CRONO!$F94,
                        0),
                 AN93*$S92),
          SUMIF(OFFSET($S94,1,0,$R92-2),($M92+1)&amp;"$",OFFSET(AN94,1,0,$R92-2)))</f>
        <v>0</v>
      </c>
      <c r="AO94" s="439" t="n">
        <f aca="false" t="array" ref="AO94:AO94">IF($R92=2,
         IF(AND(ACOMPANHAMENTO="PLE",ISNUMBER($F92)),
                SUMIF((OFFSET(CÁLCULO!$BS$15:$CS$15,$F92,0,OFFSET(ORÇAMENTO!$D$15,CRONO!$F92,0))),CRONO!AO$12,OFFSET(CÁLCULO!$AR$15:$BR$15,$F92,0,OFFSET(ORÇAMENTO!$D$15,CRONO!$F92,0)))
                +IF(AND($F94&lt;&gt;"",$F94&lt;&gt;0),
                        SUMIF(CÁLCULO!$BS$15:$CS$205,CRONO!AO$12,CÁLCULO!$AR$15:$BR$205)/(ORÇAMENTO!$X$15-_xlfn.single(CÁLCULO.TotalAdmLocal))*CRONO!$F94,
                        0),
                 AO93*$S92),
          SUMIF(OFFSET($S94,1,0,$R92-2),($M92+1)&amp;"$",OFFSET(AO94,1,0,$R92-2)))</f>
        <v>0</v>
      </c>
      <c r="AP94" s="439" t="n">
        <f aca="false" t="array" ref="AP94:AP94">IF($R92=2,
         IF(AND(ACOMPANHAMENTO="PLE",ISNUMBER($F92)),
                SUMIF((OFFSET(CÁLCULO!$BS$15:$CS$15,$F92,0,OFFSET(ORÇAMENTO!$D$15,CRONO!$F92,0))),CRONO!AP$12,OFFSET(CÁLCULO!$AR$15:$BR$15,$F92,0,OFFSET(ORÇAMENTO!$D$15,CRONO!$F92,0)))
                +IF(AND($F94&lt;&gt;"",$F94&lt;&gt;0),
                        SUMIF(CÁLCULO!$BS$15:$CS$205,CRONO!AP$12,CÁLCULO!$AR$15:$BR$205)/(ORÇAMENTO!$X$15-_xlfn.single(CÁLCULO.TotalAdmLocal))*CRONO!$F94,
                        0),
                 AP93*$S92),
          SUMIF(OFFSET($S94,1,0,$R92-2),($M92+1)&amp;"$",OFFSET(AP94,1,0,$R92-2)))</f>
        <v>0</v>
      </c>
      <c r="AQ94" s="439" t="n">
        <f aca="false" t="array" ref="AQ94:AQ94">IF($R92=2,
         IF(AND(ACOMPANHAMENTO="PLE",ISNUMBER($F92)),
                SUMIF((OFFSET(CÁLCULO!$BS$15:$CS$15,$F92,0,OFFSET(ORÇAMENTO!$D$15,CRONO!$F92,0))),CRONO!AQ$12,OFFSET(CÁLCULO!$AR$15:$BR$15,$F92,0,OFFSET(ORÇAMENTO!$D$15,CRONO!$F92,0)))
                +IF(AND($F94&lt;&gt;"",$F94&lt;&gt;0),
                        SUMIF(CÁLCULO!$BS$15:$CS$205,CRONO!AQ$12,CÁLCULO!$AR$15:$BR$205)/(ORÇAMENTO!$X$15-_xlfn.single(CÁLCULO.TotalAdmLocal))*CRONO!$F94,
                        0),
                 AQ93*$S92),
          SUMIF(OFFSET($S94,1,0,$R92-2),($M92+1)&amp;"$",OFFSET(AQ94,1,0,$R92-2)))</f>
        <v>0</v>
      </c>
      <c r="AR94" s="439" t="n">
        <f aca="false" t="array" ref="AR94:AR94">IF($R92=2,
         IF(AND(ACOMPANHAMENTO="PLE",ISNUMBER($F92)),
                SUMIF((OFFSET(CÁLCULO!$BS$15:$CS$15,$F92,0,OFFSET(ORÇAMENTO!$D$15,CRONO!$F92,0))),CRONO!AR$12,OFFSET(CÁLCULO!$AR$15:$BR$15,$F92,0,OFFSET(ORÇAMENTO!$D$15,CRONO!$F92,0)))
                +IF(AND($F94&lt;&gt;"",$F94&lt;&gt;0),
                        SUMIF(CÁLCULO!$BS$15:$CS$205,CRONO!AR$12,CÁLCULO!$AR$15:$BR$205)/(ORÇAMENTO!$X$15-_xlfn.single(CÁLCULO.TotalAdmLocal))*CRONO!$F94,
                        0),
                 AR93*$S92),
          SUMIF(OFFSET($S94,1,0,$R92-2),($M92+1)&amp;"$",OFFSET(AR94,1,0,$R92-2)))</f>
        <v>0</v>
      </c>
      <c r="AS94" s="439" t="n">
        <f aca="false" t="array" ref="AS94:AS94">IF($R92=2,
         IF(AND(ACOMPANHAMENTO="PLE",ISNUMBER($F92)),
                SUMIF((OFFSET(CÁLCULO!$BS$15:$CS$15,$F92,0,OFFSET(ORÇAMENTO!$D$15,CRONO!$F92,0))),CRONO!AS$12,OFFSET(CÁLCULO!$AR$15:$BR$15,$F92,0,OFFSET(ORÇAMENTO!$D$15,CRONO!$F92,0)))
                +IF(AND($F94&lt;&gt;"",$F94&lt;&gt;0),
                        SUMIF(CÁLCULO!$BS$15:$CS$205,CRONO!AS$12,CÁLCULO!$AR$15:$BR$205)/(ORÇAMENTO!$X$15-_xlfn.single(CÁLCULO.TotalAdmLocal))*CRONO!$F94,
                        0),
                 AS93*$S92),
          SUMIF(OFFSET($S94,1,0,$R92-2),($M92+1)&amp;"$",OFFSET(AS94,1,0,$R92-2)))</f>
        <v>0</v>
      </c>
      <c r="AT94" s="439" t="n">
        <f aca="false" t="array" ref="AT94:AT94">IF($R92=2,
         IF(AND(ACOMPANHAMENTO="PLE",ISNUMBER($F92)),
                SUMIF((OFFSET(CÁLCULO!$BS$15:$CS$15,$F92,0,OFFSET(ORÇAMENTO!$D$15,CRONO!$F92,0))),CRONO!AT$12,OFFSET(CÁLCULO!$AR$15:$BR$15,$F92,0,OFFSET(ORÇAMENTO!$D$15,CRONO!$F92,0)))
                +IF(AND($F94&lt;&gt;"",$F94&lt;&gt;0),
                        SUMIF(CÁLCULO!$BS$15:$CS$205,CRONO!AT$12,CÁLCULO!$AR$15:$BR$205)/(ORÇAMENTO!$X$15-_xlfn.single(CÁLCULO.TotalAdmLocal))*CRONO!$F94,
                        0),
                 AT93*$S92),
          SUMIF(OFFSET($S94,1,0,$R92-2),($M92+1)&amp;"$",OFFSET(AT94,1,0,$R92-2)))</f>
        <v>0</v>
      </c>
      <c r="AU94" s="439" t="n">
        <f aca="false" t="array" ref="AU94:AU94">IF($R92=2,
         IF(AND(ACOMPANHAMENTO="PLE",ISNUMBER($F92)),
                SUMIF((OFFSET(CÁLCULO!$BS$15:$CS$15,$F92,0,OFFSET(ORÇAMENTO!$D$15,CRONO!$F92,0))),CRONO!AU$12,OFFSET(CÁLCULO!$AR$15:$BR$15,$F92,0,OFFSET(ORÇAMENTO!$D$15,CRONO!$F92,0)))
                +IF(AND($F94&lt;&gt;"",$F94&lt;&gt;0),
                        SUMIF(CÁLCULO!$BS$15:$CS$205,CRONO!AU$12,CÁLCULO!$AR$15:$BR$205)/(ORÇAMENTO!$X$15-_xlfn.single(CÁLCULO.TotalAdmLocal))*CRONO!$F94,
                        0),
                 AU93*$S92),
          SUMIF(OFFSET($S94,1,0,$R92-2),($M92+1)&amp;"$",OFFSET(AU94,1,0,$R92-2)))</f>
        <v>0</v>
      </c>
      <c r="AV94" s="439" t="n">
        <f aca="false" t="array" ref="AV94:AV94">IF($R92=2,
         IF(AND(ACOMPANHAMENTO="PLE",ISNUMBER($F92)),
                SUMIF((OFFSET(CÁLCULO!$BS$15:$CS$15,$F92,0,OFFSET(ORÇAMENTO!$D$15,CRONO!$F92,0))),CRONO!AV$12,OFFSET(CÁLCULO!$AR$15:$BR$15,$F92,0,OFFSET(ORÇAMENTO!$D$15,CRONO!$F92,0)))
                +IF(AND($F94&lt;&gt;"",$F94&lt;&gt;0),
                        SUMIF(CÁLCULO!$BS$15:$CS$205,CRONO!AV$12,CÁLCULO!$AR$15:$BR$205)/(ORÇAMENTO!$X$15-_xlfn.single(CÁLCULO.TotalAdmLocal))*CRONO!$F94,
                        0),
                 AV93*$S92),
          SUMIF(OFFSET($S94,1,0,$R92-2),($M92+1)&amp;"$",OFFSET(AV94,1,0,$R92-2)))</f>
        <v>0</v>
      </c>
      <c r="AW94" s="439" t="n">
        <f aca="false" t="array" ref="AW94:AW94">IF($R92=2,
         IF(AND(ACOMPANHAMENTO="PLE",ISNUMBER($F92)),
                SUMIF((OFFSET(CÁLCULO!$BS$15:$CS$15,$F92,0,OFFSET(ORÇAMENTO!$D$15,CRONO!$F92,0))),CRONO!AW$12,OFFSET(CÁLCULO!$AR$15:$BR$15,$F92,0,OFFSET(ORÇAMENTO!$D$15,CRONO!$F92,0)))
                +IF(AND($F94&lt;&gt;"",$F94&lt;&gt;0),
                        SUMIF(CÁLCULO!$BS$15:$CS$205,CRONO!AW$12,CÁLCULO!$AR$15:$BR$205)/(ORÇAMENTO!$X$15-_xlfn.single(CÁLCULO.TotalAdmLocal))*CRONO!$F94,
                        0),
                 AW93*$S92),
          SUMIF(OFFSET($S94,1,0,$R92-2),($M92+1)&amp;"$",OFFSET(AW94,1,0,$R92-2)))</f>
        <v>0</v>
      </c>
      <c r="AX94" s="439" t="n">
        <f aca="false" t="array" ref="AX94:AX94">IF($R92=2,
         IF(AND(ACOMPANHAMENTO="PLE",ISNUMBER($F92)),
                SUMIF((OFFSET(CÁLCULO!$BS$15:$CS$15,$F92,0,OFFSET(ORÇAMENTO!$D$15,CRONO!$F92,0))),CRONO!AX$12,OFFSET(CÁLCULO!$AR$15:$BR$15,$F92,0,OFFSET(ORÇAMENTO!$D$15,CRONO!$F92,0)))
                +IF(AND($F94&lt;&gt;"",$F94&lt;&gt;0),
                        SUMIF(CÁLCULO!$BS$15:$CS$205,CRONO!AX$12,CÁLCULO!$AR$15:$BR$205)/(ORÇAMENTO!$X$15-_xlfn.single(CÁLCULO.TotalAdmLocal))*CRONO!$F94,
                        0),
                 AX93*$S92),
          SUMIF(OFFSET($S94,1,0,$R92-2),($M92+1)&amp;"$",OFFSET(AX94,1,0,$R92-2)))</f>
        <v>0</v>
      </c>
      <c r="AY94" s="439" t="n">
        <f aca="false" t="array" ref="AY94:AY94">IF($R92=2,
         IF(AND(ACOMPANHAMENTO="PLE",ISNUMBER($F92)),
                SUMIF((OFFSET(CÁLCULO!$BS$15:$CS$15,$F92,0,OFFSET(ORÇAMENTO!$D$15,CRONO!$F92,0))),CRONO!AY$12,OFFSET(CÁLCULO!$AR$15:$BR$15,$F92,0,OFFSET(ORÇAMENTO!$D$15,CRONO!$F92,0)))
                +IF(AND($F94&lt;&gt;"",$F94&lt;&gt;0),
                        SUMIF(CÁLCULO!$BS$15:$CS$205,CRONO!AY$12,CÁLCULO!$AR$15:$BR$205)/(ORÇAMENTO!$X$15-_xlfn.single(CÁLCULO.TotalAdmLocal))*CRONO!$F94,
                        0),
                 AY93*$S92),
          SUMIF(OFFSET($S94,1,0,$R92-2),($M92+1)&amp;"$",OFFSET(AY94,1,0,$R92-2)))</f>
        <v>0</v>
      </c>
      <c r="AZ94" s="439" t="n">
        <f aca="false" t="array" ref="AZ94:AZ94">IF($R92=2,
         IF(AND(ACOMPANHAMENTO="PLE",ISNUMBER($F92)),
                SUMIF((OFFSET(CÁLCULO!$BS$15:$CS$15,$F92,0,OFFSET(ORÇAMENTO!$D$15,CRONO!$F92,0))),CRONO!AZ$12,OFFSET(CÁLCULO!$AR$15:$BR$15,$F92,0,OFFSET(ORÇAMENTO!$D$15,CRONO!$F92,0)))
                +IF(AND($F94&lt;&gt;"",$F94&lt;&gt;0),
                        SUMIF(CÁLCULO!$BS$15:$CS$205,CRONO!AZ$12,CÁLCULO!$AR$15:$BR$205)/(ORÇAMENTO!$X$15-_xlfn.single(CÁLCULO.TotalAdmLocal))*CRONO!$F94,
                        0),
                 AZ93*$S92),
          SUMIF(OFFSET($S94,1,0,$R92-2),($M92+1)&amp;"$",OFFSET(AZ94,1,0,$R92-2)))</f>
        <v>0</v>
      </c>
      <c r="BA94" s="439" t="n">
        <f aca="false" t="array" ref="BA94:BA94">IF($R92=2,
         IF(AND(ACOMPANHAMENTO="PLE",ISNUMBER($F92)),
                SUMIF((OFFSET(CÁLCULO!$BS$15:$CS$15,$F92,0,OFFSET(ORÇAMENTO!$D$15,CRONO!$F92,0))),CRONO!BA$12,OFFSET(CÁLCULO!$AR$15:$BR$15,$F92,0,OFFSET(ORÇAMENTO!$D$15,CRONO!$F92,0)))
                +IF(AND($F94&lt;&gt;"",$F94&lt;&gt;0),
                        SUMIF(CÁLCULO!$BS$15:$CS$205,CRONO!BA$12,CÁLCULO!$AR$15:$BR$205)/(ORÇAMENTO!$X$15-_xlfn.single(CÁLCULO.TotalAdmLocal))*CRONO!$F94,
                        0),
                 BA93*$S92),
          SUMIF(OFFSET($S94,1,0,$R92-2),($M92+1)&amp;"$",OFFSET(BA94,1,0,$R92-2)))</f>
        <v>0</v>
      </c>
      <c r="BB94" s="439" t="n">
        <f aca="false" t="array" ref="BB94:BB94">IF($R92=2,
         IF(AND(ACOMPANHAMENTO="PLE",ISNUMBER($F92)),
                SUMIF((OFFSET(CÁLCULO!$BS$15:$CS$15,$F92,0,OFFSET(ORÇAMENTO!$D$15,CRONO!$F92,0))),CRONO!BB$12,OFFSET(CÁLCULO!$AR$15:$BR$15,$F92,0,OFFSET(ORÇAMENTO!$D$15,CRONO!$F92,0)))
                +IF(AND($F94&lt;&gt;"",$F94&lt;&gt;0),
                        SUMIF(CÁLCULO!$BS$15:$CS$205,CRONO!BB$12,CÁLCULO!$AR$15:$BR$205)/(ORÇAMENTO!$X$15-_xlfn.single(CÁLCULO.TotalAdmLocal))*CRONO!$F94,
                        0),
                 BB93*$S92),
          SUMIF(OFFSET($S94,1,0,$R92-2),($M92+1)&amp;"$",OFFSET(BB94,1,0,$R92-2)))</f>
        <v>0</v>
      </c>
      <c r="BC94" s="439" t="n">
        <f aca="false" t="array" ref="BC94:BC94">IF($R92=2,
         IF(AND(ACOMPANHAMENTO="PLE",ISNUMBER($F92)),
                SUMIF((OFFSET(CÁLCULO!$BS$15:$CS$15,$F92,0,OFFSET(ORÇAMENTO!$D$15,CRONO!$F92,0))),CRONO!BC$12,OFFSET(CÁLCULO!$AR$15:$BR$15,$F92,0,OFFSET(ORÇAMENTO!$D$15,CRONO!$F92,0)))
                +IF(AND($F94&lt;&gt;"",$F94&lt;&gt;0),
                        SUMIF(CÁLCULO!$BS$15:$CS$205,CRONO!BC$12,CÁLCULO!$AR$15:$BR$205)/(ORÇAMENTO!$X$15-_xlfn.single(CÁLCULO.TotalAdmLocal))*CRONO!$F94,
                        0),
                 BC93*$S92),
          SUMIF(OFFSET($S94,1,0,$R92-2),($M92+1)&amp;"$",OFFSET(BC94,1,0,$R92-2)))</f>
        <v>0</v>
      </c>
      <c r="BD94" s="439" t="n">
        <f aca="false" t="array" ref="BD94:BD94">IF($R92=2,
         IF(AND(ACOMPANHAMENTO="PLE",ISNUMBER($F92)),
                SUMIF((OFFSET(CÁLCULO!$BS$15:$CS$15,$F92,0,OFFSET(ORÇAMENTO!$D$15,CRONO!$F92,0))),CRONO!BD$12,OFFSET(CÁLCULO!$AR$15:$BR$15,$F92,0,OFFSET(ORÇAMENTO!$D$15,CRONO!$F92,0)))
                +IF(AND($F94&lt;&gt;"",$F94&lt;&gt;0),
                        SUMIF(CÁLCULO!$BS$15:$CS$205,CRONO!BD$12,CÁLCULO!$AR$15:$BR$205)/(ORÇAMENTO!$X$15-_xlfn.single(CÁLCULO.TotalAdmLocal))*CRONO!$F94,
                        0),
                 BD93*$S92),
          SUMIF(OFFSET($S94,1,0,$R92-2),($M92+1)&amp;"$",OFFSET(BD94,1,0,$R92-2)))</f>
        <v>0</v>
      </c>
      <c r="BE94" s="430"/>
    </row>
    <row r="95" customFormat="false" ht="12.75" hidden="true" customHeight="false" outlineLevel="0" collapsed="false">
      <c r="A95" s="382" t="str">
        <f aca="false">IF($M95&gt;1,_xlfn.CONCAT($I95," ",$J95),"")</f>
        <v>1.27. PAVIMENTAÇÕES</v>
      </c>
      <c r="B95" s="419" t="n">
        <f aca="true">OFFSET(B95,-3,0)+1</f>
        <v>28</v>
      </c>
      <c r="C95" s="419" t="n">
        <f aca="true">IF($R95&lt;&gt;2,0,IF($S95=0,1,IF(F96&gt;0,OFFSET(QCI!$M$13,SUBSTITUTE(F96,".",""),0),OFFSET(ORÇAMENTO!$AA$15,CRONO!$F95,0))/$S95))</f>
        <v>1</v>
      </c>
      <c r="D95" s="419" t="n">
        <f aca="true">IF($R95&lt;&gt;2,0,IF($S95=0,1,IF(F96&gt;0,OFFSET(QCI!$N$13,SUBSTITUTE(F96,".",""),0),OFFSET(ORÇAMENTO!$AB$15,CRONO!$F95,0))/$S95))</f>
        <v>1</v>
      </c>
      <c r="E95" s="422" t="e">
        <f aca="false" t="array" ref="E95:E95">IF(AND($R95=2,ACOMPANHAMENTO="BM"),ROUND(E96,4),E97/$S95)</f>
        <v>#DIV/0!</v>
      </c>
      <c r="F95" s="419" t="n">
        <f aca="true">IF(B95&lt;=ORÇAMENTO.MáximoListaCrono,MATCH(B95,ORÇAMENTO.ListaCrono,0),NA())</f>
        <v>87</v>
      </c>
      <c r="G95" s="419" t="str">
        <f aca="false">IF(AND($F96&lt;&gt;-1,$S95&gt;0),"F","")</f>
        <v/>
      </c>
      <c r="H95" s="423" t="str">
        <f aca="false" t="array" ref="H95:H95">IF(OR(S95=0,S95=""),"Linha",IF(AND(OR(ACOMPANHAMENTO="PLE",$R95&lt;&gt;2),$F96=0),"Linha",ROUND(1-SUM(U95:BE95),4)))</f>
        <v>Linha</v>
      </c>
      <c r="I95" s="424" t="str">
        <f aca="true">IF($F96=0,OFFSET(ORÇAMENTO!O$15,$F95,0),IF($F96&lt;&gt;-1,OFFSET(QCI!$D$13,$F96,0),""))</f>
        <v>1.27.</v>
      </c>
      <c r="J95" s="425" t="str">
        <f aca="true">IF($F96=0,OFFSET(ORÇAMENTO!R$15,$F95,0),IF($F96&lt;&gt;-1,OFFSET(QCI!$G$13,$F96,0),""))</f>
        <v>PAVIMENTAÇÕES</v>
      </c>
      <c r="K95" s="425"/>
      <c r="L95" s="425"/>
      <c r="M95" s="426" t="n">
        <f aca="true">IF($F96=0,OFFSET(ORÇAMENTO!C$15,$F95,0),1)</f>
        <v>2</v>
      </c>
      <c r="N95" s="427" t="n">
        <f aca="true">IF($F96=-1,0,IF(N$13&lt;=$M95,IF(ISERROR(MATCH(N$13,OFFSET($M95,1,0,ROW($M$182)-ROW($M95)-1),0)),ROW($M$182)-ROW($M95)-1,MATCH(N$13,OFFSET($M95,1,0,ROW($M$182)-ROW($M95)-1),0)-1),0))</f>
        <v>86</v>
      </c>
      <c r="O95" s="427" t="n">
        <f aca="true">IF($F96=-1,0,IF(O$13&lt;=$M95,IF(ISERROR(MATCH(O$13,OFFSET($M95,1,0,ROW($M$182)-ROW($M95)-1),0)),ROW($M$182)-ROW($M95)-1,MATCH(O$13,OFFSET($M95,1,0,ROW($M$182)-ROW($M95)-1),0)-1),0))</f>
        <v>2</v>
      </c>
      <c r="P95" s="427" t="n">
        <f aca="true">IF($F96=-1,0,IF(P$13&lt;=$M95,IF(ISERROR(MATCH(P$13,OFFSET($M95,1,0,ROW($M$182)-ROW($M95)-1),0)),ROW($M$182)-ROW($M95)-1,MATCH(P$13,OFFSET($M95,1,0,ROW($M$182)-ROW($M95)-1),0)-1),0))</f>
        <v>0</v>
      </c>
      <c r="Q95" s="427" t="n">
        <f aca="true">IF($F96=-1,0,IF(Q$13&lt;=$M95,IF(ISERROR(MATCH(Q$13,OFFSET($M95,1,0,ROW($M$182)-ROW($M95)-1),0)),ROW($M$182)-ROW($M95)-1,MATCH(Q$13,OFFSET($M95,1,0,ROW($M$182)-ROW($M95)-1),0)-1),0))</f>
        <v>0</v>
      </c>
      <c r="R95" s="427" t="n">
        <f aca="true">MIN(OFFSET(M95,0,1,,M95))</f>
        <v>2</v>
      </c>
      <c r="S95" s="428" t="n">
        <f aca="true">IF($F96=0,OFFSET(ORÇAMENTO!X$15,$F95,0),IF($F96&lt;&gt;-1,OFFSET(QCI!$O$13,$F96,0),""))</f>
        <v>0</v>
      </c>
      <c r="T95" s="429" t="s">
        <v>996</v>
      </c>
      <c r="U95" s="422" t="e">
        <f aca="false" t="array" ref="U95:U95">IF(AND($R95=2,ACOMPANHAMENTO="BM"),ROUND(U96,4),U97/$S95)</f>
        <v>#DIV/0!</v>
      </c>
      <c r="V95" s="422" t="e">
        <f aca="false" t="array" ref="V95:V95">IF(AND($R95=2,ACOMPANHAMENTO="BM"),ROUND(V96,4),V97/$S95)</f>
        <v>#DIV/0!</v>
      </c>
      <c r="W95" s="422" t="e">
        <f aca="false" t="array" ref="W95:W95">IF(AND($R95=2,ACOMPANHAMENTO="BM"),ROUND(W96,4),W97/$S95)</f>
        <v>#DIV/0!</v>
      </c>
      <c r="X95" s="422" t="e">
        <f aca="false" t="array" ref="X95:X95">IF(AND($R95=2,ACOMPANHAMENTO="BM"),ROUND(X96,4),X97/$S95)</f>
        <v>#DIV/0!</v>
      </c>
      <c r="Y95" s="422" t="e">
        <f aca="false" t="array" ref="Y95:Y95">IF(AND($R95=2,ACOMPANHAMENTO="BM"),ROUND(Y96,4),Y97/$S95)</f>
        <v>#DIV/0!</v>
      </c>
      <c r="Z95" s="422" t="e">
        <f aca="false" t="array" ref="Z95:Z95">IF(AND($R95=2,ACOMPANHAMENTO="BM"),ROUND(Z96,4),Z97/$S95)</f>
        <v>#DIV/0!</v>
      </c>
      <c r="AA95" s="422" t="e">
        <f aca="false" t="array" ref="AA95:AA95">IF(AND($R95=2,ACOMPANHAMENTO="BM"),ROUND(AA96,4),AA97/$S95)</f>
        <v>#DIV/0!</v>
      </c>
      <c r="AB95" s="422" t="e">
        <f aca="false" t="array" ref="AB95:AB95">IF(AND($R95=2,ACOMPANHAMENTO="BM"),ROUND(AB96,4),AB97/$S95)</f>
        <v>#DIV/0!</v>
      </c>
      <c r="AC95" s="422" t="e">
        <f aca="false" t="array" ref="AC95:AC95">IF(AND($R95=2,ACOMPANHAMENTO="BM"),ROUND(AC96,4),AC97/$S95)</f>
        <v>#DIV/0!</v>
      </c>
      <c r="AD95" s="422" t="e">
        <f aca="false" t="array" ref="AD95:AD95">IF(AND($R95=2,ACOMPANHAMENTO="BM"),ROUND(AD96,4),AD97/$S95)</f>
        <v>#DIV/0!</v>
      </c>
      <c r="AE95" s="422" t="e">
        <f aca="false" t="array" ref="AE95:AE95">IF(AND($R95=2,ACOMPANHAMENTO="BM"),ROUND(AE96,4),AE97/$S95)</f>
        <v>#DIV/0!</v>
      </c>
      <c r="AF95" s="422" t="e">
        <f aca="false" t="array" ref="AF95:AF95">IF(AND($R95=2,ACOMPANHAMENTO="BM"),ROUND(AF96,4),AF97/$S95)</f>
        <v>#DIV/0!</v>
      </c>
      <c r="AG95" s="422" t="e">
        <f aca="false" t="array" ref="AG95:AG95">IF(AND($R95=2,ACOMPANHAMENTO="BM"),ROUND(AG96,4),AG97/$S95)</f>
        <v>#DIV/0!</v>
      </c>
      <c r="AH95" s="422" t="e">
        <f aca="false" t="array" ref="AH95:AH95">IF(AND($R95=2,ACOMPANHAMENTO="BM"),ROUND(AH96,4),AH97/$S95)</f>
        <v>#DIV/0!</v>
      </c>
      <c r="AI95" s="422" t="e">
        <f aca="false" t="array" ref="AI95:AI95">IF(AND($R95=2,ACOMPANHAMENTO="BM"),ROUND(AI96,4),AI97/$S95)</f>
        <v>#DIV/0!</v>
      </c>
      <c r="AJ95" s="422" t="e">
        <f aca="false" t="array" ref="AJ95:AJ95">IF(AND($R95=2,ACOMPANHAMENTO="BM"),ROUND(AJ96,4),AJ97/$S95)</f>
        <v>#DIV/0!</v>
      </c>
      <c r="AK95" s="422" t="e">
        <f aca="false" t="array" ref="AK95:AK95">IF(AND($R95=2,ACOMPANHAMENTO="BM"),ROUND(AK96,4),AK97/$S95)</f>
        <v>#DIV/0!</v>
      </c>
      <c r="AL95" s="422" t="e">
        <f aca="false" t="array" ref="AL95:AL95">IF(AND($R95=2,ACOMPANHAMENTO="BM"),ROUND(AL96,4),AL97/$S95)</f>
        <v>#DIV/0!</v>
      </c>
      <c r="AM95" s="422" t="e">
        <f aca="false" t="array" ref="AM95:AM95">IF(AND($R95=2,ACOMPANHAMENTO="BM"),ROUND(AM96,4),AM97/$S95)</f>
        <v>#DIV/0!</v>
      </c>
      <c r="AN95" s="422" t="e">
        <f aca="false" t="array" ref="AN95:AN95">IF(AND($R95=2,ACOMPANHAMENTO="BM"),ROUND(AN96,4),AN97/$S95)</f>
        <v>#DIV/0!</v>
      </c>
      <c r="AO95" s="422" t="e">
        <f aca="false" t="array" ref="AO95:AO95">IF(AND($R95=2,ACOMPANHAMENTO="BM"),ROUND(AO96,4),AO97/$S95)</f>
        <v>#DIV/0!</v>
      </c>
      <c r="AP95" s="422" t="e">
        <f aca="false" t="array" ref="AP95:AP95">IF(AND($R95=2,ACOMPANHAMENTO="BM"),ROUND(AP96,4),AP97/$S95)</f>
        <v>#DIV/0!</v>
      </c>
      <c r="AQ95" s="422" t="e">
        <f aca="false" t="array" ref="AQ95:AQ95">IF(AND($R95=2,ACOMPANHAMENTO="BM"),ROUND(AQ96,4),AQ97/$S95)</f>
        <v>#DIV/0!</v>
      </c>
      <c r="AR95" s="422" t="e">
        <f aca="false" t="array" ref="AR95:AR95">IF(AND($R95=2,ACOMPANHAMENTO="BM"),ROUND(AR96,4),AR97/$S95)</f>
        <v>#DIV/0!</v>
      </c>
      <c r="AS95" s="422" t="e">
        <f aca="false" t="array" ref="AS95:AS95">IF(AND($R95=2,ACOMPANHAMENTO="BM"),ROUND(AS96,4),AS97/$S95)</f>
        <v>#DIV/0!</v>
      </c>
      <c r="AT95" s="422" t="e">
        <f aca="false" t="array" ref="AT95:AT95">IF(AND($R95=2,ACOMPANHAMENTO="BM"),ROUND(AT96,4),AT97/$S95)</f>
        <v>#DIV/0!</v>
      </c>
      <c r="AU95" s="422" t="e">
        <f aca="false" t="array" ref="AU95:AU95">IF(AND($R95=2,ACOMPANHAMENTO="BM"),ROUND(AU96,4),AU97/$S95)</f>
        <v>#DIV/0!</v>
      </c>
      <c r="AV95" s="422" t="e">
        <f aca="false" t="array" ref="AV95:AV95">IF(AND($R95=2,ACOMPANHAMENTO="BM"),ROUND(AV96,4),AV97/$S95)</f>
        <v>#DIV/0!</v>
      </c>
      <c r="AW95" s="422" t="e">
        <f aca="false" t="array" ref="AW95:AW95">IF(AND($R95=2,ACOMPANHAMENTO="BM"),ROUND(AW96,4),AW97/$S95)</f>
        <v>#DIV/0!</v>
      </c>
      <c r="AX95" s="422" t="e">
        <f aca="false" t="array" ref="AX95:AX95">IF(AND($R95=2,ACOMPANHAMENTO="BM"),ROUND(AX96,4),AX97/$S95)</f>
        <v>#DIV/0!</v>
      </c>
      <c r="AY95" s="422" t="e">
        <f aca="false" t="array" ref="AY95:AY95">IF(AND($R95=2,ACOMPANHAMENTO="BM"),ROUND(AY96,4),AY97/$S95)</f>
        <v>#DIV/0!</v>
      </c>
      <c r="AZ95" s="422" t="e">
        <f aca="false" t="array" ref="AZ95:AZ95">IF(AND($R95=2,ACOMPANHAMENTO="BM"),ROUND(AZ96,4),AZ97/$S95)</f>
        <v>#DIV/0!</v>
      </c>
      <c r="BA95" s="422" t="e">
        <f aca="false" t="array" ref="BA95:BA95">IF(AND($R95=2,ACOMPANHAMENTO="BM"),ROUND(BA96,4),BA97/$S95)</f>
        <v>#DIV/0!</v>
      </c>
      <c r="BB95" s="422" t="e">
        <f aca="false" t="array" ref="BB95:BB95">IF(AND($R95=2,ACOMPANHAMENTO="BM"),ROUND(BB96,4),BB97/$S95)</f>
        <v>#DIV/0!</v>
      </c>
      <c r="BC95" s="422" t="e">
        <f aca="false" t="array" ref="BC95:BC95">IF(AND($R95=2,ACOMPANHAMENTO="BM"),ROUND(BC96,4),BC97/$S95)</f>
        <v>#DIV/0!</v>
      </c>
      <c r="BD95" s="422" t="e">
        <f aca="false" t="array" ref="BD95:BD95">IF(AND($R95=2,ACOMPANHAMENTO="BM"),ROUND(BD96,4),BD97/$S95)</f>
        <v>#DIV/0!</v>
      </c>
      <c r="BE95" s="430"/>
    </row>
    <row r="96" customFormat="false" ht="12.75" hidden="true" customHeight="true" outlineLevel="0" collapsed="false">
      <c r="E96" s="431"/>
      <c r="F96" s="419" t="n">
        <f aca="true">IF(ISERROR(F95),IF(1+COUNTIF($M$13:OFFSET(M95,-1,0),1)&lt;=MAX(QCI!$D$13:$D$15),1+COUNTIF($M$13:OFFSET(M95,-1,0),1),-1),0)</f>
        <v>0</v>
      </c>
      <c r="G96" s="419" t="str">
        <f aca="true" t="array" ref="G96:G96">IF(ACOMPANHAMENTO="BM",OFFSET(G96,-1,0),"")</f>
        <v/>
      </c>
      <c r="H96" s="432" t="str">
        <f aca="false" t="array" ref="H96:H96">IF(OR(S95=0,S95=""),"vazia",IF(AND(OR(ACOMPANHAMENTO="PLE",$R95&lt;&gt;2),$F96=0),"calculada","--&gt;"))</f>
        <v>vazia</v>
      </c>
      <c r="I96" s="433"/>
      <c r="J96" s="434" t="str">
        <f aca="false">IF(AND(H95&lt;&gt;0,ISNUMBER(H95)),"PREENCHA ESTA LINHA --&gt;","")</f>
        <v/>
      </c>
      <c r="K96" s="434"/>
      <c r="L96" s="434"/>
      <c r="M96" s="435"/>
      <c r="N96" s="435"/>
      <c r="O96" s="435"/>
      <c r="P96" s="435"/>
      <c r="Q96" s="435"/>
      <c r="R96" s="435"/>
      <c r="S96" s="436"/>
      <c r="T96" s="437"/>
      <c r="U96" s="431"/>
      <c r="V96" s="431"/>
      <c r="W96" s="431"/>
      <c r="X96" s="431"/>
      <c r="Y96" s="431"/>
      <c r="Z96" s="431"/>
      <c r="AA96" s="431"/>
      <c r="AB96" s="431"/>
      <c r="AC96" s="431"/>
      <c r="AD96" s="431"/>
      <c r="AE96" s="431"/>
      <c r="AF96" s="431"/>
      <c r="AG96" s="431"/>
      <c r="AH96" s="431"/>
      <c r="AI96" s="431"/>
      <c r="AJ96" s="431"/>
      <c r="AK96" s="431"/>
      <c r="AL96" s="431"/>
      <c r="AM96" s="431"/>
      <c r="AN96" s="431"/>
      <c r="AO96" s="431"/>
      <c r="AP96" s="431"/>
      <c r="AQ96" s="431"/>
      <c r="AR96" s="431"/>
      <c r="AS96" s="431"/>
      <c r="AT96" s="431"/>
      <c r="AU96" s="431"/>
      <c r="AV96" s="431"/>
      <c r="AW96" s="431"/>
      <c r="AX96" s="431"/>
      <c r="AY96" s="431"/>
      <c r="AZ96" s="431"/>
      <c r="BA96" s="431"/>
      <c r="BB96" s="431"/>
      <c r="BC96" s="431"/>
      <c r="BD96" s="431"/>
      <c r="BE96" s="430"/>
    </row>
    <row r="97" customFormat="false" ht="12.75" hidden="true" customHeight="true" outlineLevel="0" collapsed="false">
      <c r="D97" s="438"/>
      <c r="E97" s="439" t="n">
        <f aca="false" t="array" ref="E97:E97">IF($R95=2,
         IF(AND(ACOMPANHAMENTO="PLE",ISNUMBER($F95)),
                SUMIF((OFFSET(CÁLCULO!$BS$15:$CS$15,$F95,0,OFFSET(ORÇAMENTO!$D$15,CRONO!$F95,0))),CRONO!E$12,OFFSET(CÁLCULO!$AR$15:$BR$15,$F95,0,OFFSET(ORÇAMENTO!$D$15,CRONO!$F95,0)))
                +IF(AND($F97&lt;&gt;"",$F97&lt;&gt;0),
                        SUMIF(CÁLCULO!$BS$15:$CS$205,CRONO!E$12,CÁLCULO!$AR$15:$BR$205)/(ORÇAMENTO!$X$15-_xlfn.single(CÁLCULO.TotalAdmLocal))*CRONO!$F97,
                        0),
                 E96*$S95),
          SUMIF(OFFSET($S97,1,0,$R95-2),($M95+1)&amp;"$",OFFSET(E97,1,0,$R95-2)))</f>
        <v>0</v>
      </c>
      <c r="F97" s="419" t="str">
        <f aca="true">IF(OR($R95&lt;&gt;2,AUTOEVENTO&lt;&gt;"manual",$F96&gt;0),"",
        IF(Import.TipoArredondamento="Tradicional",
              SUMIF(OFFSET(CÁLCULO!$M$15,CRONO!$F95,0,OFFSET(ORÇAMENTO!$D$15,CRONO!$F95,0)),1,OFFSET(ORÇAMENTO!$X$15,CRONO!$F95,0,OFFSET(ORÇAMENTO!$D$15,CRONO!$F95,0))),
              0))</f>
        <v/>
      </c>
      <c r="H97" s="440"/>
      <c r="S97" s="441" t="str">
        <f aca="false">M95&amp;"$"</f>
        <v>2$</v>
      </c>
      <c r="T97" s="442"/>
      <c r="U97" s="439" t="n">
        <f aca="false" t="array" ref="U97:U97">IF($R95=2,
         IF(AND(ACOMPANHAMENTO="PLE",ISNUMBER($F95)),
                SUMIF((OFFSET(CÁLCULO!$BS$15:$CS$15,$F95,0,OFFSET(ORÇAMENTO!$D$15,CRONO!$F95,0))),CRONO!U$12,OFFSET(CÁLCULO!$AR$15:$BR$15,$F95,0,OFFSET(ORÇAMENTO!$D$15,CRONO!$F95,0)))
                +IF(AND($F97&lt;&gt;"",$F97&lt;&gt;0),
                        SUMIF(CÁLCULO!$BS$15:$CS$205,CRONO!U$12,CÁLCULO!$AR$15:$BR$205)/(ORÇAMENTO!$X$15-_xlfn.single(CÁLCULO.TotalAdmLocal))*CRONO!$F97,
                        0),
                 U96*$S95),
          SUMIF(OFFSET($S97,1,0,$R95-2),($M95+1)&amp;"$",OFFSET(U97,1,0,$R95-2)))</f>
        <v>0</v>
      </c>
      <c r="V97" s="439" t="n">
        <f aca="false" t="array" ref="V97:V97">IF($R95=2,
         IF(AND(ACOMPANHAMENTO="PLE",ISNUMBER($F95)),
                SUMIF((OFFSET(CÁLCULO!$BS$15:$CS$15,$F95,0,OFFSET(ORÇAMENTO!$D$15,CRONO!$F95,0))),CRONO!V$12,OFFSET(CÁLCULO!$AR$15:$BR$15,$F95,0,OFFSET(ORÇAMENTO!$D$15,CRONO!$F95,0)))
                +IF(AND($F97&lt;&gt;"",$F97&lt;&gt;0),
                        SUMIF(CÁLCULO!$BS$15:$CS$205,CRONO!V$12,CÁLCULO!$AR$15:$BR$205)/(ORÇAMENTO!$X$15-_xlfn.single(CÁLCULO.TotalAdmLocal))*CRONO!$F97,
                        0),
                 V96*$S95),
          SUMIF(OFFSET($S97,1,0,$R95-2),($M95+1)&amp;"$",OFFSET(V97,1,0,$R95-2)))</f>
        <v>0</v>
      </c>
      <c r="W97" s="439" t="n">
        <f aca="false" t="array" ref="W97:W97">IF($R95=2,
         IF(AND(ACOMPANHAMENTO="PLE",ISNUMBER($F95)),
                SUMIF((OFFSET(CÁLCULO!$BS$15:$CS$15,$F95,0,OFFSET(ORÇAMENTO!$D$15,CRONO!$F95,0))),CRONO!W$12,OFFSET(CÁLCULO!$AR$15:$BR$15,$F95,0,OFFSET(ORÇAMENTO!$D$15,CRONO!$F95,0)))
                +IF(AND($F97&lt;&gt;"",$F97&lt;&gt;0),
                        SUMIF(CÁLCULO!$BS$15:$CS$205,CRONO!W$12,CÁLCULO!$AR$15:$BR$205)/(ORÇAMENTO!$X$15-_xlfn.single(CÁLCULO.TotalAdmLocal))*CRONO!$F97,
                        0),
                 W96*$S95),
          SUMIF(OFFSET($S97,1,0,$R95-2),($M95+1)&amp;"$",OFFSET(W97,1,0,$R95-2)))</f>
        <v>0</v>
      </c>
      <c r="X97" s="439" t="n">
        <f aca="false" t="array" ref="X97:X97">IF($R95=2,
         IF(AND(ACOMPANHAMENTO="PLE",ISNUMBER($F95)),
                SUMIF((OFFSET(CÁLCULO!$BS$15:$CS$15,$F95,0,OFFSET(ORÇAMENTO!$D$15,CRONO!$F95,0))),CRONO!X$12,OFFSET(CÁLCULO!$AR$15:$BR$15,$F95,0,OFFSET(ORÇAMENTO!$D$15,CRONO!$F95,0)))
                +IF(AND($F97&lt;&gt;"",$F97&lt;&gt;0),
                        SUMIF(CÁLCULO!$BS$15:$CS$205,CRONO!X$12,CÁLCULO!$AR$15:$BR$205)/(ORÇAMENTO!$X$15-_xlfn.single(CÁLCULO.TotalAdmLocal))*CRONO!$F97,
                        0),
                 X96*$S95),
          SUMIF(OFFSET($S97,1,0,$R95-2),($M95+1)&amp;"$",OFFSET(X97,1,0,$R95-2)))</f>
        <v>0</v>
      </c>
      <c r="Y97" s="439" t="n">
        <f aca="false" t="array" ref="Y97:Y97">IF($R95=2,
         IF(AND(ACOMPANHAMENTO="PLE",ISNUMBER($F95)),
                SUMIF((OFFSET(CÁLCULO!$BS$15:$CS$15,$F95,0,OFFSET(ORÇAMENTO!$D$15,CRONO!$F95,0))),CRONO!Y$12,OFFSET(CÁLCULO!$AR$15:$BR$15,$F95,0,OFFSET(ORÇAMENTO!$D$15,CRONO!$F95,0)))
                +IF(AND($F97&lt;&gt;"",$F97&lt;&gt;0),
                        SUMIF(CÁLCULO!$BS$15:$CS$205,CRONO!Y$12,CÁLCULO!$AR$15:$BR$205)/(ORÇAMENTO!$X$15-_xlfn.single(CÁLCULO.TotalAdmLocal))*CRONO!$F97,
                        0),
                 Y96*$S95),
          SUMIF(OFFSET($S97,1,0,$R95-2),($M95+1)&amp;"$",OFFSET(Y97,1,0,$R95-2)))</f>
        <v>0</v>
      </c>
      <c r="Z97" s="439" t="n">
        <f aca="false" t="array" ref="Z97:Z97">IF($R95=2,
         IF(AND(ACOMPANHAMENTO="PLE",ISNUMBER($F95)),
                SUMIF((OFFSET(CÁLCULO!$BS$15:$CS$15,$F95,0,OFFSET(ORÇAMENTO!$D$15,CRONO!$F95,0))),CRONO!Z$12,OFFSET(CÁLCULO!$AR$15:$BR$15,$F95,0,OFFSET(ORÇAMENTO!$D$15,CRONO!$F95,0)))
                +IF(AND($F97&lt;&gt;"",$F97&lt;&gt;0),
                        SUMIF(CÁLCULO!$BS$15:$CS$205,CRONO!Z$12,CÁLCULO!$AR$15:$BR$205)/(ORÇAMENTO!$X$15-_xlfn.single(CÁLCULO.TotalAdmLocal))*CRONO!$F97,
                        0),
                 Z96*$S95),
          SUMIF(OFFSET($S97,1,0,$R95-2),($M95+1)&amp;"$",OFFSET(Z97,1,0,$R95-2)))</f>
        <v>0</v>
      </c>
      <c r="AA97" s="439" t="n">
        <f aca="false" t="array" ref="AA97:AA97">IF($R95=2,
         IF(AND(ACOMPANHAMENTO="PLE",ISNUMBER($F95)),
                SUMIF((OFFSET(CÁLCULO!$BS$15:$CS$15,$F95,0,OFFSET(ORÇAMENTO!$D$15,CRONO!$F95,0))),CRONO!AA$12,OFFSET(CÁLCULO!$AR$15:$BR$15,$F95,0,OFFSET(ORÇAMENTO!$D$15,CRONO!$F95,0)))
                +IF(AND($F97&lt;&gt;"",$F97&lt;&gt;0),
                        SUMIF(CÁLCULO!$BS$15:$CS$205,CRONO!AA$12,CÁLCULO!$AR$15:$BR$205)/(ORÇAMENTO!$X$15-_xlfn.single(CÁLCULO.TotalAdmLocal))*CRONO!$F97,
                        0),
                 AA96*$S95),
          SUMIF(OFFSET($S97,1,0,$R95-2),($M95+1)&amp;"$",OFFSET(AA97,1,0,$R95-2)))</f>
        <v>0</v>
      </c>
      <c r="AB97" s="439" t="n">
        <f aca="false" t="array" ref="AB97:AB97">IF($R95=2,
         IF(AND(ACOMPANHAMENTO="PLE",ISNUMBER($F95)),
                SUMIF((OFFSET(CÁLCULO!$BS$15:$CS$15,$F95,0,OFFSET(ORÇAMENTO!$D$15,CRONO!$F95,0))),CRONO!AB$12,OFFSET(CÁLCULO!$AR$15:$BR$15,$F95,0,OFFSET(ORÇAMENTO!$D$15,CRONO!$F95,0)))
                +IF(AND($F97&lt;&gt;"",$F97&lt;&gt;0),
                        SUMIF(CÁLCULO!$BS$15:$CS$205,CRONO!AB$12,CÁLCULO!$AR$15:$BR$205)/(ORÇAMENTO!$X$15-_xlfn.single(CÁLCULO.TotalAdmLocal))*CRONO!$F97,
                        0),
                 AB96*$S95),
          SUMIF(OFFSET($S97,1,0,$R95-2),($M95+1)&amp;"$",OFFSET(AB97,1,0,$R95-2)))</f>
        <v>0</v>
      </c>
      <c r="AC97" s="439" t="n">
        <f aca="false" t="array" ref="AC97:AC97">IF($R95=2,
         IF(AND(ACOMPANHAMENTO="PLE",ISNUMBER($F95)),
                SUMIF((OFFSET(CÁLCULO!$BS$15:$CS$15,$F95,0,OFFSET(ORÇAMENTO!$D$15,CRONO!$F95,0))),CRONO!AC$12,OFFSET(CÁLCULO!$AR$15:$BR$15,$F95,0,OFFSET(ORÇAMENTO!$D$15,CRONO!$F95,0)))
                +IF(AND($F97&lt;&gt;"",$F97&lt;&gt;0),
                        SUMIF(CÁLCULO!$BS$15:$CS$205,CRONO!AC$12,CÁLCULO!$AR$15:$BR$205)/(ORÇAMENTO!$X$15-_xlfn.single(CÁLCULO.TotalAdmLocal))*CRONO!$F97,
                        0),
                 AC96*$S95),
          SUMIF(OFFSET($S97,1,0,$R95-2),($M95+1)&amp;"$",OFFSET(AC97,1,0,$R95-2)))</f>
        <v>0</v>
      </c>
      <c r="AD97" s="439" t="n">
        <f aca="false" t="array" ref="AD97:AD97">IF($R95=2,
         IF(AND(ACOMPANHAMENTO="PLE",ISNUMBER($F95)),
                SUMIF((OFFSET(CÁLCULO!$BS$15:$CS$15,$F95,0,OFFSET(ORÇAMENTO!$D$15,CRONO!$F95,0))),CRONO!AD$12,OFFSET(CÁLCULO!$AR$15:$BR$15,$F95,0,OFFSET(ORÇAMENTO!$D$15,CRONO!$F95,0)))
                +IF(AND($F97&lt;&gt;"",$F97&lt;&gt;0),
                        SUMIF(CÁLCULO!$BS$15:$CS$205,CRONO!AD$12,CÁLCULO!$AR$15:$BR$205)/(ORÇAMENTO!$X$15-_xlfn.single(CÁLCULO.TotalAdmLocal))*CRONO!$F97,
                        0),
                 AD96*$S95),
          SUMIF(OFFSET($S97,1,0,$R95-2),($M95+1)&amp;"$",OFFSET(AD97,1,0,$R95-2)))</f>
        <v>0</v>
      </c>
      <c r="AE97" s="439" t="n">
        <f aca="false" t="array" ref="AE97:AE97">IF($R95=2,
         IF(AND(ACOMPANHAMENTO="PLE",ISNUMBER($F95)),
                SUMIF((OFFSET(CÁLCULO!$BS$15:$CS$15,$F95,0,OFFSET(ORÇAMENTO!$D$15,CRONO!$F95,0))),CRONO!AE$12,OFFSET(CÁLCULO!$AR$15:$BR$15,$F95,0,OFFSET(ORÇAMENTO!$D$15,CRONO!$F95,0)))
                +IF(AND($F97&lt;&gt;"",$F97&lt;&gt;0),
                        SUMIF(CÁLCULO!$BS$15:$CS$205,CRONO!AE$12,CÁLCULO!$AR$15:$BR$205)/(ORÇAMENTO!$X$15-_xlfn.single(CÁLCULO.TotalAdmLocal))*CRONO!$F97,
                        0),
                 AE96*$S95),
          SUMIF(OFFSET($S97,1,0,$R95-2),($M95+1)&amp;"$",OFFSET(AE97,1,0,$R95-2)))</f>
        <v>0</v>
      </c>
      <c r="AF97" s="439" t="n">
        <f aca="false" t="array" ref="AF97:AF97">IF($R95=2,
         IF(AND(ACOMPANHAMENTO="PLE",ISNUMBER($F95)),
                SUMIF((OFFSET(CÁLCULO!$BS$15:$CS$15,$F95,0,OFFSET(ORÇAMENTO!$D$15,CRONO!$F95,0))),CRONO!AF$12,OFFSET(CÁLCULO!$AR$15:$BR$15,$F95,0,OFFSET(ORÇAMENTO!$D$15,CRONO!$F95,0)))
                +IF(AND($F97&lt;&gt;"",$F97&lt;&gt;0),
                        SUMIF(CÁLCULO!$BS$15:$CS$205,CRONO!AF$12,CÁLCULO!$AR$15:$BR$205)/(ORÇAMENTO!$X$15-_xlfn.single(CÁLCULO.TotalAdmLocal))*CRONO!$F97,
                        0),
                 AF96*$S95),
          SUMIF(OFFSET($S97,1,0,$R95-2),($M95+1)&amp;"$",OFFSET(AF97,1,0,$R95-2)))</f>
        <v>0</v>
      </c>
      <c r="AG97" s="439" t="n">
        <f aca="false" t="array" ref="AG97:AG97">IF($R95=2,
         IF(AND(ACOMPANHAMENTO="PLE",ISNUMBER($F95)),
                SUMIF((OFFSET(CÁLCULO!$BS$15:$CS$15,$F95,0,OFFSET(ORÇAMENTO!$D$15,CRONO!$F95,0))),CRONO!AG$12,OFFSET(CÁLCULO!$AR$15:$BR$15,$F95,0,OFFSET(ORÇAMENTO!$D$15,CRONO!$F95,0)))
                +IF(AND($F97&lt;&gt;"",$F97&lt;&gt;0),
                        SUMIF(CÁLCULO!$BS$15:$CS$205,CRONO!AG$12,CÁLCULO!$AR$15:$BR$205)/(ORÇAMENTO!$X$15-_xlfn.single(CÁLCULO.TotalAdmLocal))*CRONO!$F97,
                        0),
                 AG96*$S95),
          SUMIF(OFFSET($S97,1,0,$R95-2),($M95+1)&amp;"$",OFFSET(AG97,1,0,$R95-2)))</f>
        <v>0</v>
      </c>
      <c r="AH97" s="439" t="n">
        <f aca="false" t="array" ref="AH97:AH97">IF($R95=2,
         IF(AND(ACOMPANHAMENTO="PLE",ISNUMBER($F95)),
                SUMIF((OFFSET(CÁLCULO!$BS$15:$CS$15,$F95,0,OFFSET(ORÇAMENTO!$D$15,CRONO!$F95,0))),CRONO!AH$12,OFFSET(CÁLCULO!$AR$15:$BR$15,$F95,0,OFFSET(ORÇAMENTO!$D$15,CRONO!$F95,0)))
                +IF(AND($F97&lt;&gt;"",$F97&lt;&gt;0),
                        SUMIF(CÁLCULO!$BS$15:$CS$205,CRONO!AH$12,CÁLCULO!$AR$15:$BR$205)/(ORÇAMENTO!$X$15-_xlfn.single(CÁLCULO.TotalAdmLocal))*CRONO!$F97,
                        0),
                 AH96*$S95),
          SUMIF(OFFSET($S97,1,0,$R95-2),($M95+1)&amp;"$",OFFSET(AH97,1,0,$R95-2)))</f>
        <v>0</v>
      </c>
      <c r="AI97" s="439" t="n">
        <f aca="false" t="array" ref="AI97:AI97">IF($R95=2,
         IF(AND(ACOMPANHAMENTO="PLE",ISNUMBER($F95)),
                SUMIF((OFFSET(CÁLCULO!$BS$15:$CS$15,$F95,0,OFFSET(ORÇAMENTO!$D$15,CRONO!$F95,0))),CRONO!AI$12,OFFSET(CÁLCULO!$AR$15:$BR$15,$F95,0,OFFSET(ORÇAMENTO!$D$15,CRONO!$F95,0)))
                +IF(AND($F97&lt;&gt;"",$F97&lt;&gt;0),
                        SUMIF(CÁLCULO!$BS$15:$CS$205,CRONO!AI$12,CÁLCULO!$AR$15:$BR$205)/(ORÇAMENTO!$X$15-_xlfn.single(CÁLCULO.TotalAdmLocal))*CRONO!$F97,
                        0),
                 AI96*$S95),
          SUMIF(OFFSET($S97,1,0,$R95-2),($M95+1)&amp;"$",OFFSET(AI97,1,0,$R95-2)))</f>
        <v>0</v>
      </c>
      <c r="AJ97" s="439" t="n">
        <f aca="false" t="array" ref="AJ97:AJ97">IF($R95=2,
         IF(AND(ACOMPANHAMENTO="PLE",ISNUMBER($F95)),
                SUMIF((OFFSET(CÁLCULO!$BS$15:$CS$15,$F95,0,OFFSET(ORÇAMENTO!$D$15,CRONO!$F95,0))),CRONO!AJ$12,OFFSET(CÁLCULO!$AR$15:$BR$15,$F95,0,OFFSET(ORÇAMENTO!$D$15,CRONO!$F95,0)))
                +IF(AND($F97&lt;&gt;"",$F97&lt;&gt;0),
                        SUMIF(CÁLCULO!$BS$15:$CS$205,CRONO!AJ$12,CÁLCULO!$AR$15:$BR$205)/(ORÇAMENTO!$X$15-_xlfn.single(CÁLCULO.TotalAdmLocal))*CRONO!$F97,
                        0),
                 AJ96*$S95),
          SUMIF(OFFSET($S97,1,0,$R95-2),($M95+1)&amp;"$",OFFSET(AJ97,1,0,$R95-2)))</f>
        <v>0</v>
      </c>
      <c r="AK97" s="439" t="n">
        <f aca="false" t="array" ref="AK97:AK97">IF($R95=2,
         IF(AND(ACOMPANHAMENTO="PLE",ISNUMBER($F95)),
                SUMIF((OFFSET(CÁLCULO!$BS$15:$CS$15,$F95,0,OFFSET(ORÇAMENTO!$D$15,CRONO!$F95,0))),CRONO!AK$12,OFFSET(CÁLCULO!$AR$15:$BR$15,$F95,0,OFFSET(ORÇAMENTO!$D$15,CRONO!$F95,0)))
                +IF(AND($F97&lt;&gt;"",$F97&lt;&gt;0),
                        SUMIF(CÁLCULO!$BS$15:$CS$205,CRONO!AK$12,CÁLCULO!$AR$15:$BR$205)/(ORÇAMENTO!$X$15-_xlfn.single(CÁLCULO.TotalAdmLocal))*CRONO!$F97,
                        0),
                 AK96*$S95),
          SUMIF(OFFSET($S97,1,0,$R95-2),($M95+1)&amp;"$",OFFSET(AK97,1,0,$R95-2)))</f>
        <v>0</v>
      </c>
      <c r="AL97" s="439" t="n">
        <f aca="false" t="array" ref="AL97:AL97">IF($R95=2,
         IF(AND(ACOMPANHAMENTO="PLE",ISNUMBER($F95)),
                SUMIF((OFFSET(CÁLCULO!$BS$15:$CS$15,$F95,0,OFFSET(ORÇAMENTO!$D$15,CRONO!$F95,0))),CRONO!AL$12,OFFSET(CÁLCULO!$AR$15:$BR$15,$F95,0,OFFSET(ORÇAMENTO!$D$15,CRONO!$F95,0)))
                +IF(AND($F97&lt;&gt;"",$F97&lt;&gt;0),
                        SUMIF(CÁLCULO!$BS$15:$CS$205,CRONO!AL$12,CÁLCULO!$AR$15:$BR$205)/(ORÇAMENTO!$X$15-_xlfn.single(CÁLCULO.TotalAdmLocal))*CRONO!$F97,
                        0),
                 AL96*$S95),
          SUMIF(OFFSET($S97,1,0,$R95-2),($M95+1)&amp;"$",OFFSET(AL97,1,0,$R95-2)))</f>
        <v>0</v>
      </c>
      <c r="AM97" s="439" t="n">
        <f aca="false" t="array" ref="AM97:AM97">IF($R95=2,
         IF(AND(ACOMPANHAMENTO="PLE",ISNUMBER($F95)),
                SUMIF((OFFSET(CÁLCULO!$BS$15:$CS$15,$F95,0,OFFSET(ORÇAMENTO!$D$15,CRONO!$F95,0))),CRONO!AM$12,OFFSET(CÁLCULO!$AR$15:$BR$15,$F95,0,OFFSET(ORÇAMENTO!$D$15,CRONO!$F95,0)))
                +IF(AND($F97&lt;&gt;"",$F97&lt;&gt;0),
                        SUMIF(CÁLCULO!$BS$15:$CS$205,CRONO!AM$12,CÁLCULO!$AR$15:$BR$205)/(ORÇAMENTO!$X$15-_xlfn.single(CÁLCULO.TotalAdmLocal))*CRONO!$F97,
                        0),
                 AM96*$S95),
          SUMIF(OFFSET($S97,1,0,$R95-2),($M95+1)&amp;"$",OFFSET(AM97,1,0,$R95-2)))</f>
        <v>0</v>
      </c>
      <c r="AN97" s="439" t="n">
        <f aca="false" t="array" ref="AN97:AN97">IF($R95=2,
         IF(AND(ACOMPANHAMENTO="PLE",ISNUMBER($F95)),
                SUMIF((OFFSET(CÁLCULO!$BS$15:$CS$15,$F95,0,OFFSET(ORÇAMENTO!$D$15,CRONO!$F95,0))),CRONO!AN$12,OFFSET(CÁLCULO!$AR$15:$BR$15,$F95,0,OFFSET(ORÇAMENTO!$D$15,CRONO!$F95,0)))
                +IF(AND($F97&lt;&gt;"",$F97&lt;&gt;0),
                        SUMIF(CÁLCULO!$BS$15:$CS$205,CRONO!AN$12,CÁLCULO!$AR$15:$BR$205)/(ORÇAMENTO!$X$15-_xlfn.single(CÁLCULO.TotalAdmLocal))*CRONO!$F97,
                        0),
                 AN96*$S95),
          SUMIF(OFFSET($S97,1,0,$R95-2),($M95+1)&amp;"$",OFFSET(AN97,1,0,$R95-2)))</f>
        <v>0</v>
      </c>
      <c r="AO97" s="439" t="n">
        <f aca="false" t="array" ref="AO97:AO97">IF($R95=2,
         IF(AND(ACOMPANHAMENTO="PLE",ISNUMBER($F95)),
                SUMIF((OFFSET(CÁLCULO!$BS$15:$CS$15,$F95,0,OFFSET(ORÇAMENTO!$D$15,CRONO!$F95,0))),CRONO!AO$12,OFFSET(CÁLCULO!$AR$15:$BR$15,$F95,0,OFFSET(ORÇAMENTO!$D$15,CRONO!$F95,0)))
                +IF(AND($F97&lt;&gt;"",$F97&lt;&gt;0),
                        SUMIF(CÁLCULO!$BS$15:$CS$205,CRONO!AO$12,CÁLCULO!$AR$15:$BR$205)/(ORÇAMENTO!$X$15-_xlfn.single(CÁLCULO.TotalAdmLocal))*CRONO!$F97,
                        0),
                 AO96*$S95),
          SUMIF(OFFSET($S97,1,0,$R95-2),($M95+1)&amp;"$",OFFSET(AO97,1,0,$R95-2)))</f>
        <v>0</v>
      </c>
      <c r="AP97" s="439" t="n">
        <f aca="false" t="array" ref="AP97:AP97">IF($R95=2,
         IF(AND(ACOMPANHAMENTO="PLE",ISNUMBER($F95)),
                SUMIF((OFFSET(CÁLCULO!$BS$15:$CS$15,$F95,0,OFFSET(ORÇAMENTO!$D$15,CRONO!$F95,0))),CRONO!AP$12,OFFSET(CÁLCULO!$AR$15:$BR$15,$F95,0,OFFSET(ORÇAMENTO!$D$15,CRONO!$F95,0)))
                +IF(AND($F97&lt;&gt;"",$F97&lt;&gt;0),
                        SUMIF(CÁLCULO!$BS$15:$CS$205,CRONO!AP$12,CÁLCULO!$AR$15:$BR$205)/(ORÇAMENTO!$X$15-_xlfn.single(CÁLCULO.TotalAdmLocal))*CRONO!$F97,
                        0),
                 AP96*$S95),
          SUMIF(OFFSET($S97,1,0,$R95-2),($M95+1)&amp;"$",OFFSET(AP97,1,0,$R95-2)))</f>
        <v>0</v>
      </c>
      <c r="AQ97" s="439" t="n">
        <f aca="false" t="array" ref="AQ97:AQ97">IF($R95=2,
         IF(AND(ACOMPANHAMENTO="PLE",ISNUMBER($F95)),
                SUMIF((OFFSET(CÁLCULO!$BS$15:$CS$15,$F95,0,OFFSET(ORÇAMENTO!$D$15,CRONO!$F95,0))),CRONO!AQ$12,OFFSET(CÁLCULO!$AR$15:$BR$15,$F95,0,OFFSET(ORÇAMENTO!$D$15,CRONO!$F95,0)))
                +IF(AND($F97&lt;&gt;"",$F97&lt;&gt;0),
                        SUMIF(CÁLCULO!$BS$15:$CS$205,CRONO!AQ$12,CÁLCULO!$AR$15:$BR$205)/(ORÇAMENTO!$X$15-_xlfn.single(CÁLCULO.TotalAdmLocal))*CRONO!$F97,
                        0),
                 AQ96*$S95),
          SUMIF(OFFSET($S97,1,0,$R95-2),($M95+1)&amp;"$",OFFSET(AQ97,1,0,$R95-2)))</f>
        <v>0</v>
      </c>
      <c r="AR97" s="439" t="n">
        <f aca="false" t="array" ref="AR97:AR97">IF($R95=2,
         IF(AND(ACOMPANHAMENTO="PLE",ISNUMBER($F95)),
                SUMIF((OFFSET(CÁLCULO!$BS$15:$CS$15,$F95,0,OFFSET(ORÇAMENTO!$D$15,CRONO!$F95,0))),CRONO!AR$12,OFFSET(CÁLCULO!$AR$15:$BR$15,$F95,0,OFFSET(ORÇAMENTO!$D$15,CRONO!$F95,0)))
                +IF(AND($F97&lt;&gt;"",$F97&lt;&gt;0),
                        SUMIF(CÁLCULO!$BS$15:$CS$205,CRONO!AR$12,CÁLCULO!$AR$15:$BR$205)/(ORÇAMENTO!$X$15-_xlfn.single(CÁLCULO.TotalAdmLocal))*CRONO!$F97,
                        0),
                 AR96*$S95),
          SUMIF(OFFSET($S97,1,0,$R95-2),($M95+1)&amp;"$",OFFSET(AR97,1,0,$R95-2)))</f>
        <v>0</v>
      </c>
      <c r="AS97" s="439" t="n">
        <f aca="false" t="array" ref="AS97:AS97">IF($R95=2,
         IF(AND(ACOMPANHAMENTO="PLE",ISNUMBER($F95)),
                SUMIF((OFFSET(CÁLCULO!$BS$15:$CS$15,$F95,0,OFFSET(ORÇAMENTO!$D$15,CRONO!$F95,0))),CRONO!AS$12,OFFSET(CÁLCULO!$AR$15:$BR$15,$F95,0,OFFSET(ORÇAMENTO!$D$15,CRONO!$F95,0)))
                +IF(AND($F97&lt;&gt;"",$F97&lt;&gt;0),
                        SUMIF(CÁLCULO!$BS$15:$CS$205,CRONO!AS$12,CÁLCULO!$AR$15:$BR$205)/(ORÇAMENTO!$X$15-_xlfn.single(CÁLCULO.TotalAdmLocal))*CRONO!$F97,
                        0),
                 AS96*$S95),
          SUMIF(OFFSET($S97,1,0,$R95-2),($M95+1)&amp;"$",OFFSET(AS97,1,0,$R95-2)))</f>
        <v>0</v>
      </c>
      <c r="AT97" s="439" t="n">
        <f aca="false" t="array" ref="AT97:AT97">IF($R95=2,
         IF(AND(ACOMPANHAMENTO="PLE",ISNUMBER($F95)),
                SUMIF((OFFSET(CÁLCULO!$BS$15:$CS$15,$F95,0,OFFSET(ORÇAMENTO!$D$15,CRONO!$F95,0))),CRONO!AT$12,OFFSET(CÁLCULO!$AR$15:$BR$15,$F95,0,OFFSET(ORÇAMENTO!$D$15,CRONO!$F95,0)))
                +IF(AND($F97&lt;&gt;"",$F97&lt;&gt;0),
                        SUMIF(CÁLCULO!$BS$15:$CS$205,CRONO!AT$12,CÁLCULO!$AR$15:$BR$205)/(ORÇAMENTO!$X$15-_xlfn.single(CÁLCULO.TotalAdmLocal))*CRONO!$F97,
                        0),
                 AT96*$S95),
          SUMIF(OFFSET($S97,1,0,$R95-2),($M95+1)&amp;"$",OFFSET(AT97,1,0,$R95-2)))</f>
        <v>0</v>
      </c>
      <c r="AU97" s="439" t="n">
        <f aca="false" t="array" ref="AU97:AU97">IF($R95=2,
         IF(AND(ACOMPANHAMENTO="PLE",ISNUMBER($F95)),
                SUMIF((OFFSET(CÁLCULO!$BS$15:$CS$15,$F95,0,OFFSET(ORÇAMENTO!$D$15,CRONO!$F95,0))),CRONO!AU$12,OFFSET(CÁLCULO!$AR$15:$BR$15,$F95,0,OFFSET(ORÇAMENTO!$D$15,CRONO!$F95,0)))
                +IF(AND($F97&lt;&gt;"",$F97&lt;&gt;0),
                        SUMIF(CÁLCULO!$BS$15:$CS$205,CRONO!AU$12,CÁLCULO!$AR$15:$BR$205)/(ORÇAMENTO!$X$15-_xlfn.single(CÁLCULO.TotalAdmLocal))*CRONO!$F97,
                        0),
                 AU96*$S95),
          SUMIF(OFFSET($S97,1,0,$R95-2),($M95+1)&amp;"$",OFFSET(AU97,1,0,$R95-2)))</f>
        <v>0</v>
      </c>
      <c r="AV97" s="439" t="n">
        <f aca="false" t="array" ref="AV97:AV97">IF($R95=2,
         IF(AND(ACOMPANHAMENTO="PLE",ISNUMBER($F95)),
                SUMIF((OFFSET(CÁLCULO!$BS$15:$CS$15,$F95,0,OFFSET(ORÇAMENTO!$D$15,CRONO!$F95,0))),CRONO!AV$12,OFFSET(CÁLCULO!$AR$15:$BR$15,$F95,0,OFFSET(ORÇAMENTO!$D$15,CRONO!$F95,0)))
                +IF(AND($F97&lt;&gt;"",$F97&lt;&gt;0),
                        SUMIF(CÁLCULO!$BS$15:$CS$205,CRONO!AV$12,CÁLCULO!$AR$15:$BR$205)/(ORÇAMENTO!$X$15-_xlfn.single(CÁLCULO.TotalAdmLocal))*CRONO!$F97,
                        0),
                 AV96*$S95),
          SUMIF(OFFSET($S97,1,0,$R95-2),($M95+1)&amp;"$",OFFSET(AV97,1,0,$R95-2)))</f>
        <v>0</v>
      </c>
      <c r="AW97" s="439" t="n">
        <f aca="false" t="array" ref="AW97:AW97">IF($R95=2,
         IF(AND(ACOMPANHAMENTO="PLE",ISNUMBER($F95)),
                SUMIF((OFFSET(CÁLCULO!$BS$15:$CS$15,$F95,0,OFFSET(ORÇAMENTO!$D$15,CRONO!$F95,0))),CRONO!AW$12,OFFSET(CÁLCULO!$AR$15:$BR$15,$F95,0,OFFSET(ORÇAMENTO!$D$15,CRONO!$F95,0)))
                +IF(AND($F97&lt;&gt;"",$F97&lt;&gt;0),
                        SUMIF(CÁLCULO!$BS$15:$CS$205,CRONO!AW$12,CÁLCULO!$AR$15:$BR$205)/(ORÇAMENTO!$X$15-_xlfn.single(CÁLCULO.TotalAdmLocal))*CRONO!$F97,
                        0),
                 AW96*$S95),
          SUMIF(OFFSET($S97,1,0,$R95-2),($M95+1)&amp;"$",OFFSET(AW97,1,0,$R95-2)))</f>
        <v>0</v>
      </c>
      <c r="AX97" s="439" t="n">
        <f aca="false" t="array" ref="AX97:AX97">IF($R95=2,
         IF(AND(ACOMPANHAMENTO="PLE",ISNUMBER($F95)),
                SUMIF((OFFSET(CÁLCULO!$BS$15:$CS$15,$F95,0,OFFSET(ORÇAMENTO!$D$15,CRONO!$F95,0))),CRONO!AX$12,OFFSET(CÁLCULO!$AR$15:$BR$15,$F95,0,OFFSET(ORÇAMENTO!$D$15,CRONO!$F95,0)))
                +IF(AND($F97&lt;&gt;"",$F97&lt;&gt;0),
                        SUMIF(CÁLCULO!$BS$15:$CS$205,CRONO!AX$12,CÁLCULO!$AR$15:$BR$205)/(ORÇAMENTO!$X$15-_xlfn.single(CÁLCULO.TotalAdmLocal))*CRONO!$F97,
                        0),
                 AX96*$S95),
          SUMIF(OFFSET($S97,1,0,$R95-2),($M95+1)&amp;"$",OFFSET(AX97,1,0,$R95-2)))</f>
        <v>0</v>
      </c>
      <c r="AY97" s="439" t="n">
        <f aca="false" t="array" ref="AY97:AY97">IF($R95=2,
         IF(AND(ACOMPANHAMENTO="PLE",ISNUMBER($F95)),
                SUMIF((OFFSET(CÁLCULO!$BS$15:$CS$15,$F95,0,OFFSET(ORÇAMENTO!$D$15,CRONO!$F95,0))),CRONO!AY$12,OFFSET(CÁLCULO!$AR$15:$BR$15,$F95,0,OFFSET(ORÇAMENTO!$D$15,CRONO!$F95,0)))
                +IF(AND($F97&lt;&gt;"",$F97&lt;&gt;0),
                        SUMIF(CÁLCULO!$BS$15:$CS$205,CRONO!AY$12,CÁLCULO!$AR$15:$BR$205)/(ORÇAMENTO!$X$15-_xlfn.single(CÁLCULO.TotalAdmLocal))*CRONO!$F97,
                        0),
                 AY96*$S95),
          SUMIF(OFFSET($S97,1,0,$R95-2),($M95+1)&amp;"$",OFFSET(AY97,1,0,$R95-2)))</f>
        <v>0</v>
      </c>
      <c r="AZ97" s="439" t="n">
        <f aca="false" t="array" ref="AZ97:AZ97">IF($R95=2,
         IF(AND(ACOMPANHAMENTO="PLE",ISNUMBER($F95)),
                SUMIF((OFFSET(CÁLCULO!$BS$15:$CS$15,$F95,0,OFFSET(ORÇAMENTO!$D$15,CRONO!$F95,0))),CRONO!AZ$12,OFFSET(CÁLCULO!$AR$15:$BR$15,$F95,0,OFFSET(ORÇAMENTO!$D$15,CRONO!$F95,0)))
                +IF(AND($F97&lt;&gt;"",$F97&lt;&gt;0),
                        SUMIF(CÁLCULO!$BS$15:$CS$205,CRONO!AZ$12,CÁLCULO!$AR$15:$BR$205)/(ORÇAMENTO!$X$15-_xlfn.single(CÁLCULO.TotalAdmLocal))*CRONO!$F97,
                        0),
                 AZ96*$S95),
          SUMIF(OFFSET($S97,1,0,$R95-2),($M95+1)&amp;"$",OFFSET(AZ97,1,0,$R95-2)))</f>
        <v>0</v>
      </c>
      <c r="BA97" s="439" t="n">
        <f aca="false" t="array" ref="BA97:BA97">IF($R95=2,
         IF(AND(ACOMPANHAMENTO="PLE",ISNUMBER($F95)),
                SUMIF((OFFSET(CÁLCULO!$BS$15:$CS$15,$F95,0,OFFSET(ORÇAMENTO!$D$15,CRONO!$F95,0))),CRONO!BA$12,OFFSET(CÁLCULO!$AR$15:$BR$15,$F95,0,OFFSET(ORÇAMENTO!$D$15,CRONO!$F95,0)))
                +IF(AND($F97&lt;&gt;"",$F97&lt;&gt;0),
                        SUMIF(CÁLCULO!$BS$15:$CS$205,CRONO!BA$12,CÁLCULO!$AR$15:$BR$205)/(ORÇAMENTO!$X$15-_xlfn.single(CÁLCULO.TotalAdmLocal))*CRONO!$F97,
                        0),
                 BA96*$S95),
          SUMIF(OFFSET($S97,1,0,$R95-2),($M95+1)&amp;"$",OFFSET(BA97,1,0,$R95-2)))</f>
        <v>0</v>
      </c>
      <c r="BB97" s="439" t="n">
        <f aca="false" t="array" ref="BB97:BB97">IF($R95=2,
         IF(AND(ACOMPANHAMENTO="PLE",ISNUMBER($F95)),
                SUMIF((OFFSET(CÁLCULO!$BS$15:$CS$15,$F95,0,OFFSET(ORÇAMENTO!$D$15,CRONO!$F95,0))),CRONO!BB$12,OFFSET(CÁLCULO!$AR$15:$BR$15,$F95,0,OFFSET(ORÇAMENTO!$D$15,CRONO!$F95,0)))
                +IF(AND($F97&lt;&gt;"",$F97&lt;&gt;0),
                        SUMIF(CÁLCULO!$BS$15:$CS$205,CRONO!BB$12,CÁLCULO!$AR$15:$BR$205)/(ORÇAMENTO!$X$15-_xlfn.single(CÁLCULO.TotalAdmLocal))*CRONO!$F97,
                        0),
                 BB96*$S95),
          SUMIF(OFFSET($S97,1,0,$R95-2),($M95+1)&amp;"$",OFFSET(BB97,1,0,$R95-2)))</f>
        <v>0</v>
      </c>
      <c r="BC97" s="439" t="n">
        <f aca="false" t="array" ref="BC97:BC97">IF($R95=2,
         IF(AND(ACOMPANHAMENTO="PLE",ISNUMBER($F95)),
                SUMIF((OFFSET(CÁLCULO!$BS$15:$CS$15,$F95,0,OFFSET(ORÇAMENTO!$D$15,CRONO!$F95,0))),CRONO!BC$12,OFFSET(CÁLCULO!$AR$15:$BR$15,$F95,0,OFFSET(ORÇAMENTO!$D$15,CRONO!$F95,0)))
                +IF(AND($F97&lt;&gt;"",$F97&lt;&gt;0),
                        SUMIF(CÁLCULO!$BS$15:$CS$205,CRONO!BC$12,CÁLCULO!$AR$15:$BR$205)/(ORÇAMENTO!$X$15-_xlfn.single(CÁLCULO.TotalAdmLocal))*CRONO!$F97,
                        0),
                 BC96*$S95),
          SUMIF(OFFSET($S97,1,0,$R95-2),($M95+1)&amp;"$",OFFSET(BC97,1,0,$R95-2)))</f>
        <v>0</v>
      </c>
      <c r="BD97" s="439" t="n">
        <f aca="false" t="array" ref="BD97:BD97">IF($R95=2,
         IF(AND(ACOMPANHAMENTO="PLE",ISNUMBER($F95)),
                SUMIF((OFFSET(CÁLCULO!$BS$15:$CS$15,$F95,0,OFFSET(ORÇAMENTO!$D$15,CRONO!$F95,0))),CRONO!BD$12,OFFSET(CÁLCULO!$AR$15:$BR$15,$F95,0,OFFSET(ORÇAMENTO!$D$15,CRONO!$F95,0)))
                +IF(AND($F97&lt;&gt;"",$F97&lt;&gt;0),
                        SUMIF(CÁLCULO!$BS$15:$CS$205,CRONO!BD$12,CÁLCULO!$AR$15:$BR$205)/(ORÇAMENTO!$X$15-_xlfn.single(CÁLCULO.TotalAdmLocal))*CRONO!$F97,
                        0),
                 BD96*$S95),
          SUMIF(OFFSET($S97,1,0,$R95-2),($M95+1)&amp;"$",OFFSET(BD97,1,0,$R95-2)))</f>
        <v>0</v>
      </c>
      <c r="BE97" s="430"/>
    </row>
    <row r="98" customFormat="false" ht="12.75" hidden="true" customHeight="false" outlineLevel="0" collapsed="false">
      <c r="A98" s="382" t="str">
        <f aca="false">IF($M98&gt;1,_xlfn.CONCAT($I98," ",$J98),"")</f>
        <v>1.28. MADEIRA</v>
      </c>
      <c r="B98" s="419" t="n">
        <f aca="true">OFFSET(B98,-3,0)+1</f>
        <v>29</v>
      </c>
      <c r="C98" s="419" t="n">
        <f aca="true">IF($R98&lt;&gt;2,0,IF($S98=0,1,IF(F99&gt;0,OFFSET(QCI!$M$13,SUBSTITUTE(F99,".",""),0),OFFSET(ORÇAMENTO!$AA$15,CRONO!$F98,0))/$S98))</f>
        <v>1</v>
      </c>
      <c r="D98" s="419" t="n">
        <f aca="true">IF($R98&lt;&gt;2,0,IF($S98=0,1,IF(F99&gt;0,OFFSET(QCI!$N$13,SUBSTITUTE(F99,".",""),0),OFFSET(ORÇAMENTO!$AB$15,CRONO!$F98,0))/$S98))</f>
        <v>1</v>
      </c>
      <c r="E98" s="422" t="e">
        <f aca="false" t="array" ref="E98:E98">IF(AND($R98=2,ACOMPANHAMENTO="BM"),ROUND(E99,4),E100/$S98)</f>
        <v>#DIV/0!</v>
      </c>
      <c r="F98" s="419" t="n">
        <f aca="true">IF(B98&lt;=ORÇAMENTO.MáximoListaCrono,MATCH(B98,ORÇAMENTO.ListaCrono,0),NA())</f>
        <v>88</v>
      </c>
      <c r="G98" s="419" t="str">
        <f aca="false">IF(AND($F99&lt;&gt;-1,$S98&gt;0),"F","")</f>
        <v/>
      </c>
      <c r="H98" s="423" t="str">
        <f aca="false" t="array" ref="H98:H98">IF(OR(S98=0,S98=""),"Linha",IF(AND(OR(ACOMPANHAMENTO="PLE",$R98&lt;&gt;2),$F99=0),"Linha",ROUND(1-SUM(U98:BE98),4)))</f>
        <v>Linha</v>
      </c>
      <c r="I98" s="424" t="str">
        <f aca="true">IF($F99=0,OFFSET(ORÇAMENTO!O$15,$F98,0),IF($F99&lt;&gt;-1,OFFSET(QCI!$D$13,$F99,0),""))</f>
        <v>1.28.</v>
      </c>
      <c r="J98" s="425" t="str">
        <f aca="true">IF($F99=0,OFFSET(ORÇAMENTO!R$15,$F98,0),IF($F99&lt;&gt;-1,OFFSET(QCI!$G$13,$F99,0),""))</f>
        <v>MADEIRA</v>
      </c>
      <c r="K98" s="425"/>
      <c r="L98" s="425"/>
      <c r="M98" s="426" t="n">
        <f aca="true">IF($F99=0,OFFSET(ORÇAMENTO!C$15,$F98,0),1)</f>
        <v>2</v>
      </c>
      <c r="N98" s="427" t="n">
        <f aca="true">IF($F99=-1,0,IF(N$13&lt;=$M98,IF(ISERROR(MATCH(N$13,OFFSET($M98,1,0,ROW($M$182)-ROW($M98)-1),0)),ROW($M$182)-ROW($M98)-1,MATCH(N$13,OFFSET($M98,1,0,ROW($M$182)-ROW($M98)-1),0)-1),0))</f>
        <v>83</v>
      </c>
      <c r="O98" s="427" t="n">
        <f aca="true">IF($F99=-1,0,IF(O$13&lt;=$M98,IF(ISERROR(MATCH(O$13,OFFSET($M98,1,0,ROW($M$182)-ROW($M98)-1),0)),ROW($M$182)-ROW($M98)-1,MATCH(O$13,OFFSET($M98,1,0,ROW($M$182)-ROW($M98)-1),0)-1),0))</f>
        <v>2</v>
      </c>
      <c r="P98" s="427" t="n">
        <f aca="true">IF($F99=-1,0,IF(P$13&lt;=$M98,IF(ISERROR(MATCH(P$13,OFFSET($M98,1,0,ROW($M$182)-ROW($M98)-1),0)),ROW($M$182)-ROW($M98)-1,MATCH(P$13,OFFSET($M98,1,0,ROW($M$182)-ROW($M98)-1),0)-1),0))</f>
        <v>0</v>
      </c>
      <c r="Q98" s="427" t="n">
        <f aca="true">IF($F99=-1,0,IF(Q$13&lt;=$M98,IF(ISERROR(MATCH(Q$13,OFFSET($M98,1,0,ROW($M$182)-ROW($M98)-1),0)),ROW($M$182)-ROW($M98)-1,MATCH(Q$13,OFFSET($M98,1,0,ROW($M$182)-ROW($M98)-1),0)-1),0))</f>
        <v>0</v>
      </c>
      <c r="R98" s="427" t="n">
        <f aca="true">MIN(OFFSET(M98,0,1,,M98))</f>
        <v>2</v>
      </c>
      <c r="S98" s="428" t="n">
        <f aca="true">IF($F99=0,OFFSET(ORÇAMENTO!X$15,$F98,0),IF($F99&lt;&gt;-1,OFFSET(QCI!$O$13,$F99,0),""))</f>
        <v>0</v>
      </c>
      <c r="T98" s="429" t="s">
        <v>996</v>
      </c>
      <c r="U98" s="422" t="e">
        <f aca="false" t="array" ref="U98:U98">IF(AND($R98=2,ACOMPANHAMENTO="BM"),ROUND(U99,4),U100/$S98)</f>
        <v>#DIV/0!</v>
      </c>
      <c r="V98" s="422" t="e">
        <f aca="false" t="array" ref="V98:V98">IF(AND($R98=2,ACOMPANHAMENTO="BM"),ROUND(V99,4),V100/$S98)</f>
        <v>#DIV/0!</v>
      </c>
      <c r="W98" s="422" t="e">
        <f aca="false" t="array" ref="W98:W98">IF(AND($R98=2,ACOMPANHAMENTO="BM"),ROUND(W99,4),W100/$S98)</f>
        <v>#DIV/0!</v>
      </c>
      <c r="X98" s="422" t="e">
        <f aca="false" t="array" ref="X98:X98">IF(AND($R98=2,ACOMPANHAMENTO="BM"),ROUND(X99,4),X100/$S98)</f>
        <v>#DIV/0!</v>
      </c>
      <c r="Y98" s="422" t="e">
        <f aca="false" t="array" ref="Y98:Y98">IF(AND($R98=2,ACOMPANHAMENTO="BM"),ROUND(Y99,4),Y100/$S98)</f>
        <v>#DIV/0!</v>
      </c>
      <c r="Z98" s="422" t="e">
        <f aca="false" t="array" ref="Z98:Z98">IF(AND($R98=2,ACOMPANHAMENTO="BM"),ROUND(Z99,4),Z100/$S98)</f>
        <v>#DIV/0!</v>
      </c>
      <c r="AA98" s="422" t="e">
        <f aca="false" t="array" ref="AA98:AA98">IF(AND($R98=2,ACOMPANHAMENTO="BM"),ROUND(AA99,4),AA100/$S98)</f>
        <v>#DIV/0!</v>
      </c>
      <c r="AB98" s="422" t="e">
        <f aca="false" t="array" ref="AB98:AB98">IF(AND($R98=2,ACOMPANHAMENTO="BM"),ROUND(AB99,4),AB100/$S98)</f>
        <v>#DIV/0!</v>
      </c>
      <c r="AC98" s="422" t="e">
        <f aca="false" t="array" ref="AC98:AC98">IF(AND($R98=2,ACOMPANHAMENTO="BM"),ROUND(AC99,4),AC100/$S98)</f>
        <v>#DIV/0!</v>
      </c>
      <c r="AD98" s="422" t="e">
        <f aca="false" t="array" ref="AD98:AD98">IF(AND($R98=2,ACOMPANHAMENTO="BM"),ROUND(AD99,4),AD100/$S98)</f>
        <v>#DIV/0!</v>
      </c>
      <c r="AE98" s="422" t="e">
        <f aca="false" t="array" ref="AE98:AE98">IF(AND($R98=2,ACOMPANHAMENTO="BM"),ROUND(AE99,4),AE100/$S98)</f>
        <v>#DIV/0!</v>
      </c>
      <c r="AF98" s="422" t="e">
        <f aca="false" t="array" ref="AF98:AF98">IF(AND($R98=2,ACOMPANHAMENTO="BM"),ROUND(AF99,4),AF100/$S98)</f>
        <v>#DIV/0!</v>
      </c>
      <c r="AG98" s="422" t="e">
        <f aca="false" t="array" ref="AG98:AG98">IF(AND($R98=2,ACOMPANHAMENTO="BM"),ROUND(AG99,4),AG100/$S98)</f>
        <v>#DIV/0!</v>
      </c>
      <c r="AH98" s="422" t="e">
        <f aca="false" t="array" ref="AH98:AH98">IF(AND($R98=2,ACOMPANHAMENTO="BM"),ROUND(AH99,4),AH100/$S98)</f>
        <v>#DIV/0!</v>
      </c>
      <c r="AI98" s="422" t="e">
        <f aca="false" t="array" ref="AI98:AI98">IF(AND($R98=2,ACOMPANHAMENTO="BM"),ROUND(AI99,4),AI100/$S98)</f>
        <v>#DIV/0!</v>
      </c>
      <c r="AJ98" s="422" t="e">
        <f aca="false" t="array" ref="AJ98:AJ98">IF(AND($R98=2,ACOMPANHAMENTO="BM"),ROUND(AJ99,4),AJ100/$S98)</f>
        <v>#DIV/0!</v>
      </c>
      <c r="AK98" s="422" t="e">
        <f aca="false" t="array" ref="AK98:AK98">IF(AND($R98=2,ACOMPANHAMENTO="BM"),ROUND(AK99,4),AK100/$S98)</f>
        <v>#DIV/0!</v>
      </c>
      <c r="AL98" s="422" t="e">
        <f aca="false" t="array" ref="AL98:AL98">IF(AND($R98=2,ACOMPANHAMENTO="BM"),ROUND(AL99,4),AL100/$S98)</f>
        <v>#DIV/0!</v>
      </c>
      <c r="AM98" s="422" t="e">
        <f aca="false" t="array" ref="AM98:AM98">IF(AND($R98=2,ACOMPANHAMENTO="BM"),ROUND(AM99,4),AM100/$S98)</f>
        <v>#DIV/0!</v>
      </c>
      <c r="AN98" s="422" t="e">
        <f aca="false" t="array" ref="AN98:AN98">IF(AND($R98=2,ACOMPANHAMENTO="BM"),ROUND(AN99,4),AN100/$S98)</f>
        <v>#DIV/0!</v>
      </c>
      <c r="AO98" s="422" t="e">
        <f aca="false" t="array" ref="AO98:AO98">IF(AND($R98=2,ACOMPANHAMENTO="BM"),ROUND(AO99,4),AO100/$S98)</f>
        <v>#DIV/0!</v>
      </c>
      <c r="AP98" s="422" t="e">
        <f aca="false" t="array" ref="AP98:AP98">IF(AND($R98=2,ACOMPANHAMENTO="BM"),ROUND(AP99,4),AP100/$S98)</f>
        <v>#DIV/0!</v>
      </c>
      <c r="AQ98" s="422" t="e">
        <f aca="false" t="array" ref="AQ98:AQ98">IF(AND($R98=2,ACOMPANHAMENTO="BM"),ROUND(AQ99,4),AQ100/$S98)</f>
        <v>#DIV/0!</v>
      </c>
      <c r="AR98" s="422" t="e">
        <f aca="false" t="array" ref="AR98:AR98">IF(AND($R98=2,ACOMPANHAMENTO="BM"),ROUND(AR99,4),AR100/$S98)</f>
        <v>#DIV/0!</v>
      </c>
      <c r="AS98" s="422" t="e">
        <f aca="false" t="array" ref="AS98:AS98">IF(AND($R98=2,ACOMPANHAMENTO="BM"),ROUND(AS99,4),AS100/$S98)</f>
        <v>#DIV/0!</v>
      </c>
      <c r="AT98" s="422" t="e">
        <f aca="false" t="array" ref="AT98:AT98">IF(AND($R98=2,ACOMPANHAMENTO="BM"),ROUND(AT99,4),AT100/$S98)</f>
        <v>#DIV/0!</v>
      </c>
      <c r="AU98" s="422" t="e">
        <f aca="false" t="array" ref="AU98:AU98">IF(AND($R98=2,ACOMPANHAMENTO="BM"),ROUND(AU99,4),AU100/$S98)</f>
        <v>#DIV/0!</v>
      </c>
      <c r="AV98" s="422" t="e">
        <f aca="false" t="array" ref="AV98:AV98">IF(AND($R98=2,ACOMPANHAMENTO="BM"),ROUND(AV99,4),AV100/$S98)</f>
        <v>#DIV/0!</v>
      </c>
      <c r="AW98" s="422" t="e">
        <f aca="false" t="array" ref="AW98:AW98">IF(AND($R98=2,ACOMPANHAMENTO="BM"),ROUND(AW99,4),AW100/$S98)</f>
        <v>#DIV/0!</v>
      </c>
      <c r="AX98" s="422" t="e">
        <f aca="false" t="array" ref="AX98:AX98">IF(AND($R98=2,ACOMPANHAMENTO="BM"),ROUND(AX99,4),AX100/$S98)</f>
        <v>#DIV/0!</v>
      </c>
      <c r="AY98" s="422" t="e">
        <f aca="false" t="array" ref="AY98:AY98">IF(AND($R98=2,ACOMPANHAMENTO="BM"),ROUND(AY99,4),AY100/$S98)</f>
        <v>#DIV/0!</v>
      </c>
      <c r="AZ98" s="422" t="e">
        <f aca="false" t="array" ref="AZ98:AZ98">IF(AND($R98=2,ACOMPANHAMENTO="BM"),ROUND(AZ99,4),AZ100/$S98)</f>
        <v>#DIV/0!</v>
      </c>
      <c r="BA98" s="422" t="e">
        <f aca="false" t="array" ref="BA98:BA98">IF(AND($R98=2,ACOMPANHAMENTO="BM"),ROUND(BA99,4),BA100/$S98)</f>
        <v>#DIV/0!</v>
      </c>
      <c r="BB98" s="422" t="e">
        <f aca="false" t="array" ref="BB98:BB98">IF(AND($R98=2,ACOMPANHAMENTO="BM"),ROUND(BB99,4),BB100/$S98)</f>
        <v>#DIV/0!</v>
      </c>
      <c r="BC98" s="422" t="e">
        <f aca="false" t="array" ref="BC98:BC98">IF(AND($R98=2,ACOMPANHAMENTO="BM"),ROUND(BC99,4),BC100/$S98)</f>
        <v>#DIV/0!</v>
      </c>
      <c r="BD98" s="422" t="e">
        <f aca="false" t="array" ref="BD98:BD98">IF(AND($R98=2,ACOMPANHAMENTO="BM"),ROUND(BD99,4),BD100/$S98)</f>
        <v>#DIV/0!</v>
      </c>
      <c r="BE98" s="430"/>
    </row>
    <row r="99" customFormat="false" ht="12.75" hidden="true" customHeight="true" outlineLevel="0" collapsed="false">
      <c r="E99" s="431"/>
      <c r="F99" s="419" t="n">
        <f aca="true">IF(ISERROR(F98),IF(1+COUNTIF($M$13:OFFSET(M98,-1,0),1)&lt;=MAX(QCI!$D$13:$D$15),1+COUNTIF($M$13:OFFSET(M98,-1,0),1),-1),0)</f>
        <v>0</v>
      </c>
      <c r="G99" s="419" t="str">
        <f aca="true" t="array" ref="G99:G99">IF(ACOMPANHAMENTO="BM",OFFSET(G99,-1,0),"")</f>
        <v/>
      </c>
      <c r="H99" s="432" t="str">
        <f aca="false" t="array" ref="H99:H99">IF(OR(S98=0,S98=""),"vazia",IF(AND(OR(ACOMPANHAMENTO="PLE",$R98&lt;&gt;2),$F99=0),"calculada","--&gt;"))</f>
        <v>vazia</v>
      </c>
      <c r="I99" s="433"/>
      <c r="J99" s="434" t="str">
        <f aca="false">IF(AND(H98&lt;&gt;0,ISNUMBER(H98)),"PREENCHA ESTA LINHA --&gt;","")</f>
        <v/>
      </c>
      <c r="K99" s="434"/>
      <c r="L99" s="434"/>
      <c r="M99" s="435"/>
      <c r="N99" s="435"/>
      <c r="O99" s="435"/>
      <c r="P99" s="435"/>
      <c r="Q99" s="435"/>
      <c r="R99" s="435"/>
      <c r="S99" s="436"/>
      <c r="T99" s="437"/>
      <c r="U99" s="431"/>
      <c r="V99" s="431"/>
      <c r="W99" s="431"/>
      <c r="X99" s="431"/>
      <c r="Y99" s="431"/>
      <c r="Z99" s="431"/>
      <c r="AA99" s="431"/>
      <c r="AB99" s="431"/>
      <c r="AC99" s="431"/>
      <c r="AD99" s="431"/>
      <c r="AE99" s="431"/>
      <c r="AF99" s="431"/>
      <c r="AG99" s="431"/>
      <c r="AH99" s="431"/>
      <c r="AI99" s="431"/>
      <c r="AJ99" s="431"/>
      <c r="AK99" s="431"/>
      <c r="AL99" s="431"/>
      <c r="AM99" s="431"/>
      <c r="AN99" s="431"/>
      <c r="AO99" s="431"/>
      <c r="AP99" s="431"/>
      <c r="AQ99" s="431"/>
      <c r="AR99" s="431"/>
      <c r="AS99" s="431"/>
      <c r="AT99" s="431"/>
      <c r="AU99" s="431"/>
      <c r="AV99" s="431"/>
      <c r="AW99" s="431"/>
      <c r="AX99" s="431"/>
      <c r="AY99" s="431"/>
      <c r="AZ99" s="431"/>
      <c r="BA99" s="431"/>
      <c r="BB99" s="431"/>
      <c r="BC99" s="431"/>
      <c r="BD99" s="431"/>
      <c r="BE99" s="430"/>
    </row>
    <row r="100" customFormat="false" ht="12.75" hidden="true" customHeight="true" outlineLevel="0" collapsed="false">
      <c r="D100" s="438"/>
      <c r="E100" s="439" t="n">
        <f aca="false" t="array" ref="E100:E100">IF($R98=2,
         IF(AND(ACOMPANHAMENTO="PLE",ISNUMBER($F98)),
                SUMIF((OFFSET(CÁLCULO!$BS$15:$CS$15,$F98,0,OFFSET(ORÇAMENTO!$D$15,CRONO!$F98,0))),CRONO!E$12,OFFSET(CÁLCULO!$AR$15:$BR$15,$F98,0,OFFSET(ORÇAMENTO!$D$15,CRONO!$F98,0)))
                +IF(AND($F100&lt;&gt;"",$F100&lt;&gt;0),
                        SUMIF(CÁLCULO!$BS$15:$CS$205,CRONO!E$12,CÁLCULO!$AR$15:$BR$205)/(ORÇAMENTO!$X$15-_xlfn.single(CÁLCULO.TotalAdmLocal))*CRONO!$F100,
                        0),
                 E99*$S98),
          SUMIF(OFFSET($S100,1,0,$R98-2),($M98+1)&amp;"$",OFFSET(E100,1,0,$R98-2)))</f>
        <v>0</v>
      </c>
      <c r="F100" s="419" t="str">
        <f aca="true">IF(OR($R98&lt;&gt;2,AUTOEVENTO&lt;&gt;"manual",$F99&gt;0),"",
        IF(Import.TipoArredondamento="Tradicional",
              SUMIF(OFFSET(CÁLCULO!$M$15,CRONO!$F98,0,OFFSET(ORÇAMENTO!$D$15,CRONO!$F98,0)),1,OFFSET(ORÇAMENTO!$X$15,CRONO!$F98,0,OFFSET(ORÇAMENTO!$D$15,CRONO!$F98,0))),
              0))</f>
        <v/>
      </c>
      <c r="H100" s="440"/>
      <c r="S100" s="441" t="str">
        <f aca="false">M98&amp;"$"</f>
        <v>2$</v>
      </c>
      <c r="T100" s="442"/>
      <c r="U100" s="439" t="n">
        <f aca="false" t="array" ref="U100:U100">IF($R98=2,
         IF(AND(ACOMPANHAMENTO="PLE",ISNUMBER($F98)),
                SUMIF((OFFSET(CÁLCULO!$BS$15:$CS$15,$F98,0,OFFSET(ORÇAMENTO!$D$15,CRONO!$F98,0))),CRONO!U$12,OFFSET(CÁLCULO!$AR$15:$BR$15,$F98,0,OFFSET(ORÇAMENTO!$D$15,CRONO!$F98,0)))
                +IF(AND($F100&lt;&gt;"",$F100&lt;&gt;0),
                        SUMIF(CÁLCULO!$BS$15:$CS$205,CRONO!U$12,CÁLCULO!$AR$15:$BR$205)/(ORÇAMENTO!$X$15-_xlfn.single(CÁLCULO.TotalAdmLocal))*CRONO!$F100,
                        0),
                 U99*$S98),
          SUMIF(OFFSET($S100,1,0,$R98-2),($M98+1)&amp;"$",OFFSET(U100,1,0,$R98-2)))</f>
        <v>0</v>
      </c>
      <c r="V100" s="439" t="n">
        <f aca="false" t="array" ref="V100:V100">IF($R98=2,
         IF(AND(ACOMPANHAMENTO="PLE",ISNUMBER($F98)),
                SUMIF((OFFSET(CÁLCULO!$BS$15:$CS$15,$F98,0,OFFSET(ORÇAMENTO!$D$15,CRONO!$F98,0))),CRONO!V$12,OFFSET(CÁLCULO!$AR$15:$BR$15,$F98,0,OFFSET(ORÇAMENTO!$D$15,CRONO!$F98,0)))
                +IF(AND($F100&lt;&gt;"",$F100&lt;&gt;0),
                        SUMIF(CÁLCULO!$BS$15:$CS$205,CRONO!V$12,CÁLCULO!$AR$15:$BR$205)/(ORÇAMENTO!$X$15-_xlfn.single(CÁLCULO.TotalAdmLocal))*CRONO!$F100,
                        0),
                 V99*$S98),
          SUMIF(OFFSET($S100,1,0,$R98-2),($M98+1)&amp;"$",OFFSET(V100,1,0,$R98-2)))</f>
        <v>0</v>
      </c>
      <c r="W100" s="439" t="n">
        <f aca="false" t="array" ref="W100:W100">IF($R98=2,
         IF(AND(ACOMPANHAMENTO="PLE",ISNUMBER($F98)),
                SUMIF((OFFSET(CÁLCULO!$BS$15:$CS$15,$F98,0,OFFSET(ORÇAMENTO!$D$15,CRONO!$F98,0))),CRONO!W$12,OFFSET(CÁLCULO!$AR$15:$BR$15,$F98,0,OFFSET(ORÇAMENTO!$D$15,CRONO!$F98,0)))
                +IF(AND($F100&lt;&gt;"",$F100&lt;&gt;0),
                        SUMIF(CÁLCULO!$BS$15:$CS$205,CRONO!W$12,CÁLCULO!$AR$15:$BR$205)/(ORÇAMENTO!$X$15-_xlfn.single(CÁLCULO.TotalAdmLocal))*CRONO!$F100,
                        0),
                 W99*$S98),
          SUMIF(OFFSET($S100,1,0,$R98-2),($M98+1)&amp;"$",OFFSET(W100,1,0,$R98-2)))</f>
        <v>0</v>
      </c>
      <c r="X100" s="439" t="n">
        <f aca="false" t="array" ref="X100:X100">IF($R98=2,
         IF(AND(ACOMPANHAMENTO="PLE",ISNUMBER($F98)),
                SUMIF((OFFSET(CÁLCULO!$BS$15:$CS$15,$F98,0,OFFSET(ORÇAMENTO!$D$15,CRONO!$F98,0))),CRONO!X$12,OFFSET(CÁLCULO!$AR$15:$BR$15,$F98,0,OFFSET(ORÇAMENTO!$D$15,CRONO!$F98,0)))
                +IF(AND($F100&lt;&gt;"",$F100&lt;&gt;0),
                        SUMIF(CÁLCULO!$BS$15:$CS$205,CRONO!X$12,CÁLCULO!$AR$15:$BR$205)/(ORÇAMENTO!$X$15-_xlfn.single(CÁLCULO.TotalAdmLocal))*CRONO!$F100,
                        0),
                 X99*$S98),
          SUMIF(OFFSET($S100,1,0,$R98-2),($M98+1)&amp;"$",OFFSET(X100,1,0,$R98-2)))</f>
        <v>0</v>
      </c>
      <c r="Y100" s="439" t="n">
        <f aca="false" t="array" ref="Y100:Y100">IF($R98=2,
         IF(AND(ACOMPANHAMENTO="PLE",ISNUMBER($F98)),
                SUMIF((OFFSET(CÁLCULO!$BS$15:$CS$15,$F98,0,OFFSET(ORÇAMENTO!$D$15,CRONO!$F98,0))),CRONO!Y$12,OFFSET(CÁLCULO!$AR$15:$BR$15,$F98,0,OFFSET(ORÇAMENTO!$D$15,CRONO!$F98,0)))
                +IF(AND($F100&lt;&gt;"",$F100&lt;&gt;0),
                        SUMIF(CÁLCULO!$BS$15:$CS$205,CRONO!Y$12,CÁLCULO!$AR$15:$BR$205)/(ORÇAMENTO!$X$15-_xlfn.single(CÁLCULO.TotalAdmLocal))*CRONO!$F100,
                        0),
                 Y99*$S98),
          SUMIF(OFFSET($S100,1,0,$R98-2),($M98+1)&amp;"$",OFFSET(Y100,1,0,$R98-2)))</f>
        <v>0</v>
      </c>
      <c r="Z100" s="439" t="n">
        <f aca="false" t="array" ref="Z100:Z100">IF($R98=2,
         IF(AND(ACOMPANHAMENTO="PLE",ISNUMBER($F98)),
                SUMIF((OFFSET(CÁLCULO!$BS$15:$CS$15,$F98,0,OFFSET(ORÇAMENTO!$D$15,CRONO!$F98,0))),CRONO!Z$12,OFFSET(CÁLCULO!$AR$15:$BR$15,$F98,0,OFFSET(ORÇAMENTO!$D$15,CRONO!$F98,0)))
                +IF(AND($F100&lt;&gt;"",$F100&lt;&gt;0),
                        SUMIF(CÁLCULO!$BS$15:$CS$205,CRONO!Z$12,CÁLCULO!$AR$15:$BR$205)/(ORÇAMENTO!$X$15-_xlfn.single(CÁLCULO.TotalAdmLocal))*CRONO!$F100,
                        0),
                 Z99*$S98),
          SUMIF(OFFSET($S100,1,0,$R98-2),($M98+1)&amp;"$",OFFSET(Z100,1,0,$R98-2)))</f>
        <v>0</v>
      </c>
      <c r="AA100" s="439" t="n">
        <f aca="false" t="array" ref="AA100:AA100">IF($R98=2,
         IF(AND(ACOMPANHAMENTO="PLE",ISNUMBER($F98)),
                SUMIF((OFFSET(CÁLCULO!$BS$15:$CS$15,$F98,0,OFFSET(ORÇAMENTO!$D$15,CRONO!$F98,0))),CRONO!AA$12,OFFSET(CÁLCULO!$AR$15:$BR$15,$F98,0,OFFSET(ORÇAMENTO!$D$15,CRONO!$F98,0)))
                +IF(AND($F100&lt;&gt;"",$F100&lt;&gt;0),
                        SUMIF(CÁLCULO!$BS$15:$CS$205,CRONO!AA$12,CÁLCULO!$AR$15:$BR$205)/(ORÇAMENTO!$X$15-_xlfn.single(CÁLCULO.TotalAdmLocal))*CRONO!$F100,
                        0),
                 AA99*$S98),
          SUMIF(OFFSET($S100,1,0,$R98-2),($M98+1)&amp;"$",OFFSET(AA100,1,0,$R98-2)))</f>
        <v>0</v>
      </c>
      <c r="AB100" s="439" t="n">
        <f aca="false" t="array" ref="AB100:AB100">IF($R98=2,
         IF(AND(ACOMPANHAMENTO="PLE",ISNUMBER($F98)),
                SUMIF((OFFSET(CÁLCULO!$BS$15:$CS$15,$F98,0,OFFSET(ORÇAMENTO!$D$15,CRONO!$F98,0))),CRONO!AB$12,OFFSET(CÁLCULO!$AR$15:$BR$15,$F98,0,OFFSET(ORÇAMENTO!$D$15,CRONO!$F98,0)))
                +IF(AND($F100&lt;&gt;"",$F100&lt;&gt;0),
                        SUMIF(CÁLCULO!$BS$15:$CS$205,CRONO!AB$12,CÁLCULO!$AR$15:$BR$205)/(ORÇAMENTO!$X$15-_xlfn.single(CÁLCULO.TotalAdmLocal))*CRONO!$F100,
                        0),
                 AB99*$S98),
          SUMIF(OFFSET($S100,1,0,$R98-2),($M98+1)&amp;"$",OFFSET(AB100,1,0,$R98-2)))</f>
        <v>0</v>
      </c>
      <c r="AC100" s="439" t="n">
        <f aca="false" t="array" ref="AC100:AC100">IF($R98=2,
         IF(AND(ACOMPANHAMENTO="PLE",ISNUMBER($F98)),
                SUMIF((OFFSET(CÁLCULO!$BS$15:$CS$15,$F98,0,OFFSET(ORÇAMENTO!$D$15,CRONO!$F98,0))),CRONO!AC$12,OFFSET(CÁLCULO!$AR$15:$BR$15,$F98,0,OFFSET(ORÇAMENTO!$D$15,CRONO!$F98,0)))
                +IF(AND($F100&lt;&gt;"",$F100&lt;&gt;0),
                        SUMIF(CÁLCULO!$BS$15:$CS$205,CRONO!AC$12,CÁLCULO!$AR$15:$BR$205)/(ORÇAMENTO!$X$15-_xlfn.single(CÁLCULO.TotalAdmLocal))*CRONO!$F100,
                        0),
                 AC99*$S98),
          SUMIF(OFFSET($S100,1,0,$R98-2),($M98+1)&amp;"$",OFFSET(AC100,1,0,$R98-2)))</f>
        <v>0</v>
      </c>
      <c r="AD100" s="439" t="n">
        <f aca="false" t="array" ref="AD100:AD100">IF($R98=2,
         IF(AND(ACOMPANHAMENTO="PLE",ISNUMBER($F98)),
                SUMIF((OFFSET(CÁLCULO!$BS$15:$CS$15,$F98,0,OFFSET(ORÇAMENTO!$D$15,CRONO!$F98,0))),CRONO!AD$12,OFFSET(CÁLCULO!$AR$15:$BR$15,$F98,0,OFFSET(ORÇAMENTO!$D$15,CRONO!$F98,0)))
                +IF(AND($F100&lt;&gt;"",$F100&lt;&gt;0),
                        SUMIF(CÁLCULO!$BS$15:$CS$205,CRONO!AD$12,CÁLCULO!$AR$15:$BR$205)/(ORÇAMENTO!$X$15-_xlfn.single(CÁLCULO.TotalAdmLocal))*CRONO!$F100,
                        0),
                 AD99*$S98),
          SUMIF(OFFSET($S100,1,0,$R98-2),($M98+1)&amp;"$",OFFSET(AD100,1,0,$R98-2)))</f>
        <v>0</v>
      </c>
      <c r="AE100" s="439" t="n">
        <f aca="false" t="array" ref="AE100:AE100">IF($R98=2,
         IF(AND(ACOMPANHAMENTO="PLE",ISNUMBER($F98)),
                SUMIF((OFFSET(CÁLCULO!$BS$15:$CS$15,$F98,0,OFFSET(ORÇAMENTO!$D$15,CRONO!$F98,0))),CRONO!AE$12,OFFSET(CÁLCULO!$AR$15:$BR$15,$F98,0,OFFSET(ORÇAMENTO!$D$15,CRONO!$F98,0)))
                +IF(AND($F100&lt;&gt;"",$F100&lt;&gt;0),
                        SUMIF(CÁLCULO!$BS$15:$CS$205,CRONO!AE$12,CÁLCULO!$AR$15:$BR$205)/(ORÇAMENTO!$X$15-_xlfn.single(CÁLCULO.TotalAdmLocal))*CRONO!$F100,
                        0),
                 AE99*$S98),
          SUMIF(OFFSET($S100,1,0,$R98-2),($M98+1)&amp;"$",OFFSET(AE100,1,0,$R98-2)))</f>
        <v>0</v>
      </c>
      <c r="AF100" s="439" t="n">
        <f aca="false" t="array" ref="AF100:AF100">IF($R98=2,
         IF(AND(ACOMPANHAMENTO="PLE",ISNUMBER($F98)),
                SUMIF((OFFSET(CÁLCULO!$BS$15:$CS$15,$F98,0,OFFSET(ORÇAMENTO!$D$15,CRONO!$F98,0))),CRONO!AF$12,OFFSET(CÁLCULO!$AR$15:$BR$15,$F98,0,OFFSET(ORÇAMENTO!$D$15,CRONO!$F98,0)))
                +IF(AND($F100&lt;&gt;"",$F100&lt;&gt;0),
                        SUMIF(CÁLCULO!$BS$15:$CS$205,CRONO!AF$12,CÁLCULO!$AR$15:$BR$205)/(ORÇAMENTO!$X$15-_xlfn.single(CÁLCULO.TotalAdmLocal))*CRONO!$F100,
                        0),
                 AF99*$S98),
          SUMIF(OFFSET($S100,1,0,$R98-2),($M98+1)&amp;"$",OFFSET(AF100,1,0,$R98-2)))</f>
        <v>0</v>
      </c>
      <c r="AG100" s="439" t="n">
        <f aca="false" t="array" ref="AG100:AG100">IF($R98=2,
         IF(AND(ACOMPANHAMENTO="PLE",ISNUMBER($F98)),
                SUMIF((OFFSET(CÁLCULO!$BS$15:$CS$15,$F98,0,OFFSET(ORÇAMENTO!$D$15,CRONO!$F98,0))),CRONO!AG$12,OFFSET(CÁLCULO!$AR$15:$BR$15,$F98,0,OFFSET(ORÇAMENTO!$D$15,CRONO!$F98,0)))
                +IF(AND($F100&lt;&gt;"",$F100&lt;&gt;0),
                        SUMIF(CÁLCULO!$BS$15:$CS$205,CRONO!AG$12,CÁLCULO!$AR$15:$BR$205)/(ORÇAMENTO!$X$15-_xlfn.single(CÁLCULO.TotalAdmLocal))*CRONO!$F100,
                        0),
                 AG99*$S98),
          SUMIF(OFFSET($S100,1,0,$R98-2),($M98+1)&amp;"$",OFFSET(AG100,1,0,$R98-2)))</f>
        <v>0</v>
      </c>
      <c r="AH100" s="439" t="n">
        <f aca="false" t="array" ref="AH100:AH100">IF($R98=2,
         IF(AND(ACOMPANHAMENTO="PLE",ISNUMBER($F98)),
                SUMIF((OFFSET(CÁLCULO!$BS$15:$CS$15,$F98,0,OFFSET(ORÇAMENTO!$D$15,CRONO!$F98,0))),CRONO!AH$12,OFFSET(CÁLCULO!$AR$15:$BR$15,$F98,0,OFFSET(ORÇAMENTO!$D$15,CRONO!$F98,0)))
                +IF(AND($F100&lt;&gt;"",$F100&lt;&gt;0),
                        SUMIF(CÁLCULO!$BS$15:$CS$205,CRONO!AH$12,CÁLCULO!$AR$15:$BR$205)/(ORÇAMENTO!$X$15-_xlfn.single(CÁLCULO.TotalAdmLocal))*CRONO!$F100,
                        0),
                 AH99*$S98),
          SUMIF(OFFSET($S100,1,0,$R98-2),($M98+1)&amp;"$",OFFSET(AH100,1,0,$R98-2)))</f>
        <v>0</v>
      </c>
      <c r="AI100" s="439" t="n">
        <f aca="false" t="array" ref="AI100:AI100">IF($R98=2,
         IF(AND(ACOMPANHAMENTO="PLE",ISNUMBER($F98)),
                SUMIF((OFFSET(CÁLCULO!$BS$15:$CS$15,$F98,0,OFFSET(ORÇAMENTO!$D$15,CRONO!$F98,0))),CRONO!AI$12,OFFSET(CÁLCULO!$AR$15:$BR$15,$F98,0,OFFSET(ORÇAMENTO!$D$15,CRONO!$F98,0)))
                +IF(AND($F100&lt;&gt;"",$F100&lt;&gt;0),
                        SUMIF(CÁLCULO!$BS$15:$CS$205,CRONO!AI$12,CÁLCULO!$AR$15:$BR$205)/(ORÇAMENTO!$X$15-_xlfn.single(CÁLCULO.TotalAdmLocal))*CRONO!$F100,
                        0),
                 AI99*$S98),
          SUMIF(OFFSET($S100,1,0,$R98-2),($M98+1)&amp;"$",OFFSET(AI100,1,0,$R98-2)))</f>
        <v>0</v>
      </c>
      <c r="AJ100" s="439" t="n">
        <f aca="false" t="array" ref="AJ100:AJ100">IF($R98=2,
         IF(AND(ACOMPANHAMENTO="PLE",ISNUMBER($F98)),
                SUMIF((OFFSET(CÁLCULO!$BS$15:$CS$15,$F98,0,OFFSET(ORÇAMENTO!$D$15,CRONO!$F98,0))),CRONO!AJ$12,OFFSET(CÁLCULO!$AR$15:$BR$15,$F98,0,OFFSET(ORÇAMENTO!$D$15,CRONO!$F98,0)))
                +IF(AND($F100&lt;&gt;"",$F100&lt;&gt;0),
                        SUMIF(CÁLCULO!$BS$15:$CS$205,CRONO!AJ$12,CÁLCULO!$AR$15:$BR$205)/(ORÇAMENTO!$X$15-_xlfn.single(CÁLCULO.TotalAdmLocal))*CRONO!$F100,
                        0),
                 AJ99*$S98),
          SUMIF(OFFSET($S100,1,0,$R98-2),($M98+1)&amp;"$",OFFSET(AJ100,1,0,$R98-2)))</f>
        <v>0</v>
      </c>
      <c r="AK100" s="439" t="n">
        <f aca="false" t="array" ref="AK100:AK100">IF($R98=2,
         IF(AND(ACOMPANHAMENTO="PLE",ISNUMBER($F98)),
                SUMIF((OFFSET(CÁLCULO!$BS$15:$CS$15,$F98,0,OFFSET(ORÇAMENTO!$D$15,CRONO!$F98,0))),CRONO!AK$12,OFFSET(CÁLCULO!$AR$15:$BR$15,$F98,0,OFFSET(ORÇAMENTO!$D$15,CRONO!$F98,0)))
                +IF(AND($F100&lt;&gt;"",$F100&lt;&gt;0),
                        SUMIF(CÁLCULO!$BS$15:$CS$205,CRONO!AK$12,CÁLCULO!$AR$15:$BR$205)/(ORÇAMENTO!$X$15-_xlfn.single(CÁLCULO.TotalAdmLocal))*CRONO!$F100,
                        0),
                 AK99*$S98),
          SUMIF(OFFSET($S100,1,0,$R98-2),($M98+1)&amp;"$",OFFSET(AK100,1,0,$R98-2)))</f>
        <v>0</v>
      </c>
      <c r="AL100" s="439" t="n">
        <f aca="false" t="array" ref="AL100:AL100">IF($R98=2,
         IF(AND(ACOMPANHAMENTO="PLE",ISNUMBER($F98)),
                SUMIF((OFFSET(CÁLCULO!$BS$15:$CS$15,$F98,0,OFFSET(ORÇAMENTO!$D$15,CRONO!$F98,0))),CRONO!AL$12,OFFSET(CÁLCULO!$AR$15:$BR$15,$F98,0,OFFSET(ORÇAMENTO!$D$15,CRONO!$F98,0)))
                +IF(AND($F100&lt;&gt;"",$F100&lt;&gt;0),
                        SUMIF(CÁLCULO!$BS$15:$CS$205,CRONO!AL$12,CÁLCULO!$AR$15:$BR$205)/(ORÇAMENTO!$X$15-_xlfn.single(CÁLCULO.TotalAdmLocal))*CRONO!$F100,
                        0),
                 AL99*$S98),
          SUMIF(OFFSET($S100,1,0,$R98-2),($M98+1)&amp;"$",OFFSET(AL100,1,0,$R98-2)))</f>
        <v>0</v>
      </c>
      <c r="AM100" s="439" t="n">
        <f aca="false" t="array" ref="AM100:AM100">IF($R98=2,
         IF(AND(ACOMPANHAMENTO="PLE",ISNUMBER($F98)),
                SUMIF((OFFSET(CÁLCULO!$BS$15:$CS$15,$F98,0,OFFSET(ORÇAMENTO!$D$15,CRONO!$F98,0))),CRONO!AM$12,OFFSET(CÁLCULO!$AR$15:$BR$15,$F98,0,OFFSET(ORÇAMENTO!$D$15,CRONO!$F98,0)))
                +IF(AND($F100&lt;&gt;"",$F100&lt;&gt;0),
                        SUMIF(CÁLCULO!$BS$15:$CS$205,CRONO!AM$12,CÁLCULO!$AR$15:$BR$205)/(ORÇAMENTO!$X$15-_xlfn.single(CÁLCULO.TotalAdmLocal))*CRONO!$F100,
                        0),
                 AM99*$S98),
          SUMIF(OFFSET($S100,1,0,$R98-2),($M98+1)&amp;"$",OFFSET(AM100,1,0,$R98-2)))</f>
        <v>0</v>
      </c>
      <c r="AN100" s="439" t="n">
        <f aca="false" t="array" ref="AN100:AN100">IF($R98=2,
         IF(AND(ACOMPANHAMENTO="PLE",ISNUMBER($F98)),
                SUMIF((OFFSET(CÁLCULO!$BS$15:$CS$15,$F98,0,OFFSET(ORÇAMENTO!$D$15,CRONO!$F98,0))),CRONO!AN$12,OFFSET(CÁLCULO!$AR$15:$BR$15,$F98,0,OFFSET(ORÇAMENTO!$D$15,CRONO!$F98,0)))
                +IF(AND($F100&lt;&gt;"",$F100&lt;&gt;0),
                        SUMIF(CÁLCULO!$BS$15:$CS$205,CRONO!AN$12,CÁLCULO!$AR$15:$BR$205)/(ORÇAMENTO!$X$15-_xlfn.single(CÁLCULO.TotalAdmLocal))*CRONO!$F100,
                        0),
                 AN99*$S98),
          SUMIF(OFFSET($S100,1,0,$R98-2),($M98+1)&amp;"$",OFFSET(AN100,1,0,$R98-2)))</f>
        <v>0</v>
      </c>
      <c r="AO100" s="439" t="n">
        <f aca="false" t="array" ref="AO100:AO100">IF($R98=2,
         IF(AND(ACOMPANHAMENTO="PLE",ISNUMBER($F98)),
                SUMIF((OFFSET(CÁLCULO!$BS$15:$CS$15,$F98,0,OFFSET(ORÇAMENTO!$D$15,CRONO!$F98,0))),CRONO!AO$12,OFFSET(CÁLCULO!$AR$15:$BR$15,$F98,0,OFFSET(ORÇAMENTO!$D$15,CRONO!$F98,0)))
                +IF(AND($F100&lt;&gt;"",$F100&lt;&gt;0),
                        SUMIF(CÁLCULO!$BS$15:$CS$205,CRONO!AO$12,CÁLCULO!$AR$15:$BR$205)/(ORÇAMENTO!$X$15-_xlfn.single(CÁLCULO.TotalAdmLocal))*CRONO!$F100,
                        0),
                 AO99*$S98),
          SUMIF(OFFSET($S100,1,0,$R98-2),($M98+1)&amp;"$",OFFSET(AO100,1,0,$R98-2)))</f>
        <v>0</v>
      </c>
      <c r="AP100" s="439" t="n">
        <f aca="false" t="array" ref="AP100:AP100">IF($R98=2,
         IF(AND(ACOMPANHAMENTO="PLE",ISNUMBER($F98)),
                SUMIF((OFFSET(CÁLCULO!$BS$15:$CS$15,$F98,0,OFFSET(ORÇAMENTO!$D$15,CRONO!$F98,0))),CRONO!AP$12,OFFSET(CÁLCULO!$AR$15:$BR$15,$F98,0,OFFSET(ORÇAMENTO!$D$15,CRONO!$F98,0)))
                +IF(AND($F100&lt;&gt;"",$F100&lt;&gt;0),
                        SUMIF(CÁLCULO!$BS$15:$CS$205,CRONO!AP$12,CÁLCULO!$AR$15:$BR$205)/(ORÇAMENTO!$X$15-_xlfn.single(CÁLCULO.TotalAdmLocal))*CRONO!$F100,
                        0),
                 AP99*$S98),
          SUMIF(OFFSET($S100,1,0,$R98-2),($M98+1)&amp;"$",OFFSET(AP100,1,0,$R98-2)))</f>
        <v>0</v>
      </c>
      <c r="AQ100" s="439" t="n">
        <f aca="false" t="array" ref="AQ100:AQ100">IF($R98=2,
         IF(AND(ACOMPANHAMENTO="PLE",ISNUMBER($F98)),
                SUMIF((OFFSET(CÁLCULO!$BS$15:$CS$15,$F98,0,OFFSET(ORÇAMENTO!$D$15,CRONO!$F98,0))),CRONO!AQ$12,OFFSET(CÁLCULO!$AR$15:$BR$15,$F98,0,OFFSET(ORÇAMENTO!$D$15,CRONO!$F98,0)))
                +IF(AND($F100&lt;&gt;"",$F100&lt;&gt;0),
                        SUMIF(CÁLCULO!$BS$15:$CS$205,CRONO!AQ$12,CÁLCULO!$AR$15:$BR$205)/(ORÇAMENTO!$X$15-_xlfn.single(CÁLCULO.TotalAdmLocal))*CRONO!$F100,
                        0),
                 AQ99*$S98),
          SUMIF(OFFSET($S100,1,0,$R98-2),($M98+1)&amp;"$",OFFSET(AQ100,1,0,$R98-2)))</f>
        <v>0</v>
      </c>
      <c r="AR100" s="439" t="n">
        <f aca="false" t="array" ref="AR100:AR100">IF($R98=2,
         IF(AND(ACOMPANHAMENTO="PLE",ISNUMBER($F98)),
                SUMIF((OFFSET(CÁLCULO!$BS$15:$CS$15,$F98,0,OFFSET(ORÇAMENTO!$D$15,CRONO!$F98,0))),CRONO!AR$12,OFFSET(CÁLCULO!$AR$15:$BR$15,$F98,0,OFFSET(ORÇAMENTO!$D$15,CRONO!$F98,0)))
                +IF(AND($F100&lt;&gt;"",$F100&lt;&gt;0),
                        SUMIF(CÁLCULO!$BS$15:$CS$205,CRONO!AR$12,CÁLCULO!$AR$15:$BR$205)/(ORÇAMENTO!$X$15-_xlfn.single(CÁLCULO.TotalAdmLocal))*CRONO!$F100,
                        0),
                 AR99*$S98),
          SUMIF(OFFSET($S100,1,0,$R98-2),($M98+1)&amp;"$",OFFSET(AR100,1,0,$R98-2)))</f>
        <v>0</v>
      </c>
      <c r="AS100" s="439" t="n">
        <f aca="false" t="array" ref="AS100:AS100">IF($R98=2,
         IF(AND(ACOMPANHAMENTO="PLE",ISNUMBER($F98)),
                SUMIF((OFFSET(CÁLCULO!$BS$15:$CS$15,$F98,0,OFFSET(ORÇAMENTO!$D$15,CRONO!$F98,0))),CRONO!AS$12,OFFSET(CÁLCULO!$AR$15:$BR$15,$F98,0,OFFSET(ORÇAMENTO!$D$15,CRONO!$F98,0)))
                +IF(AND($F100&lt;&gt;"",$F100&lt;&gt;0),
                        SUMIF(CÁLCULO!$BS$15:$CS$205,CRONO!AS$12,CÁLCULO!$AR$15:$BR$205)/(ORÇAMENTO!$X$15-_xlfn.single(CÁLCULO.TotalAdmLocal))*CRONO!$F100,
                        0),
                 AS99*$S98),
          SUMIF(OFFSET($S100,1,0,$R98-2),($M98+1)&amp;"$",OFFSET(AS100,1,0,$R98-2)))</f>
        <v>0</v>
      </c>
      <c r="AT100" s="439" t="n">
        <f aca="false" t="array" ref="AT100:AT100">IF($R98=2,
         IF(AND(ACOMPANHAMENTO="PLE",ISNUMBER($F98)),
                SUMIF((OFFSET(CÁLCULO!$BS$15:$CS$15,$F98,0,OFFSET(ORÇAMENTO!$D$15,CRONO!$F98,0))),CRONO!AT$12,OFFSET(CÁLCULO!$AR$15:$BR$15,$F98,0,OFFSET(ORÇAMENTO!$D$15,CRONO!$F98,0)))
                +IF(AND($F100&lt;&gt;"",$F100&lt;&gt;0),
                        SUMIF(CÁLCULO!$BS$15:$CS$205,CRONO!AT$12,CÁLCULO!$AR$15:$BR$205)/(ORÇAMENTO!$X$15-_xlfn.single(CÁLCULO.TotalAdmLocal))*CRONO!$F100,
                        0),
                 AT99*$S98),
          SUMIF(OFFSET($S100,1,0,$R98-2),($M98+1)&amp;"$",OFFSET(AT100,1,0,$R98-2)))</f>
        <v>0</v>
      </c>
      <c r="AU100" s="439" t="n">
        <f aca="false" t="array" ref="AU100:AU100">IF($R98=2,
         IF(AND(ACOMPANHAMENTO="PLE",ISNUMBER($F98)),
                SUMIF((OFFSET(CÁLCULO!$BS$15:$CS$15,$F98,0,OFFSET(ORÇAMENTO!$D$15,CRONO!$F98,0))),CRONO!AU$12,OFFSET(CÁLCULO!$AR$15:$BR$15,$F98,0,OFFSET(ORÇAMENTO!$D$15,CRONO!$F98,0)))
                +IF(AND($F100&lt;&gt;"",$F100&lt;&gt;0),
                        SUMIF(CÁLCULO!$BS$15:$CS$205,CRONO!AU$12,CÁLCULO!$AR$15:$BR$205)/(ORÇAMENTO!$X$15-_xlfn.single(CÁLCULO.TotalAdmLocal))*CRONO!$F100,
                        0),
                 AU99*$S98),
          SUMIF(OFFSET($S100,1,0,$R98-2),($M98+1)&amp;"$",OFFSET(AU100,1,0,$R98-2)))</f>
        <v>0</v>
      </c>
      <c r="AV100" s="439" t="n">
        <f aca="false" t="array" ref="AV100:AV100">IF($R98=2,
         IF(AND(ACOMPANHAMENTO="PLE",ISNUMBER($F98)),
                SUMIF((OFFSET(CÁLCULO!$BS$15:$CS$15,$F98,0,OFFSET(ORÇAMENTO!$D$15,CRONO!$F98,0))),CRONO!AV$12,OFFSET(CÁLCULO!$AR$15:$BR$15,$F98,0,OFFSET(ORÇAMENTO!$D$15,CRONO!$F98,0)))
                +IF(AND($F100&lt;&gt;"",$F100&lt;&gt;0),
                        SUMIF(CÁLCULO!$BS$15:$CS$205,CRONO!AV$12,CÁLCULO!$AR$15:$BR$205)/(ORÇAMENTO!$X$15-_xlfn.single(CÁLCULO.TotalAdmLocal))*CRONO!$F100,
                        0),
                 AV99*$S98),
          SUMIF(OFFSET($S100,1,0,$R98-2),($M98+1)&amp;"$",OFFSET(AV100,1,0,$R98-2)))</f>
        <v>0</v>
      </c>
      <c r="AW100" s="439" t="n">
        <f aca="false" t="array" ref="AW100:AW100">IF($R98=2,
         IF(AND(ACOMPANHAMENTO="PLE",ISNUMBER($F98)),
                SUMIF((OFFSET(CÁLCULO!$BS$15:$CS$15,$F98,0,OFFSET(ORÇAMENTO!$D$15,CRONO!$F98,0))),CRONO!AW$12,OFFSET(CÁLCULO!$AR$15:$BR$15,$F98,0,OFFSET(ORÇAMENTO!$D$15,CRONO!$F98,0)))
                +IF(AND($F100&lt;&gt;"",$F100&lt;&gt;0),
                        SUMIF(CÁLCULO!$BS$15:$CS$205,CRONO!AW$12,CÁLCULO!$AR$15:$BR$205)/(ORÇAMENTO!$X$15-_xlfn.single(CÁLCULO.TotalAdmLocal))*CRONO!$F100,
                        0),
                 AW99*$S98),
          SUMIF(OFFSET($S100,1,0,$R98-2),($M98+1)&amp;"$",OFFSET(AW100,1,0,$R98-2)))</f>
        <v>0</v>
      </c>
      <c r="AX100" s="439" t="n">
        <f aca="false" t="array" ref="AX100:AX100">IF($R98=2,
         IF(AND(ACOMPANHAMENTO="PLE",ISNUMBER($F98)),
                SUMIF((OFFSET(CÁLCULO!$BS$15:$CS$15,$F98,0,OFFSET(ORÇAMENTO!$D$15,CRONO!$F98,0))),CRONO!AX$12,OFFSET(CÁLCULO!$AR$15:$BR$15,$F98,0,OFFSET(ORÇAMENTO!$D$15,CRONO!$F98,0)))
                +IF(AND($F100&lt;&gt;"",$F100&lt;&gt;0),
                        SUMIF(CÁLCULO!$BS$15:$CS$205,CRONO!AX$12,CÁLCULO!$AR$15:$BR$205)/(ORÇAMENTO!$X$15-_xlfn.single(CÁLCULO.TotalAdmLocal))*CRONO!$F100,
                        0),
                 AX99*$S98),
          SUMIF(OFFSET($S100,1,0,$R98-2),($M98+1)&amp;"$",OFFSET(AX100,1,0,$R98-2)))</f>
        <v>0</v>
      </c>
      <c r="AY100" s="439" t="n">
        <f aca="false" t="array" ref="AY100:AY100">IF($R98=2,
         IF(AND(ACOMPANHAMENTO="PLE",ISNUMBER($F98)),
                SUMIF((OFFSET(CÁLCULO!$BS$15:$CS$15,$F98,0,OFFSET(ORÇAMENTO!$D$15,CRONO!$F98,0))),CRONO!AY$12,OFFSET(CÁLCULO!$AR$15:$BR$15,$F98,0,OFFSET(ORÇAMENTO!$D$15,CRONO!$F98,0)))
                +IF(AND($F100&lt;&gt;"",$F100&lt;&gt;0),
                        SUMIF(CÁLCULO!$BS$15:$CS$205,CRONO!AY$12,CÁLCULO!$AR$15:$BR$205)/(ORÇAMENTO!$X$15-_xlfn.single(CÁLCULO.TotalAdmLocal))*CRONO!$F100,
                        0),
                 AY99*$S98),
          SUMIF(OFFSET($S100,1,0,$R98-2),($M98+1)&amp;"$",OFFSET(AY100,1,0,$R98-2)))</f>
        <v>0</v>
      </c>
      <c r="AZ100" s="439" t="n">
        <f aca="false" t="array" ref="AZ100:AZ100">IF($R98=2,
         IF(AND(ACOMPANHAMENTO="PLE",ISNUMBER($F98)),
                SUMIF((OFFSET(CÁLCULO!$BS$15:$CS$15,$F98,0,OFFSET(ORÇAMENTO!$D$15,CRONO!$F98,0))),CRONO!AZ$12,OFFSET(CÁLCULO!$AR$15:$BR$15,$F98,0,OFFSET(ORÇAMENTO!$D$15,CRONO!$F98,0)))
                +IF(AND($F100&lt;&gt;"",$F100&lt;&gt;0),
                        SUMIF(CÁLCULO!$BS$15:$CS$205,CRONO!AZ$12,CÁLCULO!$AR$15:$BR$205)/(ORÇAMENTO!$X$15-_xlfn.single(CÁLCULO.TotalAdmLocal))*CRONO!$F100,
                        0),
                 AZ99*$S98),
          SUMIF(OFFSET($S100,1,0,$R98-2),($M98+1)&amp;"$",OFFSET(AZ100,1,0,$R98-2)))</f>
        <v>0</v>
      </c>
      <c r="BA100" s="439" t="n">
        <f aca="false" t="array" ref="BA100:BA100">IF($R98=2,
         IF(AND(ACOMPANHAMENTO="PLE",ISNUMBER($F98)),
                SUMIF((OFFSET(CÁLCULO!$BS$15:$CS$15,$F98,0,OFFSET(ORÇAMENTO!$D$15,CRONO!$F98,0))),CRONO!BA$12,OFFSET(CÁLCULO!$AR$15:$BR$15,$F98,0,OFFSET(ORÇAMENTO!$D$15,CRONO!$F98,0)))
                +IF(AND($F100&lt;&gt;"",$F100&lt;&gt;0),
                        SUMIF(CÁLCULO!$BS$15:$CS$205,CRONO!BA$12,CÁLCULO!$AR$15:$BR$205)/(ORÇAMENTO!$X$15-_xlfn.single(CÁLCULO.TotalAdmLocal))*CRONO!$F100,
                        0),
                 BA99*$S98),
          SUMIF(OFFSET($S100,1,0,$R98-2),($M98+1)&amp;"$",OFFSET(BA100,1,0,$R98-2)))</f>
        <v>0</v>
      </c>
      <c r="BB100" s="439" t="n">
        <f aca="false" t="array" ref="BB100:BB100">IF($R98=2,
         IF(AND(ACOMPANHAMENTO="PLE",ISNUMBER($F98)),
                SUMIF((OFFSET(CÁLCULO!$BS$15:$CS$15,$F98,0,OFFSET(ORÇAMENTO!$D$15,CRONO!$F98,0))),CRONO!BB$12,OFFSET(CÁLCULO!$AR$15:$BR$15,$F98,0,OFFSET(ORÇAMENTO!$D$15,CRONO!$F98,0)))
                +IF(AND($F100&lt;&gt;"",$F100&lt;&gt;0),
                        SUMIF(CÁLCULO!$BS$15:$CS$205,CRONO!BB$12,CÁLCULO!$AR$15:$BR$205)/(ORÇAMENTO!$X$15-_xlfn.single(CÁLCULO.TotalAdmLocal))*CRONO!$F100,
                        0),
                 BB99*$S98),
          SUMIF(OFFSET($S100,1,0,$R98-2),($M98+1)&amp;"$",OFFSET(BB100,1,0,$R98-2)))</f>
        <v>0</v>
      </c>
      <c r="BC100" s="439" t="n">
        <f aca="false" t="array" ref="BC100:BC100">IF($R98=2,
         IF(AND(ACOMPANHAMENTO="PLE",ISNUMBER($F98)),
                SUMIF((OFFSET(CÁLCULO!$BS$15:$CS$15,$F98,0,OFFSET(ORÇAMENTO!$D$15,CRONO!$F98,0))),CRONO!BC$12,OFFSET(CÁLCULO!$AR$15:$BR$15,$F98,0,OFFSET(ORÇAMENTO!$D$15,CRONO!$F98,0)))
                +IF(AND($F100&lt;&gt;"",$F100&lt;&gt;0),
                        SUMIF(CÁLCULO!$BS$15:$CS$205,CRONO!BC$12,CÁLCULO!$AR$15:$BR$205)/(ORÇAMENTO!$X$15-_xlfn.single(CÁLCULO.TotalAdmLocal))*CRONO!$F100,
                        0),
                 BC99*$S98),
          SUMIF(OFFSET($S100,1,0,$R98-2),($M98+1)&amp;"$",OFFSET(BC100,1,0,$R98-2)))</f>
        <v>0</v>
      </c>
      <c r="BD100" s="439" t="n">
        <f aca="false" t="array" ref="BD100:BD100">IF($R98=2,
         IF(AND(ACOMPANHAMENTO="PLE",ISNUMBER($F98)),
                SUMIF((OFFSET(CÁLCULO!$BS$15:$CS$15,$F98,0,OFFSET(ORÇAMENTO!$D$15,CRONO!$F98,0))),CRONO!BD$12,OFFSET(CÁLCULO!$AR$15:$BR$15,$F98,0,OFFSET(ORÇAMENTO!$D$15,CRONO!$F98,0)))
                +IF(AND($F100&lt;&gt;"",$F100&lt;&gt;0),
                        SUMIF(CÁLCULO!$BS$15:$CS$205,CRONO!BD$12,CÁLCULO!$AR$15:$BR$205)/(ORÇAMENTO!$X$15-_xlfn.single(CÁLCULO.TotalAdmLocal))*CRONO!$F100,
                        0),
                 BD99*$S98),
          SUMIF(OFFSET($S100,1,0,$R98-2),($M98+1)&amp;"$",OFFSET(BD100,1,0,$R98-2)))</f>
        <v>0</v>
      </c>
      <c r="BE100" s="430"/>
    </row>
    <row r="101" customFormat="false" ht="12.75" hidden="false" customHeight="false" outlineLevel="0" collapsed="false">
      <c r="A101" s="382" t="str">
        <f aca="false">IF($M101&gt;1,_xlfn.CONCAT($I101," ",$J101),"")</f>
        <v>1.29. CERÂMICA</v>
      </c>
      <c r="B101" s="419" t="n">
        <f aca="true">OFFSET(B101,-3,0)+1</f>
        <v>30</v>
      </c>
      <c r="C101" s="419" t="n">
        <f aca="true">IF($R101&lt;&gt;2,0,IF($S101=0,1,IF(F102&gt;0,OFFSET(QCI!$M$13,SUBSTITUTE(F102,".",""),0),OFFSET(ORÇAMENTO!$AA$15,CRONO!$F101,0))/$S101))</f>
        <v>0.110981526562671</v>
      </c>
      <c r="D101" s="419" t="n">
        <f aca="true">IF($R101&lt;&gt;2,0,IF($S101=0,1,IF(F102&gt;0,OFFSET(QCI!$N$13,SUBSTITUTE(F102,".",""),0),OFFSET(ORÇAMENTO!$AB$15,CRONO!$F101,0))/$S101))</f>
        <v>0</v>
      </c>
      <c r="E101" s="422" t="n">
        <f aca="false" t="array" ref="E101:E101">IF(AND($R101=2,ACOMPANHAMENTO="BM"),ROUND(E102,4),E103/$S101)</f>
        <v>0.04</v>
      </c>
      <c r="F101" s="419" t="n">
        <f aca="true">IF(B101&lt;=ORÇAMENTO.MáximoListaCrono,MATCH(B101,ORÇAMENTO.ListaCrono,0),NA())</f>
        <v>89</v>
      </c>
      <c r="G101" s="419" t="str">
        <f aca="false">IF(AND($F102&lt;&gt;-1,$S101&gt;0),"F","")</f>
        <v>F</v>
      </c>
      <c r="H101" s="423" t="str">
        <f aca="false" t="array" ref="H101:H101">IF(OR(S101=0,S101=""),"Linha",IF(AND(OR(ACOMPANHAMENTO="PLE",$R101&lt;&gt;2),$F102=0),"Linha",ROUND(1-SUM(U101:BE101),4)))</f>
        <v>Linha</v>
      </c>
      <c r="I101" s="424" t="str">
        <f aca="true">IF($F102=0,OFFSET(ORÇAMENTO!O$15,$F101,0),IF($F102&lt;&gt;-1,OFFSET(QCI!$D$13,$F102,0),""))</f>
        <v>1.29.</v>
      </c>
      <c r="J101" s="425" t="str">
        <f aca="true">IF($F102=0,OFFSET(ORÇAMENTO!R$15,$F101,0),IF($F102&lt;&gt;-1,OFFSET(QCI!$G$13,$F102,0),""))</f>
        <v>CERÂMICA</v>
      </c>
      <c r="K101" s="425"/>
      <c r="L101" s="425"/>
      <c r="M101" s="426" t="n">
        <f aca="true">IF($F102=0,OFFSET(ORÇAMENTO!C$15,$F101,0),1)</f>
        <v>2</v>
      </c>
      <c r="N101" s="427" t="n">
        <f aca="true">IF($F102=-1,0,IF(N$13&lt;=$M101,IF(ISERROR(MATCH(N$13,OFFSET($M101,1,0,ROW($M$182)-ROW($M101)-1),0)),ROW($M$182)-ROW($M101)-1,MATCH(N$13,OFFSET($M101,1,0,ROW($M$182)-ROW($M101)-1),0)-1),0))</f>
        <v>80</v>
      </c>
      <c r="O101" s="427" t="n">
        <f aca="true">IF($F102=-1,0,IF(O$13&lt;=$M101,IF(ISERROR(MATCH(O$13,OFFSET($M101,1,0,ROW($M$182)-ROW($M101)-1),0)),ROW($M$182)-ROW($M101)-1,MATCH(O$13,OFFSET($M101,1,0,ROW($M$182)-ROW($M101)-1),0)-1),0))</f>
        <v>2</v>
      </c>
      <c r="P101" s="427" t="n">
        <f aca="true">IF($F102=-1,0,IF(P$13&lt;=$M101,IF(ISERROR(MATCH(P$13,OFFSET($M101,1,0,ROW($M$182)-ROW($M101)-1),0)),ROW($M$182)-ROW($M101)-1,MATCH(P$13,OFFSET($M101,1,0,ROW($M$182)-ROW($M101)-1),0)-1),0))</f>
        <v>0</v>
      </c>
      <c r="Q101" s="427" t="n">
        <f aca="true">IF($F102=-1,0,IF(Q$13&lt;=$M101,IF(ISERROR(MATCH(Q$13,OFFSET($M101,1,0,ROW($M$182)-ROW($M101)-1),0)),ROW($M$182)-ROW($M101)-1,MATCH(Q$13,OFFSET($M101,1,0,ROW($M$182)-ROW($M101)-1),0)-1),0))</f>
        <v>0</v>
      </c>
      <c r="R101" s="427" t="n">
        <f aca="true">MIN(OFFSET(M101,0,1,,M101))</f>
        <v>2</v>
      </c>
      <c r="S101" s="428" t="n">
        <f aca="true">IF($F102=0,OFFSET(ORÇAMENTO!X$15,$F101,0),IF($F102&lt;&gt;-1,OFFSET(QCI!$O$13,$F102,0),""))</f>
        <v>227675.5</v>
      </c>
      <c r="T101" s="429" t="s">
        <v>996</v>
      </c>
      <c r="U101" s="422" t="n">
        <f aca="false" t="array" ref="U101:U101">IF(AND($R101=2,ACOMPANHAMENTO="BM"),ROUND(U102,4),U103/$S101)</f>
        <v>0.04</v>
      </c>
      <c r="V101" s="422" t="n">
        <f aca="false" t="array" ref="V101:V101">IF(AND($R101=2,ACOMPANHAMENTO="BM"),ROUND(V102,4),V103/$S101)</f>
        <v>0.04</v>
      </c>
      <c r="W101" s="422" t="n">
        <f aca="false" t="array" ref="W101:W101">IF(AND($R101=2,ACOMPANHAMENTO="BM"),ROUND(W102,4),W103/$S101)</f>
        <v>0.04</v>
      </c>
      <c r="X101" s="422" t="n">
        <f aca="false" t="array" ref="X101:X101">IF(AND($R101=2,ACOMPANHAMENTO="BM"),ROUND(X102,4),X103/$S101)</f>
        <v>0.04</v>
      </c>
      <c r="Y101" s="422" t="n">
        <f aca="false" t="array" ref="Y101:Y101">IF(AND($R101=2,ACOMPANHAMENTO="BM"),ROUND(Y102,4),Y103/$S101)</f>
        <v>0.04</v>
      </c>
      <c r="Z101" s="422" t="n">
        <f aca="false" t="array" ref="Z101:Z101">IF(AND($R101=2,ACOMPANHAMENTO="BM"),ROUND(Z102,4),Z103/$S101)</f>
        <v>0.04</v>
      </c>
      <c r="AA101" s="422" t="n">
        <f aca="false" t="array" ref="AA101:AA101">IF(AND($R101=2,ACOMPANHAMENTO="BM"),ROUND(AA102,4),AA103/$S101)</f>
        <v>0.04</v>
      </c>
      <c r="AB101" s="422" t="n">
        <f aca="false" t="array" ref="AB101:AB101">IF(AND($R101=2,ACOMPANHAMENTO="BM"),ROUND(AB102,4),AB103/$S101)</f>
        <v>0.04</v>
      </c>
      <c r="AC101" s="422" t="n">
        <f aca="false" t="array" ref="AC101:AC101">IF(AND($R101=2,ACOMPANHAMENTO="BM"),ROUND(AC102,4),AC103/$S101)</f>
        <v>0.04</v>
      </c>
      <c r="AD101" s="422" t="n">
        <f aca="false" t="array" ref="AD101:AD101">IF(AND($R101=2,ACOMPANHAMENTO="BM"),ROUND(AD102,4),AD103/$S101)</f>
        <v>0.04</v>
      </c>
      <c r="AE101" s="422" t="n">
        <f aca="false" t="array" ref="AE101:AE101">IF(AND($R101=2,ACOMPANHAMENTO="BM"),ROUND(AE102,4),AE103/$S101)</f>
        <v>0.04</v>
      </c>
      <c r="AF101" s="422" t="n">
        <f aca="false" t="array" ref="AF101:AF101">IF(AND($R101=2,ACOMPANHAMENTO="BM"),ROUND(AF102,4),AF103/$S101)</f>
        <v>0.04</v>
      </c>
      <c r="AG101" s="422" t="n">
        <f aca="false" t="array" ref="AG101:AG101">IF(AND($R101=2,ACOMPANHAMENTO="BM"),ROUND(AG102,4),AG103/$S101)</f>
        <v>0.04</v>
      </c>
      <c r="AH101" s="422" t="n">
        <f aca="false" t="array" ref="AH101:AH101">IF(AND($R101=2,ACOMPANHAMENTO="BM"),ROUND(AH102,4),AH103/$S101)</f>
        <v>0.04</v>
      </c>
      <c r="AI101" s="422" t="n">
        <f aca="false" t="array" ref="AI101:AI101">IF(AND($R101=2,ACOMPANHAMENTO="BM"),ROUND(AI102,4),AI103/$S101)</f>
        <v>0.04</v>
      </c>
      <c r="AJ101" s="422" t="n">
        <f aca="false" t="array" ref="AJ101:AJ101">IF(AND($R101=2,ACOMPANHAMENTO="BM"),ROUND(AJ102,4),AJ103/$S101)</f>
        <v>0.04</v>
      </c>
      <c r="AK101" s="422" t="n">
        <f aca="false" t="array" ref="AK101:AK101">IF(AND($R101=2,ACOMPANHAMENTO="BM"),ROUND(AK102,4),AK103/$S101)</f>
        <v>0.04</v>
      </c>
      <c r="AL101" s="422" t="n">
        <f aca="false" t="array" ref="AL101:AL101">IF(AND($R101=2,ACOMPANHAMENTO="BM"),ROUND(AL102,4),AL103/$S101)</f>
        <v>0.04</v>
      </c>
      <c r="AM101" s="422" t="n">
        <f aca="false" t="array" ref="AM101:AM101">IF(AND($R101=2,ACOMPANHAMENTO="BM"),ROUND(AM102,4),AM103/$S101)</f>
        <v>0.04</v>
      </c>
      <c r="AN101" s="422" t="n">
        <f aca="false" t="array" ref="AN101:AN101">IF(AND($R101=2,ACOMPANHAMENTO="BM"),ROUND(AN102,4),AN103/$S101)</f>
        <v>0.04</v>
      </c>
      <c r="AO101" s="422" t="n">
        <f aca="false" t="array" ref="AO101:AO101">IF(AND($R101=2,ACOMPANHAMENTO="BM"),ROUND(AO102,4),AO103/$S101)</f>
        <v>0.04</v>
      </c>
      <c r="AP101" s="422" t="n">
        <f aca="false" t="array" ref="AP101:AP101">IF(AND($R101=2,ACOMPANHAMENTO="BM"),ROUND(AP102,4),AP103/$S101)</f>
        <v>0.04</v>
      </c>
      <c r="AQ101" s="422" t="n">
        <f aca="false" t="array" ref="AQ101:AQ101">IF(AND($R101=2,ACOMPANHAMENTO="BM"),ROUND(AQ102,4),AQ103/$S101)</f>
        <v>0.04</v>
      </c>
      <c r="AR101" s="422" t="n">
        <f aca="false" t="array" ref="AR101:AR101">IF(AND($R101=2,ACOMPANHAMENTO="BM"),ROUND(AR102,4),AR103/$S101)</f>
        <v>0.04</v>
      </c>
      <c r="AS101" s="422" t="n">
        <f aca="false" t="array" ref="AS101:AS101">IF(AND($R101=2,ACOMPANHAMENTO="BM"),ROUND(AS102,4),AS103/$S101)</f>
        <v>0.04</v>
      </c>
      <c r="AT101" s="422" t="n">
        <f aca="false" t="array" ref="AT101:AT101">IF(AND($R101=2,ACOMPANHAMENTO="BM"),ROUND(AT102,4),AT103/$S101)</f>
        <v>0</v>
      </c>
      <c r="AU101" s="422" t="n">
        <f aca="false" t="array" ref="AU101:AU101">IF(AND($R101=2,ACOMPANHAMENTO="BM"),ROUND(AU102,4),AU103/$S101)</f>
        <v>0</v>
      </c>
      <c r="AV101" s="422" t="n">
        <f aca="false" t="array" ref="AV101:AV101">IF(AND($R101=2,ACOMPANHAMENTO="BM"),ROUND(AV102,4),AV103/$S101)</f>
        <v>0</v>
      </c>
      <c r="AW101" s="422" t="n">
        <f aca="false" t="array" ref="AW101:AW101">IF(AND($R101=2,ACOMPANHAMENTO="BM"),ROUND(AW102,4),AW103/$S101)</f>
        <v>0</v>
      </c>
      <c r="AX101" s="422" t="n">
        <f aca="false" t="array" ref="AX101:AX101">IF(AND($R101=2,ACOMPANHAMENTO="BM"),ROUND(AX102,4),AX103/$S101)</f>
        <v>0</v>
      </c>
      <c r="AY101" s="422" t="n">
        <f aca="false" t="array" ref="AY101:AY101">IF(AND($R101=2,ACOMPANHAMENTO="BM"),ROUND(AY102,4),AY103/$S101)</f>
        <v>0</v>
      </c>
      <c r="AZ101" s="422" t="n">
        <f aca="false" t="array" ref="AZ101:AZ101">IF(AND($R101=2,ACOMPANHAMENTO="BM"),ROUND(AZ102,4),AZ103/$S101)</f>
        <v>0</v>
      </c>
      <c r="BA101" s="422" t="n">
        <f aca="false" t="array" ref="BA101:BA101">IF(AND($R101=2,ACOMPANHAMENTO="BM"),ROUND(BA102,4),BA103/$S101)</f>
        <v>0</v>
      </c>
      <c r="BB101" s="422" t="n">
        <f aca="false" t="array" ref="BB101:BB101">IF(AND($R101=2,ACOMPANHAMENTO="BM"),ROUND(BB102,4),BB103/$S101)</f>
        <v>0</v>
      </c>
      <c r="BC101" s="422" t="n">
        <f aca="false" t="array" ref="BC101:BC101">IF(AND($R101=2,ACOMPANHAMENTO="BM"),ROUND(BC102,4),BC103/$S101)</f>
        <v>0</v>
      </c>
      <c r="BD101" s="422" t="n">
        <f aca="false" t="array" ref="BD101:BD101">IF(AND($R101=2,ACOMPANHAMENTO="BM"),ROUND(BD102,4),BD103/$S101)</f>
        <v>0</v>
      </c>
      <c r="BE101" s="430"/>
    </row>
    <row r="102" customFormat="false" ht="12.75" hidden="true" customHeight="true" outlineLevel="0" collapsed="false">
      <c r="E102" s="431"/>
      <c r="F102" s="419" t="n">
        <f aca="true">IF(ISERROR(F101),IF(1+COUNTIF($M$13:OFFSET(M101,-1,0),1)&lt;=MAX(QCI!$D$13:$D$15),1+COUNTIF($M$13:OFFSET(M101,-1,0),1),-1),0)</f>
        <v>0</v>
      </c>
      <c r="G102" s="419" t="str">
        <f aca="true" t="array" ref="G102:G102">IF(ACOMPANHAMENTO="BM",OFFSET(G102,-1,0),"")</f>
        <v/>
      </c>
      <c r="H102" s="432" t="str">
        <f aca="false" t="array" ref="H102:H102">IF(OR(S101=0,S101=""),"vazia",IF(AND(OR(ACOMPANHAMENTO="PLE",$R101&lt;&gt;2),$F102=0),"calculada","--&gt;"))</f>
        <v>calculada</v>
      </c>
      <c r="I102" s="433"/>
      <c r="J102" s="434" t="str">
        <f aca="false">IF(AND(H101&lt;&gt;0,ISNUMBER(H101)),"PREENCHA ESTA LINHA --&gt;","")</f>
        <v/>
      </c>
      <c r="K102" s="434"/>
      <c r="L102" s="434"/>
      <c r="M102" s="435"/>
      <c r="N102" s="435"/>
      <c r="O102" s="435"/>
      <c r="P102" s="435"/>
      <c r="Q102" s="435"/>
      <c r="R102" s="435"/>
      <c r="S102" s="436"/>
      <c r="T102" s="437"/>
      <c r="U102" s="431"/>
      <c r="V102" s="431"/>
      <c r="W102" s="431"/>
      <c r="X102" s="431"/>
      <c r="Y102" s="431"/>
      <c r="Z102" s="431"/>
      <c r="AA102" s="431"/>
      <c r="AB102" s="431"/>
      <c r="AC102" s="431"/>
      <c r="AD102" s="431"/>
      <c r="AE102" s="431"/>
      <c r="AF102" s="431"/>
      <c r="AG102" s="431"/>
      <c r="AH102" s="431"/>
      <c r="AI102" s="431"/>
      <c r="AJ102" s="431"/>
      <c r="AK102" s="431"/>
      <c r="AL102" s="431"/>
      <c r="AM102" s="431"/>
      <c r="AN102" s="431"/>
      <c r="AO102" s="431"/>
      <c r="AP102" s="431"/>
      <c r="AQ102" s="431"/>
      <c r="AR102" s="431"/>
      <c r="AS102" s="431"/>
      <c r="AT102" s="431"/>
      <c r="AU102" s="431"/>
      <c r="AV102" s="431"/>
      <c r="AW102" s="431"/>
      <c r="AX102" s="431"/>
      <c r="AY102" s="431"/>
      <c r="AZ102" s="431"/>
      <c r="BA102" s="431"/>
      <c r="BB102" s="431"/>
      <c r="BC102" s="431"/>
      <c r="BD102" s="431"/>
      <c r="BE102" s="430"/>
    </row>
    <row r="103" customFormat="false" ht="12.75" hidden="true" customHeight="true" outlineLevel="0" collapsed="false">
      <c r="D103" s="438"/>
      <c r="E103" s="439" t="n">
        <f aca="false" t="array" ref="E103:E103">IF($R101=2,
         IF(AND(ACOMPANHAMENTO="PLE",ISNUMBER($F101)),
                SUMIF((OFFSET(CÁLCULO!$BS$15:$CS$15,$F101,0,OFFSET(ORÇAMENTO!$D$15,CRONO!$F101,0))),CRONO!E$12,OFFSET(CÁLCULO!$AR$15:$BR$15,$F101,0,OFFSET(ORÇAMENTO!$D$15,CRONO!$F101,0)))
                +IF(AND($F103&lt;&gt;"",$F103&lt;&gt;0),
                        SUMIF(CÁLCULO!$BS$15:$CS$205,CRONO!E$12,CÁLCULO!$AR$15:$BR$205)/(ORÇAMENTO!$X$15-_xlfn.single(CÁLCULO.TotalAdmLocal))*CRONO!$F103,
                        0),
                 E102*$S101),
          SUMIF(OFFSET($S103,1,0,$R101-2),($M101+1)&amp;"$",OFFSET(E103,1,0,$R101-2)))</f>
        <v>9107.02</v>
      </c>
      <c r="F103" s="419" t="str">
        <f aca="true">IF(OR($R101&lt;&gt;2,AUTOEVENTO&lt;&gt;"manual",$F102&gt;0),"",
        IF(Import.TipoArredondamento="Tradicional",
              SUMIF(OFFSET(CÁLCULO!$M$15,CRONO!$F101,0,OFFSET(ORÇAMENTO!$D$15,CRONO!$F101,0)),1,OFFSET(ORÇAMENTO!$X$15,CRONO!$F101,0,OFFSET(ORÇAMENTO!$D$15,CRONO!$F101,0))),
              0))</f>
        <v/>
      </c>
      <c r="H103" s="440"/>
      <c r="S103" s="441" t="str">
        <f aca="false">M101&amp;"$"</f>
        <v>2$</v>
      </c>
      <c r="T103" s="442"/>
      <c r="U103" s="439" t="n">
        <f aca="false" t="array" ref="U103:U103">IF($R101=2,
         IF(AND(ACOMPANHAMENTO="PLE",ISNUMBER($F101)),
                SUMIF((OFFSET(CÁLCULO!$BS$15:$CS$15,$F101,0,OFFSET(ORÇAMENTO!$D$15,CRONO!$F101,0))),CRONO!U$12,OFFSET(CÁLCULO!$AR$15:$BR$15,$F101,0,OFFSET(ORÇAMENTO!$D$15,CRONO!$F101,0)))
                +IF(AND($F103&lt;&gt;"",$F103&lt;&gt;0),
                        SUMIF(CÁLCULO!$BS$15:$CS$205,CRONO!U$12,CÁLCULO!$AR$15:$BR$205)/(ORÇAMENTO!$X$15-_xlfn.single(CÁLCULO.TotalAdmLocal))*CRONO!$F103,
                        0),
                 U102*$S101),
          SUMIF(OFFSET($S103,1,0,$R101-2),($M101+1)&amp;"$",OFFSET(U103,1,0,$R101-2)))</f>
        <v>9107.02</v>
      </c>
      <c r="V103" s="439" t="n">
        <f aca="false" t="array" ref="V103:V103">IF($R101=2,
         IF(AND(ACOMPANHAMENTO="PLE",ISNUMBER($F101)),
                SUMIF((OFFSET(CÁLCULO!$BS$15:$CS$15,$F101,0,OFFSET(ORÇAMENTO!$D$15,CRONO!$F101,0))),CRONO!V$12,OFFSET(CÁLCULO!$AR$15:$BR$15,$F101,0,OFFSET(ORÇAMENTO!$D$15,CRONO!$F101,0)))
                +IF(AND($F103&lt;&gt;"",$F103&lt;&gt;0),
                        SUMIF(CÁLCULO!$BS$15:$CS$205,CRONO!V$12,CÁLCULO!$AR$15:$BR$205)/(ORÇAMENTO!$X$15-_xlfn.single(CÁLCULO.TotalAdmLocal))*CRONO!$F103,
                        0),
                 V102*$S101),
          SUMIF(OFFSET($S103,1,0,$R101-2),($M101+1)&amp;"$",OFFSET(V103,1,0,$R101-2)))</f>
        <v>9107.02</v>
      </c>
      <c r="W103" s="439" t="n">
        <f aca="false" t="array" ref="W103:W103">IF($R101=2,
         IF(AND(ACOMPANHAMENTO="PLE",ISNUMBER($F101)),
                SUMIF((OFFSET(CÁLCULO!$BS$15:$CS$15,$F101,0,OFFSET(ORÇAMENTO!$D$15,CRONO!$F101,0))),CRONO!W$12,OFFSET(CÁLCULO!$AR$15:$BR$15,$F101,0,OFFSET(ORÇAMENTO!$D$15,CRONO!$F101,0)))
                +IF(AND($F103&lt;&gt;"",$F103&lt;&gt;0),
                        SUMIF(CÁLCULO!$BS$15:$CS$205,CRONO!W$12,CÁLCULO!$AR$15:$BR$205)/(ORÇAMENTO!$X$15-_xlfn.single(CÁLCULO.TotalAdmLocal))*CRONO!$F103,
                        0),
                 W102*$S101),
          SUMIF(OFFSET($S103,1,0,$R101-2),($M101+1)&amp;"$",OFFSET(W103,1,0,$R101-2)))</f>
        <v>9107.02</v>
      </c>
      <c r="X103" s="439" t="n">
        <f aca="false" t="array" ref="X103:X103">IF($R101=2,
         IF(AND(ACOMPANHAMENTO="PLE",ISNUMBER($F101)),
                SUMIF((OFFSET(CÁLCULO!$BS$15:$CS$15,$F101,0,OFFSET(ORÇAMENTO!$D$15,CRONO!$F101,0))),CRONO!X$12,OFFSET(CÁLCULO!$AR$15:$BR$15,$F101,0,OFFSET(ORÇAMENTO!$D$15,CRONO!$F101,0)))
                +IF(AND($F103&lt;&gt;"",$F103&lt;&gt;0),
                        SUMIF(CÁLCULO!$BS$15:$CS$205,CRONO!X$12,CÁLCULO!$AR$15:$BR$205)/(ORÇAMENTO!$X$15-_xlfn.single(CÁLCULO.TotalAdmLocal))*CRONO!$F103,
                        0),
                 X102*$S101),
          SUMIF(OFFSET($S103,1,0,$R101-2),($M101+1)&amp;"$",OFFSET(X103,1,0,$R101-2)))</f>
        <v>9107.02</v>
      </c>
      <c r="Y103" s="439" t="n">
        <f aca="false" t="array" ref="Y103:Y103">IF($R101=2,
         IF(AND(ACOMPANHAMENTO="PLE",ISNUMBER($F101)),
                SUMIF((OFFSET(CÁLCULO!$BS$15:$CS$15,$F101,0,OFFSET(ORÇAMENTO!$D$15,CRONO!$F101,0))),CRONO!Y$12,OFFSET(CÁLCULO!$AR$15:$BR$15,$F101,0,OFFSET(ORÇAMENTO!$D$15,CRONO!$F101,0)))
                +IF(AND($F103&lt;&gt;"",$F103&lt;&gt;0),
                        SUMIF(CÁLCULO!$BS$15:$CS$205,CRONO!Y$12,CÁLCULO!$AR$15:$BR$205)/(ORÇAMENTO!$X$15-_xlfn.single(CÁLCULO.TotalAdmLocal))*CRONO!$F103,
                        0),
                 Y102*$S101),
          SUMIF(OFFSET($S103,1,0,$R101-2),($M101+1)&amp;"$",OFFSET(Y103,1,0,$R101-2)))</f>
        <v>9107.02</v>
      </c>
      <c r="Z103" s="439" t="n">
        <f aca="false" t="array" ref="Z103:Z103">IF($R101=2,
         IF(AND(ACOMPANHAMENTO="PLE",ISNUMBER($F101)),
                SUMIF((OFFSET(CÁLCULO!$BS$15:$CS$15,$F101,0,OFFSET(ORÇAMENTO!$D$15,CRONO!$F101,0))),CRONO!Z$12,OFFSET(CÁLCULO!$AR$15:$BR$15,$F101,0,OFFSET(ORÇAMENTO!$D$15,CRONO!$F101,0)))
                +IF(AND($F103&lt;&gt;"",$F103&lt;&gt;0),
                        SUMIF(CÁLCULO!$BS$15:$CS$205,CRONO!Z$12,CÁLCULO!$AR$15:$BR$205)/(ORÇAMENTO!$X$15-_xlfn.single(CÁLCULO.TotalAdmLocal))*CRONO!$F103,
                        0),
                 Z102*$S101),
          SUMIF(OFFSET($S103,1,0,$R101-2),($M101+1)&amp;"$",OFFSET(Z103,1,0,$R101-2)))</f>
        <v>9107.02</v>
      </c>
      <c r="AA103" s="439" t="n">
        <f aca="false" t="array" ref="AA103:AA103">IF($R101=2,
         IF(AND(ACOMPANHAMENTO="PLE",ISNUMBER($F101)),
                SUMIF((OFFSET(CÁLCULO!$BS$15:$CS$15,$F101,0,OFFSET(ORÇAMENTO!$D$15,CRONO!$F101,0))),CRONO!AA$12,OFFSET(CÁLCULO!$AR$15:$BR$15,$F101,0,OFFSET(ORÇAMENTO!$D$15,CRONO!$F101,0)))
                +IF(AND($F103&lt;&gt;"",$F103&lt;&gt;0),
                        SUMIF(CÁLCULO!$BS$15:$CS$205,CRONO!AA$12,CÁLCULO!$AR$15:$BR$205)/(ORÇAMENTO!$X$15-_xlfn.single(CÁLCULO.TotalAdmLocal))*CRONO!$F103,
                        0),
                 AA102*$S101),
          SUMIF(OFFSET($S103,1,0,$R101-2),($M101+1)&amp;"$",OFFSET(AA103,1,0,$R101-2)))</f>
        <v>9107.02</v>
      </c>
      <c r="AB103" s="439" t="n">
        <f aca="false" t="array" ref="AB103:AB103">IF($R101=2,
         IF(AND(ACOMPANHAMENTO="PLE",ISNUMBER($F101)),
                SUMIF((OFFSET(CÁLCULO!$BS$15:$CS$15,$F101,0,OFFSET(ORÇAMENTO!$D$15,CRONO!$F101,0))),CRONO!AB$12,OFFSET(CÁLCULO!$AR$15:$BR$15,$F101,0,OFFSET(ORÇAMENTO!$D$15,CRONO!$F101,0)))
                +IF(AND($F103&lt;&gt;"",$F103&lt;&gt;0),
                        SUMIF(CÁLCULO!$BS$15:$CS$205,CRONO!AB$12,CÁLCULO!$AR$15:$BR$205)/(ORÇAMENTO!$X$15-_xlfn.single(CÁLCULO.TotalAdmLocal))*CRONO!$F103,
                        0),
                 AB102*$S101),
          SUMIF(OFFSET($S103,1,0,$R101-2),($M101+1)&amp;"$",OFFSET(AB103,1,0,$R101-2)))</f>
        <v>9107.02</v>
      </c>
      <c r="AC103" s="439" t="n">
        <f aca="false" t="array" ref="AC103:AC103">IF($R101=2,
         IF(AND(ACOMPANHAMENTO="PLE",ISNUMBER($F101)),
                SUMIF((OFFSET(CÁLCULO!$BS$15:$CS$15,$F101,0,OFFSET(ORÇAMENTO!$D$15,CRONO!$F101,0))),CRONO!AC$12,OFFSET(CÁLCULO!$AR$15:$BR$15,$F101,0,OFFSET(ORÇAMENTO!$D$15,CRONO!$F101,0)))
                +IF(AND($F103&lt;&gt;"",$F103&lt;&gt;0),
                        SUMIF(CÁLCULO!$BS$15:$CS$205,CRONO!AC$12,CÁLCULO!$AR$15:$BR$205)/(ORÇAMENTO!$X$15-_xlfn.single(CÁLCULO.TotalAdmLocal))*CRONO!$F103,
                        0),
                 AC102*$S101),
          SUMIF(OFFSET($S103,1,0,$R101-2),($M101+1)&amp;"$",OFFSET(AC103,1,0,$R101-2)))</f>
        <v>9107.02</v>
      </c>
      <c r="AD103" s="439" t="n">
        <f aca="false" t="array" ref="AD103:AD103">IF($R101=2,
         IF(AND(ACOMPANHAMENTO="PLE",ISNUMBER($F101)),
                SUMIF((OFFSET(CÁLCULO!$BS$15:$CS$15,$F101,0,OFFSET(ORÇAMENTO!$D$15,CRONO!$F101,0))),CRONO!AD$12,OFFSET(CÁLCULO!$AR$15:$BR$15,$F101,0,OFFSET(ORÇAMENTO!$D$15,CRONO!$F101,0)))
                +IF(AND($F103&lt;&gt;"",$F103&lt;&gt;0),
                        SUMIF(CÁLCULO!$BS$15:$CS$205,CRONO!AD$12,CÁLCULO!$AR$15:$BR$205)/(ORÇAMENTO!$X$15-_xlfn.single(CÁLCULO.TotalAdmLocal))*CRONO!$F103,
                        0),
                 AD102*$S101),
          SUMIF(OFFSET($S103,1,0,$R101-2),($M101+1)&amp;"$",OFFSET(AD103,1,0,$R101-2)))</f>
        <v>9107.02</v>
      </c>
      <c r="AE103" s="439" t="n">
        <f aca="false" t="array" ref="AE103:AE103">IF($R101=2,
         IF(AND(ACOMPANHAMENTO="PLE",ISNUMBER($F101)),
                SUMIF((OFFSET(CÁLCULO!$BS$15:$CS$15,$F101,0,OFFSET(ORÇAMENTO!$D$15,CRONO!$F101,0))),CRONO!AE$12,OFFSET(CÁLCULO!$AR$15:$BR$15,$F101,0,OFFSET(ORÇAMENTO!$D$15,CRONO!$F101,0)))
                +IF(AND($F103&lt;&gt;"",$F103&lt;&gt;0),
                        SUMIF(CÁLCULO!$BS$15:$CS$205,CRONO!AE$12,CÁLCULO!$AR$15:$BR$205)/(ORÇAMENTO!$X$15-_xlfn.single(CÁLCULO.TotalAdmLocal))*CRONO!$F103,
                        0),
                 AE102*$S101),
          SUMIF(OFFSET($S103,1,0,$R101-2),($M101+1)&amp;"$",OFFSET(AE103,1,0,$R101-2)))</f>
        <v>9107.02</v>
      </c>
      <c r="AF103" s="439" t="n">
        <f aca="false" t="array" ref="AF103:AF103">IF($R101=2,
         IF(AND(ACOMPANHAMENTO="PLE",ISNUMBER($F101)),
                SUMIF((OFFSET(CÁLCULO!$BS$15:$CS$15,$F101,0,OFFSET(ORÇAMENTO!$D$15,CRONO!$F101,0))),CRONO!AF$12,OFFSET(CÁLCULO!$AR$15:$BR$15,$F101,0,OFFSET(ORÇAMENTO!$D$15,CRONO!$F101,0)))
                +IF(AND($F103&lt;&gt;"",$F103&lt;&gt;0),
                        SUMIF(CÁLCULO!$BS$15:$CS$205,CRONO!AF$12,CÁLCULO!$AR$15:$BR$205)/(ORÇAMENTO!$X$15-_xlfn.single(CÁLCULO.TotalAdmLocal))*CRONO!$F103,
                        0),
                 AF102*$S101),
          SUMIF(OFFSET($S103,1,0,$R101-2),($M101+1)&amp;"$",OFFSET(AF103,1,0,$R101-2)))</f>
        <v>9107.02</v>
      </c>
      <c r="AG103" s="439" t="n">
        <f aca="false" t="array" ref="AG103:AG103">IF($R101=2,
         IF(AND(ACOMPANHAMENTO="PLE",ISNUMBER($F101)),
                SUMIF((OFFSET(CÁLCULO!$BS$15:$CS$15,$F101,0,OFFSET(ORÇAMENTO!$D$15,CRONO!$F101,0))),CRONO!AG$12,OFFSET(CÁLCULO!$AR$15:$BR$15,$F101,0,OFFSET(ORÇAMENTO!$D$15,CRONO!$F101,0)))
                +IF(AND($F103&lt;&gt;"",$F103&lt;&gt;0),
                        SUMIF(CÁLCULO!$BS$15:$CS$205,CRONO!AG$12,CÁLCULO!$AR$15:$BR$205)/(ORÇAMENTO!$X$15-_xlfn.single(CÁLCULO.TotalAdmLocal))*CRONO!$F103,
                        0),
                 AG102*$S101),
          SUMIF(OFFSET($S103,1,0,$R101-2),($M101+1)&amp;"$",OFFSET(AG103,1,0,$R101-2)))</f>
        <v>9107.02</v>
      </c>
      <c r="AH103" s="439" t="n">
        <f aca="false" t="array" ref="AH103:AH103">IF($R101=2,
         IF(AND(ACOMPANHAMENTO="PLE",ISNUMBER($F101)),
                SUMIF((OFFSET(CÁLCULO!$BS$15:$CS$15,$F101,0,OFFSET(ORÇAMENTO!$D$15,CRONO!$F101,0))),CRONO!AH$12,OFFSET(CÁLCULO!$AR$15:$BR$15,$F101,0,OFFSET(ORÇAMENTO!$D$15,CRONO!$F101,0)))
                +IF(AND($F103&lt;&gt;"",$F103&lt;&gt;0),
                        SUMIF(CÁLCULO!$BS$15:$CS$205,CRONO!AH$12,CÁLCULO!$AR$15:$BR$205)/(ORÇAMENTO!$X$15-_xlfn.single(CÁLCULO.TotalAdmLocal))*CRONO!$F103,
                        0),
                 AH102*$S101),
          SUMIF(OFFSET($S103,1,0,$R101-2),($M101+1)&amp;"$",OFFSET(AH103,1,0,$R101-2)))</f>
        <v>9107.02</v>
      </c>
      <c r="AI103" s="439" t="n">
        <f aca="false" t="array" ref="AI103:AI103">IF($R101=2,
         IF(AND(ACOMPANHAMENTO="PLE",ISNUMBER($F101)),
                SUMIF((OFFSET(CÁLCULO!$BS$15:$CS$15,$F101,0,OFFSET(ORÇAMENTO!$D$15,CRONO!$F101,0))),CRONO!AI$12,OFFSET(CÁLCULO!$AR$15:$BR$15,$F101,0,OFFSET(ORÇAMENTO!$D$15,CRONO!$F101,0)))
                +IF(AND($F103&lt;&gt;"",$F103&lt;&gt;0),
                        SUMIF(CÁLCULO!$BS$15:$CS$205,CRONO!AI$12,CÁLCULO!$AR$15:$BR$205)/(ORÇAMENTO!$X$15-_xlfn.single(CÁLCULO.TotalAdmLocal))*CRONO!$F103,
                        0),
                 AI102*$S101),
          SUMIF(OFFSET($S103,1,0,$R101-2),($M101+1)&amp;"$",OFFSET(AI103,1,0,$R101-2)))</f>
        <v>9107.02</v>
      </c>
      <c r="AJ103" s="439" t="n">
        <f aca="false" t="array" ref="AJ103:AJ103">IF($R101=2,
         IF(AND(ACOMPANHAMENTO="PLE",ISNUMBER($F101)),
                SUMIF((OFFSET(CÁLCULO!$BS$15:$CS$15,$F101,0,OFFSET(ORÇAMENTO!$D$15,CRONO!$F101,0))),CRONO!AJ$12,OFFSET(CÁLCULO!$AR$15:$BR$15,$F101,0,OFFSET(ORÇAMENTO!$D$15,CRONO!$F101,0)))
                +IF(AND($F103&lt;&gt;"",$F103&lt;&gt;0),
                        SUMIF(CÁLCULO!$BS$15:$CS$205,CRONO!AJ$12,CÁLCULO!$AR$15:$BR$205)/(ORÇAMENTO!$X$15-_xlfn.single(CÁLCULO.TotalAdmLocal))*CRONO!$F103,
                        0),
                 AJ102*$S101),
          SUMIF(OFFSET($S103,1,0,$R101-2),($M101+1)&amp;"$",OFFSET(AJ103,1,0,$R101-2)))</f>
        <v>9107.02</v>
      </c>
      <c r="AK103" s="439" t="n">
        <f aca="false" t="array" ref="AK103:AK103">IF($R101=2,
         IF(AND(ACOMPANHAMENTO="PLE",ISNUMBER($F101)),
                SUMIF((OFFSET(CÁLCULO!$BS$15:$CS$15,$F101,0,OFFSET(ORÇAMENTO!$D$15,CRONO!$F101,0))),CRONO!AK$12,OFFSET(CÁLCULO!$AR$15:$BR$15,$F101,0,OFFSET(ORÇAMENTO!$D$15,CRONO!$F101,0)))
                +IF(AND($F103&lt;&gt;"",$F103&lt;&gt;0),
                        SUMIF(CÁLCULO!$BS$15:$CS$205,CRONO!AK$12,CÁLCULO!$AR$15:$BR$205)/(ORÇAMENTO!$X$15-_xlfn.single(CÁLCULO.TotalAdmLocal))*CRONO!$F103,
                        0),
                 AK102*$S101),
          SUMIF(OFFSET($S103,1,0,$R101-2),($M101+1)&amp;"$",OFFSET(AK103,1,0,$R101-2)))</f>
        <v>9107.02</v>
      </c>
      <c r="AL103" s="439" t="n">
        <f aca="false" t="array" ref="AL103:AL103">IF($R101=2,
         IF(AND(ACOMPANHAMENTO="PLE",ISNUMBER($F101)),
                SUMIF((OFFSET(CÁLCULO!$BS$15:$CS$15,$F101,0,OFFSET(ORÇAMENTO!$D$15,CRONO!$F101,0))),CRONO!AL$12,OFFSET(CÁLCULO!$AR$15:$BR$15,$F101,0,OFFSET(ORÇAMENTO!$D$15,CRONO!$F101,0)))
                +IF(AND($F103&lt;&gt;"",$F103&lt;&gt;0),
                        SUMIF(CÁLCULO!$BS$15:$CS$205,CRONO!AL$12,CÁLCULO!$AR$15:$BR$205)/(ORÇAMENTO!$X$15-_xlfn.single(CÁLCULO.TotalAdmLocal))*CRONO!$F103,
                        0),
                 AL102*$S101),
          SUMIF(OFFSET($S103,1,0,$R101-2),($M101+1)&amp;"$",OFFSET(AL103,1,0,$R101-2)))</f>
        <v>9107.02</v>
      </c>
      <c r="AM103" s="439" t="n">
        <f aca="false" t="array" ref="AM103:AM103">IF($R101=2,
         IF(AND(ACOMPANHAMENTO="PLE",ISNUMBER($F101)),
                SUMIF((OFFSET(CÁLCULO!$BS$15:$CS$15,$F101,0,OFFSET(ORÇAMENTO!$D$15,CRONO!$F101,0))),CRONO!AM$12,OFFSET(CÁLCULO!$AR$15:$BR$15,$F101,0,OFFSET(ORÇAMENTO!$D$15,CRONO!$F101,0)))
                +IF(AND($F103&lt;&gt;"",$F103&lt;&gt;0),
                        SUMIF(CÁLCULO!$BS$15:$CS$205,CRONO!AM$12,CÁLCULO!$AR$15:$BR$205)/(ORÇAMENTO!$X$15-_xlfn.single(CÁLCULO.TotalAdmLocal))*CRONO!$F103,
                        0),
                 AM102*$S101),
          SUMIF(OFFSET($S103,1,0,$R101-2),($M101+1)&amp;"$",OFFSET(AM103,1,0,$R101-2)))</f>
        <v>9107.02</v>
      </c>
      <c r="AN103" s="439" t="n">
        <f aca="false" t="array" ref="AN103:AN103">IF($R101=2,
         IF(AND(ACOMPANHAMENTO="PLE",ISNUMBER($F101)),
                SUMIF((OFFSET(CÁLCULO!$BS$15:$CS$15,$F101,0,OFFSET(ORÇAMENTO!$D$15,CRONO!$F101,0))),CRONO!AN$12,OFFSET(CÁLCULO!$AR$15:$BR$15,$F101,0,OFFSET(ORÇAMENTO!$D$15,CRONO!$F101,0)))
                +IF(AND($F103&lt;&gt;"",$F103&lt;&gt;0),
                        SUMIF(CÁLCULO!$BS$15:$CS$205,CRONO!AN$12,CÁLCULO!$AR$15:$BR$205)/(ORÇAMENTO!$X$15-_xlfn.single(CÁLCULO.TotalAdmLocal))*CRONO!$F103,
                        0),
                 AN102*$S101),
          SUMIF(OFFSET($S103,1,0,$R101-2),($M101+1)&amp;"$",OFFSET(AN103,1,0,$R101-2)))</f>
        <v>9107.02</v>
      </c>
      <c r="AO103" s="439" t="n">
        <f aca="false" t="array" ref="AO103:AO103">IF($R101=2,
         IF(AND(ACOMPANHAMENTO="PLE",ISNUMBER($F101)),
                SUMIF((OFFSET(CÁLCULO!$BS$15:$CS$15,$F101,0,OFFSET(ORÇAMENTO!$D$15,CRONO!$F101,0))),CRONO!AO$12,OFFSET(CÁLCULO!$AR$15:$BR$15,$F101,0,OFFSET(ORÇAMENTO!$D$15,CRONO!$F101,0)))
                +IF(AND($F103&lt;&gt;"",$F103&lt;&gt;0),
                        SUMIF(CÁLCULO!$BS$15:$CS$205,CRONO!AO$12,CÁLCULO!$AR$15:$BR$205)/(ORÇAMENTO!$X$15-_xlfn.single(CÁLCULO.TotalAdmLocal))*CRONO!$F103,
                        0),
                 AO102*$S101),
          SUMIF(OFFSET($S103,1,0,$R101-2),($M101+1)&amp;"$",OFFSET(AO103,1,0,$R101-2)))</f>
        <v>9107.02</v>
      </c>
      <c r="AP103" s="439" t="n">
        <f aca="false" t="array" ref="AP103:AP103">IF($R101=2,
         IF(AND(ACOMPANHAMENTO="PLE",ISNUMBER($F101)),
                SUMIF((OFFSET(CÁLCULO!$BS$15:$CS$15,$F101,0,OFFSET(ORÇAMENTO!$D$15,CRONO!$F101,0))),CRONO!AP$12,OFFSET(CÁLCULO!$AR$15:$BR$15,$F101,0,OFFSET(ORÇAMENTO!$D$15,CRONO!$F101,0)))
                +IF(AND($F103&lt;&gt;"",$F103&lt;&gt;0),
                        SUMIF(CÁLCULO!$BS$15:$CS$205,CRONO!AP$12,CÁLCULO!$AR$15:$BR$205)/(ORÇAMENTO!$X$15-_xlfn.single(CÁLCULO.TotalAdmLocal))*CRONO!$F103,
                        0),
                 AP102*$S101),
          SUMIF(OFFSET($S103,1,0,$R101-2),($M101+1)&amp;"$",OFFSET(AP103,1,0,$R101-2)))</f>
        <v>9107.02</v>
      </c>
      <c r="AQ103" s="439" t="n">
        <f aca="false" t="array" ref="AQ103:AQ103">IF($R101=2,
         IF(AND(ACOMPANHAMENTO="PLE",ISNUMBER($F101)),
                SUMIF((OFFSET(CÁLCULO!$BS$15:$CS$15,$F101,0,OFFSET(ORÇAMENTO!$D$15,CRONO!$F101,0))),CRONO!AQ$12,OFFSET(CÁLCULO!$AR$15:$BR$15,$F101,0,OFFSET(ORÇAMENTO!$D$15,CRONO!$F101,0)))
                +IF(AND($F103&lt;&gt;"",$F103&lt;&gt;0),
                        SUMIF(CÁLCULO!$BS$15:$CS$205,CRONO!AQ$12,CÁLCULO!$AR$15:$BR$205)/(ORÇAMENTO!$X$15-_xlfn.single(CÁLCULO.TotalAdmLocal))*CRONO!$F103,
                        0),
                 AQ102*$S101),
          SUMIF(OFFSET($S103,1,0,$R101-2),($M101+1)&amp;"$",OFFSET(AQ103,1,0,$R101-2)))</f>
        <v>9107.02</v>
      </c>
      <c r="AR103" s="439" t="n">
        <f aca="false" t="array" ref="AR103:AR103">IF($R101=2,
         IF(AND(ACOMPANHAMENTO="PLE",ISNUMBER($F101)),
                SUMIF((OFFSET(CÁLCULO!$BS$15:$CS$15,$F101,0,OFFSET(ORÇAMENTO!$D$15,CRONO!$F101,0))),CRONO!AR$12,OFFSET(CÁLCULO!$AR$15:$BR$15,$F101,0,OFFSET(ORÇAMENTO!$D$15,CRONO!$F101,0)))
                +IF(AND($F103&lt;&gt;"",$F103&lt;&gt;0),
                        SUMIF(CÁLCULO!$BS$15:$CS$205,CRONO!AR$12,CÁLCULO!$AR$15:$BR$205)/(ORÇAMENTO!$X$15-_xlfn.single(CÁLCULO.TotalAdmLocal))*CRONO!$F103,
                        0),
                 AR102*$S101),
          SUMIF(OFFSET($S103,1,0,$R101-2),($M101+1)&amp;"$",OFFSET(AR103,1,0,$R101-2)))</f>
        <v>9107.02</v>
      </c>
      <c r="AS103" s="439" t="n">
        <f aca="false" t="array" ref="AS103:AS103">IF($R101=2,
         IF(AND(ACOMPANHAMENTO="PLE",ISNUMBER($F101)),
                SUMIF((OFFSET(CÁLCULO!$BS$15:$CS$15,$F101,0,OFFSET(ORÇAMENTO!$D$15,CRONO!$F101,0))),CRONO!AS$12,OFFSET(CÁLCULO!$AR$15:$BR$15,$F101,0,OFFSET(ORÇAMENTO!$D$15,CRONO!$F101,0)))
                +IF(AND($F103&lt;&gt;"",$F103&lt;&gt;0),
                        SUMIF(CÁLCULO!$BS$15:$CS$205,CRONO!AS$12,CÁLCULO!$AR$15:$BR$205)/(ORÇAMENTO!$X$15-_xlfn.single(CÁLCULO.TotalAdmLocal))*CRONO!$F103,
                        0),
                 AS102*$S101),
          SUMIF(OFFSET($S103,1,0,$R101-2),($M101+1)&amp;"$",OFFSET(AS103,1,0,$R101-2)))</f>
        <v>9107.02</v>
      </c>
      <c r="AT103" s="439" t="n">
        <f aca="false" t="array" ref="AT103:AT103">IF($R101=2,
         IF(AND(ACOMPANHAMENTO="PLE",ISNUMBER($F101)),
                SUMIF((OFFSET(CÁLCULO!$BS$15:$CS$15,$F101,0,OFFSET(ORÇAMENTO!$D$15,CRONO!$F101,0))),CRONO!AT$12,OFFSET(CÁLCULO!$AR$15:$BR$15,$F101,0,OFFSET(ORÇAMENTO!$D$15,CRONO!$F101,0)))
                +IF(AND($F103&lt;&gt;"",$F103&lt;&gt;0),
                        SUMIF(CÁLCULO!$BS$15:$CS$205,CRONO!AT$12,CÁLCULO!$AR$15:$BR$205)/(ORÇAMENTO!$X$15-_xlfn.single(CÁLCULO.TotalAdmLocal))*CRONO!$F103,
                        0),
                 AT102*$S101),
          SUMIF(OFFSET($S103,1,0,$R101-2),($M101+1)&amp;"$",OFFSET(AT103,1,0,$R101-2)))</f>
        <v>0</v>
      </c>
      <c r="AU103" s="439" t="n">
        <f aca="false" t="array" ref="AU103:AU103">IF($R101=2,
         IF(AND(ACOMPANHAMENTO="PLE",ISNUMBER($F101)),
                SUMIF((OFFSET(CÁLCULO!$BS$15:$CS$15,$F101,0,OFFSET(ORÇAMENTO!$D$15,CRONO!$F101,0))),CRONO!AU$12,OFFSET(CÁLCULO!$AR$15:$BR$15,$F101,0,OFFSET(ORÇAMENTO!$D$15,CRONO!$F101,0)))
                +IF(AND($F103&lt;&gt;"",$F103&lt;&gt;0),
                        SUMIF(CÁLCULO!$BS$15:$CS$205,CRONO!AU$12,CÁLCULO!$AR$15:$BR$205)/(ORÇAMENTO!$X$15-_xlfn.single(CÁLCULO.TotalAdmLocal))*CRONO!$F103,
                        0),
                 AU102*$S101),
          SUMIF(OFFSET($S103,1,0,$R101-2),($M101+1)&amp;"$",OFFSET(AU103,1,0,$R101-2)))</f>
        <v>0</v>
      </c>
      <c r="AV103" s="439" t="n">
        <f aca="false" t="array" ref="AV103:AV103">IF($R101=2,
         IF(AND(ACOMPANHAMENTO="PLE",ISNUMBER($F101)),
                SUMIF((OFFSET(CÁLCULO!$BS$15:$CS$15,$F101,0,OFFSET(ORÇAMENTO!$D$15,CRONO!$F101,0))),CRONO!AV$12,OFFSET(CÁLCULO!$AR$15:$BR$15,$F101,0,OFFSET(ORÇAMENTO!$D$15,CRONO!$F101,0)))
                +IF(AND($F103&lt;&gt;"",$F103&lt;&gt;0),
                        SUMIF(CÁLCULO!$BS$15:$CS$205,CRONO!AV$12,CÁLCULO!$AR$15:$BR$205)/(ORÇAMENTO!$X$15-_xlfn.single(CÁLCULO.TotalAdmLocal))*CRONO!$F103,
                        0),
                 AV102*$S101),
          SUMIF(OFFSET($S103,1,0,$R101-2),($M101+1)&amp;"$",OFFSET(AV103,1,0,$R101-2)))</f>
        <v>0</v>
      </c>
      <c r="AW103" s="439" t="n">
        <f aca="false" t="array" ref="AW103:AW103">IF($R101=2,
         IF(AND(ACOMPANHAMENTO="PLE",ISNUMBER($F101)),
                SUMIF((OFFSET(CÁLCULO!$BS$15:$CS$15,$F101,0,OFFSET(ORÇAMENTO!$D$15,CRONO!$F101,0))),CRONO!AW$12,OFFSET(CÁLCULO!$AR$15:$BR$15,$F101,0,OFFSET(ORÇAMENTO!$D$15,CRONO!$F101,0)))
                +IF(AND($F103&lt;&gt;"",$F103&lt;&gt;0),
                        SUMIF(CÁLCULO!$BS$15:$CS$205,CRONO!AW$12,CÁLCULO!$AR$15:$BR$205)/(ORÇAMENTO!$X$15-_xlfn.single(CÁLCULO.TotalAdmLocal))*CRONO!$F103,
                        0),
                 AW102*$S101),
          SUMIF(OFFSET($S103,1,0,$R101-2),($M101+1)&amp;"$",OFFSET(AW103,1,0,$R101-2)))</f>
        <v>0</v>
      </c>
      <c r="AX103" s="439" t="n">
        <f aca="false" t="array" ref="AX103:AX103">IF($R101=2,
         IF(AND(ACOMPANHAMENTO="PLE",ISNUMBER($F101)),
                SUMIF((OFFSET(CÁLCULO!$BS$15:$CS$15,$F101,0,OFFSET(ORÇAMENTO!$D$15,CRONO!$F101,0))),CRONO!AX$12,OFFSET(CÁLCULO!$AR$15:$BR$15,$F101,0,OFFSET(ORÇAMENTO!$D$15,CRONO!$F101,0)))
                +IF(AND($F103&lt;&gt;"",$F103&lt;&gt;0),
                        SUMIF(CÁLCULO!$BS$15:$CS$205,CRONO!AX$12,CÁLCULO!$AR$15:$BR$205)/(ORÇAMENTO!$X$15-_xlfn.single(CÁLCULO.TotalAdmLocal))*CRONO!$F103,
                        0),
                 AX102*$S101),
          SUMIF(OFFSET($S103,1,0,$R101-2),($M101+1)&amp;"$",OFFSET(AX103,1,0,$R101-2)))</f>
        <v>0</v>
      </c>
      <c r="AY103" s="439" t="n">
        <f aca="false" t="array" ref="AY103:AY103">IF($R101=2,
         IF(AND(ACOMPANHAMENTO="PLE",ISNUMBER($F101)),
                SUMIF((OFFSET(CÁLCULO!$BS$15:$CS$15,$F101,0,OFFSET(ORÇAMENTO!$D$15,CRONO!$F101,0))),CRONO!AY$12,OFFSET(CÁLCULO!$AR$15:$BR$15,$F101,0,OFFSET(ORÇAMENTO!$D$15,CRONO!$F101,0)))
                +IF(AND($F103&lt;&gt;"",$F103&lt;&gt;0),
                        SUMIF(CÁLCULO!$BS$15:$CS$205,CRONO!AY$12,CÁLCULO!$AR$15:$BR$205)/(ORÇAMENTO!$X$15-_xlfn.single(CÁLCULO.TotalAdmLocal))*CRONO!$F103,
                        0),
                 AY102*$S101),
          SUMIF(OFFSET($S103,1,0,$R101-2),($M101+1)&amp;"$",OFFSET(AY103,1,0,$R101-2)))</f>
        <v>0</v>
      </c>
      <c r="AZ103" s="439" t="n">
        <f aca="false" t="array" ref="AZ103:AZ103">IF($R101=2,
         IF(AND(ACOMPANHAMENTO="PLE",ISNUMBER($F101)),
                SUMIF((OFFSET(CÁLCULO!$BS$15:$CS$15,$F101,0,OFFSET(ORÇAMENTO!$D$15,CRONO!$F101,0))),CRONO!AZ$12,OFFSET(CÁLCULO!$AR$15:$BR$15,$F101,0,OFFSET(ORÇAMENTO!$D$15,CRONO!$F101,0)))
                +IF(AND($F103&lt;&gt;"",$F103&lt;&gt;0),
                        SUMIF(CÁLCULO!$BS$15:$CS$205,CRONO!AZ$12,CÁLCULO!$AR$15:$BR$205)/(ORÇAMENTO!$X$15-_xlfn.single(CÁLCULO.TotalAdmLocal))*CRONO!$F103,
                        0),
                 AZ102*$S101),
          SUMIF(OFFSET($S103,1,0,$R101-2),($M101+1)&amp;"$",OFFSET(AZ103,1,0,$R101-2)))</f>
        <v>0</v>
      </c>
      <c r="BA103" s="439" t="n">
        <f aca="false" t="array" ref="BA103:BA103">IF($R101=2,
         IF(AND(ACOMPANHAMENTO="PLE",ISNUMBER($F101)),
                SUMIF((OFFSET(CÁLCULO!$BS$15:$CS$15,$F101,0,OFFSET(ORÇAMENTO!$D$15,CRONO!$F101,0))),CRONO!BA$12,OFFSET(CÁLCULO!$AR$15:$BR$15,$F101,0,OFFSET(ORÇAMENTO!$D$15,CRONO!$F101,0)))
                +IF(AND($F103&lt;&gt;"",$F103&lt;&gt;0),
                        SUMIF(CÁLCULO!$BS$15:$CS$205,CRONO!BA$12,CÁLCULO!$AR$15:$BR$205)/(ORÇAMENTO!$X$15-_xlfn.single(CÁLCULO.TotalAdmLocal))*CRONO!$F103,
                        0),
                 BA102*$S101),
          SUMIF(OFFSET($S103,1,0,$R101-2),($M101+1)&amp;"$",OFFSET(BA103,1,0,$R101-2)))</f>
        <v>0</v>
      </c>
      <c r="BB103" s="439" t="n">
        <f aca="false" t="array" ref="BB103:BB103">IF($R101=2,
         IF(AND(ACOMPANHAMENTO="PLE",ISNUMBER($F101)),
                SUMIF((OFFSET(CÁLCULO!$BS$15:$CS$15,$F101,0,OFFSET(ORÇAMENTO!$D$15,CRONO!$F101,0))),CRONO!BB$12,OFFSET(CÁLCULO!$AR$15:$BR$15,$F101,0,OFFSET(ORÇAMENTO!$D$15,CRONO!$F101,0)))
                +IF(AND($F103&lt;&gt;"",$F103&lt;&gt;0),
                        SUMIF(CÁLCULO!$BS$15:$CS$205,CRONO!BB$12,CÁLCULO!$AR$15:$BR$205)/(ORÇAMENTO!$X$15-_xlfn.single(CÁLCULO.TotalAdmLocal))*CRONO!$F103,
                        0),
                 BB102*$S101),
          SUMIF(OFFSET($S103,1,0,$R101-2),($M101+1)&amp;"$",OFFSET(BB103,1,0,$R101-2)))</f>
        <v>0</v>
      </c>
      <c r="BC103" s="439" t="n">
        <f aca="false" t="array" ref="BC103:BC103">IF($R101=2,
         IF(AND(ACOMPANHAMENTO="PLE",ISNUMBER($F101)),
                SUMIF((OFFSET(CÁLCULO!$BS$15:$CS$15,$F101,0,OFFSET(ORÇAMENTO!$D$15,CRONO!$F101,0))),CRONO!BC$12,OFFSET(CÁLCULO!$AR$15:$BR$15,$F101,0,OFFSET(ORÇAMENTO!$D$15,CRONO!$F101,0)))
                +IF(AND($F103&lt;&gt;"",$F103&lt;&gt;0),
                        SUMIF(CÁLCULO!$BS$15:$CS$205,CRONO!BC$12,CÁLCULO!$AR$15:$BR$205)/(ORÇAMENTO!$X$15-_xlfn.single(CÁLCULO.TotalAdmLocal))*CRONO!$F103,
                        0),
                 BC102*$S101),
          SUMIF(OFFSET($S103,1,0,$R101-2),($M101+1)&amp;"$",OFFSET(BC103,1,0,$R101-2)))</f>
        <v>0</v>
      </c>
      <c r="BD103" s="439" t="n">
        <f aca="false" t="array" ref="BD103:BD103">IF($R101=2,
         IF(AND(ACOMPANHAMENTO="PLE",ISNUMBER($F101)),
                SUMIF((OFFSET(CÁLCULO!$BS$15:$CS$15,$F101,0,OFFSET(ORÇAMENTO!$D$15,CRONO!$F101,0))),CRONO!BD$12,OFFSET(CÁLCULO!$AR$15:$BR$15,$F101,0,OFFSET(ORÇAMENTO!$D$15,CRONO!$F101,0)))
                +IF(AND($F103&lt;&gt;"",$F103&lt;&gt;0),
                        SUMIF(CÁLCULO!$BS$15:$CS$205,CRONO!BD$12,CÁLCULO!$AR$15:$BR$205)/(ORÇAMENTO!$X$15-_xlfn.single(CÁLCULO.TotalAdmLocal))*CRONO!$F103,
                        0),
                 BD102*$S101),
          SUMIF(OFFSET($S103,1,0,$R101-2),($M101+1)&amp;"$",OFFSET(BD103,1,0,$R101-2)))</f>
        <v>0</v>
      </c>
      <c r="BE103" s="430"/>
    </row>
    <row r="104" customFormat="false" ht="12.75" hidden="true" customHeight="false" outlineLevel="0" collapsed="false">
      <c r="A104" s="382" t="str">
        <f aca="false">IF($M104&gt;1,_xlfn.CONCAT($I104," ",$J104),"")</f>
        <v>1.30. CARPETE</v>
      </c>
      <c r="B104" s="419" t="n">
        <f aca="true">OFFSET(B104,-3,0)+1</f>
        <v>31</v>
      </c>
      <c r="C104" s="419" t="n">
        <f aca="true">IF($R104&lt;&gt;2,0,IF($S104=0,1,IF(F105&gt;0,OFFSET(QCI!$M$13,SUBSTITUTE(F105,".",""),0),OFFSET(ORÇAMENTO!$AA$15,CRONO!$F104,0))/$S104))</f>
        <v>1</v>
      </c>
      <c r="D104" s="419" t="n">
        <f aca="true">IF($R104&lt;&gt;2,0,IF($S104=0,1,IF(F105&gt;0,OFFSET(QCI!$N$13,SUBSTITUTE(F105,".",""),0),OFFSET(ORÇAMENTO!$AB$15,CRONO!$F104,0))/$S104))</f>
        <v>1</v>
      </c>
      <c r="E104" s="422" t="e">
        <f aca="false" t="array" ref="E104:E104">IF(AND($R104=2,ACOMPANHAMENTO="BM"),ROUND(E105,4),E106/$S104)</f>
        <v>#DIV/0!</v>
      </c>
      <c r="F104" s="419" t="n">
        <f aca="true">IF(B104&lt;=ORÇAMENTO.MáximoListaCrono,MATCH(B104,ORÇAMENTO.ListaCrono,0),NA())</f>
        <v>95</v>
      </c>
      <c r="G104" s="419" t="str">
        <f aca="false">IF(AND($F105&lt;&gt;-1,$S104&gt;0),"F","")</f>
        <v/>
      </c>
      <c r="H104" s="423" t="str">
        <f aca="false" t="array" ref="H104:H104">IF(OR(S104=0,S104=""),"Linha",IF(AND(OR(ACOMPANHAMENTO="PLE",$R104&lt;&gt;2),$F105=0),"Linha",ROUND(1-SUM(U104:BE104),4)))</f>
        <v>Linha</v>
      </c>
      <c r="I104" s="424" t="str">
        <f aca="true">IF($F105=0,OFFSET(ORÇAMENTO!O$15,$F104,0),IF($F105&lt;&gt;-1,OFFSET(QCI!$D$13,$F105,0),""))</f>
        <v>1.30.</v>
      </c>
      <c r="J104" s="425" t="str">
        <f aca="true">IF($F105=0,OFFSET(ORÇAMENTO!R$15,$F104,0),IF($F105&lt;&gt;-1,OFFSET(QCI!$G$13,$F105,0),""))</f>
        <v>CARPETE</v>
      </c>
      <c r="K104" s="425"/>
      <c r="L104" s="425"/>
      <c r="M104" s="426" t="n">
        <f aca="true">IF($F105=0,OFFSET(ORÇAMENTO!C$15,$F104,0),1)</f>
        <v>2</v>
      </c>
      <c r="N104" s="427" t="n">
        <f aca="true">IF($F105=-1,0,IF(N$13&lt;=$M104,IF(ISERROR(MATCH(N$13,OFFSET($M104,1,0,ROW($M$182)-ROW($M104)-1),0)),ROW($M$182)-ROW($M104)-1,MATCH(N$13,OFFSET($M104,1,0,ROW($M$182)-ROW($M104)-1),0)-1),0))</f>
        <v>77</v>
      </c>
      <c r="O104" s="427" t="n">
        <f aca="true">IF($F105=-1,0,IF(O$13&lt;=$M104,IF(ISERROR(MATCH(O$13,OFFSET($M104,1,0,ROW($M$182)-ROW($M104)-1),0)),ROW($M$182)-ROW($M104)-1,MATCH(O$13,OFFSET($M104,1,0,ROW($M$182)-ROW($M104)-1),0)-1),0))</f>
        <v>2</v>
      </c>
      <c r="P104" s="427" t="n">
        <f aca="true">IF($F105=-1,0,IF(P$13&lt;=$M104,IF(ISERROR(MATCH(P$13,OFFSET($M104,1,0,ROW($M$182)-ROW($M104)-1),0)),ROW($M$182)-ROW($M104)-1,MATCH(P$13,OFFSET($M104,1,0,ROW($M$182)-ROW($M104)-1),0)-1),0))</f>
        <v>0</v>
      </c>
      <c r="Q104" s="427" t="n">
        <f aca="true">IF($F105=-1,0,IF(Q$13&lt;=$M104,IF(ISERROR(MATCH(Q$13,OFFSET($M104,1,0,ROW($M$182)-ROW($M104)-1),0)),ROW($M$182)-ROW($M104)-1,MATCH(Q$13,OFFSET($M104,1,0,ROW($M$182)-ROW($M104)-1),0)-1),0))</f>
        <v>0</v>
      </c>
      <c r="R104" s="427" t="n">
        <f aca="true">MIN(OFFSET(M104,0,1,,M104))</f>
        <v>2</v>
      </c>
      <c r="S104" s="428" t="n">
        <f aca="true">IF($F105=0,OFFSET(ORÇAMENTO!X$15,$F104,0),IF($F105&lt;&gt;-1,OFFSET(QCI!$O$13,$F105,0),""))</f>
        <v>0</v>
      </c>
      <c r="T104" s="429" t="s">
        <v>996</v>
      </c>
      <c r="U104" s="422" t="e">
        <f aca="false" t="array" ref="U104:U104">IF(AND($R104=2,ACOMPANHAMENTO="BM"),ROUND(U105,4),U106/$S104)</f>
        <v>#DIV/0!</v>
      </c>
      <c r="V104" s="422" t="e">
        <f aca="false" t="array" ref="V104:V104">IF(AND($R104=2,ACOMPANHAMENTO="BM"),ROUND(V105,4),V106/$S104)</f>
        <v>#DIV/0!</v>
      </c>
      <c r="W104" s="422" t="e">
        <f aca="false" t="array" ref="W104:W104">IF(AND($R104=2,ACOMPANHAMENTO="BM"),ROUND(W105,4),W106/$S104)</f>
        <v>#DIV/0!</v>
      </c>
      <c r="X104" s="422" t="e">
        <f aca="false" t="array" ref="X104:X104">IF(AND($R104=2,ACOMPANHAMENTO="BM"),ROUND(X105,4),X106/$S104)</f>
        <v>#DIV/0!</v>
      </c>
      <c r="Y104" s="422" t="e">
        <f aca="false" t="array" ref="Y104:Y104">IF(AND($R104=2,ACOMPANHAMENTO="BM"),ROUND(Y105,4),Y106/$S104)</f>
        <v>#DIV/0!</v>
      </c>
      <c r="Z104" s="422" t="e">
        <f aca="false" t="array" ref="Z104:Z104">IF(AND($R104=2,ACOMPANHAMENTO="BM"),ROUND(Z105,4),Z106/$S104)</f>
        <v>#DIV/0!</v>
      </c>
      <c r="AA104" s="422" t="e">
        <f aca="false" t="array" ref="AA104:AA104">IF(AND($R104=2,ACOMPANHAMENTO="BM"),ROUND(AA105,4),AA106/$S104)</f>
        <v>#DIV/0!</v>
      </c>
      <c r="AB104" s="422" t="e">
        <f aca="false" t="array" ref="AB104:AB104">IF(AND($R104=2,ACOMPANHAMENTO="BM"),ROUND(AB105,4),AB106/$S104)</f>
        <v>#DIV/0!</v>
      </c>
      <c r="AC104" s="422" t="e">
        <f aca="false" t="array" ref="AC104:AC104">IF(AND($R104=2,ACOMPANHAMENTO="BM"),ROUND(AC105,4),AC106/$S104)</f>
        <v>#DIV/0!</v>
      </c>
      <c r="AD104" s="422" t="e">
        <f aca="false" t="array" ref="AD104:AD104">IF(AND($R104=2,ACOMPANHAMENTO="BM"),ROUND(AD105,4),AD106/$S104)</f>
        <v>#DIV/0!</v>
      </c>
      <c r="AE104" s="422" t="e">
        <f aca="false" t="array" ref="AE104:AE104">IF(AND($R104=2,ACOMPANHAMENTO="BM"),ROUND(AE105,4),AE106/$S104)</f>
        <v>#DIV/0!</v>
      </c>
      <c r="AF104" s="422" t="e">
        <f aca="false" t="array" ref="AF104:AF104">IF(AND($R104=2,ACOMPANHAMENTO="BM"),ROUND(AF105,4),AF106/$S104)</f>
        <v>#DIV/0!</v>
      </c>
      <c r="AG104" s="422" t="e">
        <f aca="false" t="array" ref="AG104:AG104">IF(AND($R104=2,ACOMPANHAMENTO="BM"),ROUND(AG105,4),AG106/$S104)</f>
        <v>#DIV/0!</v>
      </c>
      <c r="AH104" s="422" t="e">
        <f aca="false" t="array" ref="AH104:AH104">IF(AND($R104=2,ACOMPANHAMENTO="BM"),ROUND(AH105,4),AH106/$S104)</f>
        <v>#DIV/0!</v>
      </c>
      <c r="AI104" s="422" t="e">
        <f aca="false" t="array" ref="AI104:AI104">IF(AND($R104=2,ACOMPANHAMENTO="BM"),ROUND(AI105,4),AI106/$S104)</f>
        <v>#DIV/0!</v>
      </c>
      <c r="AJ104" s="422" t="e">
        <f aca="false" t="array" ref="AJ104:AJ104">IF(AND($R104=2,ACOMPANHAMENTO="BM"),ROUND(AJ105,4),AJ106/$S104)</f>
        <v>#DIV/0!</v>
      </c>
      <c r="AK104" s="422" t="e">
        <f aca="false" t="array" ref="AK104:AK104">IF(AND($R104=2,ACOMPANHAMENTO="BM"),ROUND(AK105,4),AK106/$S104)</f>
        <v>#DIV/0!</v>
      </c>
      <c r="AL104" s="422" t="e">
        <f aca="false" t="array" ref="AL104:AL104">IF(AND($R104=2,ACOMPANHAMENTO="BM"),ROUND(AL105,4),AL106/$S104)</f>
        <v>#DIV/0!</v>
      </c>
      <c r="AM104" s="422" t="e">
        <f aca="false" t="array" ref="AM104:AM104">IF(AND($R104=2,ACOMPANHAMENTO="BM"),ROUND(AM105,4),AM106/$S104)</f>
        <v>#DIV/0!</v>
      </c>
      <c r="AN104" s="422" t="e">
        <f aca="false" t="array" ref="AN104:AN104">IF(AND($R104=2,ACOMPANHAMENTO="BM"),ROUND(AN105,4),AN106/$S104)</f>
        <v>#DIV/0!</v>
      </c>
      <c r="AO104" s="422" t="e">
        <f aca="false" t="array" ref="AO104:AO104">IF(AND($R104=2,ACOMPANHAMENTO="BM"),ROUND(AO105,4),AO106/$S104)</f>
        <v>#DIV/0!</v>
      </c>
      <c r="AP104" s="422" t="e">
        <f aca="false" t="array" ref="AP104:AP104">IF(AND($R104=2,ACOMPANHAMENTO="BM"),ROUND(AP105,4),AP106/$S104)</f>
        <v>#DIV/0!</v>
      </c>
      <c r="AQ104" s="422" t="e">
        <f aca="false" t="array" ref="AQ104:AQ104">IF(AND($R104=2,ACOMPANHAMENTO="BM"),ROUND(AQ105,4),AQ106/$S104)</f>
        <v>#DIV/0!</v>
      </c>
      <c r="AR104" s="422" t="e">
        <f aca="false" t="array" ref="AR104:AR104">IF(AND($R104=2,ACOMPANHAMENTO="BM"),ROUND(AR105,4),AR106/$S104)</f>
        <v>#DIV/0!</v>
      </c>
      <c r="AS104" s="422" t="e">
        <f aca="false" t="array" ref="AS104:AS104">IF(AND($R104=2,ACOMPANHAMENTO="BM"),ROUND(AS105,4),AS106/$S104)</f>
        <v>#DIV/0!</v>
      </c>
      <c r="AT104" s="422" t="e">
        <f aca="false" t="array" ref="AT104:AT104">IF(AND($R104=2,ACOMPANHAMENTO="BM"),ROUND(AT105,4),AT106/$S104)</f>
        <v>#DIV/0!</v>
      </c>
      <c r="AU104" s="422" t="e">
        <f aca="false" t="array" ref="AU104:AU104">IF(AND($R104=2,ACOMPANHAMENTO="BM"),ROUND(AU105,4),AU106/$S104)</f>
        <v>#DIV/0!</v>
      </c>
      <c r="AV104" s="422" t="e">
        <f aca="false" t="array" ref="AV104:AV104">IF(AND($R104=2,ACOMPANHAMENTO="BM"),ROUND(AV105,4),AV106/$S104)</f>
        <v>#DIV/0!</v>
      </c>
      <c r="AW104" s="422" t="e">
        <f aca="false" t="array" ref="AW104:AW104">IF(AND($R104=2,ACOMPANHAMENTO="BM"),ROUND(AW105,4),AW106/$S104)</f>
        <v>#DIV/0!</v>
      </c>
      <c r="AX104" s="422" t="e">
        <f aca="false" t="array" ref="AX104:AX104">IF(AND($R104=2,ACOMPANHAMENTO="BM"),ROUND(AX105,4),AX106/$S104)</f>
        <v>#DIV/0!</v>
      </c>
      <c r="AY104" s="422" t="e">
        <f aca="false" t="array" ref="AY104:AY104">IF(AND($R104=2,ACOMPANHAMENTO="BM"),ROUND(AY105,4),AY106/$S104)</f>
        <v>#DIV/0!</v>
      </c>
      <c r="AZ104" s="422" t="e">
        <f aca="false" t="array" ref="AZ104:AZ104">IF(AND($R104=2,ACOMPANHAMENTO="BM"),ROUND(AZ105,4),AZ106/$S104)</f>
        <v>#DIV/0!</v>
      </c>
      <c r="BA104" s="422" t="e">
        <f aca="false" t="array" ref="BA104:BA104">IF(AND($R104=2,ACOMPANHAMENTO="BM"),ROUND(BA105,4),BA106/$S104)</f>
        <v>#DIV/0!</v>
      </c>
      <c r="BB104" s="422" t="e">
        <f aca="false" t="array" ref="BB104:BB104">IF(AND($R104=2,ACOMPANHAMENTO="BM"),ROUND(BB105,4),BB106/$S104)</f>
        <v>#DIV/0!</v>
      </c>
      <c r="BC104" s="422" t="e">
        <f aca="false" t="array" ref="BC104:BC104">IF(AND($R104=2,ACOMPANHAMENTO="BM"),ROUND(BC105,4),BC106/$S104)</f>
        <v>#DIV/0!</v>
      </c>
      <c r="BD104" s="422" t="e">
        <f aca="false" t="array" ref="BD104:BD104">IF(AND($R104=2,ACOMPANHAMENTO="BM"),ROUND(BD105,4),BD106/$S104)</f>
        <v>#DIV/0!</v>
      </c>
      <c r="BE104" s="430"/>
    </row>
    <row r="105" customFormat="false" ht="12.75" hidden="true" customHeight="true" outlineLevel="0" collapsed="false">
      <c r="E105" s="431"/>
      <c r="F105" s="419" t="n">
        <f aca="true">IF(ISERROR(F104),IF(1+COUNTIF($M$13:OFFSET(M104,-1,0),1)&lt;=MAX(QCI!$D$13:$D$15),1+COUNTIF($M$13:OFFSET(M104,-1,0),1),-1),0)</f>
        <v>0</v>
      </c>
      <c r="G105" s="419" t="str">
        <f aca="true" t="array" ref="G105:G105">IF(ACOMPANHAMENTO="BM",OFFSET(G105,-1,0),"")</f>
        <v/>
      </c>
      <c r="H105" s="432" t="str">
        <f aca="false" t="array" ref="H105:H105">IF(OR(S104=0,S104=""),"vazia",IF(AND(OR(ACOMPANHAMENTO="PLE",$R104&lt;&gt;2),$F105=0),"calculada","--&gt;"))</f>
        <v>vazia</v>
      </c>
      <c r="I105" s="433"/>
      <c r="J105" s="434" t="str">
        <f aca="false">IF(AND(H104&lt;&gt;0,ISNUMBER(H104)),"PREENCHA ESTA LINHA --&gt;","")</f>
        <v/>
      </c>
      <c r="K105" s="434"/>
      <c r="L105" s="434"/>
      <c r="M105" s="435"/>
      <c r="N105" s="435"/>
      <c r="O105" s="435"/>
      <c r="P105" s="435"/>
      <c r="Q105" s="435"/>
      <c r="R105" s="435"/>
      <c r="S105" s="436"/>
      <c r="T105" s="437"/>
      <c r="U105" s="431"/>
      <c r="V105" s="431"/>
      <c r="W105" s="431"/>
      <c r="X105" s="431"/>
      <c r="Y105" s="431"/>
      <c r="Z105" s="431"/>
      <c r="AA105" s="431"/>
      <c r="AB105" s="431"/>
      <c r="AC105" s="431"/>
      <c r="AD105" s="431"/>
      <c r="AE105" s="431"/>
      <c r="AF105" s="431"/>
      <c r="AG105" s="431"/>
      <c r="AH105" s="431"/>
      <c r="AI105" s="431"/>
      <c r="AJ105" s="431"/>
      <c r="AK105" s="431"/>
      <c r="AL105" s="431"/>
      <c r="AM105" s="431"/>
      <c r="AN105" s="431"/>
      <c r="AO105" s="431"/>
      <c r="AP105" s="431"/>
      <c r="AQ105" s="431"/>
      <c r="AR105" s="431"/>
      <c r="AS105" s="431"/>
      <c r="AT105" s="431"/>
      <c r="AU105" s="431"/>
      <c r="AV105" s="431"/>
      <c r="AW105" s="431"/>
      <c r="AX105" s="431"/>
      <c r="AY105" s="431"/>
      <c r="AZ105" s="431"/>
      <c r="BA105" s="431"/>
      <c r="BB105" s="431"/>
      <c r="BC105" s="431"/>
      <c r="BD105" s="431"/>
      <c r="BE105" s="430"/>
    </row>
    <row r="106" customFormat="false" ht="12.75" hidden="true" customHeight="true" outlineLevel="0" collapsed="false">
      <c r="D106" s="438"/>
      <c r="E106" s="439" t="n">
        <f aca="false" t="array" ref="E106:E106">IF($R104=2,
         IF(AND(ACOMPANHAMENTO="PLE",ISNUMBER($F104)),
                SUMIF((OFFSET(CÁLCULO!$BS$15:$CS$15,$F104,0,OFFSET(ORÇAMENTO!$D$15,CRONO!$F104,0))),CRONO!E$12,OFFSET(CÁLCULO!$AR$15:$BR$15,$F104,0,OFFSET(ORÇAMENTO!$D$15,CRONO!$F104,0)))
                +IF(AND($F106&lt;&gt;"",$F106&lt;&gt;0),
                        SUMIF(CÁLCULO!$BS$15:$CS$205,CRONO!E$12,CÁLCULO!$AR$15:$BR$205)/(ORÇAMENTO!$X$15-_xlfn.single(CÁLCULO.TotalAdmLocal))*CRONO!$F106,
                        0),
                 E105*$S104),
          SUMIF(OFFSET($S106,1,0,$R104-2),($M104+1)&amp;"$",OFFSET(E106,1,0,$R104-2)))</f>
        <v>0</v>
      </c>
      <c r="F106" s="419" t="str">
        <f aca="true">IF(OR($R104&lt;&gt;2,AUTOEVENTO&lt;&gt;"manual",$F105&gt;0),"",
        IF(Import.TipoArredondamento="Tradicional",
              SUMIF(OFFSET(CÁLCULO!$M$15,CRONO!$F104,0,OFFSET(ORÇAMENTO!$D$15,CRONO!$F104,0)),1,OFFSET(ORÇAMENTO!$X$15,CRONO!$F104,0,OFFSET(ORÇAMENTO!$D$15,CRONO!$F104,0))),
              0))</f>
        <v/>
      </c>
      <c r="H106" s="440"/>
      <c r="S106" s="441" t="str">
        <f aca="false">M104&amp;"$"</f>
        <v>2$</v>
      </c>
      <c r="T106" s="442"/>
      <c r="U106" s="439" t="n">
        <f aca="false" t="array" ref="U106:U106">IF($R104=2,
         IF(AND(ACOMPANHAMENTO="PLE",ISNUMBER($F104)),
                SUMIF((OFFSET(CÁLCULO!$BS$15:$CS$15,$F104,0,OFFSET(ORÇAMENTO!$D$15,CRONO!$F104,0))),CRONO!U$12,OFFSET(CÁLCULO!$AR$15:$BR$15,$F104,0,OFFSET(ORÇAMENTO!$D$15,CRONO!$F104,0)))
                +IF(AND($F106&lt;&gt;"",$F106&lt;&gt;0),
                        SUMIF(CÁLCULO!$BS$15:$CS$205,CRONO!U$12,CÁLCULO!$AR$15:$BR$205)/(ORÇAMENTO!$X$15-_xlfn.single(CÁLCULO.TotalAdmLocal))*CRONO!$F106,
                        0),
                 U105*$S104),
          SUMIF(OFFSET($S106,1,0,$R104-2),($M104+1)&amp;"$",OFFSET(U106,1,0,$R104-2)))</f>
        <v>0</v>
      </c>
      <c r="V106" s="439" t="n">
        <f aca="false" t="array" ref="V106:V106">IF($R104=2,
         IF(AND(ACOMPANHAMENTO="PLE",ISNUMBER($F104)),
                SUMIF((OFFSET(CÁLCULO!$BS$15:$CS$15,$F104,0,OFFSET(ORÇAMENTO!$D$15,CRONO!$F104,0))),CRONO!V$12,OFFSET(CÁLCULO!$AR$15:$BR$15,$F104,0,OFFSET(ORÇAMENTO!$D$15,CRONO!$F104,0)))
                +IF(AND($F106&lt;&gt;"",$F106&lt;&gt;0),
                        SUMIF(CÁLCULO!$BS$15:$CS$205,CRONO!V$12,CÁLCULO!$AR$15:$BR$205)/(ORÇAMENTO!$X$15-_xlfn.single(CÁLCULO.TotalAdmLocal))*CRONO!$F106,
                        0),
                 V105*$S104),
          SUMIF(OFFSET($S106,1,0,$R104-2),($M104+1)&amp;"$",OFFSET(V106,1,0,$R104-2)))</f>
        <v>0</v>
      </c>
      <c r="W106" s="439" t="n">
        <f aca="false" t="array" ref="W106:W106">IF($R104=2,
         IF(AND(ACOMPANHAMENTO="PLE",ISNUMBER($F104)),
                SUMIF((OFFSET(CÁLCULO!$BS$15:$CS$15,$F104,0,OFFSET(ORÇAMENTO!$D$15,CRONO!$F104,0))),CRONO!W$12,OFFSET(CÁLCULO!$AR$15:$BR$15,$F104,0,OFFSET(ORÇAMENTO!$D$15,CRONO!$F104,0)))
                +IF(AND($F106&lt;&gt;"",$F106&lt;&gt;0),
                        SUMIF(CÁLCULO!$BS$15:$CS$205,CRONO!W$12,CÁLCULO!$AR$15:$BR$205)/(ORÇAMENTO!$X$15-_xlfn.single(CÁLCULO.TotalAdmLocal))*CRONO!$F106,
                        0),
                 W105*$S104),
          SUMIF(OFFSET($S106,1,0,$R104-2),($M104+1)&amp;"$",OFFSET(W106,1,0,$R104-2)))</f>
        <v>0</v>
      </c>
      <c r="X106" s="439" t="n">
        <f aca="false" t="array" ref="X106:X106">IF($R104=2,
         IF(AND(ACOMPANHAMENTO="PLE",ISNUMBER($F104)),
                SUMIF((OFFSET(CÁLCULO!$BS$15:$CS$15,$F104,0,OFFSET(ORÇAMENTO!$D$15,CRONO!$F104,0))),CRONO!X$12,OFFSET(CÁLCULO!$AR$15:$BR$15,$F104,0,OFFSET(ORÇAMENTO!$D$15,CRONO!$F104,0)))
                +IF(AND($F106&lt;&gt;"",$F106&lt;&gt;0),
                        SUMIF(CÁLCULO!$BS$15:$CS$205,CRONO!X$12,CÁLCULO!$AR$15:$BR$205)/(ORÇAMENTO!$X$15-_xlfn.single(CÁLCULO.TotalAdmLocal))*CRONO!$F106,
                        0),
                 X105*$S104),
          SUMIF(OFFSET($S106,1,0,$R104-2),($M104+1)&amp;"$",OFFSET(X106,1,0,$R104-2)))</f>
        <v>0</v>
      </c>
      <c r="Y106" s="439" t="n">
        <f aca="false" t="array" ref="Y106:Y106">IF($R104=2,
         IF(AND(ACOMPANHAMENTO="PLE",ISNUMBER($F104)),
                SUMIF((OFFSET(CÁLCULO!$BS$15:$CS$15,$F104,0,OFFSET(ORÇAMENTO!$D$15,CRONO!$F104,0))),CRONO!Y$12,OFFSET(CÁLCULO!$AR$15:$BR$15,$F104,0,OFFSET(ORÇAMENTO!$D$15,CRONO!$F104,0)))
                +IF(AND($F106&lt;&gt;"",$F106&lt;&gt;0),
                        SUMIF(CÁLCULO!$BS$15:$CS$205,CRONO!Y$12,CÁLCULO!$AR$15:$BR$205)/(ORÇAMENTO!$X$15-_xlfn.single(CÁLCULO.TotalAdmLocal))*CRONO!$F106,
                        0),
                 Y105*$S104),
          SUMIF(OFFSET($S106,1,0,$R104-2),($M104+1)&amp;"$",OFFSET(Y106,1,0,$R104-2)))</f>
        <v>0</v>
      </c>
      <c r="Z106" s="439" t="n">
        <f aca="false" t="array" ref="Z106:Z106">IF($R104=2,
         IF(AND(ACOMPANHAMENTO="PLE",ISNUMBER($F104)),
                SUMIF((OFFSET(CÁLCULO!$BS$15:$CS$15,$F104,0,OFFSET(ORÇAMENTO!$D$15,CRONO!$F104,0))),CRONO!Z$12,OFFSET(CÁLCULO!$AR$15:$BR$15,$F104,0,OFFSET(ORÇAMENTO!$D$15,CRONO!$F104,0)))
                +IF(AND($F106&lt;&gt;"",$F106&lt;&gt;0),
                        SUMIF(CÁLCULO!$BS$15:$CS$205,CRONO!Z$12,CÁLCULO!$AR$15:$BR$205)/(ORÇAMENTO!$X$15-_xlfn.single(CÁLCULO.TotalAdmLocal))*CRONO!$F106,
                        0),
                 Z105*$S104),
          SUMIF(OFFSET($S106,1,0,$R104-2),($M104+1)&amp;"$",OFFSET(Z106,1,0,$R104-2)))</f>
        <v>0</v>
      </c>
      <c r="AA106" s="439" t="n">
        <f aca="false" t="array" ref="AA106:AA106">IF($R104=2,
         IF(AND(ACOMPANHAMENTO="PLE",ISNUMBER($F104)),
                SUMIF((OFFSET(CÁLCULO!$BS$15:$CS$15,$F104,0,OFFSET(ORÇAMENTO!$D$15,CRONO!$F104,0))),CRONO!AA$12,OFFSET(CÁLCULO!$AR$15:$BR$15,$F104,0,OFFSET(ORÇAMENTO!$D$15,CRONO!$F104,0)))
                +IF(AND($F106&lt;&gt;"",$F106&lt;&gt;0),
                        SUMIF(CÁLCULO!$BS$15:$CS$205,CRONO!AA$12,CÁLCULO!$AR$15:$BR$205)/(ORÇAMENTO!$X$15-_xlfn.single(CÁLCULO.TotalAdmLocal))*CRONO!$F106,
                        0),
                 AA105*$S104),
          SUMIF(OFFSET($S106,1,0,$R104-2),($M104+1)&amp;"$",OFFSET(AA106,1,0,$R104-2)))</f>
        <v>0</v>
      </c>
      <c r="AB106" s="439" t="n">
        <f aca="false" t="array" ref="AB106:AB106">IF($R104=2,
         IF(AND(ACOMPANHAMENTO="PLE",ISNUMBER($F104)),
                SUMIF((OFFSET(CÁLCULO!$BS$15:$CS$15,$F104,0,OFFSET(ORÇAMENTO!$D$15,CRONO!$F104,0))),CRONO!AB$12,OFFSET(CÁLCULO!$AR$15:$BR$15,$F104,0,OFFSET(ORÇAMENTO!$D$15,CRONO!$F104,0)))
                +IF(AND($F106&lt;&gt;"",$F106&lt;&gt;0),
                        SUMIF(CÁLCULO!$BS$15:$CS$205,CRONO!AB$12,CÁLCULO!$AR$15:$BR$205)/(ORÇAMENTO!$X$15-_xlfn.single(CÁLCULO.TotalAdmLocal))*CRONO!$F106,
                        0),
                 AB105*$S104),
          SUMIF(OFFSET($S106,1,0,$R104-2),($M104+1)&amp;"$",OFFSET(AB106,1,0,$R104-2)))</f>
        <v>0</v>
      </c>
      <c r="AC106" s="439" t="n">
        <f aca="false" t="array" ref="AC106:AC106">IF($R104=2,
         IF(AND(ACOMPANHAMENTO="PLE",ISNUMBER($F104)),
                SUMIF((OFFSET(CÁLCULO!$BS$15:$CS$15,$F104,0,OFFSET(ORÇAMENTO!$D$15,CRONO!$F104,0))),CRONO!AC$12,OFFSET(CÁLCULO!$AR$15:$BR$15,$F104,0,OFFSET(ORÇAMENTO!$D$15,CRONO!$F104,0)))
                +IF(AND($F106&lt;&gt;"",$F106&lt;&gt;0),
                        SUMIF(CÁLCULO!$BS$15:$CS$205,CRONO!AC$12,CÁLCULO!$AR$15:$BR$205)/(ORÇAMENTO!$X$15-_xlfn.single(CÁLCULO.TotalAdmLocal))*CRONO!$F106,
                        0),
                 AC105*$S104),
          SUMIF(OFFSET($S106,1,0,$R104-2),($M104+1)&amp;"$",OFFSET(AC106,1,0,$R104-2)))</f>
        <v>0</v>
      </c>
      <c r="AD106" s="439" t="n">
        <f aca="false" t="array" ref="AD106:AD106">IF($R104=2,
         IF(AND(ACOMPANHAMENTO="PLE",ISNUMBER($F104)),
                SUMIF((OFFSET(CÁLCULO!$BS$15:$CS$15,$F104,0,OFFSET(ORÇAMENTO!$D$15,CRONO!$F104,0))),CRONO!AD$12,OFFSET(CÁLCULO!$AR$15:$BR$15,$F104,0,OFFSET(ORÇAMENTO!$D$15,CRONO!$F104,0)))
                +IF(AND($F106&lt;&gt;"",$F106&lt;&gt;0),
                        SUMIF(CÁLCULO!$BS$15:$CS$205,CRONO!AD$12,CÁLCULO!$AR$15:$BR$205)/(ORÇAMENTO!$X$15-_xlfn.single(CÁLCULO.TotalAdmLocal))*CRONO!$F106,
                        0),
                 AD105*$S104),
          SUMIF(OFFSET($S106,1,0,$R104-2),($M104+1)&amp;"$",OFFSET(AD106,1,0,$R104-2)))</f>
        <v>0</v>
      </c>
      <c r="AE106" s="439" t="n">
        <f aca="false" t="array" ref="AE106:AE106">IF($R104=2,
         IF(AND(ACOMPANHAMENTO="PLE",ISNUMBER($F104)),
                SUMIF((OFFSET(CÁLCULO!$BS$15:$CS$15,$F104,0,OFFSET(ORÇAMENTO!$D$15,CRONO!$F104,0))),CRONO!AE$12,OFFSET(CÁLCULO!$AR$15:$BR$15,$F104,0,OFFSET(ORÇAMENTO!$D$15,CRONO!$F104,0)))
                +IF(AND($F106&lt;&gt;"",$F106&lt;&gt;0),
                        SUMIF(CÁLCULO!$BS$15:$CS$205,CRONO!AE$12,CÁLCULO!$AR$15:$BR$205)/(ORÇAMENTO!$X$15-_xlfn.single(CÁLCULO.TotalAdmLocal))*CRONO!$F106,
                        0),
                 AE105*$S104),
          SUMIF(OFFSET($S106,1,0,$R104-2),($M104+1)&amp;"$",OFFSET(AE106,1,0,$R104-2)))</f>
        <v>0</v>
      </c>
      <c r="AF106" s="439" t="n">
        <f aca="false" t="array" ref="AF106:AF106">IF($R104=2,
         IF(AND(ACOMPANHAMENTO="PLE",ISNUMBER($F104)),
                SUMIF((OFFSET(CÁLCULO!$BS$15:$CS$15,$F104,0,OFFSET(ORÇAMENTO!$D$15,CRONO!$F104,0))),CRONO!AF$12,OFFSET(CÁLCULO!$AR$15:$BR$15,$F104,0,OFFSET(ORÇAMENTO!$D$15,CRONO!$F104,0)))
                +IF(AND($F106&lt;&gt;"",$F106&lt;&gt;0),
                        SUMIF(CÁLCULO!$BS$15:$CS$205,CRONO!AF$12,CÁLCULO!$AR$15:$BR$205)/(ORÇAMENTO!$X$15-_xlfn.single(CÁLCULO.TotalAdmLocal))*CRONO!$F106,
                        0),
                 AF105*$S104),
          SUMIF(OFFSET($S106,1,0,$R104-2),($M104+1)&amp;"$",OFFSET(AF106,1,0,$R104-2)))</f>
        <v>0</v>
      </c>
      <c r="AG106" s="439" t="n">
        <f aca="false" t="array" ref="AG106:AG106">IF($R104=2,
         IF(AND(ACOMPANHAMENTO="PLE",ISNUMBER($F104)),
                SUMIF((OFFSET(CÁLCULO!$BS$15:$CS$15,$F104,0,OFFSET(ORÇAMENTO!$D$15,CRONO!$F104,0))),CRONO!AG$12,OFFSET(CÁLCULO!$AR$15:$BR$15,$F104,0,OFFSET(ORÇAMENTO!$D$15,CRONO!$F104,0)))
                +IF(AND($F106&lt;&gt;"",$F106&lt;&gt;0),
                        SUMIF(CÁLCULO!$BS$15:$CS$205,CRONO!AG$12,CÁLCULO!$AR$15:$BR$205)/(ORÇAMENTO!$X$15-_xlfn.single(CÁLCULO.TotalAdmLocal))*CRONO!$F106,
                        0),
                 AG105*$S104),
          SUMIF(OFFSET($S106,1,0,$R104-2),($M104+1)&amp;"$",OFFSET(AG106,1,0,$R104-2)))</f>
        <v>0</v>
      </c>
      <c r="AH106" s="439" t="n">
        <f aca="false" t="array" ref="AH106:AH106">IF($R104=2,
         IF(AND(ACOMPANHAMENTO="PLE",ISNUMBER($F104)),
                SUMIF((OFFSET(CÁLCULO!$BS$15:$CS$15,$F104,0,OFFSET(ORÇAMENTO!$D$15,CRONO!$F104,0))),CRONO!AH$12,OFFSET(CÁLCULO!$AR$15:$BR$15,$F104,0,OFFSET(ORÇAMENTO!$D$15,CRONO!$F104,0)))
                +IF(AND($F106&lt;&gt;"",$F106&lt;&gt;0),
                        SUMIF(CÁLCULO!$BS$15:$CS$205,CRONO!AH$12,CÁLCULO!$AR$15:$BR$205)/(ORÇAMENTO!$X$15-_xlfn.single(CÁLCULO.TotalAdmLocal))*CRONO!$F106,
                        0),
                 AH105*$S104),
          SUMIF(OFFSET($S106,1,0,$R104-2),($M104+1)&amp;"$",OFFSET(AH106,1,0,$R104-2)))</f>
        <v>0</v>
      </c>
      <c r="AI106" s="439" t="n">
        <f aca="false" t="array" ref="AI106:AI106">IF($R104=2,
         IF(AND(ACOMPANHAMENTO="PLE",ISNUMBER($F104)),
                SUMIF((OFFSET(CÁLCULO!$BS$15:$CS$15,$F104,0,OFFSET(ORÇAMENTO!$D$15,CRONO!$F104,0))),CRONO!AI$12,OFFSET(CÁLCULO!$AR$15:$BR$15,$F104,0,OFFSET(ORÇAMENTO!$D$15,CRONO!$F104,0)))
                +IF(AND($F106&lt;&gt;"",$F106&lt;&gt;0),
                        SUMIF(CÁLCULO!$BS$15:$CS$205,CRONO!AI$12,CÁLCULO!$AR$15:$BR$205)/(ORÇAMENTO!$X$15-_xlfn.single(CÁLCULO.TotalAdmLocal))*CRONO!$F106,
                        0),
                 AI105*$S104),
          SUMIF(OFFSET($S106,1,0,$R104-2),($M104+1)&amp;"$",OFFSET(AI106,1,0,$R104-2)))</f>
        <v>0</v>
      </c>
      <c r="AJ106" s="439" t="n">
        <f aca="false" t="array" ref="AJ106:AJ106">IF($R104=2,
         IF(AND(ACOMPANHAMENTO="PLE",ISNUMBER($F104)),
                SUMIF((OFFSET(CÁLCULO!$BS$15:$CS$15,$F104,0,OFFSET(ORÇAMENTO!$D$15,CRONO!$F104,0))),CRONO!AJ$12,OFFSET(CÁLCULO!$AR$15:$BR$15,$F104,0,OFFSET(ORÇAMENTO!$D$15,CRONO!$F104,0)))
                +IF(AND($F106&lt;&gt;"",$F106&lt;&gt;0),
                        SUMIF(CÁLCULO!$BS$15:$CS$205,CRONO!AJ$12,CÁLCULO!$AR$15:$BR$205)/(ORÇAMENTO!$X$15-_xlfn.single(CÁLCULO.TotalAdmLocal))*CRONO!$F106,
                        0),
                 AJ105*$S104),
          SUMIF(OFFSET($S106,1,0,$R104-2),($M104+1)&amp;"$",OFFSET(AJ106,1,0,$R104-2)))</f>
        <v>0</v>
      </c>
      <c r="AK106" s="439" t="n">
        <f aca="false" t="array" ref="AK106:AK106">IF($R104=2,
         IF(AND(ACOMPANHAMENTO="PLE",ISNUMBER($F104)),
                SUMIF((OFFSET(CÁLCULO!$BS$15:$CS$15,$F104,0,OFFSET(ORÇAMENTO!$D$15,CRONO!$F104,0))),CRONO!AK$12,OFFSET(CÁLCULO!$AR$15:$BR$15,$F104,0,OFFSET(ORÇAMENTO!$D$15,CRONO!$F104,0)))
                +IF(AND($F106&lt;&gt;"",$F106&lt;&gt;0),
                        SUMIF(CÁLCULO!$BS$15:$CS$205,CRONO!AK$12,CÁLCULO!$AR$15:$BR$205)/(ORÇAMENTO!$X$15-_xlfn.single(CÁLCULO.TotalAdmLocal))*CRONO!$F106,
                        0),
                 AK105*$S104),
          SUMIF(OFFSET($S106,1,0,$R104-2),($M104+1)&amp;"$",OFFSET(AK106,1,0,$R104-2)))</f>
        <v>0</v>
      </c>
      <c r="AL106" s="439" t="n">
        <f aca="false" t="array" ref="AL106:AL106">IF($R104=2,
         IF(AND(ACOMPANHAMENTO="PLE",ISNUMBER($F104)),
                SUMIF((OFFSET(CÁLCULO!$BS$15:$CS$15,$F104,0,OFFSET(ORÇAMENTO!$D$15,CRONO!$F104,0))),CRONO!AL$12,OFFSET(CÁLCULO!$AR$15:$BR$15,$F104,0,OFFSET(ORÇAMENTO!$D$15,CRONO!$F104,0)))
                +IF(AND($F106&lt;&gt;"",$F106&lt;&gt;0),
                        SUMIF(CÁLCULO!$BS$15:$CS$205,CRONO!AL$12,CÁLCULO!$AR$15:$BR$205)/(ORÇAMENTO!$X$15-_xlfn.single(CÁLCULO.TotalAdmLocal))*CRONO!$F106,
                        0),
                 AL105*$S104),
          SUMIF(OFFSET($S106,1,0,$R104-2),($M104+1)&amp;"$",OFFSET(AL106,1,0,$R104-2)))</f>
        <v>0</v>
      </c>
      <c r="AM106" s="439" t="n">
        <f aca="false" t="array" ref="AM106:AM106">IF($R104=2,
         IF(AND(ACOMPANHAMENTO="PLE",ISNUMBER($F104)),
                SUMIF((OFFSET(CÁLCULO!$BS$15:$CS$15,$F104,0,OFFSET(ORÇAMENTO!$D$15,CRONO!$F104,0))),CRONO!AM$12,OFFSET(CÁLCULO!$AR$15:$BR$15,$F104,0,OFFSET(ORÇAMENTO!$D$15,CRONO!$F104,0)))
                +IF(AND($F106&lt;&gt;"",$F106&lt;&gt;0),
                        SUMIF(CÁLCULO!$BS$15:$CS$205,CRONO!AM$12,CÁLCULO!$AR$15:$BR$205)/(ORÇAMENTO!$X$15-_xlfn.single(CÁLCULO.TotalAdmLocal))*CRONO!$F106,
                        0),
                 AM105*$S104),
          SUMIF(OFFSET($S106,1,0,$R104-2),($M104+1)&amp;"$",OFFSET(AM106,1,0,$R104-2)))</f>
        <v>0</v>
      </c>
      <c r="AN106" s="439" t="n">
        <f aca="false" t="array" ref="AN106:AN106">IF($R104=2,
         IF(AND(ACOMPANHAMENTO="PLE",ISNUMBER($F104)),
                SUMIF((OFFSET(CÁLCULO!$BS$15:$CS$15,$F104,0,OFFSET(ORÇAMENTO!$D$15,CRONO!$F104,0))),CRONO!AN$12,OFFSET(CÁLCULO!$AR$15:$BR$15,$F104,0,OFFSET(ORÇAMENTO!$D$15,CRONO!$F104,0)))
                +IF(AND($F106&lt;&gt;"",$F106&lt;&gt;0),
                        SUMIF(CÁLCULO!$BS$15:$CS$205,CRONO!AN$12,CÁLCULO!$AR$15:$BR$205)/(ORÇAMENTO!$X$15-_xlfn.single(CÁLCULO.TotalAdmLocal))*CRONO!$F106,
                        0),
                 AN105*$S104),
          SUMIF(OFFSET($S106,1,0,$R104-2),($M104+1)&amp;"$",OFFSET(AN106,1,0,$R104-2)))</f>
        <v>0</v>
      </c>
      <c r="AO106" s="439" t="n">
        <f aca="false" t="array" ref="AO106:AO106">IF($R104=2,
         IF(AND(ACOMPANHAMENTO="PLE",ISNUMBER($F104)),
                SUMIF((OFFSET(CÁLCULO!$BS$15:$CS$15,$F104,0,OFFSET(ORÇAMENTO!$D$15,CRONO!$F104,0))),CRONO!AO$12,OFFSET(CÁLCULO!$AR$15:$BR$15,$F104,0,OFFSET(ORÇAMENTO!$D$15,CRONO!$F104,0)))
                +IF(AND($F106&lt;&gt;"",$F106&lt;&gt;0),
                        SUMIF(CÁLCULO!$BS$15:$CS$205,CRONO!AO$12,CÁLCULO!$AR$15:$BR$205)/(ORÇAMENTO!$X$15-_xlfn.single(CÁLCULO.TotalAdmLocal))*CRONO!$F106,
                        0),
                 AO105*$S104),
          SUMIF(OFFSET($S106,1,0,$R104-2),($M104+1)&amp;"$",OFFSET(AO106,1,0,$R104-2)))</f>
        <v>0</v>
      </c>
      <c r="AP106" s="439" t="n">
        <f aca="false" t="array" ref="AP106:AP106">IF($R104=2,
         IF(AND(ACOMPANHAMENTO="PLE",ISNUMBER($F104)),
                SUMIF((OFFSET(CÁLCULO!$BS$15:$CS$15,$F104,0,OFFSET(ORÇAMENTO!$D$15,CRONO!$F104,0))),CRONO!AP$12,OFFSET(CÁLCULO!$AR$15:$BR$15,$F104,0,OFFSET(ORÇAMENTO!$D$15,CRONO!$F104,0)))
                +IF(AND($F106&lt;&gt;"",$F106&lt;&gt;0),
                        SUMIF(CÁLCULO!$BS$15:$CS$205,CRONO!AP$12,CÁLCULO!$AR$15:$BR$205)/(ORÇAMENTO!$X$15-_xlfn.single(CÁLCULO.TotalAdmLocal))*CRONO!$F106,
                        0),
                 AP105*$S104),
          SUMIF(OFFSET($S106,1,0,$R104-2),($M104+1)&amp;"$",OFFSET(AP106,1,0,$R104-2)))</f>
        <v>0</v>
      </c>
      <c r="AQ106" s="439" t="n">
        <f aca="false" t="array" ref="AQ106:AQ106">IF($R104=2,
         IF(AND(ACOMPANHAMENTO="PLE",ISNUMBER($F104)),
                SUMIF((OFFSET(CÁLCULO!$BS$15:$CS$15,$F104,0,OFFSET(ORÇAMENTO!$D$15,CRONO!$F104,0))),CRONO!AQ$12,OFFSET(CÁLCULO!$AR$15:$BR$15,$F104,0,OFFSET(ORÇAMENTO!$D$15,CRONO!$F104,0)))
                +IF(AND($F106&lt;&gt;"",$F106&lt;&gt;0),
                        SUMIF(CÁLCULO!$BS$15:$CS$205,CRONO!AQ$12,CÁLCULO!$AR$15:$BR$205)/(ORÇAMENTO!$X$15-_xlfn.single(CÁLCULO.TotalAdmLocal))*CRONO!$F106,
                        0),
                 AQ105*$S104),
          SUMIF(OFFSET($S106,1,0,$R104-2),($M104+1)&amp;"$",OFFSET(AQ106,1,0,$R104-2)))</f>
        <v>0</v>
      </c>
      <c r="AR106" s="439" t="n">
        <f aca="false" t="array" ref="AR106:AR106">IF($R104=2,
         IF(AND(ACOMPANHAMENTO="PLE",ISNUMBER($F104)),
                SUMIF((OFFSET(CÁLCULO!$BS$15:$CS$15,$F104,0,OFFSET(ORÇAMENTO!$D$15,CRONO!$F104,0))),CRONO!AR$12,OFFSET(CÁLCULO!$AR$15:$BR$15,$F104,0,OFFSET(ORÇAMENTO!$D$15,CRONO!$F104,0)))
                +IF(AND($F106&lt;&gt;"",$F106&lt;&gt;0),
                        SUMIF(CÁLCULO!$BS$15:$CS$205,CRONO!AR$12,CÁLCULO!$AR$15:$BR$205)/(ORÇAMENTO!$X$15-_xlfn.single(CÁLCULO.TotalAdmLocal))*CRONO!$F106,
                        0),
                 AR105*$S104),
          SUMIF(OFFSET($S106,1,0,$R104-2),($M104+1)&amp;"$",OFFSET(AR106,1,0,$R104-2)))</f>
        <v>0</v>
      </c>
      <c r="AS106" s="439" t="n">
        <f aca="false" t="array" ref="AS106:AS106">IF($R104=2,
         IF(AND(ACOMPANHAMENTO="PLE",ISNUMBER($F104)),
                SUMIF((OFFSET(CÁLCULO!$BS$15:$CS$15,$F104,0,OFFSET(ORÇAMENTO!$D$15,CRONO!$F104,0))),CRONO!AS$12,OFFSET(CÁLCULO!$AR$15:$BR$15,$F104,0,OFFSET(ORÇAMENTO!$D$15,CRONO!$F104,0)))
                +IF(AND($F106&lt;&gt;"",$F106&lt;&gt;0),
                        SUMIF(CÁLCULO!$BS$15:$CS$205,CRONO!AS$12,CÁLCULO!$AR$15:$BR$205)/(ORÇAMENTO!$X$15-_xlfn.single(CÁLCULO.TotalAdmLocal))*CRONO!$F106,
                        0),
                 AS105*$S104),
          SUMIF(OFFSET($S106,1,0,$R104-2),($M104+1)&amp;"$",OFFSET(AS106,1,0,$R104-2)))</f>
        <v>0</v>
      </c>
      <c r="AT106" s="439" t="n">
        <f aca="false" t="array" ref="AT106:AT106">IF($R104=2,
         IF(AND(ACOMPANHAMENTO="PLE",ISNUMBER($F104)),
                SUMIF((OFFSET(CÁLCULO!$BS$15:$CS$15,$F104,0,OFFSET(ORÇAMENTO!$D$15,CRONO!$F104,0))),CRONO!AT$12,OFFSET(CÁLCULO!$AR$15:$BR$15,$F104,0,OFFSET(ORÇAMENTO!$D$15,CRONO!$F104,0)))
                +IF(AND($F106&lt;&gt;"",$F106&lt;&gt;0),
                        SUMIF(CÁLCULO!$BS$15:$CS$205,CRONO!AT$12,CÁLCULO!$AR$15:$BR$205)/(ORÇAMENTO!$X$15-_xlfn.single(CÁLCULO.TotalAdmLocal))*CRONO!$F106,
                        0),
                 AT105*$S104),
          SUMIF(OFFSET($S106,1,0,$R104-2),($M104+1)&amp;"$",OFFSET(AT106,1,0,$R104-2)))</f>
        <v>0</v>
      </c>
      <c r="AU106" s="439" t="n">
        <f aca="false" t="array" ref="AU106:AU106">IF($R104=2,
         IF(AND(ACOMPANHAMENTO="PLE",ISNUMBER($F104)),
                SUMIF((OFFSET(CÁLCULO!$BS$15:$CS$15,$F104,0,OFFSET(ORÇAMENTO!$D$15,CRONO!$F104,0))),CRONO!AU$12,OFFSET(CÁLCULO!$AR$15:$BR$15,$F104,0,OFFSET(ORÇAMENTO!$D$15,CRONO!$F104,0)))
                +IF(AND($F106&lt;&gt;"",$F106&lt;&gt;0),
                        SUMIF(CÁLCULO!$BS$15:$CS$205,CRONO!AU$12,CÁLCULO!$AR$15:$BR$205)/(ORÇAMENTO!$X$15-_xlfn.single(CÁLCULO.TotalAdmLocal))*CRONO!$F106,
                        0),
                 AU105*$S104),
          SUMIF(OFFSET($S106,1,0,$R104-2),($M104+1)&amp;"$",OFFSET(AU106,1,0,$R104-2)))</f>
        <v>0</v>
      </c>
      <c r="AV106" s="439" t="n">
        <f aca="false" t="array" ref="AV106:AV106">IF($R104=2,
         IF(AND(ACOMPANHAMENTO="PLE",ISNUMBER($F104)),
                SUMIF((OFFSET(CÁLCULO!$BS$15:$CS$15,$F104,0,OFFSET(ORÇAMENTO!$D$15,CRONO!$F104,0))),CRONO!AV$12,OFFSET(CÁLCULO!$AR$15:$BR$15,$F104,0,OFFSET(ORÇAMENTO!$D$15,CRONO!$F104,0)))
                +IF(AND($F106&lt;&gt;"",$F106&lt;&gt;0),
                        SUMIF(CÁLCULO!$BS$15:$CS$205,CRONO!AV$12,CÁLCULO!$AR$15:$BR$205)/(ORÇAMENTO!$X$15-_xlfn.single(CÁLCULO.TotalAdmLocal))*CRONO!$F106,
                        0),
                 AV105*$S104),
          SUMIF(OFFSET($S106,1,0,$R104-2),($M104+1)&amp;"$",OFFSET(AV106,1,0,$R104-2)))</f>
        <v>0</v>
      </c>
      <c r="AW106" s="439" t="n">
        <f aca="false" t="array" ref="AW106:AW106">IF($R104=2,
         IF(AND(ACOMPANHAMENTO="PLE",ISNUMBER($F104)),
                SUMIF((OFFSET(CÁLCULO!$BS$15:$CS$15,$F104,0,OFFSET(ORÇAMENTO!$D$15,CRONO!$F104,0))),CRONO!AW$12,OFFSET(CÁLCULO!$AR$15:$BR$15,$F104,0,OFFSET(ORÇAMENTO!$D$15,CRONO!$F104,0)))
                +IF(AND($F106&lt;&gt;"",$F106&lt;&gt;0),
                        SUMIF(CÁLCULO!$BS$15:$CS$205,CRONO!AW$12,CÁLCULO!$AR$15:$BR$205)/(ORÇAMENTO!$X$15-_xlfn.single(CÁLCULO.TotalAdmLocal))*CRONO!$F106,
                        0),
                 AW105*$S104),
          SUMIF(OFFSET($S106,1,0,$R104-2),($M104+1)&amp;"$",OFFSET(AW106,1,0,$R104-2)))</f>
        <v>0</v>
      </c>
      <c r="AX106" s="439" t="n">
        <f aca="false" t="array" ref="AX106:AX106">IF($R104=2,
         IF(AND(ACOMPANHAMENTO="PLE",ISNUMBER($F104)),
                SUMIF((OFFSET(CÁLCULO!$BS$15:$CS$15,$F104,0,OFFSET(ORÇAMENTO!$D$15,CRONO!$F104,0))),CRONO!AX$12,OFFSET(CÁLCULO!$AR$15:$BR$15,$F104,0,OFFSET(ORÇAMENTO!$D$15,CRONO!$F104,0)))
                +IF(AND($F106&lt;&gt;"",$F106&lt;&gt;0),
                        SUMIF(CÁLCULO!$BS$15:$CS$205,CRONO!AX$12,CÁLCULO!$AR$15:$BR$205)/(ORÇAMENTO!$X$15-_xlfn.single(CÁLCULO.TotalAdmLocal))*CRONO!$F106,
                        0),
                 AX105*$S104),
          SUMIF(OFFSET($S106,1,0,$R104-2),($M104+1)&amp;"$",OFFSET(AX106,1,0,$R104-2)))</f>
        <v>0</v>
      </c>
      <c r="AY106" s="439" t="n">
        <f aca="false" t="array" ref="AY106:AY106">IF($R104=2,
         IF(AND(ACOMPANHAMENTO="PLE",ISNUMBER($F104)),
                SUMIF((OFFSET(CÁLCULO!$BS$15:$CS$15,$F104,0,OFFSET(ORÇAMENTO!$D$15,CRONO!$F104,0))),CRONO!AY$12,OFFSET(CÁLCULO!$AR$15:$BR$15,$F104,0,OFFSET(ORÇAMENTO!$D$15,CRONO!$F104,0)))
                +IF(AND($F106&lt;&gt;"",$F106&lt;&gt;0),
                        SUMIF(CÁLCULO!$BS$15:$CS$205,CRONO!AY$12,CÁLCULO!$AR$15:$BR$205)/(ORÇAMENTO!$X$15-_xlfn.single(CÁLCULO.TotalAdmLocal))*CRONO!$F106,
                        0),
                 AY105*$S104),
          SUMIF(OFFSET($S106,1,0,$R104-2),($M104+1)&amp;"$",OFFSET(AY106,1,0,$R104-2)))</f>
        <v>0</v>
      </c>
      <c r="AZ106" s="439" t="n">
        <f aca="false" t="array" ref="AZ106:AZ106">IF($R104=2,
         IF(AND(ACOMPANHAMENTO="PLE",ISNUMBER($F104)),
                SUMIF((OFFSET(CÁLCULO!$BS$15:$CS$15,$F104,0,OFFSET(ORÇAMENTO!$D$15,CRONO!$F104,0))),CRONO!AZ$12,OFFSET(CÁLCULO!$AR$15:$BR$15,$F104,0,OFFSET(ORÇAMENTO!$D$15,CRONO!$F104,0)))
                +IF(AND($F106&lt;&gt;"",$F106&lt;&gt;0),
                        SUMIF(CÁLCULO!$BS$15:$CS$205,CRONO!AZ$12,CÁLCULO!$AR$15:$BR$205)/(ORÇAMENTO!$X$15-_xlfn.single(CÁLCULO.TotalAdmLocal))*CRONO!$F106,
                        0),
                 AZ105*$S104),
          SUMIF(OFFSET($S106,1,0,$R104-2),($M104+1)&amp;"$",OFFSET(AZ106,1,0,$R104-2)))</f>
        <v>0</v>
      </c>
      <c r="BA106" s="439" t="n">
        <f aca="false" t="array" ref="BA106:BA106">IF($R104=2,
         IF(AND(ACOMPANHAMENTO="PLE",ISNUMBER($F104)),
                SUMIF((OFFSET(CÁLCULO!$BS$15:$CS$15,$F104,0,OFFSET(ORÇAMENTO!$D$15,CRONO!$F104,0))),CRONO!BA$12,OFFSET(CÁLCULO!$AR$15:$BR$15,$F104,0,OFFSET(ORÇAMENTO!$D$15,CRONO!$F104,0)))
                +IF(AND($F106&lt;&gt;"",$F106&lt;&gt;0),
                        SUMIF(CÁLCULO!$BS$15:$CS$205,CRONO!BA$12,CÁLCULO!$AR$15:$BR$205)/(ORÇAMENTO!$X$15-_xlfn.single(CÁLCULO.TotalAdmLocal))*CRONO!$F106,
                        0),
                 BA105*$S104),
          SUMIF(OFFSET($S106,1,0,$R104-2),($M104+1)&amp;"$",OFFSET(BA106,1,0,$R104-2)))</f>
        <v>0</v>
      </c>
      <c r="BB106" s="439" t="n">
        <f aca="false" t="array" ref="BB106:BB106">IF($R104=2,
         IF(AND(ACOMPANHAMENTO="PLE",ISNUMBER($F104)),
                SUMIF((OFFSET(CÁLCULO!$BS$15:$CS$15,$F104,0,OFFSET(ORÇAMENTO!$D$15,CRONO!$F104,0))),CRONO!BB$12,OFFSET(CÁLCULO!$AR$15:$BR$15,$F104,0,OFFSET(ORÇAMENTO!$D$15,CRONO!$F104,0)))
                +IF(AND($F106&lt;&gt;"",$F106&lt;&gt;0),
                        SUMIF(CÁLCULO!$BS$15:$CS$205,CRONO!BB$12,CÁLCULO!$AR$15:$BR$205)/(ORÇAMENTO!$X$15-_xlfn.single(CÁLCULO.TotalAdmLocal))*CRONO!$F106,
                        0),
                 BB105*$S104),
          SUMIF(OFFSET($S106,1,0,$R104-2),($M104+1)&amp;"$",OFFSET(BB106,1,0,$R104-2)))</f>
        <v>0</v>
      </c>
      <c r="BC106" s="439" t="n">
        <f aca="false" t="array" ref="BC106:BC106">IF($R104=2,
         IF(AND(ACOMPANHAMENTO="PLE",ISNUMBER($F104)),
                SUMIF((OFFSET(CÁLCULO!$BS$15:$CS$15,$F104,0,OFFSET(ORÇAMENTO!$D$15,CRONO!$F104,0))),CRONO!BC$12,OFFSET(CÁLCULO!$AR$15:$BR$15,$F104,0,OFFSET(ORÇAMENTO!$D$15,CRONO!$F104,0)))
                +IF(AND($F106&lt;&gt;"",$F106&lt;&gt;0),
                        SUMIF(CÁLCULO!$BS$15:$CS$205,CRONO!BC$12,CÁLCULO!$AR$15:$BR$205)/(ORÇAMENTO!$X$15-_xlfn.single(CÁLCULO.TotalAdmLocal))*CRONO!$F106,
                        0),
                 BC105*$S104),
          SUMIF(OFFSET($S106,1,0,$R104-2),($M104+1)&amp;"$",OFFSET(BC106,1,0,$R104-2)))</f>
        <v>0</v>
      </c>
      <c r="BD106" s="439" t="n">
        <f aca="false" t="array" ref="BD106:BD106">IF($R104=2,
         IF(AND(ACOMPANHAMENTO="PLE",ISNUMBER($F104)),
                SUMIF((OFFSET(CÁLCULO!$BS$15:$CS$15,$F104,0,OFFSET(ORÇAMENTO!$D$15,CRONO!$F104,0))),CRONO!BD$12,OFFSET(CÁLCULO!$AR$15:$BR$15,$F104,0,OFFSET(ORÇAMENTO!$D$15,CRONO!$F104,0)))
                +IF(AND($F106&lt;&gt;"",$F106&lt;&gt;0),
                        SUMIF(CÁLCULO!$BS$15:$CS$205,CRONO!BD$12,CÁLCULO!$AR$15:$BR$205)/(ORÇAMENTO!$X$15-_xlfn.single(CÁLCULO.TotalAdmLocal))*CRONO!$F106,
                        0),
                 BD105*$S104),
          SUMIF(OFFSET($S106,1,0,$R104-2),($M104+1)&amp;"$",OFFSET(BD106,1,0,$R104-2)))</f>
        <v>0</v>
      </c>
      <c r="BE106" s="430"/>
    </row>
    <row r="107" customFormat="false" ht="12.75" hidden="false" customHeight="false" outlineLevel="0" collapsed="false">
      <c r="A107" s="382" t="str">
        <f aca="false">IF($M107&gt;1,_xlfn.CONCAT($I107," ",$J107),"")</f>
        <v>1.31. CIMENTADOS</v>
      </c>
      <c r="B107" s="419" t="n">
        <f aca="true">OFFSET(B107,-3,0)+1</f>
        <v>32</v>
      </c>
      <c r="C107" s="419" t="n">
        <f aca="true">IF($R107&lt;&gt;2,0,IF($S107=0,1,IF(F108&gt;0,OFFSET(QCI!$M$13,SUBSTITUTE(F108,".",""),0),OFFSET(ORÇAMENTO!$AA$15,CRONO!$F107,0))/$S107))</f>
        <v>0.110981526562671</v>
      </c>
      <c r="D107" s="419" t="n">
        <f aca="true">IF($R107&lt;&gt;2,0,IF($S107=0,1,IF(F108&gt;0,OFFSET(QCI!$N$13,SUBSTITUTE(F108,".",""),0),OFFSET(ORÇAMENTO!$AB$15,CRONO!$F107,0))/$S107))</f>
        <v>0</v>
      </c>
      <c r="E107" s="422" t="n">
        <f aca="false" t="array" ref="E107:E107">IF(AND($R107=2,ACOMPANHAMENTO="BM"),ROUND(E108,4),E109/$S107)</f>
        <v>0.04</v>
      </c>
      <c r="F107" s="419" t="n">
        <f aca="true">IF(B107&lt;=ORÇAMENTO.MáximoListaCrono,MATCH(B107,ORÇAMENTO.ListaCrono,0),NA())</f>
        <v>96</v>
      </c>
      <c r="G107" s="419" t="str">
        <f aca="false">IF(AND($F108&lt;&gt;-1,$S107&gt;0),"F","")</f>
        <v>F</v>
      </c>
      <c r="H107" s="423" t="str">
        <f aca="false" t="array" ref="H107:H107">IF(OR(S107=0,S107=""),"Linha",IF(AND(OR(ACOMPANHAMENTO="PLE",$R107&lt;&gt;2),$F108=0),"Linha",ROUND(1-SUM(U107:BE107),4)))</f>
        <v>Linha</v>
      </c>
      <c r="I107" s="424" t="str">
        <f aca="true">IF($F108=0,OFFSET(ORÇAMENTO!O$15,$F107,0),IF($F108&lt;&gt;-1,OFFSET(QCI!$D$13,$F108,0),""))</f>
        <v>1.31.</v>
      </c>
      <c r="J107" s="425" t="str">
        <f aca="true">IF($F108=0,OFFSET(ORÇAMENTO!R$15,$F107,0),IF($F108&lt;&gt;-1,OFFSET(QCI!$G$13,$F108,0),""))</f>
        <v>CIMENTADOS</v>
      </c>
      <c r="K107" s="425"/>
      <c r="L107" s="425"/>
      <c r="M107" s="426" t="n">
        <f aca="true">IF($F108=0,OFFSET(ORÇAMENTO!C$15,$F107,0),1)</f>
        <v>2</v>
      </c>
      <c r="N107" s="427" t="n">
        <f aca="true">IF($F108=-1,0,IF(N$13&lt;=$M107,IF(ISERROR(MATCH(N$13,OFFSET($M107,1,0,ROW($M$182)-ROW($M107)-1),0)),ROW($M$182)-ROW($M107)-1,MATCH(N$13,OFFSET($M107,1,0,ROW($M$182)-ROW($M107)-1),0)-1),0))</f>
        <v>74</v>
      </c>
      <c r="O107" s="427" t="n">
        <f aca="true">IF($F108=-1,0,IF(O$13&lt;=$M107,IF(ISERROR(MATCH(O$13,OFFSET($M107,1,0,ROW($M$182)-ROW($M107)-1),0)),ROW($M$182)-ROW($M107)-1,MATCH(O$13,OFFSET($M107,1,0,ROW($M$182)-ROW($M107)-1),0)-1),0))</f>
        <v>2</v>
      </c>
      <c r="P107" s="427" t="n">
        <f aca="true">IF($F108=-1,0,IF(P$13&lt;=$M107,IF(ISERROR(MATCH(P$13,OFFSET($M107,1,0,ROW($M$182)-ROW($M107)-1),0)),ROW($M$182)-ROW($M107)-1,MATCH(P$13,OFFSET($M107,1,0,ROW($M$182)-ROW($M107)-1),0)-1),0))</f>
        <v>0</v>
      </c>
      <c r="Q107" s="427" t="n">
        <f aca="true">IF($F108=-1,0,IF(Q$13&lt;=$M107,IF(ISERROR(MATCH(Q$13,OFFSET($M107,1,0,ROW($M$182)-ROW($M107)-1),0)),ROW($M$182)-ROW($M107)-1,MATCH(Q$13,OFFSET($M107,1,0,ROW($M$182)-ROW($M107)-1),0)-1),0))</f>
        <v>0</v>
      </c>
      <c r="R107" s="427" t="n">
        <f aca="true">MIN(OFFSET(M107,0,1,,M107))</f>
        <v>2</v>
      </c>
      <c r="S107" s="428" t="n">
        <f aca="true">IF($F108=0,OFFSET(ORÇAMENTO!X$15,$F107,0),IF($F108&lt;&gt;-1,OFFSET(QCI!$O$13,$F108,0),""))</f>
        <v>29087.5</v>
      </c>
      <c r="T107" s="429" t="s">
        <v>996</v>
      </c>
      <c r="U107" s="422" t="n">
        <f aca="false" t="array" ref="U107:U107">IF(AND($R107=2,ACOMPANHAMENTO="BM"),ROUND(U108,4),U109/$S107)</f>
        <v>0.04</v>
      </c>
      <c r="V107" s="422" t="n">
        <f aca="false" t="array" ref="V107:V107">IF(AND($R107=2,ACOMPANHAMENTO="BM"),ROUND(V108,4),V109/$S107)</f>
        <v>0.04</v>
      </c>
      <c r="W107" s="422" t="n">
        <f aca="false" t="array" ref="W107:W107">IF(AND($R107=2,ACOMPANHAMENTO="BM"),ROUND(W108,4),W109/$S107)</f>
        <v>0.04</v>
      </c>
      <c r="X107" s="422" t="n">
        <f aca="false" t="array" ref="X107:X107">IF(AND($R107=2,ACOMPANHAMENTO="BM"),ROUND(X108,4),X109/$S107)</f>
        <v>0.04</v>
      </c>
      <c r="Y107" s="422" t="n">
        <f aca="false" t="array" ref="Y107:Y107">IF(AND($R107=2,ACOMPANHAMENTO="BM"),ROUND(Y108,4),Y109/$S107)</f>
        <v>0.04</v>
      </c>
      <c r="Z107" s="422" t="n">
        <f aca="false" t="array" ref="Z107:Z107">IF(AND($R107=2,ACOMPANHAMENTO="BM"),ROUND(Z108,4),Z109/$S107)</f>
        <v>0.04</v>
      </c>
      <c r="AA107" s="422" t="n">
        <f aca="false" t="array" ref="AA107:AA107">IF(AND($R107=2,ACOMPANHAMENTO="BM"),ROUND(AA108,4),AA109/$S107)</f>
        <v>0.04</v>
      </c>
      <c r="AB107" s="422" t="n">
        <f aca="false" t="array" ref="AB107:AB107">IF(AND($R107=2,ACOMPANHAMENTO="BM"),ROUND(AB108,4),AB109/$S107)</f>
        <v>0.04</v>
      </c>
      <c r="AC107" s="422" t="n">
        <f aca="false" t="array" ref="AC107:AC107">IF(AND($R107=2,ACOMPANHAMENTO="BM"),ROUND(AC108,4),AC109/$S107)</f>
        <v>0.04</v>
      </c>
      <c r="AD107" s="422" t="n">
        <f aca="false" t="array" ref="AD107:AD107">IF(AND($R107=2,ACOMPANHAMENTO="BM"),ROUND(AD108,4),AD109/$S107)</f>
        <v>0.04</v>
      </c>
      <c r="AE107" s="422" t="n">
        <f aca="false" t="array" ref="AE107:AE107">IF(AND($R107=2,ACOMPANHAMENTO="BM"),ROUND(AE108,4),AE109/$S107)</f>
        <v>0.04</v>
      </c>
      <c r="AF107" s="422" t="n">
        <f aca="false" t="array" ref="AF107:AF107">IF(AND($R107=2,ACOMPANHAMENTO="BM"),ROUND(AF108,4),AF109/$S107)</f>
        <v>0.04</v>
      </c>
      <c r="AG107" s="422" t="n">
        <f aca="false" t="array" ref="AG107:AG107">IF(AND($R107=2,ACOMPANHAMENTO="BM"),ROUND(AG108,4),AG109/$S107)</f>
        <v>0.04</v>
      </c>
      <c r="AH107" s="422" t="n">
        <f aca="false" t="array" ref="AH107:AH107">IF(AND($R107=2,ACOMPANHAMENTO="BM"),ROUND(AH108,4),AH109/$S107)</f>
        <v>0.04</v>
      </c>
      <c r="AI107" s="422" t="n">
        <f aca="false" t="array" ref="AI107:AI107">IF(AND($R107=2,ACOMPANHAMENTO="BM"),ROUND(AI108,4),AI109/$S107)</f>
        <v>0.04</v>
      </c>
      <c r="AJ107" s="422" t="n">
        <f aca="false" t="array" ref="AJ107:AJ107">IF(AND($R107=2,ACOMPANHAMENTO="BM"),ROUND(AJ108,4),AJ109/$S107)</f>
        <v>0.04</v>
      </c>
      <c r="AK107" s="422" t="n">
        <f aca="false" t="array" ref="AK107:AK107">IF(AND($R107=2,ACOMPANHAMENTO="BM"),ROUND(AK108,4),AK109/$S107)</f>
        <v>0.04</v>
      </c>
      <c r="AL107" s="422" t="n">
        <f aca="false" t="array" ref="AL107:AL107">IF(AND($R107=2,ACOMPANHAMENTO="BM"),ROUND(AL108,4),AL109/$S107)</f>
        <v>0.04</v>
      </c>
      <c r="AM107" s="422" t="n">
        <f aca="false" t="array" ref="AM107:AM107">IF(AND($R107=2,ACOMPANHAMENTO="BM"),ROUND(AM108,4),AM109/$S107)</f>
        <v>0.04</v>
      </c>
      <c r="AN107" s="422" t="n">
        <f aca="false" t="array" ref="AN107:AN107">IF(AND($R107=2,ACOMPANHAMENTO="BM"),ROUND(AN108,4),AN109/$S107)</f>
        <v>0.04</v>
      </c>
      <c r="AO107" s="422" t="n">
        <f aca="false" t="array" ref="AO107:AO107">IF(AND($R107=2,ACOMPANHAMENTO="BM"),ROUND(AO108,4),AO109/$S107)</f>
        <v>0.04</v>
      </c>
      <c r="AP107" s="422" t="n">
        <f aca="false" t="array" ref="AP107:AP107">IF(AND($R107=2,ACOMPANHAMENTO="BM"),ROUND(AP108,4),AP109/$S107)</f>
        <v>0.04</v>
      </c>
      <c r="AQ107" s="422" t="n">
        <f aca="false" t="array" ref="AQ107:AQ107">IF(AND($R107=2,ACOMPANHAMENTO="BM"),ROUND(AQ108,4),AQ109/$S107)</f>
        <v>0.04</v>
      </c>
      <c r="AR107" s="422" t="n">
        <f aca="false" t="array" ref="AR107:AR107">IF(AND($R107=2,ACOMPANHAMENTO="BM"),ROUND(AR108,4),AR109/$S107)</f>
        <v>0.04</v>
      </c>
      <c r="AS107" s="422" t="n">
        <f aca="false" t="array" ref="AS107:AS107">IF(AND($R107=2,ACOMPANHAMENTO="BM"),ROUND(AS108,4),AS109/$S107)</f>
        <v>0.04</v>
      </c>
      <c r="AT107" s="422" t="n">
        <f aca="false" t="array" ref="AT107:AT107">IF(AND($R107=2,ACOMPANHAMENTO="BM"),ROUND(AT108,4),AT109/$S107)</f>
        <v>0</v>
      </c>
      <c r="AU107" s="422" t="n">
        <f aca="false" t="array" ref="AU107:AU107">IF(AND($R107=2,ACOMPANHAMENTO="BM"),ROUND(AU108,4),AU109/$S107)</f>
        <v>0</v>
      </c>
      <c r="AV107" s="422" t="n">
        <f aca="false" t="array" ref="AV107:AV107">IF(AND($R107=2,ACOMPANHAMENTO="BM"),ROUND(AV108,4),AV109/$S107)</f>
        <v>0</v>
      </c>
      <c r="AW107" s="422" t="n">
        <f aca="false" t="array" ref="AW107:AW107">IF(AND($R107=2,ACOMPANHAMENTO="BM"),ROUND(AW108,4),AW109/$S107)</f>
        <v>0</v>
      </c>
      <c r="AX107" s="422" t="n">
        <f aca="false" t="array" ref="AX107:AX107">IF(AND($R107=2,ACOMPANHAMENTO="BM"),ROUND(AX108,4),AX109/$S107)</f>
        <v>0</v>
      </c>
      <c r="AY107" s="422" t="n">
        <f aca="false" t="array" ref="AY107:AY107">IF(AND($R107=2,ACOMPANHAMENTO="BM"),ROUND(AY108,4),AY109/$S107)</f>
        <v>0</v>
      </c>
      <c r="AZ107" s="422" t="n">
        <f aca="false" t="array" ref="AZ107:AZ107">IF(AND($R107=2,ACOMPANHAMENTO="BM"),ROUND(AZ108,4),AZ109/$S107)</f>
        <v>0</v>
      </c>
      <c r="BA107" s="422" t="n">
        <f aca="false" t="array" ref="BA107:BA107">IF(AND($R107=2,ACOMPANHAMENTO="BM"),ROUND(BA108,4),BA109/$S107)</f>
        <v>0</v>
      </c>
      <c r="BB107" s="422" t="n">
        <f aca="false" t="array" ref="BB107:BB107">IF(AND($R107=2,ACOMPANHAMENTO="BM"),ROUND(BB108,4),BB109/$S107)</f>
        <v>0</v>
      </c>
      <c r="BC107" s="422" t="n">
        <f aca="false" t="array" ref="BC107:BC107">IF(AND($R107=2,ACOMPANHAMENTO="BM"),ROUND(BC108,4),BC109/$S107)</f>
        <v>0</v>
      </c>
      <c r="BD107" s="422" t="n">
        <f aca="false" t="array" ref="BD107:BD107">IF(AND($R107=2,ACOMPANHAMENTO="BM"),ROUND(BD108,4),BD109/$S107)</f>
        <v>0</v>
      </c>
      <c r="BE107" s="430"/>
    </row>
    <row r="108" customFormat="false" ht="12.75" hidden="true" customHeight="true" outlineLevel="0" collapsed="false">
      <c r="E108" s="431"/>
      <c r="F108" s="419" t="n">
        <f aca="true">IF(ISERROR(F107),IF(1+COUNTIF($M$13:OFFSET(M107,-1,0),1)&lt;=MAX(QCI!$D$13:$D$15),1+COUNTIF($M$13:OFFSET(M107,-1,0),1),-1),0)</f>
        <v>0</v>
      </c>
      <c r="G108" s="419" t="str">
        <f aca="true" t="array" ref="G108:G108">IF(ACOMPANHAMENTO="BM",OFFSET(G108,-1,0),"")</f>
        <v/>
      </c>
      <c r="H108" s="432" t="str">
        <f aca="false" t="array" ref="H108:H108">IF(OR(S107=0,S107=""),"vazia",IF(AND(OR(ACOMPANHAMENTO="PLE",$R107&lt;&gt;2),$F108=0),"calculada","--&gt;"))</f>
        <v>calculada</v>
      </c>
      <c r="I108" s="433"/>
      <c r="J108" s="434" t="str">
        <f aca="false">IF(AND(H107&lt;&gt;0,ISNUMBER(H107)),"PREENCHA ESTA LINHA --&gt;","")</f>
        <v/>
      </c>
      <c r="K108" s="434"/>
      <c r="L108" s="434"/>
      <c r="M108" s="435"/>
      <c r="N108" s="435"/>
      <c r="O108" s="435"/>
      <c r="P108" s="435"/>
      <c r="Q108" s="435"/>
      <c r="R108" s="435"/>
      <c r="S108" s="436"/>
      <c r="T108" s="437"/>
      <c r="U108" s="431"/>
      <c r="V108" s="431"/>
      <c r="W108" s="431"/>
      <c r="X108" s="431"/>
      <c r="Y108" s="431"/>
      <c r="Z108" s="431"/>
      <c r="AA108" s="431"/>
      <c r="AB108" s="431"/>
      <c r="AC108" s="431"/>
      <c r="AD108" s="431"/>
      <c r="AE108" s="431"/>
      <c r="AF108" s="431"/>
      <c r="AG108" s="431"/>
      <c r="AH108" s="431"/>
      <c r="AI108" s="431"/>
      <c r="AJ108" s="431"/>
      <c r="AK108" s="431"/>
      <c r="AL108" s="431"/>
      <c r="AM108" s="431"/>
      <c r="AN108" s="431"/>
      <c r="AO108" s="431"/>
      <c r="AP108" s="431"/>
      <c r="AQ108" s="431"/>
      <c r="AR108" s="431"/>
      <c r="AS108" s="431"/>
      <c r="AT108" s="431"/>
      <c r="AU108" s="431"/>
      <c r="AV108" s="431"/>
      <c r="AW108" s="431"/>
      <c r="AX108" s="431"/>
      <c r="AY108" s="431"/>
      <c r="AZ108" s="431"/>
      <c r="BA108" s="431"/>
      <c r="BB108" s="431"/>
      <c r="BC108" s="431"/>
      <c r="BD108" s="431"/>
      <c r="BE108" s="430"/>
    </row>
    <row r="109" customFormat="false" ht="12.75" hidden="true" customHeight="true" outlineLevel="0" collapsed="false">
      <c r="D109" s="438"/>
      <c r="E109" s="439" t="n">
        <f aca="false" t="array" ref="E109:E109">IF($R107=2,
         IF(AND(ACOMPANHAMENTO="PLE",ISNUMBER($F107)),
                SUMIF((OFFSET(CÁLCULO!$BS$15:$CS$15,$F107,0,OFFSET(ORÇAMENTO!$D$15,CRONO!$F107,0))),CRONO!E$12,OFFSET(CÁLCULO!$AR$15:$BR$15,$F107,0,OFFSET(ORÇAMENTO!$D$15,CRONO!$F107,0)))
                +IF(AND($F109&lt;&gt;"",$F109&lt;&gt;0),
                        SUMIF(CÁLCULO!$BS$15:$CS$205,CRONO!E$12,CÁLCULO!$AR$15:$BR$205)/(ORÇAMENTO!$X$15-_xlfn.single(CÁLCULO.TotalAdmLocal))*CRONO!$F109,
                        0),
                 E108*$S107),
          SUMIF(OFFSET($S109,1,0,$R107-2),($M107+1)&amp;"$",OFFSET(E109,1,0,$R107-2)))</f>
        <v>1163.5</v>
      </c>
      <c r="F109" s="419" t="str">
        <f aca="true">IF(OR($R107&lt;&gt;2,AUTOEVENTO&lt;&gt;"manual",$F108&gt;0),"",
        IF(Import.TipoArredondamento="Tradicional",
              SUMIF(OFFSET(CÁLCULO!$M$15,CRONO!$F107,0,OFFSET(ORÇAMENTO!$D$15,CRONO!$F107,0)),1,OFFSET(ORÇAMENTO!$X$15,CRONO!$F107,0,OFFSET(ORÇAMENTO!$D$15,CRONO!$F107,0))),
              0))</f>
        <v/>
      </c>
      <c r="H109" s="440"/>
      <c r="S109" s="441" t="str">
        <f aca="false">M107&amp;"$"</f>
        <v>2$</v>
      </c>
      <c r="T109" s="442"/>
      <c r="U109" s="439" t="n">
        <f aca="false" t="array" ref="U109:U109">IF($R107=2,
         IF(AND(ACOMPANHAMENTO="PLE",ISNUMBER($F107)),
                SUMIF((OFFSET(CÁLCULO!$BS$15:$CS$15,$F107,0,OFFSET(ORÇAMENTO!$D$15,CRONO!$F107,0))),CRONO!U$12,OFFSET(CÁLCULO!$AR$15:$BR$15,$F107,0,OFFSET(ORÇAMENTO!$D$15,CRONO!$F107,0)))
                +IF(AND($F109&lt;&gt;"",$F109&lt;&gt;0),
                        SUMIF(CÁLCULO!$BS$15:$CS$205,CRONO!U$12,CÁLCULO!$AR$15:$BR$205)/(ORÇAMENTO!$X$15-_xlfn.single(CÁLCULO.TotalAdmLocal))*CRONO!$F109,
                        0),
                 U108*$S107),
          SUMIF(OFFSET($S109,1,0,$R107-2),($M107+1)&amp;"$",OFFSET(U109,1,0,$R107-2)))</f>
        <v>1163.5</v>
      </c>
      <c r="V109" s="439" t="n">
        <f aca="false" t="array" ref="V109:V109">IF($R107=2,
         IF(AND(ACOMPANHAMENTO="PLE",ISNUMBER($F107)),
                SUMIF((OFFSET(CÁLCULO!$BS$15:$CS$15,$F107,0,OFFSET(ORÇAMENTO!$D$15,CRONO!$F107,0))),CRONO!V$12,OFFSET(CÁLCULO!$AR$15:$BR$15,$F107,0,OFFSET(ORÇAMENTO!$D$15,CRONO!$F107,0)))
                +IF(AND($F109&lt;&gt;"",$F109&lt;&gt;0),
                        SUMIF(CÁLCULO!$BS$15:$CS$205,CRONO!V$12,CÁLCULO!$AR$15:$BR$205)/(ORÇAMENTO!$X$15-_xlfn.single(CÁLCULO.TotalAdmLocal))*CRONO!$F109,
                        0),
                 V108*$S107),
          SUMIF(OFFSET($S109,1,0,$R107-2),($M107+1)&amp;"$",OFFSET(V109,1,0,$R107-2)))</f>
        <v>1163.5</v>
      </c>
      <c r="W109" s="439" t="n">
        <f aca="false" t="array" ref="W109:W109">IF($R107=2,
         IF(AND(ACOMPANHAMENTO="PLE",ISNUMBER($F107)),
                SUMIF((OFFSET(CÁLCULO!$BS$15:$CS$15,$F107,0,OFFSET(ORÇAMENTO!$D$15,CRONO!$F107,0))),CRONO!W$12,OFFSET(CÁLCULO!$AR$15:$BR$15,$F107,0,OFFSET(ORÇAMENTO!$D$15,CRONO!$F107,0)))
                +IF(AND($F109&lt;&gt;"",$F109&lt;&gt;0),
                        SUMIF(CÁLCULO!$BS$15:$CS$205,CRONO!W$12,CÁLCULO!$AR$15:$BR$205)/(ORÇAMENTO!$X$15-_xlfn.single(CÁLCULO.TotalAdmLocal))*CRONO!$F109,
                        0),
                 W108*$S107),
          SUMIF(OFFSET($S109,1,0,$R107-2),($M107+1)&amp;"$",OFFSET(W109,1,0,$R107-2)))</f>
        <v>1163.5</v>
      </c>
      <c r="X109" s="439" t="n">
        <f aca="false" t="array" ref="X109:X109">IF($R107=2,
         IF(AND(ACOMPANHAMENTO="PLE",ISNUMBER($F107)),
                SUMIF((OFFSET(CÁLCULO!$BS$15:$CS$15,$F107,0,OFFSET(ORÇAMENTO!$D$15,CRONO!$F107,0))),CRONO!X$12,OFFSET(CÁLCULO!$AR$15:$BR$15,$F107,0,OFFSET(ORÇAMENTO!$D$15,CRONO!$F107,0)))
                +IF(AND($F109&lt;&gt;"",$F109&lt;&gt;0),
                        SUMIF(CÁLCULO!$BS$15:$CS$205,CRONO!X$12,CÁLCULO!$AR$15:$BR$205)/(ORÇAMENTO!$X$15-_xlfn.single(CÁLCULO.TotalAdmLocal))*CRONO!$F109,
                        0),
                 X108*$S107),
          SUMIF(OFFSET($S109,1,0,$R107-2),($M107+1)&amp;"$",OFFSET(X109,1,0,$R107-2)))</f>
        <v>1163.5</v>
      </c>
      <c r="Y109" s="439" t="n">
        <f aca="false" t="array" ref="Y109:Y109">IF($R107=2,
         IF(AND(ACOMPANHAMENTO="PLE",ISNUMBER($F107)),
                SUMIF((OFFSET(CÁLCULO!$BS$15:$CS$15,$F107,0,OFFSET(ORÇAMENTO!$D$15,CRONO!$F107,0))),CRONO!Y$12,OFFSET(CÁLCULO!$AR$15:$BR$15,$F107,0,OFFSET(ORÇAMENTO!$D$15,CRONO!$F107,0)))
                +IF(AND($F109&lt;&gt;"",$F109&lt;&gt;0),
                        SUMIF(CÁLCULO!$BS$15:$CS$205,CRONO!Y$12,CÁLCULO!$AR$15:$BR$205)/(ORÇAMENTO!$X$15-_xlfn.single(CÁLCULO.TotalAdmLocal))*CRONO!$F109,
                        0),
                 Y108*$S107),
          SUMIF(OFFSET($S109,1,0,$R107-2),($M107+1)&amp;"$",OFFSET(Y109,1,0,$R107-2)))</f>
        <v>1163.5</v>
      </c>
      <c r="Z109" s="439" t="n">
        <f aca="false" t="array" ref="Z109:Z109">IF($R107=2,
         IF(AND(ACOMPANHAMENTO="PLE",ISNUMBER($F107)),
                SUMIF((OFFSET(CÁLCULO!$BS$15:$CS$15,$F107,0,OFFSET(ORÇAMENTO!$D$15,CRONO!$F107,0))),CRONO!Z$12,OFFSET(CÁLCULO!$AR$15:$BR$15,$F107,0,OFFSET(ORÇAMENTO!$D$15,CRONO!$F107,0)))
                +IF(AND($F109&lt;&gt;"",$F109&lt;&gt;0),
                        SUMIF(CÁLCULO!$BS$15:$CS$205,CRONO!Z$12,CÁLCULO!$AR$15:$BR$205)/(ORÇAMENTO!$X$15-_xlfn.single(CÁLCULO.TotalAdmLocal))*CRONO!$F109,
                        0),
                 Z108*$S107),
          SUMIF(OFFSET($S109,1,0,$R107-2),($M107+1)&amp;"$",OFFSET(Z109,1,0,$R107-2)))</f>
        <v>1163.5</v>
      </c>
      <c r="AA109" s="439" t="n">
        <f aca="false" t="array" ref="AA109:AA109">IF($R107=2,
         IF(AND(ACOMPANHAMENTO="PLE",ISNUMBER($F107)),
                SUMIF((OFFSET(CÁLCULO!$BS$15:$CS$15,$F107,0,OFFSET(ORÇAMENTO!$D$15,CRONO!$F107,0))),CRONO!AA$12,OFFSET(CÁLCULO!$AR$15:$BR$15,$F107,0,OFFSET(ORÇAMENTO!$D$15,CRONO!$F107,0)))
                +IF(AND($F109&lt;&gt;"",$F109&lt;&gt;0),
                        SUMIF(CÁLCULO!$BS$15:$CS$205,CRONO!AA$12,CÁLCULO!$AR$15:$BR$205)/(ORÇAMENTO!$X$15-_xlfn.single(CÁLCULO.TotalAdmLocal))*CRONO!$F109,
                        0),
                 AA108*$S107),
          SUMIF(OFFSET($S109,1,0,$R107-2),($M107+1)&amp;"$",OFFSET(AA109,1,0,$R107-2)))</f>
        <v>1163.5</v>
      </c>
      <c r="AB109" s="439" t="n">
        <f aca="false" t="array" ref="AB109:AB109">IF($R107=2,
         IF(AND(ACOMPANHAMENTO="PLE",ISNUMBER($F107)),
                SUMIF((OFFSET(CÁLCULO!$BS$15:$CS$15,$F107,0,OFFSET(ORÇAMENTO!$D$15,CRONO!$F107,0))),CRONO!AB$12,OFFSET(CÁLCULO!$AR$15:$BR$15,$F107,0,OFFSET(ORÇAMENTO!$D$15,CRONO!$F107,0)))
                +IF(AND($F109&lt;&gt;"",$F109&lt;&gt;0),
                        SUMIF(CÁLCULO!$BS$15:$CS$205,CRONO!AB$12,CÁLCULO!$AR$15:$BR$205)/(ORÇAMENTO!$X$15-_xlfn.single(CÁLCULO.TotalAdmLocal))*CRONO!$F109,
                        0),
                 AB108*$S107),
          SUMIF(OFFSET($S109,1,0,$R107-2),($M107+1)&amp;"$",OFFSET(AB109,1,0,$R107-2)))</f>
        <v>1163.5</v>
      </c>
      <c r="AC109" s="439" t="n">
        <f aca="false" t="array" ref="AC109:AC109">IF($R107=2,
         IF(AND(ACOMPANHAMENTO="PLE",ISNUMBER($F107)),
                SUMIF((OFFSET(CÁLCULO!$BS$15:$CS$15,$F107,0,OFFSET(ORÇAMENTO!$D$15,CRONO!$F107,0))),CRONO!AC$12,OFFSET(CÁLCULO!$AR$15:$BR$15,$F107,0,OFFSET(ORÇAMENTO!$D$15,CRONO!$F107,0)))
                +IF(AND($F109&lt;&gt;"",$F109&lt;&gt;0),
                        SUMIF(CÁLCULO!$BS$15:$CS$205,CRONO!AC$12,CÁLCULO!$AR$15:$BR$205)/(ORÇAMENTO!$X$15-_xlfn.single(CÁLCULO.TotalAdmLocal))*CRONO!$F109,
                        0),
                 AC108*$S107),
          SUMIF(OFFSET($S109,1,0,$R107-2),($M107+1)&amp;"$",OFFSET(AC109,1,0,$R107-2)))</f>
        <v>1163.5</v>
      </c>
      <c r="AD109" s="439" t="n">
        <f aca="false" t="array" ref="AD109:AD109">IF($R107=2,
         IF(AND(ACOMPANHAMENTO="PLE",ISNUMBER($F107)),
                SUMIF((OFFSET(CÁLCULO!$BS$15:$CS$15,$F107,0,OFFSET(ORÇAMENTO!$D$15,CRONO!$F107,0))),CRONO!AD$12,OFFSET(CÁLCULO!$AR$15:$BR$15,$F107,0,OFFSET(ORÇAMENTO!$D$15,CRONO!$F107,0)))
                +IF(AND($F109&lt;&gt;"",$F109&lt;&gt;0),
                        SUMIF(CÁLCULO!$BS$15:$CS$205,CRONO!AD$12,CÁLCULO!$AR$15:$BR$205)/(ORÇAMENTO!$X$15-_xlfn.single(CÁLCULO.TotalAdmLocal))*CRONO!$F109,
                        0),
                 AD108*$S107),
          SUMIF(OFFSET($S109,1,0,$R107-2),($M107+1)&amp;"$",OFFSET(AD109,1,0,$R107-2)))</f>
        <v>1163.5</v>
      </c>
      <c r="AE109" s="439" t="n">
        <f aca="false" t="array" ref="AE109:AE109">IF($R107=2,
         IF(AND(ACOMPANHAMENTO="PLE",ISNUMBER($F107)),
                SUMIF((OFFSET(CÁLCULO!$BS$15:$CS$15,$F107,0,OFFSET(ORÇAMENTO!$D$15,CRONO!$F107,0))),CRONO!AE$12,OFFSET(CÁLCULO!$AR$15:$BR$15,$F107,0,OFFSET(ORÇAMENTO!$D$15,CRONO!$F107,0)))
                +IF(AND($F109&lt;&gt;"",$F109&lt;&gt;0),
                        SUMIF(CÁLCULO!$BS$15:$CS$205,CRONO!AE$12,CÁLCULO!$AR$15:$BR$205)/(ORÇAMENTO!$X$15-_xlfn.single(CÁLCULO.TotalAdmLocal))*CRONO!$F109,
                        0),
                 AE108*$S107),
          SUMIF(OFFSET($S109,1,0,$R107-2),($M107+1)&amp;"$",OFFSET(AE109,1,0,$R107-2)))</f>
        <v>1163.5</v>
      </c>
      <c r="AF109" s="439" t="n">
        <f aca="false" t="array" ref="AF109:AF109">IF($R107=2,
         IF(AND(ACOMPANHAMENTO="PLE",ISNUMBER($F107)),
                SUMIF((OFFSET(CÁLCULO!$BS$15:$CS$15,$F107,0,OFFSET(ORÇAMENTO!$D$15,CRONO!$F107,0))),CRONO!AF$12,OFFSET(CÁLCULO!$AR$15:$BR$15,$F107,0,OFFSET(ORÇAMENTO!$D$15,CRONO!$F107,0)))
                +IF(AND($F109&lt;&gt;"",$F109&lt;&gt;0),
                        SUMIF(CÁLCULO!$BS$15:$CS$205,CRONO!AF$12,CÁLCULO!$AR$15:$BR$205)/(ORÇAMENTO!$X$15-_xlfn.single(CÁLCULO.TotalAdmLocal))*CRONO!$F109,
                        0),
                 AF108*$S107),
          SUMIF(OFFSET($S109,1,0,$R107-2),($M107+1)&amp;"$",OFFSET(AF109,1,0,$R107-2)))</f>
        <v>1163.5</v>
      </c>
      <c r="AG109" s="439" t="n">
        <f aca="false" t="array" ref="AG109:AG109">IF($R107=2,
         IF(AND(ACOMPANHAMENTO="PLE",ISNUMBER($F107)),
                SUMIF((OFFSET(CÁLCULO!$BS$15:$CS$15,$F107,0,OFFSET(ORÇAMENTO!$D$15,CRONO!$F107,0))),CRONO!AG$12,OFFSET(CÁLCULO!$AR$15:$BR$15,$F107,0,OFFSET(ORÇAMENTO!$D$15,CRONO!$F107,0)))
                +IF(AND($F109&lt;&gt;"",$F109&lt;&gt;0),
                        SUMIF(CÁLCULO!$BS$15:$CS$205,CRONO!AG$12,CÁLCULO!$AR$15:$BR$205)/(ORÇAMENTO!$X$15-_xlfn.single(CÁLCULO.TotalAdmLocal))*CRONO!$F109,
                        0),
                 AG108*$S107),
          SUMIF(OFFSET($S109,1,0,$R107-2),($M107+1)&amp;"$",OFFSET(AG109,1,0,$R107-2)))</f>
        <v>1163.5</v>
      </c>
      <c r="AH109" s="439" t="n">
        <f aca="false" t="array" ref="AH109:AH109">IF($R107=2,
         IF(AND(ACOMPANHAMENTO="PLE",ISNUMBER($F107)),
                SUMIF((OFFSET(CÁLCULO!$BS$15:$CS$15,$F107,0,OFFSET(ORÇAMENTO!$D$15,CRONO!$F107,0))),CRONO!AH$12,OFFSET(CÁLCULO!$AR$15:$BR$15,$F107,0,OFFSET(ORÇAMENTO!$D$15,CRONO!$F107,0)))
                +IF(AND($F109&lt;&gt;"",$F109&lt;&gt;0),
                        SUMIF(CÁLCULO!$BS$15:$CS$205,CRONO!AH$12,CÁLCULO!$AR$15:$BR$205)/(ORÇAMENTO!$X$15-_xlfn.single(CÁLCULO.TotalAdmLocal))*CRONO!$F109,
                        0),
                 AH108*$S107),
          SUMIF(OFFSET($S109,1,0,$R107-2),($M107+1)&amp;"$",OFFSET(AH109,1,0,$R107-2)))</f>
        <v>1163.5</v>
      </c>
      <c r="AI109" s="439" t="n">
        <f aca="false" t="array" ref="AI109:AI109">IF($R107=2,
         IF(AND(ACOMPANHAMENTO="PLE",ISNUMBER($F107)),
                SUMIF((OFFSET(CÁLCULO!$BS$15:$CS$15,$F107,0,OFFSET(ORÇAMENTO!$D$15,CRONO!$F107,0))),CRONO!AI$12,OFFSET(CÁLCULO!$AR$15:$BR$15,$F107,0,OFFSET(ORÇAMENTO!$D$15,CRONO!$F107,0)))
                +IF(AND($F109&lt;&gt;"",$F109&lt;&gt;0),
                        SUMIF(CÁLCULO!$BS$15:$CS$205,CRONO!AI$12,CÁLCULO!$AR$15:$BR$205)/(ORÇAMENTO!$X$15-_xlfn.single(CÁLCULO.TotalAdmLocal))*CRONO!$F109,
                        0),
                 AI108*$S107),
          SUMIF(OFFSET($S109,1,0,$R107-2),($M107+1)&amp;"$",OFFSET(AI109,1,0,$R107-2)))</f>
        <v>1163.5</v>
      </c>
      <c r="AJ109" s="439" t="n">
        <f aca="false" t="array" ref="AJ109:AJ109">IF($R107=2,
         IF(AND(ACOMPANHAMENTO="PLE",ISNUMBER($F107)),
                SUMIF((OFFSET(CÁLCULO!$BS$15:$CS$15,$F107,0,OFFSET(ORÇAMENTO!$D$15,CRONO!$F107,0))),CRONO!AJ$12,OFFSET(CÁLCULO!$AR$15:$BR$15,$F107,0,OFFSET(ORÇAMENTO!$D$15,CRONO!$F107,0)))
                +IF(AND($F109&lt;&gt;"",$F109&lt;&gt;0),
                        SUMIF(CÁLCULO!$BS$15:$CS$205,CRONO!AJ$12,CÁLCULO!$AR$15:$BR$205)/(ORÇAMENTO!$X$15-_xlfn.single(CÁLCULO.TotalAdmLocal))*CRONO!$F109,
                        0),
                 AJ108*$S107),
          SUMIF(OFFSET($S109,1,0,$R107-2),($M107+1)&amp;"$",OFFSET(AJ109,1,0,$R107-2)))</f>
        <v>1163.5</v>
      </c>
      <c r="AK109" s="439" t="n">
        <f aca="false" t="array" ref="AK109:AK109">IF($R107=2,
         IF(AND(ACOMPANHAMENTO="PLE",ISNUMBER($F107)),
                SUMIF((OFFSET(CÁLCULO!$BS$15:$CS$15,$F107,0,OFFSET(ORÇAMENTO!$D$15,CRONO!$F107,0))),CRONO!AK$12,OFFSET(CÁLCULO!$AR$15:$BR$15,$F107,0,OFFSET(ORÇAMENTO!$D$15,CRONO!$F107,0)))
                +IF(AND($F109&lt;&gt;"",$F109&lt;&gt;0),
                        SUMIF(CÁLCULO!$BS$15:$CS$205,CRONO!AK$12,CÁLCULO!$AR$15:$BR$205)/(ORÇAMENTO!$X$15-_xlfn.single(CÁLCULO.TotalAdmLocal))*CRONO!$F109,
                        0),
                 AK108*$S107),
          SUMIF(OFFSET($S109,1,0,$R107-2),($M107+1)&amp;"$",OFFSET(AK109,1,0,$R107-2)))</f>
        <v>1163.5</v>
      </c>
      <c r="AL109" s="439" t="n">
        <f aca="false" t="array" ref="AL109:AL109">IF($R107=2,
         IF(AND(ACOMPANHAMENTO="PLE",ISNUMBER($F107)),
                SUMIF((OFFSET(CÁLCULO!$BS$15:$CS$15,$F107,0,OFFSET(ORÇAMENTO!$D$15,CRONO!$F107,0))),CRONO!AL$12,OFFSET(CÁLCULO!$AR$15:$BR$15,$F107,0,OFFSET(ORÇAMENTO!$D$15,CRONO!$F107,0)))
                +IF(AND($F109&lt;&gt;"",$F109&lt;&gt;0),
                        SUMIF(CÁLCULO!$BS$15:$CS$205,CRONO!AL$12,CÁLCULO!$AR$15:$BR$205)/(ORÇAMENTO!$X$15-_xlfn.single(CÁLCULO.TotalAdmLocal))*CRONO!$F109,
                        0),
                 AL108*$S107),
          SUMIF(OFFSET($S109,1,0,$R107-2),($M107+1)&amp;"$",OFFSET(AL109,1,0,$R107-2)))</f>
        <v>1163.5</v>
      </c>
      <c r="AM109" s="439" t="n">
        <f aca="false" t="array" ref="AM109:AM109">IF($R107=2,
         IF(AND(ACOMPANHAMENTO="PLE",ISNUMBER($F107)),
                SUMIF((OFFSET(CÁLCULO!$BS$15:$CS$15,$F107,0,OFFSET(ORÇAMENTO!$D$15,CRONO!$F107,0))),CRONO!AM$12,OFFSET(CÁLCULO!$AR$15:$BR$15,$F107,0,OFFSET(ORÇAMENTO!$D$15,CRONO!$F107,0)))
                +IF(AND($F109&lt;&gt;"",$F109&lt;&gt;0),
                        SUMIF(CÁLCULO!$BS$15:$CS$205,CRONO!AM$12,CÁLCULO!$AR$15:$BR$205)/(ORÇAMENTO!$X$15-_xlfn.single(CÁLCULO.TotalAdmLocal))*CRONO!$F109,
                        0),
                 AM108*$S107),
          SUMIF(OFFSET($S109,1,0,$R107-2),($M107+1)&amp;"$",OFFSET(AM109,1,0,$R107-2)))</f>
        <v>1163.5</v>
      </c>
      <c r="AN109" s="439" t="n">
        <f aca="false" t="array" ref="AN109:AN109">IF($R107=2,
         IF(AND(ACOMPANHAMENTO="PLE",ISNUMBER($F107)),
                SUMIF((OFFSET(CÁLCULO!$BS$15:$CS$15,$F107,0,OFFSET(ORÇAMENTO!$D$15,CRONO!$F107,0))),CRONO!AN$12,OFFSET(CÁLCULO!$AR$15:$BR$15,$F107,0,OFFSET(ORÇAMENTO!$D$15,CRONO!$F107,0)))
                +IF(AND($F109&lt;&gt;"",$F109&lt;&gt;0),
                        SUMIF(CÁLCULO!$BS$15:$CS$205,CRONO!AN$12,CÁLCULO!$AR$15:$BR$205)/(ORÇAMENTO!$X$15-_xlfn.single(CÁLCULO.TotalAdmLocal))*CRONO!$F109,
                        0),
                 AN108*$S107),
          SUMIF(OFFSET($S109,1,0,$R107-2),($M107+1)&amp;"$",OFFSET(AN109,1,0,$R107-2)))</f>
        <v>1163.5</v>
      </c>
      <c r="AO109" s="439" t="n">
        <f aca="false" t="array" ref="AO109:AO109">IF($R107=2,
         IF(AND(ACOMPANHAMENTO="PLE",ISNUMBER($F107)),
                SUMIF((OFFSET(CÁLCULO!$BS$15:$CS$15,$F107,0,OFFSET(ORÇAMENTO!$D$15,CRONO!$F107,0))),CRONO!AO$12,OFFSET(CÁLCULO!$AR$15:$BR$15,$F107,0,OFFSET(ORÇAMENTO!$D$15,CRONO!$F107,0)))
                +IF(AND($F109&lt;&gt;"",$F109&lt;&gt;0),
                        SUMIF(CÁLCULO!$BS$15:$CS$205,CRONO!AO$12,CÁLCULO!$AR$15:$BR$205)/(ORÇAMENTO!$X$15-_xlfn.single(CÁLCULO.TotalAdmLocal))*CRONO!$F109,
                        0),
                 AO108*$S107),
          SUMIF(OFFSET($S109,1,0,$R107-2),($M107+1)&amp;"$",OFFSET(AO109,1,0,$R107-2)))</f>
        <v>1163.5</v>
      </c>
      <c r="AP109" s="439" t="n">
        <f aca="false" t="array" ref="AP109:AP109">IF($R107=2,
         IF(AND(ACOMPANHAMENTO="PLE",ISNUMBER($F107)),
                SUMIF((OFFSET(CÁLCULO!$BS$15:$CS$15,$F107,0,OFFSET(ORÇAMENTO!$D$15,CRONO!$F107,0))),CRONO!AP$12,OFFSET(CÁLCULO!$AR$15:$BR$15,$F107,0,OFFSET(ORÇAMENTO!$D$15,CRONO!$F107,0)))
                +IF(AND($F109&lt;&gt;"",$F109&lt;&gt;0),
                        SUMIF(CÁLCULO!$BS$15:$CS$205,CRONO!AP$12,CÁLCULO!$AR$15:$BR$205)/(ORÇAMENTO!$X$15-_xlfn.single(CÁLCULO.TotalAdmLocal))*CRONO!$F109,
                        0),
                 AP108*$S107),
          SUMIF(OFFSET($S109,1,0,$R107-2),($M107+1)&amp;"$",OFFSET(AP109,1,0,$R107-2)))</f>
        <v>1163.5</v>
      </c>
      <c r="AQ109" s="439" t="n">
        <f aca="false" t="array" ref="AQ109:AQ109">IF($R107=2,
         IF(AND(ACOMPANHAMENTO="PLE",ISNUMBER($F107)),
                SUMIF((OFFSET(CÁLCULO!$BS$15:$CS$15,$F107,0,OFFSET(ORÇAMENTO!$D$15,CRONO!$F107,0))),CRONO!AQ$12,OFFSET(CÁLCULO!$AR$15:$BR$15,$F107,0,OFFSET(ORÇAMENTO!$D$15,CRONO!$F107,0)))
                +IF(AND($F109&lt;&gt;"",$F109&lt;&gt;0),
                        SUMIF(CÁLCULO!$BS$15:$CS$205,CRONO!AQ$12,CÁLCULO!$AR$15:$BR$205)/(ORÇAMENTO!$X$15-_xlfn.single(CÁLCULO.TotalAdmLocal))*CRONO!$F109,
                        0),
                 AQ108*$S107),
          SUMIF(OFFSET($S109,1,0,$R107-2),($M107+1)&amp;"$",OFFSET(AQ109,1,0,$R107-2)))</f>
        <v>1163.5</v>
      </c>
      <c r="AR109" s="439" t="n">
        <f aca="false" t="array" ref="AR109:AR109">IF($R107=2,
         IF(AND(ACOMPANHAMENTO="PLE",ISNUMBER($F107)),
                SUMIF((OFFSET(CÁLCULO!$BS$15:$CS$15,$F107,0,OFFSET(ORÇAMENTO!$D$15,CRONO!$F107,0))),CRONO!AR$12,OFFSET(CÁLCULO!$AR$15:$BR$15,$F107,0,OFFSET(ORÇAMENTO!$D$15,CRONO!$F107,0)))
                +IF(AND($F109&lt;&gt;"",$F109&lt;&gt;0),
                        SUMIF(CÁLCULO!$BS$15:$CS$205,CRONO!AR$12,CÁLCULO!$AR$15:$BR$205)/(ORÇAMENTO!$X$15-_xlfn.single(CÁLCULO.TotalAdmLocal))*CRONO!$F109,
                        0),
                 AR108*$S107),
          SUMIF(OFFSET($S109,1,0,$R107-2),($M107+1)&amp;"$",OFFSET(AR109,1,0,$R107-2)))</f>
        <v>1163.5</v>
      </c>
      <c r="AS109" s="439" t="n">
        <f aca="false" t="array" ref="AS109:AS109">IF($R107=2,
         IF(AND(ACOMPANHAMENTO="PLE",ISNUMBER($F107)),
                SUMIF((OFFSET(CÁLCULO!$BS$15:$CS$15,$F107,0,OFFSET(ORÇAMENTO!$D$15,CRONO!$F107,0))),CRONO!AS$12,OFFSET(CÁLCULO!$AR$15:$BR$15,$F107,0,OFFSET(ORÇAMENTO!$D$15,CRONO!$F107,0)))
                +IF(AND($F109&lt;&gt;"",$F109&lt;&gt;0),
                        SUMIF(CÁLCULO!$BS$15:$CS$205,CRONO!AS$12,CÁLCULO!$AR$15:$BR$205)/(ORÇAMENTO!$X$15-_xlfn.single(CÁLCULO.TotalAdmLocal))*CRONO!$F109,
                        0),
                 AS108*$S107),
          SUMIF(OFFSET($S109,1,0,$R107-2),($M107+1)&amp;"$",OFFSET(AS109,1,0,$R107-2)))</f>
        <v>1163.5</v>
      </c>
      <c r="AT109" s="439" t="n">
        <f aca="false" t="array" ref="AT109:AT109">IF($R107=2,
         IF(AND(ACOMPANHAMENTO="PLE",ISNUMBER($F107)),
                SUMIF((OFFSET(CÁLCULO!$BS$15:$CS$15,$F107,0,OFFSET(ORÇAMENTO!$D$15,CRONO!$F107,0))),CRONO!AT$12,OFFSET(CÁLCULO!$AR$15:$BR$15,$F107,0,OFFSET(ORÇAMENTO!$D$15,CRONO!$F107,0)))
                +IF(AND($F109&lt;&gt;"",$F109&lt;&gt;0),
                        SUMIF(CÁLCULO!$BS$15:$CS$205,CRONO!AT$12,CÁLCULO!$AR$15:$BR$205)/(ORÇAMENTO!$X$15-_xlfn.single(CÁLCULO.TotalAdmLocal))*CRONO!$F109,
                        0),
                 AT108*$S107),
          SUMIF(OFFSET($S109,1,0,$R107-2),($M107+1)&amp;"$",OFFSET(AT109,1,0,$R107-2)))</f>
        <v>0</v>
      </c>
      <c r="AU109" s="439" t="n">
        <f aca="false" t="array" ref="AU109:AU109">IF($R107=2,
         IF(AND(ACOMPANHAMENTO="PLE",ISNUMBER($F107)),
                SUMIF((OFFSET(CÁLCULO!$BS$15:$CS$15,$F107,0,OFFSET(ORÇAMENTO!$D$15,CRONO!$F107,0))),CRONO!AU$12,OFFSET(CÁLCULO!$AR$15:$BR$15,$F107,0,OFFSET(ORÇAMENTO!$D$15,CRONO!$F107,0)))
                +IF(AND($F109&lt;&gt;"",$F109&lt;&gt;0),
                        SUMIF(CÁLCULO!$BS$15:$CS$205,CRONO!AU$12,CÁLCULO!$AR$15:$BR$205)/(ORÇAMENTO!$X$15-_xlfn.single(CÁLCULO.TotalAdmLocal))*CRONO!$F109,
                        0),
                 AU108*$S107),
          SUMIF(OFFSET($S109,1,0,$R107-2),($M107+1)&amp;"$",OFFSET(AU109,1,0,$R107-2)))</f>
        <v>0</v>
      </c>
      <c r="AV109" s="439" t="n">
        <f aca="false" t="array" ref="AV109:AV109">IF($R107=2,
         IF(AND(ACOMPANHAMENTO="PLE",ISNUMBER($F107)),
                SUMIF((OFFSET(CÁLCULO!$BS$15:$CS$15,$F107,0,OFFSET(ORÇAMENTO!$D$15,CRONO!$F107,0))),CRONO!AV$12,OFFSET(CÁLCULO!$AR$15:$BR$15,$F107,0,OFFSET(ORÇAMENTO!$D$15,CRONO!$F107,0)))
                +IF(AND($F109&lt;&gt;"",$F109&lt;&gt;0),
                        SUMIF(CÁLCULO!$BS$15:$CS$205,CRONO!AV$12,CÁLCULO!$AR$15:$BR$205)/(ORÇAMENTO!$X$15-_xlfn.single(CÁLCULO.TotalAdmLocal))*CRONO!$F109,
                        0),
                 AV108*$S107),
          SUMIF(OFFSET($S109,1,0,$R107-2),($M107+1)&amp;"$",OFFSET(AV109,1,0,$R107-2)))</f>
        <v>0</v>
      </c>
      <c r="AW109" s="439" t="n">
        <f aca="false" t="array" ref="AW109:AW109">IF($R107=2,
         IF(AND(ACOMPANHAMENTO="PLE",ISNUMBER($F107)),
                SUMIF((OFFSET(CÁLCULO!$BS$15:$CS$15,$F107,0,OFFSET(ORÇAMENTO!$D$15,CRONO!$F107,0))),CRONO!AW$12,OFFSET(CÁLCULO!$AR$15:$BR$15,$F107,0,OFFSET(ORÇAMENTO!$D$15,CRONO!$F107,0)))
                +IF(AND($F109&lt;&gt;"",$F109&lt;&gt;0),
                        SUMIF(CÁLCULO!$BS$15:$CS$205,CRONO!AW$12,CÁLCULO!$AR$15:$BR$205)/(ORÇAMENTO!$X$15-_xlfn.single(CÁLCULO.TotalAdmLocal))*CRONO!$F109,
                        0),
                 AW108*$S107),
          SUMIF(OFFSET($S109,1,0,$R107-2),($M107+1)&amp;"$",OFFSET(AW109,1,0,$R107-2)))</f>
        <v>0</v>
      </c>
      <c r="AX109" s="439" t="n">
        <f aca="false" t="array" ref="AX109:AX109">IF($R107=2,
         IF(AND(ACOMPANHAMENTO="PLE",ISNUMBER($F107)),
                SUMIF((OFFSET(CÁLCULO!$BS$15:$CS$15,$F107,0,OFFSET(ORÇAMENTO!$D$15,CRONO!$F107,0))),CRONO!AX$12,OFFSET(CÁLCULO!$AR$15:$BR$15,$F107,0,OFFSET(ORÇAMENTO!$D$15,CRONO!$F107,0)))
                +IF(AND($F109&lt;&gt;"",$F109&lt;&gt;0),
                        SUMIF(CÁLCULO!$BS$15:$CS$205,CRONO!AX$12,CÁLCULO!$AR$15:$BR$205)/(ORÇAMENTO!$X$15-_xlfn.single(CÁLCULO.TotalAdmLocal))*CRONO!$F109,
                        0),
                 AX108*$S107),
          SUMIF(OFFSET($S109,1,0,$R107-2),($M107+1)&amp;"$",OFFSET(AX109,1,0,$R107-2)))</f>
        <v>0</v>
      </c>
      <c r="AY109" s="439" t="n">
        <f aca="false" t="array" ref="AY109:AY109">IF($R107=2,
         IF(AND(ACOMPANHAMENTO="PLE",ISNUMBER($F107)),
                SUMIF((OFFSET(CÁLCULO!$BS$15:$CS$15,$F107,0,OFFSET(ORÇAMENTO!$D$15,CRONO!$F107,0))),CRONO!AY$12,OFFSET(CÁLCULO!$AR$15:$BR$15,$F107,0,OFFSET(ORÇAMENTO!$D$15,CRONO!$F107,0)))
                +IF(AND($F109&lt;&gt;"",$F109&lt;&gt;0),
                        SUMIF(CÁLCULO!$BS$15:$CS$205,CRONO!AY$12,CÁLCULO!$AR$15:$BR$205)/(ORÇAMENTO!$X$15-_xlfn.single(CÁLCULO.TotalAdmLocal))*CRONO!$F109,
                        0),
                 AY108*$S107),
          SUMIF(OFFSET($S109,1,0,$R107-2),($M107+1)&amp;"$",OFFSET(AY109,1,0,$R107-2)))</f>
        <v>0</v>
      </c>
      <c r="AZ109" s="439" t="n">
        <f aca="false" t="array" ref="AZ109:AZ109">IF($R107=2,
         IF(AND(ACOMPANHAMENTO="PLE",ISNUMBER($F107)),
                SUMIF((OFFSET(CÁLCULO!$BS$15:$CS$15,$F107,0,OFFSET(ORÇAMENTO!$D$15,CRONO!$F107,0))),CRONO!AZ$12,OFFSET(CÁLCULO!$AR$15:$BR$15,$F107,0,OFFSET(ORÇAMENTO!$D$15,CRONO!$F107,0)))
                +IF(AND($F109&lt;&gt;"",$F109&lt;&gt;0),
                        SUMIF(CÁLCULO!$BS$15:$CS$205,CRONO!AZ$12,CÁLCULO!$AR$15:$BR$205)/(ORÇAMENTO!$X$15-_xlfn.single(CÁLCULO.TotalAdmLocal))*CRONO!$F109,
                        0),
                 AZ108*$S107),
          SUMIF(OFFSET($S109,1,0,$R107-2),($M107+1)&amp;"$",OFFSET(AZ109,1,0,$R107-2)))</f>
        <v>0</v>
      </c>
      <c r="BA109" s="439" t="n">
        <f aca="false" t="array" ref="BA109:BA109">IF($R107=2,
         IF(AND(ACOMPANHAMENTO="PLE",ISNUMBER($F107)),
                SUMIF((OFFSET(CÁLCULO!$BS$15:$CS$15,$F107,0,OFFSET(ORÇAMENTO!$D$15,CRONO!$F107,0))),CRONO!BA$12,OFFSET(CÁLCULO!$AR$15:$BR$15,$F107,0,OFFSET(ORÇAMENTO!$D$15,CRONO!$F107,0)))
                +IF(AND($F109&lt;&gt;"",$F109&lt;&gt;0),
                        SUMIF(CÁLCULO!$BS$15:$CS$205,CRONO!BA$12,CÁLCULO!$AR$15:$BR$205)/(ORÇAMENTO!$X$15-_xlfn.single(CÁLCULO.TotalAdmLocal))*CRONO!$F109,
                        0),
                 BA108*$S107),
          SUMIF(OFFSET($S109,1,0,$R107-2),($M107+1)&amp;"$",OFFSET(BA109,1,0,$R107-2)))</f>
        <v>0</v>
      </c>
      <c r="BB109" s="439" t="n">
        <f aca="false" t="array" ref="BB109:BB109">IF($R107=2,
         IF(AND(ACOMPANHAMENTO="PLE",ISNUMBER($F107)),
                SUMIF((OFFSET(CÁLCULO!$BS$15:$CS$15,$F107,0,OFFSET(ORÇAMENTO!$D$15,CRONO!$F107,0))),CRONO!BB$12,OFFSET(CÁLCULO!$AR$15:$BR$15,$F107,0,OFFSET(ORÇAMENTO!$D$15,CRONO!$F107,0)))
                +IF(AND($F109&lt;&gt;"",$F109&lt;&gt;0),
                        SUMIF(CÁLCULO!$BS$15:$CS$205,CRONO!BB$12,CÁLCULO!$AR$15:$BR$205)/(ORÇAMENTO!$X$15-_xlfn.single(CÁLCULO.TotalAdmLocal))*CRONO!$F109,
                        0),
                 BB108*$S107),
          SUMIF(OFFSET($S109,1,0,$R107-2),($M107+1)&amp;"$",OFFSET(BB109,1,0,$R107-2)))</f>
        <v>0</v>
      </c>
      <c r="BC109" s="439" t="n">
        <f aca="false" t="array" ref="BC109:BC109">IF($R107=2,
         IF(AND(ACOMPANHAMENTO="PLE",ISNUMBER($F107)),
                SUMIF((OFFSET(CÁLCULO!$BS$15:$CS$15,$F107,0,OFFSET(ORÇAMENTO!$D$15,CRONO!$F107,0))),CRONO!BC$12,OFFSET(CÁLCULO!$AR$15:$BR$15,$F107,0,OFFSET(ORÇAMENTO!$D$15,CRONO!$F107,0)))
                +IF(AND($F109&lt;&gt;"",$F109&lt;&gt;0),
                        SUMIF(CÁLCULO!$BS$15:$CS$205,CRONO!BC$12,CÁLCULO!$AR$15:$BR$205)/(ORÇAMENTO!$X$15-_xlfn.single(CÁLCULO.TotalAdmLocal))*CRONO!$F109,
                        0),
                 BC108*$S107),
          SUMIF(OFFSET($S109,1,0,$R107-2),($M107+1)&amp;"$",OFFSET(BC109,1,0,$R107-2)))</f>
        <v>0</v>
      </c>
      <c r="BD109" s="439" t="n">
        <f aca="false" t="array" ref="BD109:BD109">IF($R107=2,
         IF(AND(ACOMPANHAMENTO="PLE",ISNUMBER($F107)),
                SUMIF((OFFSET(CÁLCULO!$BS$15:$CS$15,$F107,0,OFFSET(ORÇAMENTO!$D$15,CRONO!$F107,0))),CRONO!BD$12,OFFSET(CÁLCULO!$AR$15:$BR$15,$F107,0,OFFSET(ORÇAMENTO!$D$15,CRONO!$F107,0)))
                +IF(AND($F109&lt;&gt;"",$F109&lt;&gt;0),
                        SUMIF(CÁLCULO!$BS$15:$CS$205,CRONO!BD$12,CÁLCULO!$AR$15:$BR$205)/(ORÇAMENTO!$X$15-_xlfn.single(CÁLCULO.TotalAdmLocal))*CRONO!$F109,
                        0),
                 BD108*$S107),
          SUMIF(OFFSET($S109,1,0,$R107-2),($M107+1)&amp;"$",OFFSET(BD109,1,0,$R107-2)))</f>
        <v>0</v>
      </c>
      <c r="BE109" s="430"/>
    </row>
    <row r="110" customFormat="false" ht="12.75" hidden="false" customHeight="false" outlineLevel="0" collapsed="false">
      <c r="A110" s="382" t="str">
        <f aca="false">IF($M110&gt;1,_xlfn.CONCAT($I110," ",$J110),"")</f>
        <v>1.32. RODAPÉS, SOLEIRAS E PEITORIS</v>
      </c>
      <c r="B110" s="419" t="n">
        <f aca="true">OFFSET(B110,-3,0)+1</f>
        <v>33</v>
      </c>
      <c r="C110" s="419" t="n">
        <f aca="true">IF($R110&lt;&gt;2,0,IF($S110=0,1,IF(F111&gt;0,OFFSET(QCI!$M$13,SUBSTITUTE(F111,".",""),0),OFFSET(ORÇAMENTO!$AA$15,CRONO!$F110,0))/$S110))</f>
        <v>0.110981526562671</v>
      </c>
      <c r="D110" s="419" t="n">
        <f aca="true">IF($R110&lt;&gt;2,0,IF($S110=0,1,IF(F111&gt;0,OFFSET(QCI!$N$13,SUBSTITUTE(F111,".",""),0),OFFSET(ORÇAMENTO!$AB$15,CRONO!$F110,0))/$S110))</f>
        <v>0</v>
      </c>
      <c r="E110" s="422" t="n">
        <f aca="false" t="array" ref="E110:E110">IF(AND($R110=2,ACOMPANHAMENTO="BM"),ROUND(E111,4),E112/$S110)</f>
        <v>0.04</v>
      </c>
      <c r="F110" s="419" t="n">
        <f aca="true">IF(B110&lt;=ORÇAMENTO.MáximoListaCrono,MATCH(B110,ORÇAMENTO.ListaCrono,0),NA())</f>
        <v>99</v>
      </c>
      <c r="G110" s="419" t="str">
        <f aca="false">IF(AND($F111&lt;&gt;-1,$S110&gt;0),"F","")</f>
        <v>F</v>
      </c>
      <c r="H110" s="423" t="str">
        <f aca="false" t="array" ref="H110:H110">IF(OR(S110=0,S110=""),"Linha",IF(AND(OR(ACOMPANHAMENTO="PLE",$R110&lt;&gt;2),$F111=0),"Linha",ROUND(1-SUM(U110:BE110),4)))</f>
        <v>Linha</v>
      </c>
      <c r="I110" s="424" t="str">
        <f aca="true">IF($F111=0,OFFSET(ORÇAMENTO!O$15,$F110,0),IF($F111&lt;&gt;-1,OFFSET(QCI!$D$13,$F111,0),""))</f>
        <v>1.32.</v>
      </c>
      <c r="J110" s="425" t="str">
        <f aca="true">IF($F111=0,OFFSET(ORÇAMENTO!R$15,$F110,0),IF($F111&lt;&gt;-1,OFFSET(QCI!$G$13,$F111,0),""))</f>
        <v>RODAPÉS, SOLEIRAS E PEITORIS</v>
      </c>
      <c r="K110" s="425"/>
      <c r="L110" s="425"/>
      <c r="M110" s="426" t="n">
        <f aca="true">IF($F111=0,OFFSET(ORÇAMENTO!C$15,$F110,0),1)</f>
        <v>2</v>
      </c>
      <c r="N110" s="427" t="n">
        <f aca="true">IF($F111=-1,0,IF(N$13&lt;=$M110,IF(ISERROR(MATCH(N$13,OFFSET($M110,1,0,ROW($M$182)-ROW($M110)-1),0)),ROW($M$182)-ROW($M110)-1,MATCH(N$13,OFFSET($M110,1,0,ROW($M$182)-ROW($M110)-1),0)-1),0))</f>
        <v>71</v>
      </c>
      <c r="O110" s="427" t="n">
        <f aca="true">IF($F111=-1,0,IF(O$13&lt;=$M110,IF(ISERROR(MATCH(O$13,OFFSET($M110,1,0,ROW($M$182)-ROW($M110)-1),0)),ROW($M$182)-ROW($M110)-1,MATCH(O$13,OFFSET($M110,1,0,ROW($M$182)-ROW($M110)-1),0)-1),0))</f>
        <v>2</v>
      </c>
      <c r="P110" s="427" t="n">
        <f aca="true">IF($F111=-1,0,IF(P$13&lt;=$M110,IF(ISERROR(MATCH(P$13,OFFSET($M110,1,0,ROW($M$182)-ROW($M110)-1),0)),ROW($M$182)-ROW($M110)-1,MATCH(P$13,OFFSET($M110,1,0,ROW($M$182)-ROW($M110)-1),0)-1),0))</f>
        <v>0</v>
      </c>
      <c r="Q110" s="427" t="n">
        <f aca="true">IF($F111=-1,0,IF(Q$13&lt;=$M110,IF(ISERROR(MATCH(Q$13,OFFSET($M110,1,0,ROW($M$182)-ROW($M110)-1),0)),ROW($M$182)-ROW($M110)-1,MATCH(Q$13,OFFSET($M110,1,0,ROW($M$182)-ROW($M110)-1),0)-1),0))</f>
        <v>0</v>
      </c>
      <c r="R110" s="427" t="n">
        <f aca="true">MIN(OFFSET(M110,0,1,,M110))</f>
        <v>2</v>
      </c>
      <c r="S110" s="428" t="n">
        <f aca="true">IF($F111=0,OFFSET(ORÇAMENTO!X$15,$F110,0),IF($F111&lt;&gt;-1,OFFSET(QCI!$O$13,$F111,0),""))</f>
        <v>23182.5</v>
      </c>
      <c r="T110" s="429" t="s">
        <v>996</v>
      </c>
      <c r="U110" s="422" t="n">
        <f aca="false" t="array" ref="U110:U110">IF(AND($R110=2,ACOMPANHAMENTO="BM"),ROUND(U111,4),U112/$S110)</f>
        <v>0.04</v>
      </c>
      <c r="V110" s="422" t="n">
        <f aca="false" t="array" ref="V110:V110">IF(AND($R110=2,ACOMPANHAMENTO="BM"),ROUND(V111,4),V112/$S110)</f>
        <v>0.04</v>
      </c>
      <c r="W110" s="422" t="n">
        <f aca="false" t="array" ref="W110:W110">IF(AND($R110=2,ACOMPANHAMENTO="BM"),ROUND(W111,4),W112/$S110)</f>
        <v>0.04</v>
      </c>
      <c r="X110" s="422" t="n">
        <f aca="false" t="array" ref="X110:X110">IF(AND($R110=2,ACOMPANHAMENTO="BM"),ROUND(X111,4),X112/$S110)</f>
        <v>0.04</v>
      </c>
      <c r="Y110" s="422" t="n">
        <f aca="false" t="array" ref="Y110:Y110">IF(AND($R110=2,ACOMPANHAMENTO="BM"),ROUND(Y111,4),Y112/$S110)</f>
        <v>0.04</v>
      </c>
      <c r="Z110" s="422" t="n">
        <f aca="false" t="array" ref="Z110:Z110">IF(AND($R110=2,ACOMPANHAMENTO="BM"),ROUND(Z111,4),Z112/$S110)</f>
        <v>0.04</v>
      </c>
      <c r="AA110" s="422" t="n">
        <f aca="false" t="array" ref="AA110:AA110">IF(AND($R110=2,ACOMPANHAMENTO="BM"),ROUND(AA111,4),AA112/$S110)</f>
        <v>0.04</v>
      </c>
      <c r="AB110" s="422" t="n">
        <f aca="false" t="array" ref="AB110:AB110">IF(AND($R110=2,ACOMPANHAMENTO="BM"),ROUND(AB111,4),AB112/$S110)</f>
        <v>0.04</v>
      </c>
      <c r="AC110" s="422" t="n">
        <f aca="false" t="array" ref="AC110:AC110">IF(AND($R110=2,ACOMPANHAMENTO="BM"),ROUND(AC111,4),AC112/$S110)</f>
        <v>0.04</v>
      </c>
      <c r="AD110" s="422" t="n">
        <f aca="false" t="array" ref="AD110:AD110">IF(AND($R110=2,ACOMPANHAMENTO="BM"),ROUND(AD111,4),AD112/$S110)</f>
        <v>0.04</v>
      </c>
      <c r="AE110" s="422" t="n">
        <f aca="false" t="array" ref="AE110:AE110">IF(AND($R110=2,ACOMPANHAMENTO="BM"),ROUND(AE111,4),AE112/$S110)</f>
        <v>0.04</v>
      </c>
      <c r="AF110" s="422" t="n">
        <f aca="false" t="array" ref="AF110:AF110">IF(AND($R110=2,ACOMPANHAMENTO="BM"),ROUND(AF111,4),AF112/$S110)</f>
        <v>0.04</v>
      </c>
      <c r="AG110" s="422" t="n">
        <f aca="false" t="array" ref="AG110:AG110">IF(AND($R110=2,ACOMPANHAMENTO="BM"),ROUND(AG111,4),AG112/$S110)</f>
        <v>0.04</v>
      </c>
      <c r="AH110" s="422" t="n">
        <f aca="false" t="array" ref="AH110:AH110">IF(AND($R110=2,ACOMPANHAMENTO="BM"),ROUND(AH111,4),AH112/$S110)</f>
        <v>0.04</v>
      </c>
      <c r="AI110" s="422" t="n">
        <f aca="false" t="array" ref="AI110:AI110">IF(AND($R110=2,ACOMPANHAMENTO="BM"),ROUND(AI111,4),AI112/$S110)</f>
        <v>0.04</v>
      </c>
      <c r="AJ110" s="422" t="n">
        <f aca="false" t="array" ref="AJ110:AJ110">IF(AND($R110=2,ACOMPANHAMENTO="BM"),ROUND(AJ111,4),AJ112/$S110)</f>
        <v>0.04</v>
      </c>
      <c r="AK110" s="422" t="n">
        <f aca="false" t="array" ref="AK110:AK110">IF(AND($R110=2,ACOMPANHAMENTO="BM"),ROUND(AK111,4),AK112/$S110)</f>
        <v>0.04</v>
      </c>
      <c r="AL110" s="422" t="n">
        <f aca="false" t="array" ref="AL110:AL110">IF(AND($R110=2,ACOMPANHAMENTO="BM"),ROUND(AL111,4),AL112/$S110)</f>
        <v>0.04</v>
      </c>
      <c r="AM110" s="422" t="n">
        <f aca="false" t="array" ref="AM110:AM110">IF(AND($R110=2,ACOMPANHAMENTO="BM"),ROUND(AM111,4),AM112/$S110)</f>
        <v>0.04</v>
      </c>
      <c r="AN110" s="422" t="n">
        <f aca="false" t="array" ref="AN110:AN110">IF(AND($R110=2,ACOMPANHAMENTO="BM"),ROUND(AN111,4),AN112/$S110)</f>
        <v>0.04</v>
      </c>
      <c r="AO110" s="422" t="n">
        <f aca="false" t="array" ref="AO110:AO110">IF(AND($R110=2,ACOMPANHAMENTO="BM"),ROUND(AO111,4),AO112/$S110)</f>
        <v>0.04</v>
      </c>
      <c r="AP110" s="422" t="n">
        <f aca="false" t="array" ref="AP110:AP110">IF(AND($R110=2,ACOMPANHAMENTO="BM"),ROUND(AP111,4),AP112/$S110)</f>
        <v>0.04</v>
      </c>
      <c r="AQ110" s="422" t="n">
        <f aca="false" t="array" ref="AQ110:AQ110">IF(AND($R110=2,ACOMPANHAMENTO="BM"),ROUND(AQ111,4),AQ112/$S110)</f>
        <v>0.04</v>
      </c>
      <c r="AR110" s="422" t="n">
        <f aca="false" t="array" ref="AR110:AR110">IF(AND($R110=2,ACOMPANHAMENTO="BM"),ROUND(AR111,4),AR112/$S110)</f>
        <v>0.04</v>
      </c>
      <c r="AS110" s="422" t="n">
        <f aca="false" t="array" ref="AS110:AS110">IF(AND($R110=2,ACOMPANHAMENTO="BM"),ROUND(AS111,4),AS112/$S110)</f>
        <v>0.04</v>
      </c>
      <c r="AT110" s="422" t="n">
        <f aca="false" t="array" ref="AT110:AT110">IF(AND($R110=2,ACOMPANHAMENTO="BM"),ROUND(AT111,4),AT112/$S110)</f>
        <v>0</v>
      </c>
      <c r="AU110" s="422" t="n">
        <f aca="false" t="array" ref="AU110:AU110">IF(AND($R110=2,ACOMPANHAMENTO="BM"),ROUND(AU111,4),AU112/$S110)</f>
        <v>0</v>
      </c>
      <c r="AV110" s="422" t="n">
        <f aca="false" t="array" ref="AV110:AV110">IF(AND($R110=2,ACOMPANHAMENTO="BM"),ROUND(AV111,4),AV112/$S110)</f>
        <v>0</v>
      </c>
      <c r="AW110" s="422" t="n">
        <f aca="false" t="array" ref="AW110:AW110">IF(AND($R110=2,ACOMPANHAMENTO="BM"),ROUND(AW111,4),AW112/$S110)</f>
        <v>0</v>
      </c>
      <c r="AX110" s="422" t="n">
        <f aca="false" t="array" ref="AX110:AX110">IF(AND($R110=2,ACOMPANHAMENTO="BM"),ROUND(AX111,4),AX112/$S110)</f>
        <v>0</v>
      </c>
      <c r="AY110" s="422" t="n">
        <f aca="false" t="array" ref="AY110:AY110">IF(AND($R110=2,ACOMPANHAMENTO="BM"),ROUND(AY111,4),AY112/$S110)</f>
        <v>0</v>
      </c>
      <c r="AZ110" s="422" t="n">
        <f aca="false" t="array" ref="AZ110:AZ110">IF(AND($R110=2,ACOMPANHAMENTO="BM"),ROUND(AZ111,4),AZ112/$S110)</f>
        <v>0</v>
      </c>
      <c r="BA110" s="422" t="n">
        <f aca="false" t="array" ref="BA110:BA110">IF(AND($R110=2,ACOMPANHAMENTO="BM"),ROUND(BA111,4),BA112/$S110)</f>
        <v>0</v>
      </c>
      <c r="BB110" s="422" t="n">
        <f aca="false" t="array" ref="BB110:BB110">IF(AND($R110=2,ACOMPANHAMENTO="BM"),ROUND(BB111,4),BB112/$S110)</f>
        <v>0</v>
      </c>
      <c r="BC110" s="422" t="n">
        <f aca="false" t="array" ref="BC110:BC110">IF(AND($R110=2,ACOMPANHAMENTO="BM"),ROUND(BC111,4),BC112/$S110)</f>
        <v>0</v>
      </c>
      <c r="BD110" s="422" t="n">
        <f aca="false" t="array" ref="BD110:BD110">IF(AND($R110=2,ACOMPANHAMENTO="BM"),ROUND(BD111,4),BD112/$S110)</f>
        <v>0</v>
      </c>
      <c r="BE110" s="430"/>
    </row>
    <row r="111" customFormat="false" ht="12.75" hidden="true" customHeight="true" outlineLevel="0" collapsed="false">
      <c r="E111" s="431"/>
      <c r="F111" s="419" t="n">
        <f aca="true">IF(ISERROR(F110),IF(1+COUNTIF($M$13:OFFSET(M110,-1,0),1)&lt;=MAX(QCI!$D$13:$D$15),1+COUNTIF($M$13:OFFSET(M110,-1,0),1),-1),0)</f>
        <v>0</v>
      </c>
      <c r="G111" s="419" t="str">
        <f aca="true" t="array" ref="G111:G111">IF(ACOMPANHAMENTO="BM",OFFSET(G111,-1,0),"")</f>
        <v/>
      </c>
      <c r="H111" s="432" t="str">
        <f aca="false" t="array" ref="H111:H111">IF(OR(S110=0,S110=""),"vazia",IF(AND(OR(ACOMPANHAMENTO="PLE",$R110&lt;&gt;2),$F111=0),"calculada","--&gt;"))</f>
        <v>calculada</v>
      </c>
      <c r="I111" s="433"/>
      <c r="J111" s="434" t="str">
        <f aca="false">IF(AND(H110&lt;&gt;0,ISNUMBER(H110)),"PREENCHA ESTA LINHA --&gt;","")</f>
        <v/>
      </c>
      <c r="K111" s="434"/>
      <c r="L111" s="434"/>
      <c r="M111" s="435"/>
      <c r="N111" s="435"/>
      <c r="O111" s="435"/>
      <c r="P111" s="435"/>
      <c r="Q111" s="435"/>
      <c r="R111" s="435"/>
      <c r="S111" s="436"/>
      <c r="T111" s="437"/>
      <c r="U111" s="431"/>
      <c r="V111" s="431"/>
      <c r="W111" s="431"/>
      <c r="X111" s="431"/>
      <c r="Y111" s="431"/>
      <c r="Z111" s="431"/>
      <c r="AA111" s="431"/>
      <c r="AB111" s="431"/>
      <c r="AC111" s="431"/>
      <c r="AD111" s="431"/>
      <c r="AE111" s="431"/>
      <c r="AF111" s="431"/>
      <c r="AG111" s="431"/>
      <c r="AH111" s="431"/>
      <c r="AI111" s="431"/>
      <c r="AJ111" s="431"/>
      <c r="AK111" s="431"/>
      <c r="AL111" s="431"/>
      <c r="AM111" s="431"/>
      <c r="AN111" s="431"/>
      <c r="AO111" s="431"/>
      <c r="AP111" s="431"/>
      <c r="AQ111" s="431"/>
      <c r="AR111" s="431"/>
      <c r="AS111" s="431"/>
      <c r="AT111" s="431"/>
      <c r="AU111" s="431"/>
      <c r="AV111" s="431"/>
      <c r="AW111" s="431"/>
      <c r="AX111" s="431"/>
      <c r="AY111" s="431"/>
      <c r="AZ111" s="431"/>
      <c r="BA111" s="431"/>
      <c r="BB111" s="431"/>
      <c r="BC111" s="431"/>
      <c r="BD111" s="431"/>
      <c r="BE111" s="430"/>
    </row>
    <row r="112" customFormat="false" ht="12.75" hidden="true" customHeight="true" outlineLevel="0" collapsed="false">
      <c r="D112" s="438"/>
      <c r="E112" s="439" t="n">
        <f aca="false" t="array" ref="E112:E112">IF($R110=2,
         IF(AND(ACOMPANHAMENTO="PLE",ISNUMBER($F110)),
                SUMIF((OFFSET(CÁLCULO!$BS$15:$CS$15,$F110,0,OFFSET(ORÇAMENTO!$D$15,CRONO!$F110,0))),CRONO!E$12,OFFSET(CÁLCULO!$AR$15:$BR$15,$F110,0,OFFSET(ORÇAMENTO!$D$15,CRONO!$F110,0)))
                +IF(AND($F112&lt;&gt;"",$F112&lt;&gt;0),
                        SUMIF(CÁLCULO!$BS$15:$CS$205,CRONO!E$12,CÁLCULO!$AR$15:$BR$205)/(ORÇAMENTO!$X$15-_xlfn.single(CÁLCULO.TotalAdmLocal))*CRONO!$F112,
                        0),
                 E111*$S110),
          SUMIF(OFFSET($S112,1,0,$R110-2),($M110+1)&amp;"$",OFFSET(E112,1,0,$R110-2)))</f>
        <v>927.3</v>
      </c>
      <c r="F112" s="419" t="str">
        <f aca="true">IF(OR($R110&lt;&gt;2,AUTOEVENTO&lt;&gt;"manual",$F111&gt;0),"",
        IF(Import.TipoArredondamento="Tradicional",
              SUMIF(OFFSET(CÁLCULO!$M$15,CRONO!$F110,0,OFFSET(ORÇAMENTO!$D$15,CRONO!$F110,0)),1,OFFSET(ORÇAMENTO!$X$15,CRONO!$F110,0,OFFSET(ORÇAMENTO!$D$15,CRONO!$F110,0))),
              0))</f>
        <v/>
      </c>
      <c r="H112" s="440"/>
      <c r="S112" s="441" t="str">
        <f aca="false">M110&amp;"$"</f>
        <v>2$</v>
      </c>
      <c r="T112" s="442"/>
      <c r="U112" s="439" t="n">
        <f aca="false" t="array" ref="U112:U112">IF($R110=2,
         IF(AND(ACOMPANHAMENTO="PLE",ISNUMBER($F110)),
                SUMIF((OFFSET(CÁLCULO!$BS$15:$CS$15,$F110,0,OFFSET(ORÇAMENTO!$D$15,CRONO!$F110,0))),CRONO!U$12,OFFSET(CÁLCULO!$AR$15:$BR$15,$F110,0,OFFSET(ORÇAMENTO!$D$15,CRONO!$F110,0)))
                +IF(AND($F112&lt;&gt;"",$F112&lt;&gt;0),
                        SUMIF(CÁLCULO!$BS$15:$CS$205,CRONO!U$12,CÁLCULO!$AR$15:$BR$205)/(ORÇAMENTO!$X$15-_xlfn.single(CÁLCULO.TotalAdmLocal))*CRONO!$F112,
                        0),
                 U111*$S110),
          SUMIF(OFFSET($S112,1,0,$R110-2),($M110+1)&amp;"$",OFFSET(U112,1,0,$R110-2)))</f>
        <v>927.3</v>
      </c>
      <c r="V112" s="439" t="n">
        <f aca="false" t="array" ref="V112:V112">IF($R110=2,
         IF(AND(ACOMPANHAMENTO="PLE",ISNUMBER($F110)),
                SUMIF((OFFSET(CÁLCULO!$BS$15:$CS$15,$F110,0,OFFSET(ORÇAMENTO!$D$15,CRONO!$F110,0))),CRONO!V$12,OFFSET(CÁLCULO!$AR$15:$BR$15,$F110,0,OFFSET(ORÇAMENTO!$D$15,CRONO!$F110,0)))
                +IF(AND($F112&lt;&gt;"",$F112&lt;&gt;0),
                        SUMIF(CÁLCULO!$BS$15:$CS$205,CRONO!V$12,CÁLCULO!$AR$15:$BR$205)/(ORÇAMENTO!$X$15-_xlfn.single(CÁLCULO.TotalAdmLocal))*CRONO!$F112,
                        0),
                 V111*$S110),
          SUMIF(OFFSET($S112,1,0,$R110-2),($M110+1)&amp;"$",OFFSET(V112,1,0,$R110-2)))</f>
        <v>927.3</v>
      </c>
      <c r="W112" s="439" t="n">
        <f aca="false" t="array" ref="W112:W112">IF($R110=2,
         IF(AND(ACOMPANHAMENTO="PLE",ISNUMBER($F110)),
                SUMIF((OFFSET(CÁLCULO!$BS$15:$CS$15,$F110,0,OFFSET(ORÇAMENTO!$D$15,CRONO!$F110,0))),CRONO!W$12,OFFSET(CÁLCULO!$AR$15:$BR$15,$F110,0,OFFSET(ORÇAMENTO!$D$15,CRONO!$F110,0)))
                +IF(AND($F112&lt;&gt;"",$F112&lt;&gt;0),
                        SUMIF(CÁLCULO!$BS$15:$CS$205,CRONO!W$12,CÁLCULO!$AR$15:$BR$205)/(ORÇAMENTO!$X$15-_xlfn.single(CÁLCULO.TotalAdmLocal))*CRONO!$F112,
                        0),
                 W111*$S110),
          SUMIF(OFFSET($S112,1,0,$R110-2),($M110+1)&amp;"$",OFFSET(W112,1,0,$R110-2)))</f>
        <v>927.3</v>
      </c>
      <c r="X112" s="439" t="n">
        <f aca="false" t="array" ref="X112:X112">IF($R110=2,
         IF(AND(ACOMPANHAMENTO="PLE",ISNUMBER($F110)),
                SUMIF((OFFSET(CÁLCULO!$BS$15:$CS$15,$F110,0,OFFSET(ORÇAMENTO!$D$15,CRONO!$F110,0))),CRONO!X$12,OFFSET(CÁLCULO!$AR$15:$BR$15,$F110,0,OFFSET(ORÇAMENTO!$D$15,CRONO!$F110,0)))
                +IF(AND($F112&lt;&gt;"",$F112&lt;&gt;0),
                        SUMIF(CÁLCULO!$BS$15:$CS$205,CRONO!X$12,CÁLCULO!$AR$15:$BR$205)/(ORÇAMENTO!$X$15-_xlfn.single(CÁLCULO.TotalAdmLocal))*CRONO!$F112,
                        0),
                 X111*$S110),
          SUMIF(OFFSET($S112,1,0,$R110-2),($M110+1)&amp;"$",OFFSET(X112,1,0,$R110-2)))</f>
        <v>927.3</v>
      </c>
      <c r="Y112" s="439" t="n">
        <f aca="false" t="array" ref="Y112:Y112">IF($R110=2,
         IF(AND(ACOMPANHAMENTO="PLE",ISNUMBER($F110)),
                SUMIF((OFFSET(CÁLCULO!$BS$15:$CS$15,$F110,0,OFFSET(ORÇAMENTO!$D$15,CRONO!$F110,0))),CRONO!Y$12,OFFSET(CÁLCULO!$AR$15:$BR$15,$F110,0,OFFSET(ORÇAMENTO!$D$15,CRONO!$F110,0)))
                +IF(AND($F112&lt;&gt;"",$F112&lt;&gt;0),
                        SUMIF(CÁLCULO!$BS$15:$CS$205,CRONO!Y$12,CÁLCULO!$AR$15:$BR$205)/(ORÇAMENTO!$X$15-_xlfn.single(CÁLCULO.TotalAdmLocal))*CRONO!$F112,
                        0),
                 Y111*$S110),
          SUMIF(OFFSET($S112,1,0,$R110-2),($M110+1)&amp;"$",OFFSET(Y112,1,0,$R110-2)))</f>
        <v>927.3</v>
      </c>
      <c r="Z112" s="439" t="n">
        <f aca="false" t="array" ref="Z112:Z112">IF($R110=2,
         IF(AND(ACOMPANHAMENTO="PLE",ISNUMBER($F110)),
                SUMIF((OFFSET(CÁLCULO!$BS$15:$CS$15,$F110,0,OFFSET(ORÇAMENTO!$D$15,CRONO!$F110,0))),CRONO!Z$12,OFFSET(CÁLCULO!$AR$15:$BR$15,$F110,0,OFFSET(ORÇAMENTO!$D$15,CRONO!$F110,0)))
                +IF(AND($F112&lt;&gt;"",$F112&lt;&gt;0),
                        SUMIF(CÁLCULO!$BS$15:$CS$205,CRONO!Z$12,CÁLCULO!$AR$15:$BR$205)/(ORÇAMENTO!$X$15-_xlfn.single(CÁLCULO.TotalAdmLocal))*CRONO!$F112,
                        0),
                 Z111*$S110),
          SUMIF(OFFSET($S112,1,0,$R110-2),($M110+1)&amp;"$",OFFSET(Z112,1,0,$R110-2)))</f>
        <v>927.3</v>
      </c>
      <c r="AA112" s="439" t="n">
        <f aca="false" t="array" ref="AA112:AA112">IF($R110=2,
         IF(AND(ACOMPANHAMENTO="PLE",ISNUMBER($F110)),
                SUMIF((OFFSET(CÁLCULO!$BS$15:$CS$15,$F110,0,OFFSET(ORÇAMENTO!$D$15,CRONO!$F110,0))),CRONO!AA$12,OFFSET(CÁLCULO!$AR$15:$BR$15,$F110,0,OFFSET(ORÇAMENTO!$D$15,CRONO!$F110,0)))
                +IF(AND($F112&lt;&gt;"",$F112&lt;&gt;0),
                        SUMIF(CÁLCULO!$BS$15:$CS$205,CRONO!AA$12,CÁLCULO!$AR$15:$BR$205)/(ORÇAMENTO!$X$15-_xlfn.single(CÁLCULO.TotalAdmLocal))*CRONO!$F112,
                        0),
                 AA111*$S110),
          SUMIF(OFFSET($S112,1,0,$R110-2),($M110+1)&amp;"$",OFFSET(AA112,1,0,$R110-2)))</f>
        <v>927.3</v>
      </c>
      <c r="AB112" s="439" t="n">
        <f aca="false" t="array" ref="AB112:AB112">IF($R110=2,
         IF(AND(ACOMPANHAMENTO="PLE",ISNUMBER($F110)),
                SUMIF((OFFSET(CÁLCULO!$BS$15:$CS$15,$F110,0,OFFSET(ORÇAMENTO!$D$15,CRONO!$F110,0))),CRONO!AB$12,OFFSET(CÁLCULO!$AR$15:$BR$15,$F110,0,OFFSET(ORÇAMENTO!$D$15,CRONO!$F110,0)))
                +IF(AND($F112&lt;&gt;"",$F112&lt;&gt;0),
                        SUMIF(CÁLCULO!$BS$15:$CS$205,CRONO!AB$12,CÁLCULO!$AR$15:$BR$205)/(ORÇAMENTO!$X$15-_xlfn.single(CÁLCULO.TotalAdmLocal))*CRONO!$F112,
                        0),
                 AB111*$S110),
          SUMIF(OFFSET($S112,1,0,$R110-2),($M110+1)&amp;"$",OFFSET(AB112,1,0,$R110-2)))</f>
        <v>927.3</v>
      </c>
      <c r="AC112" s="439" t="n">
        <f aca="false" t="array" ref="AC112:AC112">IF($R110=2,
         IF(AND(ACOMPANHAMENTO="PLE",ISNUMBER($F110)),
                SUMIF((OFFSET(CÁLCULO!$BS$15:$CS$15,$F110,0,OFFSET(ORÇAMENTO!$D$15,CRONO!$F110,0))),CRONO!AC$12,OFFSET(CÁLCULO!$AR$15:$BR$15,$F110,0,OFFSET(ORÇAMENTO!$D$15,CRONO!$F110,0)))
                +IF(AND($F112&lt;&gt;"",$F112&lt;&gt;0),
                        SUMIF(CÁLCULO!$BS$15:$CS$205,CRONO!AC$12,CÁLCULO!$AR$15:$BR$205)/(ORÇAMENTO!$X$15-_xlfn.single(CÁLCULO.TotalAdmLocal))*CRONO!$F112,
                        0),
                 AC111*$S110),
          SUMIF(OFFSET($S112,1,0,$R110-2),($M110+1)&amp;"$",OFFSET(AC112,1,0,$R110-2)))</f>
        <v>927.3</v>
      </c>
      <c r="AD112" s="439" t="n">
        <f aca="false" t="array" ref="AD112:AD112">IF($R110=2,
         IF(AND(ACOMPANHAMENTO="PLE",ISNUMBER($F110)),
                SUMIF((OFFSET(CÁLCULO!$BS$15:$CS$15,$F110,0,OFFSET(ORÇAMENTO!$D$15,CRONO!$F110,0))),CRONO!AD$12,OFFSET(CÁLCULO!$AR$15:$BR$15,$F110,0,OFFSET(ORÇAMENTO!$D$15,CRONO!$F110,0)))
                +IF(AND($F112&lt;&gt;"",$F112&lt;&gt;0),
                        SUMIF(CÁLCULO!$BS$15:$CS$205,CRONO!AD$12,CÁLCULO!$AR$15:$BR$205)/(ORÇAMENTO!$X$15-_xlfn.single(CÁLCULO.TotalAdmLocal))*CRONO!$F112,
                        0),
                 AD111*$S110),
          SUMIF(OFFSET($S112,1,0,$R110-2),($M110+1)&amp;"$",OFFSET(AD112,1,0,$R110-2)))</f>
        <v>927.3</v>
      </c>
      <c r="AE112" s="439" t="n">
        <f aca="false" t="array" ref="AE112:AE112">IF($R110=2,
         IF(AND(ACOMPANHAMENTO="PLE",ISNUMBER($F110)),
                SUMIF((OFFSET(CÁLCULO!$BS$15:$CS$15,$F110,0,OFFSET(ORÇAMENTO!$D$15,CRONO!$F110,0))),CRONO!AE$12,OFFSET(CÁLCULO!$AR$15:$BR$15,$F110,0,OFFSET(ORÇAMENTO!$D$15,CRONO!$F110,0)))
                +IF(AND($F112&lt;&gt;"",$F112&lt;&gt;0),
                        SUMIF(CÁLCULO!$BS$15:$CS$205,CRONO!AE$12,CÁLCULO!$AR$15:$BR$205)/(ORÇAMENTO!$X$15-_xlfn.single(CÁLCULO.TotalAdmLocal))*CRONO!$F112,
                        0),
                 AE111*$S110),
          SUMIF(OFFSET($S112,1,0,$R110-2),($M110+1)&amp;"$",OFFSET(AE112,1,0,$R110-2)))</f>
        <v>927.3</v>
      </c>
      <c r="AF112" s="439" t="n">
        <f aca="false" t="array" ref="AF112:AF112">IF($R110=2,
         IF(AND(ACOMPANHAMENTO="PLE",ISNUMBER($F110)),
                SUMIF((OFFSET(CÁLCULO!$BS$15:$CS$15,$F110,0,OFFSET(ORÇAMENTO!$D$15,CRONO!$F110,0))),CRONO!AF$12,OFFSET(CÁLCULO!$AR$15:$BR$15,$F110,0,OFFSET(ORÇAMENTO!$D$15,CRONO!$F110,0)))
                +IF(AND($F112&lt;&gt;"",$F112&lt;&gt;0),
                        SUMIF(CÁLCULO!$BS$15:$CS$205,CRONO!AF$12,CÁLCULO!$AR$15:$BR$205)/(ORÇAMENTO!$X$15-_xlfn.single(CÁLCULO.TotalAdmLocal))*CRONO!$F112,
                        0),
                 AF111*$S110),
          SUMIF(OFFSET($S112,1,0,$R110-2),($M110+1)&amp;"$",OFFSET(AF112,1,0,$R110-2)))</f>
        <v>927.3</v>
      </c>
      <c r="AG112" s="439" t="n">
        <f aca="false" t="array" ref="AG112:AG112">IF($R110=2,
         IF(AND(ACOMPANHAMENTO="PLE",ISNUMBER($F110)),
                SUMIF((OFFSET(CÁLCULO!$BS$15:$CS$15,$F110,0,OFFSET(ORÇAMENTO!$D$15,CRONO!$F110,0))),CRONO!AG$12,OFFSET(CÁLCULO!$AR$15:$BR$15,$F110,0,OFFSET(ORÇAMENTO!$D$15,CRONO!$F110,0)))
                +IF(AND($F112&lt;&gt;"",$F112&lt;&gt;0),
                        SUMIF(CÁLCULO!$BS$15:$CS$205,CRONO!AG$12,CÁLCULO!$AR$15:$BR$205)/(ORÇAMENTO!$X$15-_xlfn.single(CÁLCULO.TotalAdmLocal))*CRONO!$F112,
                        0),
                 AG111*$S110),
          SUMIF(OFFSET($S112,1,0,$R110-2),($M110+1)&amp;"$",OFFSET(AG112,1,0,$R110-2)))</f>
        <v>927.3</v>
      </c>
      <c r="AH112" s="439" t="n">
        <f aca="false" t="array" ref="AH112:AH112">IF($R110=2,
         IF(AND(ACOMPANHAMENTO="PLE",ISNUMBER($F110)),
                SUMIF((OFFSET(CÁLCULO!$BS$15:$CS$15,$F110,0,OFFSET(ORÇAMENTO!$D$15,CRONO!$F110,0))),CRONO!AH$12,OFFSET(CÁLCULO!$AR$15:$BR$15,$F110,0,OFFSET(ORÇAMENTO!$D$15,CRONO!$F110,0)))
                +IF(AND($F112&lt;&gt;"",$F112&lt;&gt;0),
                        SUMIF(CÁLCULO!$BS$15:$CS$205,CRONO!AH$12,CÁLCULO!$AR$15:$BR$205)/(ORÇAMENTO!$X$15-_xlfn.single(CÁLCULO.TotalAdmLocal))*CRONO!$F112,
                        0),
                 AH111*$S110),
          SUMIF(OFFSET($S112,1,0,$R110-2),($M110+1)&amp;"$",OFFSET(AH112,1,0,$R110-2)))</f>
        <v>927.3</v>
      </c>
      <c r="AI112" s="439" t="n">
        <f aca="false" t="array" ref="AI112:AI112">IF($R110=2,
         IF(AND(ACOMPANHAMENTO="PLE",ISNUMBER($F110)),
                SUMIF((OFFSET(CÁLCULO!$BS$15:$CS$15,$F110,0,OFFSET(ORÇAMENTO!$D$15,CRONO!$F110,0))),CRONO!AI$12,OFFSET(CÁLCULO!$AR$15:$BR$15,$F110,0,OFFSET(ORÇAMENTO!$D$15,CRONO!$F110,0)))
                +IF(AND($F112&lt;&gt;"",$F112&lt;&gt;0),
                        SUMIF(CÁLCULO!$BS$15:$CS$205,CRONO!AI$12,CÁLCULO!$AR$15:$BR$205)/(ORÇAMENTO!$X$15-_xlfn.single(CÁLCULO.TotalAdmLocal))*CRONO!$F112,
                        0),
                 AI111*$S110),
          SUMIF(OFFSET($S112,1,0,$R110-2),($M110+1)&amp;"$",OFFSET(AI112,1,0,$R110-2)))</f>
        <v>927.3</v>
      </c>
      <c r="AJ112" s="439" t="n">
        <f aca="false" t="array" ref="AJ112:AJ112">IF($R110=2,
         IF(AND(ACOMPANHAMENTO="PLE",ISNUMBER($F110)),
                SUMIF((OFFSET(CÁLCULO!$BS$15:$CS$15,$F110,0,OFFSET(ORÇAMENTO!$D$15,CRONO!$F110,0))),CRONO!AJ$12,OFFSET(CÁLCULO!$AR$15:$BR$15,$F110,0,OFFSET(ORÇAMENTO!$D$15,CRONO!$F110,0)))
                +IF(AND($F112&lt;&gt;"",$F112&lt;&gt;0),
                        SUMIF(CÁLCULO!$BS$15:$CS$205,CRONO!AJ$12,CÁLCULO!$AR$15:$BR$205)/(ORÇAMENTO!$X$15-_xlfn.single(CÁLCULO.TotalAdmLocal))*CRONO!$F112,
                        0),
                 AJ111*$S110),
          SUMIF(OFFSET($S112,1,0,$R110-2),($M110+1)&amp;"$",OFFSET(AJ112,1,0,$R110-2)))</f>
        <v>927.3</v>
      </c>
      <c r="AK112" s="439" t="n">
        <f aca="false" t="array" ref="AK112:AK112">IF($R110=2,
         IF(AND(ACOMPANHAMENTO="PLE",ISNUMBER($F110)),
                SUMIF((OFFSET(CÁLCULO!$BS$15:$CS$15,$F110,0,OFFSET(ORÇAMENTO!$D$15,CRONO!$F110,0))),CRONO!AK$12,OFFSET(CÁLCULO!$AR$15:$BR$15,$F110,0,OFFSET(ORÇAMENTO!$D$15,CRONO!$F110,0)))
                +IF(AND($F112&lt;&gt;"",$F112&lt;&gt;0),
                        SUMIF(CÁLCULO!$BS$15:$CS$205,CRONO!AK$12,CÁLCULO!$AR$15:$BR$205)/(ORÇAMENTO!$X$15-_xlfn.single(CÁLCULO.TotalAdmLocal))*CRONO!$F112,
                        0),
                 AK111*$S110),
          SUMIF(OFFSET($S112,1,0,$R110-2),($M110+1)&amp;"$",OFFSET(AK112,1,0,$R110-2)))</f>
        <v>927.3</v>
      </c>
      <c r="AL112" s="439" t="n">
        <f aca="false" t="array" ref="AL112:AL112">IF($R110=2,
         IF(AND(ACOMPANHAMENTO="PLE",ISNUMBER($F110)),
                SUMIF((OFFSET(CÁLCULO!$BS$15:$CS$15,$F110,0,OFFSET(ORÇAMENTO!$D$15,CRONO!$F110,0))),CRONO!AL$12,OFFSET(CÁLCULO!$AR$15:$BR$15,$F110,0,OFFSET(ORÇAMENTO!$D$15,CRONO!$F110,0)))
                +IF(AND($F112&lt;&gt;"",$F112&lt;&gt;0),
                        SUMIF(CÁLCULO!$BS$15:$CS$205,CRONO!AL$12,CÁLCULO!$AR$15:$BR$205)/(ORÇAMENTO!$X$15-_xlfn.single(CÁLCULO.TotalAdmLocal))*CRONO!$F112,
                        0),
                 AL111*$S110),
          SUMIF(OFFSET($S112,1,0,$R110-2),($M110+1)&amp;"$",OFFSET(AL112,1,0,$R110-2)))</f>
        <v>927.3</v>
      </c>
      <c r="AM112" s="439" t="n">
        <f aca="false" t="array" ref="AM112:AM112">IF($R110=2,
         IF(AND(ACOMPANHAMENTO="PLE",ISNUMBER($F110)),
                SUMIF((OFFSET(CÁLCULO!$BS$15:$CS$15,$F110,0,OFFSET(ORÇAMENTO!$D$15,CRONO!$F110,0))),CRONO!AM$12,OFFSET(CÁLCULO!$AR$15:$BR$15,$F110,0,OFFSET(ORÇAMENTO!$D$15,CRONO!$F110,0)))
                +IF(AND($F112&lt;&gt;"",$F112&lt;&gt;0),
                        SUMIF(CÁLCULO!$BS$15:$CS$205,CRONO!AM$12,CÁLCULO!$AR$15:$BR$205)/(ORÇAMENTO!$X$15-_xlfn.single(CÁLCULO.TotalAdmLocal))*CRONO!$F112,
                        0),
                 AM111*$S110),
          SUMIF(OFFSET($S112,1,0,$R110-2),($M110+1)&amp;"$",OFFSET(AM112,1,0,$R110-2)))</f>
        <v>927.3</v>
      </c>
      <c r="AN112" s="439" t="n">
        <f aca="false" t="array" ref="AN112:AN112">IF($R110=2,
         IF(AND(ACOMPANHAMENTO="PLE",ISNUMBER($F110)),
                SUMIF((OFFSET(CÁLCULO!$BS$15:$CS$15,$F110,0,OFFSET(ORÇAMENTO!$D$15,CRONO!$F110,0))),CRONO!AN$12,OFFSET(CÁLCULO!$AR$15:$BR$15,$F110,0,OFFSET(ORÇAMENTO!$D$15,CRONO!$F110,0)))
                +IF(AND($F112&lt;&gt;"",$F112&lt;&gt;0),
                        SUMIF(CÁLCULO!$BS$15:$CS$205,CRONO!AN$12,CÁLCULO!$AR$15:$BR$205)/(ORÇAMENTO!$X$15-_xlfn.single(CÁLCULO.TotalAdmLocal))*CRONO!$F112,
                        0),
                 AN111*$S110),
          SUMIF(OFFSET($S112,1,0,$R110-2),($M110+1)&amp;"$",OFFSET(AN112,1,0,$R110-2)))</f>
        <v>927.3</v>
      </c>
      <c r="AO112" s="439" t="n">
        <f aca="false" t="array" ref="AO112:AO112">IF($R110=2,
         IF(AND(ACOMPANHAMENTO="PLE",ISNUMBER($F110)),
                SUMIF((OFFSET(CÁLCULO!$BS$15:$CS$15,$F110,0,OFFSET(ORÇAMENTO!$D$15,CRONO!$F110,0))),CRONO!AO$12,OFFSET(CÁLCULO!$AR$15:$BR$15,$F110,0,OFFSET(ORÇAMENTO!$D$15,CRONO!$F110,0)))
                +IF(AND($F112&lt;&gt;"",$F112&lt;&gt;0),
                        SUMIF(CÁLCULO!$BS$15:$CS$205,CRONO!AO$12,CÁLCULO!$AR$15:$BR$205)/(ORÇAMENTO!$X$15-_xlfn.single(CÁLCULO.TotalAdmLocal))*CRONO!$F112,
                        0),
                 AO111*$S110),
          SUMIF(OFFSET($S112,1,0,$R110-2),($M110+1)&amp;"$",OFFSET(AO112,1,0,$R110-2)))</f>
        <v>927.3</v>
      </c>
      <c r="AP112" s="439" t="n">
        <f aca="false" t="array" ref="AP112:AP112">IF($R110=2,
         IF(AND(ACOMPANHAMENTO="PLE",ISNUMBER($F110)),
                SUMIF((OFFSET(CÁLCULO!$BS$15:$CS$15,$F110,0,OFFSET(ORÇAMENTO!$D$15,CRONO!$F110,0))),CRONO!AP$12,OFFSET(CÁLCULO!$AR$15:$BR$15,$F110,0,OFFSET(ORÇAMENTO!$D$15,CRONO!$F110,0)))
                +IF(AND($F112&lt;&gt;"",$F112&lt;&gt;0),
                        SUMIF(CÁLCULO!$BS$15:$CS$205,CRONO!AP$12,CÁLCULO!$AR$15:$BR$205)/(ORÇAMENTO!$X$15-_xlfn.single(CÁLCULO.TotalAdmLocal))*CRONO!$F112,
                        0),
                 AP111*$S110),
          SUMIF(OFFSET($S112,1,0,$R110-2),($M110+1)&amp;"$",OFFSET(AP112,1,0,$R110-2)))</f>
        <v>927.3</v>
      </c>
      <c r="AQ112" s="439" t="n">
        <f aca="false" t="array" ref="AQ112:AQ112">IF($R110=2,
         IF(AND(ACOMPANHAMENTO="PLE",ISNUMBER($F110)),
                SUMIF((OFFSET(CÁLCULO!$BS$15:$CS$15,$F110,0,OFFSET(ORÇAMENTO!$D$15,CRONO!$F110,0))),CRONO!AQ$12,OFFSET(CÁLCULO!$AR$15:$BR$15,$F110,0,OFFSET(ORÇAMENTO!$D$15,CRONO!$F110,0)))
                +IF(AND($F112&lt;&gt;"",$F112&lt;&gt;0),
                        SUMIF(CÁLCULO!$BS$15:$CS$205,CRONO!AQ$12,CÁLCULO!$AR$15:$BR$205)/(ORÇAMENTO!$X$15-_xlfn.single(CÁLCULO.TotalAdmLocal))*CRONO!$F112,
                        0),
                 AQ111*$S110),
          SUMIF(OFFSET($S112,1,0,$R110-2),($M110+1)&amp;"$",OFFSET(AQ112,1,0,$R110-2)))</f>
        <v>927.3</v>
      </c>
      <c r="AR112" s="439" t="n">
        <f aca="false" t="array" ref="AR112:AR112">IF($R110=2,
         IF(AND(ACOMPANHAMENTO="PLE",ISNUMBER($F110)),
                SUMIF((OFFSET(CÁLCULO!$BS$15:$CS$15,$F110,0,OFFSET(ORÇAMENTO!$D$15,CRONO!$F110,0))),CRONO!AR$12,OFFSET(CÁLCULO!$AR$15:$BR$15,$F110,0,OFFSET(ORÇAMENTO!$D$15,CRONO!$F110,0)))
                +IF(AND($F112&lt;&gt;"",$F112&lt;&gt;0),
                        SUMIF(CÁLCULO!$BS$15:$CS$205,CRONO!AR$12,CÁLCULO!$AR$15:$BR$205)/(ORÇAMENTO!$X$15-_xlfn.single(CÁLCULO.TotalAdmLocal))*CRONO!$F112,
                        0),
                 AR111*$S110),
          SUMIF(OFFSET($S112,1,0,$R110-2),($M110+1)&amp;"$",OFFSET(AR112,1,0,$R110-2)))</f>
        <v>927.3</v>
      </c>
      <c r="AS112" s="439" t="n">
        <f aca="false" t="array" ref="AS112:AS112">IF($R110=2,
         IF(AND(ACOMPANHAMENTO="PLE",ISNUMBER($F110)),
                SUMIF((OFFSET(CÁLCULO!$BS$15:$CS$15,$F110,0,OFFSET(ORÇAMENTO!$D$15,CRONO!$F110,0))),CRONO!AS$12,OFFSET(CÁLCULO!$AR$15:$BR$15,$F110,0,OFFSET(ORÇAMENTO!$D$15,CRONO!$F110,0)))
                +IF(AND($F112&lt;&gt;"",$F112&lt;&gt;0),
                        SUMIF(CÁLCULO!$BS$15:$CS$205,CRONO!AS$12,CÁLCULO!$AR$15:$BR$205)/(ORÇAMENTO!$X$15-_xlfn.single(CÁLCULO.TotalAdmLocal))*CRONO!$F112,
                        0),
                 AS111*$S110),
          SUMIF(OFFSET($S112,1,0,$R110-2),($M110+1)&amp;"$",OFFSET(AS112,1,0,$R110-2)))</f>
        <v>927.3</v>
      </c>
      <c r="AT112" s="439" t="n">
        <f aca="false" t="array" ref="AT112:AT112">IF($R110=2,
         IF(AND(ACOMPANHAMENTO="PLE",ISNUMBER($F110)),
                SUMIF((OFFSET(CÁLCULO!$BS$15:$CS$15,$F110,0,OFFSET(ORÇAMENTO!$D$15,CRONO!$F110,0))),CRONO!AT$12,OFFSET(CÁLCULO!$AR$15:$BR$15,$F110,0,OFFSET(ORÇAMENTO!$D$15,CRONO!$F110,0)))
                +IF(AND($F112&lt;&gt;"",$F112&lt;&gt;0),
                        SUMIF(CÁLCULO!$BS$15:$CS$205,CRONO!AT$12,CÁLCULO!$AR$15:$BR$205)/(ORÇAMENTO!$X$15-_xlfn.single(CÁLCULO.TotalAdmLocal))*CRONO!$F112,
                        0),
                 AT111*$S110),
          SUMIF(OFFSET($S112,1,0,$R110-2),($M110+1)&amp;"$",OFFSET(AT112,1,0,$R110-2)))</f>
        <v>0</v>
      </c>
      <c r="AU112" s="439" t="n">
        <f aca="false" t="array" ref="AU112:AU112">IF($R110=2,
         IF(AND(ACOMPANHAMENTO="PLE",ISNUMBER($F110)),
                SUMIF((OFFSET(CÁLCULO!$BS$15:$CS$15,$F110,0,OFFSET(ORÇAMENTO!$D$15,CRONO!$F110,0))),CRONO!AU$12,OFFSET(CÁLCULO!$AR$15:$BR$15,$F110,0,OFFSET(ORÇAMENTO!$D$15,CRONO!$F110,0)))
                +IF(AND($F112&lt;&gt;"",$F112&lt;&gt;0),
                        SUMIF(CÁLCULO!$BS$15:$CS$205,CRONO!AU$12,CÁLCULO!$AR$15:$BR$205)/(ORÇAMENTO!$X$15-_xlfn.single(CÁLCULO.TotalAdmLocal))*CRONO!$F112,
                        0),
                 AU111*$S110),
          SUMIF(OFFSET($S112,1,0,$R110-2),($M110+1)&amp;"$",OFFSET(AU112,1,0,$R110-2)))</f>
        <v>0</v>
      </c>
      <c r="AV112" s="439" t="n">
        <f aca="false" t="array" ref="AV112:AV112">IF($R110=2,
         IF(AND(ACOMPANHAMENTO="PLE",ISNUMBER($F110)),
                SUMIF((OFFSET(CÁLCULO!$BS$15:$CS$15,$F110,0,OFFSET(ORÇAMENTO!$D$15,CRONO!$F110,0))),CRONO!AV$12,OFFSET(CÁLCULO!$AR$15:$BR$15,$F110,0,OFFSET(ORÇAMENTO!$D$15,CRONO!$F110,0)))
                +IF(AND($F112&lt;&gt;"",$F112&lt;&gt;0),
                        SUMIF(CÁLCULO!$BS$15:$CS$205,CRONO!AV$12,CÁLCULO!$AR$15:$BR$205)/(ORÇAMENTO!$X$15-_xlfn.single(CÁLCULO.TotalAdmLocal))*CRONO!$F112,
                        0),
                 AV111*$S110),
          SUMIF(OFFSET($S112,1,0,$R110-2),($M110+1)&amp;"$",OFFSET(AV112,1,0,$R110-2)))</f>
        <v>0</v>
      </c>
      <c r="AW112" s="439" t="n">
        <f aca="false" t="array" ref="AW112:AW112">IF($R110=2,
         IF(AND(ACOMPANHAMENTO="PLE",ISNUMBER($F110)),
                SUMIF((OFFSET(CÁLCULO!$BS$15:$CS$15,$F110,0,OFFSET(ORÇAMENTO!$D$15,CRONO!$F110,0))),CRONO!AW$12,OFFSET(CÁLCULO!$AR$15:$BR$15,$F110,0,OFFSET(ORÇAMENTO!$D$15,CRONO!$F110,0)))
                +IF(AND($F112&lt;&gt;"",$F112&lt;&gt;0),
                        SUMIF(CÁLCULO!$BS$15:$CS$205,CRONO!AW$12,CÁLCULO!$AR$15:$BR$205)/(ORÇAMENTO!$X$15-_xlfn.single(CÁLCULO.TotalAdmLocal))*CRONO!$F112,
                        0),
                 AW111*$S110),
          SUMIF(OFFSET($S112,1,0,$R110-2),($M110+1)&amp;"$",OFFSET(AW112,1,0,$R110-2)))</f>
        <v>0</v>
      </c>
      <c r="AX112" s="439" t="n">
        <f aca="false" t="array" ref="AX112:AX112">IF($R110=2,
         IF(AND(ACOMPANHAMENTO="PLE",ISNUMBER($F110)),
                SUMIF((OFFSET(CÁLCULO!$BS$15:$CS$15,$F110,0,OFFSET(ORÇAMENTO!$D$15,CRONO!$F110,0))),CRONO!AX$12,OFFSET(CÁLCULO!$AR$15:$BR$15,$F110,0,OFFSET(ORÇAMENTO!$D$15,CRONO!$F110,0)))
                +IF(AND($F112&lt;&gt;"",$F112&lt;&gt;0),
                        SUMIF(CÁLCULO!$BS$15:$CS$205,CRONO!AX$12,CÁLCULO!$AR$15:$BR$205)/(ORÇAMENTO!$X$15-_xlfn.single(CÁLCULO.TotalAdmLocal))*CRONO!$F112,
                        0),
                 AX111*$S110),
          SUMIF(OFFSET($S112,1,0,$R110-2),($M110+1)&amp;"$",OFFSET(AX112,1,0,$R110-2)))</f>
        <v>0</v>
      </c>
      <c r="AY112" s="439" t="n">
        <f aca="false" t="array" ref="AY112:AY112">IF($R110=2,
         IF(AND(ACOMPANHAMENTO="PLE",ISNUMBER($F110)),
                SUMIF((OFFSET(CÁLCULO!$BS$15:$CS$15,$F110,0,OFFSET(ORÇAMENTO!$D$15,CRONO!$F110,0))),CRONO!AY$12,OFFSET(CÁLCULO!$AR$15:$BR$15,$F110,0,OFFSET(ORÇAMENTO!$D$15,CRONO!$F110,0)))
                +IF(AND($F112&lt;&gt;"",$F112&lt;&gt;0),
                        SUMIF(CÁLCULO!$BS$15:$CS$205,CRONO!AY$12,CÁLCULO!$AR$15:$BR$205)/(ORÇAMENTO!$X$15-_xlfn.single(CÁLCULO.TotalAdmLocal))*CRONO!$F112,
                        0),
                 AY111*$S110),
          SUMIF(OFFSET($S112,1,0,$R110-2),($M110+1)&amp;"$",OFFSET(AY112,1,0,$R110-2)))</f>
        <v>0</v>
      </c>
      <c r="AZ112" s="439" t="n">
        <f aca="false" t="array" ref="AZ112:AZ112">IF($R110=2,
         IF(AND(ACOMPANHAMENTO="PLE",ISNUMBER($F110)),
                SUMIF((OFFSET(CÁLCULO!$BS$15:$CS$15,$F110,0,OFFSET(ORÇAMENTO!$D$15,CRONO!$F110,0))),CRONO!AZ$12,OFFSET(CÁLCULO!$AR$15:$BR$15,$F110,0,OFFSET(ORÇAMENTO!$D$15,CRONO!$F110,0)))
                +IF(AND($F112&lt;&gt;"",$F112&lt;&gt;0),
                        SUMIF(CÁLCULO!$BS$15:$CS$205,CRONO!AZ$12,CÁLCULO!$AR$15:$BR$205)/(ORÇAMENTO!$X$15-_xlfn.single(CÁLCULO.TotalAdmLocal))*CRONO!$F112,
                        0),
                 AZ111*$S110),
          SUMIF(OFFSET($S112,1,0,$R110-2),($M110+1)&amp;"$",OFFSET(AZ112,1,0,$R110-2)))</f>
        <v>0</v>
      </c>
      <c r="BA112" s="439" t="n">
        <f aca="false" t="array" ref="BA112:BA112">IF($R110=2,
         IF(AND(ACOMPANHAMENTO="PLE",ISNUMBER($F110)),
                SUMIF((OFFSET(CÁLCULO!$BS$15:$CS$15,$F110,0,OFFSET(ORÇAMENTO!$D$15,CRONO!$F110,0))),CRONO!BA$12,OFFSET(CÁLCULO!$AR$15:$BR$15,$F110,0,OFFSET(ORÇAMENTO!$D$15,CRONO!$F110,0)))
                +IF(AND($F112&lt;&gt;"",$F112&lt;&gt;0),
                        SUMIF(CÁLCULO!$BS$15:$CS$205,CRONO!BA$12,CÁLCULO!$AR$15:$BR$205)/(ORÇAMENTO!$X$15-_xlfn.single(CÁLCULO.TotalAdmLocal))*CRONO!$F112,
                        0),
                 BA111*$S110),
          SUMIF(OFFSET($S112,1,0,$R110-2),($M110+1)&amp;"$",OFFSET(BA112,1,0,$R110-2)))</f>
        <v>0</v>
      </c>
      <c r="BB112" s="439" t="n">
        <f aca="false" t="array" ref="BB112:BB112">IF($R110=2,
         IF(AND(ACOMPANHAMENTO="PLE",ISNUMBER($F110)),
                SUMIF((OFFSET(CÁLCULO!$BS$15:$CS$15,$F110,0,OFFSET(ORÇAMENTO!$D$15,CRONO!$F110,0))),CRONO!BB$12,OFFSET(CÁLCULO!$AR$15:$BR$15,$F110,0,OFFSET(ORÇAMENTO!$D$15,CRONO!$F110,0)))
                +IF(AND($F112&lt;&gt;"",$F112&lt;&gt;0),
                        SUMIF(CÁLCULO!$BS$15:$CS$205,CRONO!BB$12,CÁLCULO!$AR$15:$BR$205)/(ORÇAMENTO!$X$15-_xlfn.single(CÁLCULO.TotalAdmLocal))*CRONO!$F112,
                        0),
                 BB111*$S110),
          SUMIF(OFFSET($S112,1,0,$R110-2),($M110+1)&amp;"$",OFFSET(BB112,1,0,$R110-2)))</f>
        <v>0</v>
      </c>
      <c r="BC112" s="439" t="n">
        <f aca="false" t="array" ref="BC112:BC112">IF($R110=2,
         IF(AND(ACOMPANHAMENTO="PLE",ISNUMBER($F110)),
                SUMIF((OFFSET(CÁLCULO!$BS$15:$CS$15,$F110,0,OFFSET(ORÇAMENTO!$D$15,CRONO!$F110,0))),CRONO!BC$12,OFFSET(CÁLCULO!$AR$15:$BR$15,$F110,0,OFFSET(ORÇAMENTO!$D$15,CRONO!$F110,0)))
                +IF(AND($F112&lt;&gt;"",$F112&lt;&gt;0),
                        SUMIF(CÁLCULO!$BS$15:$CS$205,CRONO!BC$12,CÁLCULO!$AR$15:$BR$205)/(ORÇAMENTO!$X$15-_xlfn.single(CÁLCULO.TotalAdmLocal))*CRONO!$F112,
                        0),
                 BC111*$S110),
          SUMIF(OFFSET($S112,1,0,$R110-2),($M110+1)&amp;"$",OFFSET(BC112,1,0,$R110-2)))</f>
        <v>0</v>
      </c>
      <c r="BD112" s="439" t="n">
        <f aca="false" t="array" ref="BD112:BD112">IF($R110=2,
         IF(AND(ACOMPANHAMENTO="PLE",ISNUMBER($F110)),
                SUMIF((OFFSET(CÁLCULO!$BS$15:$CS$15,$F110,0,OFFSET(ORÇAMENTO!$D$15,CRONO!$F110,0))),CRONO!BD$12,OFFSET(CÁLCULO!$AR$15:$BR$15,$F110,0,OFFSET(ORÇAMENTO!$D$15,CRONO!$F110,0)))
                +IF(AND($F112&lt;&gt;"",$F112&lt;&gt;0),
                        SUMIF(CÁLCULO!$BS$15:$CS$205,CRONO!BD$12,CÁLCULO!$AR$15:$BR$205)/(ORÇAMENTO!$X$15-_xlfn.single(CÁLCULO.TotalAdmLocal))*CRONO!$F112,
                        0),
                 BD111*$S110),
          SUMIF(OFFSET($S112,1,0,$R110-2),($M110+1)&amp;"$",OFFSET(BD112,1,0,$R110-2)))</f>
        <v>0</v>
      </c>
      <c r="BE112" s="430"/>
    </row>
    <row r="113" customFormat="false" ht="12.75" hidden="true" customHeight="false" outlineLevel="0" collapsed="false">
      <c r="A113" s="382" t="str">
        <f aca="false">IF($M113&gt;1,_xlfn.CONCAT($I113," ",$J113),"")</f>
        <v>1.33. PAVIMENTAÇÕES ESPECIAIS</v>
      </c>
      <c r="B113" s="419" t="n">
        <f aca="true">OFFSET(B113,-3,0)+1</f>
        <v>34</v>
      </c>
      <c r="C113" s="419" t="n">
        <f aca="true">IF($R113&lt;&gt;2,0,IF($S113=0,1,IF(F114&gt;0,OFFSET(QCI!$M$13,SUBSTITUTE(F114,".",""),0),OFFSET(ORÇAMENTO!$AA$15,CRONO!$F113,0))/$S113))</f>
        <v>1</v>
      </c>
      <c r="D113" s="419" t="n">
        <f aca="true">IF($R113&lt;&gt;2,0,IF($S113=0,1,IF(F114&gt;0,OFFSET(QCI!$N$13,SUBSTITUTE(F114,".",""),0),OFFSET(ORÇAMENTO!$AB$15,CRONO!$F113,0))/$S113))</f>
        <v>1</v>
      </c>
      <c r="E113" s="422" t="e">
        <f aca="false" t="array" ref="E113:E113">IF(AND($R113=2,ACOMPANHAMENTO="BM"),ROUND(E114,4),E115/$S113)</f>
        <v>#DIV/0!</v>
      </c>
      <c r="F113" s="419" t="n">
        <f aca="true">IF(B113&lt;=ORÇAMENTO.MáximoListaCrono,MATCH(B113,ORÇAMENTO.ListaCrono,0),NA())</f>
        <v>102</v>
      </c>
      <c r="G113" s="419" t="str">
        <f aca="false">IF(AND($F114&lt;&gt;-1,$S113&gt;0),"F","")</f>
        <v/>
      </c>
      <c r="H113" s="423" t="str">
        <f aca="false" t="array" ref="H113:H113">IF(OR(S113=0,S113=""),"Linha",IF(AND(OR(ACOMPANHAMENTO="PLE",$R113&lt;&gt;2),$F114=0),"Linha",ROUND(1-SUM(U113:BE113),4)))</f>
        <v>Linha</v>
      </c>
      <c r="I113" s="424" t="str">
        <f aca="true">IF($F114=0,OFFSET(ORÇAMENTO!O$15,$F113,0),IF($F114&lt;&gt;-1,OFFSET(QCI!$D$13,$F114,0),""))</f>
        <v>1.33.</v>
      </c>
      <c r="J113" s="425" t="str">
        <f aca="true">IF($F114=0,OFFSET(ORÇAMENTO!R$15,$F113,0),IF($F114&lt;&gt;-1,OFFSET(QCI!$G$13,$F114,0),""))</f>
        <v>PAVIMENTAÇÕES ESPECIAIS</v>
      </c>
      <c r="K113" s="425"/>
      <c r="L113" s="425"/>
      <c r="M113" s="426" t="n">
        <f aca="true">IF($F114=0,OFFSET(ORÇAMENTO!C$15,$F113,0),1)</f>
        <v>2</v>
      </c>
      <c r="N113" s="427" t="n">
        <f aca="true">IF($F114=-1,0,IF(N$13&lt;=$M113,IF(ISERROR(MATCH(N$13,OFFSET($M113,1,0,ROW($M$182)-ROW($M113)-1),0)),ROW($M$182)-ROW($M113)-1,MATCH(N$13,OFFSET($M113,1,0,ROW($M$182)-ROW($M113)-1),0)-1),0))</f>
        <v>68</v>
      </c>
      <c r="O113" s="427" t="n">
        <f aca="true">IF($F114=-1,0,IF(O$13&lt;=$M113,IF(ISERROR(MATCH(O$13,OFFSET($M113,1,0,ROW($M$182)-ROW($M113)-1),0)),ROW($M$182)-ROW($M113)-1,MATCH(O$13,OFFSET($M113,1,0,ROW($M$182)-ROW($M113)-1),0)-1),0))</f>
        <v>2</v>
      </c>
      <c r="P113" s="427" t="n">
        <f aca="true">IF($F114=-1,0,IF(P$13&lt;=$M113,IF(ISERROR(MATCH(P$13,OFFSET($M113,1,0,ROW($M$182)-ROW($M113)-1),0)),ROW($M$182)-ROW($M113)-1,MATCH(P$13,OFFSET($M113,1,0,ROW($M$182)-ROW($M113)-1),0)-1),0))</f>
        <v>0</v>
      </c>
      <c r="Q113" s="427" t="n">
        <f aca="true">IF($F114=-1,0,IF(Q$13&lt;=$M113,IF(ISERROR(MATCH(Q$13,OFFSET($M113,1,0,ROW($M$182)-ROW($M113)-1),0)),ROW($M$182)-ROW($M113)-1,MATCH(Q$13,OFFSET($M113,1,0,ROW($M$182)-ROW($M113)-1),0)-1),0))</f>
        <v>0</v>
      </c>
      <c r="R113" s="427" t="n">
        <f aca="true">MIN(OFFSET(M113,0,1,,M113))</f>
        <v>2</v>
      </c>
      <c r="S113" s="428" t="n">
        <f aca="true">IF($F114=0,OFFSET(ORÇAMENTO!X$15,$F113,0),IF($F114&lt;&gt;-1,OFFSET(QCI!$O$13,$F114,0),""))</f>
        <v>0</v>
      </c>
      <c r="T113" s="429" t="s">
        <v>996</v>
      </c>
      <c r="U113" s="422" t="e">
        <f aca="false" t="array" ref="U113:U113">IF(AND($R113=2,ACOMPANHAMENTO="BM"),ROUND(U114,4),U115/$S113)</f>
        <v>#DIV/0!</v>
      </c>
      <c r="V113" s="422" t="e">
        <f aca="false" t="array" ref="V113:V113">IF(AND($R113=2,ACOMPANHAMENTO="BM"),ROUND(V114,4),V115/$S113)</f>
        <v>#DIV/0!</v>
      </c>
      <c r="W113" s="422" t="e">
        <f aca="false" t="array" ref="W113:W113">IF(AND($R113=2,ACOMPANHAMENTO="BM"),ROUND(W114,4),W115/$S113)</f>
        <v>#DIV/0!</v>
      </c>
      <c r="X113" s="422" t="e">
        <f aca="false" t="array" ref="X113:X113">IF(AND($R113=2,ACOMPANHAMENTO="BM"),ROUND(X114,4),X115/$S113)</f>
        <v>#DIV/0!</v>
      </c>
      <c r="Y113" s="422" t="e">
        <f aca="false" t="array" ref="Y113:Y113">IF(AND($R113=2,ACOMPANHAMENTO="BM"),ROUND(Y114,4),Y115/$S113)</f>
        <v>#DIV/0!</v>
      </c>
      <c r="Z113" s="422" t="e">
        <f aca="false" t="array" ref="Z113:Z113">IF(AND($R113=2,ACOMPANHAMENTO="BM"),ROUND(Z114,4),Z115/$S113)</f>
        <v>#DIV/0!</v>
      </c>
      <c r="AA113" s="422" t="e">
        <f aca="false" t="array" ref="AA113:AA113">IF(AND($R113=2,ACOMPANHAMENTO="BM"),ROUND(AA114,4),AA115/$S113)</f>
        <v>#DIV/0!</v>
      </c>
      <c r="AB113" s="422" t="e">
        <f aca="false" t="array" ref="AB113:AB113">IF(AND($R113=2,ACOMPANHAMENTO="BM"),ROUND(AB114,4),AB115/$S113)</f>
        <v>#DIV/0!</v>
      </c>
      <c r="AC113" s="422" t="e">
        <f aca="false" t="array" ref="AC113:AC113">IF(AND($R113=2,ACOMPANHAMENTO="BM"),ROUND(AC114,4),AC115/$S113)</f>
        <v>#DIV/0!</v>
      </c>
      <c r="AD113" s="422" t="e">
        <f aca="false" t="array" ref="AD113:AD113">IF(AND($R113=2,ACOMPANHAMENTO="BM"),ROUND(AD114,4),AD115/$S113)</f>
        <v>#DIV/0!</v>
      </c>
      <c r="AE113" s="422" t="e">
        <f aca="false" t="array" ref="AE113:AE113">IF(AND($R113=2,ACOMPANHAMENTO="BM"),ROUND(AE114,4),AE115/$S113)</f>
        <v>#DIV/0!</v>
      </c>
      <c r="AF113" s="422" t="e">
        <f aca="false" t="array" ref="AF113:AF113">IF(AND($R113=2,ACOMPANHAMENTO="BM"),ROUND(AF114,4),AF115/$S113)</f>
        <v>#DIV/0!</v>
      </c>
      <c r="AG113" s="422" t="e">
        <f aca="false" t="array" ref="AG113:AG113">IF(AND($R113=2,ACOMPANHAMENTO="BM"),ROUND(AG114,4),AG115/$S113)</f>
        <v>#DIV/0!</v>
      </c>
      <c r="AH113" s="422" t="e">
        <f aca="false" t="array" ref="AH113:AH113">IF(AND($R113=2,ACOMPANHAMENTO="BM"),ROUND(AH114,4),AH115/$S113)</f>
        <v>#DIV/0!</v>
      </c>
      <c r="AI113" s="422" t="e">
        <f aca="false" t="array" ref="AI113:AI113">IF(AND($R113=2,ACOMPANHAMENTO="BM"),ROUND(AI114,4),AI115/$S113)</f>
        <v>#DIV/0!</v>
      </c>
      <c r="AJ113" s="422" t="e">
        <f aca="false" t="array" ref="AJ113:AJ113">IF(AND($R113=2,ACOMPANHAMENTO="BM"),ROUND(AJ114,4),AJ115/$S113)</f>
        <v>#DIV/0!</v>
      </c>
      <c r="AK113" s="422" t="e">
        <f aca="false" t="array" ref="AK113:AK113">IF(AND($R113=2,ACOMPANHAMENTO="BM"),ROUND(AK114,4),AK115/$S113)</f>
        <v>#DIV/0!</v>
      </c>
      <c r="AL113" s="422" t="e">
        <f aca="false" t="array" ref="AL113:AL113">IF(AND($R113=2,ACOMPANHAMENTO="BM"),ROUND(AL114,4),AL115/$S113)</f>
        <v>#DIV/0!</v>
      </c>
      <c r="AM113" s="422" t="e">
        <f aca="false" t="array" ref="AM113:AM113">IF(AND($R113=2,ACOMPANHAMENTO="BM"),ROUND(AM114,4),AM115/$S113)</f>
        <v>#DIV/0!</v>
      </c>
      <c r="AN113" s="422" t="e">
        <f aca="false" t="array" ref="AN113:AN113">IF(AND($R113=2,ACOMPANHAMENTO="BM"),ROUND(AN114,4),AN115/$S113)</f>
        <v>#DIV/0!</v>
      </c>
      <c r="AO113" s="422" t="e">
        <f aca="false" t="array" ref="AO113:AO113">IF(AND($R113=2,ACOMPANHAMENTO="BM"),ROUND(AO114,4),AO115/$S113)</f>
        <v>#DIV/0!</v>
      </c>
      <c r="AP113" s="422" t="e">
        <f aca="false" t="array" ref="AP113:AP113">IF(AND($R113=2,ACOMPANHAMENTO="BM"),ROUND(AP114,4),AP115/$S113)</f>
        <v>#DIV/0!</v>
      </c>
      <c r="AQ113" s="422" t="e">
        <f aca="false" t="array" ref="AQ113:AQ113">IF(AND($R113=2,ACOMPANHAMENTO="BM"),ROUND(AQ114,4),AQ115/$S113)</f>
        <v>#DIV/0!</v>
      </c>
      <c r="AR113" s="422" t="e">
        <f aca="false" t="array" ref="AR113:AR113">IF(AND($R113=2,ACOMPANHAMENTO="BM"),ROUND(AR114,4),AR115/$S113)</f>
        <v>#DIV/0!</v>
      </c>
      <c r="AS113" s="422" t="e">
        <f aca="false" t="array" ref="AS113:AS113">IF(AND($R113=2,ACOMPANHAMENTO="BM"),ROUND(AS114,4),AS115/$S113)</f>
        <v>#DIV/0!</v>
      </c>
      <c r="AT113" s="422" t="e">
        <f aca="false" t="array" ref="AT113:AT113">IF(AND($R113=2,ACOMPANHAMENTO="BM"),ROUND(AT114,4),AT115/$S113)</f>
        <v>#DIV/0!</v>
      </c>
      <c r="AU113" s="422" t="e">
        <f aca="false" t="array" ref="AU113:AU113">IF(AND($R113=2,ACOMPANHAMENTO="BM"),ROUND(AU114,4),AU115/$S113)</f>
        <v>#DIV/0!</v>
      </c>
      <c r="AV113" s="422" t="e">
        <f aca="false" t="array" ref="AV113:AV113">IF(AND($R113=2,ACOMPANHAMENTO="BM"),ROUND(AV114,4),AV115/$S113)</f>
        <v>#DIV/0!</v>
      </c>
      <c r="AW113" s="422" t="e">
        <f aca="false" t="array" ref="AW113:AW113">IF(AND($R113=2,ACOMPANHAMENTO="BM"),ROUND(AW114,4),AW115/$S113)</f>
        <v>#DIV/0!</v>
      </c>
      <c r="AX113" s="422" t="e">
        <f aca="false" t="array" ref="AX113:AX113">IF(AND($R113=2,ACOMPANHAMENTO="BM"),ROUND(AX114,4),AX115/$S113)</f>
        <v>#DIV/0!</v>
      </c>
      <c r="AY113" s="422" t="e">
        <f aca="false" t="array" ref="AY113:AY113">IF(AND($R113=2,ACOMPANHAMENTO="BM"),ROUND(AY114,4),AY115/$S113)</f>
        <v>#DIV/0!</v>
      </c>
      <c r="AZ113" s="422" t="e">
        <f aca="false" t="array" ref="AZ113:AZ113">IF(AND($R113=2,ACOMPANHAMENTO="BM"),ROUND(AZ114,4),AZ115/$S113)</f>
        <v>#DIV/0!</v>
      </c>
      <c r="BA113" s="422" t="e">
        <f aca="false" t="array" ref="BA113:BA113">IF(AND($R113=2,ACOMPANHAMENTO="BM"),ROUND(BA114,4),BA115/$S113)</f>
        <v>#DIV/0!</v>
      </c>
      <c r="BB113" s="422" t="e">
        <f aca="false" t="array" ref="BB113:BB113">IF(AND($R113=2,ACOMPANHAMENTO="BM"),ROUND(BB114,4),BB115/$S113)</f>
        <v>#DIV/0!</v>
      </c>
      <c r="BC113" s="422" t="e">
        <f aca="false" t="array" ref="BC113:BC113">IF(AND($R113=2,ACOMPANHAMENTO="BM"),ROUND(BC114,4),BC115/$S113)</f>
        <v>#DIV/0!</v>
      </c>
      <c r="BD113" s="422" t="e">
        <f aca="false" t="array" ref="BD113:BD113">IF(AND($R113=2,ACOMPANHAMENTO="BM"),ROUND(BD114,4),BD115/$S113)</f>
        <v>#DIV/0!</v>
      </c>
      <c r="BE113" s="430"/>
    </row>
    <row r="114" customFormat="false" ht="12.75" hidden="true" customHeight="true" outlineLevel="0" collapsed="false">
      <c r="E114" s="431"/>
      <c r="F114" s="419" t="n">
        <f aca="true">IF(ISERROR(F113),IF(1+COUNTIF($M$13:OFFSET(M113,-1,0),1)&lt;=MAX(QCI!$D$13:$D$15),1+COUNTIF($M$13:OFFSET(M113,-1,0),1),-1),0)</f>
        <v>0</v>
      </c>
      <c r="G114" s="419" t="str">
        <f aca="true" t="array" ref="G114:G114">IF(ACOMPANHAMENTO="BM",OFFSET(G114,-1,0),"")</f>
        <v/>
      </c>
      <c r="H114" s="432" t="str">
        <f aca="false" t="array" ref="H114:H114">IF(OR(S113=0,S113=""),"vazia",IF(AND(OR(ACOMPANHAMENTO="PLE",$R113&lt;&gt;2),$F114=0),"calculada","--&gt;"))</f>
        <v>vazia</v>
      </c>
      <c r="I114" s="433"/>
      <c r="J114" s="434" t="str">
        <f aca="false">IF(AND(H113&lt;&gt;0,ISNUMBER(H113)),"PREENCHA ESTA LINHA --&gt;","")</f>
        <v/>
      </c>
      <c r="K114" s="434"/>
      <c r="L114" s="434"/>
      <c r="M114" s="435"/>
      <c r="N114" s="435"/>
      <c r="O114" s="435"/>
      <c r="P114" s="435"/>
      <c r="Q114" s="435"/>
      <c r="R114" s="435"/>
      <c r="S114" s="436"/>
      <c r="T114" s="437"/>
      <c r="U114" s="431"/>
      <c r="V114" s="431"/>
      <c r="W114" s="431"/>
      <c r="X114" s="431"/>
      <c r="Y114" s="431"/>
      <c r="Z114" s="431"/>
      <c r="AA114" s="431"/>
      <c r="AB114" s="431"/>
      <c r="AC114" s="431"/>
      <c r="AD114" s="431"/>
      <c r="AE114" s="431"/>
      <c r="AF114" s="431"/>
      <c r="AG114" s="431"/>
      <c r="AH114" s="431"/>
      <c r="AI114" s="431"/>
      <c r="AJ114" s="431"/>
      <c r="AK114" s="431"/>
      <c r="AL114" s="431"/>
      <c r="AM114" s="431"/>
      <c r="AN114" s="431"/>
      <c r="AO114" s="431"/>
      <c r="AP114" s="431"/>
      <c r="AQ114" s="431"/>
      <c r="AR114" s="431"/>
      <c r="AS114" s="431"/>
      <c r="AT114" s="431"/>
      <c r="AU114" s="431"/>
      <c r="AV114" s="431"/>
      <c r="AW114" s="431"/>
      <c r="AX114" s="431"/>
      <c r="AY114" s="431"/>
      <c r="AZ114" s="431"/>
      <c r="BA114" s="431"/>
      <c r="BB114" s="431"/>
      <c r="BC114" s="431"/>
      <c r="BD114" s="431"/>
      <c r="BE114" s="430"/>
    </row>
    <row r="115" customFormat="false" ht="12.75" hidden="true" customHeight="true" outlineLevel="0" collapsed="false">
      <c r="D115" s="438"/>
      <c r="E115" s="439" t="n">
        <f aca="false" t="array" ref="E115:E115">IF($R113=2,
         IF(AND(ACOMPANHAMENTO="PLE",ISNUMBER($F113)),
                SUMIF((OFFSET(CÁLCULO!$BS$15:$CS$15,$F113,0,OFFSET(ORÇAMENTO!$D$15,CRONO!$F113,0))),CRONO!E$12,OFFSET(CÁLCULO!$AR$15:$BR$15,$F113,0,OFFSET(ORÇAMENTO!$D$15,CRONO!$F113,0)))
                +IF(AND($F115&lt;&gt;"",$F115&lt;&gt;0),
                        SUMIF(CÁLCULO!$BS$15:$CS$205,CRONO!E$12,CÁLCULO!$AR$15:$BR$205)/(ORÇAMENTO!$X$15-_xlfn.single(CÁLCULO.TotalAdmLocal))*CRONO!$F115,
                        0),
                 E114*$S113),
          SUMIF(OFFSET($S115,1,0,$R113-2),($M113+1)&amp;"$",OFFSET(E115,1,0,$R113-2)))</f>
        <v>0</v>
      </c>
      <c r="F115" s="419" t="str">
        <f aca="true">IF(OR($R113&lt;&gt;2,AUTOEVENTO&lt;&gt;"manual",$F114&gt;0),"",
        IF(Import.TipoArredondamento="Tradicional",
              SUMIF(OFFSET(CÁLCULO!$M$15,CRONO!$F113,0,OFFSET(ORÇAMENTO!$D$15,CRONO!$F113,0)),1,OFFSET(ORÇAMENTO!$X$15,CRONO!$F113,0,OFFSET(ORÇAMENTO!$D$15,CRONO!$F113,0))),
              0))</f>
        <v/>
      </c>
      <c r="H115" s="440"/>
      <c r="S115" s="441" t="str">
        <f aca="false">M113&amp;"$"</f>
        <v>2$</v>
      </c>
      <c r="T115" s="442"/>
      <c r="U115" s="439" t="n">
        <f aca="false" t="array" ref="U115:U115">IF($R113=2,
         IF(AND(ACOMPANHAMENTO="PLE",ISNUMBER($F113)),
                SUMIF((OFFSET(CÁLCULO!$BS$15:$CS$15,$F113,0,OFFSET(ORÇAMENTO!$D$15,CRONO!$F113,0))),CRONO!U$12,OFFSET(CÁLCULO!$AR$15:$BR$15,$F113,0,OFFSET(ORÇAMENTO!$D$15,CRONO!$F113,0)))
                +IF(AND($F115&lt;&gt;"",$F115&lt;&gt;0),
                        SUMIF(CÁLCULO!$BS$15:$CS$205,CRONO!U$12,CÁLCULO!$AR$15:$BR$205)/(ORÇAMENTO!$X$15-_xlfn.single(CÁLCULO.TotalAdmLocal))*CRONO!$F115,
                        0),
                 U114*$S113),
          SUMIF(OFFSET($S115,1,0,$R113-2),($M113+1)&amp;"$",OFFSET(U115,1,0,$R113-2)))</f>
        <v>0</v>
      </c>
      <c r="V115" s="439" t="n">
        <f aca="false" t="array" ref="V115:V115">IF($R113=2,
         IF(AND(ACOMPANHAMENTO="PLE",ISNUMBER($F113)),
                SUMIF((OFFSET(CÁLCULO!$BS$15:$CS$15,$F113,0,OFFSET(ORÇAMENTO!$D$15,CRONO!$F113,0))),CRONO!V$12,OFFSET(CÁLCULO!$AR$15:$BR$15,$F113,0,OFFSET(ORÇAMENTO!$D$15,CRONO!$F113,0)))
                +IF(AND($F115&lt;&gt;"",$F115&lt;&gt;0),
                        SUMIF(CÁLCULO!$BS$15:$CS$205,CRONO!V$12,CÁLCULO!$AR$15:$BR$205)/(ORÇAMENTO!$X$15-_xlfn.single(CÁLCULO.TotalAdmLocal))*CRONO!$F115,
                        0),
                 V114*$S113),
          SUMIF(OFFSET($S115,1,0,$R113-2),($M113+1)&amp;"$",OFFSET(V115,1,0,$R113-2)))</f>
        <v>0</v>
      </c>
      <c r="W115" s="439" t="n">
        <f aca="false" t="array" ref="W115:W115">IF($R113=2,
         IF(AND(ACOMPANHAMENTO="PLE",ISNUMBER($F113)),
                SUMIF((OFFSET(CÁLCULO!$BS$15:$CS$15,$F113,0,OFFSET(ORÇAMENTO!$D$15,CRONO!$F113,0))),CRONO!W$12,OFFSET(CÁLCULO!$AR$15:$BR$15,$F113,0,OFFSET(ORÇAMENTO!$D$15,CRONO!$F113,0)))
                +IF(AND($F115&lt;&gt;"",$F115&lt;&gt;0),
                        SUMIF(CÁLCULO!$BS$15:$CS$205,CRONO!W$12,CÁLCULO!$AR$15:$BR$205)/(ORÇAMENTO!$X$15-_xlfn.single(CÁLCULO.TotalAdmLocal))*CRONO!$F115,
                        0),
                 W114*$S113),
          SUMIF(OFFSET($S115,1,0,$R113-2),($M113+1)&amp;"$",OFFSET(W115,1,0,$R113-2)))</f>
        <v>0</v>
      </c>
      <c r="X115" s="439" t="n">
        <f aca="false" t="array" ref="X115:X115">IF($R113=2,
         IF(AND(ACOMPANHAMENTO="PLE",ISNUMBER($F113)),
                SUMIF((OFFSET(CÁLCULO!$BS$15:$CS$15,$F113,0,OFFSET(ORÇAMENTO!$D$15,CRONO!$F113,0))),CRONO!X$12,OFFSET(CÁLCULO!$AR$15:$BR$15,$F113,0,OFFSET(ORÇAMENTO!$D$15,CRONO!$F113,0)))
                +IF(AND($F115&lt;&gt;"",$F115&lt;&gt;0),
                        SUMIF(CÁLCULO!$BS$15:$CS$205,CRONO!X$12,CÁLCULO!$AR$15:$BR$205)/(ORÇAMENTO!$X$15-_xlfn.single(CÁLCULO.TotalAdmLocal))*CRONO!$F115,
                        0),
                 X114*$S113),
          SUMIF(OFFSET($S115,1,0,$R113-2),($M113+1)&amp;"$",OFFSET(X115,1,0,$R113-2)))</f>
        <v>0</v>
      </c>
      <c r="Y115" s="439" t="n">
        <f aca="false" t="array" ref="Y115:Y115">IF($R113=2,
         IF(AND(ACOMPANHAMENTO="PLE",ISNUMBER($F113)),
                SUMIF((OFFSET(CÁLCULO!$BS$15:$CS$15,$F113,0,OFFSET(ORÇAMENTO!$D$15,CRONO!$F113,0))),CRONO!Y$12,OFFSET(CÁLCULO!$AR$15:$BR$15,$F113,0,OFFSET(ORÇAMENTO!$D$15,CRONO!$F113,0)))
                +IF(AND($F115&lt;&gt;"",$F115&lt;&gt;0),
                        SUMIF(CÁLCULO!$BS$15:$CS$205,CRONO!Y$12,CÁLCULO!$AR$15:$BR$205)/(ORÇAMENTO!$X$15-_xlfn.single(CÁLCULO.TotalAdmLocal))*CRONO!$F115,
                        0),
                 Y114*$S113),
          SUMIF(OFFSET($S115,1,0,$R113-2),($M113+1)&amp;"$",OFFSET(Y115,1,0,$R113-2)))</f>
        <v>0</v>
      </c>
      <c r="Z115" s="439" t="n">
        <f aca="false" t="array" ref="Z115:Z115">IF($R113=2,
         IF(AND(ACOMPANHAMENTO="PLE",ISNUMBER($F113)),
                SUMIF((OFFSET(CÁLCULO!$BS$15:$CS$15,$F113,0,OFFSET(ORÇAMENTO!$D$15,CRONO!$F113,0))),CRONO!Z$12,OFFSET(CÁLCULO!$AR$15:$BR$15,$F113,0,OFFSET(ORÇAMENTO!$D$15,CRONO!$F113,0)))
                +IF(AND($F115&lt;&gt;"",$F115&lt;&gt;0),
                        SUMIF(CÁLCULO!$BS$15:$CS$205,CRONO!Z$12,CÁLCULO!$AR$15:$BR$205)/(ORÇAMENTO!$X$15-_xlfn.single(CÁLCULO.TotalAdmLocal))*CRONO!$F115,
                        0),
                 Z114*$S113),
          SUMIF(OFFSET($S115,1,0,$R113-2),($M113+1)&amp;"$",OFFSET(Z115,1,0,$R113-2)))</f>
        <v>0</v>
      </c>
      <c r="AA115" s="439" t="n">
        <f aca="false" t="array" ref="AA115:AA115">IF($R113=2,
         IF(AND(ACOMPANHAMENTO="PLE",ISNUMBER($F113)),
                SUMIF((OFFSET(CÁLCULO!$BS$15:$CS$15,$F113,0,OFFSET(ORÇAMENTO!$D$15,CRONO!$F113,0))),CRONO!AA$12,OFFSET(CÁLCULO!$AR$15:$BR$15,$F113,0,OFFSET(ORÇAMENTO!$D$15,CRONO!$F113,0)))
                +IF(AND($F115&lt;&gt;"",$F115&lt;&gt;0),
                        SUMIF(CÁLCULO!$BS$15:$CS$205,CRONO!AA$12,CÁLCULO!$AR$15:$BR$205)/(ORÇAMENTO!$X$15-_xlfn.single(CÁLCULO.TotalAdmLocal))*CRONO!$F115,
                        0),
                 AA114*$S113),
          SUMIF(OFFSET($S115,1,0,$R113-2),($M113+1)&amp;"$",OFFSET(AA115,1,0,$R113-2)))</f>
        <v>0</v>
      </c>
      <c r="AB115" s="439" t="n">
        <f aca="false" t="array" ref="AB115:AB115">IF($R113=2,
         IF(AND(ACOMPANHAMENTO="PLE",ISNUMBER($F113)),
                SUMIF((OFFSET(CÁLCULO!$BS$15:$CS$15,$F113,0,OFFSET(ORÇAMENTO!$D$15,CRONO!$F113,0))),CRONO!AB$12,OFFSET(CÁLCULO!$AR$15:$BR$15,$F113,0,OFFSET(ORÇAMENTO!$D$15,CRONO!$F113,0)))
                +IF(AND($F115&lt;&gt;"",$F115&lt;&gt;0),
                        SUMIF(CÁLCULO!$BS$15:$CS$205,CRONO!AB$12,CÁLCULO!$AR$15:$BR$205)/(ORÇAMENTO!$X$15-_xlfn.single(CÁLCULO.TotalAdmLocal))*CRONO!$F115,
                        0),
                 AB114*$S113),
          SUMIF(OFFSET($S115,1,0,$R113-2),($M113+1)&amp;"$",OFFSET(AB115,1,0,$R113-2)))</f>
        <v>0</v>
      </c>
      <c r="AC115" s="439" t="n">
        <f aca="false" t="array" ref="AC115:AC115">IF($R113=2,
         IF(AND(ACOMPANHAMENTO="PLE",ISNUMBER($F113)),
                SUMIF((OFFSET(CÁLCULO!$BS$15:$CS$15,$F113,0,OFFSET(ORÇAMENTO!$D$15,CRONO!$F113,0))),CRONO!AC$12,OFFSET(CÁLCULO!$AR$15:$BR$15,$F113,0,OFFSET(ORÇAMENTO!$D$15,CRONO!$F113,0)))
                +IF(AND($F115&lt;&gt;"",$F115&lt;&gt;0),
                        SUMIF(CÁLCULO!$BS$15:$CS$205,CRONO!AC$12,CÁLCULO!$AR$15:$BR$205)/(ORÇAMENTO!$X$15-_xlfn.single(CÁLCULO.TotalAdmLocal))*CRONO!$F115,
                        0),
                 AC114*$S113),
          SUMIF(OFFSET($S115,1,0,$R113-2),($M113+1)&amp;"$",OFFSET(AC115,1,0,$R113-2)))</f>
        <v>0</v>
      </c>
      <c r="AD115" s="439" t="n">
        <f aca="false" t="array" ref="AD115:AD115">IF($R113=2,
         IF(AND(ACOMPANHAMENTO="PLE",ISNUMBER($F113)),
                SUMIF((OFFSET(CÁLCULO!$BS$15:$CS$15,$F113,0,OFFSET(ORÇAMENTO!$D$15,CRONO!$F113,0))),CRONO!AD$12,OFFSET(CÁLCULO!$AR$15:$BR$15,$F113,0,OFFSET(ORÇAMENTO!$D$15,CRONO!$F113,0)))
                +IF(AND($F115&lt;&gt;"",$F115&lt;&gt;0),
                        SUMIF(CÁLCULO!$BS$15:$CS$205,CRONO!AD$12,CÁLCULO!$AR$15:$BR$205)/(ORÇAMENTO!$X$15-_xlfn.single(CÁLCULO.TotalAdmLocal))*CRONO!$F115,
                        0),
                 AD114*$S113),
          SUMIF(OFFSET($S115,1,0,$R113-2),($M113+1)&amp;"$",OFFSET(AD115,1,0,$R113-2)))</f>
        <v>0</v>
      </c>
      <c r="AE115" s="439" t="n">
        <f aca="false" t="array" ref="AE115:AE115">IF($R113=2,
         IF(AND(ACOMPANHAMENTO="PLE",ISNUMBER($F113)),
                SUMIF((OFFSET(CÁLCULO!$BS$15:$CS$15,$F113,0,OFFSET(ORÇAMENTO!$D$15,CRONO!$F113,0))),CRONO!AE$12,OFFSET(CÁLCULO!$AR$15:$BR$15,$F113,0,OFFSET(ORÇAMENTO!$D$15,CRONO!$F113,0)))
                +IF(AND($F115&lt;&gt;"",$F115&lt;&gt;0),
                        SUMIF(CÁLCULO!$BS$15:$CS$205,CRONO!AE$12,CÁLCULO!$AR$15:$BR$205)/(ORÇAMENTO!$X$15-_xlfn.single(CÁLCULO.TotalAdmLocal))*CRONO!$F115,
                        0),
                 AE114*$S113),
          SUMIF(OFFSET($S115,1,0,$R113-2),($M113+1)&amp;"$",OFFSET(AE115,1,0,$R113-2)))</f>
        <v>0</v>
      </c>
      <c r="AF115" s="439" t="n">
        <f aca="false" t="array" ref="AF115:AF115">IF($R113=2,
         IF(AND(ACOMPANHAMENTO="PLE",ISNUMBER($F113)),
                SUMIF((OFFSET(CÁLCULO!$BS$15:$CS$15,$F113,0,OFFSET(ORÇAMENTO!$D$15,CRONO!$F113,0))),CRONO!AF$12,OFFSET(CÁLCULO!$AR$15:$BR$15,$F113,0,OFFSET(ORÇAMENTO!$D$15,CRONO!$F113,0)))
                +IF(AND($F115&lt;&gt;"",$F115&lt;&gt;0),
                        SUMIF(CÁLCULO!$BS$15:$CS$205,CRONO!AF$12,CÁLCULO!$AR$15:$BR$205)/(ORÇAMENTO!$X$15-_xlfn.single(CÁLCULO.TotalAdmLocal))*CRONO!$F115,
                        0),
                 AF114*$S113),
          SUMIF(OFFSET($S115,1,0,$R113-2),($M113+1)&amp;"$",OFFSET(AF115,1,0,$R113-2)))</f>
        <v>0</v>
      </c>
      <c r="AG115" s="439" t="n">
        <f aca="false" t="array" ref="AG115:AG115">IF($R113=2,
         IF(AND(ACOMPANHAMENTO="PLE",ISNUMBER($F113)),
                SUMIF((OFFSET(CÁLCULO!$BS$15:$CS$15,$F113,0,OFFSET(ORÇAMENTO!$D$15,CRONO!$F113,0))),CRONO!AG$12,OFFSET(CÁLCULO!$AR$15:$BR$15,$F113,0,OFFSET(ORÇAMENTO!$D$15,CRONO!$F113,0)))
                +IF(AND($F115&lt;&gt;"",$F115&lt;&gt;0),
                        SUMIF(CÁLCULO!$BS$15:$CS$205,CRONO!AG$12,CÁLCULO!$AR$15:$BR$205)/(ORÇAMENTO!$X$15-_xlfn.single(CÁLCULO.TotalAdmLocal))*CRONO!$F115,
                        0),
                 AG114*$S113),
          SUMIF(OFFSET($S115,1,0,$R113-2),($M113+1)&amp;"$",OFFSET(AG115,1,0,$R113-2)))</f>
        <v>0</v>
      </c>
      <c r="AH115" s="439" t="n">
        <f aca="false" t="array" ref="AH115:AH115">IF($R113=2,
         IF(AND(ACOMPANHAMENTO="PLE",ISNUMBER($F113)),
                SUMIF((OFFSET(CÁLCULO!$BS$15:$CS$15,$F113,0,OFFSET(ORÇAMENTO!$D$15,CRONO!$F113,0))),CRONO!AH$12,OFFSET(CÁLCULO!$AR$15:$BR$15,$F113,0,OFFSET(ORÇAMENTO!$D$15,CRONO!$F113,0)))
                +IF(AND($F115&lt;&gt;"",$F115&lt;&gt;0),
                        SUMIF(CÁLCULO!$BS$15:$CS$205,CRONO!AH$12,CÁLCULO!$AR$15:$BR$205)/(ORÇAMENTO!$X$15-_xlfn.single(CÁLCULO.TotalAdmLocal))*CRONO!$F115,
                        0),
                 AH114*$S113),
          SUMIF(OFFSET($S115,1,0,$R113-2),($M113+1)&amp;"$",OFFSET(AH115,1,0,$R113-2)))</f>
        <v>0</v>
      </c>
      <c r="AI115" s="439" t="n">
        <f aca="false" t="array" ref="AI115:AI115">IF($R113=2,
         IF(AND(ACOMPANHAMENTO="PLE",ISNUMBER($F113)),
                SUMIF((OFFSET(CÁLCULO!$BS$15:$CS$15,$F113,0,OFFSET(ORÇAMENTO!$D$15,CRONO!$F113,0))),CRONO!AI$12,OFFSET(CÁLCULO!$AR$15:$BR$15,$F113,0,OFFSET(ORÇAMENTO!$D$15,CRONO!$F113,0)))
                +IF(AND($F115&lt;&gt;"",$F115&lt;&gt;0),
                        SUMIF(CÁLCULO!$BS$15:$CS$205,CRONO!AI$12,CÁLCULO!$AR$15:$BR$205)/(ORÇAMENTO!$X$15-_xlfn.single(CÁLCULO.TotalAdmLocal))*CRONO!$F115,
                        0),
                 AI114*$S113),
          SUMIF(OFFSET($S115,1,0,$R113-2),($M113+1)&amp;"$",OFFSET(AI115,1,0,$R113-2)))</f>
        <v>0</v>
      </c>
      <c r="AJ115" s="439" t="n">
        <f aca="false" t="array" ref="AJ115:AJ115">IF($R113=2,
         IF(AND(ACOMPANHAMENTO="PLE",ISNUMBER($F113)),
                SUMIF((OFFSET(CÁLCULO!$BS$15:$CS$15,$F113,0,OFFSET(ORÇAMENTO!$D$15,CRONO!$F113,0))),CRONO!AJ$12,OFFSET(CÁLCULO!$AR$15:$BR$15,$F113,0,OFFSET(ORÇAMENTO!$D$15,CRONO!$F113,0)))
                +IF(AND($F115&lt;&gt;"",$F115&lt;&gt;0),
                        SUMIF(CÁLCULO!$BS$15:$CS$205,CRONO!AJ$12,CÁLCULO!$AR$15:$BR$205)/(ORÇAMENTO!$X$15-_xlfn.single(CÁLCULO.TotalAdmLocal))*CRONO!$F115,
                        0),
                 AJ114*$S113),
          SUMIF(OFFSET($S115,1,0,$R113-2),($M113+1)&amp;"$",OFFSET(AJ115,1,0,$R113-2)))</f>
        <v>0</v>
      </c>
      <c r="AK115" s="439" t="n">
        <f aca="false" t="array" ref="AK115:AK115">IF($R113=2,
         IF(AND(ACOMPANHAMENTO="PLE",ISNUMBER($F113)),
                SUMIF((OFFSET(CÁLCULO!$BS$15:$CS$15,$F113,0,OFFSET(ORÇAMENTO!$D$15,CRONO!$F113,0))),CRONO!AK$12,OFFSET(CÁLCULO!$AR$15:$BR$15,$F113,0,OFFSET(ORÇAMENTO!$D$15,CRONO!$F113,0)))
                +IF(AND($F115&lt;&gt;"",$F115&lt;&gt;0),
                        SUMIF(CÁLCULO!$BS$15:$CS$205,CRONO!AK$12,CÁLCULO!$AR$15:$BR$205)/(ORÇAMENTO!$X$15-_xlfn.single(CÁLCULO.TotalAdmLocal))*CRONO!$F115,
                        0),
                 AK114*$S113),
          SUMIF(OFFSET($S115,1,0,$R113-2),($M113+1)&amp;"$",OFFSET(AK115,1,0,$R113-2)))</f>
        <v>0</v>
      </c>
      <c r="AL115" s="439" t="n">
        <f aca="false" t="array" ref="AL115:AL115">IF($R113=2,
         IF(AND(ACOMPANHAMENTO="PLE",ISNUMBER($F113)),
                SUMIF((OFFSET(CÁLCULO!$BS$15:$CS$15,$F113,0,OFFSET(ORÇAMENTO!$D$15,CRONO!$F113,0))),CRONO!AL$12,OFFSET(CÁLCULO!$AR$15:$BR$15,$F113,0,OFFSET(ORÇAMENTO!$D$15,CRONO!$F113,0)))
                +IF(AND($F115&lt;&gt;"",$F115&lt;&gt;0),
                        SUMIF(CÁLCULO!$BS$15:$CS$205,CRONO!AL$12,CÁLCULO!$AR$15:$BR$205)/(ORÇAMENTO!$X$15-_xlfn.single(CÁLCULO.TotalAdmLocal))*CRONO!$F115,
                        0),
                 AL114*$S113),
          SUMIF(OFFSET($S115,1,0,$R113-2),($M113+1)&amp;"$",OFFSET(AL115,1,0,$R113-2)))</f>
        <v>0</v>
      </c>
      <c r="AM115" s="439" t="n">
        <f aca="false" t="array" ref="AM115:AM115">IF($R113=2,
         IF(AND(ACOMPANHAMENTO="PLE",ISNUMBER($F113)),
                SUMIF((OFFSET(CÁLCULO!$BS$15:$CS$15,$F113,0,OFFSET(ORÇAMENTO!$D$15,CRONO!$F113,0))),CRONO!AM$12,OFFSET(CÁLCULO!$AR$15:$BR$15,$F113,0,OFFSET(ORÇAMENTO!$D$15,CRONO!$F113,0)))
                +IF(AND($F115&lt;&gt;"",$F115&lt;&gt;0),
                        SUMIF(CÁLCULO!$BS$15:$CS$205,CRONO!AM$12,CÁLCULO!$AR$15:$BR$205)/(ORÇAMENTO!$X$15-_xlfn.single(CÁLCULO.TotalAdmLocal))*CRONO!$F115,
                        0),
                 AM114*$S113),
          SUMIF(OFFSET($S115,1,0,$R113-2),($M113+1)&amp;"$",OFFSET(AM115,1,0,$R113-2)))</f>
        <v>0</v>
      </c>
      <c r="AN115" s="439" t="n">
        <f aca="false" t="array" ref="AN115:AN115">IF($R113=2,
         IF(AND(ACOMPANHAMENTO="PLE",ISNUMBER($F113)),
                SUMIF((OFFSET(CÁLCULO!$BS$15:$CS$15,$F113,0,OFFSET(ORÇAMENTO!$D$15,CRONO!$F113,0))),CRONO!AN$12,OFFSET(CÁLCULO!$AR$15:$BR$15,$F113,0,OFFSET(ORÇAMENTO!$D$15,CRONO!$F113,0)))
                +IF(AND($F115&lt;&gt;"",$F115&lt;&gt;0),
                        SUMIF(CÁLCULO!$BS$15:$CS$205,CRONO!AN$12,CÁLCULO!$AR$15:$BR$205)/(ORÇAMENTO!$X$15-_xlfn.single(CÁLCULO.TotalAdmLocal))*CRONO!$F115,
                        0),
                 AN114*$S113),
          SUMIF(OFFSET($S115,1,0,$R113-2),($M113+1)&amp;"$",OFFSET(AN115,1,0,$R113-2)))</f>
        <v>0</v>
      </c>
      <c r="AO115" s="439" t="n">
        <f aca="false" t="array" ref="AO115:AO115">IF($R113=2,
         IF(AND(ACOMPANHAMENTO="PLE",ISNUMBER($F113)),
                SUMIF((OFFSET(CÁLCULO!$BS$15:$CS$15,$F113,0,OFFSET(ORÇAMENTO!$D$15,CRONO!$F113,0))),CRONO!AO$12,OFFSET(CÁLCULO!$AR$15:$BR$15,$F113,0,OFFSET(ORÇAMENTO!$D$15,CRONO!$F113,0)))
                +IF(AND($F115&lt;&gt;"",$F115&lt;&gt;0),
                        SUMIF(CÁLCULO!$BS$15:$CS$205,CRONO!AO$12,CÁLCULO!$AR$15:$BR$205)/(ORÇAMENTO!$X$15-_xlfn.single(CÁLCULO.TotalAdmLocal))*CRONO!$F115,
                        0),
                 AO114*$S113),
          SUMIF(OFFSET($S115,1,0,$R113-2),($M113+1)&amp;"$",OFFSET(AO115,1,0,$R113-2)))</f>
        <v>0</v>
      </c>
      <c r="AP115" s="439" t="n">
        <f aca="false" t="array" ref="AP115:AP115">IF($R113=2,
         IF(AND(ACOMPANHAMENTO="PLE",ISNUMBER($F113)),
                SUMIF((OFFSET(CÁLCULO!$BS$15:$CS$15,$F113,0,OFFSET(ORÇAMENTO!$D$15,CRONO!$F113,0))),CRONO!AP$12,OFFSET(CÁLCULO!$AR$15:$BR$15,$F113,0,OFFSET(ORÇAMENTO!$D$15,CRONO!$F113,0)))
                +IF(AND($F115&lt;&gt;"",$F115&lt;&gt;0),
                        SUMIF(CÁLCULO!$BS$15:$CS$205,CRONO!AP$12,CÁLCULO!$AR$15:$BR$205)/(ORÇAMENTO!$X$15-_xlfn.single(CÁLCULO.TotalAdmLocal))*CRONO!$F115,
                        0),
                 AP114*$S113),
          SUMIF(OFFSET($S115,1,0,$R113-2),($M113+1)&amp;"$",OFFSET(AP115,1,0,$R113-2)))</f>
        <v>0</v>
      </c>
      <c r="AQ115" s="439" t="n">
        <f aca="false" t="array" ref="AQ115:AQ115">IF($R113=2,
         IF(AND(ACOMPANHAMENTO="PLE",ISNUMBER($F113)),
                SUMIF((OFFSET(CÁLCULO!$BS$15:$CS$15,$F113,0,OFFSET(ORÇAMENTO!$D$15,CRONO!$F113,0))),CRONO!AQ$12,OFFSET(CÁLCULO!$AR$15:$BR$15,$F113,0,OFFSET(ORÇAMENTO!$D$15,CRONO!$F113,0)))
                +IF(AND($F115&lt;&gt;"",$F115&lt;&gt;0),
                        SUMIF(CÁLCULO!$BS$15:$CS$205,CRONO!AQ$12,CÁLCULO!$AR$15:$BR$205)/(ORÇAMENTO!$X$15-_xlfn.single(CÁLCULO.TotalAdmLocal))*CRONO!$F115,
                        0),
                 AQ114*$S113),
          SUMIF(OFFSET($S115,1,0,$R113-2),($M113+1)&amp;"$",OFFSET(AQ115,1,0,$R113-2)))</f>
        <v>0</v>
      </c>
      <c r="AR115" s="439" t="n">
        <f aca="false" t="array" ref="AR115:AR115">IF($R113=2,
         IF(AND(ACOMPANHAMENTO="PLE",ISNUMBER($F113)),
                SUMIF((OFFSET(CÁLCULO!$BS$15:$CS$15,$F113,0,OFFSET(ORÇAMENTO!$D$15,CRONO!$F113,0))),CRONO!AR$12,OFFSET(CÁLCULO!$AR$15:$BR$15,$F113,0,OFFSET(ORÇAMENTO!$D$15,CRONO!$F113,0)))
                +IF(AND($F115&lt;&gt;"",$F115&lt;&gt;0),
                        SUMIF(CÁLCULO!$BS$15:$CS$205,CRONO!AR$12,CÁLCULO!$AR$15:$BR$205)/(ORÇAMENTO!$X$15-_xlfn.single(CÁLCULO.TotalAdmLocal))*CRONO!$F115,
                        0),
                 AR114*$S113),
          SUMIF(OFFSET($S115,1,0,$R113-2),($M113+1)&amp;"$",OFFSET(AR115,1,0,$R113-2)))</f>
        <v>0</v>
      </c>
      <c r="AS115" s="439" t="n">
        <f aca="false" t="array" ref="AS115:AS115">IF($R113=2,
         IF(AND(ACOMPANHAMENTO="PLE",ISNUMBER($F113)),
                SUMIF((OFFSET(CÁLCULO!$BS$15:$CS$15,$F113,0,OFFSET(ORÇAMENTO!$D$15,CRONO!$F113,0))),CRONO!AS$12,OFFSET(CÁLCULO!$AR$15:$BR$15,$F113,0,OFFSET(ORÇAMENTO!$D$15,CRONO!$F113,0)))
                +IF(AND($F115&lt;&gt;"",$F115&lt;&gt;0),
                        SUMIF(CÁLCULO!$BS$15:$CS$205,CRONO!AS$12,CÁLCULO!$AR$15:$BR$205)/(ORÇAMENTO!$X$15-_xlfn.single(CÁLCULO.TotalAdmLocal))*CRONO!$F115,
                        0),
                 AS114*$S113),
          SUMIF(OFFSET($S115,1,0,$R113-2),($M113+1)&amp;"$",OFFSET(AS115,1,0,$R113-2)))</f>
        <v>0</v>
      </c>
      <c r="AT115" s="439" t="n">
        <f aca="false" t="array" ref="AT115:AT115">IF($R113=2,
         IF(AND(ACOMPANHAMENTO="PLE",ISNUMBER($F113)),
                SUMIF((OFFSET(CÁLCULO!$BS$15:$CS$15,$F113,0,OFFSET(ORÇAMENTO!$D$15,CRONO!$F113,0))),CRONO!AT$12,OFFSET(CÁLCULO!$AR$15:$BR$15,$F113,0,OFFSET(ORÇAMENTO!$D$15,CRONO!$F113,0)))
                +IF(AND($F115&lt;&gt;"",$F115&lt;&gt;0),
                        SUMIF(CÁLCULO!$BS$15:$CS$205,CRONO!AT$12,CÁLCULO!$AR$15:$BR$205)/(ORÇAMENTO!$X$15-_xlfn.single(CÁLCULO.TotalAdmLocal))*CRONO!$F115,
                        0),
                 AT114*$S113),
          SUMIF(OFFSET($S115,1,0,$R113-2),($M113+1)&amp;"$",OFFSET(AT115,1,0,$R113-2)))</f>
        <v>0</v>
      </c>
      <c r="AU115" s="439" t="n">
        <f aca="false" t="array" ref="AU115:AU115">IF($R113=2,
         IF(AND(ACOMPANHAMENTO="PLE",ISNUMBER($F113)),
                SUMIF((OFFSET(CÁLCULO!$BS$15:$CS$15,$F113,0,OFFSET(ORÇAMENTO!$D$15,CRONO!$F113,0))),CRONO!AU$12,OFFSET(CÁLCULO!$AR$15:$BR$15,$F113,0,OFFSET(ORÇAMENTO!$D$15,CRONO!$F113,0)))
                +IF(AND($F115&lt;&gt;"",$F115&lt;&gt;0),
                        SUMIF(CÁLCULO!$BS$15:$CS$205,CRONO!AU$12,CÁLCULO!$AR$15:$BR$205)/(ORÇAMENTO!$X$15-_xlfn.single(CÁLCULO.TotalAdmLocal))*CRONO!$F115,
                        0),
                 AU114*$S113),
          SUMIF(OFFSET($S115,1,0,$R113-2),($M113+1)&amp;"$",OFFSET(AU115,1,0,$R113-2)))</f>
        <v>0</v>
      </c>
      <c r="AV115" s="439" t="n">
        <f aca="false" t="array" ref="AV115:AV115">IF($R113=2,
         IF(AND(ACOMPANHAMENTO="PLE",ISNUMBER($F113)),
                SUMIF((OFFSET(CÁLCULO!$BS$15:$CS$15,$F113,0,OFFSET(ORÇAMENTO!$D$15,CRONO!$F113,0))),CRONO!AV$12,OFFSET(CÁLCULO!$AR$15:$BR$15,$F113,0,OFFSET(ORÇAMENTO!$D$15,CRONO!$F113,0)))
                +IF(AND($F115&lt;&gt;"",$F115&lt;&gt;0),
                        SUMIF(CÁLCULO!$BS$15:$CS$205,CRONO!AV$12,CÁLCULO!$AR$15:$BR$205)/(ORÇAMENTO!$X$15-_xlfn.single(CÁLCULO.TotalAdmLocal))*CRONO!$F115,
                        0),
                 AV114*$S113),
          SUMIF(OFFSET($S115,1,0,$R113-2),($M113+1)&amp;"$",OFFSET(AV115,1,0,$R113-2)))</f>
        <v>0</v>
      </c>
      <c r="AW115" s="439" t="n">
        <f aca="false" t="array" ref="AW115:AW115">IF($R113=2,
         IF(AND(ACOMPANHAMENTO="PLE",ISNUMBER($F113)),
                SUMIF((OFFSET(CÁLCULO!$BS$15:$CS$15,$F113,0,OFFSET(ORÇAMENTO!$D$15,CRONO!$F113,0))),CRONO!AW$12,OFFSET(CÁLCULO!$AR$15:$BR$15,$F113,0,OFFSET(ORÇAMENTO!$D$15,CRONO!$F113,0)))
                +IF(AND($F115&lt;&gt;"",$F115&lt;&gt;0),
                        SUMIF(CÁLCULO!$BS$15:$CS$205,CRONO!AW$12,CÁLCULO!$AR$15:$BR$205)/(ORÇAMENTO!$X$15-_xlfn.single(CÁLCULO.TotalAdmLocal))*CRONO!$F115,
                        0),
                 AW114*$S113),
          SUMIF(OFFSET($S115,1,0,$R113-2),($M113+1)&amp;"$",OFFSET(AW115,1,0,$R113-2)))</f>
        <v>0</v>
      </c>
      <c r="AX115" s="439" t="n">
        <f aca="false" t="array" ref="AX115:AX115">IF($R113=2,
         IF(AND(ACOMPANHAMENTO="PLE",ISNUMBER($F113)),
                SUMIF((OFFSET(CÁLCULO!$BS$15:$CS$15,$F113,0,OFFSET(ORÇAMENTO!$D$15,CRONO!$F113,0))),CRONO!AX$12,OFFSET(CÁLCULO!$AR$15:$BR$15,$F113,0,OFFSET(ORÇAMENTO!$D$15,CRONO!$F113,0)))
                +IF(AND($F115&lt;&gt;"",$F115&lt;&gt;0),
                        SUMIF(CÁLCULO!$BS$15:$CS$205,CRONO!AX$12,CÁLCULO!$AR$15:$BR$205)/(ORÇAMENTO!$X$15-_xlfn.single(CÁLCULO.TotalAdmLocal))*CRONO!$F115,
                        0),
                 AX114*$S113),
          SUMIF(OFFSET($S115,1,0,$R113-2),($M113+1)&amp;"$",OFFSET(AX115,1,0,$R113-2)))</f>
        <v>0</v>
      </c>
      <c r="AY115" s="439" t="n">
        <f aca="false" t="array" ref="AY115:AY115">IF($R113=2,
         IF(AND(ACOMPANHAMENTO="PLE",ISNUMBER($F113)),
                SUMIF((OFFSET(CÁLCULO!$BS$15:$CS$15,$F113,0,OFFSET(ORÇAMENTO!$D$15,CRONO!$F113,0))),CRONO!AY$12,OFFSET(CÁLCULO!$AR$15:$BR$15,$F113,0,OFFSET(ORÇAMENTO!$D$15,CRONO!$F113,0)))
                +IF(AND($F115&lt;&gt;"",$F115&lt;&gt;0),
                        SUMIF(CÁLCULO!$BS$15:$CS$205,CRONO!AY$12,CÁLCULO!$AR$15:$BR$205)/(ORÇAMENTO!$X$15-_xlfn.single(CÁLCULO.TotalAdmLocal))*CRONO!$F115,
                        0),
                 AY114*$S113),
          SUMIF(OFFSET($S115,1,0,$R113-2),($M113+1)&amp;"$",OFFSET(AY115,1,0,$R113-2)))</f>
        <v>0</v>
      </c>
      <c r="AZ115" s="439" t="n">
        <f aca="false" t="array" ref="AZ115:AZ115">IF($R113=2,
         IF(AND(ACOMPANHAMENTO="PLE",ISNUMBER($F113)),
                SUMIF((OFFSET(CÁLCULO!$BS$15:$CS$15,$F113,0,OFFSET(ORÇAMENTO!$D$15,CRONO!$F113,0))),CRONO!AZ$12,OFFSET(CÁLCULO!$AR$15:$BR$15,$F113,0,OFFSET(ORÇAMENTO!$D$15,CRONO!$F113,0)))
                +IF(AND($F115&lt;&gt;"",$F115&lt;&gt;0),
                        SUMIF(CÁLCULO!$BS$15:$CS$205,CRONO!AZ$12,CÁLCULO!$AR$15:$BR$205)/(ORÇAMENTO!$X$15-_xlfn.single(CÁLCULO.TotalAdmLocal))*CRONO!$F115,
                        0),
                 AZ114*$S113),
          SUMIF(OFFSET($S115,1,0,$R113-2),($M113+1)&amp;"$",OFFSET(AZ115,1,0,$R113-2)))</f>
        <v>0</v>
      </c>
      <c r="BA115" s="439" t="n">
        <f aca="false" t="array" ref="BA115:BA115">IF($R113=2,
         IF(AND(ACOMPANHAMENTO="PLE",ISNUMBER($F113)),
                SUMIF((OFFSET(CÁLCULO!$BS$15:$CS$15,$F113,0,OFFSET(ORÇAMENTO!$D$15,CRONO!$F113,0))),CRONO!BA$12,OFFSET(CÁLCULO!$AR$15:$BR$15,$F113,0,OFFSET(ORÇAMENTO!$D$15,CRONO!$F113,0)))
                +IF(AND($F115&lt;&gt;"",$F115&lt;&gt;0),
                        SUMIF(CÁLCULO!$BS$15:$CS$205,CRONO!BA$12,CÁLCULO!$AR$15:$BR$205)/(ORÇAMENTO!$X$15-_xlfn.single(CÁLCULO.TotalAdmLocal))*CRONO!$F115,
                        0),
                 BA114*$S113),
          SUMIF(OFFSET($S115,1,0,$R113-2),($M113+1)&amp;"$",OFFSET(BA115,1,0,$R113-2)))</f>
        <v>0</v>
      </c>
      <c r="BB115" s="439" t="n">
        <f aca="false" t="array" ref="BB115:BB115">IF($R113=2,
         IF(AND(ACOMPANHAMENTO="PLE",ISNUMBER($F113)),
                SUMIF((OFFSET(CÁLCULO!$BS$15:$CS$15,$F113,0,OFFSET(ORÇAMENTO!$D$15,CRONO!$F113,0))),CRONO!BB$12,OFFSET(CÁLCULO!$AR$15:$BR$15,$F113,0,OFFSET(ORÇAMENTO!$D$15,CRONO!$F113,0)))
                +IF(AND($F115&lt;&gt;"",$F115&lt;&gt;0),
                        SUMIF(CÁLCULO!$BS$15:$CS$205,CRONO!BB$12,CÁLCULO!$AR$15:$BR$205)/(ORÇAMENTO!$X$15-_xlfn.single(CÁLCULO.TotalAdmLocal))*CRONO!$F115,
                        0),
                 BB114*$S113),
          SUMIF(OFFSET($S115,1,0,$R113-2),($M113+1)&amp;"$",OFFSET(BB115,1,0,$R113-2)))</f>
        <v>0</v>
      </c>
      <c r="BC115" s="439" t="n">
        <f aca="false" t="array" ref="BC115:BC115">IF($R113=2,
         IF(AND(ACOMPANHAMENTO="PLE",ISNUMBER($F113)),
                SUMIF((OFFSET(CÁLCULO!$BS$15:$CS$15,$F113,0,OFFSET(ORÇAMENTO!$D$15,CRONO!$F113,0))),CRONO!BC$12,OFFSET(CÁLCULO!$AR$15:$BR$15,$F113,0,OFFSET(ORÇAMENTO!$D$15,CRONO!$F113,0)))
                +IF(AND($F115&lt;&gt;"",$F115&lt;&gt;0),
                        SUMIF(CÁLCULO!$BS$15:$CS$205,CRONO!BC$12,CÁLCULO!$AR$15:$BR$205)/(ORÇAMENTO!$X$15-_xlfn.single(CÁLCULO.TotalAdmLocal))*CRONO!$F115,
                        0),
                 BC114*$S113),
          SUMIF(OFFSET($S115,1,0,$R113-2),($M113+1)&amp;"$",OFFSET(BC115,1,0,$R113-2)))</f>
        <v>0</v>
      </c>
      <c r="BD115" s="439" t="n">
        <f aca="false" t="array" ref="BD115:BD115">IF($R113=2,
         IF(AND(ACOMPANHAMENTO="PLE",ISNUMBER($F113)),
                SUMIF((OFFSET(CÁLCULO!$BS$15:$CS$15,$F113,0,OFFSET(ORÇAMENTO!$D$15,CRONO!$F113,0))),CRONO!BD$12,OFFSET(CÁLCULO!$AR$15:$BR$15,$F113,0,OFFSET(ORÇAMENTO!$D$15,CRONO!$F113,0)))
                +IF(AND($F115&lt;&gt;"",$F115&lt;&gt;0),
                        SUMIF(CÁLCULO!$BS$15:$CS$205,CRONO!BD$12,CÁLCULO!$AR$15:$BR$205)/(ORÇAMENTO!$X$15-_xlfn.single(CÁLCULO.TotalAdmLocal))*CRONO!$F115,
                        0),
                 BD114*$S113),
          SUMIF(OFFSET($S115,1,0,$R113-2),($M113+1)&amp;"$",OFFSET(BD115,1,0,$R113-2)))</f>
        <v>0</v>
      </c>
      <c r="BE115" s="430"/>
    </row>
    <row r="116" customFormat="false" ht="12.75" hidden="true" customHeight="false" outlineLevel="0" collapsed="false">
      <c r="A116" s="382" t="str">
        <f aca="false">IF($M116&gt;1,_xlfn.CONCAT($I116," ",$J116),"")</f>
        <v>1.34. INSTALAÇÕES</v>
      </c>
      <c r="B116" s="419" t="n">
        <f aca="true">OFFSET(B116,-3,0)+1</f>
        <v>35</v>
      </c>
      <c r="C116" s="419" t="n">
        <f aca="true">IF($R116&lt;&gt;2,0,IF($S116=0,1,IF(F117&gt;0,OFFSET(QCI!$M$13,SUBSTITUTE(F117,".",""),0),OFFSET(ORÇAMENTO!$AA$15,CRONO!$F116,0))/$S116))</f>
        <v>1</v>
      </c>
      <c r="D116" s="419" t="n">
        <f aca="true">IF($R116&lt;&gt;2,0,IF($S116=0,1,IF(F117&gt;0,OFFSET(QCI!$N$13,SUBSTITUTE(F117,".",""),0),OFFSET(ORÇAMENTO!$AB$15,CRONO!$F116,0))/$S116))</f>
        <v>1</v>
      </c>
      <c r="E116" s="422" t="e">
        <f aca="false" t="array" ref="E116:E116">IF(AND($R116=2,ACOMPANHAMENTO="BM"),ROUND(E117,4),E118/$S116)</f>
        <v>#DIV/0!</v>
      </c>
      <c r="F116" s="419" t="n">
        <f aca="true">IF(B116&lt;=ORÇAMENTO.MáximoListaCrono,MATCH(B116,ORÇAMENTO.ListaCrono,0),NA())</f>
        <v>103</v>
      </c>
      <c r="G116" s="419" t="str">
        <f aca="false">IF(AND($F117&lt;&gt;-1,$S116&gt;0),"F","")</f>
        <v/>
      </c>
      <c r="H116" s="423" t="str">
        <f aca="false" t="array" ref="H116:H116">IF(OR(S116=0,S116=""),"Linha",IF(AND(OR(ACOMPANHAMENTO="PLE",$R116&lt;&gt;2),$F117=0),"Linha",ROUND(1-SUM(U116:BE116),4)))</f>
        <v>Linha</v>
      </c>
      <c r="I116" s="424" t="str">
        <f aca="true">IF($F117=0,OFFSET(ORÇAMENTO!O$15,$F116,0),IF($F117&lt;&gt;-1,OFFSET(QCI!$D$13,$F117,0),""))</f>
        <v>1.34.</v>
      </c>
      <c r="J116" s="425" t="str">
        <f aca="true">IF($F117=0,OFFSET(ORÇAMENTO!R$15,$F116,0),IF($F117&lt;&gt;-1,OFFSET(QCI!$G$13,$F117,0),""))</f>
        <v>INSTALAÇÕES</v>
      </c>
      <c r="K116" s="425"/>
      <c r="L116" s="425"/>
      <c r="M116" s="426" t="n">
        <f aca="true">IF($F117=0,OFFSET(ORÇAMENTO!C$15,$F116,0),1)</f>
        <v>2</v>
      </c>
      <c r="N116" s="427" t="n">
        <f aca="true">IF($F117=-1,0,IF(N$13&lt;=$M116,IF(ISERROR(MATCH(N$13,OFFSET($M116,1,0,ROW($M$182)-ROW($M116)-1),0)),ROW($M$182)-ROW($M116)-1,MATCH(N$13,OFFSET($M116,1,0,ROW($M$182)-ROW($M116)-1),0)-1),0))</f>
        <v>65</v>
      </c>
      <c r="O116" s="427" t="n">
        <f aca="true">IF($F117=-1,0,IF(O$13&lt;=$M116,IF(ISERROR(MATCH(O$13,OFFSET($M116,1,0,ROW($M$182)-ROW($M116)-1),0)),ROW($M$182)-ROW($M116)-1,MATCH(O$13,OFFSET($M116,1,0,ROW($M$182)-ROW($M116)-1),0)-1),0))</f>
        <v>2</v>
      </c>
      <c r="P116" s="427" t="n">
        <f aca="true">IF($F117=-1,0,IF(P$13&lt;=$M116,IF(ISERROR(MATCH(P$13,OFFSET($M116,1,0,ROW($M$182)-ROW($M116)-1),0)),ROW($M$182)-ROW($M116)-1,MATCH(P$13,OFFSET($M116,1,0,ROW($M$182)-ROW($M116)-1),0)-1),0))</f>
        <v>0</v>
      </c>
      <c r="Q116" s="427" t="n">
        <f aca="true">IF($F117=-1,0,IF(Q$13&lt;=$M116,IF(ISERROR(MATCH(Q$13,OFFSET($M116,1,0,ROW($M$182)-ROW($M116)-1),0)),ROW($M$182)-ROW($M116)-1,MATCH(Q$13,OFFSET($M116,1,0,ROW($M$182)-ROW($M116)-1),0)-1),0))</f>
        <v>0</v>
      </c>
      <c r="R116" s="427" t="n">
        <f aca="true">MIN(OFFSET(M116,0,1,,M116))</f>
        <v>2</v>
      </c>
      <c r="S116" s="428" t="n">
        <f aca="true">IF($F117=0,OFFSET(ORÇAMENTO!X$15,$F116,0),IF($F117&lt;&gt;-1,OFFSET(QCI!$O$13,$F117,0),""))</f>
        <v>0</v>
      </c>
      <c r="T116" s="429" t="s">
        <v>996</v>
      </c>
      <c r="U116" s="422" t="e">
        <f aca="false" t="array" ref="U116:U116">IF(AND($R116=2,ACOMPANHAMENTO="BM"),ROUND(U117,4),U118/$S116)</f>
        <v>#DIV/0!</v>
      </c>
      <c r="V116" s="422" t="e">
        <f aca="false" t="array" ref="V116:V116">IF(AND($R116=2,ACOMPANHAMENTO="BM"),ROUND(V117,4),V118/$S116)</f>
        <v>#DIV/0!</v>
      </c>
      <c r="W116" s="422" t="e">
        <f aca="false" t="array" ref="W116:W116">IF(AND($R116=2,ACOMPANHAMENTO="BM"),ROUND(W117,4),W118/$S116)</f>
        <v>#DIV/0!</v>
      </c>
      <c r="X116" s="422" t="e">
        <f aca="false" t="array" ref="X116:X116">IF(AND($R116=2,ACOMPANHAMENTO="BM"),ROUND(X117,4),X118/$S116)</f>
        <v>#DIV/0!</v>
      </c>
      <c r="Y116" s="422" t="e">
        <f aca="false" t="array" ref="Y116:Y116">IF(AND($R116=2,ACOMPANHAMENTO="BM"),ROUND(Y117,4),Y118/$S116)</f>
        <v>#DIV/0!</v>
      </c>
      <c r="Z116" s="422" t="e">
        <f aca="false" t="array" ref="Z116:Z116">IF(AND($R116=2,ACOMPANHAMENTO="BM"),ROUND(Z117,4),Z118/$S116)</f>
        <v>#DIV/0!</v>
      </c>
      <c r="AA116" s="422" t="e">
        <f aca="false" t="array" ref="AA116:AA116">IF(AND($R116=2,ACOMPANHAMENTO="BM"),ROUND(AA117,4),AA118/$S116)</f>
        <v>#DIV/0!</v>
      </c>
      <c r="AB116" s="422" t="e">
        <f aca="false" t="array" ref="AB116:AB116">IF(AND($R116=2,ACOMPANHAMENTO="BM"),ROUND(AB117,4),AB118/$S116)</f>
        <v>#DIV/0!</v>
      </c>
      <c r="AC116" s="422" t="e">
        <f aca="false" t="array" ref="AC116:AC116">IF(AND($R116=2,ACOMPANHAMENTO="BM"),ROUND(AC117,4),AC118/$S116)</f>
        <v>#DIV/0!</v>
      </c>
      <c r="AD116" s="422" t="e">
        <f aca="false" t="array" ref="AD116:AD116">IF(AND($R116=2,ACOMPANHAMENTO="BM"),ROUND(AD117,4),AD118/$S116)</f>
        <v>#DIV/0!</v>
      </c>
      <c r="AE116" s="422" t="e">
        <f aca="false" t="array" ref="AE116:AE116">IF(AND($R116=2,ACOMPANHAMENTO="BM"),ROUND(AE117,4),AE118/$S116)</f>
        <v>#DIV/0!</v>
      </c>
      <c r="AF116" s="422" t="e">
        <f aca="false" t="array" ref="AF116:AF116">IF(AND($R116=2,ACOMPANHAMENTO="BM"),ROUND(AF117,4),AF118/$S116)</f>
        <v>#DIV/0!</v>
      </c>
      <c r="AG116" s="422" t="e">
        <f aca="false" t="array" ref="AG116:AG116">IF(AND($R116=2,ACOMPANHAMENTO="BM"),ROUND(AG117,4),AG118/$S116)</f>
        <v>#DIV/0!</v>
      </c>
      <c r="AH116" s="422" t="e">
        <f aca="false" t="array" ref="AH116:AH116">IF(AND($R116=2,ACOMPANHAMENTO="BM"),ROUND(AH117,4),AH118/$S116)</f>
        <v>#DIV/0!</v>
      </c>
      <c r="AI116" s="422" t="e">
        <f aca="false" t="array" ref="AI116:AI116">IF(AND($R116=2,ACOMPANHAMENTO="BM"),ROUND(AI117,4),AI118/$S116)</f>
        <v>#DIV/0!</v>
      </c>
      <c r="AJ116" s="422" t="e">
        <f aca="false" t="array" ref="AJ116:AJ116">IF(AND($R116=2,ACOMPANHAMENTO="BM"),ROUND(AJ117,4),AJ118/$S116)</f>
        <v>#DIV/0!</v>
      </c>
      <c r="AK116" s="422" t="e">
        <f aca="false" t="array" ref="AK116:AK116">IF(AND($R116=2,ACOMPANHAMENTO="BM"),ROUND(AK117,4),AK118/$S116)</f>
        <v>#DIV/0!</v>
      </c>
      <c r="AL116" s="422" t="e">
        <f aca="false" t="array" ref="AL116:AL116">IF(AND($R116=2,ACOMPANHAMENTO="BM"),ROUND(AL117,4),AL118/$S116)</f>
        <v>#DIV/0!</v>
      </c>
      <c r="AM116" s="422" t="e">
        <f aca="false" t="array" ref="AM116:AM116">IF(AND($R116=2,ACOMPANHAMENTO="BM"),ROUND(AM117,4),AM118/$S116)</f>
        <v>#DIV/0!</v>
      </c>
      <c r="AN116" s="422" t="e">
        <f aca="false" t="array" ref="AN116:AN116">IF(AND($R116=2,ACOMPANHAMENTO="BM"),ROUND(AN117,4),AN118/$S116)</f>
        <v>#DIV/0!</v>
      </c>
      <c r="AO116" s="422" t="e">
        <f aca="false" t="array" ref="AO116:AO116">IF(AND($R116=2,ACOMPANHAMENTO="BM"),ROUND(AO117,4),AO118/$S116)</f>
        <v>#DIV/0!</v>
      </c>
      <c r="AP116" s="422" t="e">
        <f aca="false" t="array" ref="AP116:AP116">IF(AND($R116=2,ACOMPANHAMENTO="BM"),ROUND(AP117,4),AP118/$S116)</f>
        <v>#DIV/0!</v>
      </c>
      <c r="AQ116" s="422" t="e">
        <f aca="false" t="array" ref="AQ116:AQ116">IF(AND($R116=2,ACOMPANHAMENTO="BM"),ROUND(AQ117,4),AQ118/$S116)</f>
        <v>#DIV/0!</v>
      </c>
      <c r="AR116" s="422" t="e">
        <f aca="false" t="array" ref="AR116:AR116">IF(AND($R116=2,ACOMPANHAMENTO="BM"),ROUND(AR117,4),AR118/$S116)</f>
        <v>#DIV/0!</v>
      </c>
      <c r="AS116" s="422" t="e">
        <f aca="false" t="array" ref="AS116:AS116">IF(AND($R116=2,ACOMPANHAMENTO="BM"),ROUND(AS117,4),AS118/$S116)</f>
        <v>#DIV/0!</v>
      </c>
      <c r="AT116" s="422" t="e">
        <f aca="false" t="array" ref="AT116:AT116">IF(AND($R116=2,ACOMPANHAMENTO="BM"),ROUND(AT117,4),AT118/$S116)</f>
        <v>#DIV/0!</v>
      </c>
      <c r="AU116" s="422" t="e">
        <f aca="false" t="array" ref="AU116:AU116">IF(AND($R116=2,ACOMPANHAMENTO="BM"),ROUND(AU117,4),AU118/$S116)</f>
        <v>#DIV/0!</v>
      </c>
      <c r="AV116" s="422" t="e">
        <f aca="false" t="array" ref="AV116:AV116">IF(AND($R116=2,ACOMPANHAMENTO="BM"),ROUND(AV117,4),AV118/$S116)</f>
        <v>#DIV/0!</v>
      </c>
      <c r="AW116" s="422" t="e">
        <f aca="false" t="array" ref="AW116:AW116">IF(AND($R116=2,ACOMPANHAMENTO="BM"),ROUND(AW117,4),AW118/$S116)</f>
        <v>#DIV/0!</v>
      </c>
      <c r="AX116" s="422" t="e">
        <f aca="false" t="array" ref="AX116:AX116">IF(AND($R116=2,ACOMPANHAMENTO="BM"),ROUND(AX117,4),AX118/$S116)</f>
        <v>#DIV/0!</v>
      </c>
      <c r="AY116" s="422" t="e">
        <f aca="false" t="array" ref="AY116:AY116">IF(AND($R116=2,ACOMPANHAMENTO="BM"),ROUND(AY117,4),AY118/$S116)</f>
        <v>#DIV/0!</v>
      </c>
      <c r="AZ116" s="422" t="e">
        <f aca="false" t="array" ref="AZ116:AZ116">IF(AND($R116=2,ACOMPANHAMENTO="BM"),ROUND(AZ117,4),AZ118/$S116)</f>
        <v>#DIV/0!</v>
      </c>
      <c r="BA116" s="422" t="e">
        <f aca="false" t="array" ref="BA116:BA116">IF(AND($R116=2,ACOMPANHAMENTO="BM"),ROUND(BA117,4),BA118/$S116)</f>
        <v>#DIV/0!</v>
      </c>
      <c r="BB116" s="422" t="e">
        <f aca="false" t="array" ref="BB116:BB116">IF(AND($R116=2,ACOMPANHAMENTO="BM"),ROUND(BB117,4),BB118/$S116)</f>
        <v>#DIV/0!</v>
      </c>
      <c r="BC116" s="422" t="e">
        <f aca="false" t="array" ref="BC116:BC116">IF(AND($R116=2,ACOMPANHAMENTO="BM"),ROUND(BC117,4),BC118/$S116)</f>
        <v>#DIV/0!</v>
      </c>
      <c r="BD116" s="422" t="e">
        <f aca="false" t="array" ref="BD116:BD116">IF(AND($R116=2,ACOMPANHAMENTO="BM"),ROUND(BD117,4),BD118/$S116)</f>
        <v>#DIV/0!</v>
      </c>
      <c r="BE116" s="430"/>
    </row>
    <row r="117" customFormat="false" ht="12.75" hidden="true" customHeight="true" outlineLevel="0" collapsed="false">
      <c r="E117" s="431"/>
      <c r="F117" s="419" t="n">
        <f aca="true">IF(ISERROR(F116),IF(1+COUNTIF($M$13:OFFSET(M116,-1,0),1)&lt;=MAX(QCI!$D$13:$D$15),1+COUNTIF($M$13:OFFSET(M116,-1,0),1),-1),0)</f>
        <v>0</v>
      </c>
      <c r="G117" s="419" t="str">
        <f aca="true" t="array" ref="G117:G117">IF(ACOMPANHAMENTO="BM",OFFSET(G117,-1,0),"")</f>
        <v/>
      </c>
      <c r="H117" s="432" t="str">
        <f aca="false" t="array" ref="H117:H117">IF(OR(S116=0,S116=""),"vazia",IF(AND(OR(ACOMPANHAMENTO="PLE",$R116&lt;&gt;2),$F117=0),"calculada","--&gt;"))</f>
        <v>vazia</v>
      </c>
      <c r="I117" s="433"/>
      <c r="J117" s="434" t="str">
        <f aca="false">IF(AND(H116&lt;&gt;0,ISNUMBER(H116)),"PREENCHA ESTA LINHA --&gt;","")</f>
        <v/>
      </c>
      <c r="K117" s="434"/>
      <c r="L117" s="434"/>
      <c r="M117" s="435"/>
      <c r="N117" s="435"/>
      <c r="O117" s="435"/>
      <c r="P117" s="435"/>
      <c r="Q117" s="435"/>
      <c r="R117" s="435"/>
      <c r="S117" s="436"/>
      <c r="T117" s="437"/>
      <c r="U117" s="431"/>
      <c r="V117" s="431"/>
      <c r="W117" s="431"/>
      <c r="X117" s="431"/>
      <c r="Y117" s="431"/>
      <c r="Z117" s="431"/>
      <c r="AA117" s="431"/>
      <c r="AB117" s="431"/>
      <c r="AC117" s="431"/>
      <c r="AD117" s="431"/>
      <c r="AE117" s="431"/>
      <c r="AF117" s="431"/>
      <c r="AG117" s="431"/>
      <c r="AH117" s="431"/>
      <c r="AI117" s="431"/>
      <c r="AJ117" s="431"/>
      <c r="AK117" s="431"/>
      <c r="AL117" s="431"/>
      <c r="AM117" s="431"/>
      <c r="AN117" s="431"/>
      <c r="AO117" s="431"/>
      <c r="AP117" s="431"/>
      <c r="AQ117" s="431"/>
      <c r="AR117" s="431"/>
      <c r="AS117" s="431"/>
      <c r="AT117" s="431"/>
      <c r="AU117" s="431"/>
      <c r="AV117" s="431"/>
      <c r="AW117" s="431"/>
      <c r="AX117" s="431"/>
      <c r="AY117" s="431"/>
      <c r="AZ117" s="431"/>
      <c r="BA117" s="431"/>
      <c r="BB117" s="431"/>
      <c r="BC117" s="431"/>
      <c r="BD117" s="431"/>
      <c r="BE117" s="430"/>
    </row>
    <row r="118" customFormat="false" ht="12.75" hidden="true" customHeight="true" outlineLevel="0" collapsed="false">
      <c r="D118" s="438"/>
      <c r="E118" s="439" t="n">
        <f aca="false" t="array" ref="E118:E118">IF($R116=2,
         IF(AND(ACOMPANHAMENTO="PLE",ISNUMBER($F116)),
                SUMIF((OFFSET(CÁLCULO!$BS$15:$CS$15,$F116,0,OFFSET(ORÇAMENTO!$D$15,CRONO!$F116,0))),CRONO!E$12,OFFSET(CÁLCULO!$AR$15:$BR$15,$F116,0,OFFSET(ORÇAMENTO!$D$15,CRONO!$F116,0)))
                +IF(AND($F118&lt;&gt;"",$F118&lt;&gt;0),
                        SUMIF(CÁLCULO!$BS$15:$CS$205,CRONO!E$12,CÁLCULO!$AR$15:$BR$205)/(ORÇAMENTO!$X$15-_xlfn.single(CÁLCULO.TotalAdmLocal))*CRONO!$F118,
                        0),
                 E117*$S116),
          SUMIF(OFFSET($S118,1,0,$R116-2),($M116+1)&amp;"$",OFFSET(E118,1,0,$R116-2)))</f>
        <v>0</v>
      </c>
      <c r="F118" s="419" t="str">
        <f aca="true">IF(OR($R116&lt;&gt;2,AUTOEVENTO&lt;&gt;"manual",$F117&gt;0),"",
        IF(Import.TipoArredondamento="Tradicional",
              SUMIF(OFFSET(CÁLCULO!$M$15,CRONO!$F116,0,OFFSET(ORÇAMENTO!$D$15,CRONO!$F116,0)),1,OFFSET(ORÇAMENTO!$X$15,CRONO!$F116,0,OFFSET(ORÇAMENTO!$D$15,CRONO!$F116,0))),
              0))</f>
        <v/>
      </c>
      <c r="H118" s="440"/>
      <c r="S118" s="441" t="str">
        <f aca="false">M116&amp;"$"</f>
        <v>2$</v>
      </c>
      <c r="T118" s="442"/>
      <c r="U118" s="439" t="n">
        <f aca="false" t="array" ref="U118:U118">IF($R116=2,
         IF(AND(ACOMPANHAMENTO="PLE",ISNUMBER($F116)),
                SUMIF((OFFSET(CÁLCULO!$BS$15:$CS$15,$F116,0,OFFSET(ORÇAMENTO!$D$15,CRONO!$F116,0))),CRONO!U$12,OFFSET(CÁLCULO!$AR$15:$BR$15,$F116,0,OFFSET(ORÇAMENTO!$D$15,CRONO!$F116,0)))
                +IF(AND($F118&lt;&gt;"",$F118&lt;&gt;0),
                        SUMIF(CÁLCULO!$BS$15:$CS$205,CRONO!U$12,CÁLCULO!$AR$15:$BR$205)/(ORÇAMENTO!$X$15-_xlfn.single(CÁLCULO.TotalAdmLocal))*CRONO!$F118,
                        0),
                 U117*$S116),
          SUMIF(OFFSET($S118,1,0,$R116-2),($M116+1)&amp;"$",OFFSET(U118,1,0,$R116-2)))</f>
        <v>0</v>
      </c>
      <c r="V118" s="439" t="n">
        <f aca="false" t="array" ref="V118:V118">IF($R116=2,
         IF(AND(ACOMPANHAMENTO="PLE",ISNUMBER($F116)),
                SUMIF((OFFSET(CÁLCULO!$BS$15:$CS$15,$F116,0,OFFSET(ORÇAMENTO!$D$15,CRONO!$F116,0))),CRONO!V$12,OFFSET(CÁLCULO!$AR$15:$BR$15,$F116,0,OFFSET(ORÇAMENTO!$D$15,CRONO!$F116,0)))
                +IF(AND($F118&lt;&gt;"",$F118&lt;&gt;0),
                        SUMIF(CÁLCULO!$BS$15:$CS$205,CRONO!V$12,CÁLCULO!$AR$15:$BR$205)/(ORÇAMENTO!$X$15-_xlfn.single(CÁLCULO.TotalAdmLocal))*CRONO!$F118,
                        0),
                 V117*$S116),
          SUMIF(OFFSET($S118,1,0,$R116-2),($M116+1)&amp;"$",OFFSET(V118,1,0,$R116-2)))</f>
        <v>0</v>
      </c>
      <c r="W118" s="439" t="n">
        <f aca="false" t="array" ref="W118:W118">IF($R116=2,
         IF(AND(ACOMPANHAMENTO="PLE",ISNUMBER($F116)),
                SUMIF((OFFSET(CÁLCULO!$BS$15:$CS$15,$F116,0,OFFSET(ORÇAMENTO!$D$15,CRONO!$F116,0))),CRONO!W$12,OFFSET(CÁLCULO!$AR$15:$BR$15,$F116,0,OFFSET(ORÇAMENTO!$D$15,CRONO!$F116,0)))
                +IF(AND($F118&lt;&gt;"",$F118&lt;&gt;0),
                        SUMIF(CÁLCULO!$BS$15:$CS$205,CRONO!W$12,CÁLCULO!$AR$15:$BR$205)/(ORÇAMENTO!$X$15-_xlfn.single(CÁLCULO.TotalAdmLocal))*CRONO!$F118,
                        0),
                 W117*$S116),
          SUMIF(OFFSET($S118,1,0,$R116-2),($M116+1)&amp;"$",OFFSET(W118,1,0,$R116-2)))</f>
        <v>0</v>
      </c>
      <c r="X118" s="439" t="n">
        <f aca="false" t="array" ref="X118:X118">IF($R116=2,
         IF(AND(ACOMPANHAMENTO="PLE",ISNUMBER($F116)),
                SUMIF((OFFSET(CÁLCULO!$BS$15:$CS$15,$F116,0,OFFSET(ORÇAMENTO!$D$15,CRONO!$F116,0))),CRONO!X$12,OFFSET(CÁLCULO!$AR$15:$BR$15,$F116,0,OFFSET(ORÇAMENTO!$D$15,CRONO!$F116,0)))
                +IF(AND($F118&lt;&gt;"",$F118&lt;&gt;0),
                        SUMIF(CÁLCULO!$BS$15:$CS$205,CRONO!X$12,CÁLCULO!$AR$15:$BR$205)/(ORÇAMENTO!$X$15-_xlfn.single(CÁLCULO.TotalAdmLocal))*CRONO!$F118,
                        0),
                 X117*$S116),
          SUMIF(OFFSET($S118,1,0,$R116-2),($M116+1)&amp;"$",OFFSET(X118,1,0,$R116-2)))</f>
        <v>0</v>
      </c>
      <c r="Y118" s="439" t="n">
        <f aca="false" t="array" ref="Y118:Y118">IF($R116=2,
         IF(AND(ACOMPANHAMENTO="PLE",ISNUMBER($F116)),
                SUMIF((OFFSET(CÁLCULO!$BS$15:$CS$15,$F116,0,OFFSET(ORÇAMENTO!$D$15,CRONO!$F116,0))),CRONO!Y$12,OFFSET(CÁLCULO!$AR$15:$BR$15,$F116,0,OFFSET(ORÇAMENTO!$D$15,CRONO!$F116,0)))
                +IF(AND($F118&lt;&gt;"",$F118&lt;&gt;0),
                        SUMIF(CÁLCULO!$BS$15:$CS$205,CRONO!Y$12,CÁLCULO!$AR$15:$BR$205)/(ORÇAMENTO!$X$15-_xlfn.single(CÁLCULO.TotalAdmLocal))*CRONO!$F118,
                        0),
                 Y117*$S116),
          SUMIF(OFFSET($S118,1,0,$R116-2),($M116+1)&amp;"$",OFFSET(Y118,1,0,$R116-2)))</f>
        <v>0</v>
      </c>
      <c r="Z118" s="439" t="n">
        <f aca="false" t="array" ref="Z118:Z118">IF($R116=2,
         IF(AND(ACOMPANHAMENTO="PLE",ISNUMBER($F116)),
                SUMIF((OFFSET(CÁLCULO!$BS$15:$CS$15,$F116,0,OFFSET(ORÇAMENTO!$D$15,CRONO!$F116,0))),CRONO!Z$12,OFFSET(CÁLCULO!$AR$15:$BR$15,$F116,0,OFFSET(ORÇAMENTO!$D$15,CRONO!$F116,0)))
                +IF(AND($F118&lt;&gt;"",$F118&lt;&gt;0),
                        SUMIF(CÁLCULO!$BS$15:$CS$205,CRONO!Z$12,CÁLCULO!$AR$15:$BR$205)/(ORÇAMENTO!$X$15-_xlfn.single(CÁLCULO.TotalAdmLocal))*CRONO!$F118,
                        0),
                 Z117*$S116),
          SUMIF(OFFSET($S118,1,0,$R116-2),($M116+1)&amp;"$",OFFSET(Z118,1,0,$R116-2)))</f>
        <v>0</v>
      </c>
      <c r="AA118" s="439" t="n">
        <f aca="false" t="array" ref="AA118:AA118">IF($R116=2,
         IF(AND(ACOMPANHAMENTO="PLE",ISNUMBER($F116)),
                SUMIF((OFFSET(CÁLCULO!$BS$15:$CS$15,$F116,0,OFFSET(ORÇAMENTO!$D$15,CRONO!$F116,0))),CRONO!AA$12,OFFSET(CÁLCULO!$AR$15:$BR$15,$F116,0,OFFSET(ORÇAMENTO!$D$15,CRONO!$F116,0)))
                +IF(AND($F118&lt;&gt;"",$F118&lt;&gt;0),
                        SUMIF(CÁLCULO!$BS$15:$CS$205,CRONO!AA$12,CÁLCULO!$AR$15:$BR$205)/(ORÇAMENTO!$X$15-_xlfn.single(CÁLCULO.TotalAdmLocal))*CRONO!$F118,
                        0),
                 AA117*$S116),
          SUMIF(OFFSET($S118,1,0,$R116-2),($M116+1)&amp;"$",OFFSET(AA118,1,0,$R116-2)))</f>
        <v>0</v>
      </c>
      <c r="AB118" s="439" t="n">
        <f aca="false" t="array" ref="AB118:AB118">IF($R116=2,
         IF(AND(ACOMPANHAMENTO="PLE",ISNUMBER($F116)),
                SUMIF((OFFSET(CÁLCULO!$BS$15:$CS$15,$F116,0,OFFSET(ORÇAMENTO!$D$15,CRONO!$F116,0))),CRONO!AB$12,OFFSET(CÁLCULO!$AR$15:$BR$15,$F116,0,OFFSET(ORÇAMENTO!$D$15,CRONO!$F116,0)))
                +IF(AND($F118&lt;&gt;"",$F118&lt;&gt;0),
                        SUMIF(CÁLCULO!$BS$15:$CS$205,CRONO!AB$12,CÁLCULO!$AR$15:$BR$205)/(ORÇAMENTO!$X$15-_xlfn.single(CÁLCULO.TotalAdmLocal))*CRONO!$F118,
                        0),
                 AB117*$S116),
          SUMIF(OFFSET($S118,1,0,$R116-2),($M116+1)&amp;"$",OFFSET(AB118,1,0,$R116-2)))</f>
        <v>0</v>
      </c>
      <c r="AC118" s="439" t="n">
        <f aca="false" t="array" ref="AC118:AC118">IF($R116=2,
         IF(AND(ACOMPANHAMENTO="PLE",ISNUMBER($F116)),
                SUMIF((OFFSET(CÁLCULO!$BS$15:$CS$15,$F116,0,OFFSET(ORÇAMENTO!$D$15,CRONO!$F116,0))),CRONO!AC$12,OFFSET(CÁLCULO!$AR$15:$BR$15,$F116,0,OFFSET(ORÇAMENTO!$D$15,CRONO!$F116,0)))
                +IF(AND($F118&lt;&gt;"",$F118&lt;&gt;0),
                        SUMIF(CÁLCULO!$BS$15:$CS$205,CRONO!AC$12,CÁLCULO!$AR$15:$BR$205)/(ORÇAMENTO!$X$15-_xlfn.single(CÁLCULO.TotalAdmLocal))*CRONO!$F118,
                        0),
                 AC117*$S116),
          SUMIF(OFFSET($S118,1,0,$R116-2),($M116+1)&amp;"$",OFFSET(AC118,1,0,$R116-2)))</f>
        <v>0</v>
      </c>
      <c r="AD118" s="439" t="n">
        <f aca="false" t="array" ref="AD118:AD118">IF($R116=2,
         IF(AND(ACOMPANHAMENTO="PLE",ISNUMBER($F116)),
                SUMIF((OFFSET(CÁLCULO!$BS$15:$CS$15,$F116,0,OFFSET(ORÇAMENTO!$D$15,CRONO!$F116,0))),CRONO!AD$12,OFFSET(CÁLCULO!$AR$15:$BR$15,$F116,0,OFFSET(ORÇAMENTO!$D$15,CRONO!$F116,0)))
                +IF(AND($F118&lt;&gt;"",$F118&lt;&gt;0),
                        SUMIF(CÁLCULO!$BS$15:$CS$205,CRONO!AD$12,CÁLCULO!$AR$15:$BR$205)/(ORÇAMENTO!$X$15-_xlfn.single(CÁLCULO.TotalAdmLocal))*CRONO!$F118,
                        0),
                 AD117*$S116),
          SUMIF(OFFSET($S118,1,0,$R116-2),($M116+1)&amp;"$",OFFSET(AD118,1,0,$R116-2)))</f>
        <v>0</v>
      </c>
      <c r="AE118" s="439" t="n">
        <f aca="false" t="array" ref="AE118:AE118">IF($R116=2,
         IF(AND(ACOMPANHAMENTO="PLE",ISNUMBER($F116)),
                SUMIF((OFFSET(CÁLCULO!$BS$15:$CS$15,$F116,0,OFFSET(ORÇAMENTO!$D$15,CRONO!$F116,0))),CRONO!AE$12,OFFSET(CÁLCULO!$AR$15:$BR$15,$F116,0,OFFSET(ORÇAMENTO!$D$15,CRONO!$F116,0)))
                +IF(AND($F118&lt;&gt;"",$F118&lt;&gt;0),
                        SUMIF(CÁLCULO!$BS$15:$CS$205,CRONO!AE$12,CÁLCULO!$AR$15:$BR$205)/(ORÇAMENTO!$X$15-_xlfn.single(CÁLCULO.TotalAdmLocal))*CRONO!$F118,
                        0),
                 AE117*$S116),
          SUMIF(OFFSET($S118,1,0,$R116-2),($M116+1)&amp;"$",OFFSET(AE118,1,0,$R116-2)))</f>
        <v>0</v>
      </c>
      <c r="AF118" s="439" t="n">
        <f aca="false" t="array" ref="AF118:AF118">IF($R116=2,
         IF(AND(ACOMPANHAMENTO="PLE",ISNUMBER($F116)),
                SUMIF((OFFSET(CÁLCULO!$BS$15:$CS$15,$F116,0,OFFSET(ORÇAMENTO!$D$15,CRONO!$F116,0))),CRONO!AF$12,OFFSET(CÁLCULO!$AR$15:$BR$15,$F116,0,OFFSET(ORÇAMENTO!$D$15,CRONO!$F116,0)))
                +IF(AND($F118&lt;&gt;"",$F118&lt;&gt;0),
                        SUMIF(CÁLCULO!$BS$15:$CS$205,CRONO!AF$12,CÁLCULO!$AR$15:$BR$205)/(ORÇAMENTO!$X$15-_xlfn.single(CÁLCULO.TotalAdmLocal))*CRONO!$F118,
                        0),
                 AF117*$S116),
          SUMIF(OFFSET($S118,1,0,$R116-2),($M116+1)&amp;"$",OFFSET(AF118,1,0,$R116-2)))</f>
        <v>0</v>
      </c>
      <c r="AG118" s="439" t="n">
        <f aca="false" t="array" ref="AG118:AG118">IF($R116=2,
         IF(AND(ACOMPANHAMENTO="PLE",ISNUMBER($F116)),
                SUMIF((OFFSET(CÁLCULO!$BS$15:$CS$15,$F116,0,OFFSET(ORÇAMENTO!$D$15,CRONO!$F116,0))),CRONO!AG$12,OFFSET(CÁLCULO!$AR$15:$BR$15,$F116,0,OFFSET(ORÇAMENTO!$D$15,CRONO!$F116,0)))
                +IF(AND($F118&lt;&gt;"",$F118&lt;&gt;0),
                        SUMIF(CÁLCULO!$BS$15:$CS$205,CRONO!AG$12,CÁLCULO!$AR$15:$BR$205)/(ORÇAMENTO!$X$15-_xlfn.single(CÁLCULO.TotalAdmLocal))*CRONO!$F118,
                        0),
                 AG117*$S116),
          SUMIF(OFFSET($S118,1,0,$R116-2),($M116+1)&amp;"$",OFFSET(AG118,1,0,$R116-2)))</f>
        <v>0</v>
      </c>
      <c r="AH118" s="439" t="n">
        <f aca="false" t="array" ref="AH118:AH118">IF($R116=2,
         IF(AND(ACOMPANHAMENTO="PLE",ISNUMBER($F116)),
                SUMIF((OFFSET(CÁLCULO!$BS$15:$CS$15,$F116,0,OFFSET(ORÇAMENTO!$D$15,CRONO!$F116,0))),CRONO!AH$12,OFFSET(CÁLCULO!$AR$15:$BR$15,$F116,0,OFFSET(ORÇAMENTO!$D$15,CRONO!$F116,0)))
                +IF(AND($F118&lt;&gt;"",$F118&lt;&gt;0),
                        SUMIF(CÁLCULO!$BS$15:$CS$205,CRONO!AH$12,CÁLCULO!$AR$15:$BR$205)/(ORÇAMENTO!$X$15-_xlfn.single(CÁLCULO.TotalAdmLocal))*CRONO!$F118,
                        0),
                 AH117*$S116),
          SUMIF(OFFSET($S118,1,0,$R116-2),($M116+1)&amp;"$",OFFSET(AH118,1,0,$R116-2)))</f>
        <v>0</v>
      </c>
      <c r="AI118" s="439" t="n">
        <f aca="false" t="array" ref="AI118:AI118">IF($R116=2,
         IF(AND(ACOMPANHAMENTO="PLE",ISNUMBER($F116)),
                SUMIF((OFFSET(CÁLCULO!$BS$15:$CS$15,$F116,0,OFFSET(ORÇAMENTO!$D$15,CRONO!$F116,0))),CRONO!AI$12,OFFSET(CÁLCULO!$AR$15:$BR$15,$F116,0,OFFSET(ORÇAMENTO!$D$15,CRONO!$F116,0)))
                +IF(AND($F118&lt;&gt;"",$F118&lt;&gt;0),
                        SUMIF(CÁLCULO!$BS$15:$CS$205,CRONO!AI$12,CÁLCULO!$AR$15:$BR$205)/(ORÇAMENTO!$X$15-_xlfn.single(CÁLCULO.TotalAdmLocal))*CRONO!$F118,
                        0),
                 AI117*$S116),
          SUMIF(OFFSET($S118,1,0,$R116-2),($M116+1)&amp;"$",OFFSET(AI118,1,0,$R116-2)))</f>
        <v>0</v>
      </c>
      <c r="AJ118" s="439" t="n">
        <f aca="false" t="array" ref="AJ118:AJ118">IF($R116=2,
         IF(AND(ACOMPANHAMENTO="PLE",ISNUMBER($F116)),
                SUMIF((OFFSET(CÁLCULO!$BS$15:$CS$15,$F116,0,OFFSET(ORÇAMENTO!$D$15,CRONO!$F116,0))),CRONO!AJ$12,OFFSET(CÁLCULO!$AR$15:$BR$15,$F116,0,OFFSET(ORÇAMENTO!$D$15,CRONO!$F116,0)))
                +IF(AND($F118&lt;&gt;"",$F118&lt;&gt;0),
                        SUMIF(CÁLCULO!$BS$15:$CS$205,CRONO!AJ$12,CÁLCULO!$AR$15:$BR$205)/(ORÇAMENTO!$X$15-_xlfn.single(CÁLCULO.TotalAdmLocal))*CRONO!$F118,
                        0),
                 AJ117*$S116),
          SUMIF(OFFSET($S118,1,0,$R116-2),($M116+1)&amp;"$",OFFSET(AJ118,1,0,$R116-2)))</f>
        <v>0</v>
      </c>
      <c r="AK118" s="439" t="n">
        <f aca="false" t="array" ref="AK118:AK118">IF($R116=2,
         IF(AND(ACOMPANHAMENTO="PLE",ISNUMBER($F116)),
                SUMIF((OFFSET(CÁLCULO!$BS$15:$CS$15,$F116,0,OFFSET(ORÇAMENTO!$D$15,CRONO!$F116,0))),CRONO!AK$12,OFFSET(CÁLCULO!$AR$15:$BR$15,$F116,0,OFFSET(ORÇAMENTO!$D$15,CRONO!$F116,0)))
                +IF(AND($F118&lt;&gt;"",$F118&lt;&gt;0),
                        SUMIF(CÁLCULO!$BS$15:$CS$205,CRONO!AK$12,CÁLCULO!$AR$15:$BR$205)/(ORÇAMENTO!$X$15-_xlfn.single(CÁLCULO.TotalAdmLocal))*CRONO!$F118,
                        0),
                 AK117*$S116),
          SUMIF(OFFSET($S118,1,0,$R116-2),($M116+1)&amp;"$",OFFSET(AK118,1,0,$R116-2)))</f>
        <v>0</v>
      </c>
      <c r="AL118" s="439" t="n">
        <f aca="false" t="array" ref="AL118:AL118">IF($R116=2,
         IF(AND(ACOMPANHAMENTO="PLE",ISNUMBER($F116)),
                SUMIF((OFFSET(CÁLCULO!$BS$15:$CS$15,$F116,0,OFFSET(ORÇAMENTO!$D$15,CRONO!$F116,0))),CRONO!AL$12,OFFSET(CÁLCULO!$AR$15:$BR$15,$F116,0,OFFSET(ORÇAMENTO!$D$15,CRONO!$F116,0)))
                +IF(AND($F118&lt;&gt;"",$F118&lt;&gt;0),
                        SUMIF(CÁLCULO!$BS$15:$CS$205,CRONO!AL$12,CÁLCULO!$AR$15:$BR$205)/(ORÇAMENTO!$X$15-_xlfn.single(CÁLCULO.TotalAdmLocal))*CRONO!$F118,
                        0),
                 AL117*$S116),
          SUMIF(OFFSET($S118,1,0,$R116-2),($M116+1)&amp;"$",OFFSET(AL118,1,0,$R116-2)))</f>
        <v>0</v>
      </c>
      <c r="AM118" s="439" t="n">
        <f aca="false" t="array" ref="AM118:AM118">IF($R116=2,
         IF(AND(ACOMPANHAMENTO="PLE",ISNUMBER($F116)),
                SUMIF((OFFSET(CÁLCULO!$BS$15:$CS$15,$F116,0,OFFSET(ORÇAMENTO!$D$15,CRONO!$F116,0))),CRONO!AM$12,OFFSET(CÁLCULO!$AR$15:$BR$15,$F116,0,OFFSET(ORÇAMENTO!$D$15,CRONO!$F116,0)))
                +IF(AND($F118&lt;&gt;"",$F118&lt;&gt;0),
                        SUMIF(CÁLCULO!$BS$15:$CS$205,CRONO!AM$12,CÁLCULO!$AR$15:$BR$205)/(ORÇAMENTO!$X$15-_xlfn.single(CÁLCULO.TotalAdmLocal))*CRONO!$F118,
                        0),
                 AM117*$S116),
          SUMIF(OFFSET($S118,1,0,$R116-2),($M116+1)&amp;"$",OFFSET(AM118,1,0,$R116-2)))</f>
        <v>0</v>
      </c>
      <c r="AN118" s="439" t="n">
        <f aca="false" t="array" ref="AN118:AN118">IF($R116=2,
         IF(AND(ACOMPANHAMENTO="PLE",ISNUMBER($F116)),
                SUMIF((OFFSET(CÁLCULO!$BS$15:$CS$15,$F116,0,OFFSET(ORÇAMENTO!$D$15,CRONO!$F116,0))),CRONO!AN$12,OFFSET(CÁLCULO!$AR$15:$BR$15,$F116,0,OFFSET(ORÇAMENTO!$D$15,CRONO!$F116,0)))
                +IF(AND($F118&lt;&gt;"",$F118&lt;&gt;0),
                        SUMIF(CÁLCULO!$BS$15:$CS$205,CRONO!AN$12,CÁLCULO!$AR$15:$BR$205)/(ORÇAMENTO!$X$15-_xlfn.single(CÁLCULO.TotalAdmLocal))*CRONO!$F118,
                        0),
                 AN117*$S116),
          SUMIF(OFFSET($S118,1,0,$R116-2),($M116+1)&amp;"$",OFFSET(AN118,1,0,$R116-2)))</f>
        <v>0</v>
      </c>
      <c r="AO118" s="439" t="n">
        <f aca="false" t="array" ref="AO118:AO118">IF($R116=2,
         IF(AND(ACOMPANHAMENTO="PLE",ISNUMBER($F116)),
                SUMIF((OFFSET(CÁLCULO!$BS$15:$CS$15,$F116,0,OFFSET(ORÇAMENTO!$D$15,CRONO!$F116,0))),CRONO!AO$12,OFFSET(CÁLCULO!$AR$15:$BR$15,$F116,0,OFFSET(ORÇAMENTO!$D$15,CRONO!$F116,0)))
                +IF(AND($F118&lt;&gt;"",$F118&lt;&gt;0),
                        SUMIF(CÁLCULO!$BS$15:$CS$205,CRONO!AO$12,CÁLCULO!$AR$15:$BR$205)/(ORÇAMENTO!$X$15-_xlfn.single(CÁLCULO.TotalAdmLocal))*CRONO!$F118,
                        0),
                 AO117*$S116),
          SUMIF(OFFSET($S118,1,0,$R116-2),($M116+1)&amp;"$",OFFSET(AO118,1,0,$R116-2)))</f>
        <v>0</v>
      </c>
      <c r="AP118" s="439" t="n">
        <f aca="false" t="array" ref="AP118:AP118">IF($R116=2,
         IF(AND(ACOMPANHAMENTO="PLE",ISNUMBER($F116)),
                SUMIF((OFFSET(CÁLCULO!$BS$15:$CS$15,$F116,0,OFFSET(ORÇAMENTO!$D$15,CRONO!$F116,0))),CRONO!AP$12,OFFSET(CÁLCULO!$AR$15:$BR$15,$F116,0,OFFSET(ORÇAMENTO!$D$15,CRONO!$F116,0)))
                +IF(AND($F118&lt;&gt;"",$F118&lt;&gt;0),
                        SUMIF(CÁLCULO!$BS$15:$CS$205,CRONO!AP$12,CÁLCULO!$AR$15:$BR$205)/(ORÇAMENTO!$X$15-_xlfn.single(CÁLCULO.TotalAdmLocal))*CRONO!$F118,
                        0),
                 AP117*$S116),
          SUMIF(OFFSET($S118,1,0,$R116-2),($M116+1)&amp;"$",OFFSET(AP118,1,0,$R116-2)))</f>
        <v>0</v>
      </c>
      <c r="AQ118" s="439" t="n">
        <f aca="false" t="array" ref="AQ118:AQ118">IF($R116=2,
         IF(AND(ACOMPANHAMENTO="PLE",ISNUMBER($F116)),
                SUMIF((OFFSET(CÁLCULO!$BS$15:$CS$15,$F116,0,OFFSET(ORÇAMENTO!$D$15,CRONO!$F116,0))),CRONO!AQ$12,OFFSET(CÁLCULO!$AR$15:$BR$15,$F116,0,OFFSET(ORÇAMENTO!$D$15,CRONO!$F116,0)))
                +IF(AND($F118&lt;&gt;"",$F118&lt;&gt;0),
                        SUMIF(CÁLCULO!$BS$15:$CS$205,CRONO!AQ$12,CÁLCULO!$AR$15:$BR$205)/(ORÇAMENTO!$X$15-_xlfn.single(CÁLCULO.TotalAdmLocal))*CRONO!$F118,
                        0),
                 AQ117*$S116),
          SUMIF(OFFSET($S118,1,0,$R116-2),($M116+1)&amp;"$",OFFSET(AQ118,1,0,$R116-2)))</f>
        <v>0</v>
      </c>
      <c r="AR118" s="439" t="n">
        <f aca="false" t="array" ref="AR118:AR118">IF($R116=2,
         IF(AND(ACOMPANHAMENTO="PLE",ISNUMBER($F116)),
                SUMIF((OFFSET(CÁLCULO!$BS$15:$CS$15,$F116,0,OFFSET(ORÇAMENTO!$D$15,CRONO!$F116,0))),CRONO!AR$12,OFFSET(CÁLCULO!$AR$15:$BR$15,$F116,0,OFFSET(ORÇAMENTO!$D$15,CRONO!$F116,0)))
                +IF(AND($F118&lt;&gt;"",$F118&lt;&gt;0),
                        SUMIF(CÁLCULO!$BS$15:$CS$205,CRONO!AR$12,CÁLCULO!$AR$15:$BR$205)/(ORÇAMENTO!$X$15-_xlfn.single(CÁLCULO.TotalAdmLocal))*CRONO!$F118,
                        0),
                 AR117*$S116),
          SUMIF(OFFSET($S118,1,0,$R116-2),($M116+1)&amp;"$",OFFSET(AR118,1,0,$R116-2)))</f>
        <v>0</v>
      </c>
      <c r="AS118" s="439" t="n">
        <f aca="false" t="array" ref="AS118:AS118">IF($R116=2,
         IF(AND(ACOMPANHAMENTO="PLE",ISNUMBER($F116)),
                SUMIF((OFFSET(CÁLCULO!$BS$15:$CS$15,$F116,0,OFFSET(ORÇAMENTO!$D$15,CRONO!$F116,0))),CRONO!AS$12,OFFSET(CÁLCULO!$AR$15:$BR$15,$F116,0,OFFSET(ORÇAMENTO!$D$15,CRONO!$F116,0)))
                +IF(AND($F118&lt;&gt;"",$F118&lt;&gt;0),
                        SUMIF(CÁLCULO!$BS$15:$CS$205,CRONO!AS$12,CÁLCULO!$AR$15:$BR$205)/(ORÇAMENTO!$X$15-_xlfn.single(CÁLCULO.TotalAdmLocal))*CRONO!$F118,
                        0),
                 AS117*$S116),
          SUMIF(OFFSET($S118,1,0,$R116-2),($M116+1)&amp;"$",OFFSET(AS118,1,0,$R116-2)))</f>
        <v>0</v>
      </c>
      <c r="AT118" s="439" t="n">
        <f aca="false" t="array" ref="AT118:AT118">IF($R116=2,
         IF(AND(ACOMPANHAMENTO="PLE",ISNUMBER($F116)),
                SUMIF((OFFSET(CÁLCULO!$BS$15:$CS$15,$F116,0,OFFSET(ORÇAMENTO!$D$15,CRONO!$F116,0))),CRONO!AT$12,OFFSET(CÁLCULO!$AR$15:$BR$15,$F116,0,OFFSET(ORÇAMENTO!$D$15,CRONO!$F116,0)))
                +IF(AND($F118&lt;&gt;"",$F118&lt;&gt;0),
                        SUMIF(CÁLCULO!$BS$15:$CS$205,CRONO!AT$12,CÁLCULO!$AR$15:$BR$205)/(ORÇAMENTO!$X$15-_xlfn.single(CÁLCULO.TotalAdmLocal))*CRONO!$F118,
                        0),
                 AT117*$S116),
          SUMIF(OFFSET($S118,1,0,$R116-2),($M116+1)&amp;"$",OFFSET(AT118,1,0,$R116-2)))</f>
        <v>0</v>
      </c>
      <c r="AU118" s="439" t="n">
        <f aca="false" t="array" ref="AU118:AU118">IF($R116=2,
         IF(AND(ACOMPANHAMENTO="PLE",ISNUMBER($F116)),
                SUMIF((OFFSET(CÁLCULO!$BS$15:$CS$15,$F116,0,OFFSET(ORÇAMENTO!$D$15,CRONO!$F116,0))),CRONO!AU$12,OFFSET(CÁLCULO!$AR$15:$BR$15,$F116,0,OFFSET(ORÇAMENTO!$D$15,CRONO!$F116,0)))
                +IF(AND($F118&lt;&gt;"",$F118&lt;&gt;0),
                        SUMIF(CÁLCULO!$BS$15:$CS$205,CRONO!AU$12,CÁLCULO!$AR$15:$BR$205)/(ORÇAMENTO!$X$15-_xlfn.single(CÁLCULO.TotalAdmLocal))*CRONO!$F118,
                        0),
                 AU117*$S116),
          SUMIF(OFFSET($S118,1,0,$R116-2),($M116+1)&amp;"$",OFFSET(AU118,1,0,$R116-2)))</f>
        <v>0</v>
      </c>
      <c r="AV118" s="439" t="n">
        <f aca="false" t="array" ref="AV118:AV118">IF($R116=2,
         IF(AND(ACOMPANHAMENTO="PLE",ISNUMBER($F116)),
                SUMIF((OFFSET(CÁLCULO!$BS$15:$CS$15,$F116,0,OFFSET(ORÇAMENTO!$D$15,CRONO!$F116,0))),CRONO!AV$12,OFFSET(CÁLCULO!$AR$15:$BR$15,$F116,0,OFFSET(ORÇAMENTO!$D$15,CRONO!$F116,0)))
                +IF(AND($F118&lt;&gt;"",$F118&lt;&gt;0),
                        SUMIF(CÁLCULO!$BS$15:$CS$205,CRONO!AV$12,CÁLCULO!$AR$15:$BR$205)/(ORÇAMENTO!$X$15-_xlfn.single(CÁLCULO.TotalAdmLocal))*CRONO!$F118,
                        0),
                 AV117*$S116),
          SUMIF(OFFSET($S118,1,0,$R116-2),($M116+1)&amp;"$",OFFSET(AV118,1,0,$R116-2)))</f>
        <v>0</v>
      </c>
      <c r="AW118" s="439" t="n">
        <f aca="false" t="array" ref="AW118:AW118">IF($R116=2,
         IF(AND(ACOMPANHAMENTO="PLE",ISNUMBER($F116)),
                SUMIF((OFFSET(CÁLCULO!$BS$15:$CS$15,$F116,0,OFFSET(ORÇAMENTO!$D$15,CRONO!$F116,0))),CRONO!AW$12,OFFSET(CÁLCULO!$AR$15:$BR$15,$F116,0,OFFSET(ORÇAMENTO!$D$15,CRONO!$F116,0)))
                +IF(AND($F118&lt;&gt;"",$F118&lt;&gt;0),
                        SUMIF(CÁLCULO!$BS$15:$CS$205,CRONO!AW$12,CÁLCULO!$AR$15:$BR$205)/(ORÇAMENTO!$X$15-_xlfn.single(CÁLCULO.TotalAdmLocal))*CRONO!$F118,
                        0),
                 AW117*$S116),
          SUMIF(OFFSET($S118,1,0,$R116-2),($M116+1)&amp;"$",OFFSET(AW118,1,0,$R116-2)))</f>
        <v>0</v>
      </c>
      <c r="AX118" s="439" t="n">
        <f aca="false" t="array" ref="AX118:AX118">IF($R116=2,
         IF(AND(ACOMPANHAMENTO="PLE",ISNUMBER($F116)),
                SUMIF((OFFSET(CÁLCULO!$BS$15:$CS$15,$F116,0,OFFSET(ORÇAMENTO!$D$15,CRONO!$F116,0))),CRONO!AX$12,OFFSET(CÁLCULO!$AR$15:$BR$15,$F116,0,OFFSET(ORÇAMENTO!$D$15,CRONO!$F116,0)))
                +IF(AND($F118&lt;&gt;"",$F118&lt;&gt;0),
                        SUMIF(CÁLCULO!$BS$15:$CS$205,CRONO!AX$12,CÁLCULO!$AR$15:$BR$205)/(ORÇAMENTO!$X$15-_xlfn.single(CÁLCULO.TotalAdmLocal))*CRONO!$F118,
                        0),
                 AX117*$S116),
          SUMIF(OFFSET($S118,1,0,$R116-2),($M116+1)&amp;"$",OFFSET(AX118,1,0,$R116-2)))</f>
        <v>0</v>
      </c>
      <c r="AY118" s="439" t="n">
        <f aca="false" t="array" ref="AY118:AY118">IF($R116=2,
         IF(AND(ACOMPANHAMENTO="PLE",ISNUMBER($F116)),
                SUMIF((OFFSET(CÁLCULO!$BS$15:$CS$15,$F116,0,OFFSET(ORÇAMENTO!$D$15,CRONO!$F116,0))),CRONO!AY$12,OFFSET(CÁLCULO!$AR$15:$BR$15,$F116,0,OFFSET(ORÇAMENTO!$D$15,CRONO!$F116,0)))
                +IF(AND($F118&lt;&gt;"",$F118&lt;&gt;0),
                        SUMIF(CÁLCULO!$BS$15:$CS$205,CRONO!AY$12,CÁLCULO!$AR$15:$BR$205)/(ORÇAMENTO!$X$15-_xlfn.single(CÁLCULO.TotalAdmLocal))*CRONO!$F118,
                        0),
                 AY117*$S116),
          SUMIF(OFFSET($S118,1,0,$R116-2),($M116+1)&amp;"$",OFFSET(AY118,1,0,$R116-2)))</f>
        <v>0</v>
      </c>
      <c r="AZ118" s="439" t="n">
        <f aca="false" t="array" ref="AZ118:AZ118">IF($R116=2,
         IF(AND(ACOMPANHAMENTO="PLE",ISNUMBER($F116)),
                SUMIF((OFFSET(CÁLCULO!$BS$15:$CS$15,$F116,0,OFFSET(ORÇAMENTO!$D$15,CRONO!$F116,0))),CRONO!AZ$12,OFFSET(CÁLCULO!$AR$15:$BR$15,$F116,0,OFFSET(ORÇAMENTO!$D$15,CRONO!$F116,0)))
                +IF(AND($F118&lt;&gt;"",$F118&lt;&gt;0),
                        SUMIF(CÁLCULO!$BS$15:$CS$205,CRONO!AZ$12,CÁLCULO!$AR$15:$BR$205)/(ORÇAMENTO!$X$15-_xlfn.single(CÁLCULO.TotalAdmLocal))*CRONO!$F118,
                        0),
                 AZ117*$S116),
          SUMIF(OFFSET($S118,1,0,$R116-2),($M116+1)&amp;"$",OFFSET(AZ118,1,0,$R116-2)))</f>
        <v>0</v>
      </c>
      <c r="BA118" s="439" t="n">
        <f aca="false" t="array" ref="BA118:BA118">IF($R116=2,
         IF(AND(ACOMPANHAMENTO="PLE",ISNUMBER($F116)),
                SUMIF((OFFSET(CÁLCULO!$BS$15:$CS$15,$F116,0,OFFSET(ORÇAMENTO!$D$15,CRONO!$F116,0))),CRONO!BA$12,OFFSET(CÁLCULO!$AR$15:$BR$15,$F116,0,OFFSET(ORÇAMENTO!$D$15,CRONO!$F116,0)))
                +IF(AND($F118&lt;&gt;"",$F118&lt;&gt;0),
                        SUMIF(CÁLCULO!$BS$15:$CS$205,CRONO!BA$12,CÁLCULO!$AR$15:$BR$205)/(ORÇAMENTO!$X$15-_xlfn.single(CÁLCULO.TotalAdmLocal))*CRONO!$F118,
                        0),
                 BA117*$S116),
          SUMIF(OFFSET($S118,1,0,$R116-2),($M116+1)&amp;"$",OFFSET(BA118,1,0,$R116-2)))</f>
        <v>0</v>
      </c>
      <c r="BB118" s="439" t="n">
        <f aca="false" t="array" ref="BB118:BB118">IF($R116=2,
         IF(AND(ACOMPANHAMENTO="PLE",ISNUMBER($F116)),
                SUMIF((OFFSET(CÁLCULO!$BS$15:$CS$15,$F116,0,OFFSET(ORÇAMENTO!$D$15,CRONO!$F116,0))),CRONO!BB$12,OFFSET(CÁLCULO!$AR$15:$BR$15,$F116,0,OFFSET(ORÇAMENTO!$D$15,CRONO!$F116,0)))
                +IF(AND($F118&lt;&gt;"",$F118&lt;&gt;0),
                        SUMIF(CÁLCULO!$BS$15:$CS$205,CRONO!BB$12,CÁLCULO!$AR$15:$BR$205)/(ORÇAMENTO!$X$15-_xlfn.single(CÁLCULO.TotalAdmLocal))*CRONO!$F118,
                        0),
                 BB117*$S116),
          SUMIF(OFFSET($S118,1,0,$R116-2),($M116+1)&amp;"$",OFFSET(BB118,1,0,$R116-2)))</f>
        <v>0</v>
      </c>
      <c r="BC118" s="439" t="n">
        <f aca="false" t="array" ref="BC118:BC118">IF($R116=2,
         IF(AND(ACOMPANHAMENTO="PLE",ISNUMBER($F116)),
                SUMIF((OFFSET(CÁLCULO!$BS$15:$CS$15,$F116,0,OFFSET(ORÇAMENTO!$D$15,CRONO!$F116,0))),CRONO!BC$12,OFFSET(CÁLCULO!$AR$15:$BR$15,$F116,0,OFFSET(ORÇAMENTO!$D$15,CRONO!$F116,0)))
                +IF(AND($F118&lt;&gt;"",$F118&lt;&gt;0),
                        SUMIF(CÁLCULO!$BS$15:$CS$205,CRONO!BC$12,CÁLCULO!$AR$15:$BR$205)/(ORÇAMENTO!$X$15-_xlfn.single(CÁLCULO.TotalAdmLocal))*CRONO!$F118,
                        0),
                 BC117*$S116),
          SUMIF(OFFSET($S118,1,0,$R116-2),($M116+1)&amp;"$",OFFSET(BC118,1,0,$R116-2)))</f>
        <v>0</v>
      </c>
      <c r="BD118" s="439" t="n">
        <f aca="false" t="array" ref="BD118:BD118">IF($R116=2,
         IF(AND(ACOMPANHAMENTO="PLE",ISNUMBER($F116)),
                SUMIF((OFFSET(CÁLCULO!$BS$15:$CS$15,$F116,0,OFFSET(ORÇAMENTO!$D$15,CRONO!$F116,0))),CRONO!BD$12,OFFSET(CÁLCULO!$AR$15:$BR$15,$F116,0,OFFSET(ORÇAMENTO!$D$15,CRONO!$F116,0)))
                +IF(AND($F118&lt;&gt;"",$F118&lt;&gt;0),
                        SUMIF(CÁLCULO!$BS$15:$CS$205,CRONO!BD$12,CÁLCULO!$AR$15:$BR$205)/(ORÇAMENTO!$X$15-_xlfn.single(CÁLCULO.TotalAdmLocal))*CRONO!$F118,
                        0),
                 BD117*$S116),
          SUMIF(OFFSET($S118,1,0,$R116-2),($M116+1)&amp;"$",OFFSET(BD118,1,0,$R116-2)))</f>
        <v>0</v>
      </c>
      <c r="BE118" s="430"/>
    </row>
    <row r="119" customFormat="false" ht="12.75" hidden="true" customHeight="false" outlineLevel="0" collapsed="false">
      <c r="A119" s="382" t="str">
        <f aca="false">IF($M119&gt;1,_xlfn.CONCAT($I119," ",$J119),"")</f>
        <v>1.35. ELÉTRICAS / TELEFÔNICAS</v>
      </c>
      <c r="B119" s="419" t="n">
        <f aca="true">OFFSET(B119,-3,0)+1</f>
        <v>36</v>
      </c>
      <c r="C119" s="419" t="n">
        <f aca="true">IF($R119&lt;&gt;2,0,IF($S119=0,1,IF(F120&gt;0,OFFSET(QCI!$M$13,SUBSTITUTE(F120,".",""),0),OFFSET(ORÇAMENTO!$AA$15,CRONO!$F119,0))/$S119))</f>
        <v>1</v>
      </c>
      <c r="D119" s="419" t="n">
        <f aca="true">IF($R119&lt;&gt;2,0,IF($S119=0,1,IF(F120&gt;0,OFFSET(QCI!$N$13,SUBSTITUTE(F120,".",""),0),OFFSET(ORÇAMENTO!$AB$15,CRONO!$F119,0))/$S119))</f>
        <v>1</v>
      </c>
      <c r="E119" s="422" t="e">
        <f aca="false" t="array" ref="E119:E119">IF(AND($R119=2,ACOMPANHAMENTO="BM"),ROUND(E120,4),E121/$S119)</f>
        <v>#DIV/0!</v>
      </c>
      <c r="F119" s="419" t="n">
        <f aca="true">IF(B119&lt;=ORÇAMENTO.MáximoListaCrono,MATCH(B119,ORÇAMENTO.ListaCrono,0),NA())</f>
        <v>104</v>
      </c>
      <c r="G119" s="419" t="str">
        <f aca="false">IF(AND($F120&lt;&gt;-1,$S119&gt;0),"F","")</f>
        <v/>
      </c>
      <c r="H119" s="423" t="str">
        <f aca="false" t="array" ref="H119:H119">IF(OR(S119=0,S119=""),"Linha",IF(AND(OR(ACOMPANHAMENTO="PLE",$R119&lt;&gt;2),$F120=0),"Linha",ROUND(1-SUM(U119:BE119),4)))</f>
        <v>Linha</v>
      </c>
      <c r="I119" s="424" t="str">
        <f aca="true">IF($F120=0,OFFSET(ORÇAMENTO!O$15,$F119,0),IF($F120&lt;&gt;-1,OFFSET(QCI!$D$13,$F120,0),""))</f>
        <v>1.35.</v>
      </c>
      <c r="J119" s="425" t="str">
        <f aca="true">IF($F120=0,OFFSET(ORÇAMENTO!R$15,$F119,0),IF($F120&lt;&gt;-1,OFFSET(QCI!$G$13,$F120,0),""))</f>
        <v>ELÉTRICAS / TELEFÔNICAS</v>
      </c>
      <c r="K119" s="425"/>
      <c r="L119" s="425"/>
      <c r="M119" s="426" t="n">
        <f aca="true">IF($F120=0,OFFSET(ORÇAMENTO!C$15,$F119,0),1)</f>
        <v>2</v>
      </c>
      <c r="N119" s="427" t="n">
        <f aca="true">IF($F120=-1,0,IF(N$13&lt;=$M119,IF(ISERROR(MATCH(N$13,OFFSET($M119,1,0,ROW($M$182)-ROW($M119)-1),0)),ROW($M$182)-ROW($M119)-1,MATCH(N$13,OFFSET($M119,1,0,ROW($M$182)-ROW($M119)-1),0)-1),0))</f>
        <v>62</v>
      </c>
      <c r="O119" s="427" t="n">
        <f aca="true">IF($F120=-1,0,IF(O$13&lt;=$M119,IF(ISERROR(MATCH(O$13,OFFSET($M119,1,0,ROW($M$182)-ROW($M119)-1),0)),ROW($M$182)-ROW($M119)-1,MATCH(O$13,OFFSET($M119,1,0,ROW($M$182)-ROW($M119)-1),0)-1),0))</f>
        <v>2</v>
      </c>
      <c r="P119" s="427" t="n">
        <f aca="true">IF($F120=-1,0,IF(P$13&lt;=$M119,IF(ISERROR(MATCH(P$13,OFFSET($M119,1,0,ROW($M$182)-ROW($M119)-1),0)),ROW($M$182)-ROW($M119)-1,MATCH(P$13,OFFSET($M119,1,0,ROW($M$182)-ROW($M119)-1),0)-1),0))</f>
        <v>0</v>
      </c>
      <c r="Q119" s="427" t="n">
        <f aca="true">IF($F120=-1,0,IF(Q$13&lt;=$M119,IF(ISERROR(MATCH(Q$13,OFFSET($M119,1,0,ROW($M$182)-ROW($M119)-1),0)),ROW($M$182)-ROW($M119)-1,MATCH(Q$13,OFFSET($M119,1,0,ROW($M$182)-ROW($M119)-1),0)-1),0))</f>
        <v>0</v>
      </c>
      <c r="R119" s="427" t="n">
        <f aca="true">MIN(OFFSET(M119,0,1,,M119))</f>
        <v>2</v>
      </c>
      <c r="S119" s="428" t="n">
        <f aca="true">IF($F120=0,OFFSET(ORÇAMENTO!X$15,$F119,0),IF($F120&lt;&gt;-1,OFFSET(QCI!$O$13,$F120,0),""))</f>
        <v>0</v>
      </c>
      <c r="T119" s="429" t="s">
        <v>996</v>
      </c>
      <c r="U119" s="422" t="e">
        <f aca="false" t="array" ref="U119:U119">IF(AND($R119=2,ACOMPANHAMENTO="BM"),ROUND(U120,4),U121/$S119)</f>
        <v>#DIV/0!</v>
      </c>
      <c r="V119" s="422" t="e">
        <f aca="false" t="array" ref="V119:V119">IF(AND($R119=2,ACOMPANHAMENTO="BM"),ROUND(V120,4),V121/$S119)</f>
        <v>#DIV/0!</v>
      </c>
      <c r="W119" s="422" t="e">
        <f aca="false" t="array" ref="W119:W119">IF(AND($R119=2,ACOMPANHAMENTO="BM"),ROUND(W120,4),W121/$S119)</f>
        <v>#DIV/0!</v>
      </c>
      <c r="X119" s="422" t="e">
        <f aca="false" t="array" ref="X119:X119">IF(AND($R119=2,ACOMPANHAMENTO="BM"),ROUND(X120,4),X121/$S119)</f>
        <v>#DIV/0!</v>
      </c>
      <c r="Y119" s="422" t="e">
        <f aca="false" t="array" ref="Y119:Y119">IF(AND($R119=2,ACOMPANHAMENTO="BM"),ROUND(Y120,4),Y121/$S119)</f>
        <v>#DIV/0!</v>
      </c>
      <c r="Z119" s="422" t="e">
        <f aca="false" t="array" ref="Z119:Z119">IF(AND($R119=2,ACOMPANHAMENTO="BM"),ROUND(Z120,4),Z121/$S119)</f>
        <v>#DIV/0!</v>
      </c>
      <c r="AA119" s="422" t="e">
        <f aca="false" t="array" ref="AA119:AA119">IF(AND($R119=2,ACOMPANHAMENTO="BM"),ROUND(AA120,4),AA121/$S119)</f>
        <v>#DIV/0!</v>
      </c>
      <c r="AB119" s="422" t="e">
        <f aca="false" t="array" ref="AB119:AB119">IF(AND($R119=2,ACOMPANHAMENTO="BM"),ROUND(AB120,4),AB121/$S119)</f>
        <v>#DIV/0!</v>
      </c>
      <c r="AC119" s="422" t="e">
        <f aca="false" t="array" ref="AC119:AC119">IF(AND($R119=2,ACOMPANHAMENTO="BM"),ROUND(AC120,4),AC121/$S119)</f>
        <v>#DIV/0!</v>
      </c>
      <c r="AD119" s="422" t="e">
        <f aca="false" t="array" ref="AD119:AD119">IF(AND($R119=2,ACOMPANHAMENTO="BM"),ROUND(AD120,4),AD121/$S119)</f>
        <v>#DIV/0!</v>
      </c>
      <c r="AE119" s="422" t="e">
        <f aca="false" t="array" ref="AE119:AE119">IF(AND($R119=2,ACOMPANHAMENTO="BM"),ROUND(AE120,4),AE121/$S119)</f>
        <v>#DIV/0!</v>
      </c>
      <c r="AF119" s="422" t="e">
        <f aca="false" t="array" ref="AF119:AF119">IF(AND($R119=2,ACOMPANHAMENTO="BM"),ROUND(AF120,4),AF121/$S119)</f>
        <v>#DIV/0!</v>
      </c>
      <c r="AG119" s="422" t="e">
        <f aca="false" t="array" ref="AG119:AG119">IF(AND($R119=2,ACOMPANHAMENTO="BM"),ROUND(AG120,4),AG121/$S119)</f>
        <v>#DIV/0!</v>
      </c>
      <c r="AH119" s="422" t="e">
        <f aca="false" t="array" ref="AH119:AH119">IF(AND($R119=2,ACOMPANHAMENTO="BM"),ROUND(AH120,4),AH121/$S119)</f>
        <v>#DIV/0!</v>
      </c>
      <c r="AI119" s="422" t="e">
        <f aca="false" t="array" ref="AI119:AI119">IF(AND($R119=2,ACOMPANHAMENTO="BM"),ROUND(AI120,4),AI121/$S119)</f>
        <v>#DIV/0!</v>
      </c>
      <c r="AJ119" s="422" t="e">
        <f aca="false" t="array" ref="AJ119:AJ119">IF(AND($R119=2,ACOMPANHAMENTO="BM"),ROUND(AJ120,4),AJ121/$S119)</f>
        <v>#DIV/0!</v>
      </c>
      <c r="AK119" s="422" t="e">
        <f aca="false" t="array" ref="AK119:AK119">IF(AND($R119=2,ACOMPANHAMENTO="BM"),ROUND(AK120,4),AK121/$S119)</f>
        <v>#DIV/0!</v>
      </c>
      <c r="AL119" s="422" t="e">
        <f aca="false" t="array" ref="AL119:AL119">IF(AND($R119=2,ACOMPANHAMENTO="BM"),ROUND(AL120,4),AL121/$S119)</f>
        <v>#DIV/0!</v>
      </c>
      <c r="AM119" s="422" t="e">
        <f aca="false" t="array" ref="AM119:AM119">IF(AND($R119=2,ACOMPANHAMENTO="BM"),ROUND(AM120,4),AM121/$S119)</f>
        <v>#DIV/0!</v>
      </c>
      <c r="AN119" s="422" t="e">
        <f aca="false" t="array" ref="AN119:AN119">IF(AND($R119=2,ACOMPANHAMENTO="BM"),ROUND(AN120,4),AN121/$S119)</f>
        <v>#DIV/0!</v>
      </c>
      <c r="AO119" s="422" t="e">
        <f aca="false" t="array" ref="AO119:AO119">IF(AND($R119=2,ACOMPANHAMENTO="BM"),ROUND(AO120,4),AO121/$S119)</f>
        <v>#DIV/0!</v>
      </c>
      <c r="AP119" s="422" t="e">
        <f aca="false" t="array" ref="AP119:AP119">IF(AND($R119=2,ACOMPANHAMENTO="BM"),ROUND(AP120,4),AP121/$S119)</f>
        <v>#DIV/0!</v>
      </c>
      <c r="AQ119" s="422" t="e">
        <f aca="false" t="array" ref="AQ119:AQ119">IF(AND($R119=2,ACOMPANHAMENTO="BM"),ROUND(AQ120,4),AQ121/$S119)</f>
        <v>#DIV/0!</v>
      </c>
      <c r="AR119" s="422" t="e">
        <f aca="false" t="array" ref="AR119:AR119">IF(AND($R119=2,ACOMPANHAMENTO="BM"),ROUND(AR120,4),AR121/$S119)</f>
        <v>#DIV/0!</v>
      </c>
      <c r="AS119" s="422" t="e">
        <f aca="false" t="array" ref="AS119:AS119">IF(AND($R119=2,ACOMPANHAMENTO="BM"),ROUND(AS120,4),AS121/$S119)</f>
        <v>#DIV/0!</v>
      </c>
      <c r="AT119" s="422" t="e">
        <f aca="false" t="array" ref="AT119:AT119">IF(AND($R119=2,ACOMPANHAMENTO="BM"),ROUND(AT120,4),AT121/$S119)</f>
        <v>#DIV/0!</v>
      </c>
      <c r="AU119" s="422" t="e">
        <f aca="false" t="array" ref="AU119:AU119">IF(AND($R119=2,ACOMPANHAMENTO="BM"),ROUND(AU120,4),AU121/$S119)</f>
        <v>#DIV/0!</v>
      </c>
      <c r="AV119" s="422" t="e">
        <f aca="false" t="array" ref="AV119:AV119">IF(AND($R119=2,ACOMPANHAMENTO="BM"),ROUND(AV120,4),AV121/$S119)</f>
        <v>#DIV/0!</v>
      </c>
      <c r="AW119" s="422" t="e">
        <f aca="false" t="array" ref="AW119:AW119">IF(AND($R119=2,ACOMPANHAMENTO="BM"),ROUND(AW120,4),AW121/$S119)</f>
        <v>#DIV/0!</v>
      </c>
      <c r="AX119" s="422" t="e">
        <f aca="false" t="array" ref="AX119:AX119">IF(AND($R119=2,ACOMPANHAMENTO="BM"),ROUND(AX120,4),AX121/$S119)</f>
        <v>#DIV/0!</v>
      </c>
      <c r="AY119" s="422" t="e">
        <f aca="false" t="array" ref="AY119:AY119">IF(AND($R119=2,ACOMPANHAMENTO="BM"),ROUND(AY120,4),AY121/$S119)</f>
        <v>#DIV/0!</v>
      </c>
      <c r="AZ119" s="422" t="e">
        <f aca="false" t="array" ref="AZ119:AZ119">IF(AND($R119=2,ACOMPANHAMENTO="BM"),ROUND(AZ120,4),AZ121/$S119)</f>
        <v>#DIV/0!</v>
      </c>
      <c r="BA119" s="422" t="e">
        <f aca="false" t="array" ref="BA119:BA119">IF(AND($R119=2,ACOMPANHAMENTO="BM"),ROUND(BA120,4),BA121/$S119)</f>
        <v>#DIV/0!</v>
      </c>
      <c r="BB119" s="422" t="e">
        <f aca="false" t="array" ref="BB119:BB119">IF(AND($R119=2,ACOMPANHAMENTO="BM"),ROUND(BB120,4),BB121/$S119)</f>
        <v>#DIV/0!</v>
      </c>
      <c r="BC119" s="422" t="e">
        <f aca="false" t="array" ref="BC119:BC119">IF(AND($R119=2,ACOMPANHAMENTO="BM"),ROUND(BC120,4),BC121/$S119)</f>
        <v>#DIV/0!</v>
      </c>
      <c r="BD119" s="422" t="e">
        <f aca="false" t="array" ref="BD119:BD119">IF(AND($R119=2,ACOMPANHAMENTO="BM"),ROUND(BD120,4),BD121/$S119)</f>
        <v>#DIV/0!</v>
      </c>
      <c r="BE119" s="430"/>
    </row>
    <row r="120" customFormat="false" ht="12.75" hidden="true" customHeight="true" outlineLevel="0" collapsed="false">
      <c r="E120" s="431"/>
      <c r="F120" s="419" t="n">
        <f aca="true">IF(ISERROR(F119),IF(1+COUNTIF($M$13:OFFSET(M119,-1,0),1)&lt;=MAX(QCI!$D$13:$D$15),1+COUNTIF($M$13:OFFSET(M119,-1,0),1),-1),0)</f>
        <v>0</v>
      </c>
      <c r="G120" s="419" t="str">
        <f aca="true" t="array" ref="G120:G120">IF(ACOMPANHAMENTO="BM",OFFSET(G120,-1,0),"")</f>
        <v/>
      </c>
      <c r="H120" s="432" t="str">
        <f aca="false" t="array" ref="H120:H120">IF(OR(S119=0,S119=""),"vazia",IF(AND(OR(ACOMPANHAMENTO="PLE",$R119&lt;&gt;2),$F120=0),"calculada","--&gt;"))</f>
        <v>vazia</v>
      </c>
      <c r="I120" s="433"/>
      <c r="J120" s="434" t="str">
        <f aca="false">IF(AND(H119&lt;&gt;0,ISNUMBER(H119)),"PREENCHA ESTA LINHA --&gt;","")</f>
        <v/>
      </c>
      <c r="K120" s="434"/>
      <c r="L120" s="434"/>
      <c r="M120" s="435"/>
      <c r="N120" s="435"/>
      <c r="O120" s="435"/>
      <c r="P120" s="435"/>
      <c r="Q120" s="435"/>
      <c r="R120" s="435"/>
      <c r="S120" s="436"/>
      <c r="T120" s="437"/>
      <c r="U120" s="431"/>
      <c r="V120" s="431"/>
      <c r="W120" s="431"/>
      <c r="X120" s="431"/>
      <c r="Y120" s="431"/>
      <c r="Z120" s="431"/>
      <c r="AA120" s="431"/>
      <c r="AB120" s="431"/>
      <c r="AC120" s="431"/>
      <c r="AD120" s="431"/>
      <c r="AE120" s="431"/>
      <c r="AF120" s="431"/>
      <c r="AG120" s="431"/>
      <c r="AH120" s="431"/>
      <c r="AI120" s="431"/>
      <c r="AJ120" s="431"/>
      <c r="AK120" s="431"/>
      <c r="AL120" s="431"/>
      <c r="AM120" s="431"/>
      <c r="AN120" s="431"/>
      <c r="AO120" s="431"/>
      <c r="AP120" s="431"/>
      <c r="AQ120" s="431"/>
      <c r="AR120" s="431"/>
      <c r="AS120" s="431"/>
      <c r="AT120" s="431"/>
      <c r="AU120" s="431"/>
      <c r="AV120" s="431"/>
      <c r="AW120" s="431"/>
      <c r="AX120" s="431"/>
      <c r="AY120" s="431"/>
      <c r="AZ120" s="431"/>
      <c r="BA120" s="431"/>
      <c r="BB120" s="431"/>
      <c r="BC120" s="431"/>
      <c r="BD120" s="431"/>
      <c r="BE120" s="430"/>
    </row>
    <row r="121" customFormat="false" ht="12.75" hidden="true" customHeight="true" outlineLevel="0" collapsed="false">
      <c r="D121" s="438"/>
      <c r="E121" s="439" t="n">
        <f aca="false" t="array" ref="E121:E121">IF($R119=2,
         IF(AND(ACOMPANHAMENTO="PLE",ISNUMBER($F119)),
                SUMIF((OFFSET(CÁLCULO!$BS$15:$CS$15,$F119,0,OFFSET(ORÇAMENTO!$D$15,CRONO!$F119,0))),CRONO!E$12,OFFSET(CÁLCULO!$AR$15:$BR$15,$F119,0,OFFSET(ORÇAMENTO!$D$15,CRONO!$F119,0)))
                +IF(AND($F121&lt;&gt;"",$F121&lt;&gt;0),
                        SUMIF(CÁLCULO!$BS$15:$CS$205,CRONO!E$12,CÁLCULO!$AR$15:$BR$205)/(ORÇAMENTO!$X$15-_xlfn.single(CÁLCULO.TotalAdmLocal))*CRONO!$F121,
                        0),
                 E120*$S119),
          SUMIF(OFFSET($S121,1,0,$R119-2),($M119+1)&amp;"$",OFFSET(E121,1,0,$R119-2)))</f>
        <v>0</v>
      </c>
      <c r="F121" s="419" t="str">
        <f aca="true">IF(OR($R119&lt;&gt;2,AUTOEVENTO&lt;&gt;"manual",$F120&gt;0),"",
        IF(Import.TipoArredondamento="Tradicional",
              SUMIF(OFFSET(CÁLCULO!$M$15,CRONO!$F119,0,OFFSET(ORÇAMENTO!$D$15,CRONO!$F119,0)),1,OFFSET(ORÇAMENTO!$X$15,CRONO!$F119,0,OFFSET(ORÇAMENTO!$D$15,CRONO!$F119,0))),
              0))</f>
        <v/>
      </c>
      <c r="H121" s="440"/>
      <c r="S121" s="441" t="str">
        <f aca="false">M119&amp;"$"</f>
        <v>2$</v>
      </c>
      <c r="T121" s="442"/>
      <c r="U121" s="439" t="n">
        <f aca="false" t="array" ref="U121:U121">IF($R119=2,
         IF(AND(ACOMPANHAMENTO="PLE",ISNUMBER($F119)),
                SUMIF((OFFSET(CÁLCULO!$BS$15:$CS$15,$F119,0,OFFSET(ORÇAMENTO!$D$15,CRONO!$F119,0))),CRONO!U$12,OFFSET(CÁLCULO!$AR$15:$BR$15,$F119,0,OFFSET(ORÇAMENTO!$D$15,CRONO!$F119,0)))
                +IF(AND($F121&lt;&gt;"",$F121&lt;&gt;0),
                        SUMIF(CÁLCULO!$BS$15:$CS$205,CRONO!U$12,CÁLCULO!$AR$15:$BR$205)/(ORÇAMENTO!$X$15-_xlfn.single(CÁLCULO.TotalAdmLocal))*CRONO!$F121,
                        0),
                 U120*$S119),
          SUMIF(OFFSET($S121,1,0,$R119-2),($M119+1)&amp;"$",OFFSET(U121,1,0,$R119-2)))</f>
        <v>0</v>
      </c>
      <c r="V121" s="439" t="n">
        <f aca="false" t="array" ref="V121:V121">IF($R119=2,
         IF(AND(ACOMPANHAMENTO="PLE",ISNUMBER($F119)),
                SUMIF((OFFSET(CÁLCULO!$BS$15:$CS$15,$F119,0,OFFSET(ORÇAMENTO!$D$15,CRONO!$F119,0))),CRONO!V$12,OFFSET(CÁLCULO!$AR$15:$BR$15,$F119,0,OFFSET(ORÇAMENTO!$D$15,CRONO!$F119,0)))
                +IF(AND($F121&lt;&gt;"",$F121&lt;&gt;0),
                        SUMIF(CÁLCULO!$BS$15:$CS$205,CRONO!V$12,CÁLCULO!$AR$15:$BR$205)/(ORÇAMENTO!$X$15-_xlfn.single(CÁLCULO.TotalAdmLocal))*CRONO!$F121,
                        0),
                 V120*$S119),
          SUMIF(OFFSET($S121,1,0,$R119-2),($M119+1)&amp;"$",OFFSET(V121,1,0,$R119-2)))</f>
        <v>0</v>
      </c>
      <c r="W121" s="439" t="n">
        <f aca="false" t="array" ref="W121:W121">IF($R119=2,
         IF(AND(ACOMPANHAMENTO="PLE",ISNUMBER($F119)),
                SUMIF((OFFSET(CÁLCULO!$BS$15:$CS$15,$F119,0,OFFSET(ORÇAMENTO!$D$15,CRONO!$F119,0))),CRONO!W$12,OFFSET(CÁLCULO!$AR$15:$BR$15,$F119,0,OFFSET(ORÇAMENTO!$D$15,CRONO!$F119,0)))
                +IF(AND($F121&lt;&gt;"",$F121&lt;&gt;0),
                        SUMIF(CÁLCULO!$BS$15:$CS$205,CRONO!W$12,CÁLCULO!$AR$15:$BR$205)/(ORÇAMENTO!$X$15-_xlfn.single(CÁLCULO.TotalAdmLocal))*CRONO!$F121,
                        0),
                 W120*$S119),
          SUMIF(OFFSET($S121,1,0,$R119-2),($M119+1)&amp;"$",OFFSET(W121,1,0,$R119-2)))</f>
        <v>0</v>
      </c>
      <c r="X121" s="439" t="n">
        <f aca="false" t="array" ref="X121:X121">IF($R119=2,
         IF(AND(ACOMPANHAMENTO="PLE",ISNUMBER($F119)),
                SUMIF((OFFSET(CÁLCULO!$BS$15:$CS$15,$F119,0,OFFSET(ORÇAMENTO!$D$15,CRONO!$F119,0))),CRONO!X$12,OFFSET(CÁLCULO!$AR$15:$BR$15,$F119,0,OFFSET(ORÇAMENTO!$D$15,CRONO!$F119,0)))
                +IF(AND($F121&lt;&gt;"",$F121&lt;&gt;0),
                        SUMIF(CÁLCULO!$BS$15:$CS$205,CRONO!X$12,CÁLCULO!$AR$15:$BR$205)/(ORÇAMENTO!$X$15-_xlfn.single(CÁLCULO.TotalAdmLocal))*CRONO!$F121,
                        0),
                 X120*$S119),
          SUMIF(OFFSET($S121,1,0,$R119-2),($M119+1)&amp;"$",OFFSET(X121,1,0,$R119-2)))</f>
        <v>0</v>
      </c>
      <c r="Y121" s="439" t="n">
        <f aca="false" t="array" ref="Y121:Y121">IF($R119=2,
         IF(AND(ACOMPANHAMENTO="PLE",ISNUMBER($F119)),
                SUMIF((OFFSET(CÁLCULO!$BS$15:$CS$15,$F119,0,OFFSET(ORÇAMENTO!$D$15,CRONO!$F119,0))),CRONO!Y$12,OFFSET(CÁLCULO!$AR$15:$BR$15,$F119,0,OFFSET(ORÇAMENTO!$D$15,CRONO!$F119,0)))
                +IF(AND($F121&lt;&gt;"",$F121&lt;&gt;0),
                        SUMIF(CÁLCULO!$BS$15:$CS$205,CRONO!Y$12,CÁLCULO!$AR$15:$BR$205)/(ORÇAMENTO!$X$15-_xlfn.single(CÁLCULO.TotalAdmLocal))*CRONO!$F121,
                        0),
                 Y120*$S119),
          SUMIF(OFFSET($S121,1,0,$R119-2),($M119+1)&amp;"$",OFFSET(Y121,1,0,$R119-2)))</f>
        <v>0</v>
      </c>
      <c r="Z121" s="439" t="n">
        <f aca="false" t="array" ref="Z121:Z121">IF($R119=2,
         IF(AND(ACOMPANHAMENTO="PLE",ISNUMBER($F119)),
                SUMIF((OFFSET(CÁLCULO!$BS$15:$CS$15,$F119,0,OFFSET(ORÇAMENTO!$D$15,CRONO!$F119,0))),CRONO!Z$12,OFFSET(CÁLCULO!$AR$15:$BR$15,$F119,0,OFFSET(ORÇAMENTO!$D$15,CRONO!$F119,0)))
                +IF(AND($F121&lt;&gt;"",$F121&lt;&gt;0),
                        SUMIF(CÁLCULO!$BS$15:$CS$205,CRONO!Z$12,CÁLCULO!$AR$15:$BR$205)/(ORÇAMENTO!$X$15-_xlfn.single(CÁLCULO.TotalAdmLocal))*CRONO!$F121,
                        0),
                 Z120*$S119),
          SUMIF(OFFSET($S121,1,0,$R119-2),($M119+1)&amp;"$",OFFSET(Z121,1,0,$R119-2)))</f>
        <v>0</v>
      </c>
      <c r="AA121" s="439" t="n">
        <f aca="false" t="array" ref="AA121:AA121">IF($R119=2,
         IF(AND(ACOMPANHAMENTO="PLE",ISNUMBER($F119)),
                SUMIF((OFFSET(CÁLCULO!$BS$15:$CS$15,$F119,0,OFFSET(ORÇAMENTO!$D$15,CRONO!$F119,0))),CRONO!AA$12,OFFSET(CÁLCULO!$AR$15:$BR$15,$F119,0,OFFSET(ORÇAMENTO!$D$15,CRONO!$F119,0)))
                +IF(AND($F121&lt;&gt;"",$F121&lt;&gt;0),
                        SUMIF(CÁLCULO!$BS$15:$CS$205,CRONO!AA$12,CÁLCULO!$AR$15:$BR$205)/(ORÇAMENTO!$X$15-_xlfn.single(CÁLCULO.TotalAdmLocal))*CRONO!$F121,
                        0),
                 AA120*$S119),
          SUMIF(OFFSET($S121,1,0,$R119-2),($M119+1)&amp;"$",OFFSET(AA121,1,0,$R119-2)))</f>
        <v>0</v>
      </c>
      <c r="AB121" s="439" t="n">
        <f aca="false" t="array" ref="AB121:AB121">IF($R119=2,
         IF(AND(ACOMPANHAMENTO="PLE",ISNUMBER($F119)),
                SUMIF((OFFSET(CÁLCULO!$BS$15:$CS$15,$F119,0,OFFSET(ORÇAMENTO!$D$15,CRONO!$F119,0))),CRONO!AB$12,OFFSET(CÁLCULO!$AR$15:$BR$15,$F119,0,OFFSET(ORÇAMENTO!$D$15,CRONO!$F119,0)))
                +IF(AND($F121&lt;&gt;"",$F121&lt;&gt;0),
                        SUMIF(CÁLCULO!$BS$15:$CS$205,CRONO!AB$12,CÁLCULO!$AR$15:$BR$205)/(ORÇAMENTO!$X$15-_xlfn.single(CÁLCULO.TotalAdmLocal))*CRONO!$F121,
                        0),
                 AB120*$S119),
          SUMIF(OFFSET($S121,1,0,$R119-2),($M119+1)&amp;"$",OFFSET(AB121,1,0,$R119-2)))</f>
        <v>0</v>
      </c>
      <c r="AC121" s="439" t="n">
        <f aca="false" t="array" ref="AC121:AC121">IF($R119=2,
         IF(AND(ACOMPANHAMENTO="PLE",ISNUMBER($F119)),
                SUMIF((OFFSET(CÁLCULO!$BS$15:$CS$15,$F119,0,OFFSET(ORÇAMENTO!$D$15,CRONO!$F119,0))),CRONO!AC$12,OFFSET(CÁLCULO!$AR$15:$BR$15,$F119,0,OFFSET(ORÇAMENTO!$D$15,CRONO!$F119,0)))
                +IF(AND($F121&lt;&gt;"",$F121&lt;&gt;0),
                        SUMIF(CÁLCULO!$BS$15:$CS$205,CRONO!AC$12,CÁLCULO!$AR$15:$BR$205)/(ORÇAMENTO!$X$15-_xlfn.single(CÁLCULO.TotalAdmLocal))*CRONO!$F121,
                        0),
                 AC120*$S119),
          SUMIF(OFFSET($S121,1,0,$R119-2),($M119+1)&amp;"$",OFFSET(AC121,1,0,$R119-2)))</f>
        <v>0</v>
      </c>
      <c r="AD121" s="439" t="n">
        <f aca="false" t="array" ref="AD121:AD121">IF($R119=2,
         IF(AND(ACOMPANHAMENTO="PLE",ISNUMBER($F119)),
                SUMIF((OFFSET(CÁLCULO!$BS$15:$CS$15,$F119,0,OFFSET(ORÇAMENTO!$D$15,CRONO!$F119,0))),CRONO!AD$12,OFFSET(CÁLCULO!$AR$15:$BR$15,$F119,0,OFFSET(ORÇAMENTO!$D$15,CRONO!$F119,0)))
                +IF(AND($F121&lt;&gt;"",$F121&lt;&gt;0),
                        SUMIF(CÁLCULO!$BS$15:$CS$205,CRONO!AD$12,CÁLCULO!$AR$15:$BR$205)/(ORÇAMENTO!$X$15-_xlfn.single(CÁLCULO.TotalAdmLocal))*CRONO!$F121,
                        0),
                 AD120*$S119),
          SUMIF(OFFSET($S121,1,0,$R119-2),($M119+1)&amp;"$",OFFSET(AD121,1,0,$R119-2)))</f>
        <v>0</v>
      </c>
      <c r="AE121" s="439" t="n">
        <f aca="false" t="array" ref="AE121:AE121">IF($R119=2,
         IF(AND(ACOMPANHAMENTO="PLE",ISNUMBER($F119)),
                SUMIF((OFFSET(CÁLCULO!$BS$15:$CS$15,$F119,0,OFFSET(ORÇAMENTO!$D$15,CRONO!$F119,0))),CRONO!AE$12,OFFSET(CÁLCULO!$AR$15:$BR$15,$F119,0,OFFSET(ORÇAMENTO!$D$15,CRONO!$F119,0)))
                +IF(AND($F121&lt;&gt;"",$F121&lt;&gt;0),
                        SUMIF(CÁLCULO!$BS$15:$CS$205,CRONO!AE$12,CÁLCULO!$AR$15:$BR$205)/(ORÇAMENTO!$X$15-_xlfn.single(CÁLCULO.TotalAdmLocal))*CRONO!$F121,
                        0),
                 AE120*$S119),
          SUMIF(OFFSET($S121,1,0,$R119-2),($M119+1)&amp;"$",OFFSET(AE121,1,0,$R119-2)))</f>
        <v>0</v>
      </c>
      <c r="AF121" s="439" t="n">
        <f aca="false" t="array" ref="AF121:AF121">IF($R119=2,
         IF(AND(ACOMPANHAMENTO="PLE",ISNUMBER($F119)),
                SUMIF((OFFSET(CÁLCULO!$BS$15:$CS$15,$F119,0,OFFSET(ORÇAMENTO!$D$15,CRONO!$F119,0))),CRONO!AF$12,OFFSET(CÁLCULO!$AR$15:$BR$15,$F119,0,OFFSET(ORÇAMENTO!$D$15,CRONO!$F119,0)))
                +IF(AND($F121&lt;&gt;"",$F121&lt;&gt;0),
                        SUMIF(CÁLCULO!$BS$15:$CS$205,CRONO!AF$12,CÁLCULO!$AR$15:$BR$205)/(ORÇAMENTO!$X$15-_xlfn.single(CÁLCULO.TotalAdmLocal))*CRONO!$F121,
                        0),
                 AF120*$S119),
          SUMIF(OFFSET($S121,1,0,$R119-2),($M119+1)&amp;"$",OFFSET(AF121,1,0,$R119-2)))</f>
        <v>0</v>
      </c>
      <c r="AG121" s="439" t="n">
        <f aca="false" t="array" ref="AG121:AG121">IF($R119=2,
         IF(AND(ACOMPANHAMENTO="PLE",ISNUMBER($F119)),
                SUMIF((OFFSET(CÁLCULO!$BS$15:$CS$15,$F119,0,OFFSET(ORÇAMENTO!$D$15,CRONO!$F119,0))),CRONO!AG$12,OFFSET(CÁLCULO!$AR$15:$BR$15,$F119,0,OFFSET(ORÇAMENTO!$D$15,CRONO!$F119,0)))
                +IF(AND($F121&lt;&gt;"",$F121&lt;&gt;0),
                        SUMIF(CÁLCULO!$BS$15:$CS$205,CRONO!AG$12,CÁLCULO!$AR$15:$BR$205)/(ORÇAMENTO!$X$15-_xlfn.single(CÁLCULO.TotalAdmLocal))*CRONO!$F121,
                        0),
                 AG120*$S119),
          SUMIF(OFFSET($S121,1,0,$R119-2),($M119+1)&amp;"$",OFFSET(AG121,1,0,$R119-2)))</f>
        <v>0</v>
      </c>
      <c r="AH121" s="439" t="n">
        <f aca="false" t="array" ref="AH121:AH121">IF($R119=2,
         IF(AND(ACOMPANHAMENTO="PLE",ISNUMBER($F119)),
                SUMIF((OFFSET(CÁLCULO!$BS$15:$CS$15,$F119,0,OFFSET(ORÇAMENTO!$D$15,CRONO!$F119,0))),CRONO!AH$12,OFFSET(CÁLCULO!$AR$15:$BR$15,$F119,0,OFFSET(ORÇAMENTO!$D$15,CRONO!$F119,0)))
                +IF(AND($F121&lt;&gt;"",$F121&lt;&gt;0),
                        SUMIF(CÁLCULO!$BS$15:$CS$205,CRONO!AH$12,CÁLCULO!$AR$15:$BR$205)/(ORÇAMENTO!$X$15-_xlfn.single(CÁLCULO.TotalAdmLocal))*CRONO!$F121,
                        0),
                 AH120*$S119),
          SUMIF(OFFSET($S121,1,0,$R119-2),($M119+1)&amp;"$",OFFSET(AH121,1,0,$R119-2)))</f>
        <v>0</v>
      </c>
      <c r="AI121" s="439" t="n">
        <f aca="false" t="array" ref="AI121:AI121">IF($R119=2,
         IF(AND(ACOMPANHAMENTO="PLE",ISNUMBER($F119)),
                SUMIF((OFFSET(CÁLCULO!$BS$15:$CS$15,$F119,0,OFFSET(ORÇAMENTO!$D$15,CRONO!$F119,0))),CRONO!AI$12,OFFSET(CÁLCULO!$AR$15:$BR$15,$F119,0,OFFSET(ORÇAMENTO!$D$15,CRONO!$F119,0)))
                +IF(AND($F121&lt;&gt;"",$F121&lt;&gt;0),
                        SUMIF(CÁLCULO!$BS$15:$CS$205,CRONO!AI$12,CÁLCULO!$AR$15:$BR$205)/(ORÇAMENTO!$X$15-_xlfn.single(CÁLCULO.TotalAdmLocal))*CRONO!$F121,
                        0),
                 AI120*$S119),
          SUMIF(OFFSET($S121,1,0,$R119-2),($M119+1)&amp;"$",OFFSET(AI121,1,0,$R119-2)))</f>
        <v>0</v>
      </c>
      <c r="AJ121" s="439" t="n">
        <f aca="false" t="array" ref="AJ121:AJ121">IF($R119=2,
         IF(AND(ACOMPANHAMENTO="PLE",ISNUMBER($F119)),
                SUMIF((OFFSET(CÁLCULO!$BS$15:$CS$15,$F119,0,OFFSET(ORÇAMENTO!$D$15,CRONO!$F119,0))),CRONO!AJ$12,OFFSET(CÁLCULO!$AR$15:$BR$15,$F119,0,OFFSET(ORÇAMENTO!$D$15,CRONO!$F119,0)))
                +IF(AND($F121&lt;&gt;"",$F121&lt;&gt;0),
                        SUMIF(CÁLCULO!$BS$15:$CS$205,CRONO!AJ$12,CÁLCULO!$AR$15:$BR$205)/(ORÇAMENTO!$X$15-_xlfn.single(CÁLCULO.TotalAdmLocal))*CRONO!$F121,
                        0),
                 AJ120*$S119),
          SUMIF(OFFSET($S121,1,0,$R119-2),($M119+1)&amp;"$",OFFSET(AJ121,1,0,$R119-2)))</f>
        <v>0</v>
      </c>
      <c r="AK121" s="439" t="n">
        <f aca="false" t="array" ref="AK121:AK121">IF($R119=2,
         IF(AND(ACOMPANHAMENTO="PLE",ISNUMBER($F119)),
                SUMIF((OFFSET(CÁLCULO!$BS$15:$CS$15,$F119,0,OFFSET(ORÇAMENTO!$D$15,CRONO!$F119,0))),CRONO!AK$12,OFFSET(CÁLCULO!$AR$15:$BR$15,$F119,0,OFFSET(ORÇAMENTO!$D$15,CRONO!$F119,0)))
                +IF(AND($F121&lt;&gt;"",$F121&lt;&gt;0),
                        SUMIF(CÁLCULO!$BS$15:$CS$205,CRONO!AK$12,CÁLCULO!$AR$15:$BR$205)/(ORÇAMENTO!$X$15-_xlfn.single(CÁLCULO.TotalAdmLocal))*CRONO!$F121,
                        0),
                 AK120*$S119),
          SUMIF(OFFSET($S121,1,0,$R119-2),($M119+1)&amp;"$",OFFSET(AK121,1,0,$R119-2)))</f>
        <v>0</v>
      </c>
      <c r="AL121" s="439" t="n">
        <f aca="false" t="array" ref="AL121:AL121">IF($R119=2,
         IF(AND(ACOMPANHAMENTO="PLE",ISNUMBER($F119)),
                SUMIF((OFFSET(CÁLCULO!$BS$15:$CS$15,$F119,0,OFFSET(ORÇAMENTO!$D$15,CRONO!$F119,0))),CRONO!AL$12,OFFSET(CÁLCULO!$AR$15:$BR$15,$F119,0,OFFSET(ORÇAMENTO!$D$15,CRONO!$F119,0)))
                +IF(AND($F121&lt;&gt;"",$F121&lt;&gt;0),
                        SUMIF(CÁLCULO!$BS$15:$CS$205,CRONO!AL$12,CÁLCULO!$AR$15:$BR$205)/(ORÇAMENTO!$X$15-_xlfn.single(CÁLCULO.TotalAdmLocal))*CRONO!$F121,
                        0),
                 AL120*$S119),
          SUMIF(OFFSET($S121,1,0,$R119-2),($M119+1)&amp;"$",OFFSET(AL121,1,0,$R119-2)))</f>
        <v>0</v>
      </c>
      <c r="AM121" s="439" t="n">
        <f aca="false" t="array" ref="AM121:AM121">IF($R119=2,
         IF(AND(ACOMPANHAMENTO="PLE",ISNUMBER($F119)),
                SUMIF((OFFSET(CÁLCULO!$BS$15:$CS$15,$F119,0,OFFSET(ORÇAMENTO!$D$15,CRONO!$F119,0))),CRONO!AM$12,OFFSET(CÁLCULO!$AR$15:$BR$15,$F119,0,OFFSET(ORÇAMENTO!$D$15,CRONO!$F119,0)))
                +IF(AND($F121&lt;&gt;"",$F121&lt;&gt;0),
                        SUMIF(CÁLCULO!$BS$15:$CS$205,CRONO!AM$12,CÁLCULO!$AR$15:$BR$205)/(ORÇAMENTO!$X$15-_xlfn.single(CÁLCULO.TotalAdmLocal))*CRONO!$F121,
                        0),
                 AM120*$S119),
          SUMIF(OFFSET($S121,1,0,$R119-2),($M119+1)&amp;"$",OFFSET(AM121,1,0,$R119-2)))</f>
        <v>0</v>
      </c>
      <c r="AN121" s="439" t="n">
        <f aca="false" t="array" ref="AN121:AN121">IF($R119=2,
         IF(AND(ACOMPANHAMENTO="PLE",ISNUMBER($F119)),
                SUMIF((OFFSET(CÁLCULO!$BS$15:$CS$15,$F119,0,OFFSET(ORÇAMENTO!$D$15,CRONO!$F119,0))),CRONO!AN$12,OFFSET(CÁLCULO!$AR$15:$BR$15,$F119,0,OFFSET(ORÇAMENTO!$D$15,CRONO!$F119,0)))
                +IF(AND($F121&lt;&gt;"",$F121&lt;&gt;0),
                        SUMIF(CÁLCULO!$BS$15:$CS$205,CRONO!AN$12,CÁLCULO!$AR$15:$BR$205)/(ORÇAMENTO!$X$15-_xlfn.single(CÁLCULO.TotalAdmLocal))*CRONO!$F121,
                        0),
                 AN120*$S119),
          SUMIF(OFFSET($S121,1,0,$R119-2),($M119+1)&amp;"$",OFFSET(AN121,1,0,$R119-2)))</f>
        <v>0</v>
      </c>
      <c r="AO121" s="439" t="n">
        <f aca="false" t="array" ref="AO121:AO121">IF($R119=2,
         IF(AND(ACOMPANHAMENTO="PLE",ISNUMBER($F119)),
                SUMIF((OFFSET(CÁLCULO!$BS$15:$CS$15,$F119,0,OFFSET(ORÇAMENTO!$D$15,CRONO!$F119,0))),CRONO!AO$12,OFFSET(CÁLCULO!$AR$15:$BR$15,$F119,0,OFFSET(ORÇAMENTO!$D$15,CRONO!$F119,0)))
                +IF(AND($F121&lt;&gt;"",$F121&lt;&gt;0),
                        SUMIF(CÁLCULO!$BS$15:$CS$205,CRONO!AO$12,CÁLCULO!$AR$15:$BR$205)/(ORÇAMENTO!$X$15-_xlfn.single(CÁLCULO.TotalAdmLocal))*CRONO!$F121,
                        0),
                 AO120*$S119),
          SUMIF(OFFSET($S121,1,0,$R119-2),($M119+1)&amp;"$",OFFSET(AO121,1,0,$R119-2)))</f>
        <v>0</v>
      </c>
      <c r="AP121" s="439" t="n">
        <f aca="false" t="array" ref="AP121:AP121">IF($R119=2,
         IF(AND(ACOMPANHAMENTO="PLE",ISNUMBER($F119)),
                SUMIF((OFFSET(CÁLCULO!$BS$15:$CS$15,$F119,0,OFFSET(ORÇAMENTO!$D$15,CRONO!$F119,0))),CRONO!AP$12,OFFSET(CÁLCULO!$AR$15:$BR$15,$F119,0,OFFSET(ORÇAMENTO!$D$15,CRONO!$F119,0)))
                +IF(AND($F121&lt;&gt;"",$F121&lt;&gt;0),
                        SUMIF(CÁLCULO!$BS$15:$CS$205,CRONO!AP$12,CÁLCULO!$AR$15:$BR$205)/(ORÇAMENTO!$X$15-_xlfn.single(CÁLCULO.TotalAdmLocal))*CRONO!$F121,
                        0),
                 AP120*$S119),
          SUMIF(OFFSET($S121,1,0,$R119-2),($M119+1)&amp;"$",OFFSET(AP121,1,0,$R119-2)))</f>
        <v>0</v>
      </c>
      <c r="AQ121" s="439" t="n">
        <f aca="false" t="array" ref="AQ121:AQ121">IF($R119=2,
         IF(AND(ACOMPANHAMENTO="PLE",ISNUMBER($F119)),
                SUMIF((OFFSET(CÁLCULO!$BS$15:$CS$15,$F119,0,OFFSET(ORÇAMENTO!$D$15,CRONO!$F119,0))),CRONO!AQ$12,OFFSET(CÁLCULO!$AR$15:$BR$15,$F119,0,OFFSET(ORÇAMENTO!$D$15,CRONO!$F119,0)))
                +IF(AND($F121&lt;&gt;"",$F121&lt;&gt;0),
                        SUMIF(CÁLCULO!$BS$15:$CS$205,CRONO!AQ$12,CÁLCULO!$AR$15:$BR$205)/(ORÇAMENTO!$X$15-_xlfn.single(CÁLCULO.TotalAdmLocal))*CRONO!$F121,
                        0),
                 AQ120*$S119),
          SUMIF(OFFSET($S121,1,0,$R119-2),($M119+1)&amp;"$",OFFSET(AQ121,1,0,$R119-2)))</f>
        <v>0</v>
      </c>
      <c r="AR121" s="439" t="n">
        <f aca="false" t="array" ref="AR121:AR121">IF($R119=2,
         IF(AND(ACOMPANHAMENTO="PLE",ISNUMBER($F119)),
                SUMIF((OFFSET(CÁLCULO!$BS$15:$CS$15,$F119,0,OFFSET(ORÇAMENTO!$D$15,CRONO!$F119,0))),CRONO!AR$12,OFFSET(CÁLCULO!$AR$15:$BR$15,$F119,0,OFFSET(ORÇAMENTO!$D$15,CRONO!$F119,0)))
                +IF(AND($F121&lt;&gt;"",$F121&lt;&gt;0),
                        SUMIF(CÁLCULO!$BS$15:$CS$205,CRONO!AR$12,CÁLCULO!$AR$15:$BR$205)/(ORÇAMENTO!$X$15-_xlfn.single(CÁLCULO.TotalAdmLocal))*CRONO!$F121,
                        0),
                 AR120*$S119),
          SUMIF(OFFSET($S121,1,0,$R119-2),($M119+1)&amp;"$",OFFSET(AR121,1,0,$R119-2)))</f>
        <v>0</v>
      </c>
      <c r="AS121" s="439" t="n">
        <f aca="false" t="array" ref="AS121:AS121">IF($R119=2,
         IF(AND(ACOMPANHAMENTO="PLE",ISNUMBER($F119)),
                SUMIF((OFFSET(CÁLCULO!$BS$15:$CS$15,$F119,0,OFFSET(ORÇAMENTO!$D$15,CRONO!$F119,0))),CRONO!AS$12,OFFSET(CÁLCULO!$AR$15:$BR$15,$F119,0,OFFSET(ORÇAMENTO!$D$15,CRONO!$F119,0)))
                +IF(AND($F121&lt;&gt;"",$F121&lt;&gt;0),
                        SUMIF(CÁLCULO!$BS$15:$CS$205,CRONO!AS$12,CÁLCULO!$AR$15:$BR$205)/(ORÇAMENTO!$X$15-_xlfn.single(CÁLCULO.TotalAdmLocal))*CRONO!$F121,
                        0),
                 AS120*$S119),
          SUMIF(OFFSET($S121,1,0,$R119-2),($M119+1)&amp;"$",OFFSET(AS121,1,0,$R119-2)))</f>
        <v>0</v>
      </c>
      <c r="AT121" s="439" t="n">
        <f aca="false" t="array" ref="AT121:AT121">IF($R119=2,
         IF(AND(ACOMPANHAMENTO="PLE",ISNUMBER($F119)),
                SUMIF((OFFSET(CÁLCULO!$BS$15:$CS$15,$F119,0,OFFSET(ORÇAMENTO!$D$15,CRONO!$F119,0))),CRONO!AT$12,OFFSET(CÁLCULO!$AR$15:$BR$15,$F119,0,OFFSET(ORÇAMENTO!$D$15,CRONO!$F119,0)))
                +IF(AND($F121&lt;&gt;"",$F121&lt;&gt;0),
                        SUMIF(CÁLCULO!$BS$15:$CS$205,CRONO!AT$12,CÁLCULO!$AR$15:$BR$205)/(ORÇAMENTO!$X$15-_xlfn.single(CÁLCULO.TotalAdmLocal))*CRONO!$F121,
                        0),
                 AT120*$S119),
          SUMIF(OFFSET($S121,1,0,$R119-2),($M119+1)&amp;"$",OFFSET(AT121,1,0,$R119-2)))</f>
        <v>0</v>
      </c>
      <c r="AU121" s="439" t="n">
        <f aca="false" t="array" ref="AU121:AU121">IF($R119=2,
         IF(AND(ACOMPANHAMENTO="PLE",ISNUMBER($F119)),
                SUMIF((OFFSET(CÁLCULO!$BS$15:$CS$15,$F119,0,OFFSET(ORÇAMENTO!$D$15,CRONO!$F119,0))),CRONO!AU$12,OFFSET(CÁLCULO!$AR$15:$BR$15,$F119,0,OFFSET(ORÇAMENTO!$D$15,CRONO!$F119,0)))
                +IF(AND($F121&lt;&gt;"",$F121&lt;&gt;0),
                        SUMIF(CÁLCULO!$BS$15:$CS$205,CRONO!AU$12,CÁLCULO!$AR$15:$BR$205)/(ORÇAMENTO!$X$15-_xlfn.single(CÁLCULO.TotalAdmLocal))*CRONO!$F121,
                        0),
                 AU120*$S119),
          SUMIF(OFFSET($S121,1,0,$R119-2),($M119+1)&amp;"$",OFFSET(AU121,1,0,$R119-2)))</f>
        <v>0</v>
      </c>
      <c r="AV121" s="439" t="n">
        <f aca="false" t="array" ref="AV121:AV121">IF($R119=2,
         IF(AND(ACOMPANHAMENTO="PLE",ISNUMBER($F119)),
                SUMIF((OFFSET(CÁLCULO!$BS$15:$CS$15,$F119,0,OFFSET(ORÇAMENTO!$D$15,CRONO!$F119,0))),CRONO!AV$12,OFFSET(CÁLCULO!$AR$15:$BR$15,$F119,0,OFFSET(ORÇAMENTO!$D$15,CRONO!$F119,0)))
                +IF(AND($F121&lt;&gt;"",$F121&lt;&gt;0),
                        SUMIF(CÁLCULO!$BS$15:$CS$205,CRONO!AV$12,CÁLCULO!$AR$15:$BR$205)/(ORÇAMENTO!$X$15-_xlfn.single(CÁLCULO.TotalAdmLocal))*CRONO!$F121,
                        0),
                 AV120*$S119),
          SUMIF(OFFSET($S121,1,0,$R119-2),($M119+1)&amp;"$",OFFSET(AV121,1,0,$R119-2)))</f>
        <v>0</v>
      </c>
      <c r="AW121" s="439" t="n">
        <f aca="false" t="array" ref="AW121:AW121">IF($R119=2,
         IF(AND(ACOMPANHAMENTO="PLE",ISNUMBER($F119)),
                SUMIF((OFFSET(CÁLCULO!$BS$15:$CS$15,$F119,0,OFFSET(ORÇAMENTO!$D$15,CRONO!$F119,0))),CRONO!AW$12,OFFSET(CÁLCULO!$AR$15:$BR$15,$F119,0,OFFSET(ORÇAMENTO!$D$15,CRONO!$F119,0)))
                +IF(AND($F121&lt;&gt;"",$F121&lt;&gt;0),
                        SUMIF(CÁLCULO!$BS$15:$CS$205,CRONO!AW$12,CÁLCULO!$AR$15:$BR$205)/(ORÇAMENTO!$X$15-_xlfn.single(CÁLCULO.TotalAdmLocal))*CRONO!$F121,
                        0),
                 AW120*$S119),
          SUMIF(OFFSET($S121,1,0,$R119-2),($M119+1)&amp;"$",OFFSET(AW121,1,0,$R119-2)))</f>
        <v>0</v>
      </c>
      <c r="AX121" s="439" t="n">
        <f aca="false" t="array" ref="AX121:AX121">IF($R119=2,
         IF(AND(ACOMPANHAMENTO="PLE",ISNUMBER($F119)),
                SUMIF((OFFSET(CÁLCULO!$BS$15:$CS$15,$F119,0,OFFSET(ORÇAMENTO!$D$15,CRONO!$F119,0))),CRONO!AX$12,OFFSET(CÁLCULO!$AR$15:$BR$15,$F119,0,OFFSET(ORÇAMENTO!$D$15,CRONO!$F119,0)))
                +IF(AND($F121&lt;&gt;"",$F121&lt;&gt;0),
                        SUMIF(CÁLCULO!$BS$15:$CS$205,CRONO!AX$12,CÁLCULO!$AR$15:$BR$205)/(ORÇAMENTO!$X$15-_xlfn.single(CÁLCULO.TotalAdmLocal))*CRONO!$F121,
                        0),
                 AX120*$S119),
          SUMIF(OFFSET($S121,1,0,$R119-2),($M119+1)&amp;"$",OFFSET(AX121,1,0,$R119-2)))</f>
        <v>0</v>
      </c>
      <c r="AY121" s="439" t="n">
        <f aca="false" t="array" ref="AY121:AY121">IF($R119=2,
         IF(AND(ACOMPANHAMENTO="PLE",ISNUMBER($F119)),
                SUMIF((OFFSET(CÁLCULO!$BS$15:$CS$15,$F119,0,OFFSET(ORÇAMENTO!$D$15,CRONO!$F119,0))),CRONO!AY$12,OFFSET(CÁLCULO!$AR$15:$BR$15,$F119,0,OFFSET(ORÇAMENTO!$D$15,CRONO!$F119,0)))
                +IF(AND($F121&lt;&gt;"",$F121&lt;&gt;0),
                        SUMIF(CÁLCULO!$BS$15:$CS$205,CRONO!AY$12,CÁLCULO!$AR$15:$BR$205)/(ORÇAMENTO!$X$15-_xlfn.single(CÁLCULO.TotalAdmLocal))*CRONO!$F121,
                        0),
                 AY120*$S119),
          SUMIF(OFFSET($S121,1,0,$R119-2),($M119+1)&amp;"$",OFFSET(AY121,1,0,$R119-2)))</f>
        <v>0</v>
      </c>
      <c r="AZ121" s="439" t="n">
        <f aca="false" t="array" ref="AZ121:AZ121">IF($R119=2,
         IF(AND(ACOMPANHAMENTO="PLE",ISNUMBER($F119)),
                SUMIF((OFFSET(CÁLCULO!$BS$15:$CS$15,$F119,0,OFFSET(ORÇAMENTO!$D$15,CRONO!$F119,0))),CRONO!AZ$12,OFFSET(CÁLCULO!$AR$15:$BR$15,$F119,0,OFFSET(ORÇAMENTO!$D$15,CRONO!$F119,0)))
                +IF(AND($F121&lt;&gt;"",$F121&lt;&gt;0),
                        SUMIF(CÁLCULO!$BS$15:$CS$205,CRONO!AZ$12,CÁLCULO!$AR$15:$BR$205)/(ORÇAMENTO!$X$15-_xlfn.single(CÁLCULO.TotalAdmLocal))*CRONO!$F121,
                        0),
                 AZ120*$S119),
          SUMIF(OFFSET($S121,1,0,$R119-2),($M119+1)&amp;"$",OFFSET(AZ121,1,0,$R119-2)))</f>
        <v>0</v>
      </c>
      <c r="BA121" s="439" t="n">
        <f aca="false" t="array" ref="BA121:BA121">IF($R119=2,
         IF(AND(ACOMPANHAMENTO="PLE",ISNUMBER($F119)),
                SUMIF((OFFSET(CÁLCULO!$BS$15:$CS$15,$F119,0,OFFSET(ORÇAMENTO!$D$15,CRONO!$F119,0))),CRONO!BA$12,OFFSET(CÁLCULO!$AR$15:$BR$15,$F119,0,OFFSET(ORÇAMENTO!$D$15,CRONO!$F119,0)))
                +IF(AND($F121&lt;&gt;"",$F121&lt;&gt;0),
                        SUMIF(CÁLCULO!$BS$15:$CS$205,CRONO!BA$12,CÁLCULO!$AR$15:$BR$205)/(ORÇAMENTO!$X$15-_xlfn.single(CÁLCULO.TotalAdmLocal))*CRONO!$F121,
                        0),
                 BA120*$S119),
          SUMIF(OFFSET($S121,1,0,$R119-2),($M119+1)&amp;"$",OFFSET(BA121,1,0,$R119-2)))</f>
        <v>0</v>
      </c>
      <c r="BB121" s="439" t="n">
        <f aca="false" t="array" ref="BB121:BB121">IF($R119=2,
         IF(AND(ACOMPANHAMENTO="PLE",ISNUMBER($F119)),
                SUMIF((OFFSET(CÁLCULO!$BS$15:$CS$15,$F119,0,OFFSET(ORÇAMENTO!$D$15,CRONO!$F119,0))),CRONO!BB$12,OFFSET(CÁLCULO!$AR$15:$BR$15,$F119,0,OFFSET(ORÇAMENTO!$D$15,CRONO!$F119,0)))
                +IF(AND($F121&lt;&gt;"",$F121&lt;&gt;0),
                        SUMIF(CÁLCULO!$BS$15:$CS$205,CRONO!BB$12,CÁLCULO!$AR$15:$BR$205)/(ORÇAMENTO!$X$15-_xlfn.single(CÁLCULO.TotalAdmLocal))*CRONO!$F121,
                        0),
                 BB120*$S119),
          SUMIF(OFFSET($S121,1,0,$R119-2),($M119+1)&amp;"$",OFFSET(BB121,1,0,$R119-2)))</f>
        <v>0</v>
      </c>
      <c r="BC121" s="439" t="n">
        <f aca="false" t="array" ref="BC121:BC121">IF($R119=2,
         IF(AND(ACOMPANHAMENTO="PLE",ISNUMBER($F119)),
                SUMIF((OFFSET(CÁLCULO!$BS$15:$CS$15,$F119,0,OFFSET(ORÇAMENTO!$D$15,CRONO!$F119,0))),CRONO!BC$12,OFFSET(CÁLCULO!$AR$15:$BR$15,$F119,0,OFFSET(ORÇAMENTO!$D$15,CRONO!$F119,0)))
                +IF(AND($F121&lt;&gt;"",$F121&lt;&gt;0),
                        SUMIF(CÁLCULO!$BS$15:$CS$205,CRONO!BC$12,CÁLCULO!$AR$15:$BR$205)/(ORÇAMENTO!$X$15-_xlfn.single(CÁLCULO.TotalAdmLocal))*CRONO!$F121,
                        0),
                 BC120*$S119),
          SUMIF(OFFSET($S121,1,0,$R119-2),($M119+1)&amp;"$",OFFSET(BC121,1,0,$R119-2)))</f>
        <v>0</v>
      </c>
      <c r="BD121" s="439" t="n">
        <f aca="false" t="array" ref="BD121:BD121">IF($R119=2,
         IF(AND(ACOMPANHAMENTO="PLE",ISNUMBER($F119)),
                SUMIF((OFFSET(CÁLCULO!$BS$15:$CS$15,$F119,0,OFFSET(ORÇAMENTO!$D$15,CRONO!$F119,0))),CRONO!BD$12,OFFSET(CÁLCULO!$AR$15:$BR$15,$F119,0,OFFSET(ORÇAMENTO!$D$15,CRONO!$F119,0)))
                +IF(AND($F121&lt;&gt;"",$F121&lt;&gt;0),
                        SUMIF(CÁLCULO!$BS$15:$CS$205,CRONO!BD$12,CÁLCULO!$AR$15:$BR$205)/(ORÇAMENTO!$X$15-_xlfn.single(CÁLCULO.TotalAdmLocal))*CRONO!$F121,
                        0),
                 BD120*$S119),
          SUMIF(OFFSET($S121,1,0,$R119-2),($M119+1)&amp;"$",OFFSET(BD121,1,0,$R119-2)))</f>
        <v>0</v>
      </c>
      <c r="BE121" s="430"/>
    </row>
    <row r="122" customFormat="false" ht="12.75" hidden="false" customHeight="false" outlineLevel="0" collapsed="false">
      <c r="A122" s="382" t="str">
        <f aca="false">IF($M122&gt;1,_xlfn.CONCAT($I122," ",$J122),"")</f>
        <v>1.36. CENTRO DE DISTRIBUIÇÃO</v>
      </c>
      <c r="B122" s="419" t="n">
        <f aca="true">OFFSET(B122,-3,0)+1</f>
        <v>37</v>
      </c>
      <c r="C122" s="419" t="n">
        <f aca="true">IF($R122&lt;&gt;2,0,IF($S122=0,1,IF(F123&gt;0,OFFSET(QCI!$M$13,SUBSTITUTE(F123,".",""),0),OFFSET(ORÇAMENTO!$AA$15,CRONO!$F122,0))/$S122))</f>
        <v>0.110981526562671</v>
      </c>
      <c r="D122" s="419" t="n">
        <f aca="true">IF($R122&lt;&gt;2,0,IF($S122=0,1,IF(F123&gt;0,OFFSET(QCI!$N$13,SUBSTITUTE(F123,".",""),0),OFFSET(ORÇAMENTO!$AB$15,CRONO!$F122,0))/$S122))</f>
        <v>0</v>
      </c>
      <c r="E122" s="422" t="n">
        <f aca="false" t="array" ref="E122:E122">IF(AND($R122=2,ACOMPANHAMENTO="BM"),ROUND(E123,4),E124/$S122)</f>
        <v>0.04</v>
      </c>
      <c r="F122" s="419" t="n">
        <f aca="true">IF(B122&lt;=ORÇAMENTO.MáximoListaCrono,MATCH(B122,ORÇAMENTO.ListaCrono,0),NA())</f>
        <v>105</v>
      </c>
      <c r="G122" s="419" t="str">
        <f aca="false">IF(AND($F123&lt;&gt;-1,$S122&gt;0),"F","")</f>
        <v>F</v>
      </c>
      <c r="H122" s="423" t="str">
        <f aca="false" t="array" ref="H122:H122">IF(OR(S122=0,S122=""),"Linha",IF(AND(OR(ACOMPANHAMENTO="PLE",$R122&lt;&gt;2),$F123=0),"Linha",ROUND(1-SUM(U122:BE122),4)))</f>
        <v>Linha</v>
      </c>
      <c r="I122" s="424" t="str">
        <f aca="true">IF($F123=0,OFFSET(ORÇAMENTO!O$15,$F122,0),IF($F123&lt;&gt;-1,OFFSET(QCI!$D$13,$F123,0),""))</f>
        <v>1.36.</v>
      </c>
      <c r="J122" s="425" t="str">
        <f aca="true">IF($F123=0,OFFSET(ORÇAMENTO!R$15,$F122,0),IF($F123&lt;&gt;-1,OFFSET(QCI!$G$13,$F123,0),""))</f>
        <v>CENTRO DE DISTRIBUIÇÃO</v>
      </c>
      <c r="K122" s="425"/>
      <c r="L122" s="425"/>
      <c r="M122" s="426" t="n">
        <f aca="true">IF($F123=0,OFFSET(ORÇAMENTO!C$15,$F122,0),1)</f>
        <v>2</v>
      </c>
      <c r="N122" s="427" t="n">
        <f aca="true">IF($F123=-1,0,IF(N$13&lt;=$M122,IF(ISERROR(MATCH(N$13,OFFSET($M122,1,0,ROW($M$182)-ROW($M122)-1),0)),ROW($M$182)-ROW($M122)-1,MATCH(N$13,OFFSET($M122,1,0,ROW($M$182)-ROW($M122)-1),0)-1),0))</f>
        <v>59</v>
      </c>
      <c r="O122" s="427" t="n">
        <f aca="true">IF($F123=-1,0,IF(O$13&lt;=$M122,IF(ISERROR(MATCH(O$13,OFFSET($M122,1,0,ROW($M$182)-ROW($M122)-1),0)),ROW($M$182)-ROW($M122)-1,MATCH(O$13,OFFSET($M122,1,0,ROW($M$182)-ROW($M122)-1),0)-1),0))</f>
        <v>2</v>
      </c>
      <c r="P122" s="427" t="n">
        <f aca="true">IF($F123=-1,0,IF(P$13&lt;=$M122,IF(ISERROR(MATCH(P$13,OFFSET($M122,1,0,ROW($M$182)-ROW($M122)-1),0)),ROW($M$182)-ROW($M122)-1,MATCH(P$13,OFFSET($M122,1,0,ROW($M$182)-ROW($M122)-1),0)-1),0))</f>
        <v>0</v>
      </c>
      <c r="Q122" s="427" t="n">
        <f aca="true">IF($F123=-1,0,IF(Q$13&lt;=$M122,IF(ISERROR(MATCH(Q$13,OFFSET($M122,1,0,ROW($M$182)-ROW($M122)-1),0)),ROW($M$182)-ROW($M122)-1,MATCH(Q$13,OFFSET($M122,1,0,ROW($M$182)-ROW($M122)-1),0)-1),0))</f>
        <v>0</v>
      </c>
      <c r="R122" s="427" t="n">
        <f aca="true">MIN(OFFSET(M122,0,1,,M122))</f>
        <v>2</v>
      </c>
      <c r="S122" s="428" t="n">
        <f aca="true">IF($F123=0,OFFSET(ORÇAMENTO!X$15,$F122,0),IF($F123&lt;&gt;-1,OFFSET(QCI!$O$13,$F123,0),""))</f>
        <v>67801.5</v>
      </c>
      <c r="T122" s="429" t="s">
        <v>996</v>
      </c>
      <c r="U122" s="422" t="n">
        <f aca="false" t="array" ref="U122:U122">IF(AND($R122=2,ACOMPANHAMENTO="BM"),ROUND(U123,4),U124/$S122)</f>
        <v>0.04</v>
      </c>
      <c r="V122" s="422" t="n">
        <f aca="false" t="array" ref="V122:V122">IF(AND($R122=2,ACOMPANHAMENTO="BM"),ROUND(V123,4),V124/$S122)</f>
        <v>0.04</v>
      </c>
      <c r="W122" s="422" t="n">
        <f aca="false" t="array" ref="W122:W122">IF(AND($R122=2,ACOMPANHAMENTO="BM"),ROUND(W123,4),W124/$S122)</f>
        <v>0.04</v>
      </c>
      <c r="X122" s="422" t="n">
        <f aca="false" t="array" ref="X122:X122">IF(AND($R122=2,ACOMPANHAMENTO="BM"),ROUND(X123,4),X124/$S122)</f>
        <v>0.04</v>
      </c>
      <c r="Y122" s="422" t="n">
        <f aca="false" t="array" ref="Y122:Y122">IF(AND($R122=2,ACOMPANHAMENTO="BM"),ROUND(Y123,4),Y124/$S122)</f>
        <v>0.04</v>
      </c>
      <c r="Z122" s="422" t="n">
        <f aca="false" t="array" ref="Z122:Z122">IF(AND($R122=2,ACOMPANHAMENTO="BM"),ROUND(Z123,4),Z124/$S122)</f>
        <v>0.04</v>
      </c>
      <c r="AA122" s="422" t="n">
        <f aca="false" t="array" ref="AA122:AA122">IF(AND($R122=2,ACOMPANHAMENTO="BM"),ROUND(AA123,4),AA124/$S122)</f>
        <v>0.04</v>
      </c>
      <c r="AB122" s="422" t="n">
        <f aca="false" t="array" ref="AB122:AB122">IF(AND($R122=2,ACOMPANHAMENTO="BM"),ROUND(AB123,4),AB124/$S122)</f>
        <v>0.04</v>
      </c>
      <c r="AC122" s="422" t="n">
        <f aca="false" t="array" ref="AC122:AC122">IF(AND($R122=2,ACOMPANHAMENTO="BM"),ROUND(AC123,4),AC124/$S122)</f>
        <v>0.04</v>
      </c>
      <c r="AD122" s="422" t="n">
        <f aca="false" t="array" ref="AD122:AD122">IF(AND($R122=2,ACOMPANHAMENTO="BM"),ROUND(AD123,4),AD124/$S122)</f>
        <v>0.04</v>
      </c>
      <c r="AE122" s="422" t="n">
        <f aca="false" t="array" ref="AE122:AE122">IF(AND($R122=2,ACOMPANHAMENTO="BM"),ROUND(AE123,4),AE124/$S122)</f>
        <v>0.04</v>
      </c>
      <c r="AF122" s="422" t="n">
        <f aca="false" t="array" ref="AF122:AF122">IF(AND($R122=2,ACOMPANHAMENTO="BM"),ROUND(AF123,4),AF124/$S122)</f>
        <v>0.04</v>
      </c>
      <c r="AG122" s="422" t="n">
        <f aca="false" t="array" ref="AG122:AG122">IF(AND($R122=2,ACOMPANHAMENTO="BM"),ROUND(AG123,4),AG124/$S122)</f>
        <v>0.04</v>
      </c>
      <c r="AH122" s="422" t="n">
        <f aca="false" t="array" ref="AH122:AH122">IF(AND($R122=2,ACOMPANHAMENTO="BM"),ROUND(AH123,4),AH124/$S122)</f>
        <v>0.04</v>
      </c>
      <c r="AI122" s="422" t="n">
        <f aca="false" t="array" ref="AI122:AI122">IF(AND($R122=2,ACOMPANHAMENTO="BM"),ROUND(AI123,4),AI124/$S122)</f>
        <v>0.04</v>
      </c>
      <c r="AJ122" s="422" t="n">
        <f aca="false" t="array" ref="AJ122:AJ122">IF(AND($R122=2,ACOMPANHAMENTO="BM"),ROUND(AJ123,4),AJ124/$S122)</f>
        <v>0.04</v>
      </c>
      <c r="AK122" s="422" t="n">
        <f aca="false" t="array" ref="AK122:AK122">IF(AND($R122=2,ACOMPANHAMENTO="BM"),ROUND(AK123,4),AK124/$S122)</f>
        <v>0.04</v>
      </c>
      <c r="AL122" s="422" t="n">
        <f aca="false" t="array" ref="AL122:AL122">IF(AND($R122=2,ACOMPANHAMENTO="BM"),ROUND(AL123,4),AL124/$S122)</f>
        <v>0.04</v>
      </c>
      <c r="AM122" s="422" t="n">
        <f aca="false" t="array" ref="AM122:AM122">IF(AND($R122=2,ACOMPANHAMENTO="BM"),ROUND(AM123,4),AM124/$S122)</f>
        <v>0.04</v>
      </c>
      <c r="AN122" s="422" t="n">
        <f aca="false" t="array" ref="AN122:AN122">IF(AND($R122=2,ACOMPANHAMENTO="BM"),ROUND(AN123,4),AN124/$S122)</f>
        <v>0.04</v>
      </c>
      <c r="AO122" s="422" t="n">
        <f aca="false" t="array" ref="AO122:AO122">IF(AND($R122=2,ACOMPANHAMENTO="BM"),ROUND(AO123,4),AO124/$S122)</f>
        <v>0.04</v>
      </c>
      <c r="AP122" s="422" t="n">
        <f aca="false" t="array" ref="AP122:AP122">IF(AND($R122=2,ACOMPANHAMENTO="BM"),ROUND(AP123,4),AP124/$S122)</f>
        <v>0.04</v>
      </c>
      <c r="AQ122" s="422" t="n">
        <f aca="false" t="array" ref="AQ122:AQ122">IF(AND($R122=2,ACOMPANHAMENTO="BM"),ROUND(AQ123,4),AQ124/$S122)</f>
        <v>0.04</v>
      </c>
      <c r="AR122" s="422" t="n">
        <f aca="false" t="array" ref="AR122:AR122">IF(AND($R122=2,ACOMPANHAMENTO="BM"),ROUND(AR123,4),AR124/$S122)</f>
        <v>0.04</v>
      </c>
      <c r="AS122" s="422" t="n">
        <f aca="false" t="array" ref="AS122:AS122">IF(AND($R122=2,ACOMPANHAMENTO="BM"),ROUND(AS123,4),AS124/$S122)</f>
        <v>0.04</v>
      </c>
      <c r="AT122" s="422" t="n">
        <f aca="false" t="array" ref="AT122:AT122">IF(AND($R122=2,ACOMPANHAMENTO="BM"),ROUND(AT123,4),AT124/$S122)</f>
        <v>0</v>
      </c>
      <c r="AU122" s="422" t="n">
        <f aca="false" t="array" ref="AU122:AU122">IF(AND($R122=2,ACOMPANHAMENTO="BM"),ROUND(AU123,4),AU124/$S122)</f>
        <v>0</v>
      </c>
      <c r="AV122" s="422" t="n">
        <f aca="false" t="array" ref="AV122:AV122">IF(AND($R122=2,ACOMPANHAMENTO="BM"),ROUND(AV123,4),AV124/$S122)</f>
        <v>0</v>
      </c>
      <c r="AW122" s="422" t="n">
        <f aca="false" t="array" ref="AW122:AW122">IF(AND($R122=2,ACOMPANHAMENTO="BM"),ROUND(AW123,4),AW124/$S122)</f>
        <v>0</v>
      </c>
      <c r="AX122" s="422" t="n">
        <f aca="false" t="array" ref="AX122:AX122">IF(AND($R122=2,ACOMPANHAMENTO="BM"),ROUND(AX123,4),AX124/$S122)</f>
        <v>0</v>
      </c>
      <c r="AY122" s="422" t="n">
        <f aca="false" t="array" ref="AY122:AY122">IF(AND($R122=2,ACOMPANHAMENTO="BM"),ROUND(AY123,4),AY124/$S122)</f>
        <v>0</v>
      </c>
      <c r="AZ122" s="422" t="n">
        <f aca="false" t="array" ref="AZ122:AZ122">IF(AND($R122=2,ACOMPANHAMENTO="BM"),ROUND(AZ123,4),AZ124/$S122)</f>
        <v>0</v>
      </c>
      <c r="BA122" s="422" t="n">
        <f aca="false" t="array" ref="BA122:BA122">IF(AND($R122=2,ACOMPANHAMENTO="BM"),ROUND(BA123,4),BA124/$S122)</f>
        <v>0</v>
      </c>
      <c r="BB122" s="422" t="n">
        <f aca="false" t="array" ref="BB122:BB122">IF(AND($R122=2,ACOMPANHAMENTO="BM"),ROUND(BB123,4),BB124/$S122)</f>
        <v>0</v>
      </c>
      <c r="BC122" s="422" t="n">
        <f aca="false" t="array" ref="BC122:BC122">IF(AND($R122=2,ACOMPANHAMENTO="BM"),ROUND(BC123,4),BC124/$S122)</f>
        <v>0</v>
      </c>
      <c r="BD122" s="422" t="n">
        <f aca="false" t="array" ref="BD122:BD122">IF(AND($R122=2,ACOMPANHAMENTO="BM"),ROUND(BD123,4),BD124/$S122)</f>
        <v>0</v>
      </c>
      <c r="BE122" s="430"/>
    </row>
    <row r="123" customFormat="false" ht="12.75" hidden="true" customHeight="true" outlineLevel="0" collapsed="false">
      <c r="E123" s="431"/>
      <c r="F123" s="419" t="n">
        <f aca="true">IF(ISERROR(F122),IF(1+COUNTIF($M$13:OFFSET(M122,-1,0),1)&lt;=MAX(QCI!$D$13:$D$15),1+COUNTIF($M$13:OFFSET(M122,-1,0),1),-1),0)</f>
        <v>0</v>
      </c>
      <c r="G123" s="419" t="str">
        <f aca="true" t="array" ref="G123:G123">IF(ACOMPANHAMENTO="BM",OFFSET(G123,-1,0),"")</f>
        <v/>
      </c>
      <c r="H123" s="432" t="str">
        <f aca="false" t="array" ref="H123:H123">IF(OR(S122=0,S122=""),"vazia",IF(AND(OR(ACOMPANHAMENTO="PLE",$R122&lt;&gt;2),$F123=0),"calculada","--&gt;"))</f>
        <v>calculada</v>
      </c>
      <c r="I123" s="433"/>
      <c r="J123" s="434" t="str">
        <f aca="false">IF(AND(H122&lt;&gt;0,ISNUMBER(H122)),"PREENCHA ESTA LINHA --&gt;","")</f>
        <v/>
      </c>
      <c r="K123" s="434"/>
      <c r="L123" s="434"/>
      <c r="M123" s="435"/>
      <c r="N123" s="435"/>
      <c r="O123" s="435"/>
      <c r="P123" s="435"/>
      <c r="Q123" s="435"/>
      <c r="R123" s="435"/>
      <c r="S123" s="436"/>
      <c r="T123" s="437"/>
      <c r="U123" s="431"/>
      <c r="V123" s="431"/>
      <c r="W123" s="431"/>
      <c r="X123" s="431"/>
      <c r="Y123" s="431"/>
      <c r="Z123" s="431"/>
      <c r="AA123" s="431"/>
      <c r="AB123" s="431"/>
      <c r="AC123" s="431"/>
      <c r="AD123" s="431"/>
      <c r="AE123" s="431"/>
      <c r="AF123" s="431"/>
      <c r="AG123" s="431"/>
      <c r="AH123" s="431"/>
      <c r="AI123" s="431"/>
      <c r="AJ123" s="431"/>
      <c r="AK123" s="431"/>
      <c r="AL123" s="431"/>
      <c r="AM123" s="431"/>
      <c r="AN123" s="431"/>
      <c r="AO123" s="431"/>
      <c r="AP123" s="431"/>
      <c r="AQ123" s="431"/>
      <c r="AR123" s="431"/>
      <c r="AS123" s="431"/>
      <c r="AT123" s="431"/>
      <c r="AU123" s="431"/>
      <c r="AV123" s="431"/>
      <c r="AW123" s="431"/>
      <c r="AX123" s="431"/>
      <c r="AY123" s="431"/>
      <c r="AZ123" s="431"/>
      <c r="BA123" s="431"/>
      <c r="BB123" s="431"/>
      <c r="BC123" s="431"/>
      <c r="BD123" s="431"/>
      <c r="BE123" s="430"/>
    </row>
    <row r="124" customFormat="false" ht="12.75" hidden="true" customHeight="true" outlineLevel="0" collapsed="false">
      <c r="D124" s="438"/>
      <c r="E124" s="439" t="n">
        <f aca="false" t="array" ref="E124:E124">IF($R122=2,
         IF(AND(ACOMPANHAMENTO="PLE",ISNUMBER($F122)),
                SUMIF((OFFSET(CÁLCULO!$BS$15:$CS$15,$F122,0,OFFSET(ORÇAMENTO!$D$15,CRONO!$F122,0))),CRONO!E$12,OFFSET(CÁLCULO!$AR$15:$BR$15,$F122,0,OFFSET(ORÇAMENTO!$D$15,CRONO!$F122,0)))
                +IF(AND($F124&lt;&gt;"",$F124&lt;&gt;0),
                        SUMIF(CÁLCULO!$BS$15:$CS$205,CRONO!E$12,CÁLCULO!$AR$15:$BR$205)/(ORÇAMENTO!$X$15-_xlfn.single(CÁLCULO.TotalAdmLocal))*CRONO!$F124,
                        0),
                 E123*$S122),
          SUMIF(OFFSET($S124,1,0,$R122-2),($M122+1)&amp;"$",OFFSET(E124,1,0,$R122-2)))</f>
        <v>2712.06</v>
      </c>
      <c r="F124" s="419" t="str">
        <f aca="true">IF(OR($R122&lt;&gt;2,AUTOEVENTO&lt;&gt;"manual",$F123&gt;0),"",
        IF(Import.TipoArredondamento="Tradicional",
              SUMIF(OFFSET(CÁLCULO!$M$15,CRONO!$F122,0,OFFSET(ORÇAMENTO!$D$15,CRONO!$F122,0)),1,OFFSET(ORÇAMENTO!$X$15,CRONO!$F122,0,OFFSET(ORÇAMENTO!$D$15,CRONO!$F122,0))),
              0))</f>
        <v/>
      </c>
      <c r="H124" s="440"/>
      <c r="S124" s="441" t="str">
        <f aca="false">M122&amp;"$"</f>
        <v>2$</v>
      </c>
      <c r="T124" s="442"/>
      <c r="U124" s="439" t="n">
        <f aca="false" t="array" ref="U124:U124">IF($R122=2,
         IF(AND(ACOMPANHAMENTO="PLE",ISNUMBER($F122)),
                SUMIF((OFFSET(CÁLCULO!$BS$15:$CS$15,$F122,0,OFFSET(ORÇAMENTO!$D$15,CRONO!$F122,0))),CRONO!U$12,OFFSET(CÁLCULO!$AR$15:$BR$15,$F122,0,OFFSET(ORÇAMENTO!$D$15,CRONO!$F122,0)))
                +IF(AND($F124&lt;&gt;"",$F124&lt;&gt;0),
                        SUMIF(CÁLCULO!$BS$15:$CS$205,CRONO!U$12,CÁLCULO!$AR$15:$BR$205)/(ORÇAMENTO!$X$15-_xlfn.single(CÁLCULO.TotalAdmLocal))*CRONO!$F124,
                        0),
                 U123*$S122),
          SUMIF(OFFSET($S124,1,0,$R122-2),($M122+1)&amp;"$",OFFSET(U124,1,0,$R122-2)))</f>
        <v>2712.06</v>
      </c>
      <c r="V124" s="439" t="n">
        <f aca="false" t="array" ref="V124:V124">IF($R122=2,
         IF(AND(ACOMPANHAMENTO="PLE",ISNUMBER($F122)),
                SUMIF((OFFSET(CÁLCULO!$BS$15:$CS$15,$F122,0,OFFSET(ORÇAMENTO!$D$15,CRONO!$F122,0))),CRONO!V$12,OFFSET(CÁLCULO!$AR$15:$BR$15,$F122,0,OFFSET(ORÇAMENTO!$D$15,CRONO!$F122,0)))
                +IF(AND($F124&lt;&gt;"",$F124&lt;&gt;0),
                        SUMIF(CÁLCULO!$BS$15:$CS$205,CRONO!V$12,CÁLCULO!$AR$15:$BR$205)/(ORÇAMENTO!$X$15-_xlfn.single(CÁLCULO.TotalAdmLocal))*CRONO!$F124,
                        0),
                 V123*$S122),
          SUMIF(OFFSET($S124,1,0,$R122-2),($M122+1)&amp;"$",OFFSET(V124,1,0,$R122-2)))</f>
        <v>2712.06</v>
      </c>
      <c r="W124" s="439" t="n">
        <f aca="false" t="array" ref="W124:W124">IF($R122=2,
         IF(AND(ACOMPANHAMENTO="PLE",ISNUMBER($F122)),
                SUMIF((OFFSET(CÁLCULO!$BS$15:$CS$15,$F122,0,OFFSET(ORÇAMENTO!$D$15,CRONO!$F122,0))),CRONO!W$12,OFFSET(CÁLCULO!$AR$15:$BR$15,$F122,0,OFFSET(ORÇAMENTO!$D$15,CRONO!$F122,0)))
                +IF(AND($F124&lt;&gt;"",$F124&lt;&gt;0),
                        SUMIF(CÁLCULO!$BS$15:$CS$205,CRONO!W$12,CÁLCULO!$AR$15:$BR$205)/(ORÇAMENTO!$X$15-_xlfn.single(CÁLCULO.TotalAdmLocal))*CRONO!$F124,
                        0),
                 W123*$S122),
          SUMIF(OFFSET($S124,1,0,$R122-2),($M122+1)&amp;"$",OFFSET(W124,1,0,$R122-2)))</f>
        <v>2712.06</v>
      </c>
      <c r="X124" s="439" t="n">
        <f aca="false" t="array" ref="X124:X124">IF($R122=2,
         IF(AND(ACOMPANHAMENTO="PLE",ISNUMBER($F122)),
                SUMIF((OFFSET(CÁLCULO!$BS$15:$CS$15,$F122,0,OFFSET(ORÇAMENTO!$D$15,CRONO!$F122,0))),CRONO!X$12,OFFSET(CÁLCULO!$AR$15:$BR$15,$F122,0,OFFSET(ORÇAMENTO!$D$15,CRONO!$F122,0)))
                +IF(AND($F124&lt;&gt;"",$F124&lt;&gt;0),
                        SUMIF(CÁLCULO!$BS$15:$CS$205,CRONO!X$12,CÁLCULO!$AR$15:$BR$205)/(ORÇAMENTO!$X$15-_xlfn.single(CÁLCULO.TotalAdmLocal))*CRONO!$F124,
                        0),
                 X123*$S122),
          SUMIF(OFFSET($S124,1,0,$R122-2),($M122+1)&amp;"$",OFFSET(X124,1,0,$R122-2)))</f>
        <v>2712.06</v>
      </c>
      <c r="Y124" s="439" t="n">
        <f aca="false" t="array" ref="Y124:Y124">IF($R122=2,
         IF(AND(ACOMPANHAMENTO="PLE",ISNUMBER($F122)),
                SUMIF((OFFSET(CÁLCULO!$BS$15:$CS$15,$F122,0,OFFSET(ORÇAMENTO!$D$15,CRONO!$F122,0))),CRONO!Y$12,OFFSET(CÁLCULO!$AR$15:$BR$15,$F122,0,OFFSET(ORÇAMENTO!$D$15,CRONO!$F122,0)))
                +IF(AND($F124&lt;&gt;"",$F124&lt;&gt;0),
                        SUMIF(CÁLCULO!$BS$15:$CS$205,CRONO!Y$12,CÁLCULO!$AR$15:$BR$205)/(ORÇAMENTO!$X$15-_xlfn.single(CÁLCULO.TotalAdmLocal))*CRONO!$F124,
                        0),
                 Y123*$S122),
          SUMIF(OFFSET($S124,1,0,$R122-2),($M122+1)&amp;"$",OFFSET(Y124,1,0,$R122-2)))</f>
        <v>2712.06</v>
      </c>
      <c r="Z124" s="439" t="n">
        <f aca="false" t="array" ref="Z124:Z124">IF($R122=2,
         IF(AND(ACOMPANHAMENTO="PLE",ISNUMBER($F122)),
                SUMIF((OFFSET(CÁLCULO!$BS$15:$CS$15,$F122,0,OFFSET(ORÇAMENTO!$D$15,CRONO!$F122,0))),CRONO!Z$12,OFFSET(CÁLCULO!$AR$15:$BR$15,$F122,0,OFFSET(ORÇAMENTO!$D$15,CRONO!$F122,0)))
                +IF(AND($F124&lt;&gt;"",$F124&lt;&gt;0),
                        SUMIF(CÁLCULO!$BS$15:$CS$205,CRONO!Z$12,CÁLCULO!$AR$15:$BR$205)/(ORÇAMENTO!$X$15-_xlfn.single(CÁLCULO.TotalAdmLocal))*CRONO!$F124,
                        0),
                 Z123*$S122),
          SUMIF(OFFSET($S124,1,0,$R122-2),($M122+1)&amp;"$",OFFSET(Z124,1,0,$R122-2)))</f>
        <v>2712.06</v>
      </c>
      <c r="AA124" s="439" t="n">
        <f aca="false" t="array" ref="AA124:AA124">IF($R122=2,
         IF(AND(ACOMPANHAMENTO="PLE",ISNUMBER($F122)),
                SUMIF((OFFSET(CÁLCULO!$BS$15:$CS$15,$F122,0,OFFSET(ORÇAMENTO!$D$15,CRONO!$F122,0))),CRONO!AA$12,OFFSET(CÁLCULO!$AR$15:$BR$15,$F122,0,OFFSET(ORÇAMENTO!$D$15,CRONO!$F122,0)))
                +IF(AND($F124&lt;&gt;"",$F124&lt;&gt;0),
                        SUMIF(CÁLCULO!$BS$15:$CS$205,CRONO!AA$12,CÁLCULO!$AR$15:$BR$205)/(ORÇAMENTO!$X$15-_xlfn.single(CÁLCULO.TotalAdmLocal))*CRONO!$F124,
                        0),
                 AA123*$S122),
          SUMIF(OFFSET($S124,1,0,$R122-2),($M122+1)&amp;"$",OFFSET(AA124,1,0,$R122-2)))</f>
        <v>2712.06</v>
      </c>
      <c r="AB124" s="439" t="n">
        <f aca="false" t="array" ref="AB124:AB124">IF($R122=2,
         IF(AND(ACOMPANHAMENTO="PLE",ISNUMBER($F122)),
                SUMIF((OFFSET(CÁLCULO!$BS$15:$CS$15,$F122,0,OFFSET(ORÇAMENTO!$D$15,CRONO!$F122,0))),CRONO!AB$12,OFFSET(CÁLCULO!$AR$15:$BR$15,$F122,0,OFFSET(ORÇAMENTO!$D$15,CRONO!$F122,0)))
                +IF(AND($F124&lt;&gt;"",$F124&lt;&gt;0),
                        SUMIF(CÁLCULO!$BS$15:$CS$205,CRONO!AB$12,CÁLCULO!$AR$15:$BR$205)/(ORÇAMENTO!$X$15-_xlfn.single(CÁLCULO.TotalAdmLocal))*CRONO!$F124,
                        0),
                 AB123*$S122),
          SUMIF(OFFSET($S124,1,0,$R122-2),($M122+1)&amp;"$",OFFSET(AB124,1,0,$R122-2)))</f>
        <v>2712.06</v>
      </c>
      <c r="AC124" s="439" t="n">
        <f aca="false" t="array" ref="AC124:AC124">IF($R122=2,
         IF(AND(ACOMPANHAMENTO="PLE",ISNUMBER($F122)),
                SUMIF((OFFSET(CÁLCULO!$BS$15:$CS$15,$F122,0,OFFSET(ORÇAMENTO!$D$15,CRONO!$F122,0))),CRONO!AC$12,OFFSET(CÁLCULO!$AR$15:$BR$15,$F122,0,OFFSET(ORÇAMENTO!$D$15,CRONO!$F122,0)))
                +IF(AND($F124&lt;&gt;"",$F124&lt;&gt;0),
                        SUMIF(CÁLCULO!$BS$15:$CS$205,CRONO!AC$12,CÁLCULO!$AR$15:$BR$205)/(ORÇAMENTO!$X$15-_xlfn.single(CÁLCULO.TotalAdmLocal))*CRONO!$F124,
                        0),
                 AC123*$S122),
          SUMIF(OFFSET($S124,1,0,$R122-2),($M122+1)&amp;"$",OFFSET(AC124,1,0,$R122-2)))</f>
        <v>2712.06</v>
      </c>
      <c r="AD124" s="439" t="n">
        <f aca="false" t="array" ref="AD124:AD124">IF($R122=2,
         IF(AND(ACOMPANHAMENTO="PLE",ISNUMBER($F122)),
                SUMIF((OFFSET(CÁLCULO!$BS$15:$CS$15,$F122,0,OFFSET(ORÇAMENTO!$D$15,CRONO!$F122,0))),CRONO!AD$12,OFFSET(CÁLCULO!$AR$15:$BR$15,$F122,0,OFFSET(ORÇAMENTO!$D$15,CRONO!$F122,0)))
                +IF(AND($F124&lt;&gt;"",$F124&lt;&gt;0),
                        SUMIF(CÁLCULO!$BS$15:$CS$205,CRONO!AD$12,CÁLCULO!$AR$15:$BR$205)/(ORÇAMENTO!$X$15-_xlfn.single(CÁLCULO.TotalAdmLocal))*CRONO!$F124,
                        0),
                 AD123*$S122),
          SUMIF(OFFSET($S124,1,0,$R122-2),($M122+1)&amp;"$",OFFSET(AD124,1,0,$R122-2)))</f>
        <v>2712.06</v>
      </c>
      <c r="AE124" s="439" t="n">
        <f aca="false" t="array" ref="AE124:AE124">IF($R122=2,
         IF(AND(ACOMPANHAMENTO="PLE",ISNUMBER($F122)),
                SUMIF((OFFSET(CÁLCULO!$BS$15:$CS$15,$F122,0,OFFSET(ORÇAMENTO!$D$15,CRONO!$F122,0))),CRONO!AE$12,OFFSET(CÁLCULO!$AR$15:$BR$15,$F122,0,OFFSET(ORÇAMENTO!$D$15,CRONO!$F122,0)))
                +IF(AND($F124&lt;&gt;"",$F124&lt;&gt;0),
                        SUMIF(CÁLCULO!$BS$15:$CS$205,CRONO!AE$12,CÁLCULO!$AR$15:$BR$205)/(ORÇAMENTO!$X$15-_xlfn.single(CÁLCULO.TotalAdmLocal))*CRONO!$F124,
                        0),
                 AE123*$S122),
          SUMIF(OFFSET($S124,1,0,$R122-2),($M122+1)&amp;"$",OFFSET(AE124,1,0,$R122-2)))</f>
        <v>2712.06</v>
      </c>
      <c r="AF124" s="439" t="n">
        <f aca="false" t="array" ref="AF124:AF124">IF($R122=2,
         IF(AND(ACOMPANHAMENTO="PLE",ISNUMBER($F122)),
                SUMIF((OFFSET(CÁLCULO!$BS$15:$CS$15,$F122,0,OFFSET(ORÇAMENTO!$D$15,CRONO!$F122,0))),CRONO!AF$12,OFFSET(CÁLCULO!$AR$15:$BR$15,$F122,0,OFFSET(ORÇAMENTO!$D$15,CRONO!$F122,0)))
                +IF(AND($F124&lt;&gt;"",$F124&lt;&gt;0),
                        SUMIF(CÁLCULO!$BS$15:$CS$205,CRONO!AF$12,CÁLCULO!$AR$15:$BR$205)/(ORÇAMENTO!$X$15-_xlfn.single(CÁLCULO.TotalAdmLocal))*CRONO!$F124,
                        0),
                 AF123*$S122),
          SUMIF(OFFSET($S124,1,0,$R122-2),($M122+1)&amp;"$",OFFSET(AF124,1,0,$R122-2)))</f>
        <v>2712.06</v>
      </c>
      <c r="AG124" s="439" t="n">
        <f aca="false" t="array" ref="AG124:AG124">IF($R122=2,
         IF(AND(ACOMPANHAMENTO="PLE",ISNUMBER($F122)),
                SUMIF((OFFSET(CÁLCULO!$BS$15:$CS$15,$F122,0,OFFSET(ORÇAMENTO!$D$15,CRONO!$F122,0))),CRONO!AG$12,OFFSET(CÁLCULO!$AR$15:$BR$15,$F122,0,OFFSET(ORÇAMENTO!$D$15,CRONO!$F122,0)))
                +IF(AND($F124&lt;&gt;"",$F124&lt;&gt;0),
                        SUMIF(CÁLCULO!$BS$15:$CS$205,CRONO!AG$12,CÁLCULO!$AR$15:$BR$205)/(ORÇAMENTO!$X$15-_xlfn.single(CÁLCULO.TotalAdmLocal))*CRONO!$F124,
                        0),
                 AG123*$S122),
          SUMIF(OFFSET($S124,1,0,$R122-2),($M122+1)&amp;"$",OFFSET(AG124,1,0,$R122-2)))</f>
        <v>2712.06</v>
      </c>
      <c r="AH124" s="439" t="n">
        <f aca="false" t="array" ref="AH124:AH124">IF($R122=2,
         IF(AND(ACOMPANHAMENTO="PLE",ISNUMBER($F122)),
                SUMIF((OFFSET(CÁLCULO!$BS$15:$CS$15,$F122,0,OFFSET(ORÇAMENTO!$D$15,CRONO!$F122,0))),CRONO!AH$12,OFFSET(CÁLCULO!$AR$15:$BR$15,$F122,0,OFFSET(ORÇAMENTO!$D$15,CRONO!$F122,0)))
                +IF(AND($F124&lt;&gt;"",$F124&lt;&gt;0),
                        SUMIF(CÁLCULO!$BS$15:$CS$205,CRONO!AH$12,CÁLCULO!$AR$15:$BR$205)/(ORÇAMENTO!$X$15-_xlfn.single(CÁLCULO.TotalAdmLocal))*CRONO!$F124,
                        0),
                 AH123*$S122),
          SUMIF(OFFSET($S124,1,0,$R122-2),($M122+1)&amp;"$",OFFSET(AH124,1,0,$R122-2)))</f>
        <v>2712.06</v>
      </c>
      <c r="AI124" s="439" t="n">
        <f aca="false" t="array" ref="AI124:AI124">IF($R122=2,
         IF(AND(ACOMPANHAMENTO="PLE",ISNUMBER($F122)),
                SUMIF((OFFSET(CÁLCULO!$BS$15:$CS$15,$F122,0,OFFSET(ORÇAMENTO!$D$15,CRONO!$F122,0))),CRONO!AI$12,OFFSET(CÁLCULO!$AR$15:$BR$15,$F122,0,OFFSET(ORÇAMENTO!$D$15,CRONO!$F122,0)))
                +IF(AND($F124&lt;&gt;"",$F124&lt;&gt;0),
                        SUMIF(CÁLCULO!$BS$15:$CS$205,CRONO!AI$12,CÁLCULO!$AR$15:$BR$205)/(ORÇAMENTO!$X$15-_xlfn.single(CÁLCULO.TotalAdmLocal))*CRONO!$F124,
                        0),
                 AI123*$S122),
          SUMIF(OFFSET($S124,1,0,$R122-2),($M122+1)&amp;"$",OFFSET(AI124,1,0,$R122-2)))</f>
        <v>2712.06</v>
      </c>
      <c r="AJ124" s="439" t="n">
        <f aca="false" t="array" ref="AJ124:AJ124">IF($R122=2,
         IF(AND(ACOMPANHAMENTO="PLE",ISNUMBER($F122)),
                SUMIF((OFFSET(CÁLCULO!$BS$15:$CS$15,$F122,0,OFFSET(ORÇAMENTO!$D$15,CRONO!$F122,0))),CRONO!AJ$12,OFFSET(CÁLCULO!$AR$15:$BR$15,$F122,0,OFFSET(ORÇAMENTO!$D$15,CRONO!$F122,0)))
                +IF(AND($F124&lt;&gt;"",$F124&lt;&gt;0),
                        SUMIF(CÁLCULO!$BS$15:$CS$205,CRONO!AJ$12,CÁLCULO!$AR$15:$BR$205)/(ORÇAMENTO!$X$15-_xlfn.single(CÁLCULO.TotalAdmLocal))*CRONO!$F124,
                        0),
                 AJ123*$S122),
          SUMIF(OFFSET($S124,1,0,$R122-2),($M122+1)&amp;"$",OFFSET(AJ124,1,0,$R122-2)))</f>
        <v>2712.06</v>
      </c>
      <c r="AK124" s="439" t="n">
        <f aca="false" t="array" ref="AK124:AK124">IF($R122=2,
         IF(AND(ACOMPANHAMENTO="PLE",ISNUMBER($F122)),
                SUMIF((OFFSET(CÁLCULO!$BS$15:$CS$15,$F122,0,OFFSET(ORÇAMENTO!$D$15,CRONO!$F122,0))),CRONO!AK$12,OFFSET(CÁLCULO!$AR$15:$BR$15,$F122,0,OFFSET(ORÇAMENTO!$D$15,CRONO!$F122,0)))
                +IF(AND($F124&lt;&gt;"",$F124&lt;&gt;0),
                        SUMIF(CÁLCULO!$BS$15:$CS$205,CRONO!AK$12,CÁLCULO!$AR$15:$BR$205)/(ORÇAMENTO!$X$15-_xlfn.single(CÁLCULO.TotalAdmLocal))*CRONO!$F124,
                        0),
                 AK123*$S122),
          SUMIF(OFFSET($S124,1,0,$R122-2),($M122+1)&amp;"$",OFFSET(AK124,1,0,$R122-2)))</f>
        <v>2712.06</v>
      </c>
      <c r="AL124" s="439" t="n">
        <f aca="false" t="array" ref="AL124:AL124">IF($R122=2,
         IF(AND(ACOMPANHAMENTO="PLE",ISNUMBER($F122)),
                SUMIF((OFFSET(CÁLCULO!$BS$15:$CS$15,$F122,0,OFFSET(ORÇAMENTO!$D$15,CRONO!$F122,0))),CRONO!AL$12,OFFSET(CÁLCULO!$AR$15:$BR$15,$F122,0,OFFSET(ORÇAMENTO!$D$15,CRONO!$F122,0)))
                +IF(AND($F124&lt;&gt;"",$F124&lt;&gt;0),
                        SUMIF(CÁLCULO!$BS$15:$CS$205,CRONO!AL$12,CÁLCULO!$AR$15:$BR$205)/(ORÇAMENTO!$X$15-_xlfn.single(CÁLCULO.TotalAdmLocal))*CRONO!$F124,
                        0),
                 AL123*$S122),
          SUMIF(OFFSET($S124,1,0,$R122-2),($M122+1)&amp;"$",OFFSET(AL124,1,0,$R122-2)))</f>
        <v>2712.06</v>
      </c>
      <c r="AM124" s="439" t="n">
        <f aca="false" t="array" ref="AM124:AM124">IF($R122=2,
         IF(AND(ACOMPANHAMENTO="PLE",ISNUMBER($F122)),
                SUMIF((OFFSET(CÁLCULO!$BS$15:$CS$15,$F122,0,OFFSET(ORÇAMENTO!$D$15,CRONO!$F122,0))),CRONO!AM$12,OFFSET(CÁLCULO!$AR$15:$BR$15,$F122,0,OFFSET(ORÇAMENTO!$D$15,CRONO!$F122,0)))
                +IF(AND($F124&lt;&gt;"",$F124&lt;&gt;0),
                        SUMIF(CÁLCULO!$BS$15:$CS$205,CRONO!AM$12,CÁLCULO!$AR$15:$BR$205)/(ORÇAMENTO!$X$15-_xlfn.single(CÁLCULO.TotalAdmLocal))*CRONO!$F124,
                        0),
                 AM123*$S122),
          SUMIF(OFFSET($S124,1,0,$R122-2),($M122+1)&amp;"$",OFFSET(AM124,1,0,$R122-2)))</f>
        <v>2712.06</v>
      </c>
      <c r="AN124" s="439" t="n">
        <f aca="false" t="array" ref="AN124:AN124">IF($R122=2,
         IF(AND(ACOMPANHAMENTO="PLE",ISNUMBER($F122)),
                SUMIF((OFFSET(CÁLCULO!$BS$15:$CS$15,$F122,0,OFFSET(ORÇAMENTO!$D$15,CRONO!$F122,0))),CRONO!AN$12,OFFSET(CÁLCULO!$AR$15:$BR$15,$F122,0,OFFSET(ORÇAMENTO!$D$15,CRONO!$F122,0)))
                +IF(AND($F124&lt;&gt;"",$F124&lt;&gt;0),
                        SUMIF(CÁLCULO!$BS$15:$CS$205,CRONO!AN$12,CÁLCULO!$AR$15:$BR$205)/(ORÇAMENTO!$X$15-_xlfn.single(CÁLCULO.TotalAdmLocal))*CRONO!$F124,
                        0),
                 AN123*$S122),
          SUMIF(OFFSET($S124,1,0,$R122-2),($M122+1)&amp;"$",OFFSET(AN124,1,0,$R122-2)))</f>
        <v>2712.06</v>
      </c>
      <c r="AO124" s="439" t="n">
        <f aca="false" t="array" ref="AO124:AO124">IF($R122=2,
         IF(AND(ACOMPANHAMENTO="PLE",ISNUMBER($F122)),
                SUMIF((OFFSET(CÁLCULO!$BS$15:$CS$15,$F122,0,OFFSET(ORÇAMENTO!$D$15,CRONO!$F122,0))),CRONO!AO$12,OFFSET(CÁLCULO!$AR$15:$BR$15,$F122,0,OFFSET(ORÇAMENTO!$D$15,CRONO!$F122,0)))
                +IF(AND($F124&lt;&gt;"",$F124&lt;&gt;0),
                        SUMIF(CÁLCULO!$BS$15:$CS$205,CRONO!AO$12,CÁLCULO!$AR$15:$BR$205)/(ORÇAMENTO!$X$15-_xlfn.single(CÁLCULO.TotalAdmLocal))*CRONO!$F124,
                        0),
                 AO123*$S122),
          SUMIF(OFFSET($S124,1,0,$R122-2),($M122+1)&amp;"$",OFFSET(AO124,1,0,$R122-2)))</f>
        <v>2712.06</v>
      </c>
      <c r="AP124" s="439" t="n">
        <f aca="false" t="array" ref="AP124:AP124">IF($R122=2,
         IF(AND(ACOMPANHAMENTO="PLE",ISNUMBER($F122)),
                SUMIF((OFFSET(CÁLCULO!$BS$15:$CS$15,$F122,0,OFFSET(ORÇAMENTO!$D$15,CRONO!$F122,0))),CRONO!AP$12,OFFSET(CÁLCULO!$AR$15:$BR$15,$F122,0,OFFSET(ORÇAMENTO!$D$15,CRONO!$F122,0)))
                +IF(AND($F124&lt;&gt;"",$F124&lt;&gt;0),
                        SUMIF(CÁLCULO!$BS$15:$CS$205,CRONO!AP$12,CÁLCULO!$AR$15:$BR$205)/(ORÇAMENTO!$X$15-_xlfn.single(CÁLCULO.TotalAdmLocal))*CRONO!$F124,
                        0),
                 AP123*$S122),
          SUMIF(OFFSET($S124,1,0,$R122-2),($M122+1)&amp;"$",OFFSET(AP124,1,0,$R122-2)))</f>
        <v>2712.06</v>
      </c>
      <c r="AQ124" s="439" t="n">
        <f aca="false" t="array" ref="AQ124:AQ124">IF($R122=2,
         IF(AND(ACOMPANHAMENTO="PLE",ISNUMBER($F122)),
                SUMIF((OFFSET(CÁLCULO!$BS$15:$CS$15,$F122,0,OFFSET(ORÇAMENTO!$D$15,CRONO!$F122,0))),CRONO!AQ$12,OFFSET(CÁLCULO!$AR$15:$BR$15,$F122,0,OFFSET(ORÇAMENTO!$D$15,CRONO!$F122,0)))
                +IF(AND($F124&lt;&gt;"",$F124&lt;&gt;0),
                        SUMIF(CÁLCULO!$BS$15:$CS$205,CRONO!AQ$12,CÁLCULO!$AR$15:$BR$205)/(ORÇAMENTO!$X$15-_xlfn.single(CÁLCULO.TotalAdmLocal))*CRONO!$F124,
                        0),
                 AQ123*$S122),
          SUMIF(OFFSET($S124,1,0,$R122-2),($M122+1)&amp;"$",OFFSET(AQ124,1,0,$R122-2)))</f>
        <v>2712.06</v>
      </c>
      <c r="AR124" s="439" t="n">
        <f aca="false" t="array" ref="AR124:AR124">IF($R122=2,
         IF(AND(ACOMPANHAMENTO="PLE",ISNUMBER($F122)),
                SUMIF((OFFSET(CÁLCULO!$BS$15:$CS$15,$F122,0,OFFSET(ORÇAMENTO!$D$15,CRONO!$F122,0))),CRONO!AR$12,OFFSET(CÁLCULO!$AR$15:$BR$15,$F122,0,OFFSET(ORÇAMENTO!$D$15,CRONO!$F122,0)))
                +IF(AND($F124&lt;&gt;"",$F124&lt;&gt;0),
                        SUMIF(CÁLCULO!$BS$15:$CS$205,CRONO!AR$12,CÁLCULO!$AR$15:$BR$205)/(ORÇAMENTO!$X$15-_xlfn.single(CÁLCULO.TotalAdmLocal))*CRONO!$F124,
                        0),
                 AR123*$S122),
          SUMIF(OFFSET($S124,1,0,$R122-2),($M122+1)&amp;"$",OFFSET(AR124,1,0,$R122-2)))</f>
        <v>2712.06</v>
      </c>
      <c r="AS124" s="439" t="n">
        <f aca="false" t="array" ref="AS124:AS124">IF($R122=2,
         IF(AND(ACOMPANHAMENTO="PLE",ISNUMBER($F122)),
                SUMIF((OFFSET(CÁLCULO!$BS$15:$CS$15,$F122,0,OFFSET(ORÇAMENTO!$D$15,CRONO!$F122,0))),CRONO!AS$12,OFFSET(CÁLCULO!$AR$15:$BR$15,$F122,0,OFFSET(ORÇAMENTO!$D$15,CRONO!$F122,0)))
                +IF(AND($F124&lt;&gt;"",$F124&lt;&gt;0),
                        SUMIF(CÁLCULO!$BS$15:$CS$205,CRONO!AS$12,CÁLCULO!$AR$15:$BR$205)/(ORÇAMENTO!$X$15-_xlfn.single(CÁLCULO.TotalAdmLocal))*CRONO!$F124,
                        0),
                 AS123*$S122),
          SUMIF(OFFSET($S124,1,0,$R122-2),($M122+1)&amp;"$",OFFSET(AS124,1,0,$R122-2)))</f>
        <v>2712.06</v>
      </c>
      <c r="AT124" s="439" t="n">
        <f aca="false" t="array" ref="AT124:AT124">IF($R122=2,
         IF(AND(ACOMPANHAMENTO="PLE",ISNUMBER($F122)),
                SUMIF((OFFSET(CÁLCULO!$BS$15:$CS$15,$F122,0,OFFSET(ORÇAMENTO!$D$15,CRONO!$F122,0))),CRONO!AT$12,OFFSET(CÁLCULO!$AR$15:$BR$15,$F122,0,OFFSET(ORÇAMENTO!$D$15,CRONO!$F122,0)))
                +IF(AND($F124&lt;&gt;"",$F124&lt;&gt;0),
                        SUMIF(CÁLCULO!$BS$15:$CS$205,CRONO!AT$12,CÁLCULO!$AR$15:$BR$205)/(ORÇAMENTO!$X$15-_xlfn.single(CÁLCULO.TotalAdmLocal))*CRONO!$F124,
                        0),
                 AT123*$S122),
          SUMIF(OFFSET($S124,1,0,$R122-2),($M122+1)&amp;"$",OFFSET(AT124,1,0,$R122-2)))</f>
        <v>0</v>
      </c>
      <c r="AU124" s="439" t="n">
        <f aca="false" t="array" ref="AU124:AU124">IF($R122=2,
         IF(AND(ACOMPANHAMENTO="PLE",ISNUMBER($F122)),
                SUMIF((OFFSET(CÁLCULO!$BS$15:$CS$15,$F122,0,OFFSET(ORÇAMENTO!$D$15,CRONO!$F122,0))),CRONO!AU$12,OFFSET(CÁLCULO!$AR$15:$BR$15,$F122,0,OFFSET(ORÇAMENTO!$D$15,CRONO!$F122,0)))
                +IF(AND($F124&lt;&gt;"",$F124&lt;&gt;0),
                        SUMIF(CÁLCULO!$BS$15:$CS$205,CRONO!AU$12,CÁLCULO!$AR$15:$BR$205)/(ORÇAMENTO!$X$15-_xlfn.single(CÁLCULO.TotalAdmLocal))*CRONO!$F124,
                        0),
                 AU123*$S122),
          SUMIF(OFFSET($S124,1,0,$R122-2),($M122+1)&amp;"$",OFFSET(AU124,1,0,$R122-2)))</f>
        <v>0</v>
      </c>
      <c r="AV124" s="439" t="n">
        <f aca="false" t="array" ref="AV124:AV124">IF($R122=2,
         IF(AND(ACOMPANHAMENTO="PLE",ISNUMBER($F122)),
                SUMIF((OFFSET(CÁLCULO!$BS$15:$CS$15,$F122,0,OFFSET(ORÇAMENTO!$D$15,CRONO!$F122,0))),CRONO!AV$12,OFFSET(CÁLCULO!$AR$15:$BR$15,$F122,0,OFFSET(ORÇAMENTO!$D$15,CRONO!$F122,0)))
                +IF(AND($F124&lt;&gt;"",$F124&lt;&gt;0),
                        SUMIF(CÁLCULO!$BS$15:$CS$205,CRONO!AV$12,CÁLCULO!$AR$15:$BR$205)/(ORÇAMENTO!$X$15-_xlfn.single(CÁLCULO.TotalAdmLocal))*CRONO!$F124,
                        0),
                 AV123*$S122),
          SUMIF(OFFSET($S124,1,0,$R122-2),($M122+1)&amp;"$",OFFSET(AV124,1,0,$R122-2)))</f>
        <v>0</v>
      </c>
      <c r="AW124" s="439" t="n">
        <f aca="false" t="array" ref="AW124:AW124">IF($R122=2,
         IF(AND(ACOMPANHAMENTO="PLE",ISNUMBER($F122)),
                SUMIF((OFFSET(CÁLCULO!$BS$15:$CS$15,$F122,0,OFFSET(ORÇAMENTO!$D$15,CRONO!$F122,0))),CRONO!AW$12,OFFSET(CÁLCULO!$AR$15:$BR$15,$F122,0,OFFSET(ORÇAMENTO!$D$15,CRONO!$F122,0)))
                +IF(AND($F124&lt;&gt;"",$F124&lt;&gt;0),
                        SUMIF(CÁLCULO!$BS$15:$CS$205,CRONO!AW$12,CÁLCULO!$AR$15:$BR$205)/(ORÇAMENTO!$X$15-_xlfn.single(CÁLCULO.TotalAdmLocal))*CRONO!$F124,
                        0),
                 AW123*$S122),
          SUMIF(OFFSET($S124,1,0,$R122-2),($M122+1)&amp;"$",OFFSET(AW124,1,0,$R122-2)))</f>
        <v>0</v>
      </c>
      <c r="AX124" s="439" t="n">
        <f aca="false" t="array" ref="AX124:AX124">IF($R122=2,
         IF(AND(ACOMPANHAMENTO="PLE",ISNUMBER($F122)),
                SUMIF((OFFSET(CÁLCULO!$BS$15:$CS$15,$F122,0,OFFSET(ORÇAMENTO!$D$15,CRONO!$F122,0))),CRONO!AX$12,OFFSET(CÁLCULO!$AR$15:$BR$15,$F122,0,OFFSET(ORÇAMENTO!$D$15,CRONO!$F122,0)))
                +IF(AND($F124&lt;&gt;"",$F124&lt;&gt;0),
                        SUMIF(CÁLCULO!$BS$15:$CS$205,CRONO!AX$12,CÁLCULO!$AR$15:$BR$205)/(ORÇAMENTO!$X$15-_xlfn.single(CÁLCULO.TotalAdmLocal))*CRONO!$F124,
                        0),
                 AX123*$S122),
          SUMIF(OFFSET($S124,1,0,$R122-2),($M122+1)&amp;"$",OFFSET(AX124,1,0,$R122-2)))</f>
        <v>0</v>
      </c>
      <c r="AY124" s="439" t="n">
        <f aca="false" t="array" ref="AY124:AY124">IF($R122=2,
         IF(AND(ACOMPANHAMENTO="PLE",ISNUMBER($F122)),
                SUMIF((OFFSET(CÁLCULO!$BS$15:$CS$15,$F122,0,OFFSET(ORÇAMENTO!$D$15,CRONO!$F122,0))),CRONO!AY$12,OFFSET(CÁLCULO!$AR$15:$BR$15,$F122,0,OFFSET(ORÇAMENTO!$D$15,CRONO!$F122,0)))
                +IF(AND($F124&lt;&gt;"",$F124&lt;&gt;0),
                        SUMIF(CÁLCULO!$BS$15:$CS$205,CRONO!AY$12,CÁLCULO!$AR$15:$BR$205)/(ORÇAMENTO!$X$15-_xlfn.single(CÁLCULO.TotalAdmLocal))*CRONO!$F124,
                        0),
                 AY123*$S122),
          SUMIF(OFFSET($S124,1,0,$R122-2),($M122+1)&amp;"$",OFFSET(AY124,1,0,$R122-2)))</f>
        <v>0</v>
      </c>
      <c r="AZ124" s="439" t="n">
        <f aca="false" t="array" ref="AZ124:AZ124">IF($R122=2,
         IF(AND(ACOMPANHAMENTO="PLE",ISNUMBER($F122)),
                SUMIF((OFFSET(CÁLCULO!$BS$15:$CS$15,$F122,0,OFFSET(ORÇAMENTO!$D$15,CRONO!$F122,0))),CRONO!AZ$12,OFFSET(CÁLCULO!$AR$15:$BR$15,$F122,0,OFFSET(ORÇAMENTO!$D$15,CRONO!$F122,0)))
                +IF(AND($F124&lt;&gt;"",$F124&lt;&gt;0),
                        SUMIF(CÁLCULO!$BS$15:$CS$205,CRONO!AZ$12,CÁLCULO!$AR$15:$BR$205)/(ORÇAMENTO!$X$15-_xlfn.single(CÁLCULO.TotalAdmLocal))*CRONO!$F124,
                        0),
                 AZ123*$S122),
          SUMIF(OFFSET($S124,1,0,$R122-2),($M122+1)&amp;"$",OFFSET(AZ124,1,0,$R122-2)))</f>
        <v>0</v>
      </c>
      <c r="BA124" s="439" t="n">
        <f aca="false" t="array" ref="BA124:BA124">IF($R122=2,
         IF(AND(ACOMPANHAMENTO="PLE",ISNUMBER($F122)),
                SUMIF((OFFSET(CÁLCULO!$BS$15:$CS$15,$F122,0,OFFSET(ORÇAMENTO!$D$15,CRONO!$F122,0))),CRONO!BA$12,OFFSET(CÁLCULO!$AR$15:$BR$15,$F122,0,OFFSET(ORÇAMENTO!$D$15,CRONO!$F122,0)))
                +IF(AND($F124&lt;&gt;"",$F124&lt;&gt;0),
                        SUMIF(CÁLCULO!$BS$15:$CS$205,CRONO!BA$12,CÁLCULO!$AR$15:$BR$205)/(ORÇAMENTO!$X$15-_xlfn.single(CÁLCULO.TotalAdmLocal))*CRONO!$F124,
                        0),
                 BA123*$S122),
          SUMIF(OFFSET($S124,1,0,$R122-2),($M122+1)&amp;"$",OFFSET(BA124,1,0,$R122-2)))</f>
        <v>0</v>
      </c>
      <c r="BB124" s="439" t="n">
        <f aca="false" t="array" ref="BB124:BB124">IF($R122=2,
         IF(AND(ACOMPANHAMENTO="PLE",ISNUMBER($F122)),
                SUMIF((OFFSET(CÁLCULO!$BS$15:$CS$15,$F122,0,OFFSET(ORÇAMENTO!$D$15,CRONO!$F122,0))),CRONO!BB$12,OFFSET(CÁLCULO!$AR$15:$BR$15,$F122,0,OFFSET(ORÇAMENTO!$D$15,CRONO!$F122,0)))
                +IF(AND($F124&lt;&gt;"",$F124&lt;&gt;0),
                        SUMIF(CÁLCULO!$BS$15:$CS$205,CRONO!BB$12,CÁLCULO!$AR$15:$BR$205)/(ORÇAMENTO!$X$15-_xlfn.single(CÁLCULO.TotalAdmLocal))*CRONO!$F124,
                        0),
                 BB123*$S122),
          SUMIF(OFFSET($S124,1,0,$R122-2),($M122+1)&amp;"$",OFFSET(BB124,1,0,$R122-2)))</f>
        <v>0</v>
      </c>
      <c r="BC124" s="439" t="n">
        <f aca="false" t="array" ref="BC124:BC124">IF($R122=2,
         IF(AND(ACOMPANHAMENTO="PLE",ISNUMBER($F122)),
                SUMIF((OFFSET(CÁLCULO!$BS$15:$CS$15,$F122,0,OFFSET(ORÇAMENTO!$D$15,CRONO!$F122,0))),CRONO!BC$12,OFFSET(CÁLCULO!$AR$15:$BR$15,$F122,0,OFFSET(ORÇAMENTO!$D$15,CRONO!$F122,0)))
                +IF(AND($F124&lt;&gt;"",$F124&lt;&gt;0),
                        SUMIF(CÁLCULO!$BS$15:$CS$205,CRONO!BC$12,CÁLCULO!$AR$15:$BR$205)/(ORÇAMENTO!$X$15-_xlfn.single(CÁLCULO.TotalAdmLocal))*CRONO!$F124,
                        0),
                 BC123*$S122),
          SUMIF(OFFSET($S124,1,0,$R122-2),($M122+1)&amp;"$",OFFSET(BC124,1,0,$R122-2)))</f>
        <v>0</v>
      </c>
      <c r="BD124" s="439" t="n">
        <f aca="false" t="array" ref="BD124:BD124">IF($R122=2,
         IF(AND(ACOMPANHAMENTO="PLE",ISNUMBER($F122)),
                SUMIF((OFFSET(CÁLCULO!$BS$15:$CS$15,$F122,0,OFFSET(ORÇAMENTO!$D$15,CRONO!$F122,0))),CRONO!BD$12,OFFSET(CÁLCULO!$AR$15:$BR$15,$F122,0,OFFSET(ORÇAMENTO!$D$15,CRONO!$F122,0)))
                +IF(AND($F124&lt;&gt;"",$F124&lt;&gt;0),
                        SUMIF(CÁLCULO!$BS$15:$CS$205,CRONO!BD$12,CÁLCULO!$AR$15:$BR$205)/(ORÇAMENTO!$X$15-_xlfn.single(CÁLCULO.TotalAdmLocal))*CRONO!$F124,
                        0),
                 BD123*$S122),
          SUMIF(OFFSET($S124,1,0,$R122-2),($M122+1)&amp;"$",OFFSET(BD124,1,0,$R122-2)))</f>
        <v>0</v>
      </c>
      <c r="BE124" s="430"/>
    </row>
    <row r="125" customFormat="false" ht="12.75" hidden="false" customHeight="false" outlineLevel="0" collapsed="false">
      <c r="A125" s="382" t="str">
        <f aca="false">IF($M125&gt;1,_xlfn.CONCAT($I125," ",$J125),"")</f>
        <v>1.37. ILUMINAÇÃO, TOMADAS E INTERRUPTORES</v>
      </c>
      <c r="B125" s="419" t="n">
        <f aca="true">OFFSET(B125,-3,0)+1</f>
        <v>38</v>
      </c>
      <c r="C125" s="419" t="n">
        <f aca="true">IF($R125&lt;&gt;2,0,IF($S125=0,1,IF(F126&gt;0,OFFSET(QCI!$M$13,SUBSTITUTE(F126,".",""),0),OFFSET(ORÇAMENTO!$AA$15,CRONO!$F125,0))/$S125))</f>
        <v>0.110981526562671</v>
      </c>
      <c r="D125" s="419" t="n">
        <f aca="true">IF($R125&lt;&gt;2,0,IF($S125=0,1,IF(F126&gt;0,OFFSET(QCI!$N$13,SUBSTITUTE(F126,".",""),0),OFFSET(ORÇAMENTO!$AB$15,CRONO!$F125,0))/$S125))</f>
        <v>0</v>
      </c>
      <c r="E125" s="422" t="n">
        <f aca="false" t="array" ref="E125:E125">IF(AND($R125=2,ACOMPANHAMENTO="BM"),ROUND(E126,4),E127/$S125)</f>
        <v>0.04</v>
      </c>
      <c r="F125" s="419" t="n">
        <f aca="true">IF(B125&lt;=ORÇAMENTO.MáximoListaCrono,MATCH(B125,ORÇAMENTO.ListaCrono,0),NA())</f>
        <v>111</v>
      </c>
      <c r="G125" s="419" t="str">
        <f aca="false">IF(AND($F126&lt;&gt;-1,$S125&gt;0),"F","")</f>
        <v>F</v>
      </c>
      <c r="H125" s="423" t="str">
        <f aca="false" t="array" ref="H125:H125">IF(OR(S125=0,S125=""),"Linha",IF(AND(OR(ACOMPANHAMENTO="PLE",$R125&lt;&gt;2),$F126=0),"Linha",ROUND(1-SUM(U125:BE125),4)))</f>
        <v>Linha</v>
      </c>
      <c r="I125" s="424" t="str">
        <f aca="true">IF($F126=0,OFFSET(ORÇAMENTO!O$15,$F125,0),IF($F126&lt;&gt;-1,OFFSET(QCI!$D$13,$F126,0),""))</f>
        <v>1.37.</v>
      </c>
      <c r="J125" s="425" t="str">
        <f aca="true">IF($F126=0,OFFSET(ORÇAMENTO!R$15,$F125,0),IF($F126&lt;&gt;-1,OFFSET(QCI!$G$13,$F126,0),""))</f>
        <v>ILUMINAÇÃO, TOMADAS E INTERRUPTORES</v>
      </c>
      <c r="K125" s="425"/>
      <c r="L125" s="425"/>
      <c r="M125" s="426" t="n">
        <f aca="true">IF($F126=0,OFFSET(ORÇAMENTO!C$15,$F125,0),1)</f>
        <v>2</v>
      </c>
      <c r="N125" s="427" t="n">
        <f aca="true">IF($F126=-1,0,IF(N$13&lt;=$M125,IF(ISERROR(MATCH(N$13,OFFSET($M125,1,0,ROW($M$182)-ROW($M125)-1),0)),ROW($M$182)-ROW($M125)-1,MATCH(N$13,OFFSET($M125,1,0,ROW($M$182)-ROW($M125)-1),0)-1),0))</f>
        <v>56</v>
      </c>
      <c r="O125" s="427" t="n">
        <f aca="true">IF($F126=-1,0,IF(O$13&lt;=$M125,IF(ISERROR(MATCH(O$13,OFFSET($M125,1,0,ROW($M$182)-ROW($M125)-1),0)),ROW($M$182)-ROW($M125)-1,MATCH(O$13,OFFSET($M125,1,0,ROW($M$182)-ROW($M125)-1),0)-1),0))</f>
        <v>2</v>
      </c>
      <c r="P125" s="427" t="n">
        <f aca="true">IF($F126=-1,0,IF(P$13&lt;=$M125,IF(ISERROR(MATCH(P$13,OFFSET($M125,1,0,ROW($M$182)-ROW($M125)-1),0)),ROW($M$182)-ROW($M125)-1,MATCH(P$13,OFFSET($M125,1,0,ROW($M$182)-ROW($M125)-1),0)-1),0))</f>
        <v>0</v>
      </c>
      <c r="Q125" s="427" t="n">
        <f aca="true">IF($F126=-1,0,IF(Q$13&lt;=$M125,IF(ISERROR(MATCH(Q$13,OFFSET($M125,1,0,ROW($M$182)-ROW($M125)-1),0)),ROW($M$182)-ROW($M125)-1,MATCH(Q$13,OFFSET($M125,1,0,ROW($M$182)-ROW($M125)-1),0)-1),0))</f>
        <v>0</v>
      </c>
      <c r="R125" s="427" t="n">
        <f aca="true">MIN(OFFSET(M125,0,1,,M125))</f>
        <v>2</v>
      </c>
      <c r="S125" s="428" t="n">
        <f aca="true">IF($F126=0,OFFSET(ORÇAMENTO!X$15,$F125,0),IF($F126&lt;&gt;-1,OFFSET(QCI!$O$13,$F126,0),""))</f>
        <v>286262.25</v>
      </c>
      <c r="T125" s="429" t="s">
        <v>996</v>
      </c>
      <c r="U125" s="422" t="n">
        <f aca="false" t="array" ref="U125:U125">IF(AND($R125=2,ACOMPANHAMENTO="BM"),ROUND(U126,4),U127/$S125)</f>
        <v>0.04</v>
      </c>
      <c r="V125" s="422" t="n">
        <f aca="false" t="array" ref="V125:V125">IF(AND($R125=2,ACOMPANHAMENTO="BM"),ROUND(V126,4),V127/$S125)</f>
        <v>0.04</v>
      </c>
      <c r="W125" s="422" t="n">
        <f aca="false" t="array" ref="W125:W125">IF(AND($R125=2,ACOMPANHAMENTO="BM"),ROUND(W126,4),W127/$S125)</f>
        <v>0.04</v>
      </c>
      <c r="X125" s="422" t="n">
        <f aca="false" t="array" ref="X125:X125">IF(AND($R125=2,ACOMPANHAMENTO="BM"),ROUND(X126,4),X127/$S125)</f>
        <v>0.04</v>
      </c>
      <c r="Y125" s="422" t="n">
        <f aca="false" t="array" ref="Y125:Y125">IF(AND($R125=2,ACOMPANHAMENTO="BM"),ROUND(Y126,4),Y127/$S125)</f>
        <v>0.04</v>
      </c>
      <c r="Z125" s="422" t="n">
        <f aca="false" t="array" ref="Z125:Z125">IF(AND($R125=2,ACOMPANHAMENTO="BM"),ROUND(Z126,4),Z127/$S125)</f>
        <v>0.04</v>
      </c>
      <c r="AA125" s="422" t="n">
        <f aca="false" t="array" ref="AA125:AA125">IF(AND($R125=2,ACOMPANHAMENTO="BM"),ROUND(AA126,4),AA127/$S125)</f>
        <v>0.04</v>
      </c>
      <c r="AB125" s="422" t="n">
        <f aca="false" t="array" ref="AB125:AB125">IF(AND($R125=2,ACOMPANHAMENTO="BM"),ROUND(AB126,4),AB127/$S125)</f>
        <v>0.04</v>
      </c>
      <c r="AC125" s="422" t="n">
        <f aca="false" t="array" ref="AC125:AC125">IF(AND($R125=2,ACOMPANHAMENTO="BM"),ROUND(AC126,4),AC127/$S125)</f>
        <v>0.04</v>
      </c>
      <c r="AD125" s="422" t="n">
        <f aca="false" t="array" ref="AD125:AD125">IF(AND($R125=2,ACOMPANHAMENTO="BM"),ROUND(AD126,4),AD127/$S125)</f>
        <v>0.04</v>
      </c>
      <c r="AE125" s="422" t="n">
        <f aca="false" t="array" ref="AE125:AE125">IF(AND($R125=2,ACOMPANHAMENTO="BM"),ROUND(AE126,4),AE127/$S125)</f>
        <v>0.04</v>
      </c>
      <c r="AF125" s="422" t="n">
        <f aca="false" t="array" ref="AF125:AF125">IF(AND($R125=2,ACOMPANHAMENTO="BM"),ROUND(AF126,4),AF127/$S125)</f>
        <v>0.04</v>
      </c>
      <c r="AG125" s="422" t="n">
        <f aca="false" t="array" ref="AG125:AG125">IF(AND($R125=2,ACOMPANHAMENTO="BM"),ROUND(AG126,4),AG127/$S125)</f>
        <v>0.04</v>
      </c>
      <c r="AH125" s="422" t="n">
        <f aca="false" t="array" ref="AH125:AH125">IF(AND($R125=2,ACOMPANHAMENTO="BM"),ROUND(AH126,4),AH127/$S125)</f>
        <v>0.04</v>
      </c>
      <c r="AI125" s="422" t="n">
        <f aca="false" t="array" ref="AI125:AI125">IF(AND($R125=2,ACOMPANHAMENTO="BM"),ROUND(AI126,4),AI127/$S125)</f>
        <v>0.04</v>
      </c>
      <c r="AJ125" s="422" t="n">
        <f aca="false" t="array" ref="AJ125:AJ125">IF(AND($R125=2,ACOMPANHAMENTO="BM"),ROUND(AJ126,4),AJ127/$S125)</f>
        <v>0.04</v>
      </c>
      <c r="AK125" s="422" t="n">
        <f aca="false" t="array" ref="AK125:AK125">IF(AND($R125=2,ACOMPANHAMENTO="BM"),ROUND(AK126,4),AK127/$S125)</f>
        <v>0.04</v>
      </c>
      <c r="AL125" s="422" t="n">
        <f aca="false" t="array" ref="AL125:AL125">IF(AND($R125=2,ACOMPANHAMENTO="BM"),ROUND(AL126,4),AL127/$S125)</f>
        <v>0.04</v>
      </c>
      <c r="AM125" s="422" t="n">
        <f aca="false" t="array" ref="AM125:AM125">IF(AND($R125=2,ACOMPANHAMENTO="BM"),ROUND(AM126,4),AM127/$S125)</f>
        <v>0.04</v>
      </c>
      <c r="AN125" s="422" t="n">
        <f aca="false" t="array" ref="AN125:AN125">IF(AND($R125=2,ACOMPANHAMENTO="BM"),ROUND(AN126,4),AN127/$S125)</f>
        <v>0.04</v>
      </c>
      <c r="AO125" s="422" t="n">
        <f aca="false" t="array" ref="AO125:AO125">IF(AND($R125=2,ACOMPANHAMENTO="BM"),ROUND(AO126,4),AO127/$S125)</f>
        <v>0.04</v>
      </c>
      <c r="AP125" s="422" t="n">
        <f aca="false" t="array" ref="AP125:AP125">IF(AND($R125=2,ACOMPANHAMENTO="BM"),ROUND(AP126,4),AP127/$S125)</f>
        <v>0.04</v>
      </c>
      <c r="AQ125" s="422" t="n">
        <f aca="false" t="array" ref="AQ125:AQ125">IF(AND($R125=2,ACOMPANHAMENTO="BM"),ROUND(AQ126,4),AQ127/$S125)</f>
        <v>0.04</v>
      </c>
      <c r="AR125" s="422" t="n">
        <f aca="false" t="array" ref="AR125:AR125">IF(AND($R125=2,ACOMPANHAMENTO="BM"),ROUND(AR126,4),AR127/$S125)</f>
        <v>0.04</v>
      </c>
      <c r="AS125" s="422" t="n">
        <f aca="false" t="array" ref="AS125:AS125">IF(AND($R125=2,ACOMPANHAMENTO="BM"),ROUND(AS126,4),AS127/$S125)</f>
        <v>0.04</v>
      </c>
      <c r="AT125" s="422" t="n">
        <f aca="false" t="array" ref="AT125:AT125">IF(AND($R125=2,ACOMPANHAMENTO="BM"),ROUND(AT126,4),AT127/$S125)</f>
        <v>0</v>
      </c>
      <c r="AU125" s="422" t="n">
        <f aca="false" t="array" ref="AU125:AU125">IF(AND($R125=2,ACOMPANHAMENTO="BM"),ROUND(AU126,4),AU127/$S125)</f>
        <v>0</v>
      </c>
      <c r="AV125" s="422" t="n">
        <f aca="false" t="array" ref="AV125:AV125">IF(AND($R125=2,ACOMPANHAMENTO="BM"),ROUND(AV126,4),AV127/$S125)</f>
        <v>0</v>
      </c>
      <c r="AW125" s="422" t="n">
        <f aca="false" t="array" ref="AW125:AW125">IF(AND($R125=2,ACOMPANHAMENTO="BM"),ROUND(AW126,4),AW127/$S125)</f>
        <v>0</v>
      </c>
      <c r="AX125" s="422" t="n">
        <f aca="false" t="array" ref="AX125:AX125">IF(AND($R125=2,ACOMPANHAMENTO="BM"),ROUND(AX126,4),AX127/$S125)</f>
        <v>0</v>
      </c>
      <c r="AY125" s="422" t="n">
        <f aca="false" t="array" ref="AY125:AY125">IF(AND($R125=2,ACOMPANHAMENTO="BM"),ROUND(AY126,4),AY127/$S125)</f>
        <v>0</v>
      </c>
      <c r="AZ125" s="422" t="n">
        <f aca="false" t="array" ref="AZ125:AZ125">IF(AND($R125=2,ACOMPANHAMENTO="BM"),ROUND(AZ126,4),AZ127/$S125)</f>
        <v>0</v>
      </c>
      <c r="BA125" s="422" t="n">
        <f aca="false" t="array" ref="BA125:BA125">IF(AND($R125=2,ACOMPANHAMENTO="BM"),ROUND(BA126,4),BA127/$S125)</f>
        <v>0</v>
      </c>
      <c r="BB125" s="422" t="n">
        <f aca="false" t="array" ref="BB125:BB125">IF(AND($R125=2,ACOMPANHAMENTO="BM"),ROUND(BB126,4),BB127/$S125)</f>
        <v>0</v>
      </c>
      <c r="BC125" s="422" t="n">
        <f aca="false" t="array" ref="BC125:BC125">IF(AND($R125=2,ACOMPANHAMENTO="BM"),ROUND(BC126,4),BC127/$S125)</f>
        <v>0</v>
      </c>
      <c r="BD125" s="422" t="n">
        <f aca="false" t="array" ref="BD125:BD125">IF(AND($R125=2,ACOMPANHAMENTO="BM"),ROUND(BD126,4),BD127/$S125)</f>
        <v>0</v>
      </c>
      <c r="BE125" s="430"/>
    </row>
    <row r="126" customFormat="false" ht="12.75" hidden="true" customHeight="true" outlineLevel="0" collapsed="false">
      <c r="E126" s="431"/>
      <c r="F126" s="419" t="n">
        <f aca="true">IF(ISERROR(F125),IF(1+COUNTIF($M$13:OFFSET(M125,-1,0),1)&lt;=MAX(QCI!$D$13:$D$15),1+COUNTIF($M$13:OFFSET(M125,-1,0),1),-1),0)</f>
        <v>0</v>
      </c>
      <c r="G126" s="419" t="str">
        <f aca="true" t="array" ref="G126:G126">IF(ACOMPANHAMENTO="BM",OFFSET(G126,-1,0),"")</f>
        <v/>
      </c>
      <c r="H126" s="432" t="str">
        <f aca="false" t="array" ref="H126:H126">IF(OR(S125=0,S125=""),"vazia",IF(AND(OR(ACOMPANHAMENTO="PLE",$R125&lt;&gt;2),$F126=0),"calculada","--&gt;"))</f>
        <v>calculada</v>
      </c>
      <c r="I126" s="433"/>
      <c r="J126" s="434" t="str">
        <f aca="false">IF(AND(H125&lt;&gt;0,ISNUMBER(H125)),"PREENCHA ESTA LINHA --&gt;","")</f>
        <v/>
      </c>
      <c r="K126" s="434"/>
      <c r="L126" s="434"/>
      <c r="M126" s="435"/>
      <c r="N126" s="435"/>
      <c r="O126" s="435"/>
      <c r="P126" s="435"/>
      <c r="Q126" s="435"/>
      <c r="R126" s="435"/>
      <c r="S126" s="436"/>
      <c r="T126" s="437"/>
      <c r="U126" s="431"/>
      <c r="V126" s="431"/>
      <c r="W126" s="431"/>
      <c r="X126" s="431"/>
      <c r="Y126" s="431"/>
      <c r="Z126" s="431"/>
      <c r="AA126" s="431"/>
      <c r="AB126" s="431"/>
      <c r="AC126" s="431"/>
      <c r="AD126" s="431"/>
      <c r="AE126" s="431"/>
      <c r="AF126" s="431"/>
      <c r="AG126" s="431"/>
      <c r="AH126" s="431"/>
      <c r="AI126" s="431"/>
      <c r="AJ126" s="431"/>
      <c r="AK126" s="431"/>
      <c r="AL126" s="431"/>
      <c r="AM126" s="431"/>
      <c r="AN126" s="431"/>
      <c r="AO126" s="431"/>
      <c r="AP126" s="431"/>
      <c r="AQ126" s="431"/>
      <c r="AR126" s="431"/>
      <c r="AS126" s="431"/>
      <c r="AT126" s="431"/>
      <c r="AU126" s="431"/>
      <c r="AV126" s="431"/>
      <c r="AW126" s="431"/>
      <c r="AX126" s="431"/>
      <c r="AY126" s="431"/>
      <c r="AZ126" s="431"/>
      <c r="BA126" s="431"/>
      <c r="BB126" s="431"/>
      <c r="BC126" s="431"/>
      <c r="BD126" s="431"/>
      <c r="BE126" s="430"/>
    </row>
    <row r="127" customFormat="false" ht="12.75" hidden="true" customHeight="true" outlineLevel="0" collapsed="false">
      <c r="D127" s="438"/>
      <c r="E127" s="439" t="n">
        <f aca="false" t="array" ref="E127:E127">IF($R125=2,
         IF(AND(ACOMPANHAMENTO="PLE",ISNUMBER($F125)),
                SUMIF((OFFSET(CÁLCULO!$BS$15:$CS$15,$F125,0,OFFSET(ORÇAMENTO!$D$15,CRONO!$F125,0))),CRONO!E$12,OFFSET(CÁLCULO!$AR$15:$BR$15,$F125,0,OFFSET(ORÇAMENTO!$D$15,CRONO!$F125,0)))
                +IF(AND($F127&lt;&gt;"",$F127&lt;&gt;0),
                        SUMIF(CÁLCULO!$BS$15:$CS$205,CRONO!E$12,CÁLCULO!$AR$15:$BR$205)/(ORÇAMENTO!$X$15-_xlfn.single(CÁLCULO.TotalAdmLocal))*CRONO!$F127,
                        0),
                 E126*$S125),
          SUMIF(OFFSET($S127,1,0,$R125-2),($M125+1)&amp;"$",OFFSET(E127,1,0,$R125-2)))</f>
        <v>11450.49</v>
      </c>
      <c r="F127" s="419" t="str">
        <f aca="true">IF(OR($R125&lt;&gt;2,AUTOEVENTO&lt;&gt;"manual",$F126&gt;0),"",
        IF(Import.TipoArredondamento="Tradicional",
              SUMIF(OFFSET(CÁLCULO!$M$15,CRONO!$F125,0,OFFSET(ORÇAMENTO!$D$15,CRONO!$F125,0)),1,OFFSET(ORÇAMENTO!$X$15,CRONO!$F125,0,OFFSET(ORÇAMENTO!$D$15,CRONO!$F125,0))),
              0))</f>
        <v/>
      </c>
      <c r="H127" s="440"/>
      <c r="S127" s="441" t="str">
        <f aca="false">M125&amp;"$"</f>
        <v>2$</v>
      </c>
      <c r="T127" s="442"/>
      <c r="U127" s="439" t="n">
        <f aca="false" t="array" ref="U127:U127">IF($R125=2,
         IF(AND(ACOMPANHAMENTO="PLE",ISNUMBER($F125)),
                SUMIF((OFFSET(CÁLCULO!$BS$15:$CS$15,$F125,0,OFFSET(ORÇAMENTO!$D$15,CRONO!$F125,0))),CRONO!U$12,OFFSET(CÁLCULO!$AR$15:$BR$15,$F125,0,OFFSET(ORÇAMENTO!$D$15,CRONO!$F125,0)))
                +IF(AND($F127&lt;&gt;"",$F127&lt;&gt;0),
                        SUMIF(CÁLCULO!$BS$15:$CS$205,CRONO!U$12,CÁLCULO!$AR$15:$BR$205)/(ORÇAMENTO!$X$15-_xlfn.single(CÁLCULO.TotalAdmLocal))*CRONO!$F127,
                        0),
                 U126*$S125),
          SUMIF(OFFSET($S127,1,0,$R125-2),($M125+1)&amp;"$",OFFSET(U127,1,0,$R125-2)))</f>
        <v>11450.49</v>
      </c>
      <c r="V127" s="439" t="n">
        <f aca="false" t="array" ref="V127:V127">IF($R125=2,
         IF(AND(ACOMPANHAMENTO="PLE",ISNUMBER($F125)),
                SUMIF((OFFSET(CÁLCULO!$BS$15:$CS$15,$F125,0,OFFSET(ORÇAMENTO!$D$15,CRONO!$F125,0))),CRONO!V$12,OFFSET(CÁLCULO!$AR$15:$BR$15,$F125,0,OFFSET(ORÇAMENTO!$D$15,CRONO!$F125,0)))
                +IF(AND($F127&lt;&gt;"",$F127&lt;&gt;0),
                        SUMIF(CÁLCULO!$BS$15:$CS$205,CRONO!V$12,CÁLCULO!$AR$15:$BR$205)/(ORÇAMENTO!$X$15-_xlfn.single(CÁLCULO.TotalAdmLocal))*CRONO!$F127,
                        0),
                 V126*$S125),
          SUMIF(OFFSET($S127,1,0,$R125-2),($M125+1)&amp;"$",OFFSET(V127,1,0,$R125-2)))</f>
        <v>11450.49</v>
      </c>
      <c r="W127" s="439" t="n">
        <f aca="false" t="array" ref="W127:W127">IF($R125=2,
         IF(AND(ACOMPANHAMENTO="PLE",ISNUMBER($F125)),
                SUMIF((OFFSET(CÁLCULO!$BS$15:$CS$15,$F125,0,OFFSET(ORÇAMENTO!$D$15,CRONO!$F125,0))),CRONO!W$12,OFFSET(CÁLCULO!$AR$15:$BR$15,$F125,0,OFFSET(ORÇAMENTO!$D$15,CRONO!$F125,0)))
                +IF(AND($F127&lt;&gt;"",$F127&lt;&gt;0),
                        SUMIF(CÁLCULO!$BS$15:$CS$205,CRONO!W$12,CÁLCULO!$AR$15:$BR$205)/(ORÇAMENTO!$X$15-_xlfn.single(CÁLCULO.TotalAdmLocal))*CRONO!$F127,
                        0),
                 W126*$S125),
          SUMIF(OFFSET($S127,1,0,$R125-2),($M125+1)&amp;"$",OFFSET(W127,1,0,$R125-2)))</f>
        <v>11450.49</v>
      </c>
      <c r="X127" s="439" t="n">
        <f aca="false" t="array" ref="X127:X127">IF($R125=2,
         IF(AND(ACOMPANHAMENTO="PLE",ISNUMBER($F125)),
                SUMIF((OFFSET(CÁLCULO!$BS$15:$CS$15,$F125,0,OFFSET(ORÇAMENTO!$D$15,CRONO!$F125,0))),CRONO!X$12,OFFSET(CÁLCULO!$AR$15:$BR$15,$F125,0,OFFSET(ORÇAMENTO!$D$15,CRONO!$F125,0)))
                +IF(AND($F127&lt;&gt;"",$F127&lt;&gt;0),
                        SUMIF(CÁLCULO!$BS$15:$CS$205,CRONO!X$12,CÁLCULO!$AR$15:$BR$205)/(ORÇAMENTO!$X$15-_xlfn.single(CÁLCULO.TotalAdmLocal))*CRONO!$F127,
                        0),
                 X126*$S125),
          SUMIF(OFFSET($S127,1,0,$R125-2),($M125+1)&amp;"$",OFFSET(X127,1,0,$R125-2)))</f>
        <v>11450.49</v>
      </c>
      <c r="Y127" s="439" t="n">
        <f aca="false" t="array" ref="Y127:Y127">IF($R125=2,
         IF(AND(ACOMPANHAMENTO="PLE",ISNUMBER($F125)),
                SUMIF((OFFSET(CÁLCULO!$BS$15:$CS$15,$F125,0,OFFSET(ORÇAMENTO!$D$15,CRONO!$F125,0))),CRONO!Y$12,OFFSET(CÁLCULO!$AR$15:$BR$15,$F125,0,OFFSET(ORÇAMENTO!$D$15,CRONO!$F125,0)))
                +IF(AND($F127&lt;&gt;"",$F127&lt;&gt;0),
                        SUMIF(CÁLCULO!$BS$15:$CS$205,CRONO!Y$12,CÁLCULO!$AR$15:$BR$205)/(ORÇAMENTO!$X$15-_xlfn.single(CÁLCULO.TotalAdmLocal))*CRONO!$F127,
                        0),
                 Y126*$S125),
          SUMIF(OFFSET($S127,1,0,$R125-2),($M125+1)&amp;"$",OFFSET(Y127,1,0,$R125-2)))</f>
        <v>11450.49</v>
      </c>
      <c r="Z127" s="439" t="n">
        <f aca="false" t="array" ref="Z127:Z127">IF($R125=2,
         IF(AND(ACOMPANHAMENTO="PLE",ISNUMBER($F125)),
                SUMIF((OFFSET(CÁLCULO!$BS$15:$CS$15,$F125,0,OFFSET(ORÇAMENTO!$D$15,CRONO!$F125,0))),CRONO!Z$12,OFFSET(CÁLCULO!$AR$15:$BR$15,$F125,0,OFFSET(ORÇAMENTO!$D$15,CRONO!$F125,0)))
                +IF(AND($F127&lt;&gt;"",$F127&lt;&gt;0),
                        SUMIF(CÁLCULO!$BS$15:$CS$205,CRONO!Z$12,CÁLCULO!$AR$15:$BR$205)/(ORÇAMENTO!$X$15-_xlfn.single(CÁLCULO.TotalAdmLocal))*CRONO!$F127,
                        0),
                 Z126*$S125),
          SUMIF(OFFSET($S127,1,0,$R125-2),($M125+1)&amp;"$",OFFSET(Z127,1,0,$R125-2)))</f>
        <v>11450.49</v>
      </c>
      <c r="AA127" s="439" t="n">
        <f aca="false" t="array" ref="AA127:AA127">IF($R125=2,
         IF(AND(ACOMPANHAMENTO="PLE",ISNUMBER($F125)),
                SUMIF((OFFSET(CÁLCULO!$BS$15:$CS$15,$F125,0,OFFSET(ORÇAMENTO!$D$15,CRONO!$F125,0))),CRONO!AA$12,OFFSET(CÁLCULO!$AR$15:$BR$15,$F125,0,OFFSET(ORÇAMENTO!$D$15,CRONO!$F125,0)))
                +IF(AND($F127&lt;&gt;"",$F127&lt;&gt;0),
                        SUMIF(CÁLCULO!$BS$15:$CS$205,CRONO!AA$12,CÁLCULO!$AR$15:$BR$205)/(ORÇAMENTO!$X$15-_xlfn.single(CÁLCULO.TotalAdmLocal))*CRONO!$F127,
                        0),
                 AA126*$S125),
          SUMIF(OFFSET($S127,1,0,$R125-2),($M125+1)&amp;"$",OFFSET(AA127,1,0,$R125-2)))</f>
        <v>11450.49</v>
      </c>
      <c r="AB127" s="439" t="n">
        <f aca="false" t="array" ref="AB127:AB127">IF($R125=2,
         IF(AND(ACOMPANHAMENTO="PLE",ISNUMBER($F125)),
                SUMIF((OFFSET(CÁLCULO!$BS$15:$CS$15,$F125,0,OFFSET(ORÇAMENTO!$D$15,CRONO!$F125,0))),CRONO!AB$12,OFFSET(CÁLCULO!$AR$15:$BR$15,$F125,0,OFFSET(ORÇAMENTO!$D$15,CRONO!$F125,0)))
                +IF(AND($F127&lt;&gt;"",$F127&lt;&gt;0),
                        SUMIF(CÁLCULO!$BS$15:$CS$205,CRONO!AB$12,CÁLCULO!$AR$15:$BR$205)/(ORÇAMENTO!$X$15-_xlfn.single(CÁLCULO.TotalAdmLocal))*CRONO!$F127,
                        0),
                 AB126*$S125),
          SUMIF(OFFSET($S127,1,0,$R125-2),($M125+1)&amp;"$",OFFSET(AB127,1,0,$R125-2)))</f>
        <v>11450.49</v>
      </c>
      <c r="AC127" s="439" t="n">
        <f aca="false" t="array" ref="AC127:AC127">IF($R125=2,
         IF(AND(ACOMPANHAMENTO="PLE",ISNUMBER($F125)),
                SUMIF((OFFSET(CÁLCULO!$BS$15:$CS$15,$F125,0,OFFSET(ORÇAMENTO!$D$15,CRONO!$F125,0))),CRONO!AC$12,OFFSET(CÁLCULO!$AR$15:$BR$15,$F125,0,OFFSET(ORÇAMENTO!$D$15,CRONO!$F125,0)))
                +IF(AND($F127&lt;&gt;"",$F127&lt;&gt;0),
                        SUMIF(CÁLCULO!$BS$15:$CS$205,CRONO!AC$12,CÁLCULO!$AR$15:$BR$205)/(ORÇAMENTO!$X$15-_xlfn.single(CÁLCULO.TotalAdmLocal))*CRONO!$F127,
                        0),
                 AC126*$S125),
          SUMIF(OFFSET($S127,1,0,$R125-2),($M125+1)&amp;"$",OFFSET(AC127,1,0,$R125-2)))</f>
        <v>11450.49</v>
      </c>
      <c r="AD127" s="439" t="n">
        <f aca="false" t="array" ref="AD127:AD127">IF($R125=2,
         IF(AND(ACOMPANHAMENTO="PLE",ISNUMBER($F125)),
                SUMIF((OFFSET(CÁLCULO!$BS$15:$CS$15,$F125,0,OFFSET(ORÇAMENTO!$D$15,CRONO!$F125,0))),CRONO!AD$12,OFFSET(CÁLCULO!$AR$15:$BR$15,$F125,0,OFFSET(ORÇAMENTO!$D$15,CRONO!$F125,0)))
                +IF(AND($F127&lt;&gt;"",$F127&lt;&gt;0),
                        SUMIF(CÁLCULO!$BS$15:$CS$205,CRONO!AD$12,CÁLCULO!$AR$15:$BR$205)/(ORÇAMENTO!$X$15-_xlfn.single(CÁLCULO.TotalAdmLocal))*CRONO!$F127,
                        0),
                 AD126*$S125),
          SUMIF(OFFSET($S127,1,0,$R125-2),($M125+1)&amp;"$",OFFSET(AD127,1,0,$R125-2)))</f>
        <v>11450.49</v>
      </c>
      <c r="AE127" s="439" t="n">
        <f aca="false" t="array" ref="AE127:AE127">IF($R125=2,
         IF(AND(ACOMPANHAMENTO="PLE",ISNUMBER($F125)),
                SUMIF((OFFSET(CÁLCULO!$BS$15:$CS$15,$F125,0,OFFSET(ORÇAMENTO!$D$15,CRONO!$F125,0))),CRONO!AE$12,OFFSET(CÁLCULO!$AR$15:$BR$15,$F125,0,OFFSET(ORÇAMENTO!$D$15,CRONO!$F125,0)))
                +IF(AND($F127&lt;&gt;"",$F127&lt;&gt;0),
                        SUMIF(CÁLCULO!$BS$15:$CS$205,CRONO!AE$12,CÁLCULO!$AR$15:$BR$205)/(ORÇAMENTO!$X$15-_xlfn.single(CÁLCULO.TotalAdmLocal))*CRONO!$F127,
                        0),
                 AE126*$S125),
          SUMIF(OFFSET($S127,1,0,$R125-2),($M125+1)&amp;"$",OFFSET(AE127,1,0,$R125-2)))</f>
        <v>11450.49</v>
      </c>
      <c r="AF127" s="439" t="n">
        <f aca="false" t="array" ref="AF127:AF127">IF($R125=2,
         IF(AND(ACOMPANHAMENTO="PLE",ISNUMBER($F125)),
                SUMIF((OFFSET(CÁLCULO!$BS$15:$CS$15,$F125,0,OFFSET(ORÇAMENTO!$D$15,CRONO!$F125,0))),CRONO!AF$12,OFFSET(CÁLCULO!$AR$15:$BR$15,$F125,0,OFFSET(ORÇAMENTO!$D$15,CRONO!$F125,0)))
                +IF(AND($F127&lt;&gt;"",$F127&lt;&gt;0),
                        SUMIF(CÁLCULO!$BS$15:$CS$205,CRONO!AF$12,CÁLCULO!$AR$15:$BR$205)/(ORÇAMENTO!$X$15-_xlfn.single(CÁLCULO.TotalAdmLocal))*CRONO!$F127,
                        0),
                 AF126*$S125),
          SUMIF(OFFSET($S127,1,0,$R125-2),($M125+1)&amp;"$",OFFSET(AF127,1,0,$R125-2)))</f>
        <v>11450.49</v>
      </c>
      <c r="AG127" s="439" t="n">
        <f aca="false" t="array" ref="AG127:AG127">IF($R125=2,
         IF(AND(ACOMPANHAMENTO="PLE",ISNUMBER($F125)),
                SUMIF((OFFSET(CÁLCULO!$BS$15:$CS$15,$F125,0,OFFSET(ORÇAMENTO!$D$15,CRONO!$F125,0))),CRONO!AG$12,OFFSET(CÁLCULO!$AR$15:$BR$15,$F125,0,OFFSET(ORÇAMENTO!$D$15,CRONO!$F125,0)))
                +IF(AND($F127&lt;&gt;"",$F127&lt;&gt;0),
                        SUMIF(CÁLCULO!$BS$15:$CS$205,CRONO!AG$12,CÁLCULO!$AR$15:$BR$205)/(ORÇAMENTO!$X$15-_xlfn.single(CÁLCULO.TotalAdmLocal))*CRONO!$F127,
                        0),
                 AG126*$S125),
          SUMIF(OFFSET($S127,1,0,$R125-2),($M125+1)&amp;"$",OFFSET(AG127,1,0,$R125-2)))</f>
        <v>11450.49</v>
      </c>
      <c r="AH127" s="439" t="n">
        <f aca="false" t="array" ref="AH127:AH127">IF($R125=2,
         IF(AND(ACOMPANHAMENTO="PLE",ISNUMBER($F125)),
                SUMIF((OFFSET(CÁLCULO!$BS$15:$CS$15,$F125,0,OFFSET(ORÇAMENTO!$D$15,CRONO!$F125,0))),CRONO!AH$12,OFFSET(CÁLCULO!$AR$15:$BR$15,$F125,0,OFFSET(ORÇAMENTO!$D$15,CRONO!$F125,0)))
                +IF(AND($F127&lt;&gt;"",$F127&lt;&gt;0),
                        SUMIF(CÁLCULO!$BS$15:$CS$205,CRONO!AH$12,CÁLCULO!$AR$15:$BR$205)/(ORÇAMENTO!$X$15-_xlfn.single(CÁLCULO.TotalAdmLocal))*CRONO!$F127,
                        0),
                 AH126*$S125),
          SUMIF(OFFSET($S127,1,0,$R125-2),($M125+1)&amp;"$",OFFSET(AH127,1,0,$R125-2)))</f>
        <v>11450.49</v>
      </c>
      <c r="AI127" s="439" t="n">
        <f aca="false" t="array" ref="AI127:AI127">IF($R125=2,
         IF(AND(ACOMPANHAMENTO="PLE",ISNUMBER($F125)),
                SUMIF((OFFSET(CÁLCULO!$BS$15:$CS$15,$F125,0,OFFSET(ORÇAMENTO!$D$15,CRONO!$F125,0))),CRONO!AI$12,OFFSET(CÁLCULO!$AR$15:$BR$15,$F125,0,OFFSET(ORÇAMENTO!$D$15,CRONO!$F125,0)))
                +IF(AND($F127&lt;&gt;"",$F127&lt;&gt;0),
                        SUMIF(CÁLCULO!$BS$15:$CS$205,CRONO!AI$12,CÁLCULO!$AR$15:$BR$205)/(ORÇAMENTO!$X$15-_xlfn.single(CÁLCULO.TotalAdmLocal))*CRONO!$F127,
                        0),
                 AI126*$S125),
          SUMIF(OFFSET($S127,1,0,$R125-2),($M125+1)&amp;"$",OFFSET(AI127,1,0,$R125-2)))</f>
        <v>11450.49</v>
      </c>
      <c r="AJ127" s="439" t="n">
        <f aca="false" t="array" ref="AJ127:AJ127">IF($R125=2,
         IF(AND(ACOMPANHAMENTO="PLE",ISNUMBER($F125)),
                SUMIF((OFFSET(CÁLCULO!$BS$15:$CS$15,$F125,0,OFFSET(ORÇAMENTO!$D$15,CRONO!$F125,0))),CRONO!AJ$12,OFFSET(CÁLCULO!$AR$15:$BR$15,$F125,0,OFFSET(ORÇAMENTO!$D$15,CRONO!$F125,0)))
                +IF(AND($F127&lt;&gt;"",$F127&lt;&gt;0),
                        SUMIF(CÁLCULO!$BS$15:$CS$205,CRONO!AJ$12,CÁLCULO!$AR$15:$BR$205)/(ORÇAMENTO!$X$15-_xlfn.single(CÁLCULO.TotalAdmLocal))*CRONO!$F127,
                        0),
                 AJ126*$S125),
          SUMIF(OFFSET($S127,1,0,$R125-2),($M125+1)&amp;"$",OFFSET(AJ127,1,0,$R125-2)))</f>
        <v>11450.49</v>
      </c>
      <c r="AK127" s="439" t="n">
        <f aca="false" t="array" ref="AK127:AK127">IF($R125=2,
         IF(AND(ACOMPANHAMENTO="PLE",ISNUMBER($F125)),
                SUMIF((OFFSET(CÁLCULO!$BS$15:$CS$15,$F125,0,OFFSET(ORÇAMENTO!$D$15,CRONO!$F125,0))),CRONO!AK$12,OFFSET(CÁLCULO!$AR$15:$BR$15,$F125,0,OFFSET(ORÇAMENTO!$D$15,CRONO!$F125,0)))
                +IF(AND($F127&lt;&gt;"",$F127&lt;&gt;0),
                        SUMIF(CÁLCULO!$BS$15:$CS$205,CRONO!AK$12,CÁLCULO!$AR$15:$BR$205)/(ORÇAMENTO!$X$15-_xlfn.single(CÁLCULO.TotalAdmLocal))*CRONO!$F127,
                        0),
                 AK126*$S125),
          SUMIF(OFFSET($S127,1,0,$R125-2),($M125+1)&amp;"$",OFFSET(AK127,1,0,$R125-2)))</f>
        <v>11450.49</v>
      </c>
      <c r="AL127" s="439" t="n">
        <f aca="false" t="array" ref="AL127:AL127">IF($R125=2,
         IF(AND(ACOMPANHAMENTO="PLE",ISNUMBER($F125)),
                SUMIF((OFFSET(CÁLCULO!$BS$15:$CS$15,$F125,0,OFFSET(ORÇAMENTO!$D$15,CRONO!$F125,0))),CRONO!AL$12,OFFSET(CÁLCULO!$AR$15:$BR$15,$F125,0,OFFSET(ORÇAMENTO!$D$15,CRONO!$F125,0)))
                +IF(AND($F127&lt;&gt;"",$F127&lt;&gt;0),
                        SUMIF(CÁLCULO!$BS$15:$CS$205,CRONO!AL$12,CÁLCULO!$AR$15:$BR$205)/(ORÇAMENTO!$X$15-_xlfn.single(CÁLCULO.TotalAdmLocal))*CRONO!$F127,
                        0),
                 AL126*$S125),
          SUMIF(OFFSET($S127,1,0,$R125-2),($M125+1)&amp;"$",OFFSET(AL127,1,0,$R125-2)))</f>
        <v>11450.49</v>
      </c>
      <c r="AM127" s="439" t="n">
        <f aca="false" t="array" ref="AM127:AM127">IF($R125=2,
         IF(AND(ACOMPANHAMENTO="PLE",ISNUMBER($F125)),
                SUMIF((OFFSET(CÁLCULO!$BS$15:$CS$15,$F125,0,OFFSET(ORÇAMENTO!$D$15,CRONO!$F125,0))),CRONO!AM$12,OFFSET(CÁLCULO!$AR$15:$BR$15,$F125,0,OFFSET(ORÇAMENTO!$D$15,CRONO!$F125,0)))
                +IF(AND($F127&lt;&gt;"",$F127&lt;&gt;0),
                        SUMIF(CÁLCULO!$BS$15:$CS$205,CRONO!AM$12,CÁLCULO!$AR$15:$BR$205)/(ORÇAMENTO!$X$15-_xlfn.single(CÁLCULO.TotalAdmLocal))*CRONO!$F127,
                        0),
                 AM126*$S125),
          SUMIF(OFFSET($S127,1,0,$R125-2),($M125+1)&amp;"$",OFFSET(AM127,1,0,$R125-2)))</f>
        <v>11450.49</v>
      </c>
      <c r="AN127" s="439" t="n">
        <f aca="false" t="array" ref="AN127:AN127">IF($R125=2,
         IF(AND(ACOMPANHAMENTO="PLE",ISNUMBER($F125)),
                SUMIF((OFFSET(CÁLCULO!$BS$15:$CS$15,$F125,0,OFFSET(ORÇAMENTO!$D$15,CRONO!$F125,0))),CRONO!AN$12,OFFSET(CÁLCULO!$AR$15:$BR$15,$F125,0,OFFSET(ORÇAMENTO!$D$15,CRONO!$F125,0)))
                +IF(AND($F127&lt;&gt;"",$F127&lt;&gt;0),
                        SUMIF(CÁLCULO!$BS$15:$CS$205,CRONO!AN$12,CÁLCULO!$AR$15:$BR$205)/(ORÇAMENTO!$X$15-_xlfn.single(CÁLCULO.TotalAdmLocal))*CRONO!$F127,
                        0),
                 AN126*$S125),
          SUMIF(OFFSET($S127,1,0,$R125-2),($M125+1)&amp;"$",OFFSET(AN127,1,0,$R125-2)))</f>
        <v>11450.49</v>
      </c>
      <c r="AO127" s="439" t="n">
        <f aca="false" t="array" ref="AO127:AO127">IF($R125=2,
         IF(AND(ACOMPANHAMENTO="PLE",ISNUMBER($F125)),
                SUMIF((OFFSET(CÁLCULO!$BS$15:$CS$15,$F125,0,OFFSET(ORÇAMENTO!$D$15,CRONO!$F125,0))),CRONO!AO$12,OFFSET(CÁLCULO!$AR$15:$BR$15,$F125,0,OFFSET(ORÇAMENTO!$D$15,CRONO!$F125,0)))
                +IF(AND($F127&lt;&gt;"",$F127&lt;&gt;0),
                        SUMIF(CÁLCULO!$BS$15:$CS$205,CRONO!AO$12,CÁLCULO!$AR$15:$BR$205)/(ORÇAMENTO!$X$15-_xlfn.single(CÁLCULO.TotalAdmLocal))*CRONO!$F127,
                        0),
                 AO126*$S125),
          SUMIF(OFFSET($S127,1,0,$R125-2),($M125+1)&amp;"$",OFFSET(AO127,1,0,$R125-2)))</f>
        <v>11450.49</v>
      </c>
      <c r="AP127" s="439" t="n">
        <f aca="false" t="array" ref="AP127:AP127">IF($R125=2,
         IF(AND(ACOMPANHAMENTO="PLE",ISNUMBER($F125)),
                SUMIF((OFFSET(CÁLCULO!$BS$15:$CS$15,$F125,0,OFFSET(ORÇAMENTO!$D$15,CRONO!$F125,0))),CRONO!AP$12,OFFSET(CÁLCULO!$AR$15:$BR$15,$F125,0,OFFSET(ORÇAMENTO!$D$15,CRONO!$F125,0)))
                +IF(AND($F127&lt;&gt;"",$F127&lt;&gt;0),
                        SUMIF(CÁLCULO!$BS$15:$CS$205,CRONO!AP$12,CÁLCULO!$AR$15:$BR$205)/(ORÇAMENTO!$X$15-_xlfn.single(CÁLCULO.TotalAdmLocal))*CRONO!$F127,
                        0),
                 AP126*$S125),
          SUMIF(OFFSET($S127,1,0,$R125-2),($M125+1)&amp;"$",OFFSET(AP127,1,0,$R125-2)))</f>
        <v>11450.49</v>
      </c>
      <c r="AQ127" s="439" t="n">
        <f aca="false" t="array" ref="AQ127:AQ127">IF($R125=2,
         IF(AND(ACOMPANHAMENTO="PLE",ISNUMBER($F125)),
                SUMIF((OFFSET(CÁLCULO!$BS$15:$CS$15,$F125,0,OFFSET(ORÇAMENTO!$D$15,CRONO!$F125,0))),CRONO!AQ$12,OFFSET(CÁLCULO!$AR$15:$BR$15,$F125,0,OFFSET(ORÇAMENTO!$D$15,CRONO!$F125,0)))
                +IF(AND($F127&lt;&gt;"",$F127&lt;&gt;0),
                        SUMIF(CÁLCULO!$BS$15:$CS$205,CRONO!AQ$12,CÁLCULO!$AR$15:$BR$205)/(ORÇAMENTO!$X$15-_xlfn.single(CÁLCULO.TotalAdmLocal))*CRONO!$F127,
                        0),
                 AQ126*$S125),
          SUMIF(OFFSET($S127,1,0,$R125-2),($M125+1)&amp;"$",OFFSET(AQ127,1,0,$R125-2)))</f>
        <v>11450.49</v>
      </c>
      <c r="AR127" s="439" t="n">
        <f aca="false" t="array" ref="AR127:AR127">IF($R125=2,
         IF(AND(ACOMPANHAMENTO="PLE",ISNUMBER($F125)),
                SUMIF((OFFSET(CÁLCULO!$BS$15:$CS$15,$F125,0,OFFSET(ORÇAMENTO!$D$15,CRONO!$F125,0))),CRONO!AR$12,OFFSET(CÁLCULO!$AR$15:$BR$15,$F125,0,OFFSET(ORÇAMENTO!$D$15,CRONO!$F125,0)))
                +IF(AND($F127&lt;&gt;"",$F127&lt;&gt;0),
                        SUMIF(CÁLCULO!$BS$15:$CS$205,CRONO!AR$12,CÁLCULO!$AR$15:$BR$205)/(ORÇAMENTO!$X$15-_xlfn.single(CÁLCULO.TotalAdmLocal))*CRONO!$F127,
                        0),
                 AR126*$S125),
          SUMIF(OFFSET($S127,1,0,$R125-2),($M125+1)&amp;"$",OFFSET(AR127,1,0,$R125-2)))</f>
        <v>11450.49</v>
      </c>
      <c r="AS127" s="439" t="n">
        <f aca="false" t="array" ref="AS127:AS127">IF($R125=2,
         IF(AND(ACOMPANHAMENTO="PLE",ISNUMBER($F125)),
                SUMIF((OFFSET(CÁLCULO!$BS$15:$CS$15,$F125,0,OFFSET(ORÇAMENTO!$D$15,CRONO!$F125,0))),CRONO!AS$12,OFFSET(CÁLCULO!$AR$15:$BR$15,$F125,0,OFFSET(ORÇAMENTO!$D$15,CRONO!$F125,0)))
                +IF(AND($F127&lt;&gt;"",$F127&lt;&gt;0),
                        SUMIF(CÁLCULO!$BS$15:$CS$205,CRONO!AS$12,CÁLCULO!$AR$15:$BR$205)/(ORÇAMENTO!$X$15-_xlfn.single(CÁLCULO.TotalAdmLocal))*CRONO!$F127,
                        0),
                 AS126*$S125),
          SUMIF(OFFSET($S127,1,0,$R125-2),($M125+1)&amp;"$",OFFSET(AS127,1,0,$R125-2)))</f>
        <v>11450.49</v>
      </c>
      <c r="AT127" s="439" t="n">
        <f aca="false" t="array" ref="AT127:AT127">IF($R125=2,
         IF(AND(ACOMPANHAMENTO="PLE",ISNUMBER($F125)),
                SUMIF((OFFSET(CÁLCULO!$BS$15:$CS$15,$F125,0,OFFSET(ORÇAMENTO!$D$15,CRONO!$F125,0))),CRONO!AT$12,OFFSET(CÁLCULO!$AR$15:$BR$15,$F125,0,OFFSET(ORÇAMENTO!$D$15,CRONO!$F125,0)))
                +IF(AND($F127&lt;&gt;"",$F127&lt;&gt;0),
                        SUMIF(CÁLCULO!$BS$15:$CS$205,CRONO!AT$12,CÁLCULO!$AR$15:$BR$205)/(ORÇAMENTO!$X$15-_xlfn.single(CÁLCULO.TotalAdmLocal))*CRONO!$F127,
                        0),
                 AT126*$S125),
          SUMIF(OFFSET($S127,1,0,$R125-2),($M125+1)&amp;"$",OFFSET(AT127,1,0,$R125-2)))</f>
        <v>0</v>
      </c>
      <c r="AU127" s="439" t="n">
        <f aca="false" t="array" ref="AU127:AU127">IF($R125=2,
         IF(AND(ACOMPANHAMENTO="PLE",ISNUMBER($F125)),
                SUMIF((OFFSET(CÁLCULO!$BS$15:$CS$15,$F125,0,OFFSET(ORÇAMENTO!$D$15,CRONO!$F125,0))),CRONO!AU$12,OFFSET(CÁLCULO!$AR$15:$BR$15,$F125,0,OFFSET(ORÇAMENTO!$D$15,CRONO!$F125,0)))
                +IF(AND($F127&lt;&gt;"",$F127&lt;&gt;0),
                        SUMIF(CÁLCULO!$BS$15:$CS$205,CRONO!AU$12,CÁLCULO!$AR$15:$BR$205)/(ORÇAMENTO!$X$15-_xlfn.single(CÁLCULO.TotalAdmLocal))*CRONO!$F127,
                        0),
                 AU126*$S125),
          SUMIF(OFFSET($S127,1,0,$R125-2),($M125+1)&amp;"$",OFFSET(AU127,1,0,$R125-2)))</f>
        <v>0</v>
      </c>
      <c r="AV127" s="439" t="n">
        <f aca="false" t="array" ref="AV127:AV127">IF($R125=2,
         IF(AND(ACOMPANHAMENTO="PLE",ISNUMBER($F125)),
                SUMIF((OFFSET(CÁLCULO!$BS$15:$CS$15,$F125,0,OFFSET(ORÇAMENTO!$D$15,CRONO!$F125,0))),CRONO!AV$12,OFFSET(CÁLCULO!$AR$15:$BR$15,$F125,0,OFFSET(ORÇAMENTO!$D$15,CRONO!$F125,0)))
                +IF(AND($F127&lt;&gt;"",$F127&lt;&gt;0),
                        SUMIF(CÁLCULO!$BS$15:$CS$205,CRONO!AV$12,CÁLCULO!$AR$15:$BR$205)/(ORÇAMENTO!$X$15-_xlfn.single(CÁLCULO.TotalAdmLocal))*CRONO!$F127,
                        0),
                 AV126*$S125),
          SUMIF(OFFSET($S127,1,0,$R125-2),($M125+1)&amp;"$",OFFSET(AV127,1,0,$R125-2)))</f>
        <v>0</v>
      </c>
      <c r="AW127" s="439" t="n">
        <f aca="false" t="array" ref="AW127:AW127">IF($R125=2,
         IF(AND(ACOMPANHAMENTO="PLE",ISNUMBER($F125)),
                SUMIF((OFFSET(CÁLCULO!$BS$15:$CS$15,$F125,0,OFFSET(ORÇAMENTO!$D$15,CRONO!$F125,0))),CRONO!AW$12,OFFSET(CÁLCULO!$AR$15:$BR$15,$F125,0,OFFSET(ORÇAMENTO!$D$15,CRONO!$F125,0)))
                +IF(AND($F127&lt;&gt;"",$F127&lt;&gt;0),
                        SUMIF(CÁLCULO!$BS$15:$CS$205,CRONO!AW$12,CÁLCULO!$AR$15:$BR$205)/(ORÇAMENTO!$X$15-_xlfn.single(CÁLCULO.TotalAdmLocal))*CRONO!$F127,
                        0),
                 AW126*$S125),
          SUMIF(OFFSET($S127,1,0,$R125-2),($M125+1)&amp;"$",OFFSET(AW127,1,0,$R125-2)))</f>
        <v>0</v>
      </c>
      <c r="AX127" s="439" t="n">
        <f aca="false" t="array" ref="AX127:AX127">IF($R125=2,
         IF(AND(ACOMPANHAMENTO="PLE",ISNUMBER($F125)),
                SUMIF((OFFSET(CÁLCULO!$BS$15:$CS$15,$F125,0,OFFSET(ORÇAMENTO!$D$15,CRONO!$F125,0))),CRONO!AX$12,OFFSET(CÁLCULO!$AR$15:$BR$15,$F125,0,OFFSET(ORÇAMENTO!$D$15,CRONO!$F125,0)))
                +IF(AND($F127&lt;&gt;"",$F127&lt;&gt;0),
                        SUMIF(CÁLCULO!$BS$15:$CS$205,CRONO!AX$12,CÁLCULO!$AR$15:$BR$205)/(ORÇAMENTO!$X$15-_xlfn.single(CÁLCULO.TotalAdmLocal))*CRONO!$F127,
                        0),
                 AX126*$S125),
          SUMIF(OFFSET($S127,1,0,$R125-2),($M125+1)&amp;"$",OFFSET(AX127,1,0,$R125-2)))</f>
        <v>0</v>
      </c>
      <c r="AY127" s="439" t="n">
        <f aca="false" t="array" ref="AY127:AY127">IF($R125=2,
         IF(AND(ACOMPANHAMENTO="PLE",ISNUMBER($F125)),
                SUMIF((OFFSET(CÁLCULO!$BS$15:$CS$15,$F125,0,OFFSET(ORÇAMENTO!$D$15,CRONO!$F125,0))),CRONO!AY$12,OFFSET(CÁLCULO!$AR$15:$BR$15,$F125,0,OFFSET(ORÇAMENTO!$D$15,CRONO!$F125,0)))
                +IF(AND($F127&lt;&gt;"",$F127&lt;&gt;0),
                        SUMIF(CÁLCULO!$BS$15:$CS$205,CRONO!AY$12,CÁLCULO!$AR$15:$BR$205)/(ORÇAMENTO!$X$15-_xlfn.single(CÁLCULO.TotalAdmLocal))*CRONO!$F127,
                        0),
                 AY126*$S125),
          SUMIF(OFFSET($S127,1,0,$R125-2),($M125+1)&amp;"$",OFFSET(AY127,1,0,$R125-2)))</f>
        <v>0</v>
      </c>
      <c r="AZ127" s="439" t="n">
        <f aca="false" t="array" ref="AZ127:AZ127">IF($R125=2,
         IF(AND(ACOMPANHAMENTO="PLE",ISNUMBER($F125)),
                SUMIF((OFFSET(CÁLCULO!$BS$15:$CS$15,$F125,0,OFFSET(ORÇAMENTO!$D$15,CRONO!$F125,0))),CRONO!AZ$12,OFFSET(CÁLCULO!$AR$15:$BR$15,$F125,0,OFFSET(ORÇAMENTO!$D$15,CRONO!$F125,0)))
                +IF(AND($F127&lt;&gt;"",$F127&lt;&gt;0),
                        SUMIF(CÁLCULO!$BS$15:$CS$205,CRONO!AZ$12,CÁLCULO!$AR$15:$BR$205)/(ORÇAMENTO!$X$15-_xlfn.single(CÁLCULO.TotalAdmLocal))*CRONO!$F127,
                        0),
                 AZ126*$S125),
          SUMIF(OFFSET($S127,1,0,$R125-2),($M125+1)&amp;"$",OFFSET(AZ127,1,0,$R125-2)))</f>
        <v>0</v>
      </c>
      <c r="BA127" s="439" t="n">
        <f aca="false" t="array" ref="BA127:BA127">IF($R125=2,
         IF(AND(ACOMPANHAMENTO="PLE",ISNUMBER($F125)),
                SUMIF((OFFSET(CÁLCULO!$BS$15:$CS$15,$F125,0,OFFSET(ORÇAMENTO!$D$15,CRONO!$F125,0))),CRONO!BA$12,OFFSET(CÁLCULO!$AR$15:$BR$15,$F125,0,OFFSET(ORÇAMENTO!$D$15,CRONO!$F125,0)))
                +IF(AND($F127&lt;&gt;"",$F127&lt;&gt;0),
                        SUMIF(CÁLCULO!$BS$15:$CS$205,CRONO!BA$12,CÁLCULO!$AR$15:$BR$205)/(ORÇAMENTO!$X$15-_xlfn.single(CÁLCULO.TotalAdmLocal))*CRONO!$F127,
                        0),
                 BA126*$S125),
          SUMIF(OFFSET($S127,1,0,$R125-2),($M125+1)&amp;"$",OFFSET(BA127,1,0,$R125-2)))</f>
        <v>0</v>
      </c>
      <c r="BB127" s="439" t="n">
        <f aca="false" t="array" ref="BB127:BB127">IF($R125=2,
         IF(AND(ACOMPANHAMENTO="PLE",ISNUMBER($F125)),
                SUMIF((OFFSET(CÁLCULO!$BS$15:$CS$15,$F125,0,OFFSET(ORÇAMENTO!$D$15,CRONO!$F125,0))),CRONO!BB$12,OFFSET(CÁLCULO!$AR$15:$BR$15,$F125,0,OFFSET(ORÇAMENTO!$D$15,CRONO!$F125,0)))
                +IF(AND($F127&lt;&gt;"",$F127&lt;&gt;0),
                        SUMIF(CÁLCULO!$BS$15:$CS$205,CRONO!BB$12,CÁLCULO!$AR$15:$BR$205)/(ORÇAMENTO!$X$15-_xlfn.single(CÁLCULO.TotalAdmLocal))*CRONO!$F127,
                        0),
                 BB126*$S125),
          SUMIF(OFFSET($S127,1,0,$R125-2),($M125+1)&amp;"$",OFFSET(BB127,1,0,$R125-2)))</f>
        <v>0</v>
      </c>
      <c r="BC127" s="439" t="n">
        <f aca="false" t="array" ref="BC127:BC127">IF($R125=2,
         IF(AND(ACOMPANHAMENTO="PLE",ISNUMBER($F125)),
                SUMIF((OFFSET(CÁLCULO!$BS$15:$CS$15,$F125,0,OFFSET(ORÇAMENTO!$D$15,CRONO!$F125,0))),CRONO!BC$12,OFFSET(CÁLCULO!$AR$15:$BR$15,$F125,0,OFFSET(ORÇAMENTO!$D$15,CRONO!$F125,0)))
                +IF(AND($F127&lt;&gt;"",$F127&lt;&gt;0),
                        SUMIF(CÁLCULO!$BS$15:$CS$205,CRONO!BC$12,CÁLCULO!$AR$15:$BR$205)/(ORÇAMENTO!$X$15-_xlfn.single(CÁLCULO.TotalAdmLocal))*CRONO!$F127,
                        0),
                 BC126*$S125),
          SUMIF(OFFSET($S127,1,0,$R125-2),($M125+1)&amp;"$",OFFSET(BC127,1,0,$R125-2)))</f>
        <v>0</v>
      </c>
      <c r="BD127" s="439" t="n">
        <f aca="false" t="array" ref="BD127:BD127">IF($R125=2,
         IF(AND(ACOMPANHAMENTO="PLE",ISNUMBER($F125)),
                SUMIF((OFFSET(CÁLCULO!$BS$15:$CS$15,$F125,0,OFFSET(ORÇAMENTO!$D$15,CRONO!$F125,0))),CRONO!BD$12,OFFSET(CÁLCULO!$AR$15:$BR$15,$F125,0,OFFSET(ORÇAMENTO!$D$15,CRONO!$F125,0)))
                +IF(AND($F127&lt;&gt;"",$F127&lt;&gt;0),
                        SUMIF(CÁLCULO!$BS$15:$CS$205,CRONO!BD$12,CÁLCULO!$AR$15:$BR$205)/(ORÇAMENTO!$X$15-_xlfn.single(CÁLCULO.TotalAdmLocal))*CRONO!$F127,
                        0),
                 BD126*$S125),
          SUMIF(OFFSET($S127,1,0,$R125-2),($M125+1)&amp;"$",OFFSET(BD127,1,0,$R125-2)))</f>
        <v>0</v>
      </c>
      <c r="BE127" s="430"/>
    </row>
    <row r="128" customFormat="false" ht="12.75" hidden="false" customHeight="false" outlineLevel="0" collapsed="false">
      <c r="A128" s="382" t="str">
        <f aca="false">IF($M128&gt;1,_xlfn.CONCAT($I128," ",$J128),"")</f>
        <v>1.38. FIOS E CABOS</v>
      </c>
      <c r="B128" s="419" t="n">
        <f aca="true">OFFSET(B128,-3,0)+1</f>
        <v>39</v>
      </c>
      <c r="C128" s="419" t="n">
        <f aca="true">IF($R128&lt;&gt;2,0,IF($S128=0,1,IF(F129&gt;0,OFFSET(QCI!$M$13,SUBSTITUTE(F129,".",""),0),OFFSET(ORÇAMENTO!$AA$15,CRONO!$F128,0))/$S128))</f>
        <v>0.110981526562671</v>
      </c>
      <c r="D128" s="419" t="n">
        <f aca="true">IF($R128&lt;&gt;2,0,IF($S128=0,1,IF(F129&gt;0,OFFSET(QCI!$N$13,SUBSTITUTE(F129,".",""),0),OFFSET(ORÇAMENTO!$AB$15,CRONO!$F128,0))/$S128))</f>
        <v>0</v>
      </c>
      <c r="E128" s="422" t="n">
        <f aca="false" t="array" ref="E128:E128">IF(AND($R128=2,ACOMPANHAMENTO="BM"),ROUND(E129,4),E130/$S128)</f>
        <v>0.04</v>
      </c>
      <c r="F128" s="419" t="n">
        <f aca="true">IF(B128&lt;=ORÇAMENTO.MáximoListaCrono,MATCH(B128,ORÇAMENTO.ListaCrono,0),NA())</f>
        <v>117</v>
      </c>
      <c r="G128" s="419" t="str">
        <f aca="false">IF(AND($F129&lt;&gt;-1,$S128&gt;0),"F","")</f>
        <v>F</v>
      </c>
      <c r="H128" s="423" t="str">
        <f aca="false" t="array" ref="H128:H128">IF(OR(S128=0,S128=""),"Linha",IF(AND(OR(ACOMPANHAMENTO="PLE",$R128&lt;&gt;2),$F129=0),"Linha",ROUND(1-SUM(U128:BE128),4)))</f>
        <v>Linha</v>
      </c>
      <c r="I128" s="424" t="str">
        <f aca="true">IF($F129=0,OFFSET(ORÇAMENTO!O$15,$F128,0),IF($F129&lt;&gt;-1,OFFSET(QCI!$D$13,$F129,0),""))</f>
        <v>1.38.</v>
      </c>
      <c r="J128" s="425" t="str">
        <f aca="true">IF($F129=0,OFFSET(ORÇAMENTO!R$15,$F128,0),IF($F129&lt;&gt;-1,OFFSET(QCI!$G$13,$F129,0),""))</f>
        <v>FIOS E CABOS</v>
      </c>
      <c r="K128" s="425"/>
      <c r="L128" s="425"/>
      <c r="M128" s="426" t="n">
        <f aca="true">IF($F129=0,OFFSET(ORÇAMENTO!C$15,$F128,0),1)</f>
        <v>2</v>
      </c>
      <c r="N128" s="427" t="n">
        <f aca="true">IF($F129=-1,0,IF(N$13&lt;=$M128,IF(ISERROR(MATCH(N$13,OFFSET($M128,1,0,ROW($M$182)-ROW($M128)-1),0)),ROW($M$182)-ROW($M128)-1,MATCH(N$13,OFFSET($M128,1,0,ROW($M$182)-ROW($M128)-1),0)-1),0))</f>
        <v>53</v>
      </c>
      <c r="O128" s="427" t="n">
        <f aca="true">IF($F129=-1,0,IF(O$13&lt;=$M128,IF(ISERROR(MATCH(O$13,OFFSET($M128,1,0,ROW($M$182)-ROW($M128)-1),0)),ROW($M$182)-ROW($M128)-1,MATCH(O$13,OFFSET($M128,1,0,ROW($M$182)-ROW($M128)-1),0)-1),0))</f>
        <v>2</v>
      </c>
      <c r="P128" s="427" t="n">
        <f aca="true">IF($F129=-1,0,IF(P$13&lt;=$M128,IF(ISERROR(MATCH(P$13,OFFSET($M128,1,0,ROW($M$182)-ROW($M128)-1),0)),ROW($M$182)-ROW($M128)-1,MATCH(P$13,OFFSET($M128,1,0,ROW($M$182)-ROW($M128)-1),0)-1),0))</f>
        <v>0</v>
      </c>
      <c r="Q128" s="427" t="n">
        <f aca="true">IF($F129=-1,0,IF(Q$13&lt;=$M128,IF(ISERROR(MATCH(Q$13,OFFSET($M128,1,0,ROW($M$182)-ROW($M128)-1),0)),ROW($M$182)-ROW($M128)-1,MATCH(Q$13,OFFSET($M128,1,0,ROW($M$182)-ROW($M128)-1),0)-1),0))</f>
        <v>0</v>
      </c>
      <c r="R128" s="427" t="n">
        <f aca="true">MIN(OFFSET(M128,0,1,,M128))</f>
        <v>2</v>
      </c>
      <c r="S128" s="428" t="n">
        <f aca="true">IF($F129=0,OFFSET(ORÇAMENTO!X$15,$F128,0),IF($F129&lt;&gt;-1,OFFSET(QCI!$O$13,$F129,0),""))</f>
        <v>32158.75</v>
      </c>
      <c r="T128" s="429" t="s">
        <v>996</v>
      </c>
      <c r="U128" s="422" t="n">
        <f aca="false" t="array" ref="U128:U128">IF(AND($R128=2,ACOMPANHAMENTO="BM"),ROUND(U129,4),U130/$S128)</f>
        <v>0.04</v>
      </c>
      <c r="V128" s="422" t="n">
        <f aca="false" t="array" ref="V128:V128">IF(AND($R128=2,ACOMPANHAMENTO="BM"),ROUND(V129,4),V130/$S128)</f>
        <v>0.04</v>
      </c>
      <c r="W128" s="422" t="n">
        <f aca="false" t="array" ref="W128:W128">IF(AND($R128=2,ACOMPANHAMENTO="BM"),ROUND(W129,4),W130/$S128)</f>
        <v>0.04</v>
      </c>
      <c r="X128" s="422" t="n">
        <f aca="false" t="array" ref="X128:X128">IF(AND($R128=2,ACOMPANHAMENTO="BM"),ROUND(X129,4),X130/$S128)</f>
        <v>0.04</v>
      </c>
      <c r="Y128" s="422" t="n">
        <f aca="false" t="array" ref="Y128:Y128">IF(AND($R128=2,ACOMPANHAMENTO="BM"),ROUND(Y129,4),Y130/$S128)</f>
        <v>0.04</v>
      </c>
      <c r="Z128" s="422" t="n">
        <f aca="false" t="array" ref="Z128:Z128">IF(AND($R128=2,ACOMPANHAMENTO="BM"),ROUND(Z129,4),Z130/$S128)</f>
        <v>0.04</v>
      </c>
      <c r="AA128" s="422" t="n">
        <f aca="false" t="array" ref="AA128:AA128">IF(AND($R128=2,ACOMPANHAMENTO="BM"),ROUND(AA129,4),AA130/$S128)</f>
        <v>0.04</v>
      </c>
      <c r="AB128" s="422" t="n">
        <f aca="false" t="array" ref="AB128:AB128">IF(AND($R128=2,ACOMPANHAMENTO="BM"),ROUND(AB129,4),AB130/$S128)</f>
        <v>0.04</v>
      </c>
      <c r="AC128" s="422" t="n">
        <f aca="false" t="array" ref="AC128:AC128">IF(AND($R128=2,ACOMPANHAMENTO="BM"),ROUND(AC129,4),AC130/$S128)</f>
        <v>0.04</v>
      </c>
      <c r="AD128" s="422" t="n">
        <f aca="false" t="array" ref="AD128:AD128">IF(AND($R128=2,ACOMPANHAMENTO="BM"),ROUND(AD129,4),AD130/$S128)</f>
        <v>0.04</v>
      </c>
      <c r="AE128" s="422" t="n">
        <f aca="false" t="array" ref="AE128:AE128">IF(AND($R128=2,ACOMPANHAMENTO="BM"),ROUND(AE129,4),AE130/$S128)</f>
        <v>0.04</v>
      </c>
      <c r="AF128" s="422" t="n">
        <f aca="false" t="array" ref="AF128:AF128">IF(AND($R128=2,ACOMPANHAMENTO="BM"),ROUND(AF129,4),AF130/$S128)</f>
        <v>0.04</v>
      </c>
      <c r="AG128" s="422" t="n">
        <f aca="false" t="array" ref="AG128:AG128">IF(AND($R128=2,ACOMPANHAMENTO="BM"),ROUND(AG129,4),AG130/$S128)</f>
        <v>0.04</v>
      </c>
      <c r="AH128" s="422" t="n">
        <f aca="false" t="array" ref="AH128:AH128">IF(AND($R128=2,ACOMPANHAMENTO="BM"),ROUND(AH129,4),AH130/$S128)</f>
        <v>0.04</v>
      </c>
      <c r="AI128" s="422" t="n">
        <f aca="false" t="array" ref="AI128:AI128">IF(AND($R128=2,ACOMPANHAMENTO="BM"),ROUND(AI129,4),AI130/$S128)</f>
        <v>0.04</v>
      </c>
      <c r="AJ128" s="422" t="n">
        <f aca="false" t="array" ref="AJ128:AJ128">IF(AND($R128=2,ACOMPANHAMENTO="BM"),ROUND(AJ129,4),AJ130/$S128)</f>
        <v>0.04</v>
      </c>
      <c r="AK128" s="422" t="n">
        <f aca="false" t="array" ref="AK128:AK128">IF(AND($R128=2,ACOMPANHAMENTO="BM"),ROUND(AK129,4),AK130/$S128)</f>
        <v>0.04</v>
      </c>
      <c r="AL128" s="422" t="n">
        <f aca="false" t="array" ref="AL128:AL128">IF(AND($R128=2,ACOMPANHAMENTO="BM"),ROUND(AL129,4),AL130/$S128)</f>
        <v>0.04</v>
      </c>
      <c r="AM128" s="422" t="n">
        <f aca="false" t="array" ref="AM128:AM128">IF(AND($R128=2,ACOMPANHAMENTO="BM"),ROUND(AM129,4),AM130/$S128)</f>
        <v>0.04</v>
      </c>
      <c r="AN128" s="422" t="n">
        <f aca="false" t="array" ref="AN128:AN128">IF(AND($R128=2,ACOMPANHAMENTO="BM"),ROUND(AN129,4),AN130/$S128)</f>
        <v>0.04</v>
      </c>
      <c r="AO128" s="422" t="n">
        <f aca="false" t="array" ref="AO128:AO128">IF(AND($R128=2,ACOMPANHAMENTO="BM"),ROUND(AO129,4),AO130/$S128)</f>
        <v>0.04</v>
      </c>
      <c r="AP128" s="422" t="n">
        <f aca="false" t="array" ref="AP128:AP128">IF(AND($R128=2,ACOMPANHAMENTO="BM"),ROUND(AP129,4),AP130/$S128)</f>
        <v>0.04</v>
      </c>
      <c r="AQ128" s="422" t="n">
        <f aca="false" t="array" ref="AQ128:AQ128">IF(AND($R128=2,ACOMPANHAMENTO="BM"),ROUND(AQ129,4),AQ130/$S128)</f>
        <v>0.04</v>
      </c>
      <c r="AR128" s="422" t="n">
        <f aca="false" t="array" ref="AR128:AR128">IF(AND($R128=2,ACOMPANHAMENTO="BM"),ROUND(AR129,4),AR130/$S128)</f>
        <v>0.04</v>
      </c>
      <c r="AS128" s="422" t="n">
        <f aca="false" t="array" ref="AS128:AS128">IF(AND($R128=2,ACOMPANHAMENTO="BM"),ROUND(AS129,4),AS130/$S128)</f>
        <v>0.04</v>
      </c>
      <c r="AT128" s="422" t="n">
        <f aca="false" t="array" ref="AT128:AT128">IF(AND($R128=2,ACOMPANHAMENTO="BM"),ROUND(AT129,4),AT130/$S128)</f>
        <v>0</v>
      </c>
      <c r="AU128" s="422" t="n">
        <f aca="false" t="array" ref="AU128:AU128">IF(AND($R128=2,ACOMPANHAMENTO="BM"),ROUND(AU129,4),AU130/$S128)</f>
        <v>0</v>
      </c>
      <c r="AV128" s="422" t="n">
        <f aca="false" t="array" ref="AV128:AV128">IF(AND($R128=2,ACOMPANHAMENTO="BM"),ROUND(AV129,4),AV130/$S128)</f>
        <v>0</v>
      </c>
      <c r="AW128" s="422" t="n">
        <f aca="false" t="array" ref="AW128:AW128">IF(AND($R128=2,ACOMPANHAMENTO="BM"),ROUND(AW129,4),AW130/$S128)</f>
        <v>0</v>
      </c>
      <c r="AX128" s="422" t="n">
        <f aca="false" t="array" ref="AX128:AX128">IF(AND($R128=2,ACOMPANHAMENTO="BM"),ROUND(AX129,4),AX130/$S128)</f>
        <v>0</v>
      </c>
      <c r="AY128" s="422" t="n">
        <f aca="false" t="array" ref="AY128:AY128">IF(AND($R128=2,ACOMPANHAMENTO="BM"),ROUND(AY129,4),AY130/$S128)</f>
        <v>0</v>
      </c>
      <c r="AZ128" s="422" t="n">
        <f aca="false" t="array" ref="AZ128:AZ128">IF(AND($R128=2,ACOMPANHAMENTO="BM"),ROUND(AZ129,4),AZ130/$S128)</f>
        <v>0</v>
      </c>
      <c r="BA128" s="422" t="n">
        <f aca="false" t="array" ref="BA128:BA128">IF(AND($R128=2,ACOMPANHAMENTO="BM"),ROUND(BA129,4),BA130/$S128)</f>
        <v>0</v>
      </c>
      <c r="BB128" s="422" t="n">
        <f aca="false" t="array" ref="BB128:BB128">IF(AND($R128=2,ACOMPANHAMENTO="BM"),ROUND(BB129,4),BB130/$S128)</f>
        <v>0</v>
      </c>
      <c r="BC128" s="422" t="n">
        <f aca="false" t="array" ref="BC128:BC128">IF(AND($R128=2,ACOMPANHAMENTO="BM"),ROUND(BC129,4),BC130/$S128)</f>
        <v>0</v>
      </c>
      <c r="BD128" s="422" t="n">
        <f aca="false" t="array" ref="BD128:BD128">IF(AND($R128=2,ACOMPANHAMENTO="BM"),ROUND(BD129,4),BD130/$S128)</f>
        <v>0</v>
      </c>
      <c r="BE128" s="430"/>
    </row>
    <row r="129" customFormat="false" ht="12.75" hidden="true" customHeight="true" outlineLevel="0" collapsed="false">
      <c r="E129" s="431"/>
      <c r="F129" s="419" t="n">
        <f aca="true">IF(ISERROR(F128),IF(1+COUNTIF($M$13:OFFSET(M128,-1,0),1)&lt;=MAX(QCI!$D$13:$D$15),1+COUNTIF($M$13:OFFSET(M128,-1,0),1),-1),0)</f>
        <v>0</v>
      </c>
      <c r="G129" s="419" t="str">
        <f aca="true" t="array" ref="G129:G129">IF(ACOMPANHAMENTO="BM",OFFSET(G129,-1,0),"")</f>
        <v/>
      </c>
      <c r="H129" s="432" t="str">
        <f aca="false" t="array" ref="H129:H129">IF(OR(S128=0,S128=""),"vazia",IF(AND(OR(ACOMPANHAMENTO="PLE",$R128&lt;&gt;2),$F129=0),"calculada","--&gt;"))</f>
        <v>calculada</v>
      </c>
      <c r="I129" s="433"/>
      <c r="J129" s="434" t="str">
        <f aca="false">IF(AND(H128&lt;&gt;0,ISNUMBER(H128)),"PREENCHA ESTA LINHA --&gt;","")</f>
        <v/>
      </c>
      <c r="K129" s="434"/>
      <c r="L129" s="434"/>
      <c r="M129" s="435"/>
      <c r="N129" s="435"/>
      <c r="O129" s="435"/>
      <c r="P129" s="435"/>
      <c r="Q129" s="435"/>
      <c r="R129" s="435"/>
      <c r="S129" s="436"/>
      <c r="T129" s="437"/>
      <c r="U129" s="431"/>
      <c r="V129" s="431"/>
      <c r="W129" s="431"/>
      <c r="X129" s="431"/>
      <c r="Y129" s="431"/>
      <c r="Z129" s="431"/>
      <c r="AA129" s="431"/>
      <c r="AB129" s="431"/>
      <c r="AC129" s="431"/>
      <c r="AD129" s="431"/>
      <c r="AE129" s="431"/>
      <c r="AF129" s="431"/>
      <c r="AG129" s="431"/>
      <c r="AH129" s="431"/>
      <c r="AI129" s="431"/>
      <c r="AJ129" s="431"/>
      <c r="AK129" s="431"/>
      <c r="AL129" s="431"/>
      <c r="AM129" s="431"/>
      <c r="AN129" s="431"/>
      <c r="AO129" s="431"/>
      <c r="AP129" s="431"/>
      <c r="AQ129" s="431"/>
      <c r="AR129" s="431"/>
      <c r="AS129" s="431"/>
      <c r="AT129" s="431"/>
      <c r="AU129" s="431"/>
      <c r="AV129" s="431"/>
      <c r="AW129" s="431"/>
      <c r="AX129" s="431"/>
      <c r="AY129" s="431"/>
      <c r="AZ129" s="431"/>
      <c r="BA129" s="431"/>
      <c r="BB129" s="431"/>
      <c r="BC129" s="431"/>
      <c r="BD129" s="431"/>
      <c r="BE129" s="430"/>
    </row>
    <row r="130" customFormat="false" ht="12.75" hidden="true" customHeight="true" outlineLevel="0" collapsed="false">
      <c r="D130" s="438"/>
      <c r="E130" s="439" t="n">
        <f aca="false" t="array" ref="E130:E130">IF($R128=2,
         IF(AND(ACOMPANHAMENTO="PLE",ISNUMBER($F128)),
                SUMIF((OFFSET(CÁLCULO!$BS$15:$CS$15,$F128,0,OFFSET(ORÇAMENTO!$D$15,CRONO!$F128,0))),CRONO!E$12,OFFSET(CÁLCULO!$AR$15:$BR$15,$F128,0,OFFSET(ORÇAMENTO!$D$15,CRONO!$F128,0)))
                +IF(AND($F130&lt;&gt;"",$F130&lt;&gt;0),
                        SUMIF(CÁLCULO!$BS$15:$CS$205,CRONO!E$12,CÁLCULO!$AR$15:$BR$205)/(ORÇAMENTO!$X$15-_xlfn.single(CÁLCULO.TotalAdmLocal))*CRONO!$F130,
                        0),
                 E129*$S128),
          SUMIF(OFFSET($S130,1,0,$R128-2),($M128+1)&amp;"$",OFFSET(E130,1,0,$R128-2)))</f>
        <v>1286.35</v>
      </c>
      <c r="F130" s="419" t="str">
        <f aca="true">IF(OR($R128&lt;&gt;2,AUTOEVENTO&lt;&gt;"manual",$F129&gt;0),"",
        IF(Import.TipoArredondamento="Tradicional",
              SUMIF(OFFSET(CÁLCULO!$M$15,CRONO!$F128,0,OFFSET(ORÇAMENTO!$D$15,CRONO!$F128,0)),1,OFFSET(ORÇAMENTO!$X$15,CRONO!$F128,0,OFFSET(ORÇAMENTO!$D$15,CRONO!$F128,0))),
              0))</f>
        <v/>
      </c>
      <c r="H130" s="440"/>
      <c r="S130" s="441" t="str">
        <f aca="false">M128&amp;"$"</f>
        <v>2$</v>
      </c>
      <c r="T130" s="442"/>
      <c r="U130" s="439" t="n">
        <f aca="false" t="array" ref="U130:U130">IF($R128=2,
         IF(AND(ACOMPANHAMENTO="PLE",ISNUMBER($F128)),
                SUMIF((OFFSET(CÁLCULO!$BS$15:$CS$15,$F128,0,OFFSET(ORÇAMENTO!$D$15,CRONO!$F128,0))),CRONO!U$12,OFFSET(CÁLCULO!$AR$15:$BR$15,$F128,0,OFFSET(ORÇAMENTO!$D$15,CRONO!$F128,0)))
                +IF(AND($F130&lt;&gt;"",$F130&lt;&gt;0),
                        SUMIF(CÁLCULO!$BS$15:$CS$205,CRONO!U$12,CÁLCULO!$AR$15:$BR$205)/(ORÇAMENTO!$X$15-_xlfn.single(CÁLCULO.TotalAdmLocal))*CRONO!$F130,
                        0),
                 U129*$S128),
          SUMIF(OFFSET($S130,1,0,$R128-2),($M128+1)&amp;"$",OFFSET(U130,1,0,$R128-2)))</f>
        <v>1286.35</v>
      </c>
      <c r="V130" s="439" t="n">
        <f aca="false" t="array" ref="V130:V130">IF($R128=2,
         IF(AND(ACOMPANHAMENTO="PLE",ISNUMBER($F128)),
                SUMIF((OFFSET(CÁLCULO!$BS$15:$CS$15,$F128,0,OFFSET(ORÇAMENTO!$D$15,CRONO!$F128,0))),CRONO!V$12,OFFSET(CÁLCULO!$AR$15:$BR$15,$F128,0,OFFSET(ORÇAMENTO!$D$15,CRONO!$F128,0)))
                +IF(AND($F130&lt;&gt;"",$F130&lt;&gt;0),
                        SUMIF(CÁLCULO!$BS$15:$CS$205,CRONO!V$12,CÁLCULO!$AR$15:$BR$205)/(ORÇAMENTO!$X$15-_xlfn.single(CÁLCULO.TotalAdmLocal))*CRONO!$F130,
                        0),
                 V129*$S128),
          SUMIF(OFFSET($S130,1,0,$R128-2),($M128+1)&amp;"$",OFFSET(V130,1,0,$R128-2)))</f>
        <v>1286.35</v>
      </c>
      <c r="W130" s="439" t="n">
        <f aca="false" t="array" ref="W130:W130">IF($R128=2,
         IF(AND(ACOMPANHAMENTO="PLE",ISNUMBER($F128)),
                SUMIF((OFFSET(CÁLCULO!$BS$15:$CS$15,$F128,0,OFFSET(ORÇAMENTO!$D$15,CRONO!$F128,0))),CRONO!W$12,OFFSET(CÁLCULO!$AR$15:$BR$15,$F128,0,OFFSET(ORÇAMENTO!$D$15,CRONO!$F128,0)))
                +IF(AND($F130&lt;&gt;"",$F130&lt;&gt;0),
                        SUMIF(CÁLCULO!$BS$15:$CS$205,CRONO!W$12,CÁLCULO!$AR$15:$BR$205)/(ORÇAMENTO!$X$15-_xlfn.single(CÁLCULO.TotalAdmLocal))*CRONO!$F130,
                        0),
                 W129*$S128),
          SUMIF(OFFSET($S130,1,0,$R128-2),($M128+1)&amp;"$",OFFSET(W130,1,0,$R128-2)))</f>
        <v>1286.35</v>
      </c>
      <c r="X130" s="439" t="n">
        <f aca="false" t="array" ref="X130:X130">IF($R128=2,
         IF(AND(ACOMPANHAMENTO="PLE",ISNUMBER($F128)),
                SUMIF((OFFSET(CÁLCULO!$BS$15:$CS$15,$F128,0,OFFSET(ORÇAMENTO!$D$15,CRONO!$F128,0))),CRONO!X$12,OFFSET(CÁLCULO!$AR$15:$BR$15,$F128,0,OFFSET(ORÇAMENTO!$D$15,CRONO!$F128,0)))
                +IF(AND($F130&lt;&gt;"",$F130&lt;&gt;0),
                        SUMIF(CÁLCULO!$BS$15:$CS$205,CRONO!X$12,CÁLCULO!$AR$15:$BR$205)/(ORÇAMENTO!$X$15-_xlfn.single(CÁLCULO.TotalAdmLocal))*CRONO!$F130,
                        0),
                 X129*$S128),
          SUMIF(OFFSET($S130,1,0,$R128-2),($M128+1)&amp;"$",OFFSET(X130,1,0,$R128-2)))</f>
        <v>1286.35</v>
      </c>
      <c r="Y130" s="439" t="n">
        <f aca="false" t="array" ref="Y130:Y130">IF($R128=2,
         IF(AND(ACOMPANHAMENTO="PLE",ISNUMBER($F128)),
                SUMIF((OFFSET(CÁLCULO!$BS$15:$CS$15,$F128,0,OFFSET(ORÇAMENTO!$D$15,CRONO!$F128,0))),CRONO!Y$12,OFFSET(CÁLCULO!$AR$15:$BR$15,$F128,0,OFFSET(ORÇAMENTO!$D$15,CRONO!$F128,0)))
                +IF(AND($F130&lt;&gt;"",$F130&lt;&gt;0),
                        SUMIF(CÁLCULO!$BS$15:$CS$205,CRONO!Y$12,CÁLCULO!$AR$15:$BR$205)/(ORÇAMENTO!$X$15-_xlfn.single(CÁLCULO.TotalAdmLocal))*CRONO!$F130,
                        0),
                 Y129*$S128),
          SUMIF(OFFSET($S130,1,0,$R128-2),($M128+1)&amp;"$",OFFSET(Y130,1,0,$R128-2)))</f>
        <v>1286.35</v>
      </c>
      <c r="Z130" s="439" t="n">
        <f aca="false" t="array" ref="Z130:Z130">IF($R128=2,
         IF(AND(ACOMPANHAMENTO="PLE",ISNUMBER($F128)),
                SUMIF((OFFSET(CÁLCULO!$BS$15:$CS$15,$F128,0,OFFSET(ORÇAMENTO!$D$15,CRONO!$F128,0))),CRONO!Z$12,OFFSET(CÁLCULO!$AR$15:$BR$15,$F128,0,OFFSET(ORÇAMENTO!$D$15,CRONO!$F128,0)))
                +IF(AND($F130&lt;&gt;"",$F130&lt;&gt;0),
                        SUMIF(CÁLCULO!$BS$15:$CS$205,CRONO!Z$12,CÁLCULO!$AR$15:$BR$205)/(ORÇAMENTO!$X$15-_xlfn.single(CÁLCULO.TotalAdmLocal))*CRONO!$F130,
                        0),
                 Z129*$S128),
          SUMIF(OFFSET($S130,1,0,$R128-2),($M128+1)&amp;"$",OFFSET(Z130,1,0,$R128-2)))</f>
        <v>1286.35</v>
      </c>
      <c r="AA130" s="439" t="n">
        <f aca="false" t="array" ref="AA130:AA130">IF($R128=2,
         IF(AND(ACOMPANHAMENTO="PLE",ISNUMBER($F128)),
                SUMIF((OFFSET(CÁLCULO!$BS$15:$CS$15,$F128,0,OFFSET(ORÇAMENTO!$D$15,CRONO!$F128,0))),CRONO!AA$12,OFFSET(CÁLCULO!$AR$15:$BR$15,$F128,0,OFFSET(ORÇAMENTO!$D$15,CRONO!$F128,0)))
                +IF(AND($F130&lt;&gt;"",$F130&lt;&gt;0),
                        SUMIF(CÁLCULO!$BS$15:$CS$205,CRONO!AA$12,CÁLCULO!$AR$15:$BR$205)/(ORÇAMENTO!$X$15-_xlfn.single(CÁLCULO.TotalAdmLocal))*CRONO!$F130,
                        0),
                 AA129*$S128),
          SUMIF(OFFSET($S130,1,0,$R128-2),($M128+1)&amp;"$",OFFSET(AA130,1,0,$R128-2)))</f>
        <v>1286.35</v>
      </c>
      <c r="AB130" s="439" t="n">
        <f aca="false" t="array" ref="AB130:AB130">IF($R128=2,
         IF(AND(ACOMPANHAMENTO="PLE",ISNUMBER($F128)),
                SUMIF((OFFSET(CÁLCULO!$BS$15:$CS$15,$F128,0,OFFSET(ORÇAMENTO!$D$15,CRONO!$F128,0))),CRONO!AB$12,OFFSET(CÁLCULO!$AR$15:$BR$15,$F128,0,OFFSET(ORÇAMENTO!$D$15,CRONO!$F128,0)))
                +IF(AND($F130&lt;&gt;"",$F130&lt;&gt;0),
                        SUMIF(CÁLCULO!$BS$15:$CS$205,CRONO!AB$12,CÁLCULO!$AR$15:$BR$205)/(ORÇAMENTO!$X$15-_xlfn.single(CÁLCULO.TotalAdmLocal))*CRONO!$F130,
                        0),
                 AB129*$S128),
          SUMIF(OFFSET($S130,1,0,$R128-2),($M128+1)&amp;"$",OFFSET(AB130,1,0,$R128-2)))</f>
        <v>1286.35</v>
      </c>
      <c r="AC130" s="439" t="n">
        <f aca="false" t="array" ref="AC130:AC130">IF($R128=2,
         IF(AND(ACOMPANHAMENTO="PLE",ISNUMBER($F128)),
                SUMIF((OFFSET(CÁLCULO!$BS$15:$CS$15,$F128,0,OFFSET(ORÇAMENTO!$D$15,CRONO!$F128,0))),CRONO!AC$12,OFFSET(CÁLCULO!$AR$15:$BR$15,$F128,0,OFFSET(ORÇAMENTO!$D$15,CRONO!$F128,0)))
                +IF(AND($F130&lt;&gt;"",$F130&lt;&gt;0),
                        SUMIF(CÁLCULO!$BS$15:$CS$205,CRONO!AC$12,CÁLCULO!$AR$15:$BR$205)/(ORÇAMENTO!$X$15-_xlfn.single(CÁLCULO.TotalAdmLocal))*CRONO!$F130,
                        0),
                 AC129*$S128),
          SUMIF(OFFSET($S130,1,0,$R128-2),($M128+1)&amp;"$",OFFSET(AC130,1,0,$R128-2)))</f>
        <v>1286.35</v>
      </c>
      <c r="AD130" s="439" t="n">
        <f aca="false" t="array" ref="AD130:AD130">IF($R128=2,
         IF(AND(ACOMPANHAMENTO="PLE",ISNUMBER($F128)),
                SUMIF((OFFSET(CÁLCULO!$BS$15:$CS$15,$F128,0,OFFSET(ORÇAMENTO!$D$15,CRONO!$F128,0))),CRONO!AD$12,OFFSET(CÁLCULO!$AR$15:$BR$15,$F128,0,OFFSET(ORÇAMENTO!$D$15,CRONO!$F128,0)))
                +IF(AND($F130&lt;&gt;"",$F130&lt;&gt;0),
                        SUMIF(CÁLCULO!$BS$15:$CS$205,CRONO!AD$12,CÁLCULO!$AR$15:$BR$205)/(ORÇAMENTO!$X$15-_xlfn.single(CÁLCULO.TotalAdmLocal))*CRONO!$F130,
                        0),
                 AD129*$S128),
          SUMIF(OFFSET($S130,1,0,$R128-2),($M128+1)&amp;"$",OFFSET(AD130,1,0,$R128-2)))</f>
        <v>1286.35</v>
      </c>
      <c r="AE130" s="439" t="n">
        <f aca="false" t="array" ref="AE130:AE130">IF($R128=2,
         IF(AND(ACOMPANHAMENTO="PLE",ISNUMBER($F128)),
                SUMIF((OFFSET(CÁLCULO!$BS$15:$CS$15,$F128,0,OFFSET(ORÇAMENTO!$D$15,CRONO!$F128,0))),CRONO!AE$12,OFFSET(CÁLCULO!$AR$15:$BR$15,$F128,0,OFFSET(ORÇAMENTO!$D$15,CRONO!$F128,0)))
                +IF(AND($F130&lt;&gt;"",$F130&lt;&gt;0),
                        SUMIF(CÁLCULO!$BS$15:$CS$205,CRONO!AE$12,CÁLCULO!$AR$15:$BR$205)/(ORÇAMENTO!$X$15-_xlfn.single(CÁLCULO.TotalAdmLocal))*CRONO!$F130,
                        0),
                 AE129*$S128),
          SUMIF(OFFSET($S130,1,0,$R128-2),($M128+1)&amp;"$",OFFSET(AE130,1,0,$R128-2)))</f>
        <v>1286.35</v>
      </c>
      <c r="AF130" s="439" t="n">
        <f aca="false" t="array" ref="AF130:AF130">IF($R128=2,
         IF(AND(ACOMPANHAMENTO="PLE",ISNUMBER($F128)),
                SUMIF((OFFSET(CÁLCULO!$BS$15:$CS$15,$F128,0,OFFSET(ORÇAMENTO!$D$15,CRONO!$F128,0))),CRONO!AF$12,OFFSET(CÁLCULO!$AR$15:$BR$15,$F128,0,OFFSET(ORÇAMENTO!$D$15,CRONO!$F128,0)))
                +IF(AND($F130&lt;&gt;"",$F130&lt;&gt;0),
                        SUMIF(CÁLCULO!$BS$15:$CS$205,CRONO!AF$12,CÁLCULO!$AR$15:$BR$205)/(ORÇAMENTO!$X$15-_xlfn.single(CÁLCULO.TotalAdmLocal))*CRONO!$F130,
                        0),
                 AF129*$S128),
          SUMIF(OFFSET($S130,1,0,$R128-2),($M128+1)&amp;"$",OFFSET(AF130,1,0,$R128-2)))</f>
        <v>1286.35</v>
      </c>
      <c r="AG130" s="439" t="n">
        <f aca="false" t="array" ref="AG130:AG130">IF($R128=2,
         IF(AND(ACOMPANHAMENTO="PLE",ISNUMBER($F128)),
                SUMIF((OFFSET(CÁLCULO!$BS$15:$CS$15,$F128,0,OFFSET(ORÇAMENTO!$D$15,CRONO!$F128,0))),CRONO!AG$12,OFFSET(CÁLCULO!$AR$15:$BR$15,$F128,0,OFFSET(ORÇAMENTO!$D$15,CRONO!$F128,0)))
                +IF(AND($F130&lt;&gt;"",$F130&lt;&gt;0),
                        SUMIF(CÁLCULO!$BS$15:$CS$205,CRONO!AG$12,CÁLCULO!$AR$15:$BR$205)/(ORÇAMENTO!$X$15-_xlfn.single(CÁLCULO.TotalAdmLocal))*CRONO!$F130,
                        0),
                 AG129*$S128),
          SUMIF(OFFSET($S130,1,0,$R128-2),($M128+1)&amp;"$",OFFSET(AG130,1,0,$R128-2)))</f>
        <v>1286.35</v>
      </c>
      <c r="AH130" s="439" t="n">
        <f aca="false" t="array" ref="AH130:AH130">IF($R128=2,
         IF(AND(ACOMPANHAMENTO="PLE",ISNUMBER($F128)),
                SUMIF((OFFSET(CÁLCULO!$BS$15:$CS$15,$F128,0,OFFSET(ORÇAMENTO!$D$15,CRONO!$F128,0))),CRONO!AH$12,OFFSET(CÁLCULO!$AR$15:$BR$15,$F128,0,OFFSET(ORÇAMENTO!$D$15,CRONO!$F128,0)))
                +IF(AND($F130&lt;&gt;"",$F130&lt;&gt;0),
                        SUMIF(CÁLCULO!$BS$15:$CS$205,CRONO!AH$12,CÁLCULO!$AR$15:$BR$205)/(ORÇAMENTO!$X$15-_xlfn.single(CÁLCULO.TotalAdmLocal))*CRONO!$F130,
                        0),
                 AH129*$S128),
          SUMIF(OFFSET($S130,1,0,$R128-2),($M128+1)&amp;"$",OFFSET(AH130,1,0,$R128-2)))</f>
        <v>1286.35</v>
      </c>
      <c r="AI130" s="439" t="n">
        <f aca="false" t="array" ref="AI130:AI130">IF($R128=2,
         IF(AND(ACOMPANHAMENTO="PLE",ISNUMBER($F128)),
                SUMIF((OFFSET(CÁLCULO!$BS$15:$CS$15,$F128,0,OFFSET(ORÇAMENTO!$D$15,CRONO!$F128,0))),CRONO!AI$12,OFFSET(CÁLCULO!$AR$15:$BR$15,$F128,0,OFFSET(ORÇAMENTO!$D$15,CRONO!$F128,0)))
                +IF(AND($F130&lt;&gt;"",$F130&lt;&gt;0),
                        SUMIF(CÁLCULO!$BS$15:$CS$205,CRONO!AI$12,CÁLCULO!$AR$15:$BR$205)/(ORÇAMENTO!$X$15-_xlfn.single(CÁLCULO.TotalAdmLocal))*CRONO!$F130,
                        0),
                 AI129*$S128),
          SUMIF(OFFSET($S130,1,0,$R128-2),($M128+1)&amp;"$",OFFSET(AI130,1,0,$R128-2)))</f>
        <v>1286.35</v>
      </c>
      <c r="AJ130" s="439" t="n">
        <f aca="false" t="array" ref="AJ130:AJ130">IF($R128=2,
         IF(AND(ACOMPANHAMENTO="PLE",ISNUMBER($F128)),
                SUMIF((OFFSET(CÁLCULO!$BS$15:$CS$15,$F128,0,OFFSET(ORÇAMENTO!$D$15,CRONO!$F128,0))),CRONO!AJ$12,OFFSET(CÁLCULO!$AR$15:$BR$15,$F128,0,OFFSET(ORÇAMENTO!$D$15,CRONO!$F128,0)))
                +IF(AND($F130&lt;&gt;"",$F130&lt;&gt;0),
                        SUMIF(CÁLCULO!$BS$15:$CS$205,CRONO!AJ$12,CÁLCULO!$AR$15:$BR$205)/(ORÇAMENTO!$X$15-_xlfn.single(CÁLCULO.TotalAdmLocal))*CRONO!$F130,
                        0),
                 AJ129*$S128),
          SUMIF(OFFSET($S130,1,0,$R128-2),($M128+1)&amp;"$",OFFSET(AJ130,1,0,$R128-2)))</f>
        <v>1286.35</v>
      </c>
      <c r="AK130" s="439" t="n">
        <f aca="false" t="array" ref="AK130:AK130">IF($R128=2,
         IF(AND(ACOMPANHAMENTO="PLE",ISNUMBER($F128)),
                SUMIF((OFFSET(CÁLCULO!$BS$15:$CS$15,$F128,0,OFFSET(ORÇAMENTO!$D$15,CRONO!$F128,0))),CRONO!AK$12,OFFSET(CÁLCULO!$AR$15:$BR$15,$F128,0,OFFSET(ORÇAMENTO!$D$15,CRONO!$F128,0)))
                +IF(AND($F130&lt;&gt;"",$F130&lt;&gt;0),
                        SUMIF(CÁLCULO!$BS$15:$CS$205,CRONO!AK$12,CÁLCULO!$AR$15:$BR$205)/(ORÇAMENTO!$X$15-_xlfn.single(CÁLCULO.TotalAdmLocal))*CRONO!$F130,
                        0),
                 AK129*$S128),
          SUMIF(OFFSET($S130,1,0,$R128-2),($M128+1)&amp;"$",OFFSET(AK130,1,0,$R128-2)))</f>
        <v>1286.35</v>
      </c>
      <c r="AL130" s="439" t="n">
        <f aca="false" t="array" ref="AL130:AL130">IF($R128=2,
         IF(AND(ACOMPANHAMENTO="PLE",ISNUMBER($F128)),
                SUMIF((OFFSET(CÁLCULO!$BS$15:$CS$15,$F128,0,OFFSET(ORÇAMENTO!$D$15,CRONO!$F128,0))),CRONO!AL$12,OFFSET(CÁLCULO!$AR$15:$BR$15,$F128,0,OFFSET(ORÇAMENTO!$D$15,CRONO!$F128,0)))
                +IF(AND($F130&lt;&gt;"",$F130&lt;&gt;0),
                        SUMIF(CÁLCULO!$BS$15:$CS$205,CRONO!AL$12,CÁLCULO!$AR$15:$BR$205)/(ORÇAMENTO!$X$15-_xlfn.single(CÁLCULO.TotalAdmLocal))*CRONO!$F130,
                        0),
                 AL129*$S128),
          SUMIF(OFFSET($S130,1,0,$R128-2),($M128+1)&amp;"$",OFFSET(AL130,1,0,$R128-2)))</f>
        <v>1286.35</v>
      </c>
      <c r="AM130" s="439" t="n">
        <f aca="false" t="array" ref="AM130:AM130">IF($R128=2,
         IF(AND(ACOMPANHAMENTO="PLE",ISNUMBER($F128)),
                SUMIF((OFFSET(CÁLCULO!$BS$15:$CS$15,$F128,0,OFFSET(ORÇAMENTO!$D$15,CRONO!$F128,0))),CRONO!AM$12,OFFSET(CÁLCULO!$AR$15:$BR$15,$F128,0,OFFSET(ORÇAMENTO!$D$15,CRONO!$F128,0)))
                +IF(AND($F130&lt;&gt;"",$F130&lt;&gt;0),
                        SUMIF(CÁLCULO!$BS$15:$CS$205,CRONO!AM$12,CÁLCULO!$AR$15:$BR$205)/(ORÇAMENTO!$X$15-_xlfn.single(CÁLCULO.TotalAdmLocal))*CRONO!$F130,
                        0),
                 AM129*$S128),
          SUMIF(OFFSET($S130,1,0,$R128-2),($M128+1)&amp;"$",OFFSET(AM130,1,0,$R128-2)))</f>
        <v>1286.35</v>
      </c>
      <c r="AN130" s="439" t="n">
        <f aca="false" t="array" ref="AN130:AN130">IF($R128=2,
         IF(AND(ACOMPANHAMENTO="PLE",ISNUMBER($F128)),
                SUMIF((OFFSET(CÁLCULO!$BS$15:$CS$15,$F128,0,OFFSET(ORÇAMENTO!$D$15,CRONO!$F128,0))),CRONO!AN$12,OFFSET(CÁLCULO!$AR$15:$BR$15,$F128,0,OFFSET(ORÇAMENTO!$D$15,CRONO!$F128,0)))
                +IF(AND($F130&lt;&gt;"",$F130&lt;&gt;0),
                        SUMIF(CÁLCULO!$BS$15:$CS$205,CRONO!AN$12,CÁLCULO!$AR$15:$BR$205)/(ORÇAMENTO!$X$15-_xlfn.single(CÁLCULO.TotalAdmLocal))*CRONO!$F130,
                        0),
                 AN129*$S128),
          SUMIF(OFFSET($S130,1,0,$R128-2),($M128+1)&amp;"$",OFFSET(AN130,1,0,$R128-2)))</f>
        <v>1286.35</v>
      </c>
      <c r="AO130" s="439" t="n">
        <f aca="false" t="array" ref="AO130:AO130">IF($R128=2,
         IF(AND(ACOMPANHAMENTO="PLE",ISNUMBER($F128)),
                SUMIF((OFFSET(CÁLCULO!$BS$15:$CS$15,$F128,0,OFFSET(ORÇAMENTO!$D$15,CRONO!$F128,0))),CRONO!AO$12,OFFSET(CÁLCULO!$AR$15:$BR$15,$F128,0,OFFSET(ORÇAMENTO!$D$15,CRONO!$F128,0)))
                +IF(AND($F130&lt;&gt;"",$F130&lt;&gt;0),
                        SUMIF(CÁLCULO!$BS$15:$CS$205,CRONO!AO$12,CÁLCULO!$AR$15:$BR$205)/(ORÇAMENTO!$X$15-_xlfn.single(CÁLCULO.TotalAdmLocal))*CRONO!$F130,
                        0),
                 AO129*$S128),
          SUMIF(OFFSET($S130,1,0,$R128-2),($M128+1)&amp;"$",OFFSET(AO130,1,0,$R128-2)))</f>
        <v>1286.35</v>
      </c>
      <c r="AP130" s="439" t="n">
        <f aca="false" t="array" ref="AP130:AP130">IF($R128=2,
         IF(AND(ACOMPANHAMENTO="PLE",ISNUMBER($F128)),
                SUMIF((OFFSET(CÁLCULO!$BS$15:$CS$15,$F128,0,OFFSET(ORÇAMENTO!$D$15,CRONO!$F128,0))),CRONO!AP$12,OFFSET(CÁLCULO!$AR$15:$BR$15,$F128,0,OFFSET(ORÇAMENTO!$D$15,CRONO!$F128,0)))
                +IF(AND($F130&lt;&gt;"",$F130&lt;&gt;0),
                        SUMIF(CÁLCULO!$BS$15:$CS$205,CRONO!AP$12,CÁLCULO!$AR$15:$BR$205)/(ORÇAMENTO!$X$15-_xlfn.single(CÁLCULO.TotalAdmLocal))*CRONO!$F130,
                        0),
                 AP129*$S128),
          SUMIF(OFFSET($S130,1,0,$R128-2),($M128+1)&amp;"$",OFFSET(AP130,1,0,$R128-2)))</f>
        <v>1286.35</v>
      </c>
      <c r="AQ130" s="439" t="n">
        <f aca="false" t="array" ref="AQ130:AQ130">IF($R128=2,
         IF(AND(ACOMPANHAMENTO="PLE",ISNUMBER($F128)),
                SUMIF((OFFSET(CÁLCULO!$BS$15:$CS$15,$F128,0,OFFSET(ORÇAMENTO!$D$15,CRONO!$F128,0))),CRONO!AQ$12,OFFSET(CÁLCULO!$AR$15:$BR$15,$F128,0,OFFSET(ORÇAMENTO!$D$15,CRONO!$F128,0)))
                +IF(AND($F130&lt;&gt;"",$F130&lt;&gt;0),
                        SUMIF(CÁLCULO!$BS$15:$CS$205,CRONO!AQ$12,CÁLCULO!$AR$15:$BR$205)/(ORÇAMENTO!$X$15-_xlfn.single(CÁLCULO.TotalAdmLocal))*CRONO!$F130,
                        0),
                 AQ129*$S128),
          SUMIF(OFFSET($S130,1,0,$R128-2),($M128+1)&amp;"$",OFFSET(AQ130,1,0,$R128-2)))</f>
        <v>1286.35</v>
      </c>
      <c r="AR130" s="439" t="n">
        <f aca="false" t="array" ref="AR130:AR130">IF($R128=2,
         IF(AND(ACOMPANHAMENTO="PLE",ISNUMBER($F128)),
                SUMIF((OFFSET(CÁLCULO!$BS$15:$CS$15,$F128,0,OFFSET(ORÇAMENTO!$D$15,CRONO!$F128,0))),CRONO!AR$12,OFFSET(CÁLCULO!$AR$15:$BR$15,$F128,0,OFFSET(ORÇAMENTO!$D$15,CRONO!$F128,0)))
                +IF(AND($F130&lt;&gt;"",$F130&lt;&gt;0),
                        SUMIF(CÁLCULO!$BS$15:$CS$205,CRONO!AR$12,CÁLCULO!$AR$15:$BR$205)/(ORÇAMENTO!$X$15-_xlfn.single(CÁLCULO.TotalAdmLocal))*CRONO!$F130,
                        0),
                 AR129*$S128),
          SUMIF(OFFSET($S130,1,0,$R128-2),($M128+1)&amp;"$",OFFSET(AR130,1,0,$R128-2)))</f>
        <v>1286.35</v>
      </c>
      <c r="AS130" s="439" t="n">
        <f aca="false" t="array" ref="AS130:AS130">IF($R128=2,
         IF(AND(ACOMPANHAMENTO="PLE",ISNUMBER($F128)),
                SUMIF((OFFSET(CÁLCULO!$BS$15:$CS$15,$F128,0,OFFSET(ORÇAMENTO!$D$15,CRONO!$F128,0))),CRONO!AS$12,OFFSET(CÁLCULO!$AR$15:$BR$15,$F128,0,OFFSET(ORÇAMENTO!$D$15,CRONO!$F128,0)))
                +IF(AND($F130&lt;&gt;"",$F130&lt;&gt;0),
                        SUMIF(CÁLCULO!$BS$15:$CS$205,CRONO!AS$12,CÁLCULO!$AR$15:$BR$205)/(ORÇAMENTO!$X$15-_xlfn.single(CÁLCULO.TotalAdmLocal))*CRONO!$F130,
                        0),
                 AS129*$S128),
          SUMIF(OFFSET($S130,1,0,$R128-2),($M128+1)&amp;"$",OFFSET(AS130,1,0,$R128-2)))</f>
        <v>1286.35</v>
      </c>
      <c r="AT130" s="439" t="n">
        <f aca="false" t="array" ref="AT130:AT130">IF($R128=2,
         IF(AND(ACOMPANHAMENTO="PLE",ISNUMBER($F128)),
                SUMIF((OFFSET(CÁLCULO!$BS$15:$CS$15,$F128,0,OFFSET(ORÇAMENTO!$D$15,CRONO!$F128,0))),CRONO!AT$12,OFFSET(CÁLCULO!$AR$15:$BR$15,$F128,0,OFFSET(ORÇAMENTO!$D$15,CRONO!$F128,0)))
                +IF(AND($F130&lt;&gt;"",$F130&lt;&gt;0),
                        SUMIF(CÁLCULO!$BS$15:$CS$205,CRONO!AT$12,CÁLCULO!$AR$15:$BR$205)/(ORÇAMENTO!$X$15-_xlfn.single(CÁLCULO.TotalAdmLocal))*CRONO!$F130,
                        0),
                 AT129*$S128),
          SUMIF(OFFSET($S130,1,0,$R128-2),($M128+1)&amp;"$",OFFSET(AT130,1,0,$R128-2)))</f>
        <v>0</v>
      </c>
      <c r="AU130" s="439" t="n">
        <f aca="false" t="array" ref="AU130:AU130">IF($R128=2,
         IF(AND(ACOMPANHAMENTO="PLE",ISNUMBER($F128)),
                SUMIF((OFFSET(CÁLCULO!$BS$15:$CS$15,$F128,0,OFFSET(ORÇAMENTO!$D$15,CRONO!$F128,0))),CRONO!AU$12,OFFSET(CÁLCULO!$AR$15:$BR$15,$F128,0,OFFSET(ORÇAMENTO!$D$15,CRONO!$F128,0)))
                +IF(AND($F130&lt;&gt;"",$F130&lt;&gt;0),
                        SUMIF(CÁLCULO!$BS$15:$CS$205,CRONO!AU$12,CÁLCULO!$AR$15:$BR$205)/(ORÇAMENTO!$X$15-_xlfn.single(CÁLCULO.TotalAdmLocal))*CRONO!$F130,
                        0),
                 AU129*$S128),
          SUMIF(OFFSET($S130,1,0,$R128-2),($M128+1)&amp;"$",OFFSET(AU130,1,0,$R128-2)))</f>
        <v>0</v>
      </c>
      <c r="AV130" s="439" t="n">
        <f aca="false" t="array" ref="AV130:AV130">IF($R128=2,
         IF(AND(ACOMPANHAMENTO="PLE",ISNUMBER($F128)),
                SUMIF((OFFSET(CÁLCULO!$BS$15:$CS$15,$F128,0,OFFSET(ORÇAMENTO!$D$15,CRONO!$F128,0))),CRONO!AV$12,OFFSET(CÁLCULO!$AR$15:$BR$15,$F128,0,OFFSET(ORÇAMENTO!$D$15,CRONO!$F128,0)))
                +IF(AND($F130&lt;&gt;"",$F130&lt;&gt;0),
                        SUMIF(CÁLCULO!$BS$15:$CS$205,CRONO!AV$12,CÁLCULO!$AR$15:$BR$205)/(ORÇAMENTO!$X$15-_xlfn.single(CÁLCULO.TotalAdmLocal))*CRONO!$F130,
                        0),
                 AV129*$S128),
          SUMIF(OFFSET($S130,1,0,$R128-2),($M128+1)&amp;"$",OFFSET(AV130,1,0,$R128-2)))</f>
        <v>0</v>
      </c>
      <c r="AW130" s="439" t="n">
        <f aca="false" t="array" ref="AW130:AW130">IF($R128=2,
         IF(AND(ACOMPANHAMENTO="PLE",ISNUMBER($F128)),
                SUMIF((OFFSET(CÁLCULO!$BS$15:$CS$15,$F128,0,OFFSET(ORÇAMENTO!$D$15,CRONO!$F128,0))),CRONO!AW$12,OFFSET(CÁLCULO!$AR$15:$BR$15,$F128,0,OFFSET(ORÇAMENTO!$D$15,CRONO!$F128,0)))
                +IF(AND($F130&lt;&gt;"",$F130&lt;&gt;0),
                        SUMIF(CÁLCULO!$BS$15:$CS$205,CRONO!AW$12,CÁLCULO!$AR$15:$BR$205)/(ORÇAMENTO!$X$15-_xlfn.single(CÁLCULO.TotalAdmLocal))*CRONO!$F130,
                        0),
                 AW129*$S128),
          SUMIF(OFFSET($S130,1,0,$R128-2),($M128+1)&amp;"$",OFFSET(AW130,1,0,$R128-2)))</f>
        <v>0</v>
      </c>
      <c r="AX130" s="439" t="n">
        <f aca="false" t="array" ref="AX130:AX130">IF($R128=2,
         IF(AND(ACOMPANHAMENTO="PLE",ISNUMBER($F128)),
                SUMIF((OFFSET(CÁLCULO!$BS$15:$CS$15,$F128,0,OFFSET(ORÇAMENTO!$D$15,CRONO!$F128,0))),CRONO!AX$12,OFFSET(CÁLCULO!$AR$15:$BR$15,$F128,0,OFFSET(ORÇAMENTO!$D$15,CRONO!$F128,0)))
                +IF(AND($F130&lt;&gt;"",$F130&lt;&gt;0),
                        SUMIF(CÁLCULO!$BS$15:$CS$205,CRONO!AX$12,CÁLCULO!$AR$15:$BR$205)/(ORÇAMENTO!$X$15-_xlfn.single(CÁLCULO.TotalAdmLocal))*CRONO!$F130,
                        0),
                 AX129*$S128),
          SUMIF(OFFSET($S130,1,0,$R128-2),($M128+1)&amp;"$",OFFSET(AX130,1,0,$R128-2)))</f>
        <v>0</v>
      </c>
      <c r="AY130" s="439" t="n">
        <f aca="false" t="array" ref="AY130:AY130">IF($R128=2,
         IF(AND(ACOMPANHAMENTO="PLE",ISNUMBER($F128)),
                SUMIF((OFFSET(CÁLCULO!$BS$15:$CS$15,$F128,0,OFFSET(ORÇAMENTO!$D$15,CRONO!$F128,0))),CRONO!AY$12,OFFSET(CÁLCULO!$AR$15:$BR$15,$F128,0,OFFSET(ORÇAMENTO!$D$15,CRONO!$F128,0)))
                +IF(AND($F130&lt;&gt;"",$F130&lt;&gt;0),
                        SUMIF(CÁLCULO!$BS$15:$CS$205,CRONO!AY$12,CÁLCULO!$AR$15:$BR$205)/(ORÇAMENTO!$X$15-_xlfn.single(CÁLCULO.TotalAdmLocal))*CRONO!$F130,
                        0),
                 AY129*$S128),
          SUMIF(OFFSET($S130,1,0,$R128-2),($M128+1)&amp;"$",OFFSET(AY130,1,0,$R128-2)))</f>
        <v>0</v>
      </c>
      <c r="AZ130" s="439" t="n">
        <f aca="false" t="array" ref="AZ130:AZ130">IF($R128=2,
         IF(AND(ACOMPANHAMENTO="PLE",ISNUMBER($F128)),
                SUMIF((OFFSET(CÁLCULO!$BS$15:$CS$15,$F128,0,OFFSET(ORÇAMENTO!$D$15,CRONO!$F128,0))),CRONO!AZ$12,OFFSET(CÁLCULO!$AR$15:$BR$15,$F128,0,OFFSET(ORÇAMENTO!$D$15,CRONO!$F128,0)))
                +IF(AND($F130&lt;&gt;"",$F130&lt;&gt;0),
                        SUMIF(CÁLCULO!$BS$15:$CS$205,CRONO!AZ$12,CÁLCULO!$AR$15:$BR$205)/(ORÇAMENTO!$X$15-_xlfn.single(CÁLCULO.TotalAdmLocal))*CRONO!$F130,
                        0),
                 AZ129*$S128),
          SUMIF(OFFSET($S130,1,0,$R128-2),($M128+1)&amp;"$",OFFSET(AZ130,1,0,$R128-2)))</f>
        <v>0</v>
      </c>
      <c r="BA130" s="439" t="n">
        <f aca="false" t="array" ref="BA130:BA130">IF($R128=2,
         IF(AND(ACOMPANHAMENTO="PLE",ISNUMBER($F128)),
                SUMIF((OFFSET(CÁLCULO!$BS$15:$CS$15,$F128,0,OFFSET(ORÇAMENTO!$D$15,CRONO!$F128,0))),CRONO!BA$12,OFFSET(CÁLCULO!$AR$15:$BR$15,$F128,0,OFFSET(ORÇAMENTO!$D$15,CRONO!$F128,0)))
                +IF(AND($F130&lt;&gt;"",$F130&lt;&gt;0),
                        SUMIF(CÁLCULO!$BS$15:$CS$205,CRONO!BA$12,CÁLCULO!$AR$15:$BR$205)/(ORÇAMENTO!$X$15-_xlfn.single(CÁLCULO.TotalAdmLocal))*CRONO!$F130,
                        0),
                 BA129*$S128),
          SUMIF(OFFSET($S130,1,0,$R128-2),($M128+1)&amp;"$",OFFSET(BA130,1,0,$R128-2)))</f>
        <v>0</v>
      </c>
      <c r="BB130" s="439" t="n">
        <f aca="false" t="array" ref="BB130:BB130">IF($R128=2,
         IF(AND(ACOMPANHAMENTO="PLE",ISNUMBER($F128)),
                SUMIF((OFFSET(CÁLCULO!$BS$15:$CS$15,$F128,0,OFFSET(ORÇAMENTO!$D$15,CRONO!$F128,0))),CRONO!BB$12,OFFSET(CÁLCULO!$AR$15:$BR$15,$F128,0,OFFSET(ORÇAMENTO!$D$15,CRONO!$F128,0)))
                +IF(AND($F130&lt;&gt;"",$F130&lt;&gt;0),
                        SUMIF(CÁLCULO!$BS$15:$CS$205,CRONO!BB$12,CÁLCULO!$AR$15:$BR$205)/(ORÇAMENTO!$X$15-_xlfn.single(CÁLCULO.TotalAdmLocal))*CRONO!$F130,
                        0),
                 BB129*$S128),
          SUMIF(OFFSET($S130,1,0,$R128-2),($M128+1)&amp;"$",OFFSET(BB130,1,0,$R128-2)))</f>
        <v>0</v>
      </c>
      <c r="BC130" s="439" t="n">
        <f aca="false" t="array" ref="BC130:BC130">IF($R128=2,
         IF(AND(ACOMPANHAMENTO="PLE",ISNUMBER($F128)),
                SUMIF((OFFSET(CÁLCULO!$BS$15:$CS$15,$F128,0,OFFSET(ORÇAMENTO!$D$15,CRONO!$F128,0))),CRONO!BC$12,OFFSET(CÁLCULO!$AR$15:$BR$15,$F128,0,OFFSET(ORÇAMENTO!$D$15,CRONO!$F128,0)))
                +IF(AND($F130&lt;&gt;"",$F130&lt;&gt;0),
                        SUMIF(CÁLCULO!$BS$15:$CS$205,CRONO!BC$12,CÁLCULO!$AR$15:$BR$205)/(ORÇAMENTO!$X$15-_xlfn.single(CÁLCULO.TotalAdmLocal))*CRONO!$F130,
                        0),
                 BC129*$S128),
          SUMIF(OFFSET($S130,1,0,$R128-2),($M128+1)&amp;"$",OFFSET(BC130,1,0,$R128-2)))</f>
        <v>0</v>
      </c>
      <c r="BD130" s="439" t="n">
        <f aca="false" t="array" ref="BD130:BD130">IF($R128=2,
         IF(AND(ACOMPANHAMENTO="PLE",ISNUMBER($F128)),
                SUMIF((OFFSET(CÁLCULO!$BS$15:$CS$15,$F128,0,OFFSET(ORÇAMENTO!$D$15,CRONO!$F128,0))),CRONO!BD$12,OFFSET(CÁLCULO!$AR$15:$BR$15,$F128,0,OFFSET(ORÇAMENTO!$D$15,CRONO!$F128,0)))
                +IF(AND($F130&lt;&gt;"",$F130&lt;&gt;0),
                        SUMIF(CÁLCULO!$BS$15:$CS$205,CRONO!BD$12,CÁLCULO!$AR$15:$BR$205)/(ORÇAMENTO!$X$15-_xlfn.single(CÁLCULO.TotalAdmLocal))*CRONO!$F130,
                        0),
                 BD129*$S128),
          SUMIF(OFFSET($S130,1,0,$R128-2),($M128+1)&amp;"$",OFFSET(BD130,1,0,$R128-2)))</f>
        <v>0</v>
      </c>
      <c r="BE130" s="430"/>
    </row>
    <row r="131" customFormat="false" ht="12.75" hidden="true" customHeight="false" outlineLevel="0" collapsed="false">
      <c r="A131" s="382" t="str">
        <f aca="false">IF($M131&gt;1,_xlfn.CONCAT($I131," ",$J131),"")</f>
        <v>1.39. HIDRÁULICAS / GÁS / INCÊNCIO</v>
      </c>
      <c r="B131" s="419" t="n">
        <f aca="true">OFFSET(B131,-3,0)+1</f>
        <v>40</v>
      </c>
      <c r="C131" s="419" t="n">
        <f aca="true">IF($R131&lt;&gt;2,0,IF($S131=0,1,IF(F132&gt;0,OFFSET(QCI!$M$13,SUBSTITUTE(F132,".",""),0),OFFSET(ORÇAMENTO!$AA$15,CRONO!$F131,0))/$S131))</f>
        <v>1</v>
      </c>
      <c r="D131" s="419" t="n">
        <f aca="true">IF($R131&lt;&gt;2,0,IF($S131=0,1,IF(F132&gt;0,OFFSET(QCI!$N$13,SUBSTITUTE(F132,".",""),0),OFFSET(ORÇAMENTO!$AB$15,CRONO!$F131,0))/$S131))</f>
        <v>1</v>
      </c>
      <c r="E131" s="422" t="e">
        <f aca="false" t="array" ref="E131:E131">IF(AND($R131=2,ACOMPANHAMENTO="BM"),ROUND(E132,4),E133/$S131)</f>
        <v>#DIV/0!</v>
      </c>
      <c r="F131" s="419" t="n">
        <f aca="true">IF(B131&lt;=ORÇAMENTO.MáximoListaCrono,MATCH(B131,ORÇAMENTO.ListaCrono,0),NA())</f>
        <v>120</v>
      </c>
      <c r="G131" s="419" t="str">
        <f aca="false">IF(AND($F132&lt;&gt;-1,$S131&gt;0),"F","")</f>
        <v/>
      </c>
      <c r="H131" s="423" t="str">
        <f aca="false" t="array" ref="H131:H131">IF(OR(S131=0,S131=""),"Linha",IF(AND(OR(ACOMPANHAMENTO="PLE",$R131&lt;&gt;2),$F132=0),"Linha",ROUND(1-SUM(U131:BE131),4)))</f>
        <v>Linha</v>
      </c>
      <c r="I131" s="424" t="str">
        <f aca="true">IF($F132=0,OFFSET(ORÇAMENTO!O$15,$F131,0),IF($F132&lt;&gt;-1,OFFSET(QCI!$D$13,$F132,0),""))</f>
        <v>1.39.</v>
      </c>
      <c r="J131" s="425" t="str">
        <f aca="true">IF($F132=0,OFFSET(ORÇAMENTO!R$15,$F131,0),IF($F132&lt;&gt;-1,OFFSET(QCI!$G$13,$F132,0),""))</f>
        <v>HIDRÁULICAS / GÁS / INCÊNCIO</v>
      </c>
      <c r="K131" s="425"/>
      <c r="L131" s="425"/>
      <c r="M131" s="426" t="n">
        <f aca="true">IF($F132=0,OFFSET(ORÇAMENTO!C$15,$F131,0),1)</f>
        <v>2</v>
      </c>
      <c r="N131" s="427" t="n">
        <f aca="true">IF($F132=-1,0,IF(N$13&lt;=$M131,IF(ISERROR(MATCH(N$13,OFFSET($M131,1,0,ROW($M$182)-ROW($M131)-1),0)),ROW($M$182)-ROW($M131)-1,MATCH(N$13,OFFSET($M131,1,0,ROW($M$182)-ROW($M131)-1),0)-1),0))</f>
        <v>50</v>
      </c>
      <c r="O131" s="427" t="n">
        <f aca="true">IF($F132=-1,0,IF(O$13&lt;=$M131,IF(ISERROR(MATCH(O$13,OFFSET($M131,1,0,ROW($M$182)-ROW($M131)-1),0)),ROW($M$182)-ROW($M131)-1,MATCH(O$13,OFFSET($M131,1,0,ROW($M$182)-ROW($M131)-1),0)-1),0))</f>
        <v>2</v>
      </c>
      <c r="P131" s="427" t="n">
        <f aca="true">IF($F132=-1,0,IF(P$13&lt;=$M131,IF(ISERROR(MATCH(P$13,OFFSET($M131,1,0,ROW($M$182)-ROW($M131)-1),0)),ROW($M$182)-ROW($M131)-1,MATCH(P$13,OFFSET($M131,1,0,ROW($M$182)-ROW($M131)-1),0)-1),0))</f>
        <v>0</v>
      </c>
      <c r="Q131" s="427" t="n">
        <f aca="true">IF($F132=-1,0,IF(Q$13&lt;=$M131,IF(ISERROR(MATCH(Q$13,OFFSET($M131,1,0,ROW($M$182)-ROW($M131)-1),0)),ROW($M$182)-ROW($M131)-1,MATCH(Q$13,OFFSET($M131,1,0,ROW($M$182)-ROW($M131)-1),0)-1),0))</f>
        <v>0</v>
      </c>
      <c r="R131" s="427" t="n">
        <f aca="true">MIN(OFFSET(M131,0,1,,M131))</f>
        <v>2</v>
      </c>
      <c r="S131" s="428" t="n">
        <f aca="true">IF($F132=0,OFFSET(ORÇAMENTO!X$15,$F131,0),IF($F132&lt;&gt;-1,OFFSET(QCI!$O$13,$F132,0),""))</f>
        <v>0</v>
      </c>
      <c r="T131" s="429" t="s">
        <v>996</v>
      </c>
      <c r="U131" s="422" t="e">
        <f aca="false" t="array" ref="U131:U131">IF(AND($R131=2,ACOMPANHAMENTO="BM"),ROUND(U132,4),U133/$S131)</f>
        <v>#DIV/0!</v>
      </c>
      <c r="V131" s="422" t="e">
        <f aca="false" t="array" ref="V131:V131">IF(AND($R131=2,ACOMPANHAMENTO="BM"),ROUND(V132,4),V133/$S131)</f>
        <v>#DIV/0!</v>
      </c>
      <c r="W131" s="422" t="e">
        <f aca="false" t="array" ref="W131:W131">IF(AND($R131=2,ACOMPANHAMENTO="BM"),ROUND(W132,4),W133/$S131)</f>
        <v>#DIV/0!</v>
      </c>
      <c r="X131" s="422" t="e">
        <f aca="false" t="array" ref="X131:X131">IF(AND($R131=2,ACOMPANHAMENTO="BM"),ROUND(X132,4),X133/$S131)</f>
        <v>#DIV/0!</v>
      </c>
      <c r="Y131" s="422" t="e">
        <f aca="false" t="array" ref="Y131:Y131">IF(AND($R131=2,ACOMPANHAMENTO="BM"),ROUND(Y132,4),Y133/$S131)</f>
        <v>#DIV/0!</v>
      </c>
      <c r="Z131" s="422" t="e">
        <f aca="false" t="array" ref="Z131:Z131">IF(AND($R131=2,ACOMPANHAMENTO="BM"),ROUND(Z132,4),Z133/$S131)</f>
        <v>#DIV/0!</v>
      </c>
      <c r="AA131" s="422" t="e">
        <f aca="false" t="array" ref="AA131:AA131">IF(AND($R131=2,ACOMPANHAMENTO="BM"),ROUND(AA132,4),AA133/$S131)</f>
        <v>#DIV/0!</v>
      </c>
      <c r="AB131" s="422" t="e">
        <f aca="false" t="array" ref="AB131:AB131">IF(AND($R131=2,ACOMPANHAMENTO="BM"),ROUND(AB132,4),AB133/$S131)</f>
        <v>#DIV/0!</v>
      </c>
      <c r="AC131" s="422" t="e">
        <f aca="false" t="array" ref="AC131:AC131">IF(AND($R131=2,ACOMPANHAMENTO="BM"),ROUND(AC132,4),AC133/$S131)</f>
        <v>#DIV/0!</v>
      </c>
      <c r="AD131" s="422" t="e">
        <f aca="false" t="array" ref="AD131:AD131">IF(AND($R131=2,ACOMPANHAMENTO="BM"),ROUND(AD132,4),AD133/$S131)</f>
        <v>#DIV/0!</v>
      </c>
      <c r="AE131" s="422" t="e">
        <f aca="false" t="array" ref="AE131:AE131">IF(AND($R131=2,ACOMPANHAMENTO="BM"),ROUND(AE132,4),AE133/$S131)</f>
        <v>#DIV/0!</v>
      </c>
      <c r="AF131" s="422" t="e">
        <f aca="false" t="array" ref="AF131:AF131">IF(AND($R131=2,ACOMPANHAMENTO="BM"),ROUND(AF132,4),AF133/$S131)</f>
        <v>#DIV/0!</v>
      </c>
      <c r="AG131" s="422" t="e">
        <f aca="false" t="array" ref="AG131:AG131">IF(AND($R131=2,ACOMPANHAMENTO="BM"),ROUND(AG132,4),AG133/$S131)</f>
        <v>#DIV/0!</v>
      </c>
      <c r="AH131" s="422" t="e">
        <f aca="false" t="array" ref="AH131:AH131">IF(AND($R131=2,ACOMPANHAMENTO="BM"),ROUND(AH132,4),AH133/$S131)</f>
        <v>#DIV/0!</v>
      </c>
      <c r="AI131" s="422" t="e">
        <f aca="false" t="array" ref="AI131:AI131">IF(AND($R131=2,ACOMPANHAMENTO="BM"),ROUND(AI132,4),AI133/$S131)</f>
        <v>#DIV/0!</v>
      </c>
      <c r="AJ131" s="422" t="e">
        <f aca="false" t="array" ref="AJ131:AJ131">IF(AND($R131=2,ACOMPANHAMENTO="BM"),ROUND(AJ132,4),AJ133/$S131)</f>
        <v>#DIV/0!</v>
      </c>
      <c r="AK131" s="422" t="e">
        <f aca="false" t="array" ref="AK131:AK131">IF(AND($R131=2,ACOMPANHAMENTO="BM"),ROUND(AK132,4),AK133/$S131)</f>
        <v>#DIV/0!</v>
      </c>
      <c r="AL131" s="422" t="e">
        <f aca="false" t="array" ref="AL131:AL131">IF(AND($R131=2,ACOMPANHAMENTO="BM"),ROUND(AL132,4),AL133/$S131)</f>
        <v>#DIV/0!</v>
      </c>
      <c r="AM131" s="422" t="e">
        <f aca="false" t="array" ref="AM131:AM131">IF(AND($R131=2,ACOMPANHAMENTO="BM"),ROUND(AM132,4),AM133/$S131)</f>
        <v>#DIV/0!</v>
      </c>
      <c r="AN131" s="422" t="e">
        <f aca="false" t="array" ref="AN131:AN131">IF(AND($R131=2,ACOMPANHAMENTO="BM"),ROUND(AN132,4),AN133/$S131)</f>
        <v>#DIV/0!</v>
      </c>
      <c r="AO131" s="422" t="e">
        <f aca="false" t="array" ref="AO131:AO131">IF(AND($R131=2,ACOMPANHAMENTO="BM"),ROUND(AO132,4),AO133/$S131)</f>
        <v>#DIV/0!</v>
      </c>
      <c r="AP131" s="422" t="e">
        <f aca="false" t="array" ref="AP131:AP131">IF(AND($R131=2,ACOMPANHAMENTO="BM"),ROUND(AP132,4),AP133/$S131)</f>
        <v>#DIV/0!</v>
      </c>
      <c r="AQ131" s="422" t="e">
        <f aca="false" t="array" ref="AQ131:AQ131">IF(AND($R131=2,ACOMPANHAMENTO="BM"),ROUND(AQ132,4),AQ133/$S131)</f>
        <v>#DIV/0!</v>
      </c>
      <c r="AR131" s="422" t="e">
        <f aca="false" t="array" ref="AR131:AR131">IF(AND($R131=2,ACOMPANHAMENTO="BM"),ROUND(AR132,4),AR133/$S131)</f>
        <v>#DIV/0!</v>
      </c>
      <c r="AS131" s="422" t="e">
        <f aca="false" t="array" ref="AS131:AS131">IF(AND($R131=2,ACOMPANHAMENTO="BM"),ROUND(AS132,4),AS133/$S131)</f>
        <v>#DIV/0!</v>
      </c>
      <c r="AT131" s="422" t="e">
        <f aca="false" t="array" ref="AT131:AT131">IF(AND($R131=2,ACOMPANHAMENTO="BM"),ROUND(AT132,4),AT133/$S131)</f>
        <v>#DIV/0!</v>
      </c>
      <c r="AU131" s="422" t="e">
        <f aca="false" t="array" ref="AU131:AU131">IF(AND($R131=2,ACOMPANHAMENTO="BM"),ROUND(AU132,4),AU133/$S131)</f>
        <v>#DIV/0!</v>
      </c>
      <c r="AV131" s="422" t="e">
        <f aca="false" t="array" ref="AV131:AV131">IF(AND($R131=2,ACOMPANHAMENTO="BM"),ROUND(AV132,4),AV133/$S131)</f>
        <v>#DIV/0!</v>
      </c>
      <c r="AW131" s="422" t="e">
        <f aca="false" t="array" ref="AW131:AW131">IF(AND($R131=2,ACOMPANHAMENTO="BM"),ROUND(AW132,4),AW133/$S131)</f>
        <v>#DIV/0!</v>
      </c>
      <c r="AX131" s="422" t="e">
        <f aca="false" t="array" ref="AX131:AX131">IF(AND($R131=2,ACOMPANHAMENTO="BM"),ROUND(AX132,4),AX133/$S131)</f>
        <v>#DIV/0!</v>
      </c>
      <c r="AY131" s="422" t="e">
        <f aca="false" t="array" ref="AY131:AY131">IF(AND($R131=2,ACOMPANHAMENTO="BM"),ROUND(AY132,4),AY133/$S131)</f>
        <v>#DIV/0!</v>
      </c>
      <c r="AZ131" s="422" t="e">
        <f aca="false" t="array" ref="AZ131:AZ131">IF(AND($R131=2,ACOMPANHAMENTO="BM"),ROUND(AZ132,4),AZ133/$S131)</f>
        <v>#DIV/0!</v>
      </c>
      <c r="BA131" s="422" t="e">
        <f aca="false" t="array" ref="BA131:BA131">IF(AND($R131=2,ACOMPANHAMENTO="BM"),ROUND(BA132,4),BA133/$S131)</f>
        <v>#DIV/0!</v>
      </c>
      <c r="BB131" s="422" t="e">
        <f aca="false" t="array" ref="BB131:BB131">IF(AND($R131=2,ACOMPANHAMENTO="BM"),ROUND(BB132,4),BB133/$S131)</f>
        <v>#DIV/0!</v>
      </c>
      <c r="BC131" s="422" t="e">
        <f aca="false" t="array" ref="BC131:BC131">IF(AND($R131=2,ACOMPANHAMENTO="BM"),ROUND(BC132,4),BC133/$S131)</f>
        <v>#DIV/0!</v>
      </c>
      <c r="BD131" s="422" t="e">
        <f aca="false" t="array" ref="BD131:BD131">IF(AND($R131=2,ACOMPANHAMENTO="BM"),ROUND(BD132,4),BD133/$S131)</f>
        <v>#DIV/0!</v>
      </c>
      <c r="BE131" s="430"/>
    </row>
    <row r="132" customFormat="false" ht="12.75" hidden="true" customHeight="true" outlineLevel="0" collapsed="false">
      <c r="E132" s="431"/>
      <c r="F132" s="419" t="n">
        <f aca="true">IF(ISERROR(F131),IF(1+COUNTIF($M$13:OFFSET(M131,-1,0),1)&lt;=MAX(QCI!$D$13:$D$15),1+COUNTIF($M$13:OFFSET(M131,-1,0),1),-1),0)</f>
        <v>0</v>
      </c>
      <c r="G132" s="419" t="str">
        <f aca="true" t="array" ref="G132:G132">IF(ACOMPANHAMENTO="BM",OFFSET(G132,-1,0),"")</f>
        <v/>
      </c>
      <c r="H132" s="432" t="str">
        <f aca="false" t="array" ref="H132:H132">IF(OR(S131=0,S131=""),"vazia",IF(AND(OR(ACOMPANHAMENTO="PLE",$R131&lt;&gt;2),$F132=0),"calculada","--&gt;"))</f>
        <v>vazia</v>
      </c>
      <c r="I132" s="433"/>
      <c r="J132" s="434" t="str">
        <f aca="false">IF(AND(H131&lt;&gt;0,ISNUMBER(H131)),"PREENCHA ESTA LINHA --&gt;","")</f>
        <v/>
      </c>
      <c r="K132" s="434"/>
      <c r="L132" s="434"/>
      <c r="M132" s="435"/>
      <c r="N132" s="435"/>
      <c r="O132" s="435"/>
      <c r="P132" s="435"/>
      <c r="Q132" s="435"/>
      <c r="R132" s="435"/>
      <c r="S132" s="436"/>
      <c r="T132" s="437"/>
      <c r="U132" s="431"/>
      <c r="V132" s="431"/>
      <c r="W132" s="431"/>
      <c r="X132" s="431"/>
      <c r="Y132" s="431"/>
      <c r="Z132" s="431"/>
      <c r="AA132" s="431"/>
      <c r="AB132" s="431"/>
      <c r="AC132" s="431"/>
      <c r="AD132" s="431"/>
      <c r="AE132" s="431"/>
      <c r="AF132" s="431"/>
      <c r="AG132" s="431"/>
      <c r="AH132" s="431"/>
      <c r="AI132" s="431"/>
      <c r="AJ132" s="431"/>
      <c r="AK132" s="431"/>
      <c r="AL132" s="431"/>
      <c r="AM132" s="431"/>
      <c r="AN132" s="431"/>
      <c r="AO132" s="431"/>
      <c r="AP132" s="431"/>
      <c r="AQ132" s="431"/>
      <c r="AR132" s="431"/>
      <c r="AS132" s="431"/>
      <c r="AT132" s="431"/>
      <c r="AU132" s="431"/>
      <c r="AV132" s="431"/>
      <c r="AW132" s="431"/>
      <c r="AX132" s="431"/>
      <c r="AY132" s="431"/>
      <c r="AZ132" s="431"/>
      <c r="BA132" s="431"/>
      <c r="BB132" s="431"/>
      <c r="BC132" s="431"/>
      <c r="BD132" s="431"/>
      <c r="BE132" s="430"/>
    </row>
    <row r="133" customFormat="false" ht="12.75" hidden="true" customHeight="true" outlineLevel="0" collapsed="false">
      <c r="D133" s="438"/>
      <c r="E133" s="439" t="n">
        <f aca="false" t="array" ref="E133:E133">IF($R131=2,
         IF(AND(ACOMPANHAMENTO="PLE",ISNUMBER($F131)),
                SUMIF((OFFSET(CÁLCULO!$BS$15:$CS$15,$F131,0,OFFSET(ORÇAMENTO!$D$15,CRONO!$F131,0))),CRONO!E$12,OFFSET(CÁLCULO!$AR$15:$BR$15,$F131,0,OFFSET(ORÇAMENTO!$D$15,CRONO!$F131,0)))
                +IF(AND($F133&lt;&gt;"",$F133&lt;&gt;0),
                        SUMIF(CÁLCULO!$BS$15:$CS$205,CRONO!E$12,CÁLCULO!$AR$15:$BR$205)/(ORÇAMENTO!$X$15-_xlfn.single(CÁLCULO.TotalAdmLocal))*CRONO!$F133,
                        0),
                 E132*$S131),
          SUMIF(OFFSET($S133,1,0,$R131-2),($M131+1)&amp;"$",OFFSET(E133,1,0,$R131-2)))</f>
        <v>0</v>
      </c>
      <c r="F133" s="419" t="str">
        <f aca="true">IF(OR($R131&lt;&gt;2,AUTOEVENTO&lt;&gt;"manual",$F132&gt;0),"",
        IF(Import.TipoArredondamento="Tradicional",
              SUMIF(OFFSET(CÁLCULO!$M$15,CRONO!$F131,0,OFFSET(ORÇAMENTO!$D$15,CRONO!$F131,0)),1,OFFSET(ORÇAMENTO!$X$15,CRONO!$F131,0,OFFSET(ORÇAMENTO!$D$15,CRONO!$F131,0))),
              0))</f>
        <v/>
      </c>
      <c r="H133" s="440"/>
      <c r="S133" s="441" t="str">
        <f aca="false">M131&amp;"$"</f>
        <v>2$</v>
      </c>
      <c r="T133" s="442"/>
      <c r="U133" s="439" t="n">
        <f aca="false" t="array" ref="U133:U133">IF($R131=2,
         IF(AND(ACOMPANHAMENTO="PLE",ISNUMBER($F131)),
                SUMIF((OFFSET(CÁLCULO!$BS$15:$CS$15,$F131,0,OFFSET(ORÇAMENTO!$D$15,CRONO!$F131,0))),CRONO!U$12,OFFSET(CÁLCULO!$AR$15:$BR$15,$F131,0,OFFSET(ORÇAMENTO!$D$15,CRONO!$F131,0)))
                +IF(AND($F133&lt;&gt;"",$F133&lt;&gt;0),
                        SUMIF(CÁLCULO!$BS$15:$CS$205,CRONO!U$12,CÁLCULO!$AR$15:$BR$205)/(ORÇAMENTO!$X$15-_xlfn.single(CÁLCULO.TotalAdmLocal))*CRONO!$F133,
                        0),
                 U132*$S131),
          SUMIF(OFFSET($S133,1,0,$R131-2),($M131+1)&amp;"$",OFFSET(U133,1,0,$R131-2)))</f>
        <v>0</v>
      </c>
      <c r="V133" s="439" t="n">
        <f aca="false" t="array" ref="V133:V133">IF($R131=2,
         IF(AND(ACOMPANHAMENTO="PLE",ISNUMBER($F131)),
                SUMIF((OFFSET(CÁLCULO!$BS$15:$CS$15,$F131,0,OFFSET(ORÇAMENTO!$D$15,CRONO!$F131,0))),CRONO!V$12,OFFSET(CÁLCULO!$AR$15:$BR$15,$F131,0,OFFSET(ORÇAMENTO!$D$15,CRONO!$F131,0)))
                +IF(AND($F133&lt;&gt;"",$F133&lt;&gt;0),
                        SUMIF(CÁLCULO!$BS$15:$CS$205,CRONO!V$12,CÁLCULO!$AR$15:$BR$205)/(ORÇAMENTO!$X$15-_xlfn.single(CÁLCULO.TotalAdmLocal))*CRONO!$F133,
                        0),
                 V132*$S131),
          SUMIF(OFFSET($S133,1,0,$R131-2),($M131+1)&amp;"$",OFFSET(V133,1,0,$R131-2)))</f>
        <v>0</v>
      </c>
      <c r="W133" s="439" t="n">
        <f aca="false" t="array" ref="W133:W133">IF($R131=2,
         IF(AND(ACOMPANHAMENTO="PLE",ISNUMBER($F131)),
                SUMIF((OFFSET(CÁLCULO!$BS$15:$CS$15,$F131,0,OFFSET(ORÇAMENTO!$D$15,CRONO!$F131,0))),CRONO!W$12,OFFSET(CÁLCULO!$AR$15:$BR$15,$F131,0,OFFSET(ORÇAMENTO!$D$15,CRONO!$F131,0)))
                +IF(AND($F133&lt;&gt;"",$F133&lt;&gt;0),
                        SUMIF(CÁLCULO!$BS$15:$CS$205,CRONO!W$12,CÁLCULO!$AR$15:$BR$205)/(ORÇAMENTO!$X$15-_xlfn.single(CÁLCULO.TotalAdmLocal))*CRONO!$F133,
                        0),
                 W132*$S131),
          SUMIF(OFFSET($S133,1,0,$R131-2),($M131+1)&amp;"$",OFFSET(W133,1,0,$R131-2)))</f>
        <v>0</v>
      </c>
      <c r="X133" s="439" t="n">
        <f aca="false" t="array" ref="X133:X133">IF($R131=2,
         IF(AND(ACOMPANHAMENTO="PLE",ISNUMBER($F131)),
                SUMIF((OFFSET(CÁLCULO!$BS$15:$CS$15,$F131,0,OFFSET(ORÇAMENTO!$D$15,CRONO!$F131,0))),CRONO!X$12,OFFSET(CÁLCULO!$AR$15:$BR$15,$F131,0,OFFSET(ORÇAMENTO!$D$15,CRONO!$F131,0)))
                +IF(AND($F133&lt;&gt;"",$F133&lt;&gt;0),
                        SUMIF(CÁLCULO!$BS$15:$CS$205,CRONO!X$12,CÁLCULO!$AR$15:$BR$205)/(ORÇAMENTO!$X$15-_xlfn.single(CÁLCULO.TotalAdmLocal))*CRONO!$F133,
                        0),
                 X132*$S131),
          SUMIF(OFFSET($S133,1,0,$R131-2),($M131+1)&amp;"$",OFFSET(X133,1,0,$R131-2)))</f>
        <v>0</v>
      </c>
      <c r="Y133" s="439" t="n">
        <f aca="false" t="array" ref="Y133:Y133">IF($R131=2,
         IF(AND(ACOMPANHAMENTO="PLE",ISNUMBER($F131)),
                SUMIF((OFFSET(CÁLCULO!$BS$15:$CS$15,$F131,0,OFFSET(ORÇAMENTO!$D$15,CRONO!$F131,0))),CRONO!Y$12,OFFSET(CÁLCULO!$AR$15:$BR$15,$F131,0,OFFSET(ORÇAMENTO!$D$15,CRONO!$F131,0)))
                +IF(AND($F133&lt;&gt;"",$F133&lt;&gt;0),
                        SUMIF(CÁLCULO!$BS$15:$CS$205,CRONO!Y$12,CÁLCULO!$AR$15:$BR$205)/(ORÇAMENTO!$X$15-_xlfn.single(CÁLCULO.TotalAdmLocal))*CRONO!$F133,
                        0),
                 Y132*$S131),
          SUMIF(OFFSET($S133,1,0,$R131-2),($M131+1)&amp;"$",OFFSET(Y133,1,0,$R131-2)))</f>
        <v>0</v>
      </c>
      <c r="Z133" s="439" t="n">
        <f aca="false" t="array" ref="Z133:Z133">IF($R131=2,
         IF(AND(ACOMPANHAMENTO="PLE",ISNUMBER($F131)),
                SUMIF((OFFSET(CÁLCULO!$BS$15:$CS$15,$F131,0,OFFSET(ORÇAMENTO!$D$15,CRONO!$F131,0))),CRONO!Z$12,OFFSET(CÁLCULO!$AR$15:$BR$15,$F131,0,OFFSET(ORÇAMENTO!$D$15,CRONO!$F131,0)))
                +IF(AND($F133&lt;&gt;"",$F133&lt;&gt;0),
                        SUMIF(CÁLCULO!$BS$15:$CS$205,CRONO!Z$12,CÁLCULO!$AR$15:$BR$205)/(ORÇAMENTO!$X$15-_xlfn.single(CÁLCULO.TotalAdmLocal))*CRONO!$F133,
                        0),
                 Z132*$S131),
          SUMIF(OFFSET($S133,1,0,$R131-2),($M131+1)&amp;"$",OFFSET(Z133,1,0,$R131-2)))</f>
        <v>0</v>
      </c>
      <c r="AA133" s="439" t="n">
        <f aca="false" t="array" ref="AA133:AA133">IF($R131=2,
         IF(AND(ACOMPANHAMENTO="PLE",ISNUMBER($F131)),
                SUMIF((OFFSET(CÁLCULO!$BS$15:$CS$15,$F131,0,OFFSET(ORÇAMENTO!$D$15,CRONO!$F131,0))),CRONO!AA$12,OFFSET(CÁLCULO!$AR$15:$BR$15,$F131,0,OFFSET(ORÇAMENTO!$D$15,CRONO!$F131,0)))
                +IF(AND($F133&lt;&gt;"",$F133&lt;&gt;0),
                        SUMIF(CÁLCULO!$BS$15:$CS$205,CRONO!AA$12,CÁLCULO!$AR$15:$BR$205)/(ORÇAMENTO!$X$15-_xlfn.single(CÁLCULO.TotalAdmLocal))*CRONO!$F133,
                        0),
                 AA132*$S131),
          SUMIF(OFFSET($S133,1,0,$R131-2),($M131+1)&amp;"$",OFFSET(AA133,1,0,$R131-2)))</f>
        <v>0</v>
      </c>
      <c r="AB133" s="439" t="n">
        <f aca="false" t="array" ref="AB133:AB133">IF($R131=2,
         IF(AND(ACOMPANHAMENTO="PLE",ISNUMBER($F131)),
                SUMIF((OFFSET(CÁLCULO!$BS$15:$CS$15,$F131,0,OFFSET(ORÇAMENTO!$D$15,CRONO!$F131,0))),CRONO!AB$12,OFFSET(CÁLCULO!$AR$15:$BR$15,$F131,0,OFFSET(ORÇAMENTO!$D$15,CRONO!$F131,0)))
                +IF(AND($F133&lt;&gt;"",$F133&lt;&gt;0),
                        SUMIF(CÁLCULO!$BS$15:$CS$205,CRONO!AB$12,CÁLCULO!$AR$15:$BR$205)/(ORÇAMENTO!$X$15-_xlfn.single(CÁLCULO.TotalAdmLocal))*CRONO!$F133,
                        0),
                 AB132*$S131),
          SUMIF(OFFSET($S133,1,0,$R131-2),($M131+1)&amp;"$",OFFSET(AB133,1,0,$R131-2)))</f>
        <v>0</v>
      </c>
      <c r="AC133" s="439" t="n">
        <f aca="false" t="array" ref="AC133:AC133">IF($R131=2,
         IF(AND(ACOMPANHAMENTO="PLE",ISNUMBER($F131)),
                SUMIF((OFFSET(CÁLCULO!$BS$15:$CS$15,$F131,0,OFFSET(ORÇAMENTO!$D$15,CRONO!$F131,0))),CRONO!AC$12,OFFSET(CÁLCULO!$AR$15:$BR$15,$F131,0,OFFSET(ORÇAMENTO!$D$15,CRONO!$F131,0)))
                +IF(AND($F133&lt;&gt;"",$F133&lt;&gt;0),
                        SUMIF(CÁLCULO!$BS$15:$CS$205,CRONO!AC$12,CÁLCULO!$AR$15:$BR$205)/(ORÇAMENTO!$X$15-_xlfn.single(CÁLCULO.TotalAdmLocal))*CRONO!$F133,
                        0),
                 AC132*$S131),
          SUMIF(OFFSET($S133,1,0,$R131-2),($M131+1)&amp;"$",OFFSET(AC133,1,0,$R131-2)))</f>
        <v>0</v>
      </c>
      <c r="AD133" s="439" t="n">
        <f aca="false" t="array" ref="AD133:AD133">IF($R131=2,
         IF(AND(ACOMPANHAMENTO="PLE",ISNUMBER($F131)),
                SUMIF((OFFSET(CÁLCULO!$BS$15:$CS$15,$F131,0,OFFSET(ORÇAMENTO!$D$15,CRONO!$F131,0))),CRONO!AD$12,OFFSET(CÁLCULO!$AR$15:$BR$15,$F131,0,OFFSET(ORÇAMENTO!$D$15,CRONO!$F131,0)))
                +IF(AND($F133&lt;&gt;"",$F133&lt;&gt;0),
                        SUMIF(CÁLCULO!$BS$15:$CS$205,CRONO!AD$12,CÁLCULO!$AR$15:$BR$205)/(ORÇAMENTO!$X$15-_xlfn.single(CÁLCULO.TotalAdmLocal))*CRONO!$F133,
                        0),
                 AD132*$S131),
          SUMIF(OFFSET($S133,1,0,$R131-2),($M131+1)&amp;"$",OFFSET(AD133,1,0,$R131-2)))</f>
        <v>0</v>
      </c>
      <c r="AE133" s="439" t="n">
        <f aca="false" t="array" ref="AE133:AE133">IF($R131=2,
         IF(AND(ACOMPANHAMENTO="PLE",ISNUMBER($F131)),
                SUMIF((OFFSET(CÁLCULO!$BS$15:$CS$15,$F131,0,OFFSET(ORÇAMENTO!$D$15,CRONO!$F131,0))),CRONO!AE$12,OFFSET(CÁLCULO!$AR$15:$BR$15,$F131,0,OFFSET(ORÇAMENTO!$D$15,CRONO!$F131,0)))
                +IF(AND($F133&lt;&gt;"",$F133&lt;&gt;0),
                        SUMIF(CÁLCULO!$BS$15:$CS$205,CRONO!AE$12,CÁLCULO!$AR$15:$BR$205)/(ORÇAMENTO!$X$15-_xlfn.single(CÁLCULO.TotalAdmLocal))*CRONO!$F133,
                        0),
                 AE132*$S131),
          SUMIF(OFFSET($S133,1,0,$R131-2),($M131+1)&amp;"$",OFFSET(AE133,1,0,$R131-2)))</f>
        <v>0</v>
      </c>
      <c r="AF133" s="439" t="n">
        <f aca="false" t="array" ref="AF133:AF133">IF($R131=2,
         IF(AND(ACOMPANHAMENTO="PLE",ISNUMBER($F131)),
                SUMIF((OFFSET(CÁLCULO!$BS$15:$CS$15,$F131,0,OFFSET(ORÇAMENTO!$D$15,CRONO!$F131,0))),CRONO!AF$12,OFFSET(CÁLCULO!$AR$15:$BR$15,$F131,0,OFFSET(ORÇAMENTO!$D$15,CRONO!$F131,0)))
                +IF(AND($F133&lt;&gt;"",$F133&lt;&gt;0),
                        SUMIF(CÁLCULO!$BS$15:$CS$205,CRONO!AF$12,CÁLCULO!$AR$15:$BR$205)/(ORÇAMENTO!$X$15-_xlfn.single(CÁLCULO.TotalAdmLocal))*CRONO!$F133,
                        0),
                 AF132*$S131),
          SUMIF(OFFSET($S133,1,0,$R131-2),($M131+1)&amp;"$",OFFSET(AF133,1,0,$R131-2)))</f>
        <v>0</v>
      </c>
      <c r="AG133" s="439" t="n">
        <f aca="false" t="array" ref="AG133:AG133">IF($R131=2,
         IF(AND(ACOMPANHAMENTO="PLE",ISNUMBER($F131)),
                SUMIF((OFFSET(CÁLCULO!$BS$15:$CS$15,$F131,0,OFFSET(ORÇAMENTO!$D$15,CRONO!$F131,0))),CRONO!AG$12,OFFSET(CÁLCULO!$AR$15:$BR$15,$F131,0,OFFSET(ORÇAMENTO!$D$15,CRONO!$F131,0)))
                +IF(AND($F133&lt;&gt;"",$F133&lt;&gt;0),
                        SUMIF(CÁLCULO!$BS$15:$CS$205,CRONO!AG$12,CÁLCULO!$AR$15:$BR$205)/(ORÇAMENTO!$X$15-_xlfn.single(CÁLCULO.TotalAdmLocal))*CRONO!$F133,
                        0),
                 AG132*$S131),
          SUMIF(OFFSET($S133,1,0,$R131-2),($M131+1)&amp;"$",OFFSET(AG133,1,0,$R131-2)))</f>
        <v>0</v>
      </c>
      <c r="AH133" s="439" t="n">
        <f aca="false" t="array" ref="AH133:AH133">IF($R131=2,
         IF(AND(ACOMPANHAMENTO="PLE",ISNUMBER($F131)),
                SUMIF((OFFSET(CÁLCULO!$BS$15:$CS$15,$F131,0,OFFSET(ORÇAMENTO!$D$15,CRONO!$F131,0))),CRONO!AH$12,OFFSET(CÁLCULO!$AR$15:$BR$15,$F131,0,OFFSET(ORÇAMENTO!$D$15,CRONO!$F131,0)))
                +IF(AND($F133&lt;&gt;"",$F133&lt;&gt;0),
                        SUMIF(CÁLCULO!$BS$15:$CS$205,CRONO!AH$12,CÁLCULO!$AR$15:$BR$205)/(ORÇAMENTO!$X$15-_xlfn.single(CÁLCULO.TotalAdmLocal))*CRONO!$F133,
                        0),
                 AH132*$S131),
          SUMIF(OFFSET($S133,1,0,$R131-2),($M131+1)&amp;"$",OFFSET(AH133,1,0,$R131-2)))</f>
        <v>0</v>
      </c>
      <c r="AI133" s="439" t="n">
        <f aca="false" t="array" ref="AI133:AI133">IF($R131=2,
         IF(AND(ACOMPANHAMENTO="PLE",ISNUMBER($F131)),
                SUMIF((OFFSET(CÁLCULO!$BS$15:$CS$15,$F131,0,OFFSET(ORÇAMENTO!$D$15,CRONO!$F131,0))),CRONO!AI$12,OFFSET(CÁLCULO!$AR$15:$BR$15,$F131,0,OFFSET(ORÇAMENTO!$D$15,CRONO!$F131,0)))
                +IF(AND($F133&lt;&gt;"",$F133&lt;&gt;0),
                        SUMIF(CÁLCULO!$BS$15:$CS$205,CRONO!AI$12,CÁLCULO!$AR$15:$BR$205)/(ORÇAMENTO!$X$15-_xlfn.single(CÁLCULO.TotalAdmLocal))*CRONO!$F133,
                        0),
                 AI132*$S131),
          SUMIF(OFFSET($S133,1,0,$R131-2),($M131+1)&amp;"$",OFFSET(AI133,1,0,$R131-2)))</f>
        <v>0</v>
      </c>
      <c r="AJ133" s="439" t="n">
        <f aca="false" t="array" ref="AJ133:AJ133">IF($R131=2,
         IF(AND(ACOMPANHAMENTO="PLE",ISNUMBER($F131)),
                SUMIF((OFFSET(CÁLCULO!$BS$15:$CS$15,$F131,0,OFFSET(ORÇAMENTO!$D$15,CRONO!$F131,0))),CRONO!AJ$12,OFFSET(CÁLCULO!$AR$15:$BR$15,$F131,0,OFFSET(ORÇAMENTO!$D$15,CRONO!$F131,0)))
                +IF(AND($F133&lt;&gt;"",$F133&lt;&gt;0),
                        SUMIF(CÁLCULO!$BS$15:$CS$205,CRONO!AJ$12,CÁLCULO!$AR$15:$BR$205)/(ORÇAMENTO!$X$15-_xlfn.single(CÁLCULO.TotalAdmLocal))*CRONO!$F133,
                        0),
                 AJ132*$S131),
          SUMIF(OFFSET($S133,1,0,$R131-2),($M131+1)&amp;"$",OFFSET(AJ133,1,0,$R131-2)))</f>
        <v>0</v>
      </c>
      <c r="AK133" s="439" t="n">
        <f aca="false" t="array" ref="AK133:AK133">IF($R131=2,
         IF(AND(ACOMPANHAMENTO="PLE",ISNUMBER($F131)),
                SUMIF((OFFSET(CÁLCULO!$BS$15:$CS$15,$F131,0,OFFSET(ORÇAMENTO!$D$15,CRONO!$F131,0))),CRONO!AK$12,OFFSET(CÁLCULO!$AR$15:$BR$15,$F131,0,OFFSET(ORÇAMENTO!$D$15,CRONO!$F131,0)))
                +IF(AND($F133&lt;&gt;"",$F133&lt;&gt;0),
                        SUMIF(CÁLCULO!$BS$15:$CS$205,CRONO!AK$12,CÁLCULO!$AR$15:$BR$205)/(ORÇAMENTO!$X$15-_xlfn.single(CÁLCULO.TotalAdmLocal))*CRONO!$F133,
                        0),
                 AK132*$S131),
          SUMIF(OFFSET($S133,1,0,$R131-2),($M131+1)&amp;"$",OFFSET(AK133,1,0,$R131-2)))</f>
        <v>0</v>
      </c>
      <c r="AL133" s="439" t="n">
        <f aca="false" t="array" ref="AL133:AL133">IF($R131=2,
         IF(AND(ACOMPANHAMENTO="PLE",ISNUMBER($F131)),
                SUMIF((OFFSET(CÁLCULO!$BS$15:$CS$15,$F131,0,OFFSET(ORÇAMENTO!$D$15,CRONO!$F131,0))),CRONO!AL$12,OFFSET(CÁLCULO!$AR$15:$BR$15,$F131,0,OFFSET(ORÇAMENTO!$D$15,CRONO!$F131,0)))
                +IF(AND($F133&lt;&gt;"",$F133&lt;&gt;0),
                        SUMIF(CÁLCULO!$BS$15:$CS$205,CRONO!AL$12,CÁLCULO!$AR$15:$BR$205)/(ORÇAMENTO!$X$15-_xlfn.single(CÁLCULO.TotalAdmLocal))*CRONO!$F133,
                        0),
                 AL132*$S131),
          SUMIF(OFFSET($S133,1,0,$R131-2),($M131+1)&amp;"$",OFFSET(AL133,1,0,$R131-2)))</f>
        <v>0</v>
      </c>
      <c r="AM133" s="439" t="n">
        <f aca="false" t="array" ref="AM133:AM133">IF($R131=2,
         IF(AND(ACOMPANHAMENTO="PLE",ISNUMBER($F131)),
                SUMIF((OFFSET(CÁLCULO!$BS$15:$CS$15,$F131,0,OFFSET(ORÇAMENTO!$D$15,CRONO!$F131,0))),CRONO!AM$12,OFFSET(CÁLCULO!$AR$15:$BR$15,$F131,0,OFFSET(ORÇAMENTO!$D$15,CRONO!$F131,0)))
                +IF(AND($F133&lt;&gt;"",$F133&lt;&gt;0),
                        SUMIF(CÁLCULO!$BS$15:$CS$205,CRONO!AM$12,CÁLCULO!$AR$15:$BR$205)/(ORÇAMENTO!$X$15-_xlfn.single(CÁLCULO.TotalAdmLocal))*CRONO!$F133,
                        0),
                 AM132*$S131),
          SUMIF(OFFSET($S133,1,0,$R131-2),($M131+1)&amp;"$",OFFSET(AM133,1,0,$R131-2)))</f>
        <v>0</v>
      </c>
      <c r="AN133" s="439" t="n">
        <f aca="false" t="array" ref="AN133:AN133">IF($R131=2,
         IF(AND(ACOMPANHAMENTO="PLE",ISNUMBER($F131)),
                SUMIF((OFFSET(CÁLCULO!$BS$15:$CS$15,$F131,0,OFFSET(ORÇAMENTO!$D$15,CRONO!$F131,0))),CRONO!AN$12,OFFSET(CÁLCULO!$AR$15:$BR$15,$F131,0,OFFSET(ORÇAMENTO!$D$15,CRONO!$F131,0)))
                +IF(AND($F133&lt;&gt;"",$F133&lt;&gt;0),
                        SUMIF(CÁLCULO!$BS$15:$CS$205,CRONO!AN$12,CÁLCULO!$AR$15:$BR$205)/(ORÇAMENTO!$X$15-_xlfn.single(CÁLCULO.TotalAdmLocal))*CRONO!$F133,
                        0),
                 AN132*$S131),
          SUMIF(OFFSET($S133,1,0,$R131-2),($M131+1)&amp;"$",OFFSET(AN133,1,0,$R131-2)))</f>
        <v>0</v>
      </c>
      <c r="AO133" s="439" t="n">
        <f aca="false" t="array" ref="AO133:AO133">IF($R131=2,
         IF(AND(ACOMPANHAMENTO="PLE",ISNUMBER($F131)),
                SUMIF((OFFSET(CÁLCULO!$BS$15:$CS$15,$F131,0,OFFSET(ORÇAMENTO!$D$15,CRONO!$F131,0))),CRONO!AO$12,OFFSET(CÁLCULO!$AR$15:$BR$15,$F131,0,OFFSET(ORÇAMENTO!$D$15,CRONO!$F131,0)))
                +IF(AND($F133&lt;&gt;"",$F133&lt;&gt;0),
                        SUMIF(CÁLCULO!$BS$15:$CS$205,CRONO!AO$12,CÁLCULO!$AR$15:$BR$205)/(ORÇAMENTO!$X$15-_xlfn.single(CÁLCULO.TotalAdmLocal))*CRONO!$F133,
                        0),
                 AO132*$S131),
          SUMIF(OFFSET($S133,1,0,$R131-2),($M131+1)&amp;"$",OFFSET(AO133,1,0,$R131-2)))</f>
        <v>0</v>
      </c>
      <c r="AP133" s="439" t="n">
        <f aca="false" t="array" ref="AP133:AP133">IF($R131=2,
         IF(AND(ACOMPANHAMENTO="PLE",ISNUMBER($F131)),
                SUMIF((OFFSET(CÁLCULO!$BS$15:$CS$15,$F131,0,OFFSET(ORÇAMENTO!$D$15,CRONO!$F131,0))),CRONO!AP$12,OFFSET(CÁLCULO!$AR$15:$BR$15,$F131,0,OFFSET(ORÇAMENTO!$D$15,CRONO!$F131,0)))
                +IF(AND($F133&lt;&gt;"",$F133&lt;&gt;0),
                        SUMIF(CÁLCULO!$BS$15:$CS$205,CRONO!AP$12,CÁLCULO!$AR$15:$BR$205)/(ORÇAMENTO!$X$15-_xlfn.single(CÁLCULO.TotalAdmLocal))*CRONO!$F133,
                        0),
                 AP132*$S131),
          SUMIF(OFFSET($S133,1,0,$R131-2),($M131+1)&amp;"$",OFFSET(AP133,1,0,$R131-2)))</f>
        <v>0</v>
      </c>
      <c r="AQ133" s="439" t="n">
        <f aca="false" t="array" ref="AQ133:AQ133">IF($R131=2,
         IF(AND(ACOMPANHAMENTO="PLE",ISNUMBER($F131)),
                SUMIF((OFFSET(CÁLCULO!$BS$15:$CS$15,$F131,0,OFFSET(ORÇAMENTO!$D$15,CRONO!$F131,0))),CRONO!AQ$12,OFFSET(CÁLCULO!$AR$15:$BR$15,$F131,0,OFFSET(ORÇAMENTO!$D$15,CRONO!$F131,0)))
                +IF(AND($F133&lt;&gt;"",$F133&lt;&gt;0),
                        SUMIF(CÁLCULO!$BS$15:$CS$205,CRONO!AQ$12,CÁLCULO!$AR$15:$BR$205)/(ORÇAMENTO!$X$15-_xlfn.single(CÁLCULO.TotalAdmLocal))*CRONO!$F133,
                        0),
                 AQ132*$S131),
          SUMIF(OFFSET($S133,1,0,$R131-2),($M131+1)&amp;"$",OFFSET(AQ133,1,0,$R131-2)))</f>
        <v>0</v>
      </c>
      <c r="AR133" s="439" t="n">
        <f aca="false" t="array" ref="AR133:AR133">IF($R131=2,
         IF(AND(ACOMPANHAMENTO="PLE",ISNUMBER($F131)),
                SUMIF((OFFSET(CÁLCULO!$BS$15:$CS$15,$F131,0,OFFSET(ORÇAMENTO!$D$15,CRONO!$F131,0))),CRONO!AR$12,OFFSET(CÁLCULO!$AR$15:$BR$15,$F131,0,OFFSET(ORÇAMENTO!$D$15,CRONO!$F131,0)))
                +IF(AND($F133&lt;&gt;"",$F133&lt;&gt;0),
                        SUMIF(CÁLCULO!$BS$15:$CS$205,CRONO!AR$12,CÁLCULO!$AR$15:$BR$205)/(ORÇAMENTO!$X$15-_xlfn.single(CÁLCULO.TotalAdmLocal))*CRONO!$F133,
                        0),
                 AR132*$S131),
          SUMIF(OFFSET($S133,1,0,$R131-2),($M131+1)&amp;"$",OFFSET(AR133,1,0,$R131-2)))</f>
        <v>0</v>
      </c>
      <c r="AS133" s="439" t="n">
        <f aca="false" t="array" ref="AS133:AS133">IF($R131=2,
         IF(AND(ACOMPANHAMENTO="PLE",ISNUMBER($F131)),
                SUMIF((OFFSET(CÁLCULO!$BS$15:$CS$15,$F131,0,OFFSET(ORÇAMENTO!$D$15,CRONO!$F131,0))),CRONO!AS$12,OFFSET(CÁLCULO!$AR$15:$BR$15,$F131,0,OFFSET(ORÇAMENTO!$D$15,CRONO!$F131,0)))
                +IF(AND($F133&lt;&gt;"",$F133&lt;&gt;0),
                        SUMIF(CÁLCULO!$BS$15:$CS$205,CRONO!AS$12,CÁLCULO!$AR$15:$BR$205)/(ORÇAMENTO!$X$15-_xlfn.single(CÁLCULO.TotalAdmLocal))*CRONO!$F133,
                        0),
                 AS132*$S131),
          SUMIF(OFFSET($S133,1,0,$R131-2),($M131+1)&amp;"$",OFFSET(AS133,1,0,$R131-2)))</f>
        <v>0</v>
      </c>
      <c r="AT133" s="439" t="n">
        <f aca="false" t="array" ref="AT133:AT133">IF($R131=2,
         IF(AND(ACOMPANHAMENTO="PLE",ISNUMBER($F131)),
                SUMIF((OFFSET(CÁLCULO!$BS$15:$CS$15,$F131,0,OFFSET(ORÇAMENTO!$D$15,CRONO!$F131,0))),CRONO!AT$12,OFFSET(CÁLCULO!$AR$15:$BR$15,$F131,0,OFFSET(ORÇAMENTO!$D$15,CRONO!$F131,0)))
                +IF(AND($F133&lt;&gt;"",$F133&lt;&gt;0),
                        SUMIF(CÁLCULO!$BS$15:$CS$205,CRONO!AT$12,CÁLCULO!$AR$15:$BR$205)/(ORÇAMENTO!$X$15-_xlfn.single(CÁLCULO.TotalAdmLocal))*CRONO!$F133,
                        0),
                 AT132*$S131),
          SUMIF(OFFSET($S133,1,0,$R131-2),($M131+1)&amp;"$",OFFSET(AT133,1,0,$R131-2)))</f>
        <v>0</v>
      </c>
      <c r="AU133" s="439" t="n">
        <f aca="false" t="array" ref="AU133:AU133">IF($R131=2,
         IF(AND(ACOMPANHAMENTO="PLE",ISNUMBER($F131)),
                SUMIF((OFFSET(CÁLCULO!$BS$15:$CS$15,$F131,0,OFFSET(ORÇAMENTO!$D$15,CRONO!$F131,0))),CRONO!AU$12,OFFSET(CÁLCULO!$AR$15:$BR$15,$F131,0,OFFSET(ORÇAMENTO!$D$15,CRONO!$F131,0)))
                +IF(AND($F133&lt;&gt;"",$F133&lt;&gt;0),
                        SUMIF(CÁLCULO!$BS$15:$CS$205,CRONO!AU$12,CÁLCULO!$AR$15:$BR$205)/(ORÇAMENTO!$X$15-_xlfn.single(CÁLCULO.TotalAdmLocal))*CRONO!$F133,
                        0),
                 AU132*$S131),
          SUMIF(OFFSET($S133,1,0,$R131-2),($M131+1)&amp;"$",OFFSET(AU133,1,0,$R131-2)))</f>
        <v>0</v>
      </c>
      <c r="AV133" s="439" t="n">
        <f aca="false" t="array" ref="AV133:AV133">IF($R131=2,
         IF(AND(ACOMPANHAMENTO="PLE",ISNUMBER($F131)),
                SUMIF((OFFSET(CÁLCULO!$BS$15:$CS$15,$F131,0,OFFSET(ORÇAMENTO!$D$15,CRONO!$F131,0))),CRONO!AV$12,OFFSET(CÁLCULO!$AR$15:$BR$15,$F131,0,OFFSET(ORÇAMENTO!$D$15,CRONO!$F131,0)))
                +IF(AND($F133&lt;&gt;"",$F133&lt;&gt;0),
                        SUMIF(CÁLCULO!$BS$15:$CS$205,CRONO!AV$12,CÁLCULO!$AR$15:$BR$205)/(ORÇAMENTO!$X$15-_xlfn.single(CÁLCULO.TotalAdmLocal))*CRONO!$F133,
                        0),
                 AV132*$S131),
          SUMIF(OFFSET($S133,1,0,$R131-2),($M131+1)&amp;"$",OFFSET(AV133,1,0,$R131-2)))</f>
        <v>0</v>
      </c>
      <c r="AW133" s="439" t="n">
        <f aca="false" t="array" ref="AW133:AW133">IF($R131=2,
         IF(AND(ACOMPANHAMENTO="PLE",ISNUMBER($F131)),
                SUMIF((OFFSET(CÁLCULO!$BS$15:$CS$15,$F131,0,OFFSET(ORÇAMENTO!$D$15,CRONO!$F131,0))),CRONO!AW$12,OFFSET(CÁLCULO!$AR$15:$BR$15,$F131,0,OFFSET(ORÇAMENTO!$D$15,CRONO!$F131,0)))
                +IF(AND($F133&lt;&gt;"",$F133&lt;&gt;0),
                        SUMIF(CÁLCULO!$BS$15:$CS$205,CRONO!AW$12,CÁLCULO!$AR$15:$BR$205)/(ORÇAMENTO!$X$15-_xlfn.single(CÁLCULO.TotalAdmLocal))*CRONO!$F133,
                        0),
                 AW132*$S131),
          SUMIF(OFFSET($S133,1,0,$R131-2),($M131+1)&amp;"$",OFFSET(AW133,1,0,$R131-2)))</f>
        <v>0</v>
      </c>
      <c r="AX133" s="439" t="n">
        <f aca="false" t="array" ref="AX133:AX133">IF($R131=2,
         IF(AND(ACOMPANHAMENTO="PLE",ISNUMBER($F131)),
                SUMIF((OFFSET(CÁLCULO!$BS$15:$CS$15,$F131,0,OFFSET(ORÇAMENTO!$D$15,CRONO!$F131,0))),CRONO!AX$12,OFFSET(CÁLCULO!$AR$15:$BR$15,$F131,0,OFFSET(ORÇAMENTO!$D$15,CRONO!$F131,0)))
                +IF(AND($F133&lt;&gt;"",$F133&lt;&gt;0),
                        SUMIF(CÁLCULO!$BS$15:$CS$205,CRONO!AX$12,CÁLCULO!$AR$15:$BR$205)/(ORÇAMENTO!$X$15-_xlfn.single(CÁLCULO.TotalAdmLocal))*CRONO!$F133,
                        0),
                 AX132*$S131),
          SUMIF(OFFSET($S133,1,0,$R131-2),($M131+1)&amp;"$",OFFSET(AX133,1,0,$R131-2)))</f>
        <v>0</v>
      </c>
      <c r="AY133" s="439" t="n">
        <f aca="false" t="array" ref="AY133:AY133">IF($R131=2,
         IF(AND(ACOMPANHAMENTO="PLE",ISNUMBER($F131)),
                SUMIF((OFFSET(CÁLCULO!$BS$15:$CS$15,$F131,0,OFFSET(ORÇAMENTO!$D$15,CRONO!$F131,0))),CRONO!AY$12,OFFSET(CÁLCULO!$AR$15:$BR$15,$F131,0,OFFSET(ORÇAMENTO!$D$15,CRONO!$F131,0)))
                +IF(AND($F133&lt;&gt;"",$F133&lt;&gt;0),
                        SUMIF(CÁLCULO!$BS$15:$CS$205,CRONO!AY$12,CÁLCULO!$AR$15:$BR$205)/(ORÇAMENTO!$X$15-_xlfn.single(CÁLCULO.TotalAdmLocal))*CRONO!$F133,
                        0),
                 AY132*$S131),
          SUMIF(OFFSET($S133,1,0,$R131-2),($M131+1)&amp;"$",OFFSET(AY133,1,0,$R131-2)))</f>
        <v>0</v>
      </c>
      <c r="AZ133" s="439" t="n">
        <f aca="false" t="array" ref="AZ133:AZ133">IF($R131=2,
         IF(AND(ACOMPANHAMENTO="PLE",ISNUMBER($F131)),
                SUMIF((OFFSET(CÁLCULO!$BS$15:$CS$15,$F131,0,OFFSET(ORÇAMENTO!$D$15,CRONO!$F131,0))),CRONO!AZ$12,OFFSET(CÁLCULO!$AR$15:$BR$15,$F131,0,OFFSET(ORÇAMENTO!$D$15,CRONO!$F131,0)))
                +IF(AND($F133&lt;&gt;"",$F133&lt;&gt;0),
                        SUMIF(CÁLCULO!$BS$15:$CS$205,CRONO!AZ$12,CÁLCULO!$AR$15:$BR$205)/(ORÇAMENTO!$X$15-_xlfn.single(CÁLCULO.TotalAdmLocal))*CRONO!$F133,
                        0),
                 AZ132*$S131),
          SUMIF(OFFSET($S133,1,0,$R131-2),($M131+1)&amp;"$",OFFSET(AZ133,1,0,$R131-2)))</f>
        <v>0</v>
      </c>
      <c r="BA133" s="439" t="n">
        <f aca="false" t="array" ref="BA133:BA133">IF($R131=2,
         IF(AND(ACOMPANHAMENTO="PLE",ISNUMBER($F131)),
                SUMIF((OFFSET(CÁLCULO!$BS$15:$CS$15,$F131,0,OFFSET(ORÇAMENTO!$D$15,CRONO!$F131,0))),CRONO!BA$12,OFFSET(CÁLCULO!$AR$15:$BR$15,$F131,0,OFFSET(ORÇAMENTO!$D$15,CRONO!$F131,0)))
                +IF(AND($F133&lt;&gt;"",$F133&lt;&gt;0),
                        SUMIF(CÁLCULO!$BS$15:$CS$205,CRONO!BA$12,CÁLCULO!$AR$15:$BR$205)/(ORÇAMENTO!$X$15-_xlfn.single(CÁLCULO.TotalAdmLocal))*CRONO!$F133,
                        0),
                 BA132*$S131),
          SUMIF(OFFSET($S133,1,0,$R131-2),($M131+1)&amp;"$",OFFSET(BA133,1,0,$R131-2)))</f>
        <v>0</v>
      </c>
      <c r="BB133" s="439" t="n">
        <f aca="false" t="array" ref="BB133:BB133">IF($R131=2,
         IF(AND(ACOMPANHAMENTO="PLE",ISNUMBER($F131)),
                SUMIF((OFFSET(CÁLCULO!$BS$15:$CS$15,$F131,0,OFFSET(ORÇAMENTO!$D$15,CRONO!$F131,0))),CRONO!BB$12,OFFSET(CÁLCULO!$AR$15:$BR$15,$F131,0,OFFSET(ORÇAMENTO!$D$15,CRONO!$F131,0)))
                +IF(AND($F133&lt;&gt;"",$F133&lt;&gt;0),
                        SUMIF(CÁLCULO!$BS$15:$CS$205,CRONO!BB$12,CÁLCULO!$AR$15:$BR$205)/(ORÇAMENTO!$X$15-_xlfn.single(CÁLCULO.TotalAdmLocal))*CRONO!$F133,
                        0),
                 BB132*$S131),
          SUMIF(OFFSET($S133,1,0,$R131-2),($M131+1)&amp;"$",OFFSET(BB133,1,0,$R131-2)))</f>
        <v>0</v>
      </c>
      <c r="BC133" s="439" t="n">
        <f aca="false" t="array" ref="BC133:BC133">IF($R131=2,
         IF(AND(ACOMPANHAMENTO="PLE",ISNUMBER($F131)),
                SUMIF((OFFSET(CÁLCULO!$BS$15:$CS$15,$F131,0,OFFSET(ORÇAMENTO!$D$15,CRONO!$F131,0))),CRONO!BC$12,OFFSET(CÁLCULO!$AR$15:$BR$15,$F131,0,OFFSET(ORÇAMENTO!$D$15,CRONO!$F131,0)))
                +IF(AND($F133&lt;&gt;"",$F133&lt;&gt;0),
                        SUMIF(CÁLCULO!$BS$15:$CS$205,CRONO!BC$12,CÁLCULO!$AR$15:$BR$205)/(ORÇAMENTO!$X$15-_xlfn.single(CÁLCULO.TotalAdmLocal))*CRONO!$F133,
                        0),
                 BC132*$S131),
          SUMIF(OFFSET($S133,1,0,$R131-2),($M131+1)&amp;"$",OFFSET(BC133,1,0,$R131-2)))</f>
        <v>0</v>
      </c>
      <c r="BD133" s="439" t="n">
        <f aca="false" t="array" ref="BD133:BD133">IF($R131=2,
         IF(AND(ACOMPANHAMENTO="PLE",ISNUMBER($F131)),
                SUMIF((OFFSET(CÁLCULO!$BS$15:$CS$15,$F131,0,OFFSET(ORÇAMENTO!$D$15,CRONO!$F131,0))),CRONO!BD$12,OFFSET(CÁLCULO!$AR$15:$BR$15,$F131,0,OFFSET(ORÇAMENTO!$D$15,CRONO!$F131,0)))
                +IF(AND($F133&lt;&gt;"",$F133&lt;&gt;0),
                        SUMIF(CÁLCULO!$BS$15:$CS$205,CRONO!BD$12,CÁLCULO!$AR$15:$BR$205)/(ORÇAMENTO!$X$15-_xlfn.single(CÁLCULO.TotalAdmLocal))*CRONO!$F133,
                        0),
                 BD132*$S131),
          SUMIF(OFFSET($S133,1,0,$R131-2),($M131+1)&amp;"$",OFFSET(BD133,1,0,$R131-2)))</f>
        <v>0</v>
      </c>
      <c r="BE133" s="430"/>
    </row>
    <row r="134" customFormat="false" ht="12.75" hidden="false" customHeight="false" outlineLevel="0" collapsed="false">
      <c r="A134" s="382" t="str">
        <f aca="false">IF($M134&gt;1,_xlfn.CONCAT($I134," ",$J134),"")</f>
        <v>1.40. TUBULAÇÕES E CONEXÕES</v>
      </c>
      <c r="B134" s="419" t="n">
        <f aca="true">OFFSET(B134,-3,0)+1</f>
        <v>41</v>
      </c>
      <c r="C134" s="419" t="n">
        <f aca="true">IF($R134&lt;&gt;2,0,IF($S134=0,1,IF(F135&gt;0,OFFSET(QCI!$M$13,SUBSTITUTE(F135,".",""),0),OFFSET(ORÇAMENTO!$AA$15,CRONO!$F134,0))/$S134))</f>
        <v>0.110981526562671</v>
      </c>
      <c r="D134" s="419" t="n">
        <f aca="true">IF($R134&lt;&gt;2,0,IF($S134=0,1,IF(F135&gt;0,OFFSET(QCI!$N$13,SUBSTITUTE(F135,".",""),0),OFFSET(ORÇAMENTO!$AB$15,CRONO!$F134,0))/$S134))</f>
        <v>0</v>
      </c>
      <c r="E134" s="422" t="n">
        <f aca="false" t="array" ref="E134:E134">IF(AND($R134=2,ACOMPANHAMENTO="BM"),ROUND(E135,4),E136/$S134)</f>
        <v>0.04</v>
      </c>
      <c r="F134" s="419" t="n">
        <f aca="true">IF(B134&lt;=ORÇAMENTO.MáximoListaCrono,MATCH(B134,ORÇAMENTO.ListaCrono,0),NA())</f>
        <v>121</v>
      </c>
      <c r="G134" s="419" t="str">
        <f aca="false">IF(AND($F135&lt;&gt;-1,$S134&gt;0),"F","")</f>
        <v>F</v>
      </c>
      <c r="H134" s="423" t="str">
        <f aca="false" t="array" ref="H134:H134">IF(OR(S134=0,S134=""),"Linha",IF(AND(OR(ACOMPANHAMENTO="PLE",$R134&lt;&gt;2),$F135=0),"Linha",ROUND(1-SUM(U134:BE134),4)))</f>
        <v>Linha</v>
      </c>
      <c r="I134" s="424" t="str">
        <f aca="true">IF($F135=0,OFFSET(ORÇAMENTO!O$15,$F134,0),IF($F135&lt;&gt;-1,OFFSET(QCI!$D$13,$F135,0),""))</f>
        <v>1.40.</v>
      </c>
      <c r="J134" s="425" t="str">
        <f aca="true">IF($F135=0,OFFSET(ORÇAMENTO!R$15,$F134,0),IF($F135&lt;&gt;-1,OFFSET(QCI!$G$13,$F135,0),""))</f>
        <v>TUBULAÇÕES E CONEXÕES</v>
      </c>
      <c r="K134" s="425"/>
      <c r="L134" s="425"/>
      <c r="M134" s="426" t="n">
        <f aca="true">IF($F135=0,OFFSET(ORÇAMENTO!C$15,$F134,0),1)</f>
        <v>2</v>
      </c>
      <c r="N134" s="427" t="n">
        <f aca="true">IF($F135=-1,0,IF(N$13&lt;=$M134,IF(ISERROR(MATCH(N$13,OFFSET($M134,1,0,ROW($M$182)-ROW($M134)-1),0)),ROW($M$182)-ROW($M134)-1,MATCH(N$13,OFFSET($M134,1,0,ROW($M$182)-ROW($M134)-1),0)-1),0))</f>
        <v>47</v>
      </c>
      <c r="O134" s="427" t="n">
        <f aca="true">IF($F135=-1,0,IF(O$13&lt;=$M134,IF(ISERROR(MATCH(O$13,OFFSET($M134,1,0,ROW($M$182)-ROW($M134)-1),0)),ROW($M$182)-ROW($M134)-1,MATCH(O$13,OFFSET($M134,1,0,ROW($M$182)-ROW($M134)-1),0)-1),0))</f>
        <v>2</v>
      </c>
      <c r="P134" s="427" t="n">
        <f aca="true">IF($F135=-1,0,IF(P$13&lt;=$M134,IF(ISERROR(MATCH(P$13,OFFSET($M134,1,0,ROW($M$182)-ROW($M134)-1),0)),ROW($M$182)-ROW($M134)-1,MATCH(P$13,OFFSET($M134,1,0,ROW($M$182)-ROW($M134)-1),0)-1),0))</f>
        <v>0</v>
      </c>
      <c r="Q134" s="427" t="n">
        <f aca="true">IF($F135=-1,0,IF(Q$13&lt;=$M134,IF(ISERROR(MATCH(Q$13,OFFSET($M134,1,0,ROW($M$182)-ROW($M134)-1),0)),ROW($M$182)-ROW($M134)-1,MATCH(Q$13,OFFSET($M134,1,0,ROW($M$182)-ROW($M134)-1),0)-1),0))</f>
        <v>0</v>
      </c>
      <c r="R134" s="427" t="n">
        <f aca="true">MIN(OFFSET(M134,0,1,,M134))</f>
        <v>2</v>
      </c>
      <c r="S134" s="428" t="n">
        <f aca="true">IF($F135=0,OFFSET(ORÇAMENTO!X$15,$F134,0),IF($F135&lt;&gt;-1,OFFSET(QCI!$O$13,$F135,0),""))</f>
        <v>15943.25</v>
      </c>
      <c r="T134" s="429" t="s">
        <v>996</v>
      </c>
      <c r="U134" s="422" t="n">
        <f aca="false" t="array" ref="U134:U134">IF(AND($R134=2,ACOMPANHAMENTO="BM"),ROUND(U135,4),U136/$S134)</f>
        <v>0.04</v>
      </c>
      <c r="V134" s="422" t="n">
        <f aca="false" t="array" ref="V134:V134">IF(AND($R134=2,ACOMPANHAMENTO="BM"),ROUND(V135,4),V136/$S134)</f>
        <v>0.04</v>
      </c>
      <c r="W134" s="422" t="n">
        <f aca="false" t="array" ref="W134:W134">IF(AND($R134=2,ACOMPANHAMENTO="BM"),ROUND(W135,4),W136/$S134)</f>
        <v>0.04</v>
      </c>
      <c r="X134" s="422" t="n">
        <f aca="false" t="array" ref="X134:X134">IF(AND($R134=2,ACOMPANHAMENTO="BM"),ROUND(X135,4),X136/$S134)</f>
        <v>0.04</v>
      </c>
      <c r="Y134" s="422" t="n">
        <f aca="false" t="array" ref="Y134:Y134">IF(AND($R134=2,ACOMPANHAMENTO="BM"),ROUND(Y135,4),Y136/$S134)</f>
        <v>0.04</v>
      </c>
      <c r="Z134" s="422" t="n">
        <f aca="false" t="array" ref="Z134:Z134">IF(AND($R134=2,ACOMPANHAMENTO="BM"),ROUND(Z135,4),Z136/$S134)</f>
        <v>0.04</v>
      </c>
      <c r="AA134" s="422" t="n">
        <f aca="false" t="array" ref="AA134:AA134">IF(AND($R134=2,ACOMPANHAMENTO="BM"),ROUND(AA135,4),AA136/$S134)</f>
        <v>0.04</v>
      </c>
      <c r="AB134" s="422" t="n">
        <f aca="false" t="array" ref="AB134:AB134">IF(AND($R134=2,ACOMPANHAMENTO="BM"),ROUND(AB135,4),AB136/$S134)</f>
        <v>0.04</v>
      </c>
      <c r="AC134" s="422" t="n">
        <f aca="false" t="array" ref="AC134:AC134">IF(AND($R134=2,ACOMPANHAMENTO="BM"),ROUND(AC135,4),AC136/$S134)</f>
        <v>0.04</v>
      </c>
      <c r="AD134" s="422" t="n">
        <f aca="false" t="array" ref="AD134:AD134">IF(AND($R134=2,ACOMPANHAMENTO="BM"),ROUND(AD135,4),AD136/$S134)</f>
        <v>0.04</v>
      </c>
      <c r="AE134" s="422" t="n">
        <f aca="false" t="array" ref="AE134:AE134">IF(AND($R134=2,ACOMPANHAMENTO="BM"),ROUND(AE135,4),AE136/$S134)</f>
        <v>0.04</v>
      </c>
      <c r="AF134" s="422" t="n">
        <f aca="false" t="array" ref="AF134:AF134">IF(AND($R134=2,ACOMPANHAMENTO="BM"),ROUND(AF135,4),AF136/$S134)</f>
        <v>0.04</v>
      </c>
      <c r="AG134" s="422" t="n">
        <f aca="false" t="array" ref="AG134:AG134">IF(AND($R134=2,ACOMPANHAMENTO="BM"),ROUND(AG135,4),AG136/$S134)</f>
        <v>0.04</v>
      </c>
      <c r="AH134" s="422" t="n">
        <f aca="false" t="array" ref="AH134:AH134">IF(AND($R134=2,ACOMPANHAMENTO="BM"),ROUND(AH135,4),AH136/$S134)</f>
        <v>0.04</v>
      </c>
      <c r="AI134" s="422" t="n">
        <f aca="false" t="array" ref="AI134:AI134">IF(AND($R134=2,ACOMPANHAMENTO="BM"),ROUND(AI135,4),AI136/$S134)</f>
        <v>0.04</v>
      </c>
      <c r="AJ134" s="422" t="n">
        <f aca="false" t="array" ref="AJ134:AJ134">IF(AND($R134=2,ACOMPANHAMENTO="BM"),ROUND(AJ135,4),AJ136/$S134)</f>
        <v>0.04</v>
      </c>
      <c r="AK134" s="422" t="n">
        <f aca="false" t="array" ref="AK134:AK134">IF(AND($R134=2,ACOMPANHAMENTO="BM"),ROUND(AK135,4),AK136/$S134)</f>
        <v>0.04</v>
      </c>
      <c r="AL134" s="422" t="n">
        <f aca="false" t="array" ref="AL134:AL134">IF(AND($R134=2,ACOMPANHAMENTO="BM"),ROUND(AL135,4),AL136/$S134)</f>
        <v>0.04</v>
      </c>
      <c r="AM134" s="422" t="n">
        <f aca="false" t="array" ref="AM134:AM134">IF(AND($R134=2,ACOMPANHAMENTO="BM"),ROUND(AM135,4),AM136/$S134)</f>
        <v>0.04</v>
      </c>
      <c r="AN134" s="422" t="n">
        <f aca="false" t="array" ref="AN134:AN134">IF(AND($R134=2,ACOMPANHAMENTO="BM"),ROUND(AN135,4),AN136/$S134)</f>
        <v>0.04</v>
      </c>
      <c r="AO134" s="422" t="n">
        <f aca="false" t="array" ref="AO134:AO134">IF(AND($R134=2,ACOMPANHAMENTO="BM"),ROUND(AO135,4),AO136/$S134)</f>
        <v>0.04</v>
      </c>
      <c r="AP134" s="422" t="n">
        <f aca="false" t="array" ref="AP134:AP134">IF(AND($R134=2,ACOMPANHAMENTO="BM"),ROUND(AP135,4),AP136/$S134)</f>
        <v>0.04</v>
      </c>
      <c r="AQ134" s="422" t="n">
        <f aca="false" t="array" ref="AQ134:AQ134">IF(AND($R134=2,ACOMPANHAMENTO="BM"),ROUND(AQ135,4),AQ136/$S134)</f>
        <v>0.04</v>
      </c>
      <c r="AR134" s="422" t="n">
        <f aca="false" t="array" ref="AR134:AR134">IF(AND($R134=2,ACOMPANHAMENTO="BM"),ROUND(AR135,4),AR136/$S134)</f>
        <v>0.04</v>
      </c>
      <c r="AS134" s="422" t="n">
        <f aca="false" t="array" ref="AS134:AS134">IF(AND($R134=2,ACOMPANHAMENTO="BM"),ROUND(AS135,4),AS136/$S134)</f>
        <v>0.04</v>
      </c>
      <c r="AT134" s="422" t="n">
        <f aca="false" t="array" ref="AT134:AT134">IF(AND($R134=2,ACOMPANHAMENTO="BM"),ROUND(AT135,4),AT136/$S134)</f>
        <v>0</v>
      </c>
      <c r="AU134" s="422" t="n">
        <f aca="false" t="array" ref="AU134:AU134">IF(AND($R134=2,ACOMPANHAMENTO="BM"),ROUND(AU135,4),AU136/$S134)</f>
        <v>0</v>
      </c>
      <c r="AV134" s="422" t="n">
        <f aca="false" t="array" ref="AV134:AV134">IF(AND($R134=2,ACOMPANHAMENTO="BM"),ROUND(AV135,4),AV136/$S134)</f>
        <v>0</v>
      </c>
      <c r="AW134" s="422" t="n">
        <f aca="false" t="array" ref="AW134:AW134">IF(AND($R134=2,ACOMPANHAMENTO="BM"),ROUND(AW135,4),AW136/$S134)</f>
        <v>0</v>
      </c>
      <c r="AX134" s="422" t="n">
        <f aca="false" t="array" ref="AX134:AX134">IF(AND($R134=2,ACOMPANHAMENTO="BM"),ROUND(AX135,4),AX136/$S134)</f>
        <v>0</v>
      </c>
      <c r="AY134" s="422" t="n">
        <f aca="false" t="array" ref="AY134:AY134">IF(AND($R134=2,ACOMPANHAMENTO="BM"),ROUND(AY135,4),AY136/$S134)</f>
        <v>0</v>
      </c>
      <c r="AZ134" s="422" t="n">
        <f aca="false" t="array" ref="AZ134:AZ134">IF(AND($R134=2,ACOMPANHAMENTO="BM"),ROUND(AZ135,4),AZ136/$S134)</f>
        <v>0</v>
      </c>
      <c r="BA134" s="422" t="n">
        <f aca="false" t="array" ref="BA134:BA134">IF(AND($R134=2,ACOMPANHAMENTO="BM"),ROUND(BA135,4),BA136/$S134)</f>
        <v>0</v>
      </c>
      <c r="BB134" s="422" t="n">
        <f aca="false" t="array" ref="BB134:BB134">IF(AND($R134=2,ACOMPANHAMENTO="BM"),ROUND(BB135,4),BB136/$S134)</f>
        <v>0</v>
      </c>
      <c r="BC134" s="422" t="n">
        <f aca="false" t="array" ref="BC134:BC134">IF(AND($R134=2,ACOMPANHAMENTO="BM"),ROUND(BC135,4),BC136/$S134)</f>
        <v>0</v>
      </c>
      <c r="BD134" s="422" t="n">
        <f aca="false" t="array" ref="BD134:BD134">IF(AND($R134=2,ACOMPANHAMENTO="BM"),ROUND(BD135,4),BD136/$S134)</f>
        <v>0</v>
      </c>
      <c r="BE134" s="430"/>
    </row>
    <row r="135" customFormat="false" ht="12.75" hidden="true" customHeight="true" outlineLevel="0" collapsed="false">
      <c r="E135" s="431"/>
      <c r="F135" s="419" t="n">
        <f aca="true">IF(ISERROR(F134),IF(1+COUNTIF($M$13:OFFSET(M134,-1,0),1)&lt;=MAX(QCI!$D$13:$D$15),1+COUNTIF($M$13:OFFSET(M134,-1,0),1),-1),0)</f>
        <v>0</v>
      </c>
      <c r="G135" s="419" t="str">
        <f aca="true" t="array" ref="G135:G135">IF(ACOMPANHAMENTO="BM",OFFSET(G135,-1,0),"")</f>
        <v/>
      </c>
      <c r="H135" s="432" t="str">
        <f aca="false" t="array" ref="H135:H135">IF(OR(S134=0,S134=""),"vazia",IF(AND(OR(ACOMPANHAMENTO="PLE",$R134&lt;&gt;2),$F135=0),"calculada","--&gt;"))</f>
        <v>calculada</v>
      </c>
      <c r="I135" s="433"/>
      <c r="J135" s="434" t="str">
        <f aca="false">IF(AND(H134&lt;&gt;0,ISNUMBER(H134)),"PREENCHA ESTA LINHA --&gt;","")</f>
        <v/>
      </c>
      <c r="K135" s="434"/>
      <c r="L135" s="434"/>
      <c r="M135" s="435"/>
      <c r="N135" s="435"/>
      <c r="O135" s="435"/>
      <c r="P135" s="435"/>
      <c r="Q135" s="435"/>
      <c r="R135" s="435"/>
      <c r="S135" s="436"/>
      <c r="T135" s="437"/>
      <c r="U135" s="431"/>
      <c r="V135" s="431"/>
      <c r="W135" s="431"/>
      <c r="X135" s="431"/>
      <c r="Y135" s="431"/>
      <c r="Z135" s="431"/>
      <c r="AA135" s="431"/>
      <c r="AB135" s="431"/>
      <c r="AC135" s="431"/>
      <c r="AD135" s="431"/>
      <c r="AE135" s="431"/>
      <c r="AF135" s="431"/>
      <c r="AG135" s="431"/>
      <c r="AH135" s="431"/>
      <c r="AI135" s="431"/>
      <c r="AJ135" s="431"/>
      <c r="AK135" s="431"/>
      <c r="AL135" s="431"/>
      <c r="AM135" s="431"/>
      <c r="AN135" s="431"/>
      <c r="AO135" s="431"/>
      <c r="AP135" s="431"/>
      <c r="AQ135" s="431"/>
      <c r="AR135" s="431"/>
      <c r="AS135" s="431"/>
      <c r="AT135" s="431"/>
      <c r="AU135" s="431"/>
      <c r="AV135" s="431"/>
      <c r="AW135" s="431"/>
      <c r="AX135" s="431"/>
      <c r="AY135" s="431"/>
      <c r="AZ135" s="431"/>
      <c r="BA135" s="431"/>
      <c r="BB135" s="431"/>
      <c r="BC135" s="431"/>
      <c r="BD135" s="431"/>
      <c r="BE135" s="430"/>
    </row>
    <row r="136" customFormat="false" ht="12.75" hidden="true" customHeight="true" outlineLevel="0" collapsed="false">
      <c r="D136" s="438"/>
      <c r="E136" s="439" t="n">
        <f aca="false" t="array" ref="E136:E136">IF($R134=2,
         IF(AND(ACOMPANHAMENTO="PLE",ISNUMBER($F134)),
                SUMIF((OFFSET(CÁLCULO!$BS$15:$CS$15,$F134,0,OFFSET(ORÇAMENTO!$D$15,CRONO!$F134,0))),CRONO!E$12,OFFSET(CÁLCULO!$AR$15:$BR$15,$F134,0,OFFSET(ORÇAMENTO!$D$15,CRONO!$F134,0)))
                +IF(AND($F136&lt;&gt;"",$F136&lt;&gt;0),
                        SUMIF(CÁLCULO!$BS$15:$CS$205,CRONO!E$12,CÁLCULO!$AR$15:$BR$205)/(ORÇAMENTO!$X$15-_xlfn.single(CÁLCULO.TotalAdmLocal))*CRONO!$F136,
                        0),
                 E135*$S134),
          SUMIF(OFFSET($S136,1,0,$R134-2),($M134+1)&amp;"$",OFFSET(E136,1,0,$R134-2)))</f>
        <v>637.73</v>
      </c>
      <c r="F136" s="419" t="str">
        <f aca="true">IF(OR($R134&lt;&gt;2,AUTOEVENTO&lt;&gt;"manual",$F135&gt;0),"",
        IF(Import.TipoArredondamento="Tradicional",
              SUMIF(OFFSET(CÁLCULO!$M$15,CRONO!$F134,0,OFFSET(ORÇAMENTO!$D$15,CRONO!$F134,0)),1,OFFSET(ORÇAMENTO!$X$15,CRONO!$F134,0,OFFSET(ORÇAMENTO!$D$15,CRONO!$F134,0))),
              0))</f>
        <v/>
      </c>
      <c r="H136" s="440"/>
      <c r="S136" s="441" t="str">
        <f aca="false">M134&amp;"$"</f>
        <v>2$</v>
      </c>
      <c r="T136" s="442"/>
      <c r="U136" s="439" t="n">
        <f aca="false" t="array" ref="U136:U136">IF($R134=2,
         IF(AND(ACOMPANHAMENTO="PLE",ISNUMBER($F134)),
                SUMIF((OFFSET(CÁLCULO!$BS$15:$CS$15,$F134,0,OFFSET(ORÇAMENTO!$D$15,CRONO!$F134,0))),CRONO!U$12,OFFSET(CÁLCULO!$AR$15:$BR$15,$F134,0,OFFSET(ORÇAMENTO!$D$15,CRONO!$F134,0)))
                +IF(AND($F136&lt;&gt;"",$F136&lt;&gt;0),
                        SUMIF(CÁLCULO!$BS$15:$CS$205,CRONO!U$12,CÁLCULO!$AR$15:$BR$205)/(ORÇAMENTO!$X$15-_xlfn.single(CÁLCULO.TotalAdmLocal))*CRONO!$F136,
                        0),
                 U135*$S134),
          SUMIF(OFFSET($S136,1,0,$R134-2),($M134+1)&amp;"$",OFFSET(U136,1,0,$R134-2)))</f>
        <v>637.73</v>
      </c>
      <c r="V136" s="439" t="n">
        <f aca="false" t="array" ref="V136:V136">IF($R134=2,
         IF(AND(ACOMPANHAMENTO="PLE",ISNUMBER($F134)),
                SUMIF((OFFSET(CÁLCULO!$BS$15:$CS$15,$F134,0,OFFSET(ORÇAMENTO!$D$15,CRONO!$F134,0))),CRONO!V$12,OFFSET(CÁLCULO!$AR$15:$BR$15,$F134,0,OFFSET(ORÇAMENTO!$D$15,CRONO!$F134,0)))
                +IF(AND($F136&lt;&gt;"",$F136&lt;&gt;0),
                        SUMIF(CÁLCULO!$BS$15:$CS$205,CRONO!V$12,CÁLCULO!$AR$15:$BR$205)/(ORÇAMENTO!$X$15-_xlfn.single(CÁLCULO.TotalAdmLocal))*CRONO!$F136,
                        0),
                 V135*$S134),
          SUMIF(OFFSET($S136,1,0,$R134-2),($M134+1)&amp;"$",OFFSET(V136,1,0,$R134-2)))</f>
        <v>637.73</v>
      </c>
      <c r="W136" s="439" t="n">
        <f aca="false" t="array" ref="W136:W136">IF($R134=2,
         IF(AND(ACOMPANHAMENTO="PLE",ISNUMBER($F134)),
                SUMIF((OFFSET(CÁLCULO!$BS$15:$CS$15,$F134,0,OFFSET(ORÇAMENTO!$D$15,CRONO!$F134,0))),CRONO!W$12,OFFSET(CÁLCULO!$AR$15:$BR$15,$F134,0,OFFSET(ORÇAMENTO!$D$15,CRONO!$F134,0)))
                +IF(AND($F136&lt;&gt;"",$F136&lt;&gt;0),
                        SUMIF(CÁLCULO!$BS$15:$CS$205,CRONO!W$12,CÁLCULO!$AR$15:$BR$205)/(ORÇAMENTO!$X$15-_xlfn.single(CÁLCULO.TotalAdmLocal))*CRONO!$F136,
                        0),
                 W135*$S134),
          SUMIF(OFFSET($S136,1,0,$R134-2),($M134+1)&amp;"$",OFFSET(W136,1,0,$R134-2)))</f>
        <v>637.73</v>
      </c>
      <c r="X136" s="439" t="n">
        <f aca="false" t="array" ref="X136:X136">IF($R134=2,
         IF(AND(ACOMPANHAMENTO="PLE",ISNUMBER($F134)),
                SUMIF((OFFSET(CÁLCULO!$BS$15:$CS$15,$F134,0,OFFSET(ORÇAMENTO!$D$15,CRONO!$F134,0))),CRONO!X$12,OFFSET(CÁLCULO!$AR$15:$BR$15,$F134,0,OFFSET(ORÇAMENTO!$D$15,CRONO!$F134,0)))
                +IF(AND($F136&lt;&gt;"",$F136&lt;&gt;0),
                        SUMIF(CÁLCULO!$BS$15:$CS$205,CRONO!X$12,CÁLCULO!$AR$15:$BR$205)/(ORÇAMENTO!$X$15-_xlfn.single(CÁLCULO.TotalAdmLocal))*CRONO!$F136,
                        0),
                 X135*$S134),
          SUMIF(OFFSET($S136,1,0,$R134-2),($M134+1)&amp;"$",OFFSET(X136,1,0,$R134-2)))</f>
        <v>637.73</v>
      </c>
      <c r="Y136" s="439" t="n">
        <f aca="false" t="array" ref="Y136:Y136">IF($R134=2,
         IF(AND(ACOMPANHAMENTO="PLE",ISNUMBER($F134)),
                SUMIF((OFFSET(CÁLCULO!$BS$15:$CS$15,$F134,0,OFFSET(ORÇAMENTO!$D$15,CRONO!$F134,0))),CRONO!Y$12,OFFSET(CÁLCULO!$AR$15:$BR$15,$F134,0,OFFSET(ORÇAMENTO!$D$15,CRONO!$F134,0)))
                +IF(AND($F136&lt;&gt;"",$F136&lt;&gt;0),
                        SUMIF(CÁLCULO!$BS$15:$CS$205,CRONO!Y$12,CÁLCULO!$AR$15:$BR$205)/(ORÇAMENTO!$X$15-_xlfn.single(CÁLCULO.TotalAdmLocal))*CRONO!$F136,
                        0),
                 Y135*$S134),
          SUMIF(OFFSET($S136,1,0,$R134-2),($M134+1)&amp;"$",OFFSET(Y136,1,0,$R134-2)))</f>
        <v>637.73</v>
      </c>
      <c r="Z136" s="439" t="n">
        <f aca="false" t="array" ref="Z136:Z136">IF($R134=2,
         IF(AND(ACOMPANHAMENTO="PLE",ISNUMBER($F134)),
                SUMIF((OFFSET(CÁLCULO!$BS$15:$CS$15,$F134,0,OFFSET(ORÇAMENTO!$D$15,CRONO!$F134,0))),CRONO!Z$12,OFFSET(CÁLCULO!$AR$15:$BR$15,$F134,0,OFFSET(ORÇAMENTO!$D$15,CRONO!$F134,0)))
                +IF(AND($F136&lt;&gt;"",$F136&lt;&gt;0),
                        SUMIF(CÁLCULO!$BS$15:$CS$205,CRONO!Z$12,CÁLCULO!$AR$15:$BR$205)/(ORÇAMENTO!$X$15-_xlfn.single(CÁLCULO.TotalAdmLocal))*CRONO!$F136,
                        0),
                 Z135*$S134),
          SUMIF(OFFSET($S136,1,0,$R134-2),($M134+1)&amp;"$",OFFSET(Z136,1,0,$R134-2)))</f>
        <v>637.73</v>
      </c>
      <c r="AA136" s="439" t="n">
        <f aca="false" t="array" ref="AA136:AA136">IF($R134=2,
         IF(AND(ACOMPANHAMENTO="PLE",ISNUMBER($F134)),
                SUMIF((OFFSET(CÁLCULO!$BS$15:$CS$15,$F134,0,OFFSET(ORÇAMENTO!$D$15,CRONO!$F134,0))),CRONO!AA$12,OFFSET(CÁLCULO!$AR$15:$BR$15,$F134,0,OFFSET(ORÇAMENTO!$D$15,CRONO!$F134,0)))
                +IF(AND($F136&lt;&gt;"",$F136&lt;&gt;0),
                        SUMIF(CÁLCULO!$BS$15:$CS$205,CRONO!AA$12,CÁLCULO!$AR$15:$BR$205)/(ORÇAMENTO!$X$15-_xlfn.single(CÁLCULO.TotalAdmLocal))*CRONO!$F136,
                        0),
                 AA135*$S134),
          SUMIF(OFFSET($S136,1,0,$R134-2),($M134+1)&amp;"$",OFFSET(AA136,1,0,$R134-2)))</f>
        <v>637.73</v>
      </c>
      <c r="AB136" s="439" t="n">
        <f aca="false" t="array" ref="AB136:AB136">IF($R134=2,
         IF(AND(ACOMPANHAMENTO="PLE",ISNUMBER($F134)),
                SUMIF((OFFSET(CÁLCULO!$BS$15:$CS$15,$F134,0,OFFSET(ORÇAMENTO!$D$15,CRONO!$F134,0))),CRONO!AB$12,OFFSET(CÁLCULO!$AR$15:$BR$15,$F134,0,OFFSET(ORÇAMENTO!$D$15,CRONO!$F134,0)))
                +IF(AND($F136&lt;&gt;"",$F136&lt;&gt;0),
                        SUMIF(CÁLCULO!$BS$15:$CS$205,CRONO!AB$12,CÁLCULO!$AR$15:$BR$205)/(ORÇAMENTO!$X$15-_xlfn.single(CÁLCULO.TotalAdmLocal))*CRONO!$F136,
                        0),
                 AB135*$S134),
          SUMIF(OFFSET($S136,1,0,$R134-2),($M134+1)&amp;"$",OFFSET(AB136,1,0,$R134-2)))</f>
        <v>637.73</v>
      </c>
      <c r="AC136" s="439" t="n">
        <f aca="false" t="array" ref="AC136:AC136">IF($R134=2,
         IF(AND(ACOMPANHAMENTO="PLE",ISNUMBER($F134)),
                SUMIF((OFFSET(CÁLCULO!$BS$15:$CS$15,$F134,0,OFFSET(ORÇAMENTO!$D$15,CRONO!$F134,0))),CRONO!AC$12,OFFSET(CÁLCULO!$AR$15:$BR$15,$F134,0,OFFSET(ORÇAMENTO!$D$15,CRONO!$F134,0)))
                +IF(AND($F136&lt;&gt;"",$F136&lt;&gt;0),
                        SUMIF(CÁLCULO!$BS$15:$CS$205,CRONO!AC$12,CÁLCULO!$AR$15:$BR$205)/(ORÇAMENTO!$X$15-_xlfn.single(CÁLCULO.TotalAdmLocal))*CRONO!$F136,
                        0),
                 AC135*$S134),
          SUMIF(OFFSET($S136,1,0,$R134-2),($M134+1)&amp;"$",OFFSET(AC136,1,0,$R134-2)))</f>
        <v>637.73</v>
      </c>
      <c r="AD136" s="439" t="n">
        <f aca="false" t="array" ref="AD136:AD136">IF($R134=2,
         IF(AND(ACOMPANHAMENTO="PLE",ISNUMBER($F134)),
                SUMIF((OFFSET(CÁLCULO!$BS$15:$CS$15,$F134,0,OFFSET(ORÇAMENTO!$D$15,CRONO!$F134,0))),CRONO!AD$12,OFFSET(CÁLCULO!$AR$15:$BR$15,$F134,0,OFFSET(ORÇAMENTO!$D$15,CRONO!$F134,0)))
                +IF(AND($F136&lt;&gt;"",$F136&lt;&gt;0),
                        SUMIF(CÁLCULO!$BS$15:$CS$205,CRONO!AD$12,CÁLCULO!$AR$15:$BR$205)/(ORÇAMENTO!$X$15-_xlfn.single(CÁLCULO.TotalAdmLocal))*CRONO!$F136,
                        0),
                 AD135*$S134),
          SUMIF(OFFSET($S136,1,0,$R134-2),($M134+1)&amp;"$",OFFSET(AD136,1,0,$R134-2)))</f>
        <v>637.73</v>
      </c>
      <c r="AE136" s="439" t="n">
        <f aca="false" t="array" ref="AE136:AE136">IF($R134=2,
         IF(AND(ACOMPANHAMENTO="PLE",ISNUMBER($F134)),
                SUMIF((OFFSET(CÁLCULO!$BS$15:$CS$15,$F134,0,OFFSET(ORÇAMENTO!$D$15,CRONO!$F134,0))),CRONO!AE$12,OFFSET(CÁLCULO!$AR$15:$BR$15,$F134,0,OFFSET(ORÇAMENTO!$D$15,CRONO!$F134,0)))
                +IF(AND($F136&lt;&gt;"",$F136&lt;&gt;0),
                        SUMIF(CÁLCULO!$BS$15:$CS$205,CRONO!AE$12,CÁLCULO!$AR$15:$BR$205)/(ORÇAMENTO!$X$15-_xlfn.single(CÁLCULO.TotalAdmLocal))*CRONO!$F136,
                        0),
                 AE135*$S134),
          SUMIF(OFFSET($S136,1,0,$R134-2),($M134+1)&amp;"$",OFFSET(AE136,1,0,$R134-2)))</f>
        <v>637.73</v>
      </c>
      <c r="AF136" s="439" t="n">
        <f aca="false" t="array" ref="AF136:AF136">IF($R134=2,
         IF(AND(ACOMPANHAMENTO="PLE",ISNUMBER($F134)),
                SUMIF((OFFSET(CÁLCULO!$BS$15:$CS$15,$F134,0,OFFSET(ORÇAMENTO!$D$15,CRONO!$F134,0))),CRONO!AF$12,OFFSET(CÁLCULO!$AR$15:$BR$15,$F134,0,OFFSET(ORÇAMENTO!$D$15,CRONO!$F134,0)))
                +IF(AND($F136&lt;&gt;"",$F136&lt;&gt;0),
                        SUMIF(CÁLCULO!$BS$15:$CS$205,CRONO!AF$12,CÁLCULO!$AR$15:$BR$205)/(ORÇAMENTO!$X$15-_xlfn.single(CÁLCULO.TotalAdmLocal))*CRONO!$F136,
                        0),
                 AF135*$S134),
          SUMIF(OFFSET($S136,1,0,$R134-2),($M134+1)&amp;"$",OFFSET(AF136,1,0,$R134-2)))</f>
        <v>637.73</v>
      </c>
      <c r="AG136" s="439" t="n">
        <f aca="false" t="array" ref="AG136:AG136">IF($R134=2,
         IF(AND(ACOMPANHAMENTO="PLE",ISNUMBER($F134)),
                SUMIF((OFFSET(CÁLCULO!$BS$15:$CS$15,$F134,0,OFFSET(ORÇAMENTO!$D$15,CRONO!$F134,0))),CRONO!AG$12,OFFSET(CÁLCULO!$AR$15:$BR$15,$F134,0,OFFSET(ORÇAMENTO!$D$15,CRONO!$F134,0)))
                +IF(AND($F136&lt;&gt;"",$F136&lt;&gt;0),
                        SUMIF(CÁLCULO!$BS$15:$CS$205,CRONO!AG$12,CÁLCULO!$AR$15:$BR$205)/(ORÇAMENTO!$X$15-_xlfn.single(CÁLCULO.TotalAdmLocal))*CRONO!$F136,
                        0),
                 AG135*$S134),
          SUMIF(OFFSET($S136,1,0,$R134-2),($M134+1)&amp;"$",OFFSET(AG136,1,0,$R134-2)))</f>
        <v>637.73</v>
      </c>
      <c r="AH136" s="439" t="n">
        <f aca="false" t="array" ref="AH136:AH136">IF($R134=2,
         IF(AND(ACOMPANHAMENTO="PLE",ISNUMBER($F134)),
                SUMIF((OFFSET(CÁLCULO!$BS$15:$CS$15,$F134,0,OFFSET(ORÇAMENTO!$D$15,CRONO!$F134,0))),CRONO!AH$12,OFFSET(CÁLCULO!$AR$15:$BR$15,$F134,0,OFFSET(ORÇAMENTO!$D$15,CRONO!$F134,0)))
                +IF(AND($F136&lt;&gt;"",$F136&lt;&gt;0),
                        SUMIF(CÁLCULO!$BS$15:$CS$205,CRONO!AH$12,CÁLCULO!$AR$15:$BR$205)/(ORÇAMENTO!$X$15-_xlfn.single(CÁLCULO.TotalAdmLocal))*CRONO!$F136,
                        0),
                 AH135*$S134),
          SUMIF(OFFSET($S136,1,0,$R134-2),($M134+1)&amp;"$",OFFSET(AH136,1,0,$R134-2)))</f>
        <v>637.73</v>
      </c>
      <c r="AI136" s="439" t="n">
        <f aca="false" t="array" ref="AI136:AI136">IF($R134=2,
         IF(AND(ACOMPANHAMENTO="PLE",ISNUMBER($F134)),
                SUMIF((OFFSET(CÁLCULO!$BS$15:$CS$15,$F134,0,OFFSET(ORÇAMENTO!$D$15,CRONO!$F134,0))),CRONO!AI$12,OFFSET(CÁLCULO!$AR$15:$BR$15,$F134,0,OFFSET(ORÇAMENTO!$D$15,CRONO!$F134,0)))
                +IF(AND($F136&lt;&gt;"",$F136&lt;&gt;0),
                        SUMIF(CÁLCULO!$BS$15:$CS$205,CRONO!AI$12,CÁLCULO!$AR$15:$BR$205)/(ORÇAMENTO!$X$15-_xlfn.single(CÁLCULO.TotalAdmLocal))*CRONO!$F136,
                        0),
                 AI135*$S134),
          SUMIF(OFFSET($S136,1,0,$R134-2),($M134+1)&amp;"$",OFFSET(AI136,1,0,$R134-2)))</f>
        <v>637.73</v>
      </c>
      <c r="AJ136" s="439" t="n">
        <f aca="false" t="array" ref="AJ136:AJ136">IF($R134=2,
         IF(AND(ACOMPANHAMENTO="PLE",ISNUMBER($F134)),
                SUMIF((OFFSET(CÁLCULO!$BS$15:$CS$15,$F134,0,OFFSET(ORÇAMENTO!$D$15,CRONO!$F134,0))),CRONO!AJ$12,OFFSET(CÁLCULO!$AR$15:$BR$15,$F134,0,OFFSET(ORÇAMENTO!$D$15,CRONO!$F134,0)))
                +IF(AND($F136&lt;&gt;"",$F136&lt;&gt;0),
                        SUMIF(CÁLCULO!$BS$15:$CS$205,CRONO!AJ$12,CÁLCULO!$AR$15:$BR$205)/(ORÇAMENTO!$X$15-_xlfn.single(CÁLCULO.TotalAdmLocal))*CRONO!$F136,
                        0),
                 AJ135*$S134),
          SUMIF(OFFSET($S136,1,0,$R134-2),($M134+1)&amp;"$",OFFSET(AJ136,1,0,$R134-2)))</f>
        <v>637.73</v>
      </c>
      <c r="AK136" s="439" t="n">
        <f aca="false" t="array" ref="AK136:AK136">IF($R134=2,
         IF(AND(ACOMPANHAMENTO="PLE",ISNUMBER($F134)),
                SUMIF((OFFSET(CÁLCULO!$BS$15:$CS$15,$F134,0,OFFSET(ORÇAMENTO!$D$15,CRONO!$F134,0))),CRONO!AK$12,OFFSET(CÁLCULO!$AR$15:$BR$15,$F134,0,OFFSET(ORÇAMENTO!$D$15,CRONO!$F134,0)))
                +IF(AND($F136&lt;&gt;"",$F136&lt;&gt;0),
                        SUMIF(CÁLCULO!$BS$15:$CS$205,CRONO!AK$12,CÁLCULO!$AR$15:$BR$205)/(ORÇAMENTO!$X$15-_xlfn.single(CÁLCULO.TotalAdmLocal))*CRONO!$F136,
                        0),
                 AK135*$S134),
          SUMIF(OFFSET($S136,1,0,$R134-2),($M134+1)&amp;"$",OFFSET(AK136,1,0,$R134-2)))</f>
        <v>637.73</v>
      </c>
      <c r="AL136" s="439" t="n">
        <f aca="false" t="array" ref="AL136:AL136">IF($R134=2,
         IF(AND(ACOMPANHAMENTO="PLE",ISNUMBER($F134)),
                SUMIF((OFFSET(CÁLCULO!$BS$15:$CS$15,$F134,0,OFFSET(ORÇAMENTO!$D$15,CRONO!$F134,0))),CRONO!AL$12,OFFSET(CÁLCULO!$AR$15:$BR$15,$F134,0,OFFSET(ORÇAMENTO!$D$15,CRONO!$F134,0)))
                +IF(AND($F136&lt;&gt;"",$F136&lt;&gt;0),
                        SUMIF(CÁLCULO!$BS$15:$CS$205,CRONO!AL$12,CÁLCULO!$AR$15:$BR$205)/(ORÇAMENTO!$X$15-_xlfn.single(CÁLCULO.TotalAdmLocal))*CRONO!$F136,
                        0),
                 AL135*$S134),
          SUMIF(OFFSET($S136,1,0,$R134-2),($M134+1)&amp;"$",OFFSET(AL136,1,0,$R134-2)))</f>
        <v>637.73</v>
      </c>
      <c r="AM136" s="439" t="n">
        <f aca="false" t="array" ref="AM136:AM136">IF($R134=2,
         IF(AND(ACOMPANHAMENTO="PLE",ISNUMBER($F134)),
                SUMIF((OFFSET(CÁLCULO!$BS$15:$CS$15,$F134,0,OFFSET(ORÇAMENTO!$D$15,CRONO!$F134,0))),CRONO!AM$12,OFFSET(CÁLCULO!$AR$15:$BR$15,$F134,0,OFFSET(ORÇAMENTO!$D$15,CRONO!$F134,0)))
                +IF(AND($F136&lt;&gt;"",$F136&lt;&gt;0),
                        SUMIF(CÁLCULO!$BS$15:$CS$205,CRONO!AM$12,CÁLCULO!$AR$15:$BR$205)/(ORÇAMENTO!$X$15-_xlfn.single(CÁLCULO.TotalAdmLocal))*CRONO!$F136,
                        0),
                 AM135*$S134),
          SUMIF(OFFSET($S136,1,0,$R134-2),($M134+1)&amp;"$",OFFSET(AM136,1,0,$R134-2)))</f>
        <v>637.73</v>
      </c>
      <c r="AN136" s="439" t="n">
        <f aca="false" t="array" ref="AN136:AN136">IF($R134=2,
         IF(AND(ACOMPANHAMENTO="PLE",ISNUMBER($F134)),
                SUMIF((OFFSET(CÁLCULO!$BS$15:$CS$15,$F134,0,OFFSET(ORÇAMENTO!$D$15,CRONO!$F134,0))),CRONO!AN$12,OFFSET(CÁLCULO!$AR$15:$BR$15,$F134,0,OFFSET(ORÇAMENTO!$D$15,CRONO!$F134,0)))
                +IF(AND($F136&lt;&gt;"",$F136&lt;&gt;0),
                        SUMIF(CÁLCULO!$BS$15:$CS$205,CRONO!AN$12,CÁLCULO!$AR$15:$BR$205)/(ORÇAMENTO!$X$15-_xlfn.single(CÁLCULO.TotalAdmLocal))*CRONO!$F136,
                        0),
                 AN135*$S134),
          SUMIF(OFFSET($S136,1,0,$R134-2),($M134+1)&amp;"$",OFFSET(AN136,1,0,$R134-2)))</f>
        <v>637.73</v>
      </c>
      <c r="AO136" s="439" t="n">
        <f aca="false" t="array" ref="AO136:AO136">IF($R134=2,
         IF(AND(ACOMPANHAMENTO="PLE",ISNUMBER($F134)),
                SUMIF((OFFSET(CÁLCULO!$BS$15:$CS$15,$F134,0,OFFSET(ORÇAMENTO!$D$15,CRONO!$F134,0))),CRONO!AO$12,OFFSET(CÁLCULO!$AR$15:$BR$15,$F134,0,OFFSET(ORÇAMENTO!$D$15,CRONO!$F134,0)))
                +IF(AND($F136&lt;&gt;"",$F136&lt;&gt;0),
                        SUMIF(CÁLCULO!$BS$15:$CS$205,CRONO!AO$12,CÁLCULO!$AR$15:$BR$205)/(ORÇAMENTO!$X$15-_xlfn.single(CÁLCULO.TotalAdmLocal))*CRONO!$F136,
                        0),
                 AO135*$S134),
          SUMIF(OFFSET($S136,1,0,$R134-2),($M134+1)&amp;"$",OFFSET(AO136,1,0,$R134-2)))</f>
        <v>637.73</v>
      </c>
      <c r="AP136" s="439" t="n">
        <f aca="false" t="array" ref="AP136:AP136">IF($R134=2,
         IF(AND(ACOMPANHAMENTO="PLE",ISNUMBER($F134)),
                SUMIF((OFFSET(CÁLCULO!$BS$15:$CS$15,$F134,0,OFFSET(ORÇAMENTO!$D$15,CRONO!$F134,0))),CRONO!AP$12,OFFSET(CÁLCULO!$AR$15:$BR$15,$F134,0,OFFSET(ORÇAMENTO!$D$15,CRONO!$F134,0)))
                +IF(AND($F136&lt;&gt;"",$F136&lt;&gt;0),
                        SUMIF(CÁLCULO!$BS$15:$CS$205,CRONO!AP$12,CÁLCULO!$AR$15:$BR$205)/(ORÇAMENTO!$X$15-_xlfn.single(CÁLCULO.TotalAdmLocal))*CRONO!$F136,
                        0),
                 AP135*$S134),
          SUMIF(OFFSET($S136,1,0,$R134-2),($M134+1)&amp;"$",OFFSET(AP136,1,0,$R134-2)))</f>
        <v>637.73</v>
      </c>
      <c r="AQ136" s="439" t="n">
        <f aca="false" t="array" ref="AQ136:AQ136">IF($R134=2,
         IF(AND(ACOMPANHAMENTO="PLE",ISNUMBER($F134)),
                SUMIF((OFFSET(CÁLCULO!$BS$15:$CS$15,$F134,0,OFFSET(ORÇAMENTO!$D$15,CRONO!$F134,0))),CRONO!AQ$12,OFFSET(CÁLCULO!$AR$15:$BR$15,$F134,0,OFFSET(ORÇAMENTO!$D$15,CRONO!$F134,0)))
                +IF(AND($F136&lt;&gt;"",$F136&lt;&gt;0),
                        SUMIF(CÁLCULO!$BS$15:$CS$205,CRONO!AQ$12,CÁLCULO!$AR$15:$BR$205)/(ORÇAMENTO!$X$15-_xlfn.single(CÁLCULO.TotalAdmLocal))*CRONO!$F136,
                        0),
                 AQ135*$S134),
          SUMIF(OFFSET($S136,1,0,$R134-2),($M134+1)&amp;"$",OFFSET(AQ136,1,0,$R134-2)))</f>
        <v>637.73</v>
      </c>
      <c r="AR136" s="439" t="n">
        <f aca="false" t="array" ref="AR136:AR136">IF($R134=2,
         IF(AND(ACOMPANHAMENTO="PLE",ISNUMBER($F134)),
                SUMIF((OFFSET(CÁLCULO!$BS$15:$CS$15,$F134,0,OFFSET(ORÇAMENTO!$D$15,CRONO!$F134,0))),CRONO!AR$12,OFFSET(CÁLCULO!$AR$15:$BR$15,$F134,0,OFFSET(ORÇAMENTO!$D$15,CRONO!$F134,0)))
                +IF(AND($F136&lt;&gt;"",$F136&lt;&gt;0),
                        SUMIF(CÁLCULO!$BS$15:$CS$205,CRONO!AR$12,CÁLCULO!$AR$15:$BR$205)/(ORÇAMENTO!$X$15-_xlfn.single(CÁLCULO.TotalAdmLocal))*CRONO!$F136,
                        0),
                 AR135*$S134),
          SUMIF(OFFSET($S136,1,0,$R134-2),($M134+1)&amp;"$",OFFSET(AR136,1,0,$R134-2)))</f>
        <v>637.73</v>
      </c>
      <c r="AS136" s="439" t="n">
        <f aca="false" t="array" ref="AS136:AS136">IF($R134=2,
         IF(AND(ACOMPANHAMENTO="PLE",ISNUMBER($F134)),
                SUMIF((OFFSET(CÁLCULO!$BS$15:$CS$15,$F134,0,OFFSET(ORÇAMENTO!$D$15,CRONO!$F134,0))),CRONO!AS$12,OFFSET(CÁLCULO!$AR$15:$BR$15,$F134,0,OFFSET(ORÇAMENTO!$D$15,CRONO!$F134,0)))
                +IF(AND($F136&lt;&gt;"",$F136&lt;&gt;0),
                        SUMIF(CÁLCULO!$BS$15:$CS$205,CRONO!AS$12,CÁLCULO!$AR$15:$BR$205)/(ORÇAMENTO!$X$15-_xlfn.single(CÁLCULO.TotalAdmLocal))*CRONO!$F136,
                        0),
                 AS135*$S134),
          SUMIF(OFFSET($S136,1,0,$R134-2),($M134+1)&amp;"$",OFFSET(AS136,1,0,$R134-2)))</f>
        <v>637.73</v>
      </c>
      <c r="AT136" s="439" t="n">
        <f aca="false" t="array" ref="AT136:AT136">IF($R134=2,
         IF(AND(ACOMPANHAMENTO="PLE",ISNUMBER($F134)),
                SUMIF((OFFSET(CÁLCULO!$BS$15:$CS$15,$F134,0,OFFSET(ORÇAMENTO!$D$15,CRONO!$F134,0))),CRONO!AT$12,OFFSET(CÁLCULO!$AR$15:$BR$15,$F134,0,OFFSET(ORÇAMENTO!$D$15,CRONO!$F134,0)))
                +IF(AND($F136&lt;&gt;"",$F136&lt;&gt;0),
                        SUMIF(CÁLCULO!$BS$15:$CS$205,CRONO!AT$12,CÁLCULO!$AR$15:$BR$205)/(ORÇAMENTO!$X$15-_xlfn.single(CÁLCULO.TotalAdmLocal))*CRONO!$F136,
                        0),
                 AT135*$S134),
          SUMIF(OFFSET($S136,1,0,$R134-2),($M134+1)&amp;"$",OFFSET(AT136,1,0,$R134-2)))</f>
        <v>0</v>
      </c>
      <c r="AU136" s="439" t="n">
        <f aca="false" t="array" ref="AU136:AU136">IF($R134=2,
         IF(AND(ACOMPANHAMENTO="PLE",ISNUMBER($F134)),
                SUMIF((OFFSET(CÁLCULO!$BS$15:$CS$15,$F134,0,OFFSET(ORÇAMENTO!$D$15,CRONO!$F134,0))),CRONO!AU$12,OFFSET(CÁLCULO!$AR$15:$BR$15,$F134,0,OFFSET(ORÇAMENTO!$D$15,CRONO!$F134,0)))
                +IF(AND($F136&lt;&gt;"",$F136&lt;&gt;0),
                        SUMIF(CÁLCULO!$BS$15:$CS$205,CRONO!AU$12,CÁLCULO!$AR$15:$BR$205)/(ORÇAMENTO!$X$15-_xlfn.single(CÁLCULO.TotalAdmLocal))*CRONO!$F136,
                        0),
                 AU135*$S134),
          SUMIF(OFFSET($S136,1,0,$R134-2),($M134+1)&amp;"$",OFFSET(AU136,1,0,$R134-2)))</f>
        <v>0</v>
      </c>
      <c r="AV136" s="439" t="n">
        <f aca="false" t="array" ref="AV136:AV136">IF($R134=2,
         IF(AND(ACOMPANHAMENTO="PLE",ISNUMBER($F134)),
                SUMIF((OFFSET(CÁLCULO!$BS$15:$CS$15,$F134,0,OFFSET(ORÇAMENTO!$D$15,CRONO!$F134,0))),CRONO!AV$12,OFFSET(CÁLCULO!$AR$15:$BR$15,$F134,0,OFFSET(ORÇAMENTO!$D$15,CRONO!$F134,0)))
                +IF(AND($F136&lt;&gt;"",$F136&lt;&gt;0),
                        SUMIF(CÁLCULO!$BS$15:$CS$205,CRONO!AV$12,CÁLCULO!$AR$15:$BR$205)/(ORÇAMENTO!$X$15-_xlfn.single(CÁLCULO.TotalAdmLocal))*CRONO!$F136,
                        0),
                 AV135*$S134),
          SUMIF(OFFSET($S136,1,0,$R134-2),($M134+1)&amp;"$",OFFSET(AV136,1,0,$R134-2)))</f>
        <v>0</v>
      </c>
      <c r="AW136" s="439" t="n">
        <f aca="false" t="array" ref="AW136:AW136">IF($R134=2,
         IF(AND(ACOMPANHAMENTO="PLE",ISNUMBER($F134)),
                SUMIF((OFFSET(CÁLCULO!$BS$15:$CS$15,$F134,0,OFFSET(ORÇAMENTO!$D$15,CRONO!$F134,0))),CRONO!AW$12,OFFSET(CÁLCULO!$AR$15:$BR$15,$F134,0,OFFSET(ORÇAMENTO!$D$15,CRONO!$F134,0)))
                +IF(AND($F136&lt;&gt;"",$F136&lt;&gt;0),
                        SUMIF(CÁLCULO!$BS$15:$CS$205,CRONO!AW$12,CÁLCULO!$AR$15:$BR$205)/(ORÇAMENTO!$X$15-_xlfn.single(CÁLCULO.TotalAdmLocal))*CRONO!$F136,
                        0),
                 AW135*$S134),
          SUMIF(OFFSET($S136,1,0,$R134-2),($M134+1)&amp;"$",OFFSET(AW136,1,0,$R134-2)))</f>
        <v>0</v>
      </c>
      <c r="AX136" s="439" t="n">
        <f aca="false" t="array" ref="AX136:AX136">IF($R134=2,
         IF(AND(ACOMPANHAMENTO="PLE",ISNUMBER($F134)),
                SUMIF((OFFSET(CÁLCULO!$BS$15:$CS$15,$F134,0,OFFSET(ORÇAMENTO!$D$15,CRONO!$F134,0))),CRONO!AX$12,OFFSET(CÁLCULO!$AR$15:$BR$15,$F134,0,OFFSET(ORÇAMENTO!$D$15,CRONO!$F134,0)))
                +IF(AND($F136&lt;&gt;"",$F136&lt;&gt;0),
                        SUMIF(CÁLCULO!$BS$15:$CS$205,CRONO!AX$12,CÁLCULO!$AR$15:$BR$205)/(ORÇAMENTO!$X$15-_xlfn.single(CÁLCULO.TotalAdmLocal))*CRONO!$F136,
                        0),
                 AX135*$S134),
          SUMIF(OFFSET($S136,1,0,$R134-2),($M134+1)&amp;"$",OFFSET(AX136,1,0,$R134-2)))</f>
        <v>0</v>
      </c>
      <c r="AY136" s="439" t="n">
        <f aca="false" t="array" ref="AY136:AY136">IF($R134=2,
         IF(AND(ACOMPANHAMENTO="PLE",ISNUMBER($F134)),
                SUMIF((OFFSET(CÁLCULO!$BS$15:$CS$15,$F134,0,OFFSET(ORÇAMENTO!$D$15,CRONO!$F134,0))),CRONO!AY$12,OFFSET(CÁLCULO!$AR$15:$BR$15,$F134,0,OFFSET(ORÇAMENTO!$D$15,CRONO!$F134,0)))
                +IF(AND($F136&lt;&gt;"",$F136&lt;&gt;0),
                        SUMIF(CÁLCULO!$BS$15:$CS$205,CRONO!AY$12,CÁLCULO!$AR$15:$BR$205)/(ORÇAMENTO!$X$15-_xlfn.single(CÁLCULO.TotalAdmLocal))*CRONO!$F136,
                        0),
                 AY135*$S134),
          SUMIF(OFFSET($S136,1,0,$R134-2),($M134+1)&amp;"$",OFFSET(AY136,1,0,$R134-2)))</f>
        <v>0</v>
      </c>
      <c r="AZ136" s="439" t="n">
        <f aca="false" t="array" ref="AZ136:AZ136">IF($R134=2,
         IF(AND(ACOMPANHAMENTO="PLE",ISNUMBER($F134)),
                SUMIF((OFFSET(CÁLCULO!$BS$15:$CS$15,$F134,0,OFFSET(ORÇAMENTO!$D$15,CRONO!$F134,0))),CRONO!AZ$12,OFFSET(CÁLCULO!$AR$15:$BR$15,$F134,0,OFFSET(ORÇAMENTO!$D$15,CRONO!$F134,0)))
                +IF(AND($F136&lt;&gt;"",$F136&lt;&gt;0),
                        SUMIF(CÁLCULO!$BS$15:$CS$205,CRONO!AZ$12,CÁLCULO!$AR$15:$BR$205)/(ORÇAMENTO!$X$15-_xlfn.single(CÁLCULO.TotalAdmLocal))*CRONO!$F136,
                        0),
                 AZ135*$S134),
          SUMIF(OFFSET($S136,1,0,$R134-2),($M134+1)&amp;"$",OFFSET(AZ136,1,0,$R134-2)))</f>
        <v>0</v>
      </c>
      <c r="BA136" s="439" t="n">
        <f aca="false" t="array" ref="BA136:BA136">IF($R134=2,
         IF(AND(ACOMPANHAMENTO="PLE",ISNUMBER($F134)),
                SUMIF((OFFSET(CÁLCULO!$BS$15:$CS$15,$F134,0,OFFSET(ORÇAMENTO!$D$15,CRONO!$F134,0))),CRONO!BA$12,OFFSET(CÁLCULO!$AR$15:$BR$15,$F134,0,OFFSET(ORÇAMENTO!$D$15,CRONO!$F134,0)))
                +IF(AND($F136&lt;&gt;"",$F136&lt;&gt;0),
                        SUMIF(CÁLCULO!$BS$15:$CS$205,CRONO!BA$12,CÁLCULO!$AR$15:$BR$205)/(ORÇAMENTO!$X$15-_xlfn.single(CÁLCULO.TotalAdmLocal))*CRONO!$F136,
                        0),
                 BA135*$S134),
          SUMIF(OFFSET($S136,1,0,$R134-2),($M134+1)&amp;"$",OFFSET(BA136,1,0,$R134-2)))</f>
        <v>0</v>
      </c>
      <c r="BB136" s="439" t="n">
        <f aca="false" t="array" ref="BB136:BB136">IF($R134=2,
         IF(AND(ACOMPANHAMENTO="PLE",ISNUMBER($F134)),
                SUMIF((OFFSET(CÁLCULO!$BS$15:$CS$15,$F134,0,OFFSET(ORÇAMENTO!$D$15,CRONO!$F134,0))),CRONO!BB$12,OFFSET(CÁLCULO!$AR$15:$BR$15,$F134,0,OFFSET(ORÇAMENTO!$D$15,CRONO!$F134,0)))
                +IF(AND($F136&lt;&gt;"",$F136&lt;&gt;0),
                        SUMIF(CÁLCULO!$BS$15:$CS$205,CRONO!BB$12,CÁLCULO!$AR$15:$BR$205)/(ORÇAMENTO!$X$15-_xlfn.single(CÁLCULO.TotalAdmLocal))*CRONO!$F136,
                        0),
                 BB135*$S134),
          SUMIF(OFFSET($S136,1,0,$R134-2),($M134+1)&amp;"$",OFFSET(BB136,1,0,$R134-2)))</f>
        <v>0</v>
      </c>
      <c r="BC136" s="439" t="n">
        <f aca="false" t="array" ref="BC136:BC136">IF($R134=2,
         IF(AND(ACOMPANHAMENTO="PLE",ISNUMBER($F134)),
                SUMIF((OFFSET(CÁLCULO!$BS$15:$CS$15,$F134,0,OFFSET(ORÇAMENTO!$D$15,CRONO!$F134,0))),CRONO!BC$12,OFFSET(CÁLCULO!$AR$15:$BR$15,$F134,0,OFFSET(ORÇAMENTO!$D$15,CRONO!$F134,0)))
                +IF(AND($F136&lt;&gt;"",$F136&lt;&gt;0),
                        SUMIF(CÁLCULO!$BS$15:$CS$205,CRONO!BC$12,CÁLCULO!$AR$15:$BR$205)/(ORÇAMENTO!$X$15-_xlfn.single(CÁLCULO.TotalAdmLocal))*CRONO!$F136,
                        0),
                 BC135*$S134),
          SUMIF(OFFSET($S136,1,0,$R134-2),($M134+1)&amp;"$",OFFSET(BC136,1,0,$R134-2)))</f>
        <v>0</v>
      </c>
      <c r="BD136" s="439" t="n">
        <f aca="false" t="array" ref="BD136:BD136">IF($R134=2,
         IF(AND(ACOMPANHAMENTO="PLE",ISNUMBER($F134)),
                SUMIF((OFFSET(CÁLCULO!$BS$15:$CS$15,$F134,0,OFFSET(ORÇAMENTO!$D$15,CRONO!$F134,0))),CRONO!BD$12,OFFSET(CÁLCULO!$AR$15:$BR$15,$F134,0,OFFSET(ORÇAMENTO!$D$15,CRONO!$F134,0)))
                +IF(AND($F136&lt;&gt;"",$F136&lt;&gt;0),
                        SUMIF(CÁLCULO!$BS$15:$CS$205,CRONO!BD$12,CÁLCULO!$AR$15:$BR$205)/(ORÇAMENTO!$X$15-_xlfn.single(CÁLCULO.TotalAdmLocal))*CRONO!$F136,
                        0),
                 BD135*$S134),
          SUMIF(OFFSET($S136,1,0,$R134-2),($M134+1)&amp;"$",OFFSET(BD136,1,0,$R134-2)))</f>
        <v>0</v>
      </c>
      <c r="BE136" s="430"/>
    </row>
    <row r="137" customFormat="false" ht="12.75" hidden="false" customHeight="false" outlineLevel="0" collapsed="false">
      <c r="A137" s="382" t="str">
        <f aca="false">IF($M137&gt;1,_xlfn.CONCAT($I137," ",$J137),"")</f>
        <v>1.41. REGISTROS </v>
      </c>
      <c r="B137" s="419" t="n">
        <f aca="true">OFFSET(B137,-3,0)+1</f>
        <v>42</v>
      </c>
      <c r="C137" s="419" t="n">
        <f aca="true">IF($R137&lt;&gt;2,0,IF($S137=0,1,IF(F138&gt;0,OFFSET(QCI!$M$13,SUBSTITUTE(F138,".",""),0),OFFSET(ORÇAMENTO!$AA$15,CRONO!$F137,0))/$S137))</f>
        <v>0.110981526562671</v>
      </c>
      <c r="D137" s="419" t="n">
        <f aca="true">IF($R137&lt;&gt;2,0,IF($S137=0,1,IF(F138&gt;0,OFFSET(QCI!$N$13,SUBSTITUTE(F138,".",""),0),OFFSET(ORÇAMENTO!$AB$15,CRONO!$F137,0))/$S137))</f>
        <v>0</v>
      </c>
      <c r="E137" s="422" t="n">
        <f aca="false" t="array" ref="E137:E137">IF(AND($R137=2,ACOMPANHAMENTO="BM"),ROUND(E138,4),E139/$S137)</f>
        <v>0.04</v>
      </c>
      <c r="F137" s="419" t="n">
        <f aca="true">IF(B137&lt;=ORÇAMENTO.MáximoListaCrono,MATCH(B137,ORÇAMENTO.ListaCrono,0),NA())</f>
        <v>128</v>
      </c>
      <c r="G137" s="419" t="str">
        <f aca="false">IF(AND($F138&lt;&gt;-1,$S137&gt;0),"F","")</f>
        <v>F</v>
      </c>
      <c r="H137" s="423" t="str">
        <f aca="false" t="array" ref="H137:H137">IF(OR(S137=0,S137=""),"Linha",IF(AND(OR(ACOMPANHAMENTO="PLE",$R137&lt;&gt;2),$F138=0),"Linha",ROUND(1-SUM(U137:BE137),4)))</f>
        <v>Linha</v>
      </c>
      <c r="I137" s="424" t="str">
        <f aca="true">IF($F138=0,OFFSET(ORÇAMENTO!O$15,$F137,0),IF($F138&lt;&gt;-1,OFFSET(QCI!$D$13,$F138,0),""))</f>
        <v>1.41.</v>
      </c>
      <c r="J137" s="425" t="str">
        <f aca="true">IF($F138=0,OFFSET(ORÇAMENTO!R$15,$F137,0),IF($F138&lt;&gt;-1,OFFSET(QCI!$G$13,$F138,0),""))</f>
        <v>REGISTROS </v>
      </c>
      <c r="K137" s="425"/>
      <c r="L137" s="425"/>
      <c r="M137" s="426" t="n">
        <f aca="true">IF($F138=0,OFFSET(ORÇAMENTO!C$15,$F137,0),1)</f>
        <v>2</v>
      </c>
      <c r="N137" s="427" t="n">
        <f aca="true">IF($F138=-1,0,IF(N$13&lt;=$M137,IF(ISERROR(MATCH(N$13,OFFSET($M137,1,0,ROW($M$182)-ROW($M137)-1),0)),ROW($M$182)-ROW($M137)-1,MATCH(N$13,OFFSET($M137,1,0,ROW($M$182)-ROW($M137)-1),0)-1),0))</f>
        <v>44</v>
      </c>
      <c r="O137" s="427" t="n">
        <f aca="true">IF($F138=-1,0,IF(O$13&lt;=$M137,IF(ISERROR(MATCH(O$13,OFFSET($M137,1,0,ROW($M$182)-ROW($M137)-1),0)),ROW($M$182)-ROW($M137)-1,MATCH(O$13,OFFSET($M137,1,0,ROW($M$182)-ROW($M137)-1),0)-1),0))</f>
        <v>2</v>
      </c>
      <c r="P137" s="427" t="n">
        <f aca="true">IF($F138=-1,0,IF(P$13&lt;=$M137,IF(ISERROR(MATCH(P$13,OFFSET($M137,1,0,ROW($M$182)-ROW($M137)-1),0)),ROW($M$182)-ROW($M137)-1,MATCH(P$13,OFFSET($M137,1,0,ROW($M$182)-ROW($M137)-1),0)-1),0))</f>
        <v>0</v>
      </c>
      <c r="Q137" s="427" t="n">
        <f aca="true">IF($F138=-1,0,IF(Q$13&lt;=$M137,IF(ISERROR(MATCH(Q$13,OFFSET($M137,1,0,ROW($M$182)-ROW($M137)-1),0)),ROW($M$182)-ROW($M137)-1,MATCH(Q$13,OFFSET($M137,1,0,ROW($M$182)-ROW($M137)-1),0)-1),0))</f>
        <v>0</v>
      </c>
      <c r="R137" s="427" t="n">
        <f aca="true">MIN(OFFSET(M137,0,1,,M137))</f>
        <v>2</v>
      </c>
      <c r="S137" s="428" t="n">
        <f aca="true">IF($F138=0,OFFSET(ORÇAMENTO!X$15,$F137,0),IF($F138&lt;&gt;-1,OFFSET(QCI!$O$13,$F138,0),""))</f>
        <v>22576</v>
      </c>
      <c r="T137" s="429" t="s">
        <v>996</v>
      </c>
      <c r="U137" s="422" t="n">
        <f aca="false" t="array" ref="U137:U137">IF(AND($R137=2,ACOMPANHAMENTO="BM"),ROUND(U138,4),U139/$S137)</f>
        <v>0.04</v>
      </c>
      <c r="V137" s="422" t="n">
        <f aca="false" t="array" ref="V137:V137">IF(AND($R137=2,ACOMPANHAMENTO="BM"),ROUND(V138,4),V139/$S137)</f>
        <v>0.04</v>
      </c>
      <c r="W137" s="422" t="n">
        <f aca="false" t="array" ref="W137:W137">IF(AND($R137=2,ACOMPANHAMENTO="BM"),ROUND(W138,4),W139/$S137)</f>
        <v>0.04</v>
      </c>
      <c r="X137" s="422" t="n">
        <f aca="false" t="array" ref="X137:X137">IF(AND($R137=2,ACOMPANHAMENTO="BM"),ROUND(X138,4),X139/$S137)</f>
        <v>0.04</v>
      </c>
      <c r="Y137" s="422" t="n">
        <f aca="false" t="array" ref="Y137:Y137">IF(AND($R137=2,ACOMPANHAMENTO="BM"),ROUND(Y138,4),Y139/$S137)</f>
        <v>0.04</v>
      </c>
      <c r="Z137" s="422" t="n">
        <f aca="false" t="array" ref="Z137:Z137">IF(AND($R137=2,ACOMPANHAMENTO="BM"),ROUND(Z138,4),Z139/$S137)</f>
        <v>0.04</v>
      </c>
      <c r="AA137" s="422" t="n">
        <f aca="false" t="array" ref="AA137:AA137">IF(AND($R137=2,ACOMPANHAMENTO="BM"),ROUND(AA138,4),AA139/$S137)</f>
        <v>0.04</v>
      </c>
      <c r="AB137" s="422" t="n">
        <f aca="false" t="array" ref="AB137:AB137">IF(AND($R137=2,ACOMPANHAMENTO="BM"),ROUND(AB138,4),AB139/$S137)</f>
        <v>0.04</v>
      </c>
      <c r="AC137" s="422" t="n">
        <f aca="false" t="array" ref="AC137:AC137">IF(AND($R137=2,ACOMPANHAMENTO="BM"),ROUND(AC138,4),AC139/$S137)</f>
        <v>0.04</v>
      </c>
      <c r="AD137" s="422" t="n">
        <f aca="false" t="array" ref="AD137:AD137">IF(AND($R137=2,ACOMPANHAMENTO="BM"),ROUND(AD138,4),AD139/$S137)</f>
        <v>0.04</v>
      </c>
      <c r="AE137" s="422" t="n">
        <f aca="false" t="array" ref="AE137:AE137">IF(AND($R137=2,ACOMPANHAMENTO="BM"),ROUND(AE138,4),AE139/$S137)</f>
        <v>0.04</v>
      </c>
      <c r="AF137" s="422" t="n">
        <f aca="false" t="array" ref="AF137:AF137">IF(AND($R137=2,ACOMPANHAMENTO="BM"),ROUND(AF138,4),AF139/$S137)</f>
        <v>0.04</v>
      </c>
      <c r="AG137" s="422" t="n">
        <f aca="false" t="array" ref="AG137:AG137">IF(AND($R137=2,ACOMPANHAMENTO="BM"),ROUND(AG138,4),AG139/$S137)</f>
        <v>0.04</v>
      </c>
      <c r="AH137" s="422" t="n">
        <f aca="false" t="array" ref="AH137:AH137">IF(AND($R137=2,ACOMPANHAMENTO="BM"),ROUND(AH138,4),AH139/$S137)</f>
        <v>0.04</v>
      </c>
      <c r="AI137" s="422" t="n">
        <f aca="false" t="array" ref="AI137:AI137">IF(AND($R137=2,ACOMPANHAMENTO="BM"),ROUND(AI138,4),AI139/$S137)</f>
        <v>0.04</v>
      </c>
      <c r="AJ137" s="422" t="n">
        <f aca="false" t="array" ref="AJ137:AJ137">IF(AND($R137=2,ACOMPANHAMENTO="BM"),ROUND(AJ138,4),AJ139/$S137)</f>
        <v>0.04</v>
      </c>
      <c r="AK137" s="422" t="n">
        <f aca="false" t="array" ref="AK137:AK137">IF(AND($R137=2,ACOMPANHAMENTO="BM"),ROUND(AK138,4),AK139/$S137)</f>
        <v>0.04</v>
      </c>
      <c r="AL137" s="422" t="n">
        <f aca="false" t="array" ref="AL137:AL137">IF(AND($R137=2,ACOMPANHAMENTO="BM"),ROUND(AL138,4),AL139/$S137)</f>
        <v>0.04</v>
      </c>
      <c r="AM137" s="422" t="n">
        <f aca="false" t="array" ref="AM137:AM137">IF(AND($R137=2,ACOMPANHAMENTO="BM"),ROUND(AM138,4),AM139/$S137)</f>
        <v>0.04</v>
      </c>
      <c r="AN137" s="422" t="n">
        <f aca="false" t="array" ref="AN137:AN137">IF(AND($R137=2,ACOMPANHAMENTO="BM"),ROUND(AN138,4),AN139/$S137)</f>
        <v>0.04</v>
      </c>
      <c r="AO137" s="422" t="n">
        <f aca="false" t="array" ref="AO137:AO137">IF(AND($R137=2,ACOMPANHAMENTO="BM"),ROUND(AO138,4),AO139/$S137)</f>
        <v>0.04</v>
      </c>
      <c r="AP137" s="422" t="n">
        <f aca="false" t="array" ref="AP137:AP137">IF(AND($R137=2,ACOMPANHAMENTO="BM"),ROUND(AP138,4),AP139/$S137)</f>
        <v>0.04</v>
      </c>
      <c r="AQ137" s="422" t="n">
        <f aca="false" t="array" ref="AQ137:AQ137">IF(AND($R137=2,ACOMPANHAMENTO="BM"),ROUND(AQ138,4),AQ139/$S137)</f>
        <v>0.04</v>
      </c>
      <c r="AR137" s="422" t="n">
        <f aca="false" t="array" ref="AR137:AR137">IF(AND($R137=2,ACOMPANHAMENTO="BM"),ROUND(AR138,4),AR139/$S137)</f>
        <v>0.04</v>
      </c>
      <c r="AS137" s="422" t="n">
        <f aca="false" t="array" ref="AS137:AS137">IF(AND($R137=2,ACOMPANHAMENTO="BM"),ROUND(AS138,4),AS139/$S137)</f>
        <v>0.04</v>
      </c>
      <c r="AT137" s="422" t="n">
        <f aca="false" t="array" ref="AT137:AT137">IF(AND($R137=2,ACOMPANHAMENTO="BM"),ROUND(AT138,4),AT139/$S137)</f>
        <v>0</v>
      </c>
      <c r="AU137" s="422" t="n">
        <f aca="false" t="array" ref="AU137:AU137">IF(AND($R137=2,ACOMPANHAMENTO="BM"),ROUND(AU138,4),AU139/$S137)</f>
        <v>0</v>
      </c>
      <c r="AV137" s="422" t="n">
        <f aca="false" t="array" ref="AV137:AV137">IF(AND($R137=2,ACOMPANHAMENTO="BM"),ROUND(AV138,4),AV139/$S137)</f>
        <v>0</v>
      </c>
      <c r="AW137" s="422" t="n">
        <f aca="false" t="array" ref="AW137:AW137">IF(AND($R137=2,ACOMPANHAMENTO="BM"),ROUND(AW138,4),AW139/$S137)</f>
        <v>0</v>
      </c>
      <c r="AX137" s="422" t="n">
        <f aca="false" t="array" ref="AX137:AX137">IF(AND($R137=2,ACOMPANHAMENTO="BM"),ROUND(AX138,4),AX139/$S137)</f>
        <v>0</v>
      </c>
      <c r="AY137" s="422" t="n">
        <f aca="false" t="array" ref="AY137:AY137">IF(AND($R137=2,ACOMPANHAMENTO="BM"),ROUND(AY138,4),AY139/$S137)</f>
        <v>0</v>
      </c>
      <c r="AZ137" s="422" t="n">
        <f aca="false" t="array" ref="AZ137:AZ137">IF(AND($R137=2,ACOMPANHAMENTO="BM"),ROUND(AZ138,4),AZ139/$S137)</f>
        <v>0</v>
      </c>
      <c r="BA137" s="422" t="n">
        <f aca="false" t="array" ref="BA137:BA137">IF(AND($R137=2,ACOMPANHAMENTO="BM"),ROUND(BA138,4),BA139/$S137)</f>
        <v>0</v>
      </c>
      <c r="BB137" s="422" t="n">
        <f aca="false" t="array" ref="BB137:BB137">IF(AND($R137=2,ACOMPANHAMENTO="BM"),ROUND(BB138,4),BB139/$S137)</f>
        <v>0</v>
      </c>
      <c r="BC137" s="422" t="n">
        <f aca="false" t="array" ref="BC137:BC137">IF(AND($R137=2,ACOMPANHAMENTO="BM"),ROUND(BC138,4),BC139/$S137)</f>
        <v>0</v>
      </c>
      <c r="BD137" s="422" t="n">
        <f aca="false" t="array" ref="BD137:BD137">IF(AND($R137=2,ACOMPANHAMENTO="BM"),ROUND(BD138,4),BD139/$S137)</f>
        <v>0</v>
      </c>
      <c r="BE137" s="430"/>
    </row>
    <row r="138" customFormat="false" ht="12.75" hidden="true" customHeight="true" outlineLevel="0" collapsed="false">
      <c r="E138" s="431"/>
      <c r="F138" s="419" t="n">
        <f aca="true">IF(ISERROR(F137),IF(1+COUNTIF($M$13:OFFSET(M137,-1,0),1)&lt;=MAX(QCI!$D$13:$D$15),1+COUNTIF($M$13:OFFSET(M137,-1,0),1),-1),0)</f>
        <v>0</v>
      </c>
      <c r="G138" s="419" t="str">
        <f aca="true" t="array" ref="G138:G138">IF(ACOMPANHAMENTO="BM",OFFSET(G138,-1,0),"")</f>
        <v/>
      </c>
      <c r="H138" s="432" t="str">
        <f aca="false" t="array" ref="H138:H138">IF(OR(S137=0,S137=""),"vazia",IF(AND(OR(ACOMPANHAMENTO="PLE",$R137&lt;&gt;2),$F138=0),"calculada","--&gt;"))</f>
        <v>calculada</v>
      </c>
      <c r="I138" s="433"/>
      <c r="J138" s="434" t="str">
        <f aca="false">IF(AND(H137&lt;&gt;0,ISNUMBER(H137)),"PREENCHA ESTA LINHA --&gt;","")</f>
        <v/>
      </c>
      <c r="K138" s="434"/>
      <c r="L138" s="434"/>
      <c r="M138" s="435"/>
      <c r="N138" s="435"/>
      <c r="O138" s="435"/>
      <c r="P138" s="435"/>
      <c r="Q138" s="435"/>
      <c r="R138" s="435"/>
      <c r="S138" s="436"/>
      <c r="T138" s="437"/>
      <c r="U138" s="431"/>
      <c r="V138" s="431"/>
      <c r="W138" s="431"/>
      <c r="X138" s="431"/>
      <c r="Y138" s="431"/>
      <c r="Z138" s="431"/>
      <c r="AA138" s="431"/>
      <c r="AB138" s="431"/>
      <c r="AC138" s="431"/>
      <c r="AD138" s="431"/>
      <c r="AE138" s="431"/>
      <c r="AF138" s="431"/>
      <c r="AG138" s="431"/>
      <c r="AH138" s="431"/>
      <c r="AI138" s="431"/>
      <c r="AJ138" s="431"/>
      <c r="AK138" s="431"/>
      <c r="AL138" s="431"/>
      <c r="AM138" s="431"/>
      <c r="AN138" s="431"/>
      <c r="AO138" s="431"/>
      <c r="AP138" s="431"/>
      <c r="AQ138" s="431"/>
      <c r="AR138" s="431"/>
      <c r="AS138" s="431"/>
      <c r="AT138" s="431"/>
      <c r="AU138" s="431"/>
      <c r="AV138" s="431"/>
      <c r="AW138" s="431"/>
      <c r="AX138" s="431"/>
      <c r="AY138" s="431"/>
      <c r="AZ138" s="431"/>
      <c r="BA138" s="431"/>
      <c r="BB138" s="431"/>
      <c r="BC138" s="431"/>
      <c r="BD138" s="431"/>
      <c r="BE138" s="430"/>
    </row>
    <row r="139" customFormat="false" ht="12.75" hidden="true" customHeight="true" outlineLevel="0" collapsed="false">
      <c r="D139" s="438"/>
      <c r="E139" s="439" t="n">
        <f aca="false" t="array" ref="E139:E139">IF($R137=2,
         IF(AND(ACOMPANHAMENTO="PLE",ISNUMBER($F137)),
                SUMIF((OFFSET(CÁLCULO!$BS$15:$CS$15,$F137,0,OFFSET(ORÇAMENTO!$D$15,CRONO!$F137,0))),CRONO!E$12,OFFSET(CÁLCULO!$AR$15:$BR$15,$F137,0,OFFSET(ORÇAMENTO!$D$15,CRONO!$F137,0)))
                +IF(AND($F139&lt;&gt;"",$F139&lt;&gt;0),
                        SUMIF(CÁLCULO!$BS$15:$CS$205,CRONO!E$12,CÁLCULO!$AR$15:$BR$205)/(ORÇAMENTO!$X$15-_xlfn.single(CÁLCULO.TotalAdmLocal))*CRONO!$F139,
                        0),
                 E138*$S137),
          SUMIF(OFFSET($S139,1,0,$R137-2),($M137+1)&amp;"$",OFFSET(E139,1,0,$R137-2)))</f>
        <v>903.04</v>
      </c>
      <c r="F139" s="419" t="str">
        <f aca="true">IF(OR($R137&lt;&gt;2,AUTOEVENTO&lt;&gt;"manual",$F138&gt;0),"",
        IF(Import.TipoArredondamento="Tradicional",
              SUMIF(OFFSET(CÁLCULO!$M$15,CRONO!$F137,0,OFFSET(ORÇAMENTO!$D$15,CRONO!$F137,0)),1,OFFSET(ORÇAMENTO!$X$15,CRONO!$F137,0,OFFSET(ORÇAMENTO!$D$15,CRONO!$F137,0))),
              0))</f>
        <v/>
      </c>
      <c r="H139" s="440"/>
      <c r="S139" s="441" t="str">
        <f aca="false">M137&amp;"$"</f>
        <v>2$</v>
      </c>
      <c r="T139" s="442"/>
      <c r="U139" s="439" t="n">
        <f aca="false" t="array" ref="U139:U139">IF($R137=2,
         IF(AND(ACOMPANHAMENTO="PLE",ISNUMBER($F137)),
                SUMIF((OFFSET(CÁLCULO!$BS$15:$CS$15,$F137,0,OFFSET(ORÇAMENTO!$D$15,CRONO!$F137,0))),CRONO!U$12,OFFSET(CÁLCULO!$AR$15:$BR$15,$F137,0,OFFSET(ORÇAMENTO!$D$15,CRONO!$F137,0)))
                +IF(AND($F139&lt;&gt;"",$F139&lt;&gt;0),
                        SUMIF(CÁLCULO!$BS$15:$CS$205,CRONO!U$12,CÁLCULO!$AR$15:$BR$205)/(ORÇAMENTO!$X$15-_xlfn.single(CÁLCULO.TotalAdmLocal))*CRONO!$F139,
                        0),
                 U138*$S137),
          SUMIF(OFFSET($S139,1,0,$R137-2),($M137+1)&amp;"$",OFFSET(U139,1,0,$R137-2)))</f>
        <v>903.04</v>
      </c>
      <c r="V139" s="439" t="n">
        <f aca="false" t="array" ref="V139:V139">IF($R137=2,
         IF(AND(ACOMPANHAMENTO="PLE",ISNUMBER($F137)),
                SUMIF((OFFSET(CÁLCULO!$BS$15:$CS$15,$F137,0,OFFSET(ORÇAMENTO!$D$15,CRONO!$F137,0))),CRONO!V$12,OFFSET(CÁLCULO!$AR$15:$BR$15,$F137,0,OFFSET(ORÇAMENTO!$D$15,CRONO!$F137,0)))
                +IF(AND($F139&lt;&gt;"",$F139&lt;&gt;0),
                        SUMIF(CÁLCULO!$BS$15:$CS$205,CRONO!V$12,CÁLCULO!$AR$15:$BR$205)/(ORÇAMENTO!$X$15-_xlfn.single(CÁLCULO.TotalAdmLocal))*CRONO!$F139,
                        0),
                 V138*$S137),
          SUMIF(OFFSET($S139,1,0,$R137-2),($M137+1)&amp;"$",OFFSET(V139,1,0,$R137-2)))</f>
        <v>903.04</v>
      </c>
      <c r="W139" s="439" t="n">
        <f aca="false" t="array" ref="W139:W139">IF($R137=2,
         IF(AND(ACOMPANHAMENTO="PLE",ISNUMBER($F137)),
                SUMIF((OFFSET(CÁLCULO!$BS$15:$CS$15,$F137,0,OFFSET(ORÇAMENTO!$D$15,CRONO!$F137,0))),CRONO!W$12,OFFSET(CÁLCULO!$AR$15:$BR$15,$F137,0,OFFSET(ORÇAMENTO!$D$15,CRONO!$F137,0)))
                +IF(AND($F139&lt;&gt;"",$F139&lt;&gt;0),
                        SUMIF(CÁLCULO!$BS$15:$CS$205,CRONO!W$12,CÁLCULO!$AR$15:$BR$205)/(ORÇAMENTO!$X$15-_xlfn.single(CÁLCULO.TotalAdmLocal))*CRONO!$F139,
                        0),
                 W138*$S137),
          SUMIF(OFFSET($S139,1,0,$R137-2),($M137+1)&amp;"$",OFFSET(W139,1,0,$R137-2)))</f>
        <v>903.04</v>
      </c>
      <c r="X139" s="439" t="n">
        <f aca="false" t="array" ref="X139:X139">IF($R137=2,
         IF(AND(ACOMPANHAMENTO="PLE",ISNUMBER($F137)),
                SUMIF((OFFSET(CÁLCULO!$BS$15:$CS$15,$F137,0,OFFSET(ORÇAMENTO!$D$15,CRONO!$F137,0))),CRONO!X$12,OFFSET(CÁLCULO!$AR$15:$BR$15,$F137,0,OFFSET(ORÇAMENTO!$D$15,CRONO!$F137,0)))
                +IF(AND($F139&lt;&gt;"",$F139&lt;&gt;0),
                        SUMIF(CÁLCULO!$BS$15:$CS$205,CRONO!X$12,CÁLCULO!$AR$15:$BR$205)/(ORÇAMENTO!$X$15-_xlfn.single(CÁLCULO.TotalAdmLocal))*CRONO!$F139,
                        0),
                 X138*$S137),
          SUMIF(OFFSET($S139,1,0,$R137-2),($M137+1)&amp;"$",OFFSET(X139,1,0,$R137-2)))</f>
        <v>903.04</v>
      </c>
      <c r="Y139" s="439" t="n">
        <f aca="false" t="array" ref="Y139:Y139">IF($R137=2,
         IF(AND(ACOMPANHAMENTO="PLE",ISNUMBER($F137)),
                SUMIF((OFFSET(CÁLCULO!$BS$15:$CS$15,$F137,0,OFFSET(ORÇAMENTO!$D$15,CRONO!$F137,0))),CRONO!Y$12,OFFSET(CÁLCULO!$AR$15:$BR$15,$F137,0,OFFSET(ORÇAMENTO!$D$15,CRONO!$F137,0)))
                +IF(AND($F139&lt;&gt;"",$F139&lt;&gt;0),
                        SUMIF(CÁLCULO!$BS$15:$CS$205,CRONO!Y$12,CÁLCULO!$AR$15:$BR$205)/(ORÇAMENTO!$X$15-_xlfn.single(CÁLCULO.TotalAdmLocal))*CRONO!$F139,
                        0),
                 Y138*$S137),
          SUMIF(OFFSET($S139,1,0,$R137-2),($M137+1)&amp;"$",OFFSET(Y139,1,0,$R137-2)))</f>
        <v>903.04</v>
      </c>
      <c r="Z139" s="439" t="n">
        <f aca="false" t="array" ref="Z139:Z139">IF($R137=2,
         IF(AND(ACOMPANHAMENTO="PLE",ISNUMBER($F137)),
                SUMIF((OFFSET(CÁLCULO!$BS$15:$CS$15,$F137,0,OFFSET(ORÇAMENTO!$D$15,CRONO!$F137,0))),CRONO!Z$12,OFFSET(CÁLCULO!$AR$15:$BR$15,$F137,0,OFFSET(ORÇAMENTO!$D$15,CRONO!$F137,0)))
                +IF(AND($F139&lt;&gt;"",$F139&lt;&gt;0),
                        SUMIF(CÁLCULO!$BS$15:$CS$205,CRONO!Z$12,CÁLCULO!$AR$15:$BR$205)/(ORÇAMENTO!$X$15-_xlfn.single(CÁLCULO.TotalAdmLocal))*CRONO!$F139,
                        0),
                 Z138*$S137),
          SUMIF(OFFSET($S139,1,0,$R137-2),($M137+1)&amp;"$",OFFSET(Z139,1,0,$R137-2)))</f>
        <v>903.04</v>
      </c>
      <c r="AA139" s="439" t="n">
        <f aca="false" t="array" ref="AA139:AA139">IF($R137=2,
         IF(AND(ACOMPANHAMENTO="PLE",ISNUMBER($F137)),
                SUMIF((OFFSET(CÁLCULO!$BS$15:$CS$15,$F137,0,OFFSET(ORÇAMENTO!$D$15,CRONO!$F137,0))),CRONO!AA$12,OFFSET(CÁLCULO!$AR$15:$BR$15,$F137,0,OFFSET(ORÇAMENTO!$D$15,CRONO!$F137,0)))
                +IF(AND($F139&lt;&gt;"",$F139&lt;&gt;0),
                        SUMIF(CÁLCULO!$BS$15:$CS$205,CRONO!AA$12,CÁLCULO!$AR$15:$BR$205)/(ORÇAMENTO!$X$15-_xlfn.single(CÁLCULO.TotalAdmLocal))*CRONO!$F139,
                        0),
                 AA138*$S137),
          SUMIF(OFFSET($S139,1,0,$R137-2),($M137+1)&amp;"$",OFFSET(AA139,1,0,$R137-2)))</f>
        <v>903.04</v>
      </c>
      <c r="AB139" s="439" t="n">
        <f aca="false" t="array" ref="AB139:AB139">IF($R137=2,
         IF(AND(ACOMPANHAMENTO="PLE",ISNUMBER($F137)),
                SUMIF((OFFSET(CÁLCULO!$BS$15:$CS$15,$F137,0,OFFSET(ORÇAMENTO!$D$15,CRONO!$F137,0))),CRONO!AB$12,OFFSET(CÁLCULO!$AR$15:$BR$15,$F137,0,OFFSET(ORÇAMENTO!$D$15,CRONO!$F137,0)))
                +IF(AND($F139&lt;&gt;"",$F139&lt;&gt;0),
                        SUMIF(CÁLCULO!$BS$15:$CS$205,CRONO!AB$12,CÁLCULO!$AR$15:$BR$205)/(ORÇAMENTO!$X$15-_xlfn.single(CÁLCULO.TotalAdmLocal))*CRONO!$F139,
                        0),
                 AB138*$S137),
          SUMIF(OFFSET($S139,1,0,$R137-2),($M137+1)&amp;"$",OFFSET(AB139,1,0,$R137-2)))</f>
        <v>903.04</v>
      </c>
      <c r="AC139" s="439" t="n">
        <f aca="false" t="array" ref="AC139:AC139">IF($R137=2,
         IF(AND(ACOMPANHAMENTO="PLE",ISNUMBER($F137)),
                SUMIF((OFFSET(CÁLCULO!$BS$15:$CS$15,$F137,0,OFFSET(ORÇAMENTO!$D$15,CRONO!$F137,0))),CRONO!AC$12,OFFSET(CÁLCULO!$AR$15:$BR$15,$F137,0,OFFSET(ORÇAMENTO!$D$15,CRONO!$F137,0)))
                +IF(AND($F139&lt;&gt;"",$F139&lt;&gt;0),
                        SUMIF(CÁLCULO!$BS$15:$CS$205,CRONO!AC$12,CÁLCULO!$AR$15:$BR$205)/(ORÇAMENTO!$X$15-_xlfn.single(CÁLCULO.TotalAdmLocal))*CRONO!$F139,
                        0),
                 AC138*$S137),
          SUMIF(OFFSET($S139,1,0,$R137-2),($M137+1)&amp;"$",OFFSET(AC139,1,0,$R137-2)))</f>
        <v>903.04</v>
      </c>
      <c r="AD139" s="439" t="n">
        <f aca="false" t="array" ref="AD139:AD139">IF($R137=2,
         IF(AND(ACOMPANHAMENTO="PLE",ISNUMBER($F137)),
                SUMIF((OFFSET(CÁLCULO!$BS$15:$CS$15,$F137,0,OFFSET(ORÇAMENTO!$D$15,CRONO!$F137,0))),CRONO!AD$12,OFFSET(CÁLCULO!$AR$15:$BR$15,$F137,0,OFFSET(ORÇAMENTO!$D$15,CRONO!$F137,0)))
                +IF(AND($F139&lt;&gt;"",$F139&lt;&gt;0),
                        SUMIF(CÁLCULO!$BS$15:$CS$205,CRONO!AD$12,CÁLCULO!$AR$15:$BR$205)/(ORÇAMENTO!$X$15-_xlfn.single(CÁLCULO.TotalAdmLocal))*CRONO!$F139,
                        0),
                 AD138*$S137),
          SUMIF(OFFSET($S139,1,0,$R137-2),($M137+1)&amp;"$",OFFSET(AD139,1,0,$R137-2)))</f>
        <v>903.04</v>
      </c>
      <c r="AE139" s="439" t="n">
        <f aca="false" t="array" ref="AE139:AE139">IF($R137=2,
         IF(AND(ACOMPANHAMENTO="PLE",ISNUMBER($F137)),
                SUMIF((OFFSET(CÁLCULO!$BS$15:$CS$15,$F137,0,OFFSET(ORÇAMENTO!$D$15,CRONO!$F137,0))),CRONO!AE$12,OFFSET(CÁLCULO!$AR$15:$BR$15,$F137,0,OFFSET(ORÇAMENTO!$D$15,CRONO!$F137,0)))
                +IF(AND($F139&lt;&gt;"",$F139&lt;&gt;0),
                        SUMIF(CÁLCULO!$BS$15:$CS$205,CRONO!AE$12,CÁLCULO!$AR$15:$BR$205)/(ORÇAMENTO!$X$15-_xlfn.single(CÁLCULO.TotalAdmLocal))*CRONO!$F139,
                        0),
                 AE138*$S137),
          SUMIF(OFFSET($S139,1,0,$R137-2),($M137+1)&amp;"$",OFFSET(AE139,1,0,$R137-2)))</f>
        <v>903.04</v>
      </c>
      <c r="AF139" s="439" t="n">
        <f aca="false" t="array" ref="AF139:AF139">IF($R137=2,
         IF(AND(ACOMPANHAMENTO="PLE",ISNUMBER($F137)),
                SUMIF((OFFSET(CÁLCULO!$BS$15:$CS$15,$F137,0,OFFSET(ORÇAMENTO!$D$15,CRONO!$F137,0))),CRONO!AF$12,OFFSET(CÁLCULO!$AR$15:$BR$15,$F137,0,OFFSET(ORÇAMENTO!$D$15,CRONO!$F137,0)))
                +IF(AND($F139&lt;&gt;"",$F139&lt;&gt;0),
                        SUMIF(CÁLCULO!$BS$15:$CS$205,CRONO!AF$12,CÁLCULO!$AR$15:$BR$205)/(ORÇAMENTO!$X$15-_xlfn.single(CÁLCULO.TotalAdmLocal))*CRONO!$F139,
                        0),
                 AF138*$S137),
          SUMIF(OFFSET($S139,1,0,$R137-2),($M137+1)&amp;"$",OFFSET(AF139,1,0,$R137-2)))</f>
        <v>903.04</v>
      </c>
      <c r="AG139" s="439" t="n">
        <f aca="false" t="array" ref="AG139:AG139">IF($R137=2,
         IF(AND(ACOMPANHAMENTO="PLE",ISNUMBER($F137)),
                SUMIF((OFFSET(CÁLCULO!$BS$15:$CS$15,$F137,0,OFFSET(ORÇAMENTO!$D$15,CRONO!$F137,0))),CRONO!AG$12,OFFSET(CÁLCULO!$AR$15:$BR$15,$F137,0,OFFSET(ORÇAMENTO!$D$15,CRONO!$F137,0)))
                +IF(AND($F139&lt;&gt;"",$F139&lt;&gt;0),
                        SUMIF(CÁLCULO!$BS$15:$CS$205,CRONO!AG$12,CÁLCULO!$AR$15:$BR$205)/(ORÇAMENTO!$X$15-_xlfn.single(CÁLCULO.TotalAdmLocal))*CRONO!$F139,
                        0),
                 AG138*$S137),
          SUMIF(OFFSET($S139,1,0,$R137-2),($M137+1)&amp;"$",OFFSET(AG139,1,0,$R137-2)))</f>
        <v>903.04</v>
      </c>
      <c r="AH139" s="439" t="n">
        <f aca="false" t="array" ref="AH139:AH139">IF($R137=2,
         IF(AND(ACOMPANHAMENTO="PLE",ISNUMBER($F137)),
                SUMIF((OFFSET(CÁLCULO!$BS$15:$CS$15,$F137,0,OFFSET(ORÇAMENTO!$D$15,CRONO!$F137,0))),CRONO!AH$12,OFFSET(CÁLCULO!$AR$15:$BR$15,$F137,0,OFFSET(ORÇAMENTO!$D$15,CRONO!$F137,0)))
                +IF(AND($F139&lt;&gt;"",$F139&lt;&gt;0),
                        SUMIF(CÁLCULO!$BS$15:$CS$205,CRONO!AH$12,CÁLCULO!$AR$15:$BR$205)/(ORÇAMENTO!$X$15-_xlfn.single(CÁLCULO.TotalAdmLocal))*CRONO!$F139,
                        0),
                 AH138*$S137),
          SUMIF(OFFSET($S139,1,0,$R137-2),($M137+1)&amp;"$",OFFSET(AH139,1,0,$R137-2)))</f>
        <v>903.04</v>
      </c>
      <c r="AI139" s="439" t="n">
        <f aca="false" t="array" ref="AI139:AI139">IF($R137=2,
         IF(AND(ACOMPANHAMENTO="PLE",ISNUMBER($F137)),
                SUMIF((OFFSET(CÁLCULO!$BS$15:$CS$15,$F137,0,OFFSET(ORÇAMENTO!$D$15,CRONO!$F137,0))),CRONO!AI$12,OFFSET(CÁLCULO!$AR$15:$BR$15,$F137,0,OFFSET(ORÇAMENTO!$D$15,CRONO!$F137,0)))
                +IF(AND($F139&lt;&gt;"",$F139&lt;&gt;0),
                        SUMIF(CÁLCULO!$BS$15:$CS$205,CRONO!AI$12,CÁLCULO!$AR$15:$BR$205)/(ORÇAMENTO!$X$15-_xlfn.single(CÁLCULO.TotalAdmLocal))*CRONO!$F139,
                        0),
                 AI138*$S137),
          SUMIF(OFFSET($S139,1,0,$R137-2),($M137+1)&amp;"$",OFFSET(AI139,1,0,$R137-2)))</f>
        <v>903.04</v>
      </c>
      <c r="AJ139" s="439" t="n">
        <f aca="false" t="array" ref="AJ139:AJ139">IF($R137=2,
         IF(AND(ACOMPANHAMENTO="PLE",ISNUMBER($F137)),
                SUMIF((OFFSET(CÁLCULO!$BS$15:$CS$15,$F137,0,OFFSET(ORÇAMENTO!$D$15,CRONO!$F137,0))),CRONO!AJ$12,OFFSET(CÁLCULO!$AR$15:$BR$15,$F137,0,OFFSET(ORÇAMENTO!$D$15,CRONO!$F137,0)))
                +IF(AND($F139&lt;&gt;"",$F139&lt;&gt;0),
                        SUMIF(CÁLCULO!$BS$15:$CS$205,CRONO!AJ$12,CÁLCULO!$AR$15:$BR$205)/(ORÇAMENTO!$X$15-_xlfn.single(CÁLCULO.TotalAdmLocal))*CRONO!$F139,
                        0),
                 AJ138*$S137),
          SUMIF(OFFSET($S139,1,0,$R137-2),($M137+1)&amp;"$",OFFSET(AJ139,1,0,$R137-2)))</f>
        <v>903.04</v>
      </c>
      <c r="AK139" s="439" t="n">
        <f aca="false" t="array" ref="AK139:AK139">IF($R137=2,
         IF(AND(ACOMPANHAMENTO="PLE",ISNUMBER($F137)),
                SUMIF((OFFSET(CÁLCULO!$BS$15:$CS$15,$F137,0,OFFSET(ORÇAMENTO!$D$15,CRONO!$F137,0))),CRONO!AK$12,OFFSET(CÁLCULO!$AR$15:$BR$15,$F137,0,OFFSET(ORÇAMENTO!$D$15,CRONO!$F137,0)))
                +IF(AND($F139&lt;&gt;"",$F139&lt;&gt;0),
                        SUMIF(CÁLCULO!$BS$15:$CS$205,CRONO!AK$12,CÁLCULO!$AR$15:$BR$205)/(ORÇAMENTO!$X$15-_xlfn.single(CÁLCULO.TotalAdmLocal))*CRONO!$F139,
                        0),
                 AK138*$S137),
          SUMIF(OFFSET($S139,1,0,$R137-2),($M137+1)&amp;"$",OFFSET(AK139,1,0,$R137-2)))</f>
        <v>903.04</v>
      </c>
      <c r="AL139" s="439" t="n">
        <f aca="false" t="array" ref="AL139:AL139">IF($R137=2,
         IF(AND(ACOMPANHAMENTO="PLE",ISNUMBER($F137)),
                SUMIF((OFFSET(CÁLCULO!$BS$15:$CS$15,$F137,0,OFFSET(ORÇAMENTO!$D$15,CRONO!$F137,0))),CRONO!AL$12,OFFSET(CÁLCULO!$AR$15:$BR$15,$F137,0,OFFSET(ORÇAMENTO!$D$15,CRONO!$F137,0)))
                +IF(AND($F139&lt;&gt;"",$F139&lt;&gt;0),
                        SUMIF(CÁLCULO!$BS$15:$CS$205,CRONO!AL$12,CÁLCULO!$AR$15:$BR$205)/(ORÇAMENTO!$X$15-_xlfn.single(CÁLCULO.TotalAdmLocal))*CRONO!$F139,
                        0),
                 AL138*$S137),
          SUMIF(OFFSET($S139,1,0,$R137-2),($M137+1)&amp;"$",OFFSET(AL139,1,0,$R137-2)))</f>
        <v>903.04</v>
      </c>
      <c r="AM139" s="439" t="n">
        <f aca="false" t="array" ref="AM139:AM139">IF($R137=2,
         IF(AND(ACOMPANHAMENTO="PLE",ISNUMBER($F137)),
                SUMIF((OFFSET(CÁLCULO!$BS$15:$CS$15,$F137,0,OFFSET(ORÇAMENTO!$D$15,CRONO!$F137,0))),CRONO!AM$12,OFFSET(CÁLCULO!$AR$15:$BR$15,$F137,0,OFFSET(ORÇAMENTO!$D$15,CRONO!$F137,0)))
                +IF(AND($F139&lt;&gt;"",$F139&lt;&gt;0),
                        SUMIF(CÁLCULO!$BS$15:$CS$205,CRONO!AM$12,CÁLCULO!$AR$15:$BR$205)/(ORÇAMENTO!$X$15-_xlfn.single(CÁLCULO.TotalAdmLocal))*CRONO!$F139,
                        0),
                 AM138*$S137),
          SUMIF(OFFSET($S139,1,0,$R137-2),($M137+1)&amp;"$",OFFSET(AM139,1,0,$R137-2)))</f>
        <v>903.04</v>
      </c>
      <c r="AN139" s="439" t="n">
        <f aca="false" t="array" ref="AN139:AN139">IF($R137=2,
         IF(AND(ACOMPANHAMENTO="PLE",ISNUMBER($F137)),
                SUMIF((OFFSET(CÁLCULO!$BS$15:$CS$15,$F137,0,OFFSET(ORÇAMENTO!$D$15,CRONO!$F137,0))),CRONO!AN$12,OFFSET(CÁLCULO!$AR$15:$BR$15,$F137,0,OFFSET(ORÇAMENTO!$D$15,CRONO!$F137,0)))
                +IF(AND($F139&lt;&gt;"",$F139&lt;&gt;0),
                        SUMIF(CÁLCULO!$BS$15:$CS$205,CRONO!AN$12,CÁLCULO!$AR$15:$BR$205)/(ORÇAMENTO!$X$15-_xlfn.single(CÁLCULO.TotalAdmLocal))*CRONO!$F139,
                        0),
                 AN138*$S137),
          SUMIF(OFFSET($S139,1,0,$R137-2),($M137+1)&amp;"$",OFFSET(AN139,1,0,$R137-2)))</f>
        <v>903.04</v>
      </c>
      <c r="AO139" s="439" t="n">
        <f aca="false" t="array" ref="AO139:AO139">IF($R137=2,
         IF(AND(ACOMPANHAMENTO="PLE",ISNUMBER($F137)),
                SUMIF((OFFSET(CÁLCULO!$BS$15:$CS$15,$F137,0,OFFSET(ORÇAMENTO!$D$15,CRONO!$F137,0))),CRONO!AO$12,OFFSET(CÁLCULO!$AR$15:$BR$15,$F137,0,OFFSET(ORÇAMENTO!$D$15,CRONO!$F137,0)))
                +IF(AND($F139&lt;&gt;"",$F139&lt;&gt;0),
                        SUMIF(CÁLCULO!$BS$15:$CS$205,CRONO!AO$12,CÁLCULO!$AR$15:$BR$205)/(ORÇAMENTO!$X$15-_xlfn.single(CÁLCULO.TotalAdmLocal))*CRONO!$F139,
                        0),
                 AO138*$S137),
          SUMIF(OFFSET($S139,1,0,$R137-2),($M137+1)&amp;"$",OFFSET(AO139,1,0,$R137-2)))</f>
        <v>903.04</v>
      </c>
      <c r="AP139" s="439" t="n">
        <f aca="false" t="array" ref="AP139:AP139">IF($R137=2,
         IF(AND(ACOMPANHAMENTO="PLE",ISNUMBER($F137)),
                SUMIF((OFFSET(CÁLCULO!$BS$15:$CS$15,$F137,0,OFFSET(ORÇAMENTO!$D$15,CRONO!$F137,0))),CRONO!AP$12,OFFSET(CÁLCULO!$AR$15:$BR$15,$F137,0,OFFSET(ORÇAMENTO!$D$15,CRONO!$F137,0)))
                +IF(AND($F139&lt;&gt;"",$F139&lt;&gt;0),
                        SUMIF(CÁLCULO!$BS$15:$CS$205,CRONO!AP$12,CÁLCULO!$AR$15:$BR$205)/(ORÇAMENTO!$X$15-_xlfn.single(CÁLCULO.TotalAdmLocal))*CRONO!$F139,
                        0),
                 AP138*$S137),
          SUMIF(OFFSET($S139,1,0,$R137-2),($M137+1)&amp;"$",OFFSET(AP139,1,0,$R137-2)))</f>
        <v>903.04</v>
      </c>
      <c r="AQ139" s="439" t="n">
        <f aca="false" t="array" ref="AQ139:AQ139">IF($R137=2,
         IF(AND(ACOMPANHAMENTO="PLE",ISNUMBER($F137)),
                SUMIF((OFFSET(CÁLCULO!$BS$15:$CS$15,$F137,0,OFFSET(ORÇAMENTO!$D$15,CRONO!$F137,0))),CRONO!AQ$12,OFFSET(CÁLCULO!$AR$15:$BR$15,$F137,0,OFFSET(ORÇAMENTO!$D$15,CRONO!$F137,0)))
                +IF(AND($F139&lt;&gt;"",$F139&lt;&gt;0),
                        SUMIF(CÁLCULO!$BS$15:$CS$205,CRONO!AQ$12,CÁLCULO!$AR$15:$BR$205)/(ORÇAMENTO!$X$15-_xlfn.single(CÁLCULO.TotalAdmLocal))*CRONO!$F139,
                        0),
                 AQ138*$S137),
          SUMIF(OFFSET($S139,1,0,$R137-2),($M137+1)&amp;"$",OFFSET(AQ139,1,0,$R137-2)))</f>
        <v>903.04</v>
      </c>
      <c r="AR139" s="439" t="n">
        <f aca="false" t="array" ref="AR139:AR139">IF($R137=2,
         IF(AND(ACOMPANHAMENTO="PLE",ISNUMBER($F137)),
                SUMIF((OFFSET(CÁLCULO!$BS$15:$CS$15,$F137,0,OFFSET(ORÇAMENTO!$D$15,CRONO!$F137,0))),CRONO!AR$12,OFFSET(CÁLCULO!$AR$15:$BR$15,$F137,0,OFFSET(ORÇAMENTO!$D$15,CRONO!$F137,0)))
                +IF(AND($F139&lt;&gt;"",$F139&lt;&gt;0),
                        SUMIF(CÁLCULO!$BS$15:$CS$205,CRONO!AR$12,CÁLCULO!$AR$15:$BR$205)/(ORÇAMENTO!$X$15-_xlfn.single(CÁLCULO.TotalAdmLocal))*CRONO!$F139,
                        0),
                 AR138*$S137),
          SUMIF(OFFSET($S139,1,0,$R137-2),($M137+1)&amp;"$",OFFSET(AR139,1,0,$R137-2)))</f>
        <v>903.04</v>
      </c>
      <c r="AS139" s="439" t="n">
        <f aca="false" t="array" ref="AS139:AS139">IF($R137=2,
         IF(AND(ACOMPANHAMENTO="PLE",ISNUMBER($F137)),
                SUMIF((OFFSET(CÁLCULO!$BS$15:$CS$15,$F137,0,OFFSET(ORÇAMENTO!$D$15,CRONO!$F137,0))),CRONO!AS$12,OFFSET(CÁLCULO!$AR$15:$BR$15,$F137,0,OFFSET(ORÇAMENTO!$D$15,CRONO!$F137,0)))
                +IF(AND($F139&lt;&gt;"",$F139&lt;&gt;0),
                        SUMIF(CÁLCULO!$BS$15:$CS$205,CRONO!AS$12,CÁLCULO!$AR$15:$BR$205)/(ORÇAMENTO!$X$15-_xlfn.single(CÁLCULO.TotalAdmLocal))*CRONO!$F139,
                        0),
                 AS138*$S137),
          SUMIF(OFFSET($S139,1,0,$R137-2),($M137+1)&amp;"$",OFFSET(AS139,1,0,$R137-2)))</f>
        <v>903.04</v>
      </c>
      <c r="AT139" s="439" t="n">
        <f aca="false" t="array" ref="AT139:AT139">IF($R137=2,
         IF(AND(ACOMPANHAMENTO="PLE",ISNUMBER($F137)),
                SUMIF((OFFSET(CÁLCULO!$BS$15:$CS$15,$F137,0,OFFSET(ORÇAMENTO!$D$15,CRONO!$F137,0))),CRONO!AT$12,OFFSET(CÁLCULO!$AR$15:$BR$15,$F137,0,OFFSET(ORÇAMENTO!$D$15,CRONO!$F137,0)))
                +IF(AND($F139&lt;&gt;"",$F139&lt;&gt;0),
                        SUMIF(CÁLCULO!$BS$15:$CS$205,CRONO!AT$12,CÁLCULO!$AR$15:$BR$205)/(ORÇAMENTO!$X$15-_xlfn.single(CÁLCULO.TotalAdmLocal))*CRONO!$F139,
                        0),
                 AT138*$S137),
          SUMIF(OFFSET($S139,1,0,$R137-2),($M137+1)&amp;"$",OFFSET(AT139,1,0,$R137-2)))</f>
        <v>0</v>
      </c>
      <c r="AU139" s="439" t="n">
        <f aca="false" t="array" ref="AU139:AU139">IF($R137=2,
         IF(AND(ACOMPANHAMENTO="PLE",ISNUMBER($F137)),
                SUMIF((OFFSET(CÁLCULO!$BS$15:$CS$15,$F137,0,OFFSET(ORÇAMENTO!$D$15,CRONO!$F137,0))),CRONO!AU$12,OFFSET(CÁLCULO!$AR$15:$BR$15,$F137,0,OFFSET(ORÇAMENTO!$D$15,CRONO!$F137,0)))
                +IF(AND($F139&lt;&gt;"",$F139&lt;&gt;0),
                        SUMIF(CÁLCULO!$BS$15:$CS$205,CRONO!AU$12,CÁLCULO!$AR$15:$BR$205)/(ORÇAMENTO!$X$15-_xlfn.single(CÁLCULO.TotalAdmLocal))*CRONO!$F139,
                        0),
                 AU138*$S137),
          SUMIF(OFFSET($S139,1,0,$R137-2),($M137+1)&amp;"$",OFFSET(AU139,1,0,$R137-2)))</f>
        <v>0</v>
      </c>
      <c r="AV139" s="439" t="n">
        <f aca="false" t="array" ref="AV139:AV139">IF($R137=2,
         IF(AND(ACOMPANHAMENTO="PLE",ISNUMBER($F137)),
                SUMIF((OFFSET(CÁLCULO!$BS$15:$CS$15,$F137,0,OFFSET(ORÇAMENTO!$D$15,CRONO!$F137,0))),CRONO!AV$12,OFFSET(CÁLCULO!$AR$15:$BR$15,$F137,0,OFFSET(ORÇAMENTO!$D$15,CRONO!$F137,0)))
                +IF(AND($F139&lt;&gt;"",$F139&lt;&gt;0),
                        SUMIF(CÁLCULO!$BS$15:$CS$205,CRONO!AV$12,CÁLCULO!$AR$15:$BR$205)/(ORÇAMENTO!$X$15-_xlfn.single(CÁLCULO.TotalAdmLocal))*CRONO!$F139,
                        0),
                 AV138*$S137),
          SUMIF(OFFSET($S139,1,0,$R137-2),($M137+1)&amp;"$",OFFSET(AV139,1,0,$R137-2)))</f>
        <v>0</v>
      </c>
      <c r="AW139" s="439" t="n">
        <f aca="false" t="array" ref="AW139:AW139">IF($R137=2,
         IF(AND(ACOMPANHAMENTO="PLE",ISNUMBER($F137)),
                SUMIF((OFFSET(CÁLCULO!$BS$15:$CS$15,$F137,0,OFFSET(ORÇAMENTO!$D$15,CRONO!$F137,0))),CRONO!AW$12,OFFSET(CÁLCULO!$AR$15:$BR$15,$F137,0,OFFSET(ORÇAMENTO!$D$15,CRONO!$F137,0)))
                +IF(AND($F139&lt;&gt;"",$F139&lt;&gt;0),
                        SUMIF(CÁLCULO!$BS$15:$CS$205,CRONO!AW$12,CÁLCULO!$AR$15:$BR$205)/(ORÇAMENTO!$X$15-_xlfn.single(CÁLCULO.TotalAdmLocal))*CRONO!$F139,
                        0),
                 AW138*$S137),
          SUMIF(OFFSET($S139,1,0,$R137-2),($M137+1)&amp;"$",OFFSET(AW139,1,0,$R137-2)))</f>
        <v>0</v>
      </c>
      <c r="AX139" s="439" t="n">
        <f aca="false" t="array" ref="AX139:AX139">IF($R137=2,
         IF(AND(ACOMPANHAMENTO="PLE",ISNUMBER($F137)),
                SUMIF((OFFSET(CÁLCULO!$BS$15:$CS$15,$F137,0,OFFSET(ORÇAMENTO!$D$15,CRONO!$F137,0))),CRONO!AX$12,OFFSET(CÁLCULO!$AR$15:$BR$15,$F137,0,OFFSET(ORÇAMENTO!$D$15,CRONO!$F137,0)))
                +IF(AND($F139&lt;&gt;"",$F139&lt;&gt;0),
                        SUMIF(CÁLCULO!$BS$15:$CS$205,CRONO!AX$12,CÁLCULO!$AR$15:$BR$205)/(ORÇAMENTO!$X$15-_xlfn.single(CÁLCULO.TotalAdmLocal))*CRONO!$F139,
                        0),
                 AX138*$S137),
          SUMIF(OFFSET($S139,1,0,$R137-2),($M137+1)&amp;"$",OFFSET(AX139,1,0,$R137-2)))</f>
        <v>0</v>
      </c>
      <c r="AY139" s="439" t="n">
        <f aca="false" t="array" ref="AY139:AY139">IF($R137=2,
         IF(AND(ACOMPANHAMENTO="PLE",ISNUMBER($F137)),
                SUMIF((OFFSET(CÁLCULO!$BS$15:$CS$15,$F137,0,OFFSET(ORÇAMENTO!$D$15,CRONO!$F137,0))),CRONO!AY$12,OFFSET(CÁLCULO!$AR$15:$BR$15,$F137,0,OFFSET(ORÇAMENTO!$D$15,CRONO!$F137,0)))
                +IF(AND($F139&lt;&gt;"",$F139&lt;&gt;0),
                        SUMIF(CÁLCULO!$BS$15:$CS$205,CRONO!AY$12,CÁLCULO!$AR$15:$BR$205)/(ORÇAMENTO!$X$15-_xlfn.single(CÁLCULO.TotalAdmLocal))*CRONO!$F139,
                        0),
                 AY138*$S137),
          SUMIF(OFFSET($S139,1,0,$R137-2),($M137+1)&amp;"$",OFFSET(AY139,1,0,$R137-2)))</f>
        <v>0</v>
      </c>
      <c r="AZ139" s="439" t="n">
        <f aca="false" t="array" ref="AZ139:AZ139">IF($R137=2,
         IF(AND(ACOMPANHAMENTO="PLE",ISNUMBER($F137)),
                SUMIF((OFFSET(CÁLCULO!$BS$15:$CS$15,$F137,0,OFFSET(ORÇAMENTO!$D$15,CRONO!$F137,0))),CRONO!AZ$12,OFFSET(CÁLCULO!$AR$15:$BR$15,$F137,0,OFFSET(ORÇAMENTO!$D$15,CRONO!$F137,0)))
                +IF(AND($F139&lt;&gt;"",$F139&lt;&gt;0),
                        SUMIF(CÁLCULO!$BS$15:$CS$205,CRONO!AZ$12,CÁLCULO!$AR$15:$BR$205)/(ORÇAMENTO!$X$15-_xlfn.single(CÁLCULO.TotalAdmLocal))*CRONO!$F139,
                        0),
                 AZ138*$S137),
          SUMIF(OFFSET($S139,1,0,$R137-2),($M137+1)&amp;"$",OFFSET(AZ139,1,0,$R137-2)))</f>
        <v>0</v>
      </c>
      <c r="BA139" s="439" t="n">
        <f aca="false" t="array" ref="BA139:BA139">IF($R137=2,
         IF(AND(ACOMPANHAMENTO="PLE",ISNUMBER($F137)),
                SUMIF((OFFSET(CÁLCULO!$BS$15:$CS$15,$F137,0,OFFSET(ORÇAMENTO!$D$15,CRONO!$F137,0))),CRONO!BA$12,OFFSET(CÁLCULO!$AR$15:$BR$15,$F137,0,OFFSET(ORÇAMENTO!$D$15,CRONO!$F137,0)))
                +IF(AND($F139&lt;&gt;"",$F139&lt;&gt;0),
                        SUMIF(CÁLCULO!$BS$15:$CS$205,CRONO!BA$12,CÁLCULO!$AR$15:$BR$205)/(ORÇAMENTO!$X$15-_xlfn.single(CÁLCULO.TotalAdmLocal))*CRONO!$F139,
                        0),
                 BA138*$S137),
          SUMIF(OFFSET($S139,1,0,$R137-2),($M137+1)&amp;"$",OFFSET(BA139,1,0,$R137-2)))</f>
        <v>0</v>
      </c>
      <c r="BB139" s="439" t="n">
        <f aca="false" t="array" ref="BB139:BB139">IF($R137=2,
         IF(AND(ACOMPANHAMENTO="PLE",ISNUMBER($F137)),
                SUMIF((OFFSET(CÁLCULO!$BS$15:$CS$15,$F137,0,OFFSET(ORÇAMENTO!$D$15,CRONO!$F137,0))),CRONO!BB$12,OFFSET(CÁLCULO!$AR$15:$BR$15,$F137,0,OFFSET(ORÇAMENTO!$D$15,CRONO!$F137,0)))
                +IF(AND($F139&lt;&gt;"",$F139&lt;&gt;0),
                        SUMIF(CÁLCULO!$BS$15:$CS$205,CRONO!BB$12,CÁLCULO!$AR$15:$BR$205)/(ORÇAMENTO!$X$15-_xlfn.single(CÁLCULO.TotalAdmLocal))*CRONO!$F139,
                        0),
                 BB138*$S137),
          SUMIF(OFFSET($S139,1,0,$R137-2),($M137+1)&amp;"$",OFFSET(BB139,1,0,$R137-2)))</f>
        <v>0</v>
      </c>
      <c r="BC139" s="439" t="n">
        <f aca="false" t="array" ref="BC139:BC139">IF($R137=2,
         IF(AND(ACOMPANHAMENTO="PLE",ISNUMBER($F137)),
                SUMIF((OFFSET(CÁLCULO!$BS$15:$CS$15,$F137,0,OFFSET(ORÇAMENTO!$D$15,CRONO!$F137,0))),CRONO!BC$12,OFFSET(CÁLCULO!$AR$15:$BR$15,$F137,0,OFFSET(ORÇAMENTO!$D$15,CRONO!$F137,0)))
                +IF(AND($F139&lt;&gt;"",$F139&lt;&gt;0),
                        SUMIF(CÁLCULO!$BS$15:$CS$205,CRONO!BC$12,CÁLCULO!$AR$15:$BR$205)/(ORÇAMENTO!$X$15-_xlfn.single(CÁLCULO.TotalAdmLocal))*CRONO!$F139,
                        0),
                 BC138*$S137),
          SUMIF(OFFSET($S139,1,0,$R137-2),($M137+1)&amp;"$",OFFSET(BC139,1,0,$R137-2)))</f>
        <v>0</v>
      </c>
      <c r="BD139" s="439" t="n">
        <f aca="false" t="array" ref="BD139:BD139">IF($R137=2,
         IF(AND(ACOMPANHAMENTO="PLE",ISNUMBER($F137)),
                SUMIF((OFFSET(CÁLCULO!$BS$15:$CS$15,$F137,0,OFFSET(ORÇAMENTO!$D$15,CRONO!$F137,0))),CRONO!BD$12,OFFSET(CÁLCULO!$AR$15:$BR$15,$F137,0,OFFSET(ORÇAMENTO!$D$15,CRONO!$F137,0)))
                +IF(AND($F139&lt;&gt;"",$F139&lt;&gt;0),
                        SUMIF(CÁLCULO!$BS$15:$CS$205,CRONO!BD$12,CÁLCULO!$AR$15:$BR$205)/(ORÇAMENTO!$X$15-_xlfn.single(CÁLCULO.TotalAdmLocal))*CRONO!$F139,
                        0),
                 BD138*$S137),
          SUMIF(OFFSET($S139,1,0,$R137-2),($M137+1)&amp;"$",OFFSET(BD139,1,0,$R137-2)))</f>
        <v>0</v>
      </c>
      <c r="BE139" s="430"/>
    </row>
    <row r="140" customFormat="false" ht="12.75" hidden="false" customHeight="false" outlineLevel="0" collapsed="false">
      <c r="A140" s="382" t="str">
        <f aca="false">IF($M140&gt;1,_xlfn.CONCAT($I140," ",$J140),"")</f>
        <v>1.42. ENTRADA / ALIMENTAÇÃO</v>
      </c>
      <c r="B140" s="419" t="n">
        <f aca="true">OFFSET(B140,-3,0)+1</f>
        <v>43</v>
      </c>
      <c r="C140" s="419" t="n">
        <f aca="true">IF($R140&lt;&gt;2,0,IF($S140=0,1,IF(F141&gt;0,OFFSET(QCI!$M$13,SUBSTITUTE(F141,".",""),0),OFFSET(ORÇAMENTO!$AA$15,CRONO!$F140,0))/$S140))</f>
        <v>0.110981526562671</v>
      </c>
      <c r="D140" s="419" t="n">
        <f aca="true">IF($R140&lt;&gt;2,0,IF($S140=0,1,IF(F141&gt;0,OFFSET(QCI!$N$13,SUBSTITUTE(F141,".",""),0),OFFSET(ORÇAMENTO!$AB$15,CRONO!$F140,0))/$S140))</f>
        <v>0</v>
      </c>
      <c r="E140" s="422" t="n">
        <f aca="false" t="array" ref="E140:E140">IF(AND($R140=2,ACOMPANHAMENTO="BM"),ROUND(E141,4),E142/$S140)</f>
        <v>0.04</v>
      </c>
      <c r="F140" s="419" t="n">
        <f aca="true">IF(B140&lt;=ORÇAMENTO.MáximoListaCrono,MATCH(B140,ORÇAMENTO.ListaCrono,0),NA())</f>
        <v>133</v>
      </c>
      <c r="G140" s="419" t="str">
        <f aca="false">IF(AND($F141&lt;&gt;-1,$S140&gt;0),"F","")</f>
        <v>F</v>
      </c>
      <c r="H140" s="423" t="str">
        <f aca="false" t="array" ref="H140:H140">IF(OR(S140=0,S140=""),"Linha",IF(AND(OR(ACOMPANHAMENTO="PLE",$R140&lt;&gt;2),$F141=0),"Linha",ROUND(1-SUM(U140:BE140),4)))</f>
        <v>Linha</v>
      </c>
      <c r="I140" s="424" t="str">
        <f aca="true">IF($F141=0,OFFSET(ORÇAMENTO!O$15,$F140,0),IF($F141&lt;&gt;-1,OFFSET(QCI!$D$13,$F141,0),""))</f>
        <v>1.42.</v>
      </c>
      <c r="J140" s="425" t="str">
        <f aca="true">IF($F141=0,OFFSET(ORÇAMENTO!R$15,$F140,0),IF($F141&lt;&gt;-1,OFFSET(QCI!$G$13,$F141,0),""))</f>
        <v>ENTRADA / ALIMENTAÇÃO</v>
      </c>
      <c r="K140" s="425"/>
      <c r="L140" s="425"/>
      <c r="M140" s="426" t="n">
        <f aca="true">IF($F141=0,OFFSET(ORÇAMENTO!C$15,$F140,0),1)</f>
        <v>2</v>
      </c>
      <c r="N140" s="427" t="n">
        <f aca="true">IF($F141=-1,0,IF(N$13&lt;=$M140,IF(ISERROR(MATCH(N$13,OFFSET($M140,1,0,ROW($M$182)-ROW($M140)-1),0)),ROW($M$182)-ROW($M140)-1,MATCH(N$13,OFFSET($M140,1,0,ROW($M$182)-ROW($M140)-1),0)-1),0))</f>
        <v>41</v>
      </c>
      <c r="O140" s="427" t="n">
        <f aca="true">IF($F141=-1,0,IF(O$13&lt;=$M140,IF(ISERROR(MATCH(O$13,OFFSET($M140,1,0,ROW($M$182)-ROW($M140)-1),0)),ROW($M$182)-ROW($M140)-1,MATCH(O$13,OFFSET($M140,1,0,ROW($M$182)-ROW($M140)-1),0)-1),0))</f>
        <v>2</v>
      </c>
      <c r="P140" s="427" t="n">
        <f aca="true">IF($F141=-1,0,IF(P$13&lt;=$M140,IF(ISERROR(MATCH(P$13,OFFSET($M140,1,0,ROW($M$182)-ROW($M140)-1),0)),ROW($M$182)-ROW($M140)-1,MATCH(P$13,OFFSET($M140,1,0,ROW($M$182)-ROW($M140)-1),0)-1),0))</f>
        <v>0</v>
      </c>
      <c r="Q140" s="427" t="n">
        <f aca="true">IF($F141=-1,0,IF(Q$13&lt;=$M140,IF(ISERROR(MATCH(Q$13,OFFSET($M140,1,0,ROW($M$182)-ROW($M140)-1),0)),ROW($M$182)-ROW($M140)-1,MATCH(Q$13,OFFSET($M140,1,0,ROW($M$182)-ROW($M140)-1),0)-1),0))</f>
        <v>0</v>
      </c>
      <c r="R140" s="427" t="n">
        <f aca="true">MIN(OFFSET(M140,0,1,,M140))</f>
        <v>2</v>
      </c>
      <c r="S140" s="428" t="n">
        <f aca="true">IF($F141=0,OFFSET(ORÇAMENTO!X$15,$F140,0),IF($F141&lt;&gt;-1,OFFSET(QCI!$O$13,$F141,0),""))</f>
        <v>17152</v>
      </c>
      <c r="T140" s="429" t="s">
        <v>996</v>
      </c>
      <c r="U140" s="422" t="n">
        <f aca="false" t="array" ref="U140:U140">IF(AND($R140=2,ACOMPANHAMENTO="BM"),ROUND(U141,4),U142/$S140)</f>
        <v>0.04</v>
      </c>
      <c r="V140" s="422" t="n">
        <f aca="false" t="array" ref="V140:V140">IF(AND($R140=2,ACOMPANHAMENTO="BM"),ROUND(V141,4),V142/$S140)</f>
        <v>0.04</v>
      </c>
      <c r="W140" s="422" t="n">
        <f aca="false" t="array" ref="W140:W140">IF(AND($R140=2,ACOMPANHAMENTO="BM"),ROUND(W141,4),W142/$S140)</f>
        <v>0.04</v>
      </c>
      <c r="X140" s="422" t="n">
        <f aca="false" t="array" ref="X140:X140">IF(AND($R140=2,ACOMPANHAMENTO="BM"),ROUND(X141,4),X142/$S140)</f>
        <v>0.04</v>
      </c>
      <c r="Y140" s="422" t="n">
        <f aca="false" t="array" ref="Y140:Y140">IF(AND($R140=2,ACOMPANHAMENTO="BM"),ROUND(Y141,4),Y142/$S140)</f>
        <v>0.04</v>
      </c>
      <c r="Z140" s="422" t="n">
        <f aca="false" t="array" ref="Z140:Z140">IF(AND($R140=2,ACOMPANHAMENTO="BM"),ROUND(Z141,4),Z142/$S140)</f>
        <v>0.04</v>
      </c>
      <c r="AA140" s="422" t="n">
        <f aca="false" t="array" ref="AA140:AA140">IF(AND($R140=2,ACOMPANHAMENTO="BM"),ROUND(AA141,4),AA142/$S140)</f>
        <v>0.04</v>
      </c>
      <c r="AB140" s="422" t="n">
        <f aca="false" t="array" ref="AB140:AB140">IF(AND($R140=2,ACOMPANHAMENTO="BM"),ROUND(AB141,4),AB142/$S140)</f>
        <v>0.04</v>
      </c>
      <c r="AC140" s="422" t="n">
        <f aca="false" t="array" ref="AC140:AC140">IF(AND($R140=2,ACOMPANHAMENTO="BM"),ROUND(AC141,4),AC142/$S140)</f>
        <v>0.04</v>
      </c>
      <c r="AD140" s="422" t="n">
        <f aca="false" t="array" ref="AD140:AD140">IF(AND($R140=2,ACOMPANHAMENTO="BM"),ROUND(AD141,4),AD142/$S140)</f>
        <v>0.04</v>
      </c>
      <c r="AE140" s="422" t="n">
        <f aca="false" t="array" ref="AE140:AE140">IF(AND($R140=2,ACOMPANHAMENTO="BM"),ROUND(AE141,4),AE142/$S140)</f>
        <v>0.04</v>
      </c>
      <c r="AF140" s="422" t="n">
        <f aca="false" t="array" ref="AF140:AF140">IF(AND($R140=2,ACOMPANHAMENTO="BM"),ROUND(AF141,4),AF142/$S140)</f>
        <v>0.04</v>
      </c>
      <c r="AG140" s="422" t="n">
        <f aca="false" t="array" ref="AG140:AG140">IF(AND($R140=2,ACOMPANHAMENTO="BM"),ROUND(AG141,4),AG142/$S140)</f>
        <v>0.04</v>
      </c>
      <c r="AH140" s="422" t="n">
        <f aca="false" t="array" ref="AH140:AH140">IF(AND($R140=2,ACOMPANHAMENTO="BM"),ROUND(AH141,4),AH142/$S140)</f>
        <v>0.04</v>
      </c>
      <c r="AI140" s="422" t="n">
        <f aca="false" t="array" ref="AI140:AI140">IF(AND($R140=2,ACOMPANHAMENTO="BM"),ROUND(AI141,4),AI142/$S140)</f>
        <v>0.04</v>
      </c>
      <c r="AJ140" s="422" t="n">
        <f aca="false" t="array" ref="AJ140:AJ140">IF(AND($R140=2,ACOMPANHAMENTO="BM"),ROUND(AJ141,4),AJ142/$S140)</f>
        <v>0.04</v>
      </c>
      <c r="AK140" s="422" t="n">
        <f aca="false" t="array" ref="AK140:AK140">IF(AND($R140=2,ACOMPANHAMENTO="BM"),ROUND(AK141,4),AK142/$S140)</f>
        <v>0.04</v>
      </c>
      <c r="AL140" s="422" t="n">
        <f aca="false" t="array" ref="AL140:AL140">IF(AND($R140=2,ACOMPANHAMENTO="BM"),ROUND(AL141,4),AL142/$S140)</f>
        <v>0.04</v>
      </c>
      <c r="AM140" s="422" t="n">
        <f aca="false" t="array" ref="AM140:AM140">IF(AND($R140=2,ACOMPANHAMENTO="BM"),ROUND(AM141,4),AM142/$S140)</f>
        <v>0.04</v>
      </c>
      <c r="AN140" s="422" t="n">
        <f aca="false" t="array" ref="AN140:AN140">IF(AND($R140=2,ACOMPANHAMENTO="BM"),ROUND(AN141,4),AN142/$S140)</f>
        <v>0.04</v>
      </c>
      <c r="AO140" s="422" t="n">
        <f aca="false" t="array" ref="AO140:AO140">IF(AND($R140=2,ACOMPANHAMENTO="BM"),ROUND(AO141,4),AO142/$S140)</f>
        <v>0.04</v>
      </c>
      <c r="AP140" s="422" t="n">
        <f aca="false" t="array" ref="AP140:AP140">IF(AND($R140=2,ACOMPANHAMENTO="BM"),ROUND(AP141,4),AP142/$S140)</f>
        <v>0.04</v>
      </c>
      <c r="AQ140" s="422" t="n">
        <f aca="false" t="array" ref="AQ140:AQ140">IF(AND($R140=2,ACOMPANHAMENTO="BM"),ROUND(AQ141,4),AQ142/$S140)</f>
        <v>0.04</v>
      </c>
      <c r="AR140" s="422" t="n">
        <f aca="false" t="array" ref="AR140:AR140">IF(AND($R140=2,ACOMPANHAMENTO="BM"),ROUND(AR141,4),AR142/$S140)</f>
        <v>0.04</v>
      </c>
      <c r="AS140" s="422" t="n">
        <f aca="false" t="array" ref="AS140:AS140">IF(AND($R140=2,ACOMPANHAMENTO="BM"),ROUND(AS141,4),AS142/$S140)</f>
        <v>0.04</v>
      </c>
      <c r="AT140" s="422" t="n">
        <f aca="false" t="array" ref="AT140:AT140">IF(AND($R140=2,ACOMPANHAMENTO="BM"),ROUND(AT141,4),AT142/$S140)</f>
        <v>0</v>
      </c>
      <c r="AU140" s="422" t="n">
        <f aca="false" t="array" ref="AU140:AU140">IF(AND($R140=2,ACOMPANHAMENTO="BM"),ROUND(AU141,4),AU142/$S140)</f>
        <v>0</v>
      </c>
      <c r="AV140" s="422" t="n">
        <f aca="false" t="array" ref="AV140:AV140">IF(AND($R140=2,ACOMPANHAMENTO="BM"),ROUND(AV141,4),AV142/$S140)</f>
        <v>0</v>
      </c>
      <c r="AW140" s="422" t="n">
        <f aca="false" t="array" ref="AW140:AW140">IF(AND($R140=2,ACOMPANHAMENTO="BM"),ROUND(AW141,4),AW142/$S140)</f>
        <v>0</v>
      </c>
      <c r="AX140" s="422" t="n">
        <f aca="false" t="array" ref="AX140:AX140">IF(AND($R140=2,ACOMPANHAMENTO="BM"),ROUND(AX141,4),AX142/$S140)</f>
        <v>0</v>
      </c>
      <c r="AY140" s="422" t="n">
        <f aca="false" t="array" ref="AY140:AY140">IF(AND($R140=2,ACOMPANHAMENTO="BM"),ROUND(AY141,4),AY142/$S140)</f>
        <v>0</v>
      </c>
      <c r="AZ140" s="422" t="n">
        <f aca="false" t="array" ref="AZ140:AZ140">IF(AND($R140=2,ACOMPANHAMENTO="BM"),ROUND(AZ141,4),AZ142/$S140)</f>
        <v>0</v>
      </c>
      <c r="BA140" s="422" t="n">
        <f aca="false" t="array" ref="BA140:BA140">IF(AND($R140=2,ACOMPANHAMENTO="BM"),ROUND(BA141,4),BA142/$S140)</f>
        <v>0</v>
      </c>
      <c r="BB140" s="422" t="n">
        <f aca="false" t="array" ref="BB140:BB140">IF(AND($R140=2,ACOMPANHAMENTO="BM"),ROUND(BB141,4),BB142/$S140)</f>
        <v>0</v>
      </c>
      <c r="BC140" s="422" t="n">
        <f aca="false" t="array" ref="BC140:BC140">IF(AND($R140=2,ACOMPANHAMENTO="BM"),ROUND(BC141,4),BC142/$S140)</f>
        <v>0</v>
      </c>
      <c r="BD140" s="422" t="n">
        <f aca="false" t="array" ref="BD140:BD140">IF(AND($R140=2,ACOMPANHAMENTO="BM"),ROUND(BD141,4),BD142/$S140)</f>
        <v>0</v>
      </c>
      <c r="BE140" s="430"/>
    </row>
    <row r="141" customFormat="false" ht="12.75" hidden="true" customHeight="true" outlineLevel="0" collapsed="false">
      <c r="E141" s="431"/>
      <c r="F141" s="419" t="n">
        <f aca="true">IF(ISERROR(F140),IF(1+COUNTIF($M$13:OFFSET(M140,-1,0),1)&lt;=MAX(QCI!$D$13:$D$15),1+COUNTIF($M$13:OFFSET(M140,-1,0),1),-1),0)</f>
        <v>0</v>
      </c>
      <c r="G141" s="419" t="str">
        <f aca="true" t="array" ref="G141:G141">IF(ACOMPANHAMENTO="BM",OFFSET(G141,-1,0),"")</f>
        <v/>
      </c>
      <c r="H141" s="432" t="str">
        <f aca="false" t="array" ref="H141:H141">IF(OR(S140=0,S140=""),"vazia",IF(AND(OR(ACOMPANHAMENTO="PLE",$R140&lt;&gt;2),$F141=0),"calculada","--&gt;"))</f>
        <v>calculada</v>
      </c>
      <c r="I141" s="433"/>
      <c r="J141" s="434" t="str">
        <f aca="false">IF(AND(H140&lt;&gt;0,ISNUMBER(H140)),"PREENCHA ESTA LINHA --&gt;","")</f>
        <v/>
      </c>
      <c r="K141" s="434"/>
      <c r="L141" s="434"/>
      <c r="M141" s="435"/>
      <c r="N141" s="435"/>
      <c r="O141" s="435"/>
      <c r="P141" s="435"/>
      <c r="Q141" s="435"/>
      <c r="R141" s="435"/>
      <c r="S141" s="436"/>
      <c r="T141" s="437"/>
      <c r="U141" s="431"/>
      <c r="V141" s="431"/>
      <c r="W141" s="431"/>
      <c r="X141" s="431"/>
      <c r="Y141" s="431"/>
      <c r="Z141" s="431"/>
      <c r="AA141" s="431"/>
      <c r="AB141" s="431"/>
      <c r="AC141" s="431"/>
      <c r="AD141" s="431"/>
      <c r="AE141" s="431"/>
      <c r="AF141" s="431"/>
      <c r="AG141" s="431"/>
      <c r="AH141" s="431"/>
      <c r="AI141" s="431"/>
      <c r="AJ141" s="431"/>
      <c r="AK141" s="431"/>
      <c r="AL141" s="431"/>
      <c r="AM141" s="431"/>
      <c r="AN141" s="431"/>
      <c r="AO141" s="431"/>
      <c r="AP141" s="431"/>
      <c r="AQ141" s="431"/>
      <c r="AR141" s="431"/>
      <c r="AS141" s="431"/>
      <c r="AT141" s="431"/>
      <c r="AU141" s="431"/>
      <c r="AV141" s="431"/>
      <c r="AW141" s="431"/>
      <c r="AX141" s="431"/>
      <c r="AY141" s="431"/>
      <c r="AZ141" s="431"/>
      <c r="BA141" s="431"/>
      <c r="BB141" s="431"/>
      <c r="BC141" s="431"/>
      <c r="BD141" s="431"/>
      <c r="BE141" s="430"/>
    </row>
    <row r="142" customFormat="false" ht="12.75" hidden="true" customHeight="true" outlineLevel="0" collapsed="false">
      <c r="D142" s="438"/>
      <c r="E142" s="439" t="n">
        <f aca="false" t="array" ref="E142:E142">IF($R140=2,
         IF(AND(ACOMPANHAMENTO="PLE",ISNUMBER($F140)),
                SUMIF((OFFSET(CÁLCULO!$BS$15:$CS$15,$F140,0,OFFSET(ORÇAMENTO!$D$15,CRONO!$F140,0))),CRONO!E$12,OFFSET(CÁLCULO!$AR$15:$BR$15,$F140,0,OFFSET(ORÇAMENTO!$D$15,CRONO!$F140,0)))
                +IF(AND($F142&lt;&gt;"",$F142&lt;&gt;0),
                        SUMIF(CÁLCULO!$BS$15:$CS$205,CRONO!E$12,CÁLCULO!$AR$15:$BR$205)/(ORÇAMENTO!$X$15-_xlfn.single(CÁLCULO.TotalAdmLocal))*CRONO!$F142,
                        0),
                 E141*$S140),
          SUMIF(OFFSET($S142,1,0,$R140-2),($M140+1)&amp;"$",OFFSET(E142,1,0,$R140-2)))</f>
        <v>686.08</v>
      </c>
      <c r="F142" s="419" t="str">
        <f aca="true">IF(OR($R140&lt;&gt;2,AUTOEVENTO&lt;&gt;"manual",$F141&gt;0),"",
        IF(Import.TipoArredondamento="Tradicional",
              SUMIF(OFFSET(CÁLCULO!$M$15,CRONO!$F140,0,OFFSET(ORÇAMENTO!$D$15,CRONO!$F140,0)),1,OFFSET(ORÇAMENTO!$X$15,CRONO!$F140,0,OFFSET(ORÇAMENTO!$D$15,CRONO!$F140,0))),
              0))</f>
        <v/>
      </c>
      <c r="H142" s="440"/>
      <c r="S142" s="441" t="str">
        <f aca="false">M140&amp;"$"</f>
        <v>2$</v>
      </c>
      <c r="T142" s="442"/>
      <c r="U142" s="439" t="n">
        <f aca="false" t="array" ref="U142:U142">IF($R140=2,
         IF(AND(ACOMPANHAMENTO="PLE",ISNUMBER($F140)),
                SUMIF((OFFSET(CÁLCULO!$BS$15:$CS$15,$F140,0,OFFSET(ORÇAMENTO!$D$15,CRONO!$F140,0))),CRONO!U$12,OFFSET(CÁLCULO!$AR$15:$BR$15,$F140,0,OFFSET(ORÇAMENTO!$D$15,CRONO!$F140,0)))
                +IF(AND($F142&lt;&gt;"",$F142&lt;&gt;0),
                        SUMIF(CÁLCULO!$BS$15:$CS$205,CRONO!U$12,CÁLCULO!$AR$15:$BR$205)/(ORÇAMENTO!$X$15-_xlfn.single(CÁLCULO.TotalAdmLocal))*CRONO!$F142,
                        0),
                 U141*$S140),
          SUMIF(OFFSET($S142,1,0,$R140-2),($M140+1)&amp;"$",OFFSET(U142,1,0,$R140-2)))</f>
        <v>686.08</v>
      </c>
      <c r="V142" s="439" t="n">
        <f aca="false" t="array" ref="V142:V142">IF($R140=2,
         IF(AND(ACOMPANHAMENTO="PLE",ISNUMBER($F140)),
                SUMIF((OFFSET(CÁLCULO!$BS$15:$CS$15,$F140,0,OFFSET(ORÇAMENTO!$D$15,CRONO!$F140,0))),CRONO!V$12,OFFSET(CÁLCULO!$AR$15:$BR$15,$F140,0,OFFSET(ORÇAMENTO!$D$15,CRONO!$F140,0)))
                +IF(AND($F142&lt;&gt;"",$F142&lt;&gt;0),
                        SUMIF(CÁLCULO!$BS$15:$CS$205,CRONO!V$12,CÁLCULO!$AR$15:$BR$205)/(ORÇAMENTO!$X$15-_xlfn.single(CÁLCULO.TotalAdmLocal))*CRONO!$F142,
                        0),
                 V141*$S140),
          SUMIF(OFFSET($S142,1,0,$R140-2),($M140+1)&amp;"$",OFFSET(V142,1,0,$R140-2)))</f>
        <v>686.08</v>
      </c>
      <c r="W142" s="439" t="n">
        <f aca="false" t="array" ref="W142:W142">IF($R140=2,
         IF(AND(ACOMPANHAMENTO="PLE",ISNUMBER($F140)),
                SUMIF((OFFSET(CÁLCULO!$BS$15:$CS$15,$F140,0,OFFSET(ORÇAMENTO!$D$15,CRONO!$F140,0))),CRONO!W$12,OFFSET(CÁLCULO!$AR$15:$BR$15,$F140,0,OFFSET(ORÇAMENTO!$D$15,CRONO!$F140,0)))
                +IF(AND($F142&lt;&gt;"",$F142&lt;&gt;0),
                        SUMIF(CÁLCULO!$BS$15:$CS$205,CRONO!W$12,CÁLCULO!$AR$15:$BR$205)/(ORÇAMENTO!$X$15-_xlfn.single(CÁLCULO.TotalAdmLocal))*CRONO!$F142,
                        0),
                 W141*$S140),
          SUMIF(OFFSET($S142,1,0,$R140-2),($M140+1)&amp;"$",OFFSET(W142,1,0,$R140-2)))</f>
        <v>686.08</v>
      </c>
      <c r="X142" s="439" t="n">
        <f aca="false" t="array" ref="X142:X142">IF($R140=2,
         IF(AND(ACOMPANHAMENTO="PLE",ISNUMBER($F140)),
                SUMIF((OFFSET(CÁLCULO!$BS$15:$CS$15,$F140,0,OFFSET(ORÇAMENTO!$D$15,CRONO!$F140,0))),CRONO!X$12,OFFSET(CÁLCULO!$AR$15:$BR$15,$F140,0,OFFSET(ORÇAMENTO!$D$15,CRONO!$F140,0)))
                +IF(AND($F142&lt;&gt;"",$F142&lt;&gt;0),
                        SUMIF(CÁLCULO!$BS$15:$CS$205,CRONO!X$12,CÁLCULO!$AR$15:$BR$205)/(ORÇAMENTO!$X$15-_xlfn.single(CÁLCULO.TotalAdmLocal))*CRONO!$F142,
                        0),
                 X141*$S140),
          SUMIF(OFFSET($S142,1,0,$R140-2),($M140+1)&amp;"$",OFFSET(X142,1,0,$R140-2)))</f>
        <v>686.08</v>
      </c>
      <c r="Y142" s="439" t="n">
        <f aca="false" t="array" ref="Y142:Y142">IF($R140=2,
         IF(AND(ACOMPANHAMENTO="PLE",ISNUMBER($F140)),
                SUMIF((OFFSET(CÁLCULO!$BS$15:$CS$15,$F140,0,OFFSET(ORÇAMENTO!$D$15,CRONO!$F140,0))),CRONO!Y$12,OFFSET(CÁLCULO!$AR$15:$BR$15,$F140,0,OFFSET(ORÇAMENTO!$D$15,CRONO!$F140,0)))
                +IF(AND($F142&lt;&gt;"",$F142&lt;&gt;0),
                        SUMIF(CÁLCULO!$BS$15:$CS$205,CRONO!Y$12,CÁLCULO!$AR$15:$BR$205)/(ORÇAMENTO!$X$15-_xlfn.single(CÁLCULO.TotalAdmLocal))*CRONO!$F142,
                        0),
                 Y141*$S140),
          SUMIF(OFFSET($S142,1,0,$R140-2),($M140+1)&amp;"$",OFFSET(Y142,1,0,$R140-2)))</f>
        <v>686.08</v>
      </c>
      <c r="Z142" s="439" t="n">
        <f aca="false" t="array" ref="Z142:Z142">IF($R140=2,
         IF(AND(ACOMPANHAMENTO="PLE",ISNUMBER($F140)),
                SUMIF((OFFSET(CÁLCULO!$BS$15:$CS$15,$F140,0,OFFSET(ORÇAMENTO!$D$15,CRONO!$F140,0))),CRONO!Z$12,OFFSET(CÁLCULO!$AR$15:$BR$15,$F140,0,OFFSET(ORÇAMENTO!$D$15,CRONO!$F140,0)))
                +IF(AND($F142&lt;&gt;"",$F142&lt;&gt;0),
                        SUMIF(CÁLCULO!$BS$15:$CS$205,CRONO!Z$12,CÁLCULO!$AR$15:$BR$205)/(ORÇAMENTO!$X$15-_xlfn.single(CÁLCULO.TotalAdmLocal))*CRONO!$F142,
                        0),
                 Z141*$S140),
          SUMIF(OFFSET($S142,1,0,$R140-2),($M140+1)&amp;"$",OFFSET(Z142,1,0,$R140-2)))</f>
        <v>686.08</v>
      </c>
      <c r="AA142" s="439" t="n">
        <f aca="false" t="array" ref="AA142:AA142">IF($R140=2,
         IF(AND(ACOMPANHAMENTO="PLE",ISNUMBER($F140)),
                SUMIF((OFFSET(CÁLCULO!$BS$15:$CS$15,$F140,0,OFFSET(ORÇAMENTO!$D$15,CRONO!$F140,0))),CRONO!AA$12,OFFSET(CÁLCULO!$AR$15:$BR$15,$F140,0,OFFSET(ORÇAMENTO!$D$15,CRONO!$F140,0)))
                +IF(AND($F142&lt;&gt;"",$F142&lt;&gt;0),
                        SUMIF(CÁLCULO!$BS$15:$CS$205,CRONO!AA$12,CÁLCULO!$AR$15:$BR$205)/(ORÇAMENTO!$X$15-_xlfn.single(CÁLCULO.TotalAdmLocal))*CRONO!$F142,
                        0),
                 AA141*$S140),
          SUMIF(OFFSET($S142,1,0,$R140-2),($M140+1)&amp;"$",OFFSET(AA142,1,0,$R140-2)))</f>
        <v>686.08</v>
      </c>
      <c r="AB142" s="439" t="n">
        <f aca="false" t="array" ref="AB142:AB142">IF($R140=2,
         IF(AND(ACOMPANHAMENTO="PLE",ISNUMBER($F140)),
                SUMIF((OFFSET(CÁLCULO!$BS$15:$CS$15,$F140,0,OFFSET(ORÇAMENTO!$D$15,CRONO!$F140,0))),CRONO!AB$12,OFFSET(CÁLCULO!$AR$15:$BR$15,$F140,0,OFFSET(ORÇAMENTO!$D$15,CRONO!$F140,0)))
                +IF(AND($F142&lt;&gt;"",$F142&lt;&gt;0),
                        SUMIF(CÁLCULO!$BS$15:$CS$205,CRONO!AB$12,CÁLCULO!$AR$15:$BR$205)/(ORÇAMENTO!$X$15-_xlfn.single(CÁLCULO.TotalAdmLocal))*CRONO!$F142,
                        0),
                 AB141*$S140),
          SUMIF(OFFSET($S142,1,0,$R140-2),($M140+1)&amp;"$",OFFSET(AB142,1,0,$R140-2)))</f>
        <v>686.08</v>
      </c>
      <c r="AC142" s="439" t="n">
        <f aca="false" t="array" ref="AC142:AC142">IF($R140=2,
         IF(AND(ACOMPANHAMENTO="PLE",ISNUMBER($F140)),
                SUMIF((OFFSET(CÁLCULO!$BS$15:$CS$15,$F140,0,OFFSET(ORÇAMENTO!$D$15,CRONO!$F140,0))),CRONO!AC$12,OFFSET(CÁLCULO!$AR$15:$BR$15,$F140,0,OFFSET(ORÇAMENTO!$D$15,CRONO!$F140,0)))
                +IF(AND($F142&lt;&gt;"",$F142&lt;&gt;0),
                        SUMIF(CÁLCULO!$BS$15:$CS$205,CRONO!AC$12,CÁLCULO!$AR$15:$BR$205)/(ORÇAMENTO!$X$15-_xlfn.single(CÁLCULO.TotalAdmLocal))*CRONO!$F142,
                        0),
                 AC141*$S140),
          SUMIF(OFFSET($S142,1,0,$R140-2),($M140+1)&amp;"$",OFFSET(AC142,1,0,$R140-2)))</f>
        <v>686.08</v>
      </c>
      <c r="AD142" s="439" t="n">
        <f aca="false" t="array" ref="AD142:AD142">IF($R140=2,
         IF(AND(ACOMPANHAMENTO="PLE",ISNUMBER($F140)),
                SUMIF((OFFSET(CÁLCULO!$BS$15:$CS$15,$F140,0,OFFSET(ORÇAMENTO!$D$15,CRONO!$F140,0))),CRONO!AD$12,OFFSET(CÁLCULO!$AR$15:$BR$15,$F140,0,OFFSET(ORÇAMENTO!$D$15,CRONO!$F140,0)))
                +IF(AND($F142&lt;&gt;"",$F142&lt;&gt;0),
                        SUMIF(CÁLCULO!$BS$15:$CS$205,CRONO!AD$12,CÁLCULO!$AR$15:$BR$205)/(ORÇAMENTO!$X$15-_xlfn.single(CÁLCULO.TotalAdmLocal))*CRONO!$F142,
                        0),
                 AD141*$S140),
          SUMIF(OFFSET($S142,1,0,$R140-2),($M140+1)&amp;"$",OFFSET(AD142,1,0,$R140-2)))</f>
        <v>686.08</v>
      </c>
      <c r="AE142" s="439" t="n">
        <f aca="false" t="array" ref="AE142:AE142">IF($R140=2,
         IF(AND(ACOMPANHAMENTO="PLE",ISNUMBER($F140)),
                SUMIF((OFFSET(CÁLCULO!$BS$15:$CS$15,$F140,0,OFFSET(ORÇAMENTO!$D$15,CRONO!$F140,0))),CRONO!AE$12,OFFSET(CÁLCULO!$AR$15:$BR$15,$F140,0,OFFSET(ORÇAMENTO!$D$15,CRONO!$F140,0)))
                +IF(AND($F142&lt;&gt;"",$F142&lt;&gt;0),
                        SUMIF(CÁLCULO!$BS$15:$CS$205,CRONO!AE$12,CÁLCULO!$AR$15:$BR$205)/(ORÇAMENTO!$X$15-_xlfn.single(CÁLCULO.TotalAdmLocal))*CRONO!$F142,
                        0),
                 AE141*$S140),
          SUMIF(OFFSET($S142,1,0,$R140-2),($M140+1)&amp;"$",OFFSET(AE142,1,0,$R140-2)))</f>
        <v>686.08</v>
      </c>
      <c r="AF142" s="439" t="n">
        <f aca="false" t="array" ref="AF142:AF142">IF($R140=2,
         IF(AND(ACOMPANHAMENTO="PLE",ISNUMBER($F140)),
                SUMIF((OFFSET(CÁLCULO!$BS$15:$CS$15,$F140,0,OFFSET(ORÇAMENTO!$D$15,CRONO!$F140,0))),CRONO!AF$12,OFFSET(CÁLCULO!$AR$15:$BR$15,$F140,0,OFFSET(ORÇAMENTO!$D$15,CRONO!$F140,0)))
                +IF(AND($F142&lt;&gt;"",$F142&lt;&gt;0),
                        SUMIF(CÁLCULO!$BS$15:$CS$205,CRONO!AF$12,CÁLCULO!$AR$15:$BR$205)/(ORÇAMENTO!$X$15-_xlfn.single(CÁLCULO.TotalAdmLocal))*CRONO!$F142,
                        0),
                 AF141*$S140),
          SUMIF(OFFSET($S142,1,0,$R140-2),($M140+1)&amp;"$",OFFSET(AF142,1,0,$R140-2)))</f>
        <v>686.08</v>
      </c>
      <c r="AG142" s="439" t="n">
        <f aca="false" t="array" ref="AG142:AG142">IF($R140=2,
         IF(AND(ACOMPANHAMENTO="PLE",ISNUMBER($F140)),
                SUMIF((OFFSET(CÁLCULO!$BS$15:$CS$15,$F140,0,OFFSET(ORÇAMENTO!$D$15,CRONO!$F140,0))),CRONO!AG$12,OFFSET(CÁLCULO!$AR$15:$BR$15,$F140,0,OFFSET(ORÇAMENTO!$D$15,CRONO!$F140,0)))
                +IF(AND($F142&lt;&gt;"",$F142&lt;&gt;0),
                        SUMIF(CÁLCULO!$BS$15:$CS$205,CRONO!AG$12,CÁLCULO!$AR$15:$BR$205)/(ORÇAMENTO!$X$15-_xlfn.single(CÁLCULO.TotalAdmLocal))*CRONO!$F142,
                        0),
                 AG141*$S140),
          SUMIF(OFFSET($S142,1,0,$R140-2),($M140+1)&amp;"$",OFFSET(AG142,1,0,$R140-2)))</f>
        <v>686.08</v>
      </c>
      <c r="AH142" s="439" t="n">
        <f aca="false" t="array" ref="AH142:AH142">IF($R140=2,
         IF(AND(ACOMPANHAMENTO="PLE",ISNUMBER($F140)),
                SUMIF((OFFSET(CÁLCULO!$BS$15:$CS$15,$F140,0,OFFSET(ORÇAMENTO!$D$15,CRONO!$F140,0))),CRONO!AH$12,OFFSET(CÁLCULO!$AR$15:$BR$15,$F140,0,OFFSET(ORÇAMENTO!$D$15,CRONO!$F140,0)))
                +IF(AND($F142&lt;&gt;"",$F142&lt;&gt;0),
                        SUMIF(CÁLCULO!$BS$15:$CS$205,CRONO!AH$12,CÁLCULO!$AR$15:$BR$205)/(ORÇAMENTO!$X$15-_xlfn.single(CÁLCULO.TotalAdmLocal))*CRONO!$F142,
                        0),
                 AH141*$S140),
          SUMIF(OFFSET($S142,1,0,$R140-2),($M140+1)&amp;"$",OFFSET(AH142,1,0,$R140-2)))</f>
        <v>686.08</v>
      </c>
      <c r="AI142" s="439" t="n">
        <f aca="false" t="array" ref="AI142:AI142">IF($R140=2,
         IF(AND(ACOMPANHAMENTO="PLE",ISNUMBER($F140)),
                SUMIF((OFFSET(CÁLCULO!$BS$15:$CS$15,$F140,0,OFFSET(ORÇAMENTO!$D$15,CRONO!$F140,0))),CRONO!AI$12,OFFSET(CÁLCULO!$AR$15:$BR$15,$F140,0,OFFSET(ORÇAMENTO!$D$15,CRONO!$F140,0)))
                +IF(AND($F142&lt;&gt;"",$F142&lt;&gt;0),
                        SUMIF(CÁLCULO!$BS$15:$CS$205,CRONO!AI$12,CÁLCULO!$AR$15:$BR$205)/(ORÇAMENTO!$X$15-_xlfn.single(CÁLCULO.TotalAdmLocal))*CRONO!$F142,
                        0),
                 AI141*$S140),
          SUMIF(OFFSET($S142,1,0,$R140-2),($M140+1)&amp;"$",OFFSET(AI142,1,0,$R140-2)))</f>
        <v>686.08</v>
      </c>
      <c r="AJ142" s="439" t="n">
        <f aca="false" t="array" ref="AJ142:AJ142">IF($R140=2,
         IF(AND(ACOMPANHAMENTO="PLE",ISNUMBER($F140)),
                SUMIF((OFFSET(CÁLCULO!$BS$15:$CS$15,$F140,0,OFFSET(ORÇAMENTO!$D$15,CRONO!$F140,0))),CRONO!AJ$12,OFFSET(CÁLCULO!$AR$15:$BR$15,$F140,0,OFFSET(ORÇAMENTO!$D$15,CRONO!$F140,0)))
                +IF(AND($F142&lt;&gt;"",$F142&lt;&gt;0),
                        SUMIF(CÁLCULO!$BS$15:$CS$205,CRONO!AJ$12,CÁLCULO!$AR$15:$BR$205)/(ORÇAMENTO!$X$15-_xlfn.single(CÁLCULO.TotalAdmLocal))*CRONO!$F142,
                        0),
                 AJ141*$S140),
          SUMIF(OFFSET($S142,1,0,$R140-2),($M140+1)&amp;"$",OFFSET(AJ142,1,0,$R140-2)))</f>
        <v>686.08</v>
      </c>
      <c r="AK142" s="439" t="n">
        <f aca="false" t="array" ref="AK142:AK142">IF($R140=2,
         IF(AND(ACOMPANHAMENTO="PLE",ISNUMBER($F140)),
                SUMIF((OFFSET(CÁLCULO!$BS$15:$CS$15,$F140,0,OFFSET(ORÇAMENTO!$D$15,CRONO!$F140,0))),CRONO!AK$12,OFFSET(CÁLCULO!$AR$15:$BR$15,$F140,0,OFFSET(ORÇAMENTO!$D$15,CRONO!$F140,0)))
                +IF(AND($F142&lt;&gt;"",$F142&lt;&gt;0),
                        SUMIF(CÁLCULO!$BS$15:$CS$205,CRONO!AK$12,CÁLCULO!$AR$15:$BR$205)/(ORÇAMENTO!$X$15-_xlfn.single(CÁLCULO.TotalAdmLocal))*CRONO!$F142,
                        0),
                 AK141*$S140),
          SUMIF(OFFSET($S142,1,0,$R140-2),($M140+1)&amp;"$",OFFSET(AK142,1,0,$R140-2)))</f>
        <v>686.08</v>
      </c>
      <c r="AL142" s="439" t="n">
        <f aca="false" t="array" ref="AL142:AL142">IF($R140=2,
         IF(AND(ACOMPANHAMENTO="PLE",ISNUMBER($F140)),
                SUMIF((OFFSET(CÁLCULO!$BS$15:$CS$15,$F140,0,OFFSET(ORÇAMENTO!$D$15,CRONO!$F140,0))),CRONO!AL$12,OFFSET(CÁLCULO!$AR$15:$BR$15,$F140,0,OFFSET(ORÇAMENTO!$D$15,CRONO!$F140,0)))
                +IF(AND($F142&lt;&gt;"",$F142&lt;&gt;0),
                        SUMIF(CÁLCULO!$BS$15:$CS$205,CRONO!AL$12,CÁLCULO!$AR$15:$BR$205)/(ORÇAMENTO!$X$15-_xlfn.single(CÁLCULO.TotalAdmLocal))*CRONO!$F142,
                        0),
                 AL141*$S140),
          SUMIF(OFFSET($S142,1,0,$R140-2),($M140+1)&amp;"$",OFFSET(AL142,1,0,$R140-2)))</f>
        <v>686.08</v>
      </c>
      <c r="AM142" s="439" t="n">
        <f aca="false" t="array" ref="AM142:AM142">IF($R140=2,
         IF(AND(ACOMPANHAMENTO="PLE",ISNUMBER($F140)),
                SUMIF((OFFSET(CÁLCULO!$BS$15:$CS$15,$F140,0,OFFSET(ORÇAMENTO!$D$15,CRONO!$F140,0))),CRONO!AM$12,OFFSET(CÁLCULO!$AR$15:$BR$15,$F140,0,OFFSET(ORÇAMENTO!$D$15,CRONO!$F140,0)))
                +IF(AND($F142&lt;&gt;"",$F142&lt;&gt;0),
                        SUMIF(CÁLCULO!$BS$15:$CS$205,CRONO!AM$12,CÁLCULO!$AR$15:$BR$205)/(ORÇAMENTO!$X$15-_xlfn.single(CÁLCULO.TotalAdmLocal))*CRONO!$F142,
                        0),
                 AM141*$S140),
          SUMIF(OFFSET($S142,1,0,$R140-2),($M140+1)&amp;"$",OFFSET(AM142,1,0,$R140-2)))</f>
        <v>686.08</v>
      </c>
      <c r="AN142" s="439" t="n">
        <f aca="false" t="array" ref="AN142:AN142">IF($R140=2,
         IF(AND(ACOMPANHAMENTO="PLE",ISNUMBER($F140)),
                SUMIF((OFFSET(CÁLCULO!$BS$15:$CS$15,$F140,0,OFFSET(ORÇAMENTO!$D$15,CRONO!$F140,0))),CRONO!AN$12,OFFSET(CÁLCULO!$AR$15:$BR$15,$F140,0,OFFSET(ORÇAMENTO!$D$15,CRONO!$F140,0)))
                +IF(AND($F142&lt;&gt;"",$F142&lt;&gt;0),
                        SUMIF(CÁLCULO!$BS$15:$CS$205,CRONO!AN$12,CÁLCULO!$AR$15:$BR$205)/(ORÇAMENTO!$X$15-_xlfn.single(CÁLCULO.TotalAdmLocal))*CRONO!$F142,
                        0),
                 AN141*$S140),
          SUMIF(OFFSET($S142,1,0,$R140-2),($M140+1)&amp;"$",OFFSET(AN142,1,0,$R140-2)))</f>
        <v>686.08</v>
      </c>
      <c r="AO142" s="439" t="n">
        <f aca="false" t="array" ref="AO142:AO142">IF($R140=2,
         IF(AND(ACOMPANHAMENTO="PLE",ISNUMBER($F140)),
                SUMIF((OFFSET(CÁLCULO!$BS$15:$CS$15,$F140,0,OFFSET(ORÇAMENTO!$D$15,CRONO!$F140,0))),CRONO!AO$12,OFFSET(CÁLCULO!$AR$15:$BR$15,$F140,0,OFFSET(ORÇAMENTO!$D$15,CRONO!$F140,0)))
                +IF(AND($F142&lt;&gt;"",$F142&lt;&gt;0),
                        SUMIF(CÁLCULO!$BS$15:$CS$205,CRONO!AO$12,CÁLCULO!$AR$15:$BR$205)/(ORÇAMENTO!$X$15-_xlfn.single(CÁLCULO.TotalAdmLocal))*CRONO!$F142,
                        0),
                 AO141*$S140),
          SUMIF(OFFSET($S142,1,0,$R140-2),($M140+1)&amp;"$",OFFSET(AO142,1,0,$R140-2)))</f>
        <v>686.08</v>
      </c>
      <c r="AP142" s="439" t="n">
        <f aca="false" t="array" ref="AP142:AP142">IF($R140=2,
         IF(AND(ACOMPANHAMENTO="PLE",ISNUMBER($F140)),
                SUMIF((OFFSET(CÁLCULO!$BS$15:$CS$15,$F140,0,OFFSET(ORÇAMENTO!$D$15,CRONO!$F140,0))),CRONO!AP$12,OFFSET(CÁLCULO!$AR$15:$BR$15,$F140,0,OFFSET(ORÇAMENTO!$D$15,CRONO!$F140,0)))
                +IF(AND($F142&lt;&gt;"",$F142&lt;&gt;0),
                        SUMIF(CÁLCULO!$BS$15:$CS$205,CRONO!AP$12,CÁLCULO!$AR$15:$BR$205)/(ORÇAMENTO!$X$15-_xlfn.single(CÁLCULO.TotalAdmLocal))*CRONO!$F142,
                        0),
                 AP141*$S140),
          SUMIF(OFFSET($S142,1,0,$R140-2),($M140+1)&amp;"$",OFFSET(AP142,1,0,$R140-2)))</f>
        <v>686.08</v>
      </c>
      <c r="AQ142" s="439" t="n">
        <f aca="false" t="array" ref="AQ142:AQ142">IF($R140=2,
         IF(AND(ACOMPANHAMENTO="PLE",ISNUMBER($F140)),
                SUMIF((OFFSET(CÁLCULO!$BS$15:$CS$15,$F140,0,OFFSET(ORÇAMENTO!$D$15,CRONO!$F140,0))),CRONO!AQ$12,OFFSET(CÁLCULO!$AR$15:$BR$15,$F140,0,OFFSET(ORÇAMENTO!$D$15,CRONO!$F140,0)))
                +IF(AND($F142&lt;&gt;"",$F142&lt;&gt;0),
                        SUMIF(CÁLCULO!$BS$15:$CS$205,CRONO!AQ$12,CÁLCULO!$AR$15:$BR$205)/(ORÇAMENTO!$X$15-_xlfn.single(CÁLCULO.TotalAdmLocal))*CRONO!$F142,
                        0),
                 AQ141*$S140),
          SUMIF(OFFSET($S142,1,0,$R140-2),($M140+1)&amp;"$",OFFSET(AQ142,1,0,$R140-2)))</f>
        <v>686.08</v>
      </c>
      <c r="AR142" s="439" t="n">
        <f aca="false" t="array" ref="AR142:AR142">IF($R140=2,
         IF(AND(ACOMPANHAMENTO="PLE",ISNUMBER($F140)),
                SUMIF((OFFSET(CÁLCULO!$BS$15:$CS$15,$F140,0,OFFSET(ORÇAMENTO!$D$15,CRONO!$F140,0))),CRONO!AR$12,OFFSET(CÁLCULO!$AR$15:$BR$15,$F140,0,OFFSET(ORÇAMENTO!$D$15,CRONO!$F140,0)))
                +IF(AND($F142&lt;&gt;"",$F142&lt;&gt;0),
                        SUMIF(CÁLCULO!$BS$15:$CS$205,CRONO!AR$12,CÁLCULO!$AR$15:$BR$205)/(ORÇAMENTO!$X$15-_xlfn.single(CÁLCULO.TotalAdmLocal))*CRONO!$F142,
                        0),
                 AR141*$S140),
          SUMIF(OFFSET($S142,1,0,$R140-2),($M140+1)&amp;"$",OFFSET(AR142,1,0,$R140-2)))</f>
        <v>686.08</v>
      </c>
      <c r="AS142" s="439" t="n">
        <f aca="false" t="array" ref="AS142:AS142">IF($R140=2,
         IF(AND(ACOMPANHAMENTO="PLE",ISNUMBER($F140)),
                SUMIF((OFFSET(CÁLCULO!$BS$15:$CS$15,$F140,0,OFFSET(ORÇAMENTO!$D$15,CRONO!$F140,0))),CRONO!AS$12,OFFSET(CÁLCULO!$AR$15:$BR$15,$F140,0,OFFSET(ORÇAMENTO!$D$15,CRONO!$F140,0)))
                +IF(AND($F142&lt;&gt;"",$F142&lt;&gt;0),
                        SUMIF(CÁLCULO!$BS$15:$CS$205,CRONO!AS$12,CÁLCULO!$AR$15:$BR$205)/(ORÇAMENTO!$X$15-_xlfn.single(CÁLCULO.TotalAdmLocal))*CRONO!$F142,
                        0),
                 AS141*$S140),
          SUMIF(OFFSET($S142,1,0,$R140-2),($M140+1)&amp;"$",OFFSET(AS142,1,0,$R140-2)))</f>
        <v>686.08</v>
      </c>
      <c r="AT142" s="439" t="n">
        <f aca="false" t="array" ref="AT142:AT142">IF($R140=2,
         IF(AND(ACOMPANHAMENTO="PLE",ISNUMBER($F140)),
                SUMIF((OFFSET(CÁLCULO!$BS$15:$CS$15,$F140,0,OFFSET(ORÇAMENTO!$D$15,CRONO!$F140,0))),CRONO!AT$12,OFFSET(CÁLCULO!$AR$15:$BR$15,$F140,0,OFFSET(ORÇAMENTO!$D$15,CRONO!$F140,0)))
                +IF(AND($F142&lt;&gt;"",$F142&lt;&gt;0),
                        SUMIF(CÁLCULO!$BS$15:$CS$205,CRONO!AT$12,CÁLCULO!$AR$15:$BR$205)/(ORÇAMENTO!$X$15-_xlfn.single(CÁLCULO.TotalAdmLocal))*CRONO!$F142,
                        0),
                 AT141*$S140),
          SUMIF(OFFSET($S142,1,0,$R140-2),($M140+1)&amp;"$",OFFSET(AT142,1,0,$R140-2)))</f>
        <v>0</v>
      </c>
      <c r="AU142" s="439" t="n">
        <f aca="false" t="array" ref="AU142:AU142">IF($R140=2,
         IF(AND(ACOMPANHAMENTO="PLE",ISNUMBER($F140)),
                SUMIF((OFFSET(CÁLCULO!$BS$15:$CS$15,$F140,0,OFFSET(ORÇAMENTO!$D$15,CRONO!$F140,0))),CRONO!AU$12,OFFSET(CÁLCULO!$AR$15:$BR$15,$F140,0,OFFSET(ORÇAMENTO!$D$15,CRONO!$F140,0)))
                +IF(AND($F142&lt;&gt;"",$F142&lt;&gt;0),
                        SUMIF(CÁLCULO!$BS$15:$CS$205,CRONO!AU$12,CÁLCULO!$AR$15:$BR$205)/(ORÇAMENTO!$X$15-_xlfn.single(CÁLCULO.TotalAdmLocal))*CRONO!$F142,
                        0),
                 AU141*$S140),
          SUMIF(OFFSET($S142,1,0,$R140-2),($M140+1)&amp;"$",OFFSET(AU142,1,0,$R140-2)))</f>
        <v>0</v>
      </c>
      <c r="AV142" s="439" t="n">
        <f aca="false" t="array" ref="AV142:AV142">IF($R140=2,
         IF(AND(ACOMPANHAMENTO="PLE",ISNUMBER($F140)),
                SUMIF((OFFSET(CÁLCULO!$BS$15:$CS$15,$F140,0,OFFSET(ORÇAMENTO!$D$15,CRONO!$F140,0))),CRONO!AV$12,OFFSET(CÁLCULO!$AR$15:$BR$15,$F140,0,OFFSET(ORÇAMENTO!$D$15,CRONO!$F140,0)))
                +IF(AND($F142&lt;&gt;"",$F142&lt;&gt;0),
                        SUMIF(CÁLCULO!$BS$15:$CS$205,CRONO!AV$12,CÁLCULO!$AR$15:$BR$205)/(ORÇAMENTO!$X$15-_xlfn.single(CÁLCULO.TotalAdmLocal))*CRONO!$F142,
                        0),
                 AV141*$S140),
          SUMIF(OFFSET($S142,1,0,$R140-2),($M140+1)&amp;"$",OFFSET(AV142,1,0,$R140-2)))</f>
        <v>0</v>
      </c>
      <c r="AW142" s="439" t="n">
        <f aca="false" t="array" ref="AW142:AW142">IF($R140=2,
         IF(AND(ACOMPANHAMENTO="PLE",ISNUMBER($F140)),
                SUMIF((OFFSET(CÁLCULO!$BS$15:$CS$15,$F140,0,OFFSET(ORÇAMENTO!$D$15,CRONO!$F140,0))),CRONO!AW$12,OFFSET(CÁLCULO!$AR$15:$BR$15,$F140,0,OFFSET(ORÇAMENTO!$D$15,CRONO!$F140,0)))
                +IF(AND($F142&lt;&gt;"",$F142&lt;&gt;0),
                        SUMIF(CÁLCULO!$BS$15:$CS$205,CRONO!AW$12,CÁLCULO!$AR$15:$BR$205)/(ORÇAMENTO!$X$15-_xlfn.single(CÁLCULO.TotalAdmLocal))*CRONO!$F142,
                        0),
                 AW141*$S140),
          SUMIF(OFFSET($S142,1,0,$R140-2),($M140+1)&amp;"$",OFFSET(AW142,1,0,$R140-2)))</f>
        <v>0</v>
      </c>
      <c r="AX142" s="439" t="n">
        <f aca="false" t="array" ref="AX142:AX142">IF($R140=2,
         IF(AND(ACOMPANHAMENTO="PLE",ISNUMBER($F140)),
                SUMIF((OFFSET(CÁLCULO!$BS$15:$CS$15,$F140,0,OFFSET(ORÇAMENTO!$D$15,CRONO!$F140,0))),CRONO!AX$12,OFFSET(CÁLCULO!$AR$15:$BR$15,$F140,0,OFFSET(ORÇAMENTO!$D$15,CRONO!$F140,0)))
                +IF(AND($F142&lt;&gt;"",$F142&lt;&gt;0),
                        SUMIF(CÁLCULO!$BS$15:$CS$205,CRONO!AX$12,CÁLCULO!$AR$15:$BR$205)/(ORÇAMENTO!$X$15-_xlfn.single(CÁLCULO.TotalAdmLocal))*CRONO!$F142,
                        0),
                 AX141*$S140),
          SUMIF(OFFSET($S142,1,0,$R140-2),($M140+1)&amp;"$",OFFSET(AX142,1,0,$R140-2)))</f>
        <v>0</v>
      </c>
      <c r="AY142" s="439" t="n">
        <f aca="false" t="array" ref="AY142:AY142">IF($R140=2,
         IF(AND(ACOMPANHAMENTO="PLE",ISNUMBER($F140)),
                SUMIF((OFFSET(CÁLCULO!$BS$15:$CS$15,$F140,0,OFFSET(ORÇAMENTO!$D$15,CRONO!$F140,0))),CRONO!AY$12,OFFSET(CÁLCULO!$AR$15:$BR$15,$F140,0,OFFSET(ORÇAMENTO!$D$15,CRONO!$F140,0)))
                +IF(AND($F142&lt;&gt;"",$F142&lt;&gt;0),
                        SUMIF(CÁLCULO!$BS$15:$CS$205,CRONO!AY$12,CÁLCULO!$AR$15:$BR$205)/(ORÇAMENTO!$X$15-_xlfn.single(CÁLCULO.TotalAdmLocal))*CRONO!$F142,
                        0),
                 AY141*$S140),
          SUMIF(OFFSET($S142,1,0,$R140-2),($M140+1)&amp;"$",OFFSET(AY142,1,0,$R140-2)))</f>
        <v>0</v>
      </c>
      <c r="AZ142" s="439" t="n">
        <f aca="false" t="array" ref="AZ142:AZ142">IF($R140=2,
         IF(AND(ACOMPANHAMENTO="PLE",ISNUMBER($F140)),
                SUMIF((OFFSET(CÁLCULO!$BS$15:$CS$15,$F140,0,OFFSET(ORÇAMENTO!$D$15,CRONO!$F140,0))),CRONO!AZ$12,OFFSET(CÁLCULO!$AR$15:$BR$15,$F140,0,OFFSET(ORÇAMENTO!$D$15,CRONO!$F140,0)))
                +IF(AND($F142&lt;&gt;"",$F142&lt;&gt;0),
                        SUMIF(CÁLCULO!$BS$15:$CS$205,CRONO!AZ$12,CÁLCULO!$AR$15:$BR$205)/(ORÇAMENTO!$X$15-_xlfn.single(CÁLCULO.TotalAdmLocal))*CRONO!$F142,
                        0),
                 AZ141*$S140),
          SUMIF(OFFSET($S142,1,0,$R140-2),($M140+1)&amp;"$",OFFSET(AZ142,1,0,$R140-2)))</f>
        <v>0</v>
      </c>
      <c r="BA142" s="439" t="n">
        <f aca="false" t="array" ref="BA142:BA142">IF($R140=2,
         IF(AND(ACOMPANHAMENTO="PLE",ISNUMBER($F140)),
                SUMIF((OFFSET(CÁLCULO!$BS$15:$CS$15,$F140,0,OFFSET(ORÇAMENTO!$D$15,CRONO!$F140,0))),CRONO!BA$12,OFFSET(CÁLCULO!$AR$15:$BR$15,$F140,0,OFFSET(ORÇAMENTO!$D$15,CRONO!$F140,0)))
                +IF(AND($F142&lt;&gt;"",$F142&lt;&gt;0),
                        SUMIF(CÁLCULO!$BS$15:$CS$205,CRONO!BA$12,CÁLCULO!$AR$15:$BR$205)/(ORÇAMENTO!$X$15-_xlfn.single(CÁLCULO.TotalAdmLocal))*CRONO!$F142,
                        0),
                 BA141*$S140),
          SUMIF(OFFSET($S142,1,0,$R140-2),($M140+1)&amp;"$",OFFSET(BA142,1,0,$R140-2)))</f>
        <v>0</v>
      </c>
      <c r="BB142" s="439" t="n">
        <f aca="false" t="array" ref="BB142:BB142">IF($R140=2,
         IF(AND(ACOMPANHAMENTO="PLE",ISNUMBER($F140)),
                SUMIF((OFFSET(CÁLCULO!$BS$15:$CS$15,$F140,0,OFFSET(ORÇAMENTO!$D$15,CRONO!$F140,0))),CRONO!BB$12,OFFSET(CÁLCULO!$AR$15:$BR$15,$F140,0,OFFSET(ORÇAMENTO!$D$15,CRONO!$F140,0)))
                +IF(AND($F142&lt;&gt;"",$F142&lt;&gt;0),
                        SUMIF(CÁLCULO!$BS$15:$CS$205,CRONO!BB$12,CÁLCULO!$AR$15:$BR$205)/(ORÇAMENTO!$X$15-_xlfn.single(CÁLCULO.TotalAdmLocal))*CRONO!$F142,
                        0),
                 BB141*$S140),
          SUMIF(OFFSET($S142,1,0,$R140-2),($M140+1)&amp;"$",OFFSET(BB142,1,0,$R140-2)))</f>
        <v>0</v>
      </c>
      <c r="BC142" s="439" t="n">
        <f aca="false" t="array" ref="BC142:BC142">IF($R140=2,
         IF(AND(ACOMPANHAMENTO="PLE",ISNUMBER($F140)),
                SUMIF((OFFSET(CÁLCULO!$BS$15:$CS$15,$F140,0,OFFSET(ORÇAMENTO!$D$15,CRONO!$F140,0))),CRONO!BC$12,OFFSET(CÁLCULO!$AR$15:$BR$15,$F140,0,OFFSET(ORÇAMENTO!$D$15,CRONO!$F140,0)))
                +IF(AND($F142&lt;&gt;"",$F142&lt;&gt;0),
                        SUMIF(CÁLCULO!$BS$15:$CS$205,CRONO!BC$12,CÁLCULO!$AR$15:$BR$205)/(ORÇAMENTO!$X$15-_xlfn.single(CÁLCULO.TotalAdmLocal))*CRONO!$F142,
                        0),
                 BC141*$S140),
          SUMIF(OFFSET($S142,1,0,$R140-2),($M140+1)&amp;"$",OFFSET(BC142,1,0,$R140-2)))</f>
        <v>0</v>
      </c>
      <c r="BD142" s="439" t="n">
        <f aca="false" t="array" ref="BD142:BD142">IF($R140=2,
         IF(AND(ACOMPANHAMENTO="PLE",ISNUMBER($F140)),
                SUMIF((OFFSET(CÁLCULO!$BS$15:$CS$15,$F140,0,OFFSET(ORÇAMENTO!$D$15,CRONO!$F140,0))),CRONO!BD$12,OFFSET(CÁLCULO!$AR$15:$BR$15,$F140,0,OFFSET(ORÇAMENTO!$D$15,CRONO!$F140,0)))
                +IF(AND($F142&lt;&gt;"",$F142&lt;&gt;0),
                        SUMIF(CÁLCULO!$BS$15:$CS$205,CRONO!BD$12,CÁLCULO!$AR$15:$BR$205)/(ORÇAMENTO!$X$15-_xlfn.single(CÁLCULO.TotalAdmLocal))*CRONO!$F142,
                        0),
                 BD141*$S140),
          SUMIF(OFFSET($S142,1,0,$R140-2),($M140+1)&amp;"$",OFFSET(BD142,1,0,$R140-2)))</f>
        <v>0</v>
      </c>
      <c r="BE142" s="430"/>
    </row>
    <row r="143" customFormat="false" ht="12.75" hidden="false" customHeight="false" outlineLevel="0" collapsed="false">
      <c r="A143" s="382" t="str">
        <f aca="false">IF($M143&gt;1,_xlfn.CONCAT($I143," ",$J143),"")</f>
        <v>1.43. CAIXA D'ÁGUA E BARRILETE</v>
      </c>
      <c r="B143" s="419" t="n">
        <f aca="true">OFFSET(B143,-3,0)+1</f>
        <v>44</v>
      </c>
      <c r="C143" s="419" t="n">
        <f aca="true">IF($R143&lt;&gt;2,0,IF($S143=0,1,IF(F144&gt;0,OFFSET(QCI!$M$13,SUBSTITUTE(F144,".",""),0),OFFSET(ORÇAMENTO!$AA$15,CRONO!$F143,0))/$S143))</f>
        <v>0.110981526562671</v>
      </c>
      <c r="D143" s="419" t="n">
        <f aca="true">IF($R143&lt;&gt;2,0,IF($S143=0,1,IF(F144&gt;0,OFFSET(QCI!$N$13,SUBSTITUTE(F144,".",""),0),OFFSET(ORÇAMENTO!$AB$15,CRONO!$F143,0))/$S143))</f>
        <v>0</v>
      </c>
      <c r="E143" s="422" t="n">
        <f aca="false" t="array" ref="E143:E143">IF(AND($R143=2,ACOMPANHAMENTO="BM"),ROUND(E144,4),E145/$S143)</f>
        <v>0.04</v>
      </c>
      <c r="F143" s="419" t="n">
        <f aca="true">IF(B143&lt;=ORÇAMENTO.MáximoListaCrono,MATCH(B143,ORÇAMENTO.ListaCrono,0),NA())</f>
        <v>141</v>
      </c>
      <c r="G143" s="419" t="str">
        <f aca="false">IF(AND($F144&lt;&gt;-1,$S143&gt;0),"F","")</f>
        <v>F</v>
      </c>
      <c r="H143" s="423" t="str">
        <f aca="false" t="array" ref="H143:H143">IF(OR(S143=0,S143=""),"Linha",IF(AND(OR(ACOMPANHAMENTO="PLE",$R143&lt;&gt;2),$F144=0),"Linha",ROUND(1-SUM(U143:BE143),4)))</f>
        <v>Linha</v>
      </c>
      <c r="I143" s="424" t="str">
        <f aca="true">IF($F144=0,OFFSET(ORÇAMENTO!O$15,$F143,0),IF($F144&lt;&gt;-1,OFFSET(QCI!$D$13,$F144,0),""))</f>
        <v>1.43.</v>
      </c>
      <c r="J143" s="425" t="str">
        <f aca="true">IF($F144=0,OFFSET(ORÇAMENTO!R$15,$F143,0),IF($F144&lt;&gt;-1,OFFSET(QCI!$G$13,$F144,0),""))</f>
        <v>CAIXA D'ÁGUA E BARRILETE</v>
      </c>
      <c r="K143" s="425"/>
      <c r="L143" s="425"/>
      <c r="M143" s="426" t="n">
        <f aca="true">IF($F144=0,OFFSET(ORÇAMENTO!C$15,$F143,0),1)</f>
        <v>2</v>
      </c>
      <c r="N143" s="427" t="n">
        <f aca="true">IF($F144=-1,0,IF(N$13&lt;=$M143,IF(ISERROR(MATCH(N$13,OFFSET($M143,1,0,ROW($M$182)-ROW($M143)-1),0)),ROW($M$182)-ROW($M143)-1,MATCH(N$13,OFFSET($M143,1,0,ROW($M$182)-ROW($M143)-1),0)-1),0))</f>
        <v>38</v>
      </c>
      <c r="O143" s="427" t="n">
        <f aca="true">IF($F144=-1,0,IF(O$13&lt;=$M143,IF(ISERROR(MATCH(O$13,OFFSET($M143,1,0,ROW($M$182)-ROW($M143)-1),0)),ROW($M$182)-ROW($M143)-1,MATCH(O$13,OFFSET($M143,1,0,ROW($M$182)-ROW($M143)-1),0)-1),0))</f>
        <v>2</v>
      </c>
      <c r="P143" s="427" t="n">
        <f aca="true">IF($F144=-1,0,IF(P$13&lt;=$M143,IF(ISERROR(MATCH(P$13,OFFSET($M143,1,0,ROW($M$182)-ROW($M143)-1),0)),ROW($M$182)-ROW($M143)-1,MATCH(P$13,OFFSET($M143,1,0,ROW($M$182)-ROW($M143)-1),0)-1),0))</f>
        <v>0</v>
      </c>
      <c r="Q143" s="427" t="n">
        <f aca="true">IF($F144=-1,0,IF(Q$13&lt;=$M143,IF(ISERROR(MATCH(Q$13,OFFSET($M143,1,0,ROW($M$182)-ROW($M143)-1),0)),ROW($M$182)-ROW($M143)-1,MATCH(Q$13,OFFSET($M143,1,0,ROW($M$182)-ROW($M143)-1),0)-1),0))</f>
        <v>0</v>
      </c>
      <c r="R143" s="427" t="n">
        <f aca="true">MIN(OFFSET(M143,0,1,,M143))</f>
        <v>2</v>
      </c>
      <c r="S143" s="428" t="n">
        <f aca="true">IF($F144=0,OFFSET(ORÇAMENTO!X$15,$F143,0),IF($F144&lt;&gt;-1,OFFSET(QCI!$O$13,$F144,0),""))</f>
        <v>28628</v>
      </c>
      <c r="T143" s="429" t="s">
        <v>996</v>
      </c>
      <c r="U143" s="422" t="n">
        <f aca="false" t="array" ref="U143:U143">IF(AND($R143=2,ACOMPANHAMENTO="BM"),ROUND(U144,4),U145/$S143)</f>
        <v>0.04</v>
      </c>
      <c r="V143" s="422" t="n">
        <f aca="false" t="array" ref="V143:V143">IF(AND($R143=2,ACOMPANHAMENTO="BM"),ROUND(V144,4),V145/$S143)</f>
        <v>0.04</v>
      </c>
      <c r="W143" s="422" t="n">
        <f aca="false" t="array" ref="W143:W143">IF(AND($R143=2,ACOMPANHAMENTO="BM"),ROUND(W144,4),W145/$S143)</f>
        <v>0.04</v>
      </c>
      <c r="X143" s="422" t="n">
        <f aca="false" t="array" ref="X143:X143">IF(AND($R143=2,ACOMPANHAMENTO="BM"),ROUND(X144,4),X145/$S143)</f>
        <v>0.04</v>
      </c>
      <c r="Y143" s="422" t="n">
        <f aca="false" t="array" ref="Y143:Y143">IF(AND($R143=2,ACOMPANHAMENTO="BM"),ROUND(Y144,4),Y145/$S143)</f>
        <v>0.04</v>
      </c>
      <c r="Z143" s="422" t="n">
        <f aca="false" t="array" ref="Z143:Z143">IF(AND($R143=2,ACOMPANHAMENTO="BM"),ROUND(Z144,4),Z145/$S143)</f>
        <v>0.04</v>
      </c>
      <c r="AA143" s="422" t="n">
        <f aca="false" t="array" ref="AA143:AA143">IF(AND($R143=2,ACOMPANHAMENTO="BM"),ROUND(AA144,4),AA145/$S143)</f>
        <v>0.04</v>
      </c>
      <c r="AB143" s="422" t="n">
        <f aca="false" t="array" ref="AB143:AB143">IF(AND($R143=2,ACOMPANHAMENTO="BM"),ROUND(AB144,4),AB145/$S143)</f>
        <v>0.04</v>
      </c>
      <c r="AC143" s="422" t="n">
        <f aca="false" t="array" ref="AC143:AC143">IF(AND($R143=2,ACOMPANHAMENTO="BM"),ROUND(AC144,4),AC145/$S143)</f>
        <v>0.04</v>
      </c>
      <c r="AD143" s="422" t="n">
        <f aca="false" t="array" ref="AD143:AD143">IF(AND($R143=2,ACOMPANHAMENTO="BM"),ROUND(AD144,4),AD145/$S143)</f>
        <v>0.04</v>
      </c>
      <c r="AE143" s="422" t="n">
        <f aca="false" t="array" ref="AE143:AE143">IF(AND($R143=2,ACOMPANHAMENTO="BM"),ROUND(AE144,4),AE145/$S143)</f>
        <v>0.04</v>
      </c>
      <c r="AF143" s="422" t="n">
        <f aca="false" t="array" ref="AF143:AF143">IF(AND($R143=2,ACOMPANHAMENTO="BM"),ROUND(AF144,4),AF145/$S143)</f>
        <v>0.04</v>
      </c>
      <c r="AG143" s="422" t="n">
        <f aca="false" t="array" ref="AG143:AG143">IF(AND($R143=2,ACOMPANHAMENTO="BM"),ROUND(AG144,4),AG145/$S143)</f>
        <v>0.04</v>
      </c>
      <c r="AH143" s="422" t="n">
        <f aca="false" t="array" ref="AH143:AH143">IF(AND($R143=2,ACOMPANHAMENTO="BM"),ROUND(AH144,4),AH145/$S143)</f>
        <v>0.04</v>
      </c>
      <c r="AI143" s="422" t="n">
        <f aca="false" t="array" ref="AI143:AI143">IF(AND($R143=2,ACOMPANHAMENTO="BM"),ROUND(AI144,4),AI145/$S143)</f>
        <v>0.04</v>
      </c>
      <c r="AJ143" s="422" t="n">
        <f aca="false" t="array" ref="AJ143:AJ143">IF(AND($R143=2,ACOMPANHAMENTO="BM"),ROUND(AJ144,4),AJ145/$S143)</f>
        <v>0.04</v>
      </c>
      <c r="AK143" s="422" t="n">
        <f aca="false" t="array" ref="AK143:AK143">IF(AND($R143=2,ACOMPANHAMENTO="BM"),ROUND(AK144,4),AK145/$S143)</f>
        <v>0.04</v>
      </c>
      <c r="AL143" s="422" t="n">
        <f aca="false" t="array" ref="AL143:AL143">IF(AND($R143=2,ACOMPANHAMENTO="BM"),ROUND(AL144,4),AL145/$S143)</f>
        <v>0.04</v>
      </c>
      <c r="AM143" s="422" t="n">
        <f aca="false" t="array" ref="AM143:AM143">IF(AND($R143=2,ACOMPANHAMENTO="BM"),ROUND(AM144,4),AM145/$S143)</f>
        <v>0.04</v>
      </c>
      <c r="AN143" s="422" t="n">
        <f aca="false" t="array" ref="AN143:AN143">IF(AND($R143=2,ACOMPANHAMENTO="BM"),ROUND(AN144,4),AN145/$S143)</f>
        <v>0.04</v>
      </c>
      <c r="AO143" s="422" t="n">
        <f aca="false" t="array" ref="AO143:AO143">IF(AND($R143=2,ACOMPANHAMENTO="BM"),ROUND(AO144,4),AO145/$S143)</f>
        <v>0.04</v>
      </c>
      <c r="AP143" s="422" t="n">
        <f aca="false" t="array" ref="AP143:AP143">IF(AND($R143=2,ACOMPANHAMENTO="BM"),ROUND(AP144,4),AP145/$S143)</f>
        <v>0.04</v>
      </c>
      <c r="AQ143" s="422" t="n">
        <f aca="false" t="array" ref="AQ143:AQ143">IF(AND($R143=2,ACOMPANHAMENTO="BM"),ROUND(AQ144,4),AQ145/$S143)</f>
        <v>0.04</v>
      </c>
      <c r="AR143" s="422" t="n">
        <f aca="false" t="array" ref="AR143:AR143">IF(AND($R143=2,ACOMPANHAMENTO="BM"),ROUND(AR144,4),AR145/$S143)</f>
        <v>0.04</v>
      </c>
      <c r="AS143" s="422" t="n">
        <f aca="false" t="array" ref="AS143:AS143">IF(AND($R143=2,ACOMPANHAMENTO="BM"),ROUND(AS144,4),AS145/$S143)</f>
        <v>0.04</v>
      </c>
      <c r="AT143" s="422" t="n">
        <f aca="false" t="array" ref="AT143:AT143">IF(AND($R143=2,ACOMPANHAMENTO="BM"),ROUND(AT144,4),AT145/$S143)</f>
        <v>0</v>
      </c>
      <c r="AU143" s="422" t="n">
        <f aca="false" t="array" ref="AU143:AU143">IF(AND($R143=2,ACOMPANHAMENTO="BM"),ROUND(AU144,4),AU145/$S143)</f>
        <v>0</v>
      </c>
      <c r="AV143" s="422" t="n">
        <f aca="false" t="array" ref="AV143:AV143">IF(AND($R143=2,ACOMPANHAMENTO="BM"),ROUND(AV144,4),AV145/$S143)</f>
        <v>0</v>
      </c>
      <c r="AW143" s="422" t="n">
        <f aca="false" t="array" ref="AW143:AW143">IF(AND($R143=2,ACOMPANHAMENTO="BM"),ROUND(AW144,4),AW145/$S143)</f>
        <v>0</v>
      </c>
      <c r="AX143" s="422" t="n">
        <f aca="false" t="array" ref="AX143:AX143">IF(AND($R143=2,ACOMPANHAMENTO="BM"),ROUND(AX144,4),AX145/$S143)</f>
        <v>0</v>
      </c>
      <c r="AY143" s="422" t="n">
        <f aca="false" t="array" ref="AY143:AY143">IF(AND($R143=2,ACOMPANHAMENTO="BM"),ROUND(AY144,4),AY145/$S143)</f>
        <v>0</v>
      </c>
      <c r="AZ143" s="422" t="n">
        <f aca="false" t="array" ref="AZ143:AZ143">IF(AND($R143=2,ACOMPANHAMENTO="BM"),ROUND(AZ144,4),AZ145/$S143)</f>
        <v>0</v>
      </c>
      <c r="BA143" s="422" t="n">
        <f aca="false" t="array" ref="BA143:BA143">IF(AND($R143=2,ACOMPANHAMENTO="BM"),ROUND(BA144,4),BA145/$S143)</f>
        <v>0</v>
      </c>
      <c r="BB143" s="422" t="n">
        <f aca="false" t="array" ref="BB143:BB143">IF(AND($R143=2,ACOMPANHAMENTO="BM"),ROUND(BB144,4),BB145/$S143)</f>
        <v>0</v>
      </c>
      <c r="BC143" s="422" t="n">
        <f aca="false" t="array" ref="BC143:BC143">IF(AND($R143=2,ACOMPANHAMENTO="BM"),ROUND(BC144,4),BC145/$S143)</f>
        <v>0</v>
      </c>
      <c r="BD143" s="422" t="n">
        <f aca="false" t="array" ref="BD143:BD143">IF(AND($R143=2,ACOMPANHAMENTO="BM"),ROUND(BD144,4),BD145/$S143)</f>
        <v>0</v>
      </c>
      <c r="BE143" s="430"/>
    </row>
    <row r="144" customFormat="false" ht="12.75" hidden="true" customHeight="true" outlineLevel="0" collapsed="false">
      <c r="E144" s="431"/>
      <c r="F144" s="419" t="n">
        <f aca="true">IF(ISERROR(F143),IF(1+COUNTIF($M$13:OFFSET(M143,-1,0),1)&lt;=MAX(QCI!$D$13:$D$15),1+COUNTIF($M$13:OFFSET(M143,-1,0),1),-1),0)</f>
        <v>0</v>
      </c>
      <c r="G144" s="419" t="str">
        <f aca="true" t="array" ref="G144:G144">IF(ACOMPANHAMENTO="BM",OFFSET(G144,-1,0),"")</f>
        <v/>
      </c>
      <c r="H144" s="432" t="str">
        <f aca="false" t="array" ref="H144:H144">IF(OR(S143=0,S143=""),"vazia",IF(AND(OR(ACOMPANHAMENTO="PLE",$R143&lt;&gt;2),$F144=0),"calculada","--&gt;"))</f>
        <v>calculada</v>
      </c>
      <c r="I144" s="433"/>
      <c r="J144" s="434" t="str">
        <f aca="false">IF(AND(H143&lt;&gt;0,ISNUMBER(H143)),"PREENCHA ESTA LINHA --&gt;","")</f>
        <v/>
      </c>
      <c r="K144" s="434"/>
      <c r="L144" s="434"/>
      <c r="M144" s="435"/>
      <c r="N144" s="435"/>
      <c r="O144" s="435"/>
      <c r="P144" s="435"/>
      <c r="Q144" s="435"/>
      <c r="R144" s="435"/>
      <c r="S144" s="436"/>
      <c r="T144" s="437"/>
      <c r="U144" s="431"/>
      <c r="V144" s="431"/>
      <c r="W144" s="431"/>
      <c r="X144" s="431"/>
      <c r="Y144" s="431"/>
      <c r="Z144" s="431"/>
      <c r="AA144" s="431"/>
      <c r="AB144" s="431"/>
      <c r="AC144" s="431"/>
      <c r="AD144" s="431"/>
      <c r="AE144" s="431"/>
      <c r="AF144" s="431"/>
      <c r="AG144" s="431"/>
      <c r="AH144" s="431"/>
      <c r="AI144" s="431"/>
      <c r="AJ144" s="431"/>
      <c r="AK144" s="431"/>
      <c r="AL144" s="431"/>
      <c r="AM144" s="431"/>
      <c r="AN144" s="431"/>
      <c r="AO144" s="431"/>
      <c r="AP144" s="431"/>
      <c r="AQ144" s="431"/>
      <c r="AR144" s="431"/>
      <c r="AS144" s="431"/>
      <c r="AT144" s="431"/>
      <c r="AU144" s="431"/>
      <c r="AV144" s="431"/>
      <c r="AW144" s="431"/>
      <c r="AX144" s="431"/>
      <c r="AY144" s="431"/>
      <c r="AZ144" s="431"/>
      <c r="BA144" s="431"/>
      <c r="BB144" s="431"/>
      <c r="BC144" s="431"/>
      <c r="BD144" s="431"/>
      <c r="BE144" s="430"/>
    </row>
    <row r="145" customFormat="false" ht="12.75" hidden="true" customHeight="true" outlineLevel="0" collapsed="false">
      <c r="D145" s="438"/>
      <c r="E145" s="439" t="n">
        <f aca="false" t="array" ref="E145:E145">IF($R143=2,
         IF(AND(ACOMPANHAMENTO="PLE",ISNUMBER($F143)),
                SUMIF((OFFSET(CÁLCULO!$BS$15:$CS$15,$F143,0,OFFSET(ORÇAMENTO!$D$15,CRONO!$F143,0))),CRONO!E$12,OFFSET(CÁLCULO!$AR$15:$BR$15,$F143,0,OFFSET(ORÇAMENTO!$D$15,CRONO!$F143,0)))
                +IF(AND($F145&lt;&gt;"",$F145&lt;&gt;0),
                        SUMIF(CÁLCULO!$BS$15:$CS$205,CRONO!E$12,CÁLCULO!$AR$15:$BR$205)/(ORÇAMENTO!$X$15-_xlfn.single(CÁLCULO.TotalAdmLocal))*CRONO!$F145,
                        0),
                 E144*$S143),
          SUMIF(OFFSET($S145,1,0,$R143-2),($M143+1)&amp;"$",OFFSET(E145,1,0,$R143-2)))</f>
        <v>1145.12</v>
      </c>
      <c r="F145" s="419" t="str">
        <f aca="true">IF(OR($R143&lt;&gt;2,AUTOEVENTO&lt;&gt;"manual",$F144&gt;0),"",
        IF(Import.TipoArredondamento="Tradicional",
              SUMIF(OFFSET(CÁLCULO!$M$15,CRONO!$F143,0,OFFSET(ORÇAMENTO!$D$15,CRONO!$F143,0)),1,OFFSET(ORÇAMENTO!$X$15,CRONO!$F143,0,OFFSET(ORÇAMENTO!$D$15,CRONO!$F143,0))),
              0))</f>
        <v/>
      </c>
      <c r="H145" s="440"/>
      <c r="S145" s="441" t="str">
        <f aca="false">M143&amp;"$"</f>
        <v>2$</v>
      </c>
      <c r="T145" s="442"/>
      <c r="U145" s="439" t="n">
        <f aca="false" t="array" ref="U145:U145">IF($R143=2,
         IF(AND(ACOMPANHAMENTO="PLE",ISNUMBER($F143)),
                SUMIF((OFFSET(CÁLCULO!$BS$15:$CS$15,$F143,0,OFFSET(ORÇAMENTO!$D$15,CRONO!$F143,0))),CRONO!U$12,OFFSET(CÁLCULO!$AR$15:$BR$15,$F143,0,OFFSET(ORÇAMENTO!$D$15,CRONO!$F143,0)))
                +IF(AND($F145&lt;&gt;"",$F145&lt;&gt;0),
                        SUMIF(CÁLCULO!$BS$15:$CS$205,CRONO!U$12,CÁLCULO!$AR$15:$BR$205)/(ORÇAMENTO!$X$15-_xlfn.single(CÁLCULO.TotalAdmLocal))*CRONO!$F145,
                        0),
                 U144*$S143),
          SUMIF(OFFSET($S145,1,0,$R143-2),($M143+1)&amp;"$",OFFSET(U145,1,0,$R143-2)))</f>
        <v>1145.12</v>
      </c>
      <c r="V145" s="439" t="n">
        <f aca="false" t="array" ref="V145:V145">IF($R143=2,
         IF(AND(ACOMPANHAMENTO="PLE",ISNUMBER($F143)),
                SUMIF((OFFSET(CÁLCULO!$BS$15:$CS$15,$F143,0,OFFSET(ORÇAMENTO!$D$15,CRONO!$F143,0))),CRONO!V$12,OFFSET(CÁLCULO!$AR$15:$BR$15,$F143,0,OFFSET(ORÇAMENTO!$D$15,CRONO!$F143,0)))
                +IF(AND($F145&lt;&gt;"",$F145&lt;&gt;0),
                        SUMIF(CÁLCULO!$BS$15:$CS$205,CRONO!V$12,CÁLCULO!$AR$15:$BR$205)/(ORÇAMENTO!$X$15-_xlfn.single(CÁLCULO.TotalAdmLocal))*CRONO!$F145,
                        0),
                 V144*$S143),
          SUMIF(OFFSET($S145,1,0,$R143-2),($M143+1)&amp;"$",OFFSET(V145,1,0,$R143-2)))</f>
        <v>1145.12</v>
      </c>
      <c r="W145" s="439" t="n">
        <f aca="false" t="array" ref="W145:W145">IF($R143=2,
         IF(AND(ACOMPANHAMENTO="PLE",ISNUMBER($F143)),
                SUMIF((OFFSET(CÁLCULO!$BS$15:$CS$15,$F143,0,OFFSET(ORÇAMENTO!$D$15,CRONO!$F143,0))),CRONO!W$12,OFFSET(CÁLCULO!$AR$15:$BR$15,$F143,0,OFFSET(ORÇAMENTO!$D$15,CRONO!$F143,0)))
                +IF(AND($F145&lt;&gt;"",$F145&lt;&gt;0),
                        SUMIF(CÁLCULO!$BS$15:$CS$205,CRONO!W$12,CÁLCULO!$AR$15:$BR$205)/(ORÇAMENTO!$X$15-_xlfn.single(CÁLCULO.TotalAdmLocal))*CRONO!$F145,
                        0),
                 W144*$S143),
          SUMIF(OFFSET($S145,1,0,$R143-2),($M143+1)&amp;"$",OFFSET(W145,1,0,$R143-2)))</f>
        <v>1145.12</v>
      </c>
      <c r="X145" s="439" t="n">
        <f aca="false" t="array" ref="X145:X145">IF($R143=2,
         IF(AND(ACOMPANHAMENTO="PLE",ISNUMBER($F143)),
                SUMIF((OFFSET(CÁLCULO!$BS$15:$CS$15,$F143,0,OFFSET(ORÇAMENTO!$D$15,CRONO!$F143,0))),CRONO!X$12,OFFSET(CÁLCULO!$AR$15:$BR$15,$F143,0,OFFSET(ORÇAMENTO!$D$15,CRONO!$F143,0)))
                +IF(AND($F145&lt;&gt;"",$F145&lt;&gt;0),
                        SUMIF(CÁLCULO!$BS$15:$CS$205,CRONO!X$12,CÁLCULO!$AR$15:$BR$205)/(ORÇAMENTO!$X$15-_xlfn.single(CÁLCULO.TotalAdmLocal))*CRONO!$F145,
                        0),
                 X144*$S143),
          SUMIF(OFFSET($S145,1,0,$R143-2),($M143+1)&amp;"$",OFFSET(X145,1,0,$R143-2)))</f>
        <v>1145.12</v>
      </c>
      <c r="Y145" s="439" t="n">
        <f aca="false" t="array" ref="Y145:Y145">IF($R143=2,
         IF(AND(ACOMPANHAMENTO="PLE",ISNUMBER($F143)),
                SUMIF((OFFSET(CÁLCULO!$BS$15:$CS$15,$F143,0,OFFSET(ORÇAMENTO!$D$15,CRONO!$F143,0))),CRONO!Y$12,OFFSET(CÁLCULO!$AR$15:$BR$15,$F143,0,OFFSET(ORÇAMENTO!$D$15,CRONO!$F143,0)))
                +IF(AND($F145&lt;&gt;"",$F145&lt;&gt;0),
                        SUMIF(CÁLCULO!$BS$15:$CS$205,CRONO!Y$12,CÁLCULO!$AR$15:$BR$205)/(ORÇAMENTO!$X$15-_xlfn.single(CÁLCULO.TotalAdmLocal))*CRONO!$F145,
                        0),
                 Y144*$S143),
          SUMIF(OFFSET($S145,1,0,$R143-2),($M143+1)&amp;"$",OFFSET(Y145,1,0,$R143-2)))</f>
        <v>1145.12</v>
      </c>
      <c r="Z145" s="439" t="n">
        <f aca="false" t="array" ref="Z145:Z145">IF($R143=2,
         IF(AND(ACOMPANHAMENTO="PLE",ISNUMBER($F143)),
                SUMIF((OFFSET(CÁLCULO!$BS$15:$CS$15,$F143,0,OFFSET(ORÇAMENTO!$D$15,CRONO!$F143,0))),CRONO!Z$12,OFFSET(CÁLCULO!$AR$15:$BR$15,$F143,0,OFFSET(ORÇAMENTO!$D$15,CRONO!$F143,0)))
                +IF(AND($F145&lt;&gt;"",$F145&lt;&gt;0),
                        SUMIF(CÁLCULO!$BS$15:$CS$205,CRONO!Z$12,CÁLCULO!$AR$15:$BR$205)/(ORÇAMENTO!$X$15-_xlfn.single(CÁLCULO.TotalAdmLocal))*CRONO!$F145,
                        0),
                 Z144*$S143),
          SUMIF(OFFSET($S145,1,0,$R143-2),($M143+1)&amp;"$",OFFSET(Z145,1,0,$R143-2)))</f>
        <v>1145.12</v>
      </c>
      <c r="AA145" s="439" t="n">
        <f aca="false" t="array" ref="AA145:AA145">IF($R143=2,
         IF(AND(ACOMPANHAMENTO="PLE",ISNUMBER($F143)),
                SUMIF((OFFSET(CÁLCULO!$BS$15:$CS$15,$F143,0,OFFSET(ORÇAMENTO!$D$15,CRONO!$F143,0))),CRONO!AA$12,OFFSET(CÁLCULO!$AR$15:$BR$15,$F143,0,OFFSET(ORÇAMENTO!$D$15,CRONO!$F143,0)))
                +IF(AND($F145&lt;&gt;"",$F145&lt;&gt;0),
                        SUMIF(CÁLCULO!$BS$15:$CS$205,CRONO!AA$12,CÁLCULO!$AR$15:$BR$205)/(ORÇAMENTO!$X$15-_xlfn.single(CÁLCULO.TotalAdmLocal))*CRONO!$F145,
                        0),
                 AA144*$S143),
          SUMIF(OFFSET($S145,1,0,$R143-2),($M143+1)&amp;"$",OFFSET(AA145,1,0,$R143-2)))</f>
        <v>1145.12</v>
      </c>
      <c r="AB145" s="439" t="n">
        <f aca="false" t="array" ref="AB145:AB145">IF($R143=2,
         IF(AND(ACOMPANHAMENTO="PLE",ISNUMBER($F143)),
                SUMIF((OFFSET(CÁLCULO!$BS$15:$CS$15,$F143,0,OFFSET(ORÇAMENTO!$D$15,CRONO!$F143,0))),CRONO!AB$12,OFFSET(CÁLCULO!$AR$15:$BR$15,$F143,0,OFFSET(ORÇAMENTO!$D$15,CRONO!$F143,0)))
                +IF(AND($F145&lt;&gt;"",$F145&lt;&gt;0),
                        SUMIF(CÁLCULO!$BS$15:$CS$205,CRONO!AB$12,CÁLCULO!$AR$15:$BR$205)/(ORÇAMENTO!$X$15-_xlfn.single(CÁLCULO.TotalAdmLocal))*CRONO!$F145,
                        0),
                 AB144*$S143),
          SUMIF(OFFSET($S145,1,0,$R143-2),($M143+1)&amp;"$",OFFSET(AB145,1,0,$R143-2)))</f>
        <v>1145.12</v>
      </c>
      <c r="AC145" s="439" t="n">
        <f aca="false" t="array" ref="AC145:AC145">IF($R143=2,
         IF(AND(ACOMPANHAMENTO="PLE",ISNUMBER($F143)),
                SUMIF((OFFSET(CÁLCULO!$BS$15:$CS$15,$F143,0,OFFSET(ORÇAMENTO!$D$15,CRONO!$F143,0))),CRONO!AC$12,OFFSET(CÁLCULO!$AR$15:$BR$15,$F143,0,OFFSET(ORÇAMENTO!$D$15,CRONO!$F143,0)))
                +IF(AND($F145&lt;&gt;"",$F145&lt;&gt;0),
                        SUMIF(CÁLCULO!$BS$15:$CS$205,CRONO!AC$12,CÁLCULO!$AR$15:$BR$205)/(ORÇAMENTO!$X$15-_xlfn.single(CÁLCULO.TotalAdmLocal))*CRONO!$F145,
                        0),
                 AC144*$S143),
          SUMIF(OFFSET($S145,1,0,$R143-2),($M143+1)&amp;"$",OFFSET(AC145,1,0,$R143-2)))</f>
        <v>1145.12</v>
      </c>
      <c r="AD145" s="439" t="n">
        <f aca="false" t="array" ref="AD145:AD145">IF($R143=2,
         IF(AND(ACOMPANHAMENTO="PLE",ISNUMBER($F143)),
                SUMIF((OFFSET(CÁLCULO!$BS$15:$CS$15,$F143,0,OFFSET(ORÇAMENTO!$D$15,CRONO!$F143,0))),CRONO!AD$12,OFFSET(CÁLCULO!$AR$15:$BR$15,$F143,0,OFFSET(ORÇAMENTO!$D$15,CRONO!$F143,0)))
                +IF(AND($F145&lt;&gt;"",$F145&lt;&gt;0),
                        SUMIF(CÁLCULO!$BS$15:$CS$205,CRONO!AD$12,CÁLCULO!$AR$15:$BR$205)/(ORÇAMENTO!$X$15-_xlfn.single(CÁLCULO.TotalAdmLocal))*CRONO!$F145,
                        0),
                 AD144*$S143),
          SUMIF(OFFSET($S145,1,0,$R143-2),($M143+1)&amp;"$",OFFSET(AD145,1,0,$R143-2)))</f>
        <v>1145.12</v>
      </c>
      <c r="AE145" s="439" t="n">
        <f aca="false" t="array" ref="AE145:AE145">IF($R143=2,
         IF(AND(ACOMPANHAMENTO="PLE",ISNUMBER($F143)),
                SUMIF((OFFSET(CÁLCULO!$BS$15:$CS$15,$F143,0,OFFSET(ORÇAMENTO!$D$15,CRONO!$F143,0))),CRONO!AE$12,OFFSET(CÁLCULO!$AR$15:$BR$15,$F143,0,OFFSET(ORÇAMENTO!$D$15,CRONO!$F143,0)))
                +IF(AND($F145&lt;&gt;"",$F145&lt;&gt;0),
                        SUMIF(CÁLCULO!$BS$15:$CS$205,CRONO!AE$12,CÁLCULO!$AR$15:$BR$205)/(ORÇAMENTO!$X$15-_xlfn.single(CÁLCULO.TotalAdmLocal))*CRONO!$F145,
                        0),
                 AE144*$S143),
          SUMIF(OFFSET($S145,1,0,$R143-2),($M143+1)&amp;"$",OFFSET(AE145,1,0,$R143-2)))</f>
        <v>1145.12</v>
      </c>
      <c r="AF145" s="439" t="n">
        <f aca="false" t="array" ref="AF145:AF145">IF($R143=2,
         IF(AND(ACOMPANHAMENTO="PLE",ISNUMBER($F143)),
                SUMIF((OFFSET(CÁLCULO!$BS$15:$CS$15,$F143,0,OFFSET(ORÇAMENTO!$D$15,CRONO!$F143,0))),CRONO!AF$12,OFFSET(CÁLCULO!$AR$15:$BR$15,$F143,0,OFFSET(ORÇAMENTO!$D$15,CRONO!$F143,0)))
                +IF(AND($F145&lt;&gt;"",$F145&lt;&gt;0),
                        SUMIF(CÁLCULO!$BS$15:$CS$205,CRONO!AF$12,CÁLCULO!$AR$15:$BR$205)/(ORÇAMENTO!$X$15-_xlfn.single(CÁLCULO.TotalAdmLocal))*CRONO!$F145,
                        0),
                 AF144*$S143),
          SUMIF(OFFSET($S145,1,0,$R143-2),($M143+1)&amp;"$",OFFSET(AF145,1,0,$R143-2)))</f>
        <v>1145.12</v>
      </c>
      <c r="AG145" s="439" t="n">
        <f aca="false" t="array" ref="AG145:AG145">IF($R143=2,
         IF(AND(ACOMPANHAMENTO="PLE",ISNUMBER($F143)),
                SUMIF((OFFSET(CÁLCULO!$BS$15:$CS$15,$F143,0,OFFSET(ORÇAMENTO!$D$15,CRONO!$F143,0))),CRONO!AG$12,OFFSET(CÁLCULO!$AR$15:$BR$15,$F143,0,OFFSET(ORÇAMENTO!$D$15,CRONO!$F143,0)))
                +IF(AND($F145&lt;&gt;"",$F145&lt;&gt;0),
                        SUMIF(CÁLCULO!$BS$15:$CS$205,CRONO!AG$12,CÁLCULO!$AR$15:$BR$205)/(ORÇAMENTO!$X$15-_xlfn.single(CÁLCULO.TotalAdmLocal))*CRONO!$F145,
                        0),
                 AG144*$S143),
          SUMIF(OFFSET($S145,1,0,$R143-2),($M143+1)&amp;"$",OFFSET(AG145,1,0,$R143-2)))</f>
        <v>1145.12</v>
      </c>
      <c r="AH145" s="439" t="n">
        <f aca="false" t="array" ref="AH145:AH145">IF($R143=2,
         IF(AND(ACOMPANHAMENTO="PLE",ISNUMBER($F143)),
                SUMIF((OFFSET(CÁLCULO!$BS$15:$CS$15,$F143,0,OFFSET(ORÇAMENTO!$D$15,CRONO!$F143,0))),CRONO!AH$12,OFFSET(CÁLCULO!$AR$15:$BR$15,$F143,0,OFFSET(ORÇAMENTO!$D$15,CRONO!$F143,0)))
                +IF(AND($F145&lt;&gt;"",$F145&lt;&gt;0),
                        SUMIF(CÁLCULO!$BS$15:$CS$205,CRONO!AH$12,CÁLCULO!$AR$15:$BR$205)/(ORÇAMENTO!$X$15-_xlfn.single(CÁLCULO.TotalAdmLocal))*CRONO!$F145,
                        0),
                 AH144*$S143),
          SUMIF(OFFSET($S145,1,0,$R143-2),($M143+1)&amp;"$",OFFSET(AH145,1,0,$R143-2)))</f>
        <v>1145.12</v>
      </c>
      <c r="AI145" s="439" t="n">
        <f aca="false" t="array" ref="AI145:AI145">IF($R143=2,
         IF(AND(ACOMPANHAMENTO="PLE",ISNUMBER($F143)),
                SUMIF((OFFSET(CÁLCULO!$BS$15:$CS$15,$F143,0,OFFSET(ORÇAMENTO!$D$15,CRONO!$F143,0))),CRONO!AI$12,OFFSET(CÁLCULO!$AR$15:$BR$15,$F143,0,OFFSET(ORÇAMENTO!$D$15,CRONO!$F143,0)))
                +IF(AND($F145&lt;&gt;"",$F145&lt;&gt;0),
                        SUMIF(CÁLCULO!$BS$15:$CS$205,CRONO!AI$12,CÁLCULO!$AR$15:$BR$205)/(ORÇAMENTO!$X$15-_xlfn.single(CÁLCULO.TotalAdmLocal))*CRONO!$F145,
                        0),
                 AI144*$S143),
          SUMIF(OFFSET($S145,1,0,$R143-2),($M143+1)&amp;"$",OFFSET(AI145,1,0,$R143-2)))</f>
        <v>1145.12</v>
      </c>
      <c r="AJ145" s="439" t="n">
        <f aca="false" t="array" ref="AJ145:AJ145">IF($R143=2,
         IF(AND(ACOMPANHAMENTO="PLE",ISNUMBER($F143)),
                SUMIF((OFFSET(CÁLCULO!$BS$15:$CS$15,$F143,0,OFFSET(ORÇAMENTO!$D$15,CRONO!$F143,0))),CRONO!AJ$12,OFFSET(CÁLCULO!$AR$15:$BR$15,$F143,0,OFFSET(ORÇAMENTO!$D$15,CRONO!$F143,0)))
                +IF(AND($F145&lt;&gt;"",$F145&lt;&gt;0),
                        SUMIF(CÁLCULO!$BS$15:$CS$205,CRONO!AJ$12,CÁLCULO!$AR$15:$BR$205)/(ORÇAMENTO!$X$15-_xlfn.single(CÁLCULO.TotalAdmLocal))*CRONO!$F145,
                        0),
                 AJ144*$S143),
          SUMIF(OFFSET($S145,1,0,$R143-2),($M143+1)&amp;"$",OFFSET(AJ145,1,0,$R143-2)))</f>
        <v>1145.12</v>
      </c>
      <c r="AK145" s="439" t="n">
        <f aca="false" t="array" ref="AK145:AK145">IF($R143=2,
         IF(AND(ACOMPANHAMENTO="PLE",ISNUMBER($F143)),
                SUMIF((OFFSET(CÁLCULO!$BS$15:$CS$15,$F143,0,OFFSET(ORÇAMENTO!$D$15,CRONO!$F143,0))),CRONO!AK$12,OFFSET(CÁLCULO!$AR$15:$BR$15,$F143,0,OFFSET(ORÇAMENTO!$D$15,CRONO!$F143,0)))
                +IF(AND($F145&lt;&gt;"",$F145&lt;&gt;0),
                        SUMIF(CÁLCULO!$BS$15:$CS$205,CRONO!AK$12,CÁLCULO!$AR$15:$BR$205)/(ORÇAMENTO!$X$15-_xlfn.single(CÁLCULO.TotalAdmLocal))*CRONO!$F145,
                        0),
                 AK144*$S143),
          SUMIF(OFFSET($S145,1,0,$R143-2),($M143+1)&amp;"$",OFFSET(AK145,1,0,$R143-2)))</f>
        <v>1145.12</v>
      </c>
      <c r="AL145" s="439" t="n">
        <f aca="false" t="array" ref="AL145:AL145">IF($R143=2,
         IF(AND(ACOMPANHAMENTO="PLE",ISNUMBER($F143)),
                SUMIF((OFFSET(CÁLCULO!$BS$15:$CS$15,$F143,0,OFFSET(ORÇAMENTO!$D$15,CRONO!$F143,0))),CRONO!AL$12,OFFSET(CÁLCULO!$AR$15:$BR$15,$F143,0,OFFSET(ORÇAMENTO!$D$15,CRONO!$F143,0)))
                +IF(AND($F145&lt;&gt;"",$F145&lt;&gt;0),
                        SUMIF(CÁLCULO!$BS$15:$CS$205,CRONO!AL$12,CÁLCULO!$AR$15:$BR$205)/(ORÇAMENTO!$X$15-_xlfn.single(CÁLCULO.TotalAdmLocal))*CRONO!$F145,
                        0),
                 AL144*$S143),
          SUMIF(OFFSET($S145,1,0,$R143-2),($M143+1)&amp;"$",OFFSET(AL145,1,0,$R143-2)))</f>
        <v>1145.12</v>
      </c>
      <c r="AM145" s="439" t="n">
        <f aca="false" t="array" ref="AM145:AM145">IF($R143=2,
         IF(AND(ACOMPANHAMENTO="PLE",ISNUMBER($F143)),
                SUMIF((OFFSET(CÁLCULO!$BS$15:$CS$15,$F143,0,OFFSET(ORÇAMENTO!$D$15,CRONO!$F143,0))),CRONO!AM$12,OFFSET(CÁLCULO!$AR$15:$BR$15,$F143,0,OFFSET(ORÇAMENTO!$D$15,CRONO!$F143,0)))
                +IF(AND($F145&lt;&gt;"",$F145&lt;&gt;0),
                        SUMIF(CÁLCULO!$BS$15:$CS$205,CRONO!AM$12,CÁLCULO!$AR$15:$BR$205)/(ORÇAMENTO!$X$15-_xlfn.single(CÁLCULO.TotalAdmLocal))*CRONO!$F145,
                        0),
                 AM144*$S143),
          SUMIF(OFFSET($S145,1,0,$R143-2),($M143+1)&amp;"$",OFFSET(AM145,1,0,$R143-2)))</f>
        <v>1145.12</v>
      </c>
      <c r="AN145" s="439" t="n">
        <f aca="false" t="array" ref="AN145:AN145">IF($R143=2,
         IF(AND(ACOMPANHAMENTO="PLE",ISNUMBER($F143)),
                SUMIF((OFFSET(CÁLCULO!$BS$15:$CS$15,$F143,0,OFFSET(ORÇAMENTO!$D$15,CRONO!$F143,0))),CRONO!AN$12,OFFSET(CÁLCULO!$AR$15:$BR$15,$F143,0,OFFSET(ORÇAMENTO!$D$15,CRONO!$F143,0)))
                +IF(AND($F145&lt;&gt;"",$F145&lt;&gt;0),
                        SUMIF(CÁLCULO!$BS$15:$CS$205,CRONO!AN$12,CÁLCULO!$AR$15:$BR$205)/(ORÇAMENTO!$X$15-_xlfn.single(CÁLCULO.TotalAdmLocal))*CRONO!$F145,
                        0),
                 AN144*$S143),
          SUMIF(OFFSET($S145,1,0,$R143-2),($M143+1)&amp;"$",OFFSET(AN145,1,0,$R143-2)))</f>
        <v>1145.12</v>
      </c>
      <c r="AO145" s="439" t="n">
        <f aca="false" t="array" ref="AO145:AO145">IF($R143=2,
         IF(AND(ACOMPANHAMENTO="PLE",ISNUMBER($F143)),
                SUMIF((OFFSET(CÁLCULO!$BS$15:$CS$15,$F143,0,OFFSET(ORÇAMENTO!$D$15,CRONO!$F143,0))),CRONO!AO$12,OFFSET(CÁLCULO!$AR$15:$BR$15,$F143,0,OFFSET(ORÇAMENTO!$D$15,CRONO!$F143,0)))
                +IF(AND($F145&lt;&gt;"",$F145&lt;&gt;0),
                        SUMIF(CÁLCULO!$BS$15:$CS$205,CRONO!AO$12,CÁLCULO!$AR$15:$BR$205)/(ORÇAMENTO!$X$15-_xlfn.single(CÁLCULO.TotalAdmLocal))*CRONO!$F145,
                        0),
                 AO144*$S143),
          SUMIF(OFFSET($S145,1,0,$R143-2),($M143+1)&amp;"$",OFFSET(AO145,1,0,$R143-2)))</f>
        <v>1145.12</v>
      </c>
      <c r="AP145" s="439" t="n">
        <f aca="false" t="array" ref="AP145:AP145">IF($R143=2,
         IF(AND(ACOMPANHAMENTO="PLE",ISNUMBER($F143)),
                SUMIF((OFFSET(CÁLCULO!$BS$15:$CS$15,$F143,0,OFFSET(ORÇAMENTO!$D$15,CRONO!$F143,0))),CRONO!AP$12,OFFSET(CÁLCULO!$AR$15:$BR$15,$F143,0,OFFSET(ORÇAMENTO!$D$15,CRONO!$F143,0)))
                +IF(AND($F145&lt;&gt;"",$F145&lt;&gt;0),
                        SUMIF(CÁLCULO!$BS$15:$CS$205,CRONO!AP$12,CÁLCULO!$AR$15:$BR$205)/(ORÇAMENTO!$X$15-_xlfn.single(CÁLCULO.TotalAdmLocal))*CRONO!$F145,
                        0),
                 AP144*$S143),
          SUMIF(OFFSET($S145,1,0,$R143-2),($M143+1)&amp;"$",OFFSET(AP145,1,0,$R143-2)))</f>
        <v>1145.12</v>
      </c>
      <c r="AQ145" s="439" t="n">
        <f aca="false" t="array" ref="AQ145:AQ145">IF($R143=2,
         IF(AND(ACOMPANHAMENTO="PLE",ISNUMBER($F143)),
                SUMIF((OFFSET(CÁLCULO!$BS$15:$CS$15,$F143,0,OFFSET(ORÇAMENTO!$D$15,CRONO!$F143,0))),CRONO!AQ$12,OFFSET(CÁLCULO!$AR$15:$BR$15,$F143,0,OFFSET(ORÇAMENTO!$D$15,CRONO!$F143,0)))
                +IF(AND($F145&lt;&gt;"",$F145&lt;&gt;0),
                        SUMIF(CÁLCULO!$BS$15:$CS$205,CRONO!AQ$12,CÁLCULO!$AR$15:$BR$205)/(ORÇAMENTO!$X$15-_xlfn.single(CÁLCULO.TotalAdmLocal))*CRONO!$F145,
                        0),
                 AQ144*$S143),
          SUMIF(OFFSET($S145,1,0,$R143-2),($M143+1)&amp;"$",OFFSET(AQ145,1,0,$R143-2)))</f>
        <v>1145.12</v>
      </c>
      <c r="AR145" s="439" t="n">
        <f aca="false" t="array" ref="AR145:AR145">IF($R143=2,
         IF(AND(ACOMPANHAMENTO="PLE",ISNUMBER($F143)),
                SUMIF((OFFSET(CÁLCULO!$BS$15:$CS$15,$F143,0,OFFSET(ORÇAMENTO!$D$15,CRONO!$F143,0))),CRONO!AR$12,OFFSET(CÁLCULO!$AR$15:$BR$15,$F143,0,OFFSET(ORÇAMENTO!$D$15,CRONO!$F143,0)))
                +IF(AND($F145&lt;&gt;"",$F145&lt;&gt;0),
                        SUMIF(CÁLCULO!$BS$15:$CS$205,CRONO!AR$12,CÁLCULO!$AR$15:$BR$205)/(ORÇAMENTO!$X$15-_xlfn.single(CÁLCULO.TotalAdmLocal))*CRONO!$F145,
                        0),
                 AR144*$S143),
          SUMIF(OFFSET($S145,1,0,$R143-2),($M143+1)&amp;"$",OFFSET(AR145,1,0,$R143-2)))</f>
        <v>1145.12</v>
      </c>
      <c r="AS145" s="439" t="n">
        <f aca="false" t="array" ref="AS145:AS145">IF($R143=2,
         IF(AND(ACOMPANHAMENTO="PLE",ISNUMBER($F143)),
                SUMIF((OFFSET(CÁLCULO!$BS$15:$CS$15,$F143,0,OFFSET(ORÇAMENTO!$D$15,CRONO!$F143,0))),CRONO!AS$12,OFFSET(CÁLCULO!$AR$15:$BR$15,$F143,0,OFFSET(ORÇAMENTO!$D$15,CRONO!$F143,0)))
                +IF(AND($F145&lt;&gt;"",$F145&lt;&gt;0),
                        SUMIF(CÁLCULO!$BS$15:$CS$205,CRONO!AS$12,CÁLCULO!$AR$15:$BR$205)/(ORÇAMENTO!$X$15-_xlfn.single(CÁLCULO.TotalAdmLocal))*CRONO!$F145,
                        0),
                 AS144*$S143),
          SUMIF(OFFSET($S145,1,0,$R143-2),($M143+1)&amp;"$",OFFSET(AS145,1,0,$R143-2)))</f>
        <v>1145.12</v>
      </c>
      <c r="AT145" s="439" t="n">
        <f aca="false" t="array" ref="AT145:AT145">IF($R143=2,
         IF(AND(ACOMPANHAMENTO="PLE",ISNUMBER($F143)),
                SUMIF((OFFSET(CÁLCULO!$BS$15:$CS$15,$F143,0,OFFSET(ORÇAMENTO!$D$15,CRONO!$F143,0))),CRONO!AT$12,OFFSET(CÁLCULO!$AR$15:$BR$15,$F143,0,OFFSET(ORÇAMENTO!$D$15,CRONO!$F143,0)))
                +IF(AND($F145&lt;&gt;"",$F145&lt;&gt;0),
                        SUMIF(CÁLCULO!$BS$15:$CS$205,CRONO!AT$12,CÁLCULO!$AR$15:$BR$205)/(ORÇAMENTO!$X$15-_xlfn.single(CÁLCULO.TotalAdmLocal))*CRONO!$F145,
                        0),
                 AT144*$S143),
          SUMIF(OFFSET($S145,1,0,$R143-2),($M143+1)&amp;"$",OFFSET(AT145,1,0,$R143-2)))</f>
        <v>0</v>
      </c>
      <c r="AU145" s="439" t="n">
        <f aca="false" t="array" ref="AU145:AU145">IF($R143=2,
         IF(AND(ACOMPANHAMENTO="PLE",ISNUMBER($F143)),
                SUMIF((OFFSET(CÁLCULO!$BS$15:$CS$15,$F143,0,OFFSET(ORÇAMENTO!$D$15,CRONO!$F143,0))),CRONO!AU$12,OFFSET(CÁLCULO!$AR$15:$BR$15,$F143,0,OFFSET(ORÇAMENTO!$D$15,CRONO!$F143,0)))
                +IF(AND($F145&lt;&gt;"",$F145&lt;&gt;0),
                        SUMIF(CÁLCULO!$BS$15:$CS$205,CRONO!AU$12,CÁLCULO!$AR$15:$BR$205)/(ORÇAMENTO!$X$15-_xlfn.single(CÁLCULO.TotalAdmLocal))*CRONO!$F145,
                        0),
                 AU144*$S143),
          SUMIF(OFFSET($S145,1,0,$R143-2),($M143+1)&amp;"$",OFFSET(AU145,1,0,$R143-2)))</f>
        <v>0</v>
      </c>
      <c r="AV145" s="439" t="n">
        <f aca="false" t="array" ref="AV145:AV145">IF($R143=2,
         IF(AND(ACOMPANHAMENTO="PLE",ISNUMBER($F143)),
                SUMIF((OFFSET(CÁLCULO!$BS$15:$CS$15,$F143,0,OFFSET(ORÇAMENTO!$D$15,CRONO!$F143,0))),CRONO!AV$12,OFFSET(CÁLCULO!$AR$15:$BR$15,$F143,0,OFFSET(ORÇAMENTO!$D$15,CRONO!$F143,0)))
                +IF(AND($F145&lt;&gt;"",$F145&lt;&gt;0),
                        SUMIF(CÁLCULO!$BS$15:$CS$205,CRONO!AV$12,CÁLCULO!$AR$15:$BR$205)/(ORÇAMENTO!$X$15-_xlfn.single(CÁLCULO.TotalAdmLocal))*CRONO!$F145,
                        0),
                 AV144*$S143),
          SUMIF(OFFSET($S145,1,0,$R143-2),($M143+1)&amp;"$",OFFSET(AV145,1,0,$R143-2)))</f>
        <v>0</v>
      </c>
      <c r="AW145" s="439" t="n">
        <f aca="false" t="array" ref="AW145:AW145">IF($R143=2,
         IF(AND(ACOMPANHAMENTO="PLE",ISNUMBER($F143)),
                SUMIF((OFFSET(CÁLCULO!$BS$15:$CS$15,$F143,0,OFFSET(ORÇAMENTO!$D$15,CRONO!$F143,0))),CRONO!AW$12,OFFSET(CÁLCULO!$AR$15:$BR$15,$F143,0,OFFSET(ORÇAMENTO!$D$15,CRONO!$F143,0)))
                +IF(AND($F145&lt;&gt;"",$F145&lt;&gt;0),
                        SUMIF(CÁLCULO!$BS$15:$CS$205,CRONO!AW$12,CÁLCULO!$AR$15:$BR$205)/(ORÇAMENTO!$X$15-_xlfn.single(CÁLCULO.TotalAdmLocal))*CRONO!$F145,
                        0),
                 AW144*$S143),
          SUMIF(OFFSET($S145,1,0,$R143-2),($M143+1)&amp;"$",OFFSET(AW145,1,0,$R143-2)))</f>
        <v>0</v>
      </c>
      <c r="AX145" s="439" t="n">
        <f aca="false" t="array" ref="AX145:AX145">IF($R143=2,
         IF(AND(ACOMPANHAMENTO="PLE",ISNUMBER($F143)),
                SUMIF((OFFSET(CÁLCULO!$BS$15:$CS$15,$F143,0,OFFSET(ORÇAMENTO!$D$15,CRONO!$F143,0))),CRONO!AX$12,OFFSET(CÁLCULO!$AR$15:$BR$15,$F143,0,OFFSET(ORÇAMENTO!$D$15,CRONO!$F143,0)))
                +IF(AND($F145&lt;&gt;"",$F145&lt;&gt;0),
                        SUMIF(CÁLCULO!$BS$15:$CS$205,CRONO!AX$12,CÁLCULO!$AR$15:$BR$205)/(ORÇAMENTO!$X$15-_xlfn.single(CÁLCULO.TotalAdmLocal))*CRONO!$F145,
                        0),
                 AX144*$S143),
          SUMIF(OFFSET($S145,1,0,$R143-2),($M143+1)&amp;"$",OFFSET(AX145,1,0,$R143-2)))</f>
        <v>0</v>
      </c>
      <c r="AY145" s="439" t="n">
        <f aca="false" t="array" ref="AY145:AY145">IF($R143=2,
         IF(AND(ACOMPANHAMENTO="PLE",ISNUMBER($F143)),
                SUMIF((OFFSET(CÁLCULO!$BS$15:$CS$15,$F143,0,OFFSET(ORÇAMENTO!$D$15,CRONO!$F143,0))),CRONO!AY$12,OFFSET(CÁLCULO!$AR$15:$BR$15,$F143,0,OFFSET(ORÇAMENTO!$D$15,CRONO!$F143,0)))
                +IF(AND($F145&lt;&gt;"",$F145&lt;&gt;0),
                        SUMIF(CÁLCULO!$BS$15:$CS$205,CRONO!AY$12,CÁLCULO!$AR$15:$BR$205)/(ORÇAMENTO!$X$15-_xlfn.single(CÁLCULO.TotalAdmLocal))*CRONO!$F145,
                        0),
                 AY144*$S143),
          SUMIF(OFFSET($S145,1,0,$R143-2),($M143+1)&amp;"$",OFFSET(AY145,1,0,$R143-2)))</f>
        <v>0</v>
      </c>
      <c r="AZ145" s="439" t="n">
        <f aca="false" t="array" ref="AZ145:AZ145">IF($R143=2,
         IF(AND(ACOMPANHAMENTO="PLE",ISNUMBER($F143)),
                SUMIF((OFFSET(CÁLCULO!$BS$15:$CS$15,$F143,0,OFFSET(ORÇAMENTO!$D$15,CRONO!$F143,0))),CRONO!AZ$12,OFFSET(CÁLCULO!$AR$15:$BR$15,$F143,0,OFFSET(ORÇAMENTO!$D$15,CRONO!$F143,0)))
                +IF(AND($F145&lt;&gt;"",$F145&lt;&gt;0),
                        SUMIF(CÁLCULO!$BS$15:$CS$205,CRONO!AZ$12,CÁLCULO!$AR$15:$BR$205)/(ORÇAMENTO!$X$15-_xlfn.single(CÁLCULO.TotalAdmLocal))*CRONO!$F145,
                        0),
                 AZ144*$S143),
          SUMIF(OFFSET($S145,1,0,$R143-2),($M143+1)&amp;"$",OFFSET(AZ145,1,0,$R143-2)))</f>
        <v>0</v>
      </c>
      <c r="BA145" s="439" t="n">
        <f aca="false" t="array" ref="BA145:BA145">IF($R143=2,
         IF(AND(ACOMPANHAMENTO="PLE",ISNUMBER($F143)),
                SUMIF((OFFSET(CÁLCULO!$BS$15:$CS$15,$F143,0,OFFSET(ORÇAMENTO!$D$15,CRONO!$F143,0))),CRONO!BA$12,OFFSET(CÁLCULO!$AR$15:$BR$15,$F143,0,OFFSET(ORÇAMENTO!$D$15,CRONO!$F143,0)))
                +IF(AND($F145&lt;&gt;"",$F145&lt;&gt;0),
                        SUMIF(CÁLCULO!$BS$15:$CS$205,CRONO!BA$12,CÁLCULO!$AR$15:$BR$205)/(ORÇAMENTO!$X$15-_xlfn.single(CÁLCULO.TotalAdmLocal))*CRONO!$F145,
                        0),
                 BA144*$S143),
          SUMIF(OFFSET($S145,1,0,$R143-2),($M143+1)&amp;"$",OFFSET(BA145,1,0,$R143-2)))</f>
        <v>0</v>
      </c>
      <c r="BB145" s="439" t="n">
        <f aca="false" t="array" ref="BB145:BB145">IF($R143=2,
         IF(AND(ACOMPANHAMENTO="PLE",ISNUMBER($F143)),
                SUMIF((OFFSET(CÁLCULO!$BS$15:$CS$15,$F143,0,OFFSET(ORÇAMENTO!$D$15,CRONO!$F143,0))),CRONO!BB$12,OFFSET(CÁLCULO!$AR$15:$BR$15,$F143,0,OFFSET(ORÇAMENTO!$D$15,CRONO!$F143,0)))
                +IF(AND($F145&lt;&gt;"",$F145&lt;&gt;0),
                        SUMIF(CÁLCULO!$BS$15:$CS$205,CRONO!BB$12,CÁLCULO!$AR$15:$BR$205)/(ORÇAMENTO!$X$15-_xlfn.single(CÁLCULO.TotalAdmLocal))*CRONO!$F145,
                        0),
                 BB144*$S143),
          SUMIF(OFFSET($S145,1,0,$R143-2),($M143+1)&amp;"$",OFFSET(BB145,1,0,$R143-2)))</f>
        <v>0</v>
      </c>
      <c r="BC145" s="439" t="n">
        <f aca="false" t="array" ref="BC145:BC145">IF($R143=2,
         IF(AND(ACOMPANHAMENTO="PLE",ISNUMBER($F143)),
                SUMIF((OFFSET(CÁLCULO!$BS$15:$CS$15,$F143,0,OFFSET(ORÇAMENTO!$D$15,CRONO!$F143,0))),CRONO!BC$12,OFFSET(CÁLCULO!$AR$15:$BR$15,$F143,0,OFFSET(ORÇAMENTO!$D$15,CRONO!$F143,0)))
                +IF(AND($F145&lt;&gt;"",$F145&lt;&gt;0),
                        SUMIF(CÁLCULO!$BS$15:$CS$205,CRONO!BC$12,CÁLCULO!$AR$15:$BR$205)/(ORÇAMENTO!$X$15-_xlfn.single(CÁLCULO.TotalAdmLocal))*CRONO!$F145,
                        0),
                 BC144*$S143),
          SUMIF(OFFSET($S145,1,0,$R143-2),($M143+1)&amp;"$",OFFSET(BC145,1,0,$R143-2)))</f>
        <v>0</v>
      </c>
      <c r="BD145" s="439" t="n">
        <f aca="false" t="array" ref="BD145:BD145">IF($R143=2,
         IF(AND(ACOMPANHAMENTO="PLE",ISNUMBER($F143)),
                SUMIF((OFFSET(CÁLCULO!$BS$15:$CS$15,$F143,0,OFFSET(ORÇAMENTO!$D$15,CRONO!$F143,0))),CRONO!BD$12,OFFSET(CÁLCULO!$AR$15:$BR$15,$F143,0,OFFSET(ORÇAMENTO!$D$15,CRONO!$F143,0)))
                +IF(AND($F145&lt;&gt;"",$F145&lt;&gt;0),
                        SUMIF(CÁLCULO!$BS$15:$CS$205,CRONO!BD$12,CÁLCULO!$AR$15:$BR$205)/(ORÇAMENTO!$X$15-_xlfn.single(CÁLCULO.TotalAdmLocal))*CRONO!$F145,
                        0),
                 BD144*$S143),
          SUMIF(OFFSET($S145,1,0,$R143-2),($M143+1)&amp;"$",OFFSET(BD145,1,0,$R143-2)))</f>
        <v>0</v>
      </c>
      <c r="BE145" s="430"/>
    </row>
    <row r="146" customFormat="false" ht="12.75" hidden="true" customHeight="false" outlineLevel="0" collapsed="false">
      <c r="A146" s="382" t="str">
        <f aca="false">IF($M146&gt;1,_xlfn.CONCAT($I146," ",$J146),"")</f>
        <v>1.44. SANITÁRIAS / PLUVIAL</v>
      </c>
      <c r="B146" s="419" t="n">
        <f aca="true">OFFSET(B146,-3,0)+1</f>
        <v>45</v>
      </c>
      <c r="C146" s="419" t="n">
        <f aca="true">IF($R146&lt;&gt;2,0,IF($S146=0,1,IF(F147&gt;0,OFFSET(QCI!$M$13,SUBSTITUTE(F147,".",""),0),OFFSET(ORÇAMENTO!$AA$15,CRONO!$F146,0))/$S146))</f>
        <v>1</v>
      </c>
      <c r="D146" s="419" t="n">
        <f aca="true">IF($R146&lt;&gt;2,0,IF($S146=0,1,IF(F147&gt;0,OFFSET(QCI!$N$13,SUBSTITUTE(F147,".",""),0),OFFSET(ORÇAMENTO!$AB$15,CRONO!$F146,0))/$S146))</f>
        <v>1</v>
      </c>
      <c r="E146" s="422" t="e">
        <f aca="false" t="array" ref="E146:E146">IF(AND($R146=2,ACOMPANHAMENTO="BM"),ROUND(E147,4),E148/$S146)</f>
        <v>#DIV/0!</v>
      </c>
      <c r="F146" s="419" t="n">
        <f aca="true">IF(B146&lt;=ORÇAMENTO.MáximoListaCrono,MATCH(B146,ORÇAMENTO.ListaCrono,0),NA())</f>
        <v>156</v>
      </c>
      <c r="G146" s="419" t="str">
        <f aca="false">IF(AND($F147&lt;&gt;-1,$S146&gt;0),"F","")</f>
        <v/>
      </c>
      <c r="H146" s="423" t="str">
        <f aca="false" t="array" ref="H146:H146">IF(OR(S146=0,S146=""),"Linha",IF(AND(OR(ACOMPANHAMENTO="PLE",$R146&lt;&gt;2),$F147=0),"Linha",ROUND(1-SUM(U146:BE146),4)))</f>
        <v>Linha</v>
      </c>
      <c r="I146" s="424" t="str">
        <f aca="true">IF($F147=0,OFFSET(ORÇAMENTO!O$15,$F146,0),IF($F147&lt;&gt;-1,OFFSET(QCI!$D$13,$F147,0),""))</f>
        <v>1.44.</v>
      </c>
      <c r="J146" s="425" t="str">
        <f aca="true">IF($F147=0,OFFSET(ORÇAMENTO!R$15,$F146,0),IF($F147&lt;&gt;-1,OFFSET(QCI!$G$13,$F147,0),""))</f>
        <v>SANITÁRIAS / PLUVIAL</v>
      </c>
      <c r="K146" s="425"/>
      <c r="L146" s="425"/>
      <c r="M146" s="426" t="n">
        <f aca="true">IF($F147=0,OFFSET(ORÇAMENTO!C$15,$F146,0),1)</f>
        <v>2</v>
      </c>
      <c r="N146" s="427" t="n">
        <f aca="true">IF($F147=-1,0,IF(N$13&lt;=$M146,IF(ISERROR(MATCH(N$13,OFFSET($M146,1,0,ROW($M$182)-ROW($M146)-1),0)),ROW($M$182)-ROW($M146)-1,MATCH(N$13,OFFSET($M146,1,0,ROW($M$182)-ROW($M146)-1),0)-1),0))</f>
        <v>35</v>
      </c>
      <c r="O146" s="427" t="n">
        <f aca="true">IF($F147=-1,0,IF(O$13&lt;=$M146,IF(ISERROR(MATCH(O$13,OFFSET($M146,1,0,ROW($M$182)-ROW($M146)-1),0)),ROW($M$182)-ROW($M146)-1,MATCH(O$13,OFFSET($M146,1,0,ROW($M$182)-ROW($M146)-1),0)-1),0))</f>
        <v>2</v>
      </c>
      <c r="P146" s="427" t="n">
        <f aca="true">IF($F147=-1,0,IF(P$13&lt;=$M146,IF(ISERROR(MATCH(P$13,OFFSET($M146,1,0,ROW($M$182)-ROW($M146)-1),0)),ROW($M$182)-ROW($M146)-1,MATCH(P$13,OFFSET($M146,1,0,ROW($M$182)-ROW($M146)-1),0)-1),0))</f>
        <v>0</v>
      </c>
      <c r="Q146" s="427" t="n">
        <f aca="true">IF($F147=-1,0,IF(Q$13&lt;=$M146,IF(ISERROR(MATCH(Q$13,OFFSET($M146,1,0,ROW($M$182)-ROW($M146)-1),0)),ROW($M$182)-ROW($M146)-1,MATCH(Q$13,OFFSET($M146,1,0,ROW($M$182)-ROW($M146)-1),0)-1),0))</f>
        <v>0</v>
      </c>
      <c r="R146" s="427" t="n">
        <f aca="true">MIN(OFFSET(M146,0,1,,M146))</f>
        <v>2</v>
      </c>
      <c r="S146" s="428" t="n">
        <f aca="true">IF($F147=0,OFFSET(ORÇAMENTO!X$15,$F146,0),IF($F147&lt;&gt;-1,OFFSET(QCI!$O$13,$F147,0),""))</f>
        <v>0</v>
      </c>
      <c r="T146" s="429" t="s">
        <v>996</v>
      </c>
      <c r="U146" s="422" t="e">
        <f aca="false" t="array" ref="U146:U146">IF(AND($R146=2,ACOMPANHAMENTO="BM"),ROUND(U147,4),U148/$S146)</f>
        <v>#DIV/0!</v>
      </c>
      <c r="V146" s="422" t="e">
        <f aca="false" t="array" ref="V146:V146">IF(AND($R146=2,ACOMPANHAMENTO="BM"),ROUND(V147,4),V148/$S146)</f>
        <v>#DIV/0!</v>
      </c>
      <c r="W146" s="422" t="e">
        <f aca="false" t="array" ref="W146:W146">IF(AND($R146=2,ACOMPANHAMENTO="BM"),ROUND(W147,4),W148/$S146)</f>
        <v>#DIV/0!</v>
      </c>
      <c r="X146" s="422" t="e">
        <f aca="false" t="array" ref="X146:X146">IF(AND($R146=2,ACOMPANHAMENTO="BM"),ROUND(X147,4),X148/$S146)</f>
        <v>#DIV/0!</v>
      </c>
      <c r="Y146" s="422" t="e">
        <f aca="false" t="array" ref="Y146:Y146">IF(AND($R146=2,ACOMPANHAMENTO="BM"),ROUND(Y147,4),Y148/$S146)</f>
        <v>#DIV/0!</v>
      </c>
      <c r="Z146" s="422" t="e">
        <f aca="false" t="array" ref="Z146:Z146">IF(AND($R146=2,ACOMPANHAMENTO="BM"),ROUND(Z147,4),Z148/$S146)</f>
        <v>#DIV/0!</v>
      </c>
      <c r="AA146" s="422" t="e">
        <f aca="false" t="array" ref="AA146:AA146">IF(AND($R146=2,ACOMPANHAMENTO="BM"),ROUND(AA147,4),AA148/$S146)</f>
        <v>#DIV/0!</v>
      </c>
      <c r="AB146" s="422" t="e">
        <f aca="false" t="array" ref="AB146:AB146">IF(AND($R146=2,ACOMPANHAMENTO="BM"),ROUND(AB147,4),AB148/$S146)</f>
        <v>#DIV/0!</v>
      </c>
      <c r="AC146" s="422" t="e">
        <f aca="false" t="array" ref="AC146:AC146">IF(AND($R146=2,ACOMPANHAMENTO="BM"),ROUND(AC147,4),AC148/$S146)</f>
        <v>#DIV/0!</v>
      </c>
      <c r="AD146" s="422" t="e">
        <f aca="false" t="array" ref="AD146:AD146">IF(AND($R146=2,ACOMPANHAMENTO="BM"),ROUND(AD147,4),AD148/$S146)</f>
        <v>#DIV/0!</v>
      </c>
      <c r="AE146" s="422" t="e">
        <f aca="false" t="array" ref="AE146:AE146">IF(AND($R146=2,ACOMPANHAMENTO="BM"),ROUND(AE147,4),AE148/$S146)</f>
        <v>#DIV/0!</v>
      </c>
      <c r="AF146" s="422" t="e">
        <f aca="false" t="array" ref="AF146:AF146">IF(AND($R146=2,ACOMPANHAMENTO="BM"),ROUND(AF147,4),AF148/$S146)</f>
        <v>#DIV/0!</v>
      </c>
      <c r="AG146" s="422" t="e">
        <f aca="false" t="array" ref="AG146:AG146">IF(AND($R146=2,ACOMPANHAMENTO="BM"),ROUND(AG147,4),AG148/$S146)</f>
        <v>#DIV/0!</v>
      </c>
      <c r="AH146" s="422" t="e">
        <f aca="false" t="array" ref="AH146:AH146">IF(AND($R146=2,ACOMPANHAMENTO="BM"),ROUND(AH147,4),AH148/$S146)</f>
        <v>#DIV/0!</v>
      </c>
      <c r="AI146" s="422" t="e">
        <f aca="false" t="array" ref="AI146:AI146">IF(AND($R146=2,ACOMPANHAMENTO="BM"),ROUND(AI147,4),AI148/$S146)</f>
        <v>#DIV/0!</v>
      </c>
      <c r="AJ146" s="422" t="e">
        <f aca="false" t="array" ref="AJ146:AJ146">IF(AND($R146=2,ACOMPANHAMENTO="BM"),ROUND(AJ147,4),AJ148/$S146)</f>
        <v>#DIV/0!</v>
      </c>
      <c r="AK146" s="422" t="e">
        <f aca="false" t="array" ref="AK146:AK146">IF(AND($R146=2,ACOMPANHAMENTO="BM"),ROUND(AK147,4),AK148/$S146)</f>
        <v>#DIV/0!</v>
      </c>
      <c r="AL146" s="422" t="e">
        <f aca="false" t="array" ref="AL146:AL146">IF(AND($R146=2,ACOMPANHAMENTO="BM"),ROUND(AL147,4),AL148/$S146)</f>
        <v>#DIV/0!</v>
      </c>
      <c r="AM146" s="422" t="e">
        <f aca="false" t="array" ref="AM146:AM146">IF(AND($R146=2,ACOMPANHAMENTO="BM"),ROUND(AM147,4),AM148/$S146)</f>
        <v>#DIV/0!</v>
      </c>
      <c r="AN146" s="422" t="e">
        <f aca="false" t="array" ref="AN146:AN146">IF(AND($R146=2,ACOMPANHAMENTO="BM"),ROUND(AN147,4),AN148/$S146)</f>
        <v>#DIV/0!</v>
      </c>
      <c r="AO146" s="422" t="e">
        <f aca="false" t="array" ref="AO146:AO146">IF(AND($R146=2,ACOMPANHAMENTO="BM"),ROUND(AO147,4),AO148/$S146)</f>
        <v>#DIV/0!</v>
      </c>
      <c r="AP146" s="422" t="e">
        <f aca="false" t="array" ref="AP146:AP146">IF(AND($R146=2,ACOMPANHAMENTO="BM"),ROUND(AP147,4),AP148/$S146)</f>
        <v>#DIV/0!</v>
      </c>
      <c r="AQ146" s="422" t="e">
        <f aca="false" t="array" ref="AQ146:AQ146">IF(AND($R146=2,ACOMPANHAMENTO="BM"),ROUND(AQ147,4),AQ148/$S146)</f>
        <v>#DIV/0!</v>
      </c>
      <c r="AR146" s="422" t="e">
        <f aca="false" t="array" ref="AR146:AR146">IF(AND($R146=2,ACOMPANHAMENTO="BM"),ROUND(AR147,4),AR148/$S146)</f>
        <v>#DIV/0!</v>
      </c>
      <c r="AS146" s="422" t="e">
        <f aca="false" t="array" ref="AS146:AS146">IF(AND($R146=2,ACOMPANHAMENTO="BM"),ROUND(AS147,4),AS148/$S146)</f>
        <v>#DIV/0!</v>
      </c>
      <c r="AT146" s="422" t="e">
        <f aca="false" t="array" ref="AT146:AT146">IF(AND($R146=2,ACOMPANHAMENTO="BM"),ROUND(AT147,4),AT148/$S146)</f>
        <v>#DIV/0!</v>
      </c>
      <c r="AU146" s="422" t="e">
        <f aca="false" t="array" ref="AU146:AU146">IF(AND($R146=2,ACOMPANHAMENTO="BM"),ROUND(AU147,4),AU148/$S146)</f>
        <v>#DIV/0!</v>
      </c>
      <c r="AV146" s="422" t="e">
        <f aca="false" t="array" ref="AV146:AV146">IF(AND($R146=2,ACOMPANHAMENTO="BM"),ROUND(AV147,4),AV148/$S146)</f>
        <v>#DIV/0!</v>
      </c>
      <c r="AW146" s="422" t="e">
        <f aca="false" t="array" ref="AW146:AW146">IF(AND($R146=2,ACOMPANHAMENTO="BM"),ROUND(AW147,4),AW148/$S146)</f>
        <v>#DIV/0!</v>
      </c>
      <c r="AX146" s="422" t="e">
        <f aca="false" t="array" ref="AX146:AX146">IF(AND($R146=2,ACOMPANHAMENTO="BM"),ROUND(AX147,4),AX148/$S146)</f>
        <v>#DIV/0!</v>
      </c>
      <c r="AY146" s="422" t="e">
        <f aca="false" t="array" ref="AY146:AY146">IF(AND($R146=2,ACOMPANHAMENTO="BM"),ROUND(AY147,4),AY148/$S146)</f>
        <v>#DIV/0!</v>
      </c>
      <c r="AZ146" s="422" t="e">
        <f aca="false" t="array" ref="AZ146:AZ146">IF(AND($R146=2,ACOMPANHAMENTO="BM"),ROUND(AZ147,4),AZ148/$S146)</f>
        <v>#DIV/0!</v>
      </c>
      <c r="BA146" s="422" t="e">
        <f aca="false" t="array" ref="BA146:BA146">IF(AND($R146=2,ACOMPANHAMENTO="BM"),ROUND(BA147,4),BA148/$S146)</f>
        <v>#DIV/0!</v>
      </c>
      <c r="BB146" s="422" t="e">
        <f aca="false" t="array" ref="BB146:BB146">IF(AND($R146=2,ACOMPANHAMENTO="BM"),ROUND(BB147,4),BB148/$S146)</f>
        <v>#DIV/0!</v>
      </c>
      <c r="BC146" s="422" t="e">
        <f aca="false" t="array" ref="BC146:BC146">IF(AND($R146=2,ACOMPANHAMENTO="BM"),ROUND(BC147,4),BC148/$S146)</f>
        <v>#DIV/0!</v>
      </c>
      <c r="BD146" s="422" t="e">
        <f aca="false" t="array" ref="BD146:BD146">IF(AND($R146=2,ACOMPANHAMENTO="BM"),ROUND(BD147,4),BD148/$S146)</f>
        <v>#DIV/0!</v>
      </c>
      <c r="BE146" s="430"/>
    </row>
    <row r="147" customFormat="false" ht="12.75" hidden="true" customHeight="true" outlineLevel="0" collapsed="false">
      <c r="E147" s="431"/>
      <c r="F147" s="419" t="n">
        <f aca="true">IF(ISERROR(F146),IF(1+COUNTIF($M$13:OFFSET(M146,-1,0),1)&lt;=MAX(QCI!$D$13:$D$15),1+COUNTIF($M$13:OFFSET(M146,-1,0),1),-1),0)</f>
        <v>0</v>
      </c>
      <c r="G147" s="419" t="str">
        <f aca="true" t="array" ref="G147:G147">IF(ACOMPANHAMENTO="BM",OFFSET(G147,-1,0),"")</f>
        <v/>
      </c>
      <c r="H147" s="432" t="str">
        <f aca="false" t="array" ref="H147:H147">IF(OR(S146=0,S146=""),"vazia",IF(AND(OR(ACOMPANHAMENTO="PLE",$R146&lt;&gt;2),$F147=0),"calculada","--&gt;"))</f>
        <v>vazia</v>
      </c>
      <c r="I147" s="433"/>
      <c r="J147" s="434" t="str">
        <f aca="false">IF(AND(H146&lt;&gt;0,ISNUMBER(H146)),"PREENCHA ESTA LINHA --&gt;","")</f>
        <v/>
      </c>
      <c r="K147" s="434"/>
      <c r="L147" s="434"/>
      <c r="M147" s="435"/>
      <c r="N147" s="435"/>
      <c r="O147" s="435"/>
      <c r="P147" s="435"/>
      <c r="Q147" s="435"/>
      <c r="R147" s="435"/>
      <c r="S147" s="436"/>
      <c r="T147" s="437"/>
      <c r="U147" s="431"/>
      <c r="V147" s="431"/>
      <c r="W147" s="431"/>
      <c r="X147" s="431"/>
      <c r="Y147" s="431"/>
      <c r="Z147" s="431"/>
      <c r="AA147" s="431"/>
      <c r="AB147" s="431"/>
      <c r="AC147" s="431"/>
      <c r="AD147" s="431"/>
      <c r="AE147" s="431"/>
      <c r="AF147" s="431"/>
      <c r="AG147" s="431"/>
      <c r="AH147" s="431"/>
      <c r="AI147" s="431"/>
      <c r="AJ147" s="431"/>
      <c r="AK147" s="431"/>
      <c r="AL147" s="431"/>
      <c r="AM147" s="431"/>
      <c r="AN147" s="431"/>
      <c r="AO147" s="431"/>
      <c r="AP147" s="431"/>
      <c r="AQ147" s="431"/>
      <c r="AR147" s="431"/>
      <c r="AS147" s="431"/>
      <c r="AT147" s="431"/>
      <c r="AU147" s="431"/>
      <c r="AV147" s="431"/>
      <c r="AW147" s="431"/>
      <c r="AX147" s="431"/>
      <c r="AY147" s="431"/>
      <c r="AZ147" s="431"/>
      <c r="BA147" s="431"/>
      <c r="BB147" s="431"/>
      <c r="BC147" s="431"/>
      <c r="BD147" s="431"/>
      <c r="BE147" s="430"/>
    </row>
    <row r="148" customFormat="false" ht="12.75" hidden="true" customHeight="true" outlineLevel="0" collapsed="false">
      <c r="D148" s="438"/>
      <c r="E148" s="439" t="n">
        <f aca="false" t="array" ref="E148:E148">IF($R146=2,
         IF(AND(ACOMPANHAMENTO="PLE",ISNUMBER($F146)),
                SUMIF((OFFSET(CÁLCULO!$BS$15:$CS$15,$F146,0,OFFSET(ORÇAMENTO!$D$15,CRONO!$F146,0))),CRONO!E$12,OFFSET(CÁLCULO!$AR$15:$BR$15,$F146,0,OFFSET(ORÇAMENTO!$D$15,CRONO!$F146,0)))
                +IF(AND($F148&lt;&gt;"",$F148&lt;&gt;0),
                        SUMIF(CÁLCULO!$BS$15:$CS$205,CRONO!E$12,CÁLCULO!$AR$15:$BR$205)/(ORÇAMENTO!$X$15-_xlfn.single(CÁLCULO.TotalAdmLocal))*CRONO!$F148,
                        0),
                 E147*$S146),
          SUMIF(OFFSET($S148,1,0,$R146-2),($M146+1)&amp;"$",OFFSET(E148,1,0,$R146-2)))</f>
        <v>0</v>
      </c>
      <c r="F148" s="419" t="str">
        <f aca="true">IF(OR($R146&lt;&gt;2,AUTOEVENTO&lt;&gt;"manual",$F147&gt;0),"",
        IF(Import.TipoArredondamento="Tradicional",
              SUMIF(OFFSET(CÁLCULO!$M$15,CRONO!$F146,0,OFFSET(ORÇAMENTO!$D$15,CRONO!$F146,0)),1,OFFSET(ORÇAMENTO!$X$15,CRONO!$F146,0,OFFSET(ORÇAMENTO!$D$15,CRONO!$F146,0))),
              0))</f>
        <v/>
      </c>
      <c r="H148" s="440"/>
      <c r="S148" s="441" t="str">
        <f aca="false">M146&amp;"$"</f>
        <v>2$</v>
      </c>
      <c r="T148" s="442"/>
      <c r="U148" s="439" t="n">
        <f aca="false" t="array" ref="U148:U148">IF($R146=2,
         IF(AND(ACOMPANHAMENTO="PLE",ISNUMBER($F146)),
                SUMIF((OFFSET(CÁLCULO!$BS$15:$CS$15,$F146,0,OFFSET(ORÇAMENTO!$D$15,CRONO!$F146,0))),CRONO!U$12,OFFSET(CÁLCULO!$AR$15:$BR$15,$F146,0,OFFSET(ORÇAMENTO!$D$15,CRONO!$F146,0)))
                +IF(AND($F148&lt;&gt;"",$F148&lt;&gt;0),
                        SUMIF(CÁLCULO!$BS$15:$CS$205,CRONO!U$12,CÁLCULO!$AR$15:$BR$205)/(ORÇAMENTO!$X$15-_xlfn.single(CÁLCULO.TotalAdmLocal))*CRONO!$F148,
                        0),
                 U147*$S146),
          SUMIF(OFFSET($S148,1,0,$R146-2),($M146+1)&amp;"$",OFFSET(U148,1,0,$R146-2)))</f>
        <v>0</v>
      </c>
      <c r="V148" s="439" t="n">
        <f aca="false" t="array" ref="V148:V148">IF($R146=2,
         IF(AND(ACOMPANHAMENTO="PLE",ISNUMBER($F146)),
                SUMIF((OFFSET(CÁLCULO!$BS$15:$CS$15,$F146,0,OFFSET(ORÇAMENTO!$D$15,CRONO!$F146,0))),CRONO!V$12,OFFSET(CÁLCULO!$AR$15:$BR$15,$F146,0,OFFSET(ORÇAMENTO!$D$15,CRONO!$F146,0)))
                +IF(AND($F148&lt;&gt;"",$F148&lt;&gt;0),
                        SUMIF(CÁLCULO!$BS$15:$CS$205,CRONO!V$12,CÁLCULO!$AR$15:$BR$205)/(ORÇAMENTO!$X$15-_xlfn.single(CÁLCULO.TotalAdmLocal))*CRONO!$F148,
                        0),
                 V147*$S146),
          SUMIF(OFFSET($S148,1,0,$R146-2),($M146+1)&amp;"$",OFFSET(V148,1,0,$R146-2)))</f>
        <v>0</v>
      </c>
      <c r="W148" s="439" t="n">
        <f aca="false" t="array" ref="W148:W148">IF($R146=2,
         IF(AND(ACOMPANHAMENTO="PLE",ISNUMBER($F146)),
                SUMIF((OFFSET(CÁLCULO!$BS$15:$CS$15,$F146,0,OFFSET(ORÇAMENTO!$D$15,CRONO!$F146,0))),CRONO!W$12,OFFSET(CÁLCULO!$AR$15:$BR$15,$F146,0,OFFSET(ORÇAMENTO!$D$15,CRONO!$F146,0)))
                +IF(AND($F148&lt;&gt;"",$F148&lt;&gt;0),
                        SUMIF(CÁLCULO!$BS$15:$CS$205,CRONO!W$12,CÁLCULO!$AR$15:$BR$205)/(ORÇAMENTO!$X$15-_xlfn.single(CÁLCULO.TotalAdmLocal))*CRONO!$F148,
                        0),
                 W147*$S146),
          SUMIF(OFFSET($S148,1,0,$R146-2),($M146+1)&amp;"$",OFFSET(W148,1,0,$R146-2)))</f>
        <v>0</v>
      </c>
      <c r="X148" s="439" t="n">
        <f aca="false" t="array" ref="X148:X148">IF($R146=2,
         IF(AND(ACOMPANHAMENTO="PLE",ISNUMBER($F146)),
                SUMIF((OFFSET(CÁLCULO!$BS$15:$CS$15,$F146,0,OFFSET(ORÇAMENTO!$D$15,CRONO!$F146,0))),CRONO!X$12,OFFSET(CÁLCULO!$AR$15:$BR$15,$F146,0,OFFSET(ORÇAMENTO!$D$15,CRONO!$F146,0)))
                +IF(AND($F148&lt;&gt;"",$F148&lt;&gt;0),
                        SUMIF(CÁLCULO!$BS$15:$CS$205,CRONO!X$12,CÁLCULO!$AR$15:$BR$205)/(ORÇAMENTO!$X$15-_xlfn.single(CÁLCULO.TotalAdmLocal))*CRONO!$F148,
                        0),
                 X147*$S146),
          SUMIF(OFFSET($S148,1,0,$R146-2),($M146+1)&amp;"$",OFFSET(X148,1,0,$R146-2)))</f>
        <v>0</v>
      </c>
      <c r="Y148" s="439" t="n">
        <f aca="false" t="array" ref="Y148:Y148">IF($R146=2,
         IF(AND(ACOMPANHAMENTO="PLE",ISNUMBER($F146)),
                SUMIF((OFFSET(CÁLCULO!$BS$15:$CS$15,$F146,0,OFFSET(ORÇAMENTO!$D$15,CRONO!$F146,0))),CRONO!Y$12,OFFSET(CÁLCULO!$AR$15:$BR$15,$F146,0,OFFSET(ORÇAMENTO!$D$15,CRONO!$F146,0)))
                +IF(AND($F148&lt;&gt;"",$F148&lt;&gt;0),
                        SUMIF(CÁLCULO!$BS$15:$CS$205,CRONO!Y$12,CÁLCULO!$AR$15:$BR$205)/(ORÇAMENTO!$X$15-_xlfn.single(CÁLCULO.TotalAdmLocal))*CRONO!$F148,
                        0),
                 Y147*$S146),
          SUMIF(OFFSET($S148,1,0,$R146-2),($M146+1)&amp;"$",OFFSET(Y148,1,0,$R146-2)))</f>
        <v>0</v>
      </c>
      <c r="Z148" s="439" t="n">
        <f aca="false" t="array" ref="Z148:Z148">IF($R146=2,
         IF(AND(ACOMPANHAMENTO="PLE",ISNUMBER($F146)),
                SUMIF((OFFSET(CÁLCULO!$BS$15:$CS$15,$F146,0,OFFSET(ORÇAMENTO!$D$15,CRONO!$F146,0))),CRONO!Z$12,OFFSET(CÁLCULO!$AR$15:$BR$15,$F146,0,OFFSET(ORÇAMENTO!$D$15,CRONO!$F146,0)))
                +IF(AND($F148&lt;&gt;"",$F148&lt;&gt;0),
                        SUMIF(CÁLCULO!$BS$15:$CS$205,CRONO!Z$12,CÁLCULO!$AR$15:$BR$205)/(ORÇAMENTO!$X$15-_xlfn.single(CÁLCULO.TotalAdmLocal))*CRONO!$F148,
                        0),
                 Z147*$S146),
          SUMIF(OFFSET($S148,1,0,$R146-2),($M146+1)&amp;"$",OFFSET(Z148,1,0,$R146-2)))</f>
        <v>0</v>
      </c>
      <c r="AA148" s="439" t="n">
        <f aca="false" t="array" ref="AA148:AA148">IF($R146=2,
         IF(AND(ACOMPANHAMENTO="PLE",ISNUMBER($F146)),
                SUMIF((OFFSET(CÁLCULO!$BS$15:$CS$15,$F146,0,OFFSET(ORÇAMENTO!$D$15,CRONO!$F146,0))),CRONO!AA$12,OFFSET(CÁLCULO!$AR$15:$BR$15,$F146,0,OFFSET(ORÇAMENTO!$D$15,CRONO!$F146,0)))
                +IF(AND($F148&lt;&gt;"",$F148&lt;&gt;0),
                        SUMIF(CÁLCULO!$BS$15:$CS$205,CRONO!AA$12,CÁLCULO!$AR$15:$BR$205)/(ORÇAMENTO!$X$15-_xlfn.single(CÁLCULO.TotalAdmLocal))*CRONO!$F148,
                        0),
                 AA147*$S146),
          SUMIF(OFFSET($S148,1,0,$R146-2),($M146+1)&amp;"$",OFFSET(AA148,1,0,$R146-2)))</f>
        <v>0</v>
      </c>
      <c r="AB148" s="439" t="n">
        <f aca="false" t="array" ref="AB148:AB148">IF($R146=2,
         IF(AND(ACOMPANHAMENTO="PLE",ISNUMBER($F146)),
                SUMIF((OFFSET(CÁLCULO!$BS$15:$CS$15,$F146,0,OFFSET(ORÇAMENTO!$D$15,CRONO!$F146,0))),CRONO!AB$12,OFFSET(CÁLCULO!$AR$15:$BR$15,$F146,0,OFFSET(ORÇAMENTO!$D$15,CRONO!$F146,0)))
                +IF(AND($F148&lt;&gt;"",$F148&lt;&gt;0),
                        SUMIF(CÁLCULO!$BS$15:$CS$205,CRONO!AB$12,CÁLCULO!$AR$15:$BR$205)/(ORÇAMENTO!$X$15-_xlfn.single(CÁLCULO.TotalAdmLocal))*CRONO!$F148,
                        0),
                 AB147*$S146),
          SUMIF(OFFSET($S148,1,0,$R146-2),($M146+1)&amp;"$",OFFSET(AB148,1,0,$R146-2)))</f>
        <v>0</v>
      </c>
      <c r="AC148" s="439" t="n">
        <f aca="false" t="array" ref="AC148:AC148">IF($R146=2,
         IF(AND(ACOMPANHAMENTO="PLE",ISNUMBER($F146)),
                SUMIF((OFFSET(CÁLCULO!$BS$15:$CS$15,$F146,0,OFFSET(ORÇAMENTO!$D$15,CRONO!$F146,0))),CRONO!AC$12,OFFSET(CÁLCULO!$AR$15:$BR$15,$F146,0,OFFSET(ORÇAMENTO!$D$15,CRONO!$F146,0)))
                +IF(AND($F148&lt;&gt;"",$F148&lt;&gt;0),
                        SUMIF(CÁLCULO!$BS$15:$CS$205,CRONO!AC$12,CÁLCULO!$AR$15:$BR$205)/(ORÇAMENTO!$X$15-_xlfn.single(CÁLCULO.TotalAdmLocal))*CRONO!$F148,
                        0),
                 AC147*$S146),
          SUMIF(OFFSET($S148,1,0,$R146-2),($M146+1)&amp;"$",OFFSET(AC148,1,0,$R146-2)))</f>
        <v>0</v>
      </c>
      <c r="AD148" s="439" t="n">
        <f aca="false" t="array" ref="AD148:AD148">IF($R146=2,
         IF(AND(ACOMPANHAMENTO="PLE",ISNUMBER($F146)),
                SUMIF((OFFSET(CÁLCULO!$BS$15:$CS$15,$F146,0,OFFSET(ORÇAMENTO!$D$15,CRONO!$F146,0))),CRONO!AD$12,OFFSET(CÁLCULO!$AR$15:$BR$15,$F146,0,OFFSET(ORÇAMENTO!$D$15,CRONO!$F146,0)))
                +IF(AND($F148&lt;&gt;"",$F148&lt;&gt;0),
                        SUMIF(CÁLCULO!$BS$15:$CS$205,CRONO!AD$12,CÁLCULO!$AR$15:$BR$205)/(ORÇAMENTO!$X$15-_xlfn.single(CÁLCULO.TotalAdmLocal))*CRONO!$F148,
                        0),
                 AD147*$S146),
          SUMIF(OFFSET($S148,1,0,$R146-2),($M146+1)&amp;"$",OFFSET(AD148,1,0,$R146-2)))</f>
        <v>0</v>
      </c>
      <c r="AE148" s="439" t="n">
        <f aca="false" t="array" ref="AE148:AE148">IF($R146=2,
         IF(AND(ACOMPANHAMENTO="PLE",ISNUMBER($F146)),
                SUMIF((OFFSET(CÁLCULO!$BS$15:$CS$15,$F146,0,OFFSET(ORÇAMENTO!$D$15,CRONO!$F146,0))),CRONO!AE$12,OFFSET(CÁLCULO!$AR$15:$BR$15,$F146,0,OFFSET(ORÇAMENTO!$D$15,CRONO!$F146,0)))
                +IF(AND($F148&lt;&gt;"",$F148&lt;&gt;0),
                        SUMIF(CÁLCULO!$BS$15:$CS$205,CRONO!AE$12,CÁLCULO!$AR$15:$BR$205)/(ORÇAMENTO!$X$15-_xlfn.single(CÁLCULO.TotalAdmLocal))*CRONO!$F148,
                        0),
                 AE147*$S146),
          SUMIF(OFFSET($S148,1,0,$R146-2),($M146+1)&amp;"$",OFFSET(AE148,1,0,$R146-2)))</f>
        <v>0</v>
      </c>
      <c r="AF148" s="439" t="n">
        <f aca="false" t="array" ref="AF148:AF148">IF($R146=2,
         IF(AND(ACOMPANHAMENTO="PLE",ISNUMBER($F146)),
                SUMIF((OFFSET(CÁLCULO!$BS$15:$CS$15,$F146,0,OFFSET(ORÇAMENTO!$D$15,CRONO!$F146,0))),CRONO!AF$12,OFFSET(CÁLCULO!$AR$15:$BR$15,$F146,0,OFFSET(ORÇAMENTO!$D$15,CRONO!$F146,0)))
                +IF(AND($F148&lt;&gt;"",$F148&lt;&gt;0),
                        SUMIF(CÁLCULO!$BS$15:$CS$205,CRONO!AF$12,CÁLCULO!$AR$15:$BR$205)/(ORÇAMENTO!$X$15-_xlfn.single(CÁLCULO.TotalAdmLocal))*CRONO!$F148,
                        0),
                 AF147*$S146),
          SUMIF(OFFSET($S148,1,0,$R146-2),($M146+1)&amp;"$",OFFSET(AF148,1,0,$R146-2)))</f>
        <v>0</v>
      </c>
      <c r="AG148" s="439" t="n">
        <f aca="false" t="array" ref="AG148:AG148">IF($R146=2,
         IF(AND(ACOMPANHAMENTO="PLE",ISNUMBER($F146)),
                SUMIF((OFFSET(CÁLCULO!$BS$15:$CS$15,$F146,0,OFFSET(ORÇAMENTO!$D$15,CRONO!$F146,0))),CRONO!AG$12,OFFSET(CÁLCULO!$AR$15:$BR$15,$F146,0,OFFSET(ORÇAMENTO!$D$15,CRONO!$F146,0)))
                +IF(AND($F148&lt;&gt;"",$F148&lt;&gt;0),
                        SUMIF(CÁLCULO!$BS$15:$CS$205,CRONO!AG$12,CÁLCULO!$AR$15:$BR$205)/(ORÇAMENTO!$X$15-_xlfn.single(CÁLCULO.TotalAdmLocal))*CRONO!$F148,
                        0),
                 AG147*$S146),
          SUMIF(OFFSET($S148,1,0,$R146-2),($M146+1)&amp;"$",OFFSET(AG148,1,0,$R146-2)))</f>
        <v>0</v>
      </c>
      <c r="AH148" s="439" t="n">
        <f aca="false" t="array" ref="AH148:AH148">IF($R146=2,
         IF(AND(ACOMPANHAMENTO="PLE",ISNUMBER($F146)),
                SUMIF((OFFSET(CÁLCULO!$BS$15:$CS$15,$F146,0,OFFSET(ORÇAMENTO!$D$15,CRONO!$F146,0))),CRONO!AH$12,OFFSET(CÁLCULO!$AR$15:$BR$15,$F146,0,OFFSET(ORÇAMENTO!$D$15,CRONO!$F146,0)))
                +IF(AND($F148&lt;&gt;"",$F148&lt;&gt;0),
                        SUMIF(CÁLCULO!$BS$15:$CS$205,CRONO!AH$12,CÁLCULO!$AR$15:$BR$205)/(ORÇAMENTO!$X$15-_xlfn.single(CÁLCULO.TotalAdmLocal))*CRONO!$F148,
                        0),
                 AH147*$S146),
          SUMIF(OFFSET($S148,1,0,$R146-2),($M146+1)&amp;"$",OFFSET(AH148,1,0,$R146-2)))</f>
        <v>0</v>
      </c>
      <c r="AI148" s="439" t="n">
        <f aca="false" t="array" ref="AI148:AI148">IF($R146=2,
         IF(AND(ACOMPANHAMENTO="PLE",ISNUMBER($F146)),
                SUMIF((OFFSET(CÁLCULO!$BS$15:$CS$15,$F146,0,OFFSET(ORÇAMENTO!$D$15,CRONO!$F146,0))),CRONO!AI$12,OFFSET(CÁLCULO!$AR$15:$BR$15,$F146,0,OFFSET(ORÇAMENTO!$D$15,CRONO!$F146,0)))
                +IF(AND($F148&lt;&gt;"",$F148&lt;&gt;0),
                        SUMIF(CÁLCULO!$BS$15:$CS$205,CRONO!AI$12,CÁLCULO!$AR$15:$BR$205)/(ORÇAMENTO!$X$15-_xlfn.single(CÁLCULO.TotalAdmLocal))*CRONO!$F148,
                        0),
                 AI147*$S146),
          SUMIF(OFFSET($S148,1,0,$R146-2),($M146+1)&amp;"$",OFFSET(AI148,1,0,$R146-2)))</f>
        <v>0</v>
      </c>
      <c r="AJ148" s="439" t="n">
        <f aca="false" t="array" ref="AJ148:AJ148">IF($R146=2,
         IF(AND(ACOMPANHAMENTO="PLE",ISNUMBER($F146)),
                SUMIF((OFFSET(CÁLCULO!$BS$15:$CS$15,$F146,0,OFFSET(ORÇAMENTO!$D$15,CRONO!$F146,0))),CRONO!AJ$12,OFFSET(CÁLCULO!$AR$15:$BR$15,$F146,0,OFFSET(ORÇAMENTO!$D$15,CRONO!$F146,0)))
                +IF(AND($F148&lt;&gt;"",$F148&lt;&gt;0),
                        SUMIF(CÁLCULO!$BS$15:$CS$205,CRONO!AJ$12,CÁLCULO!$AR$15:$BR$205)/(ORÇAMENTO!$X$15-_xlfn.single(CÁLCULO.TotalAdmLocal))*CRONO!$F148,
                        0),
                 AJ147*$S146),
          SUMIF(OFFSET($S148,1,0,$R146-2),($M146+1)&amp;"$",OFFSET(AJ148,1,0,$R146-2)))</f>
        <v>0</v>
      </c>
      <c r="AK148" s="439" t="n">
        <f aca="false" t="array" ref="AK148:AK148">IF($R146=2,
         IF(AND(ACOMPANHAMENTO="PLE",ISNUMBER($F146)),
                SUMIF((OFFSET(CÁLCULO!$BS$15:$CS$15,$F146,0,OFFSET(ORÇAMENTO!$D$15,CRONO!$F146,0))),CRONO!AK$12,OFFSET(CÁLCULO!$AR$15:$BR$15,$F146,0,OFFSET(ORÇAMENTO!$D$15,CRONO!$F146,0)))
                +IF(AND($F148&lt;&gt;"",$F148&lt;&gt;0),
                        SUMIF(CÁLCULO!$BS$15:$CS$205,CRONO!AK$12,CÁLCULO!$AR$15:$BR$205)/(ORÇAMENTO!$X$15-_xlfn.single(CÁLCULO.TotalAdmLocal))*CRONO!$F148,
                        0),
                 AK147*$S146),
          SUMIF(OFFSET($S148,1,0,$R146-2),($M146+1)&amp;"$",OFFSET(AK148,1,0,$R146-2)))</f>
        <v>0</v>
      </c>
      <c r="AL148" s="439" t="n">
        <f aca="false" t="array" ref="AL148:AL148">IF($R146=2,
         IF(AND(ACOMPANHAMENTO="PLE",ISNUMBER($F146)),
                SUMIF((OFFSET(CÁLCULO!$BS$15:$CS$15,$F146,0,OFFSET(ORÇAMENTO!$D$15,CRONO!$F146,0))),CRONO!AL$12,OFFSET(CÁLCULO!$AR$15:$BR$15,$F146,0,OFFSET(ORÇAMENTO!$D$15,CRONO!$F146,0)))
                +IF(AND($F148&lt;&gt;"",$F148&lt;&gt;0),
                        SUMIF(CÁLCULO!$BS$15:$CS$205,CRONO!AL$12,CÁLCULO!$AR$15:$BR$205)/(ORÇAMENTO!$X$15-_xlfn.single(CÁLCULO.TotalAdmLocal))*CRONO!$F148,
                        0),
                 AL147*$S146),
          SUMIF(OFFSET($S148,1,0,$R146-2),($M146+1)&amp;"$",OFFSET(AL148,1,0,$R146-2)))</f>
        <v>0</v>
      </c>
      <c r="AM148" s="439" t="n">
        <f aca="false" t="array" ref="AM148:AM148">IF($R146=2,
         IF(AND(ACOMPANHAMENTO="PLE",ISNUMBER($F146)),
                SUMIF((OFFSET(CÁLCULO!$BS$15:$CS$15,$F146,0,OFFSET(ORÇAMENTO!$D$15,CRONO!$F146,0))),CRONO!AM$12,OFFSET(CÁLCULO!$AR$15:$BR$15,$F146,0,OFFSET(ORÇAMENTO!$D$15,CRONO!$F146,0)))
                +IF(AND($F148&lt;&gt;"",$F148&lt;&gt;0),
                        SUMIF(CÁLCULO!$BS$15:$CS$205,CRONO!AM$12,CÁLCULO!$AR$15:$BR$205)/(ORÇAMENTO!$X$15-_xlfn.single(CÁLCULO.TotalAdmLocal))*CRONO!$F148,
                        0),
                 AM147*$S146),
          SUMIF(OFFSET($S148,1,0,$R146-2),($M146+1)&amp;"$",OFFSET(AM148,1,0,$R146-2)))</f>
        <v>0</v>
      </c>
      <c r="AN148" s="439" t="n">
        <f aca="false" t="array" ref="AN148:AN148">IF($R146=2,
         IF(AND(ACOMPANHAMENTO="PLE",ISNUMBER($F146)),
                SUMIF((OFFSET(CÁLCULO!$BS$15:$CS$15,$F146,0,OFFSET(ORÇAMENTO!$D$15,CRONO!$F146,0))),CRONO!AN$12,OFFSET(CÁLCULO!$AR$15:$BR$15,$F146,0,OFFSET(ORÇAMENTO!$D$15,CRONO!$F146,0)))
                +IF(AND($F148&lt;&gt;"",$F148&lt;&gt;0),
                        SUMIF(CÁLCULO!$BS$15:$CS$205,CRONO!AN$12,CÁLCULO!$AR$15:$BR$205)/(ORÇAMENTO!$X$15-_xlfn.single(CÁLCULO.TotalAdmLocal))*CRONO!$F148,
                        0),
                 AN147*$S146),
          SUMIF(OFFSET($S148,1,0,$R146-2),($M146+1)&amp;"$",OFFSET(AN148,1,0,$R146-2)))</f>
        <v>0</v>
      </c>
      <c r="AO148" s="439" t="n">
        <f aca="false" t="array" ref="AO148:AO148">IF($R146=2,
         IF(AND(ACOMPANHAMENTO="PLE",ISNUMBER($F146)),
                SUMIF((OFFSET(CÁLCULO!$BS$15:$CS$15,$F146,0,OFFSET(ORÇAMENTO!$D$15,CRONO!$F146,0))),CRONO!AO$12,OFFSET(CÁLCULO!$AR$15:$BR$15,$F146,0,OFFSET(ORÇAMENTO!$D$15,CRONO!$F146,0)))
                +IF(AND($F148&lt;&gt;"",$F148&lt;&gt;0),
                        SUMIF(CÁLCULO!$BS$15:$CS$205,CRONO!AO$12,CÁLCULO!$AR$15:$BR$205)/(ORÇAMENTO!$X$15-_xlfn.single(CÁLCULO.TotalAdmLocal))*CRONO!$F148,
                        0),
                 AO147*$S146),
          SUMIF(OFFSET($S148,1,0,$R146-2),($M146+1)&amp;"$",OFFSET(AO148,1,0,$R146-2)))</f>
        <v>0</v>
      </c>
      <c r="AP148" s="439" t="n">
        <f aca="false" t="array" ref="AP148:AP148">IF($R146=2,
         IF(AND(ACOMPANHAMENTO="PLE",ISNUMBER($F146)),
                SUMIF((OFFSET(CÁLCULO!$BS$15:$CS$15,$F146,0,OFFSET(ORÇAMENTO!$D$15,CRONO!$F146,0))),CRONO!AP$12,OFFSET(CÁLCULO!$AR$15:$BR$15,$F146,0,OFFSET(ORÇAMENTO!$D$15,CRONO!$F146,0)))
                +IF(AND($F148&lt;&gt;"",$F148&lt;&gt;0),
                        SUMIF(CÁLCULO!$BS$15:$CS$205,CRONO!AP$12,CÁLCULO!$AR$15:$BR$205)/(ORÇAMENTO!$X$15-_xlfn.single(CÁLCULO.TotalAdmLocal))*CRONO!$F148,
                        0),
                 AP147*$S146),
          SUMIF(OFFSET($S148,1,0,$R146-2),($M146+1)&amp;"$",OFFSET(AP148,1,0,$R146-2)))</f>
        <v>0</v>
      </c>
      <c r="AQ148" s="439" t="n">
        <f aca="false" t="array" ref="AQ148:AQ148">IF($R146=2,
         IF(AND(ACOMPANHAMENTO="PLE",ISNUMBER($F146)),
                SUMIF((OFFSET(CÁLCULO!$BS$15:$CS$15,$F146,0,OFFSET(ORÇAMENTO!$D$15,CRONO!$F146,0))),CRONO!AQ$12,OFFSET(CÁLCULO!$AR$15:$BR$15,$F146,0,OFFSET(ORÇAMENTO!$D$15,CRONO!$F146,0)))
                +IF(AND($F148&lt;&gt;"",$F148&lt;&gt;0),
                        SUMIF(CÁLCULO!$BS$15:$CS$205,CRONO!AQ$12,CÁLCULO!$AR$15:$BR$205)/(ORÇAMENTO!$X$15-_xlfn.single(CÁLCULO.TotalAdmLocal))*CRONO!$F148,
                        0),
                 AQ147*$S146),
          SUMIF(OFFSET($S148,1,0,$R146-2),($M146+1)&amp;"$",OFFSET(AQ148,1,0,$R146-2)))</f>
        <v>0</v>
      </c>
      <c r="AR148" s="439" t="n">
        <f aca="false" t="array" ref="AR148:AR148">IF($R146=2,
         IF(AND(ACOMPANHAMENTO="PLE",ISNUMBER($F146)),
                SUMIF((OFFSET(CÁLCULO!$BS$15:$CS$15,$F146,0,OFFSET(ORÇAMENTO!$D$15,CRONO!$F146,0))),CRONO!AR$12,OFFSET(CÁLCULO!$AR$15:$BR$15,$F146,0,OFFSET(ORÇAMENTO!$D$15,CRONO!$F146,0)))
                +IF(AND($F148&lt;&gt;"",$F148&lt;&gt;0),
                        SUMIF(CÁLCULO!$BS$15:$CS$205,CRONO!AR$12,CÁLCULO!$AR$15:$BR$205)/(ORÇAMENTO!$X$15-_xlfn.single(CÁLCULO.TotalAdmLocal))*CRONO!$F148,
                        0),
                 AR147*$S146),
          SUMIF(OFFSET($S148,1,0,$R146-2),($M146+1)&amp;"$",OFFSET(AR148,1,0,$R146-2)))</f>
        <v>0</v>
      </c>
      <c r="AS148" s="439" t="n">
        <f aca="false" t="array" ref="AS148:AS148">IF($R146=2,
         IF(AND(ACOMPANHAMENTO="PLE",ISNUMBER($F146)),
                SUMIF((OFFSET(CÁLCULO!$BS$15:$CS$15,$F146,0,OFFSET(ORÇAMENTO!$D$15,CRONO!$F146,0))),CRONO!AS$12,OFFSET(CÁLCULO!$AR$15:$BR$15,$F146,0,OFFSET(ORÇAMENTO!$D$15,CRONO!$F146,0)))
                +IF(AND($F148&lt;&gt;"",$F148&lt;&gt;0),
                        SUMIF(CÁLCULO!$BS$15:$CS$205,CRONO!AS$12,CÁLCULO!$AR$15:$BR$205)/(ORÇAMENTO!$X$15-_xlfn.single(CÁLCULO.TotalAdmLocal))*CRONO!$F148,
                        0),
                 AS147*$S146),
          SUMIF(OFFSET($S148,1,0,$R146-2),($M146+1)&amp;"$",OFFSET(AS148,1,0,$R146-2)))</f>
        <v>0</v>
      </c>
      <c r="AT148" s="439" t="n">
        <f aca="false" t="array" ref="AT148:AT148">IF($R146=2,
         IF(AND(ACOMPANHAMENTO="PLE",ISNUMBER($F146)),
                SUMIF((OFFSET(CÁLCULO!$BS$15:$CS$15,$F146,0,OFFSET(ORÇAMENTO!$D$15,CRONO!$F146,0))),CRONO!AT$12,OFFSET(CÁLCULO!$AR$15:$BR$15,$F146,0,OFFSET(ORÇAMENTO!$D$15,CRONO!$F146,0)))
                +IF(AND($F148&lt;&gt;"",$F148&lt;&gt;0),
                        SUMIF(CÁLCULO!$BS$15:$CS$205,CRONO!AT$12,CÁLCULO!$AR$15:$BR$205)/(ORÇAMENTO!$X$15-_xlfn.single(CÁLCULO.TotalAdmLocal))*CRONO!$F148,
                        0),
                 AT147*$S146),
          SUMIF(OFFSET($S148,1,0,$R146-2),($M146+1)&amp;"$",OFFSET(AT148,1,0,$R146-2)))</f>
        <v>0</v>
      </c>
      <c r="AU148" s="439" t="n">
        <f aca="false" t="array" ref="AU148:AU148">IF($R146=2,
         IF(AND(ACOMPANHAMENTO="PLE",ISNUMBER($F146)),
                SUMIF((OFFSET(CÁLCULO!$BS$15:$CS$15,$F146,0,OFFSET(ORÇAMENTO!$D$15,CRONO!$F146,0))),CRONO!AU$12,OFFSET(CÁLCULO!$AR$15:$BR$15,$F146,0,OFFSET(ORÇAMENTO!$D$15,CRONO!$F146,0)))
                +IF(AND($F148&lt;&gt;"",$F148&lt;&gt;0),
                        SUMIF(CÁLCULO!$BS$15:$CS$205,CRONO!AU$12,CÁLCULO!$AR$15:$BR$205)/(ORÇAMENTO!$X$15-_xlfn.single(CÁLCULO.TotalAdmLocal))*CRONO!$F148,
                        0),
                 AU147*$S146),
          SUMIF(OFFSET($S148,1,0,$R146-2),($M146+1)&amp;"$",OFFSET(AU148,1,0,$R146-2)))</f>
        <v>0</v>
      </c>
      <c r="AV148" s="439" t="n">
        <f aca="false" t="array" ref="AV148:AV148">IF($R146=2,
         IF(AND(ACOMPANHAMENTO="PLE",ISNUMBER($F146)),
                SUMIF((OFFSET(CÁLCULO!$BS$15:$CS$15,$F146,0,OFFSET(ORÇAMENTO!$D$15,CRONO!$F146,0))),CRONO!AV$12,OFFSET(CÁLCULO!$AR$15:$BR$15,$F146,0,OFFSET(ORÇAMENTO!$D$15,CRONO!$F146,0)))
                +IF(AND($F148&lt;&gt;"",$F148&lt;&gt;0),
                        SUMIF(CÁLCULO!$BS$15:$CS$205,CRONO!AV$12,CÁLCULO!$AR$15:$BR$205)/(ORÇAMENTO!$X$15-_xlfn.single(CÁLCULO.TotalAdmLocal))*CRONO!$F148,
                        0),
                 AV147*$S146),
          SUMIF(OFFSET($S148,1,0,$R146-2),($M146+1)&amp;"$",OFFSET(AV148,1,0,$R146-2)))</f>
        <v>0</v>
      </c>
      <c r="AW148" s="439" t="n">
        <f aca="false" t="array" ref="AW148:AW148">IF($R146=2,
         IF(AND(ACOMPANHAMENTO="PLE",ISNUMBER($F146)),
                SUMIF((OFFSET(CÁLCULO!$BS$15:$CS$15,$F146,0,OFFSET(ORÇAMENTO!$D$15,CRONO!$F146,0))),CRONO!AW$12,OFFSET(CÁLCULO!$AR$15:$BR$15,$F146,0,OFFSET(ORÇAMENTO!$D$15,CRONO!$F146,0)))
                +IF(AND($F148&lt;&gt;"",$F148&lt;&gt;0),
                        SUMIF(CÁLCULO!$BS$15:$CS$205,CRONO!AW$12,CÁLCULO!$AR$15:$BR$205)/(ORÇAMENTO!$X$15-_xlfn.single(CÁLCULO.TotalAdmLocal))*CRONO!$F148,
                        0),
                 AW147*$S146),
          SUMIF(OFFSET($S148,1,0,$R146-2),($M146+1)&amp;"$",OFFSET(AW148,1,0,$R146-2)))</f>
        <v>0</v>
      </c>
      <c r="AX148" s="439" t="n">
        <f aca="false" t="array" ref="AX148:AX148">IF($R146=2,
         IF(AND(ACOMPANHAMENTO="PLE",ISNUMBER($F146)),
                SUMIF((OFFSET(CÁLCULO!$BS$15:$CS$15,$F146,0,OFFSET(ORÇAMENTO!$D$15,CRONO!$F146,0))),CRONO!AX$12,OFFSET(CÁLCULO!$AR$15:$BR$15,$F146,0,OFFSET(ORÇAMENTO!$D$15,CRONO!$F146,0)))
                +IF(AND($F148&lt;&gt;"",$F148&lt;&gt;0),
                        SUMIF(CÁLCULO!$BS$15:$CS$205,CRONO!AX$12,CÁLCULO!$AR$15:$BR$205)/(ORÇAMENTO!$X$15-_xlfn.single(CÁLCULO.TotalAdmLocal))*CRONO!$F148,
                        0),
                 AX147*$S146),
          SUMIF(OFFSET($S148,1,0,$R146-2),($M146+1)&amp;"$",OFFSET(AX148,1,0,$R146-2)))</f>
        <v>0</v>
      </c>
      <c r="AY148" s="439" t="n">
        <f aca="false" t="array" ref="AY148:AY148">IF($R146=2,
         IF(AND(ACOMPANHAMENTO="PLE",ISNUMBER($F146)),
                SUMIF((OFFSET(CÁLCULO!$BS$15:$CS$15,$F146,0,OFFSET(ORÇAMENTO!$D$15,CRONO!$F146,0))),CRONO!AY$12,OFFSET(CÁLCULO!$AR$15:$BR$15,$F146,0,OFFSET(ORÇAMENTO!$D$15,CRONO!$F146,0)))
                +IF(AND($F148&lt;&gt;"",$F148&lt;&gt;0),
                        SUMIF(CÁLCULO!$BS$15:$CS$205,CRONO!AY$12,CÁLCULO!$AR$15:$BR$205)/(ORÇAMENTO!$X$15-_xlfn.single(CÁLCULO.TotalAdmLocal))*CRONO!$F148,
                        0),
                 AY147*$S146),
          SUMIF(OFFSET($S148,1,0,$R146-2),($M146+1)&amp;"$",OFFSET(AY148,1,0,$R146-2)))</f>
        <v>0</v>
      </c>
      <c r="AZ148" s="439" t="n">
        <f aca="false" t="array" ref="AZ148:AZ148">IF($R146=2,
         IF(AND(ACOMPANHAMENTO="PLE",ISNUMBER($F146)),
                SUMIF((OFFSET(CÁLCULO!$BS$15:$CS$15,$F146,0,OFFSET(ORÇAMENTO!$D$15,CRONO!$F146,0))),CRONO!AZ$12,OFFSET(CÁLCULO!$AR$15:$BR$15,$F146,0,OFFSET(ORÇAMENTO!$D$15,CRONO!$F146,0)))
                +IF(AND($F148&lt;&gt;"",$F148&lt;&gt;0),
                        SUMIF(CÁLCULO!$BS$15:$CS$205,CRONO!AZ$12,CÁLCULO!$AR$15:$BR$205)/(ORÇAMENTO!$X$15-_xlfn.single(CÁLCULO.TotalAdmLocal))*CRONO!$F148,
                        0),
                 AZ147*$S146),
          SUMIF(OFFSET($S148,1,0,$R146-2),($M146+1)&amp;"$",OFFSET(AZ148,1,0,$R146-2)))</f>
        <v>0</v>
      </c>
      <c r="BA148" s="439" t="n">
        <f aca="false" t="array" ref="BA148:BA148">IF($R146=2,
         IF(AND(ACOMPANHAMENTO="PLE",ISNUMBER($F146)),
                SUMIF((OFFSET(CÁLCULO!$BS$15:$CS$15,$F146,0,OFFSET(ORÇAMENTO!$D$15,CRONO!$F146,0))),CRONO!BA$12,OFFSET(CÁLCULO!$AR$15:$BR$15,$F146,0,OFFSET(ORÇAMENTO!$D$15,CRONO!$F146,0)))
                +IF(AND($F148&lt;&gt;"",$F148&lt;&gt;0),
                        SUMIF(CÁLCULO!$BS$15:$CS$205,CRONO!BA$12,CÁLCULO!$AR$15:$BR$205)/(ORÇAMENTO!$X$15-_xlfn.single(CÁLCULO.TotalAdmLocal))*CRONO!$F148,
                        0),
                 BA147*$S146),
          SUMIF(OFFSET($S148,1,0,$R146-2),($M146+1)&amp;"$",OFFSET(BA148,1,0,$R146-2)))</f>
        <v>0</v>
      </c>
      <c r="BB148" s="439" t="n">
        <f aca="false" t="array" ref="BB148:BB148">IF($R146=2,
         IF(AND(ACOMPANHAMENTO="PLE",ISNUMBER($F146)),
                SUMIF((OFFSET(CÁLCULO!$BS$15:$CS$15,$F146,0,OFFSET(ORÇAMENTO!$D$15,CRONO!$F146,0))),CRONO!BB$12,OFFSET(CÁLCULO!$AR$15:$BR$15,$F146,0,OFFSET(ORÇAMENTO!$D$15,CRONO!$F146,0)))
                +IF(AND($F148&lt;&gt;"",$F148&lt;&gt;0),
                        SUMIF(CÁLCULO!$BS$15:$CS$205,CRONO!BB$12,CÁLCULO!$AR$15:$BR$205)/(ORÇAMENTO!$X$15-_xlfn.single(CÁLCULO.TotalAdmLocal))*CRONO!$F148,
                        0),
                 BB147*$S146),
          SUMIF(OFFSET($S148,1,0,$R146-2),($M146+1)&amp;"$",OFFSET(BB148,1,0,$R146-2)))</f>
        <v>0</v>
      </c>
      <c r="BC148" s="439" t="n">
        <f aca="false" t="array" ref="BC148:BC148">IF($R146=2,
         IF(AND(ACOMPANHAMENTO="PLE",ISNUMBER($F146)),
                SUMIF((OFFSET(CÁLCULO!$BS$15:$CS$15,$F146,0,OFFSET(ORÇAMENTO!$D$15,CRONO!$F146,0))),CRONO!BC$12,OFFSET(CÁLCULO!$AR$15:$BR$15,$F146,0,OFFSET(ORÇAMENTO!$D$15,CRONO!$F146,0)))
                +IF(AND($F148&lt;&gt;"",$F148&lt;&gt;0),
                        SUMIF(CÁLCULO!$BS$15:$CS$205,CRONO!BC$12,CÁLCULO!$AR$15:$BR$205)/(ORÇAMENTO!$X$15-_xlfn.single(CÁLCULO.TotalAdmLocal))*CRONO!$F148,
                        0),
                 BC147*$S146),
          SUMIF(OFFSET($S148,1,0,$R146-2),($M146+1)&amp;"$",OFFSET(BC148,1,0,$R146-2)))</f>
        <v>0</v>
      </c>
      <c r="BD148" s="439" t="n">
        <f aca="false" t="array" ref="BD148:BD148">IF($R146=2,
         IF(AND(ACOMPANHAMENTO="PLE",ISNUMBER($F146)),
                SUMIF((OFFSET(CÁLCULO!$BS$15:$CS$15,$F146,0,OFFSET(ORÇAMENTO!$D$15,CRONO!$F146,0))),CRONO!BD$12,OFFSET(CÁLCULO!$AR$15:$BR$15,$F146,0,OFFSET(ORÇAMENTO!$D$15,CRONO!$F146,0)))
                +IF(AND($F148&lt;&gt;"",$F148&lt;&gt;0),
                        SUMIF(CÁLCULO!$BS$15:$CS$205,CRONO!BD$12,CÁLCULO!$AR$15:$BR$205)/(ORÇAMENTO!$X$15-_xlfn.single(CÁLCULO.TotalAdmLocal))*CRONO!$F148,
                        0),
                 BD147*$S146),
          SUMIF(OFFSET($S148,1,0,$R146-2),($M146+1)&amp;"$",OFFSET(BD148,1,0,$R146-2)))</f>
        <v>0</v>
      </c>
      <c r="BE148" s="430"/>
    </row>
    <row r="149" customFormat="false" ht="12.75" hidden="false" customHeight="false" outlineLevel="0" collapsed="false">
      <c r="A149" s="382" t="str">
        <f aca="false">IF($M149&gt;1,_xlfn.CONCAT($I149," ",$J149),"")</f>
        <v>1.45. TUBULAÇÕES E CONEXÕES</v>
      </c>
      <c r="B149" s="419" t="n">
        <f aca="true">OFFSET(B149,-3,0)+1</f>
        <v>46</v>
      </c>
      <c r="C149" s="419" t="n">
        <f aca="true">IF($R149&lt;&gt;2,0,IF($S149=0,1,IF(F150&gt;0,OFFSET(QCI!$M$13,SUBSTITUTE(F150,".",""),0),OFFSET(ORÇAMENTO!$AA$15,CRONO!$F149,0))/$S149))</f>
        <v>0.110981526562671</v>
      </c>
      <c r="D149" s="419" t="n">
        <f aca="true">IF($R149&lt;&gt;2,0,IF($S149=0,1,IF(F150&gt;0,OFFSET(QCI!$N$13,SUBSTITUTE(F150,".",""),0),OFFSET(ORÇAMENTO!$AB$15,CRONO!$F149,0))/$S149))</f>
        <v>0</v>
      </c>
      <c r="E149" s="422" t="n">
        <f aca="false" t="array" ref="E149:E149">IF(AND($R149=2,ACOMPANHAMENTO="BM"),ROUND(E150,4),E151/$S149)</f>
        <v>0.04</v>
      </c>
      <c r="F149" s="419" t="n">
        <f aca="true">IF(B149&lt;=ORÇAMENTO.MáximoListaCrono,MATCH(B149,ORÇAMENTO.ListaCrono,0),NA())</f>
        <v>157</v>
      </c>
      <c r="G149" s="419" t="str">
        <f aca="false">IF(AND($F150&lt;&gt;-1,$S149&gt;0),"F","")</f>
        <v>F</v>
      </c>
      <c r="H149" s="423" t="str">
        <f aca="false" t="array" ref="H149:H149">IF(OR(S149=0,S149=""),"Linha",IF(AND(OR(ACOMPANHAMENTO="PLE",$R149&lt;&gt;2),$F150=0),"Linha",ROUND(1-SUM(U149:BE149),4)))</f>
        <v>Linha</v>
      </c>
      <c r="I149" s="424" t="str">
        <f aca="true">IF($F150=0,OFFSET(ORÇAMENTO!O$15,$F149,0),IF($F150&lt;&gt;-1,OFFSET(QCI!$D$13,$F150,0),""))</f>
        <v>1.45.</v>
      </c>
      <c r="J149" s="425" t="str">
        <f aca="true">IF($F150=0,OFFSET(ORÇAMENTO!R$15,$F149,0),IF($F150&lt;&gt;-1,OFFSET(QCI!$G$13,$F150,0),""))</f>
        <v>TUBULAÇÕES E CONEXÕES</v>
      </c>
      <c r="K149" s="425"/>
      <c r="L149" s="425"/>
      <c r="M149" s="426" t="n">
        <f aca="true">IF($F150=0,OFFSET(ORÇAMENTO!C$15,$F149,0),1)</f>
        <v>2</v>
      </c>
      <c r="N149" s="427" t="n">
        <f aca="true">IF($F150=-1,0,IF(N$13&lt;=$M149,IF(ISERROR(MATCH(N$13,OFFSET($M149,1,0,ROW($M$182)-ROW($M149)-1),0)),ROW($M$182)-ROW($M149)-1,MATCH(N$13,OFFSET($M149,1,0,ROW($M$182)-ROW($M149)-1),0)-1),0))</f>
        <v>32</v>
      </c>
      <c r="O149" s="427" t="n">
        <f aca="true">IF($F150=-1,0,IF(O$13&lt;=$M149,IF(ISERROR(MATCH(O$13,OFFSET($M149,1,0,ROW($M$182)-ROW($M149)-1),0)),ROW($M$182)-ROW($M149)-1,MATCH(O$13,OFFSET($M149,1,0,ROW($M$182)-ROW($M149)-1),0)-1),0))</f>
        <v>2</v>
      </c>
      <c r="P149" s="427" t="n">
        <f aca="true">IF($F150=-1,0,IF(P$13&lt;=$M149,IF(ISERROR(MATCH(P$13,OFFSET($M149,1,0,ROW($M$182)-ROW($M149)-1),0)),ROW($M$182)-ROW($M149)-1,MATCH(P$13,OFFSET($M149,1,0,ROW($M$182)-ROW($M149)-1),0)-1),0))</f>
        <v>0</v>
      </c>
      <c r="Q149" s="427" t="n">
        <f aca="true">IF($F150=-1,0,IF(Q$13&lt;=$M149,IF(ISERROR(MATCH(Q$13,OFFSET($M149,1,0,ROW($M$182)-ROW($M149)-1),0)),ROW($M$182)-ROW($M149)-1,MATCH(Q$13,OFFSET($M149,1,0,ROW($M$182)-ROW($M149)-1),0)-1),0))</f>
        <v>0</v>
      </c>
      <c r="R149" s="427" t="n">
        <f aca="true">MIN(OFFSET(M149,0,1,,M149))</f>
        <v>2</v>
      </c>
      <c r="S149" s="428" t="n">
        <f aca="true">IF($F150=0,OFFSET(ORÇAMENTO!X$15,$F149,0),IF($F150&lt;&gt;-1,OFFSET(QCI!$O$13,$F150,0),""))</f>
        <v>43092.25</v>
      </c>
      <c r="T149" s="429" t="s">
        <v>996</v>
      </c>
      <c r="U149" s="422" t="n">
        <f aca="false" t="array" ref="U149:U149">IF(AND($R149=2,ACOMPANHAMENTO="BM"),ROUND(U150,4),U151/$S149)</f>
        <v>0.04</v>
      </c>
      <c r="V149" s="422" t="n">
        <f aca="false" t="array" ref="V149:V149">IF(AND($R149=2,ACOMPANHAMENTO="BM"),ROUND(V150,4),V151/$S149)</f>
        <v>0.04</v>
      </c>
      <c r="W149" s="422" t="n">
        <f aca="false" t="array" ref="W149:W149">IF(AND($R149=2,ACOMPANHAMENTO="BM"),ROUND(W150,4),W151/$S149)</f>
        <v>0.04</v>
      </c>
      <c r="X149" s="422" t="n">
        <f aca="false" t="array" ref="X149:X149">IF(AND($R149=2,ACOMPANHAMENTO="BM"),ROUND(X150,4),X151/$S149)</f>
        <v>0.04</v>
      </c>
      <c r="Y149" s="422" t="n">
        <f aca="false" t="array" ref="Y149:Y149">IF(AND($R149=2,ACOMPANHAMENTO="BM"),ROUND(Y150,4),Y151/$S149)</f>
        <v>0.04</v>
      </c>
      <c r="Z149" s="422" t="n">
        <f aca="false" t="array" ref="Z149:Z149">IF(AND($R149=2,ACOMPANHAMENTO="BM"),ROUND(Z150,4),Z151/$S149)</f>
        <v>0.04</v>
      </c>
      <c r="AA149" s="422" t="n">
        <f aca="false" t="array" ref="AA149:AA149">IF(AND($R149=2,ACOMPANHAMENTO="BM"),ROUND(AA150,4),AA151/$S149)</f>
        <v>0.04</v>
      </c>
      <c r="AB149" s="422" t="n">
        <f aca="false" t="array" ref="AB149:AB149">IF(AND($R149=2,ACOMPANHAMENTO="BM"),ROUND(AB150,4),AB151/$S149)</f>
        <v>0.04</v>
      </c>
      <c r="AC149" s="422" t="n">
        <f aca="false" t="array" ref="AC149:AC149">IF(AND($R149=2,ACOMPANHAMENTO="BM"),ROUND(AC150,4),AC151/$S149)</f>
        <v>0.04</v>
      </c>
      <c r="AD149" s="422" t="n">
        <f aca="false" t="array" ref="AD149:AD149">IF(AND($R149=2,ACOMPANHAMENTO="BM"),ROUND(AD150,4),AD151/$S149)</f>
        <v>0.04</v>
      </c>
      <c r="AE149" s="422" t="n">
        <f aca="false" t="array" ref="AE149:AE149">IF(AND($R149=2,ACOMPANHAMENTO="BM"),ROUND(AE150,4),AE151/$S149)</f>
        <v>0.04</v>
      </c>
      <c r="AF149" s="422" t="n">
        <f aca="false" t="array" ref="AF149:AF149">IF(AND($R149=2,ACOMPANHAMENTO="BM"),ROUND(AF150,4),AF151/$S149)</f>
        <v>0.04</v>
      </c>
      <c r="AG149" s="422" t="n">
        <f aca="false" t="array" ref="AG149:AG149">IF(AND($R149=2,ACOMPANHAMENTO="BM"),ROUND(AG150,4),AG151/$S149)</f>
        <v>0.04</v>
      </c>
      <c r="AH149" s="422" t="n">
        <f aca="false" t="array" ref="AH149:AH149">IF(AND($R149=2,ACOMPANHAMENTO="BM"),ROUND(AH150,4),AH151/$S149)</f>
        <v>0.04</v>
      </c>
      <c r="AI149" s="422" t="n">
        <f aca="false" t="array" ref="AI149:AI149">IF(AND($R149=2,ACOMPANHAMENTO="BM"),ROUND(AI150,4),AI151/$S149)</f>
        <v>0.04</v>
      </c>
      <c r="AJ149" s="422" t="n">
        <f aca="false" t="array" ref="AJ149:AJ149">IF(AND($R149=2,ACOMPANHAMENTO="BM"),ROUND(AJ150,4),AJ151/$S149)</f>
        <v>0.04</v>
      </c>
      <c r="AK149" s="422" t="n">
        <f aca="false" t="array" ref="AK149:AK149">IF(AND($R149=2,ACOMPANHAMENTO="BM"),ROUND(AK150,4),AK151/$S149)</f>
        <v>0.04</v>
      </c>
      <c r="AL149" s="422" t="n">
        <f aca="false" t="array" ref="AL149:AL149">IF(AND($R149=2,ACOMPANHAMENTO="BM"),ROUND(AL150,4),AL151/$S149)</f>
        <v>0.04</v>
      </c>
      <c r="AM149" s="422" t="n">
        <f aca="false" t="array" ref="AM149:AM149">IF(AND($R149=2,ACOMPANHAMENTO="BM"),ROUND(AM150,4),AM151/$S149)</f>
        <v>0.04</v>
      </c>
      <c r="AN149" s="422" t="n">
        <f aca="false" t="array" ref="AN149:AN149">IF(AND($R149=2,ACOMPANHAMENTO="BM"),ROUND(AN150,4),AN151/$S149)</f>
        <v>0.04</v>
      </c>
      <c r="AO149" s="422" t="n">
        <f aca="false" t="array" ref="AO149:AO149">IF(AND($R149=2,ACOMPANHAMENTO="BM"),ROUND(AO150,4),AO151/$S149)</f>
        <v>0.04</v>
      </c>
      <c r="AP149" s="422" t="n">
        <f aca="false" t="array" ref="AP149:AP149">IF(AND($R149=2,ACOMPANHAMENTO="BM"),ROUND(AP150,4),AP151/$S149)</f>
        <v>0.04</v>
      </c>
      <c r="AQ149" s="422" t="n">
        <f aca="false" t="array" ref="AQ149:AQ149">IF(AND($R149=2,ACOMPANHAMENTO="BM"),ROUND(AQ150,4),AQ151/$S149)</f>
        <v>0.04</v>
      </c>
      <c r="AR149" s="422" t="n">
        <f aca="false" t="array" ref="AR149:AR149">IF(AND($R149=2,ACOMPANHAMENTO="BM"),ROUND(AR150,4),AR151/$S149)</f>
        <v>0.04</v>
      </c>
      <c r="AS149" s="422" t="n">
        <f aca="false" t="array" ref="AS149:AS149">IF(AND($R149=2,ACOMPANHAMENTO="BM"),ROUND(AS150,4),AS151/$S149)</f>
        <v>0.04</v>
      </c>
      <c r="AT149" s="422" t="n">
        <f aca="false" t="array" ref="AT149:AT149">IF(AND($R149=2,ACOMPANHAMENTO="BM"),ROUND(AT150,4),AT151/$S149)</f>
        <v>0</v>
      </c>
      <c r="AU149" s="422" t="n">
        <f aca="false" t="array" ref="AU149:AU149">IF(AND($R149=2,ACOMPANHAMENTO="BM"),ROUND(AU150,4),AU151/$S149)</f>
        <v>0</v>
      </c>
      <c r="AV149" s="422" t="n">
        <f aca="false" t="array" ref="AV149:AV149">IF(AND($R149=2,ACOMPANHAMENTO="BM"),ROUND(AV150,4),AV151/$S149)</f>
        <v>0</v>
      </c>
      <c r="AW149" s="422" t="n">
        <f aca="false" t="array" ref="AW149:AW149">IF(AND($R149=2,ACOMPANHAMENTO="BM"),ROUND(AW150,4),AW151/$S149)</f>
        <v>0</v>
      </c>
      <c r="AX149" s="422" t="n">
        <f aca="false" t="array" ref="AX149:AX149">IF(AND($R149=2,ACOMPANHAMENTO="BM"),ROUND(AX150,4),AX151/$S149)</f>
        <v>0</v>
      </c>
      <c r="AY149" s="422" t="n">
        <f aca="false" t="array" ref="AY149:AY149">IF(AND($R149=2,ACOMPANHAMENTO="BM"),ROUND(AY150,4),AY151/$S149)</f>
        <v>0</v>
      </c>
      <c r="AZ149" s="422" t="n">
        <f aca="false" t="array" ref="AZ149:AZ149">IF(AND($R149=2,ACOMPANHAMENTO="BM"),ROUND(AZ150,4),AZ151/$S149)</f>
        <v>0</v>
      </c>
      <c r="BA149" s="422" t="n">
        <f aca="false" t="array" ref="BA149:BA149">IF(AND($R149=2,ACOMPANHAMENTO="BM"),ROUND(BA150,4),BA151/$S149)</f>
        <v>0</v>
      </c>
      <c r="BB149" s="422" t="n">
        <f aca="false" t="array" ref="BB149:BB149">IF(AND($R149=2,ACOMPANHAMENTO="BM"),ROUND(BB150,4),BB151/$S149)</f>
        <v>0</v>
      </c>
      <c r="BC149" s="422" t="n">
        <f aca="false" t="array" ref="BC149:BC149">IF(AND($R149=2,ACOMPANHAMENTO="BM"),ROUND(BC150,4),BC151/$S149)</f>
        <v>0</v>
      </c>
      <c r="BD149" s="422" t="n">
        <f aca="false" t="array" ref="BD149:BD149">IF(AND($R149=2,ACOMPANHAMENTO="BM"),ROUND(BD150,4),BD151/$S149)</f>
        <v>0</v>
      </c>
      <c r="BE149" s="430"/>
    </row>
    <row r="150" customFormat="false" ht="12.75" hidden="true" customHeight="true" outlineLevel="0" collapsed="false">
      <c r="E150" s="431"/>
      <c r="F150" s="419" t="n">
        <f aca="true">IF(ISERROR(F149),IF(1+COUNTIF($M$13:OFFSET(M149,-1,0),1)&lt;=MAX(QCI!$D$13:$D$15),1+COUNTIF($M$13:OFFSET(M149,-1,0),1),-1),0)</f>
        <v>0</v>
      </c>
      <c r="G150" s="419" t="str">
        <f aca="true" t="array" ref="G150:G150">IF(ACOMPANHAMENTO="BM",OFFSET(G150,-1,0),"")</f>
        <v/>
      </c>
      <c r="H150" s="432" t="str">
        <f aca="false" t="array" ref="H150:H150">IF(OR(S149=0,S149=""),"vazia",IF(AND(OR(ACOMPANHAMENTO="PLE",$R149&lt;&gt;2),$F150=0),"calculada","--&gt;"))</f>
        <v>calculada</v>
      </c>
      <c r="I150" s="433"/>
      <c r="J150" s="434" t="str">
        <f aca="false">IF(AND(H149&lt;&gt;0,ISNUMBER(H149)),"PREENCHA ESTA LINHA --&gt;","")</f>
        <v/>
      </c>
      <c r="K150" s="434"/>
      <c r="L150" s="434"/>
      <c r="M150" s="435"/>
      <c r="N150" s="435"/>
      <c r="O150" s="435"/>
      <c r="P150" s="435"/>
      <c r="Q150" s="435"/>
      <c r="R150" s="435"/>
      <c r="S150" s="436"/>
      <c r="T150" s="437"/>
      <c r="U150" s="431"/>
      <c r="V150" s="431"/>
      <c r="W150" s="431"/>
      <c r="X150" s="431"/>
      <c r="Y150" s="431"/>
      <c r="Z150" s="431"/>
      <c r="AA150" s="431"/>
      <c r="AB150" s="431"/>
      <c r="AC150" s="431"/>
      <c r="AD150" s="431"/>
      <c r="AE150" s="431"/>
      <c r="AF150" s="431"/>
      <c r="AG150" s="431"/>
      <c r="AH150" s="431"/>
      <c r="AI150" s="431"/>
      <c r="AJ150" s="431"/>
      <c r="AK150" s="431"/>
      <c r="AL150" s="431"/>
      <c r="AM150" s="431"/>
      <c r="AN150" s="431"/>
      <c r="AO150" s="431"/>
      <c r="AP150" s="431"/>
      <c r="AQ150" s="431"/>
      <c r="AR150" s="431"/>
      <c r="AS150" s="431"/>
      <c r="AT150" s="431"/>
      <c r="AU150" s="431"/>
      <c r="AV150" s="431"/>
      <c r="AW150" s="431"/>
      <c r="AX150" s="431"/>
      <c r="AY150" s="431"/>
      <c r="AZ150" s="431"/>
      <c r="BA150" s="431"/>
      <c r="BB150" s="431"/>
      <c r="BC150" s="431"/>
      <c r="BD150" s="431"/>
      <c r="BE150" s="430"/>
    </row>
    <row r="151" customFormat="false" ht="12.75" hidden="true" customHeight="true" outlineLevel="0" collapsed="false">
      <c r="D151" s="438"/>
      <c r="E151" s="439" t="n">
        <f aca="false" t="array" ref="E151:E151">IF($R149=2,
         IF(AND(ACOMPANHAMENTO="PLE",ISNUMBER($F149)),
                SUMIF((OFFSET(CÁLCULO!$BS$15:$CS$15,$F149,0,OFFSET(ORÇAMENTO!$D$15,CRONO!$F149,0))),CRONO!E$12,OFFSET(CÁLCULO!$AR$15:$BR$15,$F149,0,OFFSET(ORÇAMENTO!$D$15,CRONO!$F149,0)))
                +IF(AND($F151&lt;&gt;"",$F151&lt;&gt;0),
                        SUMIF(CÁLCULO!$BS$15:$CS$205,CRONO!E$12,CÁLCULO!$AR$15:$BR$205)/(ORÇAMENTO!$X$15-_xlfn.single(CÁLCULO.TotalAdmLocal))*CRONO!$F151,
                        0),
                 E150*$S149),
          SUMIF(OFFSET($S151,1,0,$R149-2),($M149+1)&amp;"$",OFFSET(E151,1,0,$R149-2)))</f>
        <v>1723.69</v>
      </c>
      <c r="F151" s="419" t="str">
        <f aca="true">IF(OR($R149&lt;&gt;2,AUTOEVENTO&lt;&gt;"manual",$F150&gt;0),"",
        IF(Import.TipoArredondamento="Tradicional",
              SUMIF(OFFSET(CÁLCULO!$M$15,CRONO!$F149,0,OFFSET(ORÇAMENTO!$D$15,CRONO!$F149,0)),1,OFFSET(ORÇAMENTO!$X$15,CRONO!$F149,0,OFFSET(ORÇAMENTO!$D$15,CRONO!$F149,0))),
              0))</f>
        <v/>
      </c>
      <c r="H151" s="440"/>
      <c r="S151" s="441" t="str">
        <f aca="false">M149&amp;"$"</f>
        <v>2$</v>
      </c>
      <c r="T151" s="442"/>
      <c r="U151" s="439" t="n">
        <f aca="false" t="array" ref="U151:U151">IF($R149=2,
         IF(AND(ACOMPANHAMENTO="PLE",ISNUMBER($F149)),
                SUMIF((OFFSET(CÁLCULO!$BS$15:$CS$15,$F149,0,OFFSET(ORÇAMENTO!$D$15,CRONO!$F149,0))),CRONO!U$12,OFFSET(CÁLCULO!$AR$15:$BR$15,$F149,0,OFFSET(ORÇAMENTO!$D$15,CRONO!$F149,0)))
                +IF(AND($F151&lt;&gt;"",$F151&lt;&gt;0),
                        SUMIF(CÁLCULO!$BS$15:$CS$205,CRONO!U$12,CÁLCULO!$AR$15:$BR$205)/(ORÇAMENTO!$X$15-_xlfn.single(CÁLCULO.TotalAdmLocal))*CRONO!$F151,
                        0),
                 U150*$S149),
          SUMIF(OFFSET($S151,1,0,$R149-2),($M149+1)&amp;"$",OFFSET(U151,1,0,$R149-2)))</f>
        <v>1723.69</v>
      </c>
      <c r="V151" s="439" t="n">
        <f aca="false" t="array" ref="V151:V151">IF($R149=2,
         IF(AND(ACOMPANHAMENTO="PLE",ISNUMBER($F149)),
                SUMIF((OFFSET(CÁLCULO!$BS$15:$CS$15,$F149,0,OFFSET(ORÇAMENTO!$D$15,CRONO!$F149,0))),CRONO!V$12,OFFSET(CÁLCULO!$AR$15:$BR$15,$F149,0,OFFSET(ORÇAMENTO!$D$15,CRONO!$F149,0)))
                +IF(AND($F151&lt;&gt;"",$F151&lt;&gt;0),
                        SUMIF(CÁLCULO!$BS$15:$CS$205,CRONO!V$12,CÁLCULO!$AR$15:$BR$205)/(ORÇAMENTO!$X$15-_xlfn.single(CÁLCULO.TotalAdmLocal))*CRONO!$F151,
                        0),
                 V150*$S149),
          SUMIF(OFFSET($S151,1,0,$R149-2),($M149+1)&amp;"$",OFFSET(V151,1,0,$R149-2)))</f>
        <v>1723.69</v>
      </c>
      <c r="W151" s="439" t="n">
        <f aca="false" t="array" ref="W151:W151">IF($R149=2,
         IF(AND(ACOMPANHAMENTO="PLE",ISNUMBER($F149)),
                SUMIF((OFFSET(CÁLCULO!$BS$15:$CS$15,$F149,0,OFFSET(ORÇAMENTO!$D$15,CRONO!$F149,0))),CRONO!W$12,OFFSET(CÁLCULO!$AR$15:$BR$15,$F149,0,OFFSET(ORÇAMENTO!$D$15,CRONO!$F149,0)))
                +IF(AND($F151&lt;&gt;"",$F151&lt;&gt;0),
                        SUMIF(CÁLCULO!$BS$15:$CS$205,CRONO!W$12,CÁLCULO!$AR$15:$BR$205)/(ORÇAMENTO!$X$15-_xlfn.single(CÁLCULO.TotalAdmLocal))*CRONO!$F151,
                        0),
                 W150*$S149),
          SUMIF(OFFSET($S151,1,0,$R149-2),($M149+1)&amp;"$",OFFSET(W151,1,0,$R149-2)))</f>
        <v>1723.69</v>
      </c>
      <c r="X151" s="439" t="n">
        <f aca="false" t="array" ref="X151:X151">IF($R149=2,
         IF(AND(ACOMPANHAMENTO="PLE",ISNUMBER($F149)),
                SUMIF((OFFSET(CÁLCULO!$BS$15:$CS$15,$F149,0,OFFSET(ORÇAMENTO!$D$15,CRONO!$F149,0))),CRONO!X$12,OFFSET(CÁLCULO!$AR$15:$BR$15,$F149,0,OFFSET(ORÇAMENTO!$D$15,CRONO!$F149,0)))
                +IF(AND($F151&lt;&gt;"",$F151&lt;&gt;0),
                        SUMIF(CÁLCULO!$BS$15:$CS$205,CRONO!X$12,CÁLCULO!$AR$15:$BR$205)/(ORÇAMENTO!$X$15-_xlfn.single(CÁLCULO.TotalAdmLocal))*CRONO!$F151,
                        0),
                 X150*$S149),
          SUMIF(OFFSET($S151,1,0,$R149-2),($M149+1)&amp;"$",OFFSET(X151,1,0,$R149-2)))</f>
        <v>1723.69</v>
      </c>
      <c r="Y151" s="439" t="n">
        <f aca="false" t="array" ref="Y151:Y151">IF($R149=2,
         IF(AND(ACOMPANHAMENTO="PLE",ISNUMBER($F149)),
                SUMIF((OFFSET(CÁLCULO!$BS$15:$CS$15,$F149,0,OFFSET(ORÇAMENTO!$D$15,CRONO!$F149,0))),CRONO!Y$12,OFFSET(CÁLCULO!$AR$15:$BR$15,$F149,0,OFFSET(ORÇAMENTO!$D$15,CRONO!$F149,0)))
                +IF(AND($F151&lt;&gt;"",$F151&lt;&gt;0),
                        SUMIF(CÁLCULO!$BS$15:$CS$205,CRONO!Y$12,CÁLCULO!$AR$15:$BR$205)/(ORÇAMENTO!$X$15-_xlfn.single(CÁLCULO.TotalAdmLocal))*CRONO!$F151,
                        0),
                 Y150*$S149),
          SUMIF(OFFSET($S151,1,0,$R149-2),($M149+1)&amp;"$",OFFSET(Y151,1,0,$R149-2)))</f>
        <v>1723.69</v>
      </c>
      <c r="Z151" s="439" t="n">
        <f aca="false" t="array" ref="Z151:Z151">IF($R149=2,
         IF(AND(ACOMPANHAMENTO="PLE",ISNUMBER($F149)),
                SUMIF((OFFSET(CÁLCULO!$BS$15:$CS$15,$F149,0,OFFSET(ORÇAMENTO!$D$15,CRONO!$F149,0))),CRONO!Z$12,OFFSET(CÁLCULO!$AR$15:$BR$15,$F149,0,OFFSET(ORÇAMENTO!$D$15,CRONO!$F149,0)))
                +IF(AND($F151&lt;&gt;"",$F151&lt;&gt;0),
                        SUMIF(CÁLCULO!$BS$15:$CS$205,CRONO!Z$12,CÁLCULO!$AR$15:$BR$205)/(ORÇAMENTO!$X$15-_xlfn.single(CÁLCULO.TotalAdmLocal))*CRONO!$F151,
                        0),
                 Z150*$S149),
          SUMIF(OFFSET($S151,1,0,$R149-2),($M149+1)&amp;"$",OFFSET(Z151,1,0,$R149-2)))</f>
        <v>1723.69</v>
      </c>
      <c r="AA151" s="439" t="n">
        <f aca="false" t="array" ref="AA151:AA151">IF($R149=2,
         IF(AND(ACOMPANHAMENTO="PLE",ISNUMBER($F149)),
                SUMIF((OFFSET(CÁLCULO!$BS$15:$CS$15,$F149,0,OFFSET(ORÇAMENTO!$D$15,CRONO!$F149,0))),CRONO!AA$12,OFFSET(CÁLCULO!$AR$15:$BR$15,$F149,0,OFFSET(ORÇAMENTO!$D$15,CRONO!$F149,0)))
                +IF(AND($F151&lt;&gt;"",$F151&lt;&gt;0),
                        SUMIF(CÁLCULO!$BS$15:$CS$205,CRONO!AA$12,CÁLCULO!$AR$15:$BR$205)/(ORÇAMENTO!$X$15-_xlfn.single(CÁLCULO.TotalAdmLocal))*CRONO!$F151,
                        0),
                 AA150*$S149),
          SUMIF(OFFSET($S151,1,0,$R149-2),($M149+1)&amp;"$",OFFSET(AA151,1,0,$R149-2)))</f>
        <v>1723.69</v>
      </c>
      <c r="AB151" s="439" t="n">
        <f aca="false" t="array" ref="AB151:AB151">IF($R149=2,
         IF(AND(ACOMPANHAMENTO="PLE",ISNUMBER($F149)),
                SUMIF((OFFSET(CÁLCULO!$BS$15:$CS$15,$F149,0,OFFSET(ORÇAMENTO!$D$15,CRONO!$F149,0))),CRONO!AB$12,OFFSET(CÁLCULO!$AR$15:$BR$15,$F149,0,OFFSET(ORÇAMENTO!$D$15,CRONO!$F149,0)))
                +IF(AND($F151&lt;&gt;"",$F151&lt;&gt;0),
                        SUMIF(CÁLCULO!$BS$15:$CS$205,CRONO!AB$12,CÁLCULO!$AR$15:$BR$205)/(ORÇAMENTO!$X$15-_xlfn.single(CÁLCULO.TotalAdmLocal))*CRONO!$F151,
                        0),
                 AB150*$S149),
          SUMIF(OFFSET($S151,1,0,$R149-2),($M149+1)&amp;"$",OFFSET(AB151,1,0,$R149-2)))</f>
        <v>1723.69</v>
      </c>
      <c r="AC151" s="439" t="n">
        <f aca="false" t="array" ref="AC151:AC151">IF($R149=2,
         IF(AND(ACOMPANHAMENTO="PLE",ISNUMBER($F149)),
                SUMIF((OFFSET(CÁLCULO!$BS$15:$CS$15,$F149,0,OFFSET(ORÇAMENTO!$D$15,CRONO!$F149,0))),CRONO!AC$12,OFFSET(CÁLCULO!$AR$15:$BR$15,$F149,0,OFFSET(ORÇAMENTO!$D$15,CRONO!$F149,0)))
                +IF(AND($F151&lt;&gt;"",$F151&lt;&gt;0),
                        SUMIF(CÁLCULO!$BS$15:$CS$205,CRONO!AC$12,CÁLCULO!$AR$15:$BR$205)/(ORÇAMENTO!$X$15-_xlfn.single(CÁLCULO.TotalAdmLocal))*CRONO!$F151,
                        0),
                 AC150*$S149),
          SUMIF(OFFSET($S151,1,0,$R149-2),($M149+1)&amp;"$",OFFSET(AC151,1,0,$R149-2)))</f>
        <v>1723.69</v>
      </c>
      <c r="AD151" s="439" t="n">
        <f aca="false" t="array" ref="AD151:AD151">IF($R149=2,
         IF(AND(ACOMPANHAMENTO="PLE",ISNUMBER($F149)),
                SUMIF((OFFSET(CÁLCULO!$BS$15:$CS$15,$F149,0,OFFSET(ORÇAMENTO!$D$15,CRONO!$F149,0))),CRONO!AD$12,OFFSET(CÁLCULO!$AR$15:$BR$15,$F149,0,OFFSET(ORÇAMENTO!$D$15,CRONO!$F149,0)))
                +IF(AND($F151&lt;&gt;"",$F151&lt;&gt;0),
                        SUMIF(CÁLCULO!$BS$15:$CS$205,CRONO!AD$12,CÁLCULO!$AR$15:$BR$205)/(ORÇAMENTO!$X$15-_xlfn.single(CÁLCULO.TotalAdmLocal))*CRONO!$F151,
                        0),
                 AD150*$S149),
          SUMIF(OFFSET($S151,1,0,$R149-2),($M149+1)&amp;"$",OFFSET(AD151,1,0,$R149-2)))</f>
        <v>1723.69</v>
      </c>
      <c r="AE151" s="439" t="n">
        <f aca="false" t="array" ref="AE151:AE151">IF($R149=2,
         IF(AND(ACOMPANHAMENTO="PLE",ISNUMBER($F149)),
                SUMIF((OFFSET(CÁLCULO!$BS$15:$CS$15,$F149,0,OFFSET(ORÇAMENTO!$D$15,CRONO!$F149,0))),CRONO!AE$12,OFFSET(CÁLCULO!$AR$15:$BR$15,$F149,0,OFFSET(ORÇAMENTO!$D$15,CRONO!$F149,0)))
                +IF(AND($F151&lt;&gt;"",$F151&lt;&gt;0),
                        SUMIF(CÁLCULO!$BS$15:$CS$205,CRONO!AE$12,CÁLCULO!$AR$15:$BR$205)/(ORÇAMENTO!$X$15-_xlfn.single(CÁLCULO.TotalAdmLocal))*CRONO!$F151,
                        0),
                 AE150*$S149),
          SUMIF(OFFSET($S151,1,0,$R149-2),($M149+1)&amp;"$",OFFSET(AE151,1,0,$R149-2)))</f>
        <v>1723.69</v>
      </c>
      <c r="AF151" s="439" t="n">
        <f aca="false" t="array" ref="AF151:AF151">IF($R149=2,
         IF(AND(ACOMPANHAMENTO="PLE",ISNUMBER($F149)),
                SUMIF((OFFSET(CÁLCULO!$BS$15:$CS$15,$F149,0,OFFSET(ORÇAMENTO!$D$15,CRONO!$F149,0))),CRONO!AF$12,OFFSET(CÁLCULO!$AR$15:$BR$15,$F149,0,OFFSET(ORÇAMENTO!$D$15,CRONO!$F149,0)))
                +IF(AND($F151&lt;&gt;"",$F151&lt;&gt;0),
                        SUMIF(CÁLCULO!$BS$15:$CS$205,CRONO!AF$12,CÁLCULO!$AR$15:$BR$205)/(ORÇAMENTO!$X$15-_xlfn.single(CÁLCULO.TotalAdmLocal))*CRONO!$F151,
                        0),
                 AF150*$S149),
          SUMIF(OFFSET($S151,1,0,$R149-2),($M149+1)&amp;"$",OFFSET(AF151,1,0,$R149-2)))</f>
        <v>1723.69</v>
      </c>
      <c r="AG151" s="439" t="n">
        <f aca="false" t="array" ref="AG151:AG151">IF($R149=2,
         IF(AND(ACOMPANHAMENTO="PLE",ISNUMBER($F149)),
                SUMIF((OFFSET(CÁLCULO!$BS$15:$CS$15,$F149,0,OFFSET(ORÇAMENTO!$D$15,CRONO!$F149,0))),CRONO!AG$12,OFFSET(CÁLCULO!$AR$15:$BR$15,$F149,0,OFFSET(ORÇAMENTO!$D$15,CRONO!$F149,0)))
                +IF(AND($F151&lt;&gt;"",$F151&lt;&gt;0),
                        SUMIF(CÁLCULO!$BS$15:$CS$205,CRONO!AG$12,CÁLCULO!$AR$15:$BR$205)/(ORÇAMENTO!$X$15-_xlfn.single(CÁLCULO.TotalAdmLocal))*CRONO!$F151,
                        0),
                 AG150*$S149),
          SUMIF(OFFSET($S151,1,0,$R149-2),($M149+1)&amp;"$",OFFSET(AG151,1,0,$R149-2)))</f>
        <v>1723.69</v>
      </c>
      <c r="AH151" s="439" t="n">
        <f aca="false" t="array" ref="AH151:AH151">IF($R149=2,
         IF(AND(ACOMPANHAMENTO="PLE",ISNUMBER($F149)),
                SUMIF((OFFSET(CÁLCULO!$BS$15:$CS$15,$F149,0,OFFSET(ORÇAMENTO!$D$15,CRONO!$F149,0))),CRONO!AH$12,OFFSET(CÁLCULO!$AR$15:$BR$15,$F149,0,OFFSET(ORÇAMENTO!$D$15,CRONO!$F149,0)))
                +IF(AND($F151&lt;&gt;"",$F151&lt;&gt;0),
                        SUMIF(CÁLCULO!$BS$15:$CS$205,CRONO!AH$12,CÁLCULO!$AR$15:$BR$205)/(ORÇAMENTO!$X$15-_xlfn.single(CÁLCULO.TotalAdmLocal))*CRONO!$F151,
                        0),
                 AH150*$S149),
          SUMIF(OFFSET($S151,1,0,$R149-2),($M149+1)&amp;"$",OFFSET(AH151,1,0,$R149-2)))</f>
        <v>1723.69</v>
      </c>
      <c r="AI151" s="439" t="n">
        <f aca="false" t="array" ref="AI151:AI151">IF($R149=2,
         IF(AND(ACOMPANHAMENTO="PLE",ISNUMBER($F149)),
                SUMIF((OFFSET(CÁLCULO!$BS$15:$CS$15,$F149,0,OFFSET(ORÇAMENTO!$D$15,CRONO!$F149,0))),CRONO!AI$12,OFFSET(CÁLCULO!$AR$15:$BR$15,$F149,0,OFFSET(ORÇAMENTO!$D$15,CRONO!$F149,0)))
                +IF(AND($F151&lt;&gt;"",$F151&lt;&gt;0),
                        SUMIF(CÁLCULO!$BS$15:$CS$205,CRONO!AI$12,CÁLCULO!$AR$15:$BR$205)/(ORÇAMENTO!$X$15-_xlfn.single(CÁLCULO.TotalAdmLocal))*CRONO!$F151,
                        0),
                 AI150*$S149),
          SUMIF(OFFSET($S151,1,0,$R149-2),($M149+1)&amp;"$",OFFSET(AI151,1,0,$R149-2)))</f>
        <v>1723.69</v>
      </c>
      <c r="AJ151" s="439" t="n">
        <f aca="false" t="array" ref="AJ151:AJ151">IF($R149=2,
         IF(AND(ACOMPANHAMENTO="PLE",ISNUMBER($F149)),
                SUMIF((OFFSET(CÁLCULO!$BS$15:$CS$15,$F149,0,OFFSET(ORÇAMENTO!$D$15,CRONO!$F149,0))),CRONO!AJ$12,OFFSET(CÁLCULO!$AR$15:$BR$15,$F149,0,OFFSET(ORÇAMENTO!$D$15,CRONO!$F149,0)))
                +IF(AND($F151&lt;&gt;"",$F151&lt;&gt;0),
                        SUMIF(CÁLCULO!$BS$15:$CS$205,CRONO!AJ$12,CÁLCULO!$AR$15:$BR$205)/(ORÇAMENTO!$X$15-_xlfn.single(CÁLCULO.TotalAdmLocal))*CRONO!$F151,
                        0),
                 AJ150*$S149),
          SUMIF(OFFSET($S151,1,0,$R149-2),($M149+1)&amp;"$",OFFSET(AJ151,1,0,$R149-2)))</f>
        <v>1723.69</v>
      </c>
      <c r="AK151" s="439" t="n">
        <f aca="false" t="array" ref="AK151:AK151">IF($R149=2,
         IF(AND(ACOMPANHAMENTO="PLE",ISNUMBER($F149)),
                SUMIF((OFFSET(CÁLCULO!$BS$15:$CS$15,$F149,0,OFFSET(ORÇAMENTO!$D$15,CRONO!$F149,0))),CRONO!AK$12,OFFSET(CÁLCULO!$AR$15:$BR$15,$F149,0,OFFSET(ORÇAMENTO!$D$15,CRONO!$F149,0)))
                +IF(AND($F151&lt;&gt;"",$F151&lt;&gt;0),
                        SUMIF(CÁLCULO!$BS$15:$CS$205,CRONO!AK$12,CÁLCULO!$AR$15:$BR$205)/(ORÇAMENTO!$X$15-_xlfn.single(CÁLCULO.TotalAdmLocal))*CRONO!$F151,
                        0),
                 AK150*$S149),
          SUMIF(OFFSET($S151,1,0,$R149-2),($M149+1)&amp;"$",OFFSET(AK151,1,0,$R149-2)))</f>
        <v>1723.69</v>
      </c>
      <c r="AL151" s="439" t="n">
        <f aca="false" t="array" ref="AL151:AL151">IF($R149=2,
         IF(AND(ACOMPANHAMENTO="PLE",ISNUMBER($F149)),
                SUMIF((OFFSET(CÁLCULO!$BS$15:$CS$15,$F149,0,OFFSET(ORÇAMENTO!$D$15,CRONO!$F149,0))),CRONO!AL$12,OFFSET(CÁLCULO!$AR$15:$BR$15,$F149,0,OFFSET(ORÇAMENTO!$D$15,CRONO!$F149,0)))
                +IF(AND($F151&lt;&gt;"",$F151&lt;&gt;0),
                        SUMIF(CÁLCULO!$BS$15:$CS$205,CRONO!AL$12,CÁLCULO!$AR$15:$BR$205)/(ORÇAMENTO!$X$15-_xlfn.single(CÁLCULO.TotalAdmLocal))*CRONO!$F151,
                        0),
                 AL150*$S149),
          SUMIF(OFFSET($S151,1,0,$R149-2),($M149+1)&amp;"$",OFFSET(AL151,1,0,$R149-2)))</f>
        <v>1723.69</v>
      </c>
      <c r="AM151" s="439" t="n">
        <f aca="false" t="array" ref="AM151:AM151">IF($R149=2,
         IF(AND(ACOMPANHAMENTO="PLE",ISNUMBER($F149)),
                SUMIF((OFFSET(CÁLCULO!$BS$15:$CS$15,$F149,0,OFFSET(ORÇAMENTO!$D$15,CRONO!$F149,0))),CRONO!AM$12,OFFSET(CÁLCULO!$AR$15:$BR$15,$F149,0,OFFSET(ORÇAMENTO!$D$15,CRONO!$F149,0)))
                +IF(AND($F151&lt;&gt;"",$F151&lt;&gt;0),
                        SUMIF(CÁLCULO!$BS$15:$CS$205,CRONO!AM$12,CÁLCULO!$AR$15:$BR$205)/(ORÇAMENTO!$X$15-_xlfn.single(CÁLCULO.TotalAdmLocal))*CRONO!$F151,
                        0),
                 AM150*$S149),
          SUMIF(OFFSET($S151,1,0,$R149-2),($M149+1)&amp;"$",OFFSET(AM151,1,0,$R149-2)))</f>
        <v>1723.69</v>
      </c>
      <c r="AN151" s="439" t="n">
        <f aca="false" t="array" ref="AN151:AN151">IF($R149=2,
         IF(AND(ACOMPANHAMENTO="PLE",ISNUMBER($F149)),
                SUMIF((OFFSET(CÁLCULO!$BS$15:$CS$15,$F149,0,OFFSET(ORÇAMENTO!$D$15,CRONO!$F149,0))),CRONO!AN$12,OFFSET(CÁLCULO!$AR$15:$BR$15,$F149,0,OFFSET(ORÇAMENTO!$D$15,CRONO!$F149,0)))
                +IF(AND($F151&lt;&gt;"",$F151&lt;&gt;0),
                        SUMIF(CÁLCULO!$BS$15:$CS$205,CRONO!AN$12,CÁLCULO!$AR$15:$BR$205)/(ORÇAMENTO!$X$15-_xlfn.single(CÁLCULO.TotalAdmLocal))*CRONO!$F151,
                        0),
                 AN150*$S149),
          SUMIF(OFFSET($S151,1,0,$R149-2),($M149+1)&amp;"$",OFFSET(AN151,1,0,$R149-2)))</f>
        <v>1723.69</v>
      </c>
      <c r="AO151" s="439" t="n">
        <f aca="false" t="array" ref="AO151:AO151">IF($R149=2,
         IF(AND(ACOMPANHAMENTO="PLE",ISNUMBER($F149)),
                SUMIF((OFFSET(CÁLCULO!$BS$15:$CS$15,$F149,0,OFFSET(ORÇAMENTO!$D$15,CRONO!$F149,0))),CRONO!AO$12,OFFSET(CÁLCULO!$AR$15:$BR$15,$F149,0,OFFSET(ORÇAMENTO!$D$15,CRONO!$F149,0)))
                +IF(AND($F151&lt;&gt;"",$F151&lt;&gt;0),
                        SUMIF(CÁLCULO!$BS$15:$CS$205,CRONO!AO$12,CÁLCULO!$AR$15:$BR$205)/(ORÇAMENTO!$X$15-_xlfn.single(CÁLCULO.TotalAdmLocal))*CRONO!$F151,
                        0),
                 AO150*$S149),
          SUMIF(OFFSET($S151,1,0,$R149-2),($M149+1)&amp;"$",OFFSET(AO151,1,0,$R149-2)))</f>
        <v>1723.69</v>
      </c>
      <c r="AP151" s="439" t="n">
        <f aca="false" t="array" ref="AP151:AP151">IF($R149=2,
         IF(AND(ACOMPANHAMENTO="PLE",ISNUMBER($F149)),
                SUMIF((OFFSET(CÁLCULO!$BS$15:$CS$15,$F149,0,OFFSET(ORÇAMENTO!$D$15,CRONO!$F149,0))),CRONO!AP$12,OFFSET(CÁLCULO!$AR$15:$BR$15,$F149,0,OFFSET(ORÇAMENTO!$D$15,CRONO!$F149,0)))
                +IF(AND($F151&lt;&gt;"",$F151&lt;&gt;0),
                        SUMIF(CÁLCULO!$BS$15:$CS$205,CRONO!AP$12,CÁLCULO!$AR$15:$BR$205)/(ORÇAMENTO!$X$15-_xlfn.single(CÁLCULO.TotalAdmLocal))*CRONO!$F151,
                        0),
                 AP150*$S149),
          SUMIF(OFFSET($S151,1,0,$R149-2),($M149+1)&amp;"$",OFFSET(AP151,1,0,$R149-2)))</f>
        <v>1723.69</v>
      </c>
      <c r="AQ151" s="439" t="n">
        <f aca="false" t="array" ref="AQ151:AQ151">IF($R149=2,
         IF(AND(ACOMPANHAMENTO="PLE",ISNUMBER($F149)),
                SUMIF((OFFSET(CÁLCULO!$BS$15:$CS$15,$F149,0,OFFSET(ORÇAMENTO!$D$15,CRONO!$F149,0))),CRONO!AQ$12,OFFSET(CÁLCULO!$AR$15:$BR$15,$F149,0,OFFSET(ORÇAMENTO!$D$15,CRONO!$F149,0)))
                +IF(AND($F151&lt;&gt;"",$F151&lt;&gt;0),
                        SUMIF(CÁLCULO!$BS$15:$CS$205,CRONO!AQ$12,CÁLCULO!$AR$15:$BR$205)/(ORÇAMENTO!$X$15-_xlfn.single(CÁLCULO.TotalAdmLocal))*CRONO!$F151,
                        0),
                 AQ150*$S149),
          SUMIF(OFFSET($S151,1,0,$R149-2),($M149+1)&amp;"$",OFFSET(AQ151,1,0,$R149-2)))</f>
        <v>1723.69</v>
      </c>
      <c r="AR151" s="439" t="n">
        <f aca="false" t="array" ref="AR151:AR151">IF($R149=2,
         IF(AND(ACOMPANHAMENTO="PLE",ISNUMBER($F149)),
                SUMIF((OFFSET(CÁLCULO!$BS$15:$CS$15,$F149,0,OFFSET(ORÇAMENTO!$D$15,CRONO!$F149,0))),CRONO!AR$12,OFFSET(CÁLCULO!$AR$15:$BR$15,$F149,0,OFFSET(ORÇAMENTO!$D$15,CRONO!$F149,0)))
                +IF(AND($F151&lt;&gt;"",$F151&lt;&gt;0),
                        SUMIF(CÁLCULO!$BS$15:$CS$205,CRONO!AR$12,CÁLCULO!$AR$15:$BR$205)/(ORÇAMENTO!$X$15-_xlfn.single(CÁLCULO.TotalAdmLocal))*CRONO!$F151,
                        0),
                 AR150*$S149),
          SUMIF(OFFSET($S151,1,0,$R149-2),($M149+1)&amp;"$",OFFSET(AR151,1,0,$R149-2)))</f>
        <v>1723.69</v>
      </c>
      <c r="AS151" s="439" t="n">
        <f aca="false" t="array" ref="AS151:AS151">IF($R149=2,
         IF(AND(ACOMPANHAMENTO="PLE",ISNUMBER($F149)),
                SUMIF((OFFSET(CÁLCULO!$BS$15:$CS$15,$F149,0,OFFSET(ORÇAMENTO!$D$15,CRONO!$F149,0))),CRONO!AS$12,OFFSET(CÁLCULO!$AR$15:$BR$15,$F149,0,OFFSET(ORÇAMENTO!$D$15,CRONO!$F149,0)))
                +IF(AND($F151&lt;&gt;"",$F151&lt;&gt;0),
                        SUMIF(CÁLCULO!$BS$15:$CS$205,CRONO!AS$12,CÁLCULO!$AR$15:$BR$205)/(ORÇAMENTO!$X$15-_xlfn.single(CÁLCULO.TotalAdmLocal))*CRONO!$F151,
                        0),
                 AS150*$S149),
          SUMIF(OFFSET($S151,1,0,$R149-2),($M149+1)&amp;"$",OFFSET(AS151,1,0,$R149-2)))</f>
        <v>1723.69</v>
      </c>
      <c r="AT151" s="439" t="n">
        <f aca="false" t="array" ref="AT151:AT151">IF($R149=2,
         IF(AND(ACOMPANHAMENTO="PLE",ISNUMBER($F149)),
                SUMIF((OFFSET(CÁLCULO!$BS$15:$CS$15,$F149,0,OFFSET(ORÇAMENTO!$D$15,CRONO!$F149,0))),CRONO!AT$12,OFFSET(CÁLCULO!$AR$15:$BR$15,$F149,0,OFFSET(ORÇAMENTO!$D$15,CRONO!$F149,0)))
                +IF(AND($F151&lt;&gt;"",$F151&lt;&gt;0),
                        SUMIF(CÁLCULO!$BS$15:$CS$205,CRONO!AT$12,CÁLCULO!$AR$15:$BR$205)/(ORÇAMENTO!$X$15-_xlfn.single(CÁLCULO.TotalAdmLocal))*CRONO!$F151,
                        0),
                 AT150*$S149),
          SUMIF(OFFSET($S151,1,0,$R149-2),($M149+1)&amp;"$",OFFSET(AT151,1,0,$R149-2)))</f>
        <v>0</v>
      </c>
      <c r="AU151" s="439" t="n">
        <f aca="false" t="array" ref="AU151:AU151">IF($R149=2,
         IF(AND(ACOMPANHAMENTO="PLE",ISNUMBER($F149)),
                SUMIF((OFFSET(CÁLCULO!$BS$15:$CS$15,$F149,0,OFFSET(ORÇAMENTO!$D$15,CRONO!$F149,0))),CRONO!AU$12,OFFSET(CÁLCULO!$AR$15:$BR$15,$F149,0,OFFSET(ORÇAMENTO!$D$15,CRONO!$F149,0)))
                +IF(AND($F151&lt;&gt;"",$F151&lt;&gt;0),
                        SUMIF(CÁLCULO!$BS$15:$CS$205,CRONO!AU$12,CÁLCULO!$AR$15:$BR$205)/(ORÇAMENTO!$X$15-_xlfn.single(CÁLCULO.TotalAdmLocal))*CRONO!$F151,
                        0),
                 AU150*$S149),
          SUMIF(OFFSET($S151,1,0,$R149-2),($M149+1)&amp;"$",OFFSET(AU151,1,0,$R149-2)))</f>
        <v>0</v>
      </c>
      <c r="AV151" s="439" t="n">
        <f aca="false" t="array" ref="AV151:AV151">IF($R149=2,
         IF(AND(ACOMPANHAMENTO="PLE",ISNUMBER($F149)),
                SUMIF((OFFSET(CÁLCULO!$BS$15:$CS$15,$F149,0,OFFSET(ORÇAMENTO!$D$15,CRONO!$F149,0))),CRONO!AV$12,OFFSET(CÁLCULO!$AR$15:$BR$15,$F149,0,OFFSET(ORÇAMENTO!$D$15,CRONO!$F149,0)))
                +IF(AND($F151&lt;&gt;"",$F151&lt;&gt;0),
                        SUMIF(CÁLCULO!$BS$15:$CS$205,CRONO!AV$12,CÁLCULO!$AR$15:$BR$205)/(ORÇAMENTO!$X$15-_xlfn.single(CÁLCULO.TotalAdmLocal))*CRONO!$F151,
                        0),
                 AV150*$S149),
          SUMIF(OFFSET($S151,1,0,$R149-2),($M149+1)&amp;"$",OFFSET(AV151,1,0,$R149-2)))</f>
        <v>0</v>
      </c>
      <c r="AW151" s="439" t="n">
        <f aca="false" t="array" ref="AW151:AW151">IF($R149=2,
         IF(AND(ACOMPANHAMENTO="PLE",ISNUMBER($F149)),
                SUMIF((OFFSET(CÁLCULO!$BS$15:$CS$15,$F149,0,OFFSET(ORÇAMENTO!$D$15,CRONO!$F149,0))),CRONO!AW$12,OFFSET(CÁLCULO!$AR$15:$BR$15,$F149,0,OFFSET(ORÇAMENTO!$D$15,CRONO!$F149,0)))
                +IF(AND($F151&lt;&gt;"",$F151&lt;&gt;0),
                        SUMIF(CÁLCULO!$BS$15:$CS$205,CRONO!AW$12,CÁLCULO!$AR$15:$BR$205)/(ORÇAMENTO!$X$15-_xlfn.single(CÁLCULO.TotalAdmLocal))*CRONO!$F151,
                        0),
                 AW150*$S149),
          SUMIF(OFFSET($S151,1,0,$R149-2),($M149+1)&amp;"$",OFFSET(AW151,1,0,$R149-2)))</f>
        <v>0</v>
      </c>
      <c r="AX151" s="439" t="n">
        <f aca="false" t="array" ref="AX151:AX151">IF($R149=2,
         IF(AND(ACOMPANHAMENTO="PLE",ISNUMBER($F149)),
                SUMIF((OFFSET(CÁLCULO!$BS$15:$CS$15,$F149,0,OFFSET(ORÇAMENTO!$D$15,CRONO!$F149,0))),CRONO!AX$12,OFFSET(CÁLCULO!$AR$15:$BR$15,$F149,0,OFFSET(ORÇAMENTO!$D$15,CRONO!$F149,0)))
                +IF(AND($F151&lt;&gt;"",$F151&lt;&gt;0),
                        SUMIF(CÁLCULO!$BS$15:$CS$205,CRONO!AX$12,CÁLCULO!$AR$15:$BR$205)/(ORÇAMENTO!$X$15-_xlfn.single(CÁLCULO.TotalAdmLocal))*CRONO!$F151,
                        0),
                 AX150*$S149),
          SUMIF(OFFSET($S151,1,0,$R149-2),($M149+1)&amp;"$",OFFSET(AX151,1,0,$R149-2)))</f>
        <v>0</v>
      </c>
      <c r="AY151" s="439" t="n">
        <f aca="false" t="array" ref="AY151:AY151">IF($R149=2,
         IF(AND(ACOMPANHAMENTO="PLE",ISNUMBER($F149)),
                SUMIF((OFFSET(CÁLCULO!$BS$15:$CS$15,$F149,0,OFFSET(ORÇAMENTO!$D$15,CRONO!$F149,0))),CRONO!AY$12,OFFSET(CÁLCULO!$AR$15:$BR$15,$F149,0,OFFSET(ORÇAMENTO!$D$15,CRONO!$F149,0)))
                +IF(AND($F151&lt;&gt;"",$F151&lt;&gt;0),
                        SUMIF(CÁLCULO!$BS$15:$CS$205,CRONO!AY$12,CÁLCULO!$AR$15:$BR$205)/(ORÇAMENTO!$X$15-_xlfn.single(CÁLCULO.TotalAdmLocal))*CRONO!$F151,
                        0),
                 AY150*$S149),
          SUMIF(OFFSET($S151,1,0,$R149-2),($M149+1)&amp;"$",OFFSET(AY151,1,0,$R149-2)))</f>
        <v>0</v>
      </c>
      <c r="AZ151" s="439" t="n">
        <f aca="false" t="array" ref="AZ151:AZ151">IF($R149=2,
         IF(AND(ACOMPANHAMENTO="PLE",ISNUMBER($F149)),
                SUMIF((OFFSET(CÁLCULO!$BS$15:$CS$15,$F149,0,OFFSET(ORÇAMENTO!$D$15,CRONO!$F149,0))),CRONO!AZ$12,OFFSET(CÁLCULO!$AR$15:$BR$15,$F149,0,OFFSET(ORÇAMENTO!$D$15,CRONO!$F149,0)))
                +IF(AND($F151&lt;&gt;"",$F151&lt;&gt;0),
                        SUMIF(CÁLCULO!$BS$15:$CS$205,CRONO!AZ$12,CÁLCULO!$AR$15:$BR$205)/(ORÇAMENTO!$X$15-_xlfn.single(CÁLCULO.TotalAdmLocal))*CRONO!$F151,
                        0),
                 AZ150*$S149),
          SUMIF(OFFSET($S151,1,0,$R149-2),($M149+1)&amp;"$",OFFSET(AZ151,1,0,$R149-2)))</f>
        <v>0</v>
      </c>
      <c r="BA151" s="439" t="n">
        <f aca="false" t="array" ref="BA151:BA151">IF($R149=2,
         IF(AND(ACOMPANHAMENTO="PLE",ISNUMBER($F149)),
                SUMIF((OFFSET(CÁLCULO!$BS$15:$CS$15,$F149,0,OFFSET(ORÇAMENTO!$D$15,CRONO!$F149,0))),CRONO!BA$12,OFFSET(CÁLCULO!$AR$15:$BR$15,$F149,0,OFFSET(ORÇAMENTO!$D$15,CRONO!$F149,0)))
                +IF(AND($F151&lt;&gt;"",$F151&lt;&gt;0),
                        SUMIF(CÁLCULO!$BS$15:$CS$205,CRONO!BA$12,CÁLCULO!$AR$15:$BR$205)/(ORÇAMENTO!$X$15-_xlfn.single(CÁLCULO.TotalAdmLocal))*CRONO!$F151,
                        0),
                 BA150*$S149),
          SUMIF(OFFSET($S151,1,0,$R149-2),($M149+1)&amp;"$",OFFSET(BA151,1,0,$R149-2)))</f>
        <v>0</v>
      </c>
      <c r="BB151" s="439" t="n">
        <f aca="false" t="array" ref="BB151:BB151">IF($R149=2,
         IF(AND(ACOMPANHAMENTO="PLE",ISNUMBER($F149)),
                SUMIF((OFFSET(CÁLCULO!$BS$15:$CS$15,$F149,0,OFFSET(ORÇAMENTO!$D$15,CRONO!$F149,0))),CRONO!BB$12,OFFSET(CÁLCULO!$AR$15:$BR$15,$F149,0,OFFSET(ORÇAMENTO!$D$15,CRONO!$F149,0)))
                +IF(AND($F151&lt;&gt;"",$F151&lt;&gt;0),
                        SUMIF(CÁLCULO!$BS$15:$CS$205,CRONO!BB$12,CÁLCULO!$AR$15:$BR$205)/(ORÇAMENTO!$X$15-_xlfn.single(CÁLCULO.TotalAdmLocal))*CRONO!$F151,
                        0),
                 BB150*$S149),
          SUMIF(OFFSET($S151,1,0,$R149-2),($M149+1)&amp;"$",OFFSET(BB151,1,0,$R149-2)))</f>
        <v>0</v>
      </c>
      <c r="BC151" s="439" t="n">
        <f aca="false" t="array" ref="BC151:BC151">IF($R149=2,
         IF(AND(ACOMPANHAMENTO="PLE",ISNUMBER($F149)),
                SUMIF((OFFSET(CÁLCULO!$BS$15:$CS$15,$F149,0,OFFSET(ORÇAMENTO!$D$15,CRONO!$F149,0))),CRONO!BC$12,OFFSET(CÁLCULO!$AR$15:$BR$15,$F149,0,OFFSET(ORÇAMENTO!$D$15,CRONO!$F149,0)))
                +IF(AND($F151&lt;&gt;"",$F151&lt;&gt;0),
                        SUMIF(CÁLCULO!$BS$15:$CS$205,CRONO!BC$12,CÁLCULO!$AR$15:$BR$205)/(ORÇAMENTO!$X$15-_xlfn.single(CÁLCULO.TotalAdmLocal))*CRONO!$F151,
                        0),
                 BC150*$S149),
          SUMIF(OFFSET($S151,1,0,$R149-2),($M149+1)&amp;"$",OFFSET(BC151,1,0,$R149-2)))</f>
        <v>0</v>
      </c>
      <c r="BD151" s="439" t="n">
        <f aca="false" t="array" ref="BD151:BD151">IF($R149=2,
         IF(AND(ACOMPANHAMENTO="PLE",ISNUMBER($F149)),
                SUMIF((OFFSET(CÁLCULO!$BS$15:$CS$15,$F149,0,OFFSET(ORÇAMENTO!$D$15,CRONO!$F149,0))),CRONO!BD$12,OFFSET(CÁLCULO!$AR$15:$BR$15,$F149,0,OFFSET(ORÇAMENTO!$D$15,CRONO!$F149,0)))
                +IF(AND($F151&lt;&gt;"",$F151&lt;&gt;0),
                        SUMIF(CÁLCULO!$BS$15:$CS$205,CRONO!BD$12,CÁLCULO!$AR$15:$BR$205)/(ORÇAMENTO!$X$15-_xlfn.single(CÁLCULO.TotalAdmLocal))*CRONO!$F151,
                        0),
                 BD150*$S149),
          SUMIF(OFFSET($S151,1,0,$R149-2),($M149+1)&amp;"$",OFFSET(BD151,1,0,$R149-2)))</f>
        <v>0</v>
      </c>
      <c r="BE151" s="430"/>
    </row>
    <row r="152" customFormat="false" ht="12.75" hidden="false" customHeight="false" outlineLevel="0" collapsed="false">
      <c r="A152" s="382" t="str">
        <f aca="false">IF($M152&gt;1,_xlfn.CONCAT($I152," ",$J152),"")</f>
        <v>1.46. ACESSÓRIOS/CAIXAS</v>
      </c>
      <c r="B152" s="419" t="n">
        <f aca="true">OFFSET(B152,-3,0)+1</f>
        <v>47</v>
      </c>
      <c r="C152" s="419" t="n">
        <f aca="true">IF($R152&lt;&gt;2,0,IF($S152=0,1,IF(F153&gt;0,OFFSET(QCI!$M$13,SUBSTITUTE(F153,".",""),0),OFFSET(ORÇAMENTO!$AA$15,CRONO!$F152,0))/$S152))</f>
        <v>0.110981526562671</v>
      </c>
      <c r="D152" s="419" t="n">
        <f aca="true">IF($R152&lt;&gt;2,0,IF($S152=0,1,IF(F153&gt;0,OFFSET(QCI!$N$13,SUBSTITUTE(F153,".",""),0),OFFSET(ORÇAMENTO!$AB$15,CRONO!$F152,0))/$S152))</f>
        <v>0</v>
      </c>
      <c r="E152" s="422" t="n">
        <f aca="false" t="array" ref="E152:E152">IF(AND($R152=2,ACOMPANHAMENTO="BM"),ROUND(E153,4),E154/$S152)</f>
        <v>0.04</v>
      </c>
      <c r="F152" s="419" t="n">
        <f aca="true">IF(B152&lt;=ORÇAMENTO.MáximoListaCrono,MATCH(B152,ORÇAMENTO.ListaCrono,0),NA())</f>
        <v>170</v>
      </c>
      <c r="G152" s="419" t="str">
        <f aca="false">IF(AND($F153&lt;&gt;-1,$S152&gt;0),"F","")</f>
        <v>F</v>
      </c>
      <c r="H152" s="423" t="str">
        <f aca="false" t="array" ref="H152:H152">IF(OR(S152=0,S152=""),"Linha",IF(AND(OR(ACOMPANHAMENTO="PLE",$R152&lt;&gt;2),$F153=0),"Linha",ROUND(1-SUM(U152:BE152),4)))</f>
        <v>Linha</v>
      </c>
      <c r="I152" s="424" t="str">
        <f aca="true">IF($F153=0,OFFSET(ORÇAMENTO!O$15,$F152,0),IF($F153&lt;&gt;-1,OFFSET(QCI!$D$13,$F153,0),""))</f>
        <v>1.46.</v>
      </c>
      <c r="J152" s="425" t="str">
        <f aca="true">IF($F153=0,OFFSET(ORÇAMENTO!R$15,$F152,0),IF($F153&lt;&gt;-1,OFFSET(QCI!$G$13,$F153,0),""))</f>
        <v>ACESSÓRIOS/CAIXAS</v>
      </c>
      <c r="K152" s="425"/>
      <c r="L152" s="425"/>
      <c r="M152" s="426" t="n">
        <f aca="true">IF($F153=0,OFFSET(ORÇAMENTO!C$15,$F152,0),1)</f>
        <v>2</v>
      </c>
      <c r="N152" s="427" t="n">
        <f aca="true">IF($F153=-1,0,IF(N$13&lt;=$M152,IF(ISERROR(MATCH(N$13,OFFSET($M152,1,0,ROW($M$182)-ROW($M152)-1),0)),ROW($M$182)-ROW($M152)-1,MATCH(N$13,OFFSET($M152,1,0,ROW($M$182)-ROW($M152)-1),0)-1),0))</f>
        <v>29</v>
      </c>
      <c r="O152" s="427" t="n">
        <f aca="true">IF($F153=-1,0,IF(O$13&lt;=$M152,IF(ISERROR(MATCH(O$13,OFFSET($M152,1,0,ROW($M$182)-ROW($M152)-1),0)),ROW($M$182)-ROW($M152)-1,MATCH(O$13,OFFSET($M152,1,0,ROW($M$182)-ROW($M152)-1),0)-1),0))</f>
        <v>2</v>
      </c>
      <c r="P152" s="427" t="n">
        <f aca="true">IF($F153=-1,0,IF(P$13&lt;=$M152,IF(ISERROR(MATCH(P$13,OFFSET($M152,1,0,ROW($M$182)-ROW($M152)-1),0)),ROW($M$182)-ROW($M152)-1,MATCH(P$13,OFFSET($M152,1,0,ROW($M$182)-ROW($M152)-1),0)-1),0))</f>
        <v>0</v>
      </c>
      <c r="Q152" s="427" t="n">
        <f aca="true">IF($F153=-1,0,IF(Q$13&lt;=$M152,IF(ISERROR(MATCH(Q$13,OFFSET($M152,1,0,ROW($M$182)-ROW($M152)-1),0)),ROW($M$182)-ROW($M152)-1,MATCH(Q$13,OFFSET($M152,1,0,ROW($M$182)-ROW($M152)-1),0)-1),0))</f>
        <v>0</v>
      </c>
      <c r="R152" s="427" t="n">
        <f aca="true">MIN(OFFSET(M152,0,1,,M152))</f>
        <v>2</v>
      </c>
      <c r="S152" s="428" t="n">
        <f aca="true">IF($F153=0,OFFSET(ORÇAMENTO!X$15,$F152,0),IF($F153&lt;&gt;-1,OFFSET(QCI!$O$13,$F153,0),""))</f>
        <v>13832.5</v>
      </c>
      <c r="T152" s="429" t="s">
        <v>996</v>
      </c>
      <c r="U152" s="422" t="n">
        <f aca="false" t="array" ref="U152:U152">IF(AND($R152=2,ACOMPANHAMENTO="BM"),ROUND(U153,4),U154/$S152)</f>
        <v>0.04</v>
      </c>
      <c r="V152" s="422" t="n">
        <f aca="false" t="array" ref="V152:V152">IF(AND($R152=2,ACOMPANHAMENTO="BM"),ROUND(V153,4),V154/$S152)</f>
        <v>0.04</v>
      </c>
      <c r="W152" s="422" t="n">
        <f aca="false" t="array" ref="W152:W152">IF(AND($R152=2,ACOMPANHAMENTO="BM"),ROUND(W153,4),W154/$S152)</f>
        <v>0.04</v>
      </c>
      <c r="X152" s="422" t="n">
        <f aca="false" t="array" ref="X152:X152">IF(AND($R152=2,ACOMPANHAMENTO="BM"),ROUND(X153,4),X154/$S152)</f>
        <v>0.04</v>
      </c>
      <c r="Y152" s="422" t="n">
        <f aca="false" t="array" ref="Y152:Y152">IF(AND($R152=2,ACOMPANHAMENTO="BM"),ROUND(Y153,4),Y154/$S152)</f>
        <v>0.04</v>
      </c>
      <c r="Z152" s="422" t="n">
        <f aca="false" t="array" ref="Z152:Z152">IF(AND($R152=2,ACOMPANHAMENTO="BM"),ROUND(Z153,4),Z154/$S152)</f>
        <v>0.04</v>
      </c>
      <c r="AA152" s="422" t="n">
        <f aca="false" t="array" ref="AA152:AA152">IF(AND($R152=2,ACOMPANHAMENTO="BM"),ROUND(AA153,4),AA154/$S152)</f>
        <v>0.04</v>
      </c>
      <c r="AB152" s="422" t="n">
        <f aca="false" t="array" ref="AB152:AB152">IF(AND($R152=2,ACOMPANHAMENTO="BM"),ROUND(AB153,4),AB154/$S152)</f>
        <v>0.04</v>
      </c>
      <c r="AC152" s="422" t="n">
        <f aca="false" t="array" ref="AC152:AC152">IF(AND($R152=2,ACOMPANHAMENTO="BM"),ROUND(AC153,4),AC154/$S152)</f>
        <v>0.04</v>
      </c>
      <c r="AD152" s="422" t="n">
        <f aca="false" t="array" ref="AD152:AD152">IF(AND($R152=2,ACOMPANHAMENTO="BM"),ROUND(AD153,4),AD154/$S152)</f>
        <v>0.04</v>
      </c>
      <c r="AE152" s="422" t="n">
        <f aca="false" t="array" ref="AE152:AE152">IF(AND($R152=2,ACOMPANHAMENTO="BM"),ROUND(AE153,4),AE154/$S152)</f>
        <v>0.04</v>
      </c>
      <c r="AF152" s="422" t="n">
        <f aca="false" t="array" ref="AF152:AF152">IF(AND($R152=2,ACOMPANHAMENTO="BM"),ROUND(AF153,4),AF154/$S152)</f>
        <v>0.04</v>
      </c>
      <c r="AG152" s="422" t="n">
        <f aca="false" t="array" ref="AG152:AG152">IF(AND($R152=2,ACOMPANHAMENTO="BM"),ROUND(AG153,4),AG154/$S152)</f>
        <v>0.04</v>
      </c>
      <c r="AH152" s="422" t="n">
        <f aca="false" t="array" ref="AH152:AH152">IF(AND($R152=2,ACOMPANHAMENTO="BM"),ROUND(AH153,4),AH154/$S152)</f>
        <v>0.04</v>
      </c>
      <c r="AI152" s="422" t="n">
        <f aca="false" t="array" ref="AI152:AI152">IF(AND($R152=2,ACOMPANHAMENTO="BM"),ROUND(AI153,4),AI154/$S152)</f>
        <v>0.04</v>
      </c>
      <c r="AJ152" s="422" t="n">
        <f aca="false" t="array" ref="AJ152:AJ152">IF(AND($R152=2,ACOMPANHAMENTO="BM"),ROUND(AJ153,4),AJ154/$S152)</f>
        <v>0.04</v>
      </c>
      <c r="AK152" s="422" t="n">
        <f aca="false" t="array" ref="AK152:AK152">IF(AND($R152=2,ACOMPANHAMENTO="BM"),ROUND(AK153,4),AK154/$S152)</f>
        <v>0.04</v>
      </c>
      <c r="AL152" s="422" t="n">
        <f aca="false" t="array" ref="AL152:AL152">IF(AND($R152=2,ACOMPANHAMENTO="BM"),ROUND(AL153,4),AL154/$S152)</f>
        <v>0.04</v>
      </c>
      <c r="AM152" s="422" t="n">
        <f aca="false" t="array" ref="AM152:AM152">IF(AND($R152=2,ACOMPANHAMENTO="BM"),ROUND(AM153,4),AM154/$S152)</f>
        <v>0.04</v>
      </c>
      <c r="AN152" s="422" t="n">
        <f aca="false" t="array" ref="AN152:AN152">IF(AND($R152=2,ACOMPANHAMENTO="BM"),ROUND(AN153,4),AN154/$S152)</f>
        <v>0.04</v>
      </c>
      <c r="AO152" s="422" t="n">
        <f aca="false" t="array" ref="AO152:AO152">IF(AND($R152=2,ACOMPANHAMENTO="BM"),ROUND(AO153,4),AO154/$S152)</f>
        <v>0.04</v>
      </c>
      <c r="AP152" s="422" t="n">
        <f aca="false" t="array" ref="AP152:AP152">IF(AND($R152=2,ACOMPANHAMENTO="BM"),ROUND(AP153,4),AP154/$S152)</f>
        <v>0.04</v>
      </c>
      <c r="AQ152" s="422" t="n">
        <f aca="false" t="array" ref="AQ152:AQ152">IF(AND($R152=2,ACOMPANHAMENTO="BM"),ROUND(AQ153,4),AQ154/$S152)</f>
        <v>0.04</v>
      </c>
      <c r="AR152" s="422" t="n">
        <f aca="false" t="array" ref="AR152:AR152">IF(AND($R152=2,ACOMPANHAMENTO="BM"),ROUND(AR153,4),AR154/$S152)</f>
        <v>0.04</v>
      </c>
      <c r="AS152" s="422" t="n">
        <f aca="false" t="array" ref="AS152:AS152">IF(AND($R152=2,ACOMPANHAMENTO="BM"),ROUND(AS153,4),AS154/$S152)</f>
        <v>0.04</v>
      </c>
      <c r="AT152" s="422" t="n">
        <f aca="false" t="array" ref="AT152:AT152">IF(AND($R152=2,ACOMPANHAMENTO="BM"),ROUND(AT153,4),AT154/$S152)</f>
        <v>0</v>
      </c>
      <c r="AU152" s="422" t="n">
        <f aca="false" t="array" ref="AU152:AU152">IF(AND($R152=2,ACOMPANHAMENTO="BM"),ROUND(AU153,4),AU154/$S152)</f>
        <v>0</v>
      </c>
      <c r="AV152" s="422" t="n">
        <f aca="false" t="array" ref="AV152:AV152">IF(AND($R152=2,ACOMPANHAMENTO="BM"),ROUND(AV153,4),AV154/$S152)</f>
        <v>0</v>
      </c>
      <c r="AW152" s="422" t="n">
        <f aca="false" t="array" ref="AW152:AW152">IF(AND($R152=2,ACOMPANHAMENTO="BM"),ROUND(AW153,4),AW154/$S152)</f>
        <v>0</v>
      </c>
      <c r="AX152" s="422" t="n">
        <f aca="false" t="array" ref="AX152:AX152">IF(AND($R152=2,ACOMPANHAMENTO="BM"),ROUND(AX153,4),AX154/$S152)</f>
        <v>0</v>
      </c>
      <c r="AY152" s="422" t="n">
        <f aca="false" t="array" ref="AY152:AY152">IF(AND($R152=2,ACOMPANHAMENTO="BM"),ROUND(AY153,4),AY154/$S152)</f>
        <v>0</v>
      </c>
      <c r="AZ152" s="422" t="n">
        <f aca="false" t="array" ref="AZ152:AZ152">IF(AND($R152=2,ACOMPANHAMENTO="BM"),ROUND(AZ153,4),AZ154/$S152)</f>
        <v>0</v>
      </c>
      <c r="BA152" s="422" t="n">
        <f aca="false" t="array" ref="BA152:BA152">IF(AND($R152=2,ACOMPANHAMENTO="BM"),ROUND(BA153,4),BA154/$S152)</f>
        <v>0</v>
      </c>
      <c r="BB152" s="422" t="n">
        <f aca="false" t="array" ref="BB152:BB152">IF(AND($R152=2,ACOMPANHAMENTO="BM"),ROUND(BB153,4),BB154/$S152)</f>
        <v>0</v>
      </c>
      <c r="BC152" s="422" t="n">
        <f aca="false" t="array" ref="BC152:BC152">IF(AND($R152=2,ACOMPANHAMENTO="BM"),ROUND(BC153,4),BC154/$S152)</f>
        <v>0</v>
      </c>
      <c r="BD152" s="422" t="n">
        <f aca="false" t="array" ref="BD152:BD152">IF(AND($R152=2,ACOMPANHAMENTO="BM"),ROUND(BD153,4),BD154/$S152)</f>
        <v>0</v>
      </c>
      <c r="BE152" s="430"/>
    </row>
    <row r="153" customFormat="false" ht="12.75" hidden="true" customHeight="true" outlineLevel="0" collapsed="false">
      <c r="E153" s="431"/>
      <c r="F153" s="419" t="n">
        <f aca="true">IF(ISERROR(F152),IF(1+COUNTIF($M$13:OFFSET(M152,-1,0),1)&lt;=MAX(QCI!$D$13:$D$15),1+COUNTIF($M$13:OFFSET(M152,-1,0),1),-1),0)</f>
        <v>0</v>
      </c>
      <c r="G153" s="419" t="str">
        <f aca="true" t="array" ref="G153:G153">IF(ACOMPANHAMENTO="BM",OFFSET(G153,-1,0),"")</f>
        <v/>
      </c>
      <c r="H153" s="432" t="str">
        <f aca="false" t="array" ref="H153:H153">IF(OR(S152=0,S152=""),"vazia",IF(AND(OR(ACOMPANHAMENTO="PLE",$R152&lt;&gt;2),$F153=0),"calculada","--&gt;"))</f>
        <v>calculada</v>
      </c>
      <c r="I153" s="433"/>
      <c r="J153" s="434" t="str">
        <f aca="false">IF(AND(H152&lt;&gt;0,ISNUMBER(H152)),"PREENCHA ESTA LINHA --&gt;","")</f>
        <v/>
      </c>
      <c r="K153" s="434"/>
      <c r="L153" s="434"/>
      <c r="M153" s="435"/>
      <c r="N153" s="435"/>
      <c r="O153" s="435"/>
      <c r="P153" s="435"/>
      <c r="Q153" s="435"/>
      <c r="R153" s="435"/>
      <c r="S153" s="436"/>
      <c r="T153" s="437"/>
      <c r="U153" s="431"/>
      <c r="V153" s="431"/>
      <c r="W153" s="431"/>
      <c r="X153" s="431"/>
      <c r="Y153" s="431"/>
      <c r="Z153" s="431"/>
      <c r="AA153" s="431"/>
      <c r="AB153" s="431"/>
      <c r="AC153" s="431"/>
      <c r="AD153" s="431"/>
      <c r="AE153" s="431"/>
      <c r="AF153" s="431"/>
      <c r="AG153" s="431"/>
      <c r="AH153" s="431"/>
      <c r="AI153" s="431"/>
      <c r="AJ153" s="431"/>
      <c r="AK153" s="431"/>
      <c r="AL153" s="431"/>
      <c r="AM153" s="431"/>
      <c r="AN153" s="431"/>
      <c r="AO153" s="431"/>
      <c r="AP153" s="431"/>
      <c r="AQ153" s="431"/>
      <c r="AR153" s="431"/>
      <c r="AS153" s="431"/>
      <c r="AT153" s="431"/>
      <c r="AU153" s="431"/>
      <c r="AV153" s="431"/>
      <c r="AW153" s="431"/>
      <c r="AX153" s="431"/>
      <c r="AY153" s="431"/>
      <c r="AZ153" s="431"/>
      <c r="BA153" s="431"/>
      <c r="BB153" s="431"/>
      <c r="BC153" s="431"/>
      <c r="BD153" s="431"/>
      <c r="BE153" s="430"/>
    </row>
    <row r="154" customFormat="false" ht="12.75" hidden="true" customHeight="true" outlineLevel="0" collapsed="false">
      <c r="D154" s="438"/>
      <c r="E154" s="439" t="n">
        <f aca="false" t="array" ref="E154:E154">IF($R152=2,
         IF(AND(ACOMPANHAMENTO="PLE",ISNUMBER($F152)),
                SUMIF((OFFSET(CÁLCULO!$BS$15:$CS$15,$F152,0,OFFSET(ORÇAMENTO!$D$15,CRONO!$F152,0))),CRONO!E$12,OFFSET(CÁLCULO!$AR$15:$BR$15,$F152,0,OFFSET(ORÇAMENTO!$D$15,CRONO!$F152,0)))
                +IF(AND($F154&lt;&gt;"",$F154&lt;&gt;0),
                        SUMIF(CÁLCULO!$BS$15:$CS$205,CRONO!E$12,CÁLCULO!$AR$15:$BR$205)/(ORÇAMENTO!$X$15-_xlfn.single(CÁLCULO.TotalAdmLocal))*CRONO!$F154,
                        0),
                 E153*$S152),
          SUMIF(OFFSET($S154,1,0,$R152-2),($M152+1)&amp;"$",OFFSET(E154,1,0,$R152-2)))</f>
        <v>553.3</v>
      </c>
      <c r="F154" s="419" t="str">
        <f aca="true">IF(OR($R152&lt;&gt;2,AUTOEVENTO&lt;&gt;"manual",$F153&gt;0),"",
        IF(Import.TipoArredondamento="Tradicional",
              SUMIF(OFFSET(CÁLCULO!$M$15,CRONO!$F152,0,OFFSET(ORÇAMENTO!$D$15,CRONO!$F152,0)),1,OFFSET(ORÇAMENTO!$X$15,CRONO!$F152,0,OFFSET(ORÇAMENTO!$D$15,CRONO!$F152,0))),
              0))</f>
        <v/>
      </c>
      <c r="H154" s="440"/>
      <c r="S154" s="441" t="str">
        <f aca="false">M152&amp;"$"</f>
        <v>2$</v>
      </c>
      <c r="T154" s="442"/>
      <c r="U154" s="439" t="n">
        <f aca="false" t="array" ref="U154:U154">IF($R152=2,
         IF(AND(ACOMPANHAMENTO="PLE",ISNUMBER($F152)),
                SUMIF((OFFSET(CÁLCULO!$BS$15:$CS$15,$F152,0,OFFSET(ORÇAMENTO!$D$15,CRONO!$F152,0))),CRONO!U$12,OFFSET(CÁLCULO!$AR$15:$BR$15,$F152,0,OFFSET(ORÇAMENTO!$D$15,CRONO!$F152,0)))
                +IF(AND($F154&lt;&gt;"",$F154&lt;&gt;0),
                        SUMIF(CÁLCULO!$BS$15:$CS$205,CRONO!U$12,CÁLCULO!$AR$15:$BR$205)/(ORÇAMENTO!$X$15-_xlfn.single(CÁLCULO.TotalAdmLocal))*CRONO!$F154,
                        0),
                 U153*$S152),
          SUMIF(OFFSET($S154,1,0,$R152-2),($M152+1)&amp;"$",OFFSET(U154,1,0,$R152-2)))</f>
        <v>553.3</v>
      </c>
      <c r="V154" s="439" t="n">
        <f aca="false" t="array" ref="V154:V154">IF($R152=2,
         IF(AND(ACOMPANHAMENTO="PLE",ISNUMBER($F152)),
                SUMIF((OFFSET(CÁLCULO!$BS$15:$CS$15,$F152,0,OFFSET(ORÇAMENTO!$D$15,CRONO!$F152,0))),CRONO!V$12,OFFSET(CÁLCULO!$AR$15:$BR$15,$F152,0,OFFSET(ORÇAMENTO!$D$15,CRONO!$F152,0)))
                +IF(AND($F154&lt;&gt;"",$F154&lt;&gt;0),
                        SUMIF(CÁLCULO!$BS$15:$CS$205,CRONO!V$12,CÁLCULO!$AR$15:$BR$205)/(ORÇAMENTO!$X$15-_xlfn.single(CÁLCULO.TotalAdmLocal))*CRONO!$F154,
                        0),
                 V153*$S152),
          SUMIF(OFFSET($S154,1,0,$R152-2),($M152+1)&amp;"$",OFFSET(V154,1,0,$R152-2)))</f>
        <v>553.3</v>
      </c>
      <c r="W154" s="439" t="n">
        <f aca="false" t="array" ref="W154:W154">IF($R152=2,
         IF(AND(ACOMPANHAMENTO="PLE",ISNUMBER($F152)),
                SUMIF((OFFSET(CÁLCULO!$BS$15:$CS$15,$F152,0,OFFSET(ORÇAMENTO!$D$15,CRONO!$F152,0))),CRONO!W$12,OFFSET(CÁLCULO!$AR$15:$BR$15,$F152,0,OFFSET(ORÇAMENTO!$D$15,CRONO!$F152,0)))
                +IF(AND($F154&lt;&gt;"",$F154&lt;&gt;0),
                        SUMIF(CÁLCULO!$BS$15:$CS$205,CRONO!W$12,CÁLCULO!$AR$15:$BR$205)/(ORÇAMENTO!$X$15-_xlfn.single(CÁLCULO.TotalAdmLocal))*CRONO!$F154,
                        0),
                 W153*$S152),
          SUMIF(OFFSET($S154,1,0,$R152-2),($M152+1)&amp;"$",OFFSET(W154,1,0,$R152-2)))</f>
        <v>553.3</v>
      </c>
      <c r="X154" s="439" t="n">
        <f aca="false" t="array" ref="X154:X154">IF($R152=2,
         IF(AND(ACOMPANHAMENTO="PLE",ISNUMBER($F152)),
                SUMIF((OFFSET(CÁLCULO!$BS$15:$CS$15,$F152,0,OFFSET(ORÇAMENTO!$D$15,CRONO!$F152,0))),CRONO!X$12,OFFSET(CÁLCULO!$AR$15:$BR$15,$F152,0,OFFSET(ORÇAMENTO!$D$15,CRONO!$F152,0)))
                +IF(AND($F154&lt;&gt;"",$F154&lt;&gt;0),
                        SUMIF(CÁLCULO!$BS$15:$CS$205,CRONO!X$12,CÁLCULO!$AR$15:$BR$205)/(ORÇAMENTO!$X$15-_xlfn.single(CÁLCULO.TotalAdmLocal))*CRONO!$F154,
                        0),
                 X153*$S152),
          SUMIF(OFFSET($S154,1,0,$R152-2),($M152+1)&amp;"$",OFFSET(X154,1,0,$R152-2)))</f>
        <v>553.3</v>
      </c>
      <c r="Y154" s="439" t="n">
        <f aca="false" t="array" ref="Y154:Y154">IF($R152=2,
         IF(AND(ACOMPANHAMENTO="PLE",ISNUMBER($F152)),
                SUMIF((OFFSET(CÁLCULO!$BS$15:$CS$15,$F152,0,OFFSET(ORÇAMENTO!$D$15,CRONO!$F152,0))),CRONO!Y$12,OFFSET(CÁLCULO!$AR$15:$BR$15,$F152,0,OFFSET(ORÇAMENTO!$D$15,CRONO!$F152,0)))
                +IF(AND($F154&lt;&gt;"",$F154&lt;&gt;0),
                        SUMIF(CÁLCULO!$BS$15:$CS$205,CRONO!Y$12,CÁLCULO!$AR$15:$BR$205)/(ORÇAMENTO!$X$15-_xlfn.single(CÁLCULO.TotalAdmLocal))*CRONO!$F154,
                        0),
                 Y153*$S152),
          SUMIF(OFFSET($S154,1,0,$R152-2),($M152+1)&amp;"$",OFFSET(Y154,1,0,$R152-2)))</f>
        <v>553.3</v>
      </c>
      <c r="Z154" s="439" t="n">
        <f aca="false" t="array" ref="Z154:Z154">IF($R152=2,
         IF(AND(ACOMPANHAMENTO="PLE",ISNUMBER($F152)),
                SUMIF((OFFSET(CÁLCULO!$BS$15:$CS$15,$F152,0,OFFSET(ORÇAMENTO!$D$15,CRONO!$F152,0))),CRONO!Z$12,OFFSET(CÁLCULO!$AR$15:$BR$15,$F152,0,OFFSET(ORÇAMENTO!$D$15,CRONO!$F152,0)))
                +IF(AND($F154&lt;&gt;"",$F154&lt;&gt;0),
                        SUMIF(CÁLCULO!$BS$15:$CS$205,CRONO!Z$12,CÁLCULO!$AR$15:$BR$205)/(ORÇAMENTO!$X$15-_xlfn.single(CÁLCULO.TotalAdmLocal))*CRONO!$F154,
                        0),
                 Z153*$S152),
          SUMIF(OFFSET($S154,1,0,$R152-2),($M152+1)&amp;"$",OFFSET(Z154,1,0,$R152-2)))</f>
        <v>553.3</v>
      </c>
      <c r="AA154" s="439" t="n">
        <f aca="false" t="array" ref="AA154:AA154">IF($R152=2,
         IF(AND(ACOMPANHAMENTO="PLE",ISNUMBER($F152)),
                SUMIF((OFFSET(CÁLCULO!$BS$15:$CS$15,$F152,0,OFFSET(ORÇAMENTO!$D$15,CRONO!$F152,0))),CRONO!AA$12,OFFSET(CÁLCULO!$AR$15:$BR$15,$F152,0,OFFSET(ORÇAMENTO!$D$15,CRONO!$F152,0)))
                +IF(AND($F154&lt;&gt;"",$F154&lt;&gt;0),
                        SUMIF(CÁLCULO!$BS$15:$CS$205,CRONO!AA$12,CÁLCULO!$AR$15:$BR$205)/(ORÇAMENTO!$X$15-_xlfn.single(CÁLCULO.TotalAdmLocal))*CRONO!$F154,
                        0),
                 AA153*$S152),
          SUMIF(OFFSET($S154,1,0,$R152-2),($M152+1)&amp;"$",OFFSET(AA154,1,0,$R152-2)))</f>
        <v>553.3</v>
      </c>
      <c r="AB154" s="439" t="n">
        <f aca="false" t="array" ref="AB154:AB154">IF($R152=2,
         IF(AND(ACOMPANHAMENTO="PLE",ISNUMBER($F152)),
                SUMIF((OFFSET(CÁLCULO!$BS$15:$CS$15,$F152,0,OFFSET(ORÇAMENTO!$D$15,CRONO!$F152,0))),CRONO!AB$12,OFFSET(CÁLCULO!$AR$15:$BR$15,$F152,0,OFFSET(ORÇAMENTO!$D$15,CRONO!$F152,0)))
                +IF(AND($F154&lt;&gt;"",$F154&lt;&gt;0),
                        SUMIF(CÁLCULO!$BS$15:$CS$205,CRONO!AB$12,CÁLCULO!$AR$15:$BR$205)/(ORÇAMENTO!$X$15-_xlfn.single(CÁLCULO.TotalAdmLocal))*CRONO!$F154,
                        0),
                 AB153*$S152),
          SUMIF(OFFSET($S154,1,0,$R152-2),($M152+1)&amp;"$",OFFSET(AB154,1,0,$R152-2)))</f>
        <v>553.3</v>
      </c>
      <c r="AC154" s="439" t="n">
        <f aca="false" t="array" ref="AC154:AC154">IF($R152=2,
         IF(AND(ACOMPANHAMENTO="PLE",ISNUMBER($F152)),
                SUMIF((OFFSET(CÁLCULO!$BS$15:$CS$15,$F152,0,OFFSET(ORÇAMENTO!$D$15,CRONO!$F152,0))),CRONO!AC$12,OFFSET(CÁLCULO!$AR$15:$BR$15,$F152,0,OFFSET(ORÇAMENTO!$D$15,CRONO!$F152,0)))
                +IF(AND($F154&lt;&gt;"",$F154&lt;&gt;0),
                        SUMIF(CÁLCULO!$BS$15:$CS$205,CRONO!AC$12,CÁLCULO!$AR$15:$BR$205)/(ORÇAMENTO!$X$15-_xlfn.single(CÁLCULO.TotalAdmLocal))*CRONO!$F154,
                        0),
                 AC153*$S152),
          SUMIF(OFFSET($S154,1,0,$R152-2),($M152+1)&amp;"$",OFFSET(AC154,1,0,$R152-2)))</f>
        <v>553.3</v>
      </c>
      <c r="AD154" s="439" t="n">
        <f aca="false" t="array" ref="AD154:AD154">IF($R152=2,
         IF(AND(ACOMPANHAMENTO="PLE",ISNUMBER($F152)),
                SUMIF((OFFSET(CÁLCULO!$BS$15:$CS$15,$F152,0,OFFSET(ORÇAMENTO!$D$15,CRONO!$F152,0))),CRONO!AD$12,OFFSET(CÁLCULO!$AR$15:$BR$15,$F152,0,OFFSET(ORÇAMENTO!$D$15,CRONO!$F152,0)))
                +IF(AND($F154&lt;&gt;"",$F154&lt;&gt;0),
                        SUMIF(CÁLCULO!$BS$15:$CS$205,CRONO!AD$12,CÁLCULO!$AR$15:$BR$205)/(ORÇAMENTO!$X$15-_xlfn.single(CÁLCULO.TotalAdmLocal))*CRONO!$F154,
                        0),
                 AD153*$S152),
          SUMIF(OFFSET($S154,1,0,$R152-2),($M152+1)&amp;"$",OFFSET(AD154,1,0,$R152-2)))</f>
        <v>553.3</v>
      </c>
      <c r="AE154" s="439" t="n">
        <f aca="false" t="array" ref="AE154:AE154">IF($R152=2,
         IF(AND(ACOMPANHAMENTO="PLE",ISNUMBER($F152)),
                SUMIF((OFFSET(CÁLCULO!$BS$15:$CS$15,$F152,0,OFFSET(ORÇAMENTO!$D$15,CRONO!$F152,0))),CRONO!AE$12,OFFSET(CÁLCULO!$AR$15:$BR$15,$F152,0,OFFSET(ORÇAMENTO!$D$15,CRONO!$F152,0)))
                +IF(AND($F154&lt;&gt;"",$F154&lt;&gt;0),
                        SUMIF(CÁLCULO!$BS$15:$CS$205,CRONO!AE$12,CÁLCULO!$AR$15:$BR$205)/(ORÇAMENTO!$X$15-_xlfn.single(CÁLCULO.TotalAdmLocal))*CRONO!$F154,
                        0),
                 AE153*$S152),
          SUMIF(OFFSET($S154,1,0,$R152-2),($M152+1)&amp;"$",OFFSET(AE154,1,0,$R152-2)))</f>
        <v>553.3</v>
      </c>
      <c r="AF154" s="439" t="n">
        <f aca="false" t="array" ref="AF154:AF154">IF($R152=2,
         IF(AND(ACOMPANHAMENTO="PLE",ISNUMBER($F152)),
                SUMIF((OFFSET(CÁLCULO!$BS$15:$CS$15,$F152,0,OFFSET(ORÇAMENTO!$D$15,CRONO!$F152,0))),CRONO!AF$12,OFFSET(CÁLCULO!$AR$15:$BR$15,$F152,0,OFFSET(ORÇAMENTO!$D$15,CRONO!$F152,0)))
                +IF(AND($F154&lt;&gt;"",$F154&lt;&gt;0),
                        SUMIF(CÁLCULO!$BS$15:$CS$205,CRONO!AF$12,CÁLCULO!$AR$15:$BR$205)/(ORÇAMENTO!$X$15-_xlfn.single(CÁLCULO.TotalAdmLocal))*CRONO!$F154,
                        0),
                 AF153*$S152),
          SUMIF(OFFSET($S154,1,0,$R152-2),($M152+1)&amp;"$",OFFSET(AF154,1,0,$R152-2)))</f>
        <v>553.3</v>
      </c>
      <c r="AG154" s="439" t="n">
        <f aca="false" t="array" ref="AG154:AG154">IF($R152=2,
         IF(AND(ACOMPANHAMENTO="PLE",ISNUMBER($F152)),
                SUMIF((OFFSET(CÁLCULO!$BS$15:$CS$15,$F152,0,OFFSET(ORÇAMENTO!$D$15,CRONO!$F152,0))),CRONO!AG$12,OFFSET(CÁLCULO!$AR$15:$BR$15,$F152,0,OFFSET(ORÇAMENTO!$D$15,CRONO!$F152,0)))
                +IF(AND($F154&lt;&gt;"",$F154&lt;&gt;0),
                        SUMIF(CÁLCULO!$BS$15:$CS$205,CRONO!AG$12,CÁLCULO!$AR$15:$BR$205)/(ORÇAMENTO!$X$15-_xlfn.single(CÁLCULO.TotalAdmLocal))*CRONO!$F154,
                        0),
                 AG153*$S152),
          SUMIF(OFFSET($S154,1,0,$R152-2),($M152+1)&amp;"$",OFFSET(AG154,1,0,$R152-2)))</f>
        <v>553.3</v>
      </c>
      <c r="AH154" s="439" t="n">
        <f aca="false" t="array" ref="AH154:AH154">IF($R152=2,
         IF(AND(ACOMPANHAMENTO="PLE",ISNUMBER($F152)),
                SUMIF((OFFSET(CÁLCULO!$BS$15:$CS$15,$F152,0,OFFSET(ORÇAMENTO!$D$15,CRONO!$F152,0))),CRONO!AH$12,OFFSET(CÁLCULO!$AR$15:$BR$15,$F152,0,OFFSET(ORÇAMENTO!$D$15,CRONO!$F152,0)))
                +IF(AND($F154&lt;&gt;"",$F154&lt;&gt;0),
                        SUMIF(CÁLCULO!$BS$15:$CS$205,CRONO!AH$12,CÁLCULO!$AR$15:$BR$205)/(ORÇAMENTO!$X$15-_xlfn.single(CÁLCULO.TotalAdmLocal))*CRONO!$F154,
                        0),
                 AH153*$S152),
          SUMIF(OFFSET($S154,1,0,$R152-2),($M152+1)&amp;"$",OFFSET(AH154,1,0,$R152-2)))</f>
        <v>553.3</v>
      </c>
      <c r="AI154" s="439" t="n">
        <f aca="false" t="array" ref="AI154:AI154">IF($R152=2,
         IF(AND(ACOMPANHAMENTO="PLE",ISNUMBER($F152)),
                SUMIF((OFFSET(CÁLCULO!$BS$15:$CS$15,$F152,0,OFFSET(ORÇAMENTO!$D$15,CRONO!$F152,0))),CRONO!AI$12,OFFSET(CÁLCULO!$AR$15:$BR$15,$F152,0,OFFSET(ORÇAMENTO!$D$15,CRONO!$F152,0)))
                +IF(AND($F154&lt;&gt;"",$F154&lt;&gt;0),
                        SUMIF(CÁLCULO!$BS$15:$CS$205,CRONO!AI$12,CÁLCULO!$AR$15:$BR$205)/(ORÇAMENTO!$X$15-_xlfn.single(CÁLCULO.TotalAdmLocal))*CRONO!$F154,
                        0),
                 AI153*$S152),
          SUMIF(OFFSET($S154,1,0,$R152-2),($M152+1)&amp;"$",OFFSET(AI154,1,0,$R152-2)))</f>
        <v>553.3</v>
      </c>
      <c r="AJ154" s="439" t="n">
        <f aca="false" t="array" ref="AJ154:AJ154">IF($R152=2,
         IF(AND(ACOMPANHAMENTO="PLE",ISNUMBER($F152)),
                SUMIF((OFFSET(CÁLCULO!$BS$15:$CS$15,$F152,0,OFFSET(ORÇAMENTO!$D$15,CRONO!$F152,0))),CRONO!AJ$12,OFFSET(CÁLCULO!$AR$15:$BR$15,$F152,0,OFFSET(ORÇAMENTO!$D$15,CRONO!$F152,0)))
                +IF(AND($F154&lt;&gt;"",$F154&lt;&gt;0),
                        SUMIF(CÁLCULO!$BS$15:$CS$205,CRONO!AJ$12,CÁLCULO!$AR$15:$BR$205)/(ORÇAMENTO!$X$15-_xlfn.single(CÁLCULO.TotalAdmLocal))*CRONO!$F154,
                        0),
                 AJ153*$S152),
          SUMIF(OFFSET($S154,1,0,$R152-2),($M152+1)&amp;"$",OFFSET(AJ154,1,0,$R152-2)))</f>
        <v>553.3</v>
      </c>
      <c r="AK154" s="439" t="n">
        <f aca="false" t="array" ref="AK154:AK154">IF($R152=2,
         IF(AND(ACOMPANHAMENTO="PLE",ISNUMBER($F152)),
                SUMIF((OFFSET(CÁLCULO!$BS$15:$CS$15,$F152,0,OFFSET(ORÇAMENTO!$D$15,CRONO!$F152,0))),CRONO!AK$12,OFFSET(CÁLCULO!$AR$15:$BR$15,$F152,0,OFFSET(ORÇAMENTO!$D$15,CRONO!$F152,0)))
                +IF(AND($F154&lt;&gt;"",$F154&lt;&gt;0),
                        SUMIF(CÁLCULO!$BS$15:$CS$205,CRONO!AK$12,CÁLCULO!$AR$15:$BR$205)/(ORÇAMENTO!$X$15-_xlfn.single(CÁLCULO.TotalAdmLocal))*CRONO!$F154,
                        0),
                 AK153*$S152),
          SUMIF(OFFSET($S154,1,0,$R152-2),($M152+1)&amp;"$",OFFSET(AK154,1,0,$R152-2)))</f>
        <v>553.3</v>
      </c>
      <c r="AL154" s="439" t="n">
        <f aca="false" t="array" ref="AL154:AL154">IF($R152=2,
         IF(AND(ACOMPANHAMENTO="PLE",ISNUMBER($F152)),
                SUMIF((OFFSET(CÁLCULO!$BS$15:$CS$15,$F152,0,OFFSET(ORÇAMENTO!$D$15,CRONO!$F152,0))),CRONO!AL$12,OFFSET(CÁLCULO!$AR$15:$BR$15,$F152,0,OFFSET(ORÇAMENTO!$D$15,CRONO!$F152,0)))
                +IF(AND($F154&lt;&gt;"",$F154&lt;&gt;0),
                        SUMIF(CÁLCULO!$BS$15:$CS$205,CRONO!AL$12,CÁLCULO!$AR$15:$BR$205)/(ORÇAMENTO!$X$15-_xlfn.single(CÁLCULO.TotalAdmLocal))*CRONO!$F154,
                        0),
                 AL153*$S152),
          SUMIF(OFFSET($S154,1,0,$R152-2),($M152+1)&amp;"$",OFFSET(AL154,1,0,$R152-2)))</f>
        <v>553.3</v>
      </c>
      <c r="AM154" s="439" t="n">
        <f aca="false" t="array" ref="AM154:AM154">IF($R152=2,
         IF(AND(ACOMPANHAMENTO="PLE",ISNUMBER($F152)),
                SUMIF((OFFSET(CÁLCULO!$BS$15:$CS$15,$F152,0,OFFSET(ORÇAMENTO!$D$15,CRONO!$F152,0))),CRONO!AM$12,OFFSET(CÁLCULO!$AR$15:$BR$15,$F152,0,OFFSET(ORÇAMENTO!$D$15,CRONO!$F152,0)))
                +IF(AND($F154&lt;&gt;"",$F154&lt;&gt;0),
                        SUMIF(CÁLCULO!$BS$15:$CS$205,CRONO!AM$12,CÁLCULO!$AR$15:$BR$205)/(ORÇAMENTO!$X$15-_xlfn.single(CÁLCULO.TotalAdmLocal))*CRONO!$F154,
                        0),
                 AM153*$S152),
          SUMIF(OFFSET($S154,1,0,$R152-2),($M152+1)&amp;"$",OFFSET(AM154,1,0,$R152-2)))</f>
        <v>553.3</v>
      </c>
      <c r="AN154" s="439" t="n">
        <f aca="false" t="array" ref="AN154:AN154">IF($R152=2,
         IF(AND(ACOMPANHAMENTO="PLE",ISNUMBER($F152)),
                SUMIF((OFFSET(CÁLCULO!$BS$15:$CS$15,$F152,0,OFFSET(ORÇAMENTO!$D$15,CRONO!$F152,0))),CRONO!AN$12,OFFSET(CÁLCULO!$AR$15:$BR$15,$F152,0,OFFSET(ORÇAMENTO!$D$15,CRONO!$F152,0)))
                +IF(AND($F154&lt;&gt;"",$F154&lt;&gt;0),
                        SUMIF(CÁLCULO!$BS$15:$CS$205,CRONO!AN$12,CÁLCULO!$AR$15:$BR$205)/(ORÇAMENTO!$X$15-_xlfn.single(CÁLCULO.TotalAdmLocal))*CRONO!$F154,
                        0),
                 AN153*$S152),
          SUMIF(OFFSET($S154,1,0,$R152-2),($M152+1)&amp;"$",OFFSET(AN154,1,0,$R152-2)))</f>
        <v>553.3</v>
      </c>
      <c r="AO154" s="439" t="n">
        <f aca="false" t="array" ref="AO154:AO154">IF($R152=2,
         IF(AND(ACOMPANHAMENTO="PLE",ISNUMBER($F152)),
                SUMIF((OFFSET(CÁLCULO!$BS$15:$CS$15,$F152,0,OFFSET(ORÇAMENTO!$D$15,CRONO!$F152,0))),CRONO!AO$12,OFFSET(CÁLCULO!$AR$15:$BR$15,$F152,0,OFFSET(ORÇAMENTO!$D$15,CRONO!$F152,0)))
                +IF(AND($F154&lt;&gt;"",$F154&lt;&gt;0),
                        SUMIF(CÁLCULO!$BS$15:$CS$205,CRONO!AO$12,CÁLCULO!$AR$15:$BR$205)/(ORÇAMENTO!$X$15-_xlfn.single(CÁLCULO.TotalAdmLocal))*CRONO!$F154,
                        0),
                 AO153*$S152),
          SUMIF(OFFSET($S154,1,0,$R152-2),($M152+1)&amp;"$",OFFSET(AO154,1,0,$R152-2)))</f>
        <v>553.3</v>
      </c>
      <c r="AP154" s="439" t="n">
        <f aca="false" t="array" ref="AP154:AP154">IF($R152=2,
         IF(AND(ACOMPANHAMENTO="PLE",ISNUMBER($F152)),
                SUMIF((OFFSET(CÁLCULO!$BS$15:$CS$15,$F152,0,OFFSET(ORÇAMENTO!$D$15,CRONO!$F152,0))),CRONO!AP$12,OFFSET(CÁLCULO!$AR$15:$BR$15,$F152,0,OFFSET(ORÇAMENTO!$D$15,CRONO!$F152,0)))
                +IF(AND($F154&lt;&gt;"",$F154&lt;&gt;0),
                        SUMIF(CÁLCULO!$BS$15:$CS$205,CRONO!AP$12,CÁLCULO!$AR$15:$BR$205)/(ORÇAMENTO!$X$15-_xlfn.single(CÁLCULO.TotalAdmLocal))*CRONO!$F154,
                        0),
                 AP153*$S152),
          SUMIF(OFFSET($S154,1,0,$R152-2),($M152+1)&amp;"$",OFFSET(AP154,1,0,$R152-2)))</f>
        <v>553.3</v>
      </c>
      <c r="AQ154" s="439" t="n">
        <f aca="false" t="array" ref="AQ154:AQ154">IF($R152=2,
         IF(AND(ACOMPANHAMENTO="PLE",ISNUMBER($F152)),
                SUMIF((OFFSET(CÁLCULO!$BS$15:$CS$15,$F152,0,OFFSET(ORÇAMENTO!$D$15,CRONO!$F152,0))),CRONO!AQ$12,OFFSET(CÁLCULO!$AR$15:$BR$15,$F152,0,OFFSET(ORÇAMENTO!$D$15,CRONO!$F152,0)))
                +IF(AND($F154&lt;&gt;"",$F154&lt;&gt;0),
                        SUMIF(CÁLCULO!$BS$15:$CS$205,CRONO!AQ$12,CÁLCULO!$AR$15:$BR$205)/(ORÇAMENTO!$X$15-_xlfn.single(CÁLCULO.TotalAdmLocal))*CRONO!$F154,
                        0),
                 AQ153*$S152),
          SUMIF(OFFSET($S154,1,0,$R152-2),($M152+1)&amp;"$",OFFSET(AQ154,1,0,$R152-2)))</f>
        <v>553.3</v>
      </c>
      <c r="AR154" s="439" t="n">
        <f aca="false" t="array" ref="AR154:AR154">IF($R152=2,
         IF(AND(ACOMPANHAMENTO="PLE",ISNUMBER($F152)),
                SUMIF((OFFSET(CÁLCULO!$BS$15:$CS$15,$F152,0,OFFSET(ORÇAMENTO!$D$15,CRONO!$F152,0))),CRONO!AR$12,OFFSET(CÁLCULO!$AR$15:$BR$15,$F152,0,OFFSET(ORÇAMENTO!$D$15,CRONO!$F152,0)))
                +IF(AND($F154&lt;&gt;"",$F154&lt;&gt;0),
                        SUMIF(CÁLCULO!$BS$15:$CS$205,CRONO!AR$12,CÁLCULO!$AR$15:$BR$205)/(ORÇAMENTO!$X$15-_xlfn.single(CÁLCULO.TotalAdmLocal))*CRONO!$F154,
                        0),
                 AR153*$S152),
          SUMIF(OFFSET($S154,1,0,$R152-2),($M152+1)&amp;"$",OFFSET(AR154,1,0,$R152-2)))</f>
        <v>553.3</v>
      </c>
      <c r="AS154" s="439" t="n">
        <f aca="false" t="array" ref="AS154:AS154">IF($R152=2,
         IF(AND(ACOMPANHAMENTO="PLE",ISNUMBER($F152)),
                SUMIF((OFFSET(CÁLCULO!$BS$15:$CS$15,$F152,0,OFFSET(ORÇAMENTO!$D$15,CRONO!$F152,0))),CRONO!AS$12,OFFSET(CÁLCULO!$AR$15:$BR$15,$F152,0,OFFSET(ORÇAMENTO!$D$15,CRONO!$F152,0)))
                +IF(AND($F154&lt;&gt;"",$F154&lt;&gt;0),
                        SUMIF(CÁLCULO!$BS$15:$CS$205,CRONO!AS$12,CÁLCULO!$AR$15:$BR$205)/(ORÇAMENTO!$X$15-_xlfn.single(CÁLCULO.TotalAdmLocal))*CRONO!$F154,
                        0),
                 AS153*$S152),
          SUMIF(OFFSET($S154,1,0,$R152-2),($M152+1)&amp;"$",OFFSET(AS154,1,0,$R152-2)))</f>
        <v>553.3</v>
      </c>
      <c r="AT154" s="439" t="n">
        <f aca="false" t="array" ref="AT154:AT154">IF($R152=2,
         IF(AND(ACOMPANHAMENTO="PLE",ISNUMBER($F152)),
                SUMIF((OFFSET(CÁLCULO!$BS$15:$CS$15,$F152,0,OFFSET(ORÇAMENTO!$D$15,CRONO!$F152,0))),CRONO!AT$12,OFFSET(CÁLCULO!$AR$15:$BR$15,$F152,0,OFFSET(ORÇAMENTO!$D$15,CRONO!$F152,0)))
                +IF(AND($F154&lt;&gt;"",$F154&lt;&gt;0),
                        SUMIF(CÁLCULO!$BS$15:$CS$205,CRONO!AT$12,CÁLCULO!$AR$15:$BR$205)/(ORÇAMENTO!$X$15-_xlfn.single(CÁLCULO.TotalAdmLocal))*CRONO!$F154,
                        0),
                 AT153*$S152),
          SUMIF(OFFSET($S154,1,0,$R152-2),($M152+1)&amp;"$",OFFSET(AT154,1,0,$R152-2)))</f>
        <v>0</v>
      </c>
      <c r="AU154" s="439" t="n">
        <f aca="false" t="array" ref="AU154:AU154">IF($R152=2,
         IF(AND(ACOMPANHAMENTO="PLE",ISNUMBER($F152)),
                SUMIF((OFFSET(CÁLCULO!$BS$15:$CS$15,$F152,0,OFFSET(ORÇAMENTO!$D$15,CRONO!$F152,0))),CRONO!AU$12,OFFSET(CÁLCULO!$AR$15:$BR$15,$F152,0,OFFSET(ORÇAMENTO!$D$15,CRONO!$F152,0)))
                +IF(AND($F154&lt;&gt;"",$F154&lt;&gt;0),
                        SUMIF(CÁLCULO!$BS$15:$CS$205,CRONO!AU$12,CÁLCULO!$AR$15:$BR$205)/(ORÇAMENTO!$X$15-_xlfn.single(CÁLCULO.TotalAdmLocal))*CRONO!$F154,
                        0),
                 AU153*$S152),
          SUMIF(OFFSET($S154,1,0,$R152-2),($M152+1)&amp;"$",OFFSET(AU154,1,0,$R152-2)))</f>
        <v>0</v>
      </c>
      <c r="AV154" s="439" t="n">
        <f aca="false" t="array" ref="AV154:AV154">IF($R152=2,
         IF(AND(ACOMPANHAMENTO="PLE",ISNUMBER($F152)),
                SUMIF((OFFSET(CÁLCULO!$BS$15:$CS$15,$F152,0,OFFSET(ORÇAMENTO!$D$15,CRONO!$F152,0))),CRONO!AV$12,OFFSET(CÁLCULO!$AR$15:$BR$15,$F152,0,OFFSET(ORÇAMENTO!$D$15,CRONO!$F152,0)))
                +IF(AND($F154&lt;&gt;"",$F154&lt;&gt;0),
                        SUMIF(CÁLCULO!$BS$15:$CS$205,CRONO!AV$12,CÁLCULO!$AR$15:$BR$205)/(ORÇAMENTO!$X$15-_xlfn.single(CÁLCULO.TotalAdmLocal))*CRONO!$F154,
                        0),
                 AV153*$S152),
          SUMIF(OFFSET($S154,1,0,$R152-2),($M152+1)&amp;"$",OFFSET(AV154,1,0,$R152-2)))</f>
        <v>0</v>
      </c>
      <c r="AW154" s="439" t="n">
        <f aca="false" t="array" ref="AW154:AW154">IF($R152=2,
         IF(AND(ACOMPANHAMENTO="PLE",ISNUMBER($F152)),
                SUMIF((OFFSET(CÁLCULO!$BS$15:$CS$15,$F152,0,OFFSET(ORÇAMENTO!$D$15,CRONO!$F152,0))),CRONO!AW$12,OFFSET(CÁLCULO!$AR$15:$BR$15,$F152,0,OFFSET(ORÇAMENTO!$D$15,CRONO!$F152,0)))
                +IF(AND($F154&lt;&gt;"",$F154&lt;&gt;0),
                        SUMIF(CÁLCULO!$BS$15:$CS$205,CRONO!AW$12,CÁLCULO!$AR$15:$BR$205)/(ORÇAMENTO!$X$15-_xlfn.single(CÁLCULO.TotalAdmLocal))*CRONO!$F154,
                        0),
                 AW153*$S152),
          SUMIF(OFFSET($S154,1,0,$R152-2),($M152+1)&amp;"$",OFFSET(AW154,1,0,$R152-2)))</f>
        <v>0</v>
      </c>
      <c r="AX154" s="439" t="n">
        <f aca="false" t="array" ref="AX154:AX154">IF($R152=2,
         IF(AND(ACOMPANHAMENTO="PLE",ISNUMBER($F152)),
                SUMIF((OFFSET(CÁLCULO!$BS$15:$CS$15,$F152,0,OFFSET(ORÇAMENTO!$D$15,CRONO!$F152,0))),CRONO!AX$12,OFFSET(CÁLCULO!$AR$15:$BR$15,$F152,0,OFFSET(ORÇAMENTO!$D$15,CRONO!$F152,0)))
                +IF(AND($F154&lt;&gt;"",$F154&lt;&gt;0),
                        SUMIF(CÁLCULO!$BS$15:$CS$205,CRONO!AX$12,CÁLCULO!$AR$15:$BR$205)/(ORÇAMENTO!$X$15-_xlfn.single(CÁLCULO.TotalAdmLocal))*CRONO!$F154,
                        0),
                 AX153*$S152),
          SUMIF(OFFSET($S154,1,0,$R152-2),($M152+1)&amp;"$",OFFSET(AX154,1,0,$R152-2)))</f>
        <v>0</v>
      </c>
      <c r="AY154" s="439" t="n">
        <f aca="false" t="array" ref="AY154:AY154">IF($R152=2,
         IF(AND(ACOMPANHAMENTO="PLE",ISNUMBER($F152)),
                SUMIF((OFFSET(CÁLCULO!$BS$15:$CS$15,$F152,0,OFFSET(ORÇAMENTO!$D$15,CRONO!$F152,0))),CRONO!AY$12,OFFSET(CÁLCULO!$AR$15:$BR$15,$F152,0,OFFSET(ORÇAMENTO!$D$15,CRONO!$F152,0)))
                +IF(AND($F154&lt;&gt;"",$F154&lt;&gt;0),
                        SUMIF(CÁLCULO!$BS$15:$CS$205,CRONO!AY$12,CÁLCULO!$AR$15:$BR$205)/(ORÇAMENTO!$X$15-_xlfn.single(CÁLCULO.TotalAdmLocal))*CRONO!$F154,
                        0),
                 AY153*$S152),
          SUMIF(OFFSET($S154,1,0,$R152-2),($M152+1)&amp;"$",OFFSET(AY154,1,0,$R152-2)))</f>
        <v>0</v>
      </c>
      <c r="AZ154" s="439" t="n">
        <f aca="false" t="array" ref="AZ154:AZ154">IF($R152=2,
         IF(AND(ACOMPANHAMENTO="PLE",ISNUMBER($F152)),
                SUMIF((OFFSET(CÁLCULO!$BS$15:$CS$15,$F152,0,OFFSET(ORÇAMENTO!$D$15,CRONO!$F152,0))),CRONO!AZ$12,OFFSET(CÁLCULO!$AR$15:$BR$15,$F152,0,OFFSET(ORÇAMENTO!$D$15,CRONO!$F152,0)))
                +IF(AND($F154&lt;&gt;"",$F154&lt;&gt;0),
                        SUMIF(CÁLCULO!$BS$15:$CS$205,CRONO!AZ$12,CÁLCULO!$AR$15:$BR$205)/(ORÇAMENTO!$X$15-_xlfn.single(CÁLCULO.TotalAdmLocal))*CRONO!$F154,
                        0),
                 AZ153*$S152),
          SUMIF(OFFSET($S154,1,0,$R152-2),($M152+1)&amp;"$",OFFSET(AZ154,1,0,$R152-2)))</f>
        <v>0</v>
      </c>
      <c r="BA154" s="439" t="n">
        <f aca="false" t="array" ref="BA154:BA154">IF($R152=2,
         IF(AND(ACOMPANHAMENTO="PLE",ISNUMBER($F152)),
                SUMIF((OFFSET(CÁLCULO!$BS$15:$CS$15,$F152,0,OFFSET(ORÇAMENTO!$D$15,CRONO!$F152,0))),CRONO!BA$12,OFFSET(CÁLCULO!$AR$15:$BR$15,$F152,0,OFFSET(ORÇAMENTO!$D$15,CRONO!$F152,0)))
                +IF(AND($F154&lt;&gt;"",$F154&lt;&gt;0),
                        SUMIF(CÁLCULO!$BS$15:$CS$205,CRONO!BA$12,CÁLCULO!$AR$15:$BR$205)/(ORÇAMENTO!$X$15-_xlfn.single(CÁLCULO.TotalAdmLocal))*CRONO!$F154,
                        0),
                 BA153*$S152),
          SUMIF(OFFSET($S154,1,0,$R152-2),($M152+1)&amp;"$",OFFSET(BA154,1,0,$R152-2)))</f>
        <v>0</v>
      </c>
      <c r="BB154" s="439" t="n">
        <f aca="false" t="array" ref="BB154:BB154">IF($R152=2,
         IF(AND(ACOMPANHAMENTO="PLE",ISNUMBER($F152)),
                SUMIF((OFFSET(CÁLCULO!$BS$15:$CS$15,$F152,0,OFFSET(ORÇAMENTO!$D$15,CRONO!$F152,0))),CRONO!BB$12,OFFSET(CÁLCULO!$AR$15:$BR$15,$F152,0,OFFSET(ORÇAMENTO!$D$15,CRONO!$F152,0)))
                +IF(AND($F154&lt;&gt;"",$F154&lt;&gt;0),
                        SUMIF(CÁLCULO!$BS$15:$CS$205,CRONO!BB$12,CÁLCULO!$AR$15:$BR$205)/(ORÇAMENTO!$X$15-_xlfn.single(CÁLCULO.TotalAdmLocal))*CRONO!$F154,
                        0),
                 BB153*$S152),
          SUMIF(OFFSET($S154,1,0,$R152-2),($M152+1)&amp;"$",OFFSET(BB154,1,0,$R152-2)))</f>
        <v>0</v>
      </c>
      <c r="BC154" s="439" t="n">
        <f aca="false" t="array" ref="BC154:BC154">IF($R152=2,
         IF(AND(ACOMPANHAMENTO="PLE",ISNUMBER($F152)),
                SUMIF((OFFSET(CÁLCULO!$BS$15:$CS$15,$F152,0,OFFSET(ORÇAMENTO!$D$15,CRONO!$F152,0))),CRONO!BC$12,OFFSET(CÁLCULO!$AR$15:$BR$15,$F152,0,OFFSET(ORÇAMENTO!$D$15,CRONO!$F152,0)))
                +IF(AND($F154&lt;&gt;"",$F154&lt;&gt;0),
                        SUMIF(CÁLCULO!$BS$15:$CS$205,CRONO!BC$12,CÁLCULO!$AR$15:$BR$205)/(ORÇAMENTO!$X$15-_xlfn.single(CÁLCULO.TotalAdmLocal))*CRONO!$F154,
                        0),
                 BC153*$S152),
          SUMIF(OFFSET($S154,1,0,$R152-2),($M152+1)&amp;"$",OFFSET(BC154,1,0,$R152-2)))</f>
        <v>0</v>
      </c>
      <c r="BD154" s="439" t="n">
        <f aca="false" t="array" ref="BD154:BD154">IF($R152=2,
         IF(AND(ACOMPANHAMENTO="PLE",ISNUMBER($F152)),
                SUMIF((OFFSET(CÁLCULO!$BS$15:$CS$15,$F152,0,OFFSET(ORÇAMENTO!$D$15,CRONO!$F152,0))),CRONO!BD$12,OFFSET(CÁLCULO!$AR$15:$BR$15,$F152,0,OFFSET(ORÇAMENTO!$D$15,CRONO!$F152,0)))
                +IF(AND($F154&lt;&gt;"",$F154&lt;&gt;0),
                        SUMIF(CÁLCULO!$BS$15:$CS$205,CRONO!BD$12,CÁLCULO!$AR$15:$BR$205)/(ORÇAMENTO!$X$15-_xlfn.single(CÁLCULO.TotalAdmLocal))*CRONO!$F154,
                        0),
                 BD153*$S152),
          SUMIF(OFFSET($S154,1,0,$R152-2),($M152+1)&amp;"$",OFFSET(BD154,1,0,$R152-2)))</f>
        <v>0</v>
      </c>
      <c r="BE154" s="430"/>
    </row>
    <row r="155" customFormat="false" ht="12.75" hidden="false" customHeight="false" outlineLevel="0" collapsed="false">
      <c r="A155" s="382" t="str">
        <f aca="false">IF($M155&gt;1,_xlfn.CONCAT($I155," ",$J155),"")</f>
        <v>1.47. APARELHOS, METAIS E BANCADAS</v>
      </c>
      <c r="B155" s="419" t="n">
        <f aca="true">OFFSET(B155,-3,0)+1</f>
        <v>48</v>
      </c>
      <c r="C155" s="419" t="n">
        <f aca="true">IF($R155&lt;&gt;2,0,IF($S155=0,1,IF(F156&gt;0,OFFSET(QCI!$M$13,SUBSTITUTE(F156,".",""),0),OFFSET(ORÇAMENTO!$AA$15,CRONO!$F155,0))/$S155))</f>
        <v>0.110981526562671</v>
      </c>
      <c r="D155" s="419" t="n">
        <f aca="true">IF($R155&lt;&gt;2,0,IF($S155=0,1,IF(F156&gt;0,OFFSET(QCI!$N$13,SUBSTITUTE(F156,".",""),0),OFFSET(ORÇAMENTO!$AB$15,CRONO!$F155,0))/$S155))</f>
        <v>0</v>
      </c>
      <c r="E155" s="422" t="n">
        <f aca="false" t="array" ref="E155:E155">IF(AND($R155=2,ACOMPANHAMENTO="BM"),ROUND(E156,4),E157/$S155)</f>
        <v>0.04</v>
      </c>
      <c r="F155" s="419" t="n">
        <f aca="true">IF(B155&lt;=ORÇAMENTO.MáximoListaCrono,MATCH(B155,ORÇAMENTO.ListaCrono,0),NA())</f>
        <v>174</v>
      </c>
      <c r="G155" s="419" t="str">
        <f aca="false">IF(AND($F156&lt;&gt;-1,$S155&gt;0),"F","")</f>
        <v>F</v>
      </c>
      <c r="H155" s="423" t="str">
        <f aca="false" t="array" ref="H155:H155">IF(OR(S155=0,S155=""),"Linha",IF(AND(OR(ACOMPANHAMENTO="PLE",$R155&lt;&gt;2),$F156=0),"Linha",ROUND(1-SUM(U155:BE155),4)))</f>
        <v>Linha</v>
      </c>
      <c r="I155" s="424" t="str">
        <f aca="true">IF($F156=0,OFFSET(ORÇAMENTO!O$15,$F155,0),IF($F156&lt;&gt;-1,OFFSET(QCI!$D$13,$F156,0),""))</f>
        <v>1.47.</v>
      </c>
      <c r="J155" s="425" t="str">
        <f aca="true">IF($F156=0,OFFSET(ORÇAMENTO!R$15,$F155,0),IF($F156&lt;&gt;-1,OFFSET(QCI!$G$13,$F156,0),""))</f>
        <v>APARELHOS, METAIS E BANCADAS</v>
      </c>
      <c r="K155" s="425"/>
      <c r="L155" s="425"/>
      <c r="M155" s="426" t="n">
        <f aca="true">IF($F156=0,OFFSET(ORÇAMENTO!C$15,$F155,0),1)</f>
        <v>2</v>
      </c>
      <c r="N155" s="427" t="n">
        <f aca="true">IF($F156=-1,0,IF(N$13&lt;=$M155,IF(ISERROR(MATCH(N$13,OFFSET($M155,1,0,ROW($M$182)-ROW($M155)-1),0)),ROW($M$182)-ROW($M155)-1,MATCH(N$13,OFFSET($M155,1,0,ROW($M$182)-ROW($M155)-1),0)-1),0))</f>
        <v>26</v>
      </c>
      <c r="O155" s="427" t="n">
        <f aca="true">IF($F156=-1,0,IF(O$13&lt;=$M155,IF(ISERROR(MATCH(O$13,OFFSET($M155,1,0,ROW($M$182)-ROW($M155)-1),0)),ROW($M$182)-ROW($M155)-1,MATCH(O$13,OFFSET($M155,1,0,ROW($M$182)-ROW($M155)-1),0)-1),0))</f>
        <v>2</v>
      </c>
      <c r="P155" s="427" t="n">
        <f aca="true">IF($F156=-1,0,IF(P$13&lt;=$M155,IF(ISERROR(MATCH(P$13,OFFSET($M155,1,0,ROW($M$182)-ROW($M155)-1),0)),ROW($M$182)-ROW($M155)-1,MATCH(P$13,OFFSET($M155,1,0,ROW($M$182)-ROW($M155)-1),0)-1),0))</f>
        <v>0</v>
      </c>
      <c r="Q155" s="427" t="n">
        <f aca="true">IF($F156=-1,0,IF(Q$13&lt;=$M155,IF(ISERROR(MATCH(Q$13,OFFSET($M155,1,0,ROW($M$182)-ROW($M155)-1),0)),ROW($M$182)-ROW($M155)-1,MATCH(Q$13,OFFSET($M155,1,0,ROW($M$182)-ROW($M155)-1),0)-1),0))</f>
        <v>0</v>
      </c>
      <c r="R155" s="427" t="n">
        <f aca="true">MIN(OFFSET(M155,0,1,,M155))</f>
        <v>2</v>
      </c>
      <c r="S155" s="428" t="n">
        <f aca="true">IF($F156=0,OFFSET(ORÇAMENTO!X$15,$F155,0),IF($F156&lt;&gt;-1,OFFSET(QCI!$O$13,$F156,0),""))</f>
        <v>70970.5</v>
      </c>
      <c r="T155" s="429" t="s">
        <v>996</v>
      </c>
      <c r="U155" s="422" t="n">
        <f aca="false" t="array" ref="U155:U155">IF(AND($R155=2,ACOMPANHAMENTO="BM"),ROUND(U156,4),U157/$S155)</f>
        <v>0.04</v>
      </c>
      <c r="V155" s="422" t="n">
        <f aca="false" t="array" ref="V155:V155">IF(AND($R155=2,ACOMPANHAMENTO="BM"),ROUND(V156,4),V157/$S155)</f>
        <v>0.04</v>
      </c>
      <c r="W155" s="422" t="n">
        <f aca="false" t="array" ref="W155:W155">IF(AND($R155=2,ACOMPANHAMENTO="BM"),ROUND(W156,4),W157/$S155)</f>
        <v>0.04</v>
      </c>
      <c r="X155" s="422" t="n">
        <f aca="false" t="array" ref="X155:X155">IF(AND($R155=2,ACOMPANHAMENTO="BM"),ROUND(X156,4),X157/$S155)</f>
        <v>0.04</v>
      </c>
      <c r="Y155" s="422" t="n">
        <f aca="false" t="array" ref="Y155:Y155">IF(AND($R155=2,ACOMPANHAMENTO="BM"),ROUND(Y156,4),Y157/$S155)</f>
        <v>0.04</v>
      </c>
      <c r="Z155" s="422" t="n">
        <f aca="false" t="array" ref="Z155:Z155">IF(AND($R155=2,ACOMPANHAMENTO="BM"),ROUND(Z156,4),Z157/$S155)</f>
        <v>0.04</v>
      </c>
      <c r="AA155" s="422" t="n">
        <f aca="false" t="array" ref="AA155:AA155">IF(AND($R155=2,ACOMPANHAMENTO="BM"),ROUND(AA156,4),AA157/$S155)</f>
        <v>0.04</v>
      </c>
      <c r="AB155" s="422" t="n">
        <f aca="false" t="array" ref="AB155:AB155">IF(AND($R155=2,ACOMPANHAMENTO="BM"),ROUND(AB156,4),AB157/$S155)</f>
        <v>0.04</v>
      </c>
      <c r="AC155" s="422" t="n">
        <f aca="false" t="array" ref="AC155:AC155">IF(AND($R155=2,ACOMPANHAMENTO="BM"),ROUND(AC156,4),AC157/$S155)</f>
        <v>0.04</v>
      </c>
      <c r="AD155" s="422" t="n">
        <f aca="false" t="array" ref="AD155:AD155">IF(AND($R155=2,ACOMPANHAMENTO="BM"),ROUND(AD156,4),AD157/$S155)</f>
        <v>0.04</v>
      </c>
      <c r="AE155" s="422" t="n">
        <f aca="false" t="array" ref="AE155:AE155">IF(AND($R155=2,ACOMPANHAMENTO="BM"),ROUND(AE156,4),AE157/$S155)</f>
        <v>0.04</v>
      </c>
      <c r="AF155" s="422" t="n">
        <f aca="false" t="array" ref="AF155:AF155">IF(AND($R155=2,ACOMPANHAMENTO="BM"),ROUND(AF156,4),AF157/$S155)</f>
        <v>0.04</v>
      </c>
      <c r="AG155" s="422" t="n">
        <f aca="false" t="array" ref="AG155:AG155">IF(AND($R155=2,ACOMPANHAMENTO="BM"),ROUND(AG156,4),AG157/$S155)</f>
        <v>0.04</v>
      </c>
      <c r="AH155" s="422" t="n">
        <f aca="false" t="array" ref="AH155:AH155">IF(AND($R155=2,ACOMPANHAMENTO="BM"),ROUND(AH156,4),AH157/$S155)</f>
        <v>0.04</v>
      </c>
      <c r="AI155" s="422" t="n">
        <f aca="false" t="array" ref="AI155:AI155">IF(AND($R155=2,ACOMPANHAMENTO="BM"),ROUND(AI156,4),AI157/$S155)</f>
        <v>0.04</v>
      </c>
      <c r="AJ155" s="422" t="n">
        <f aca="false" t="array" ref="AJ155:AJ155">IF(AND($R155=2,ACOMPANHAMENTO="BM"),ROUND(AJ156,4),AJ157/$S155)</f>
        <v>0.04</v>
      </c>
      <c r="AK155" s="422" t="n">
        <f aca="false" t="array" ref="AK155:AK155">IF(AND($R155=2,ACOMPANHAMENTO="BM"),ROUND(AK156,4),AK157/$S155)</f>
        <v>0.04</v>
      </c>
      <c r="AL155" s="422" t="n">
        <f aca="false" t="array" ref="AL155:AL155">IF(AND($R155=2,ACOMPANHAMENTO="BM"),ROUND(AL156,4),AL157/$S155)</f>
        <v>0.04</v>
      </c>
      <c r="AM155" s="422" t="n">
        <f aca="false" t="array" ref="AM155:AM155">IF(AND($R155=2,ACOMPANHAMENTO="BM"),ROUND(AM156,4),AM157/$S155)</f>
        <v>0.04</v>
      </c>
      <c r="AN155" s="422" t="n">
        <f aca="false" t="array" ref="AN155:AN155">IF(AND($R155=2,ACOMPANHAMENTO="BM"),ROUND(AN156,4),AN157/$S155)</f>
        <v>0.04</v>
      </c>
      <c r="AO155" s="422" t="n">
        <f aca="false" t="array" ref="AO155:AO155">IF(AND($R155=2,ACOMPANHAMENTO="BM"),ROUND(AO156,4),AO157/$S155)</f>
        <v>0.04</v>
      </c>
      <c r="AP155" s="422" t="n">
        <f aca="false" t="array" ref="AP155:AP155">IF(AND($R155=2,ACOMPANHAMENTO="BM"),ROUND(AP156,4),AP157/$S155)</f>
        <v>0.04</v>
      </c>
      <c r="AQ155" s="422" t="n">
        <f aca="false" t="array" ref="AQ155:AQ155">IF(AND($R155=2,ACOMPANHAMENTO="BM"),ROUND(AQ156,4),AQ157/$S155)</f>
        <v>0.04</v>
      </c>
      <c r="AR155" s="422" t="n">
        <f aca="false" t="array" ref="AR155:AR155">IF(AND($R155=2,ACOMPANHAMENTO="BM"),ROUND(AR156,4),AR157/$S155)</f>
        <v>0.04</v>
      </c>
      <c r="AS155" s="422" t="n">
        <f aca="false" t="array" ref="AS155:AS155">IF(AND($R155=2,ACOMPANHAMENTO="BM"),ROUND(AS156,4),AS157/$S155)</f>
        <v>0.04</v>
      </c>
      <c r="AT155" s="422" t="n">
        <f aca="false" t="array" ref="AT155:AT155">IF(AND($R155=2,ACOMPANHAMENTO="BM"),ROUND(AT156,4),AT157/$S155)</f>
        <v>0</v>
      </c>
      <c r="AU155" s="422" t="n">
        <f aca="false" t="array" ref="AU155:AU155">IF(AND($R155=2,ACOMPANHAMENTO="BM"),ROUND(AU156,4),AU157/$S155)</f>
        <v>0</v>
      </c>
      <c r="AV155" s="422" t="n">
        <f aca="false" t="array" ref="AV155:AV155">IF(AND($R155=2,ACOMPANHAMENTO="BM"),ROUND(AV156,4),AV157/$S155)</f>
        <v>0</v>
      </c>
      <c r="AW155" s="422" t="n">
        <f aca="false" t="array" ref="AW155:AW155">IF(AND($R155=2,ACOMPANHAMENTO="BM"),ROUND(AW156,4),AW157/$S155)</f>
        <v>0</v>
      </c>
      <c r="AX155" s="422" t="n">
        <f aca="false" t="array" ref="AX155:AX155">IF(AND($R155=2,ACOMPANHAMENTO="BM"),ROUND(AX156,4),AX157/$S155)</f>
        <v>0</v>
      </c>
      <c r="AY155" s="422" t="n">
        <f aca="false" t="array" ref="AY155:AY155">IF(AND($R155=2,ACOMPANHAMENTO="BM"),ROUND(AY156,4),AY157/$S155)</f>
        <v>0</v>
      </c>
      <c r="AZ155" s="422" t="n">
        <f aca="false" t="array" ref="AZ155:AZ155">IF(AND($R155=2,ACOMPANHAMENTO="BM"),ROUND(AZ156,4),AZ157/$S155)</f>
        <v>0</v>
      </c>
      <c r="BA155" s="422" t="n">
        <f aca="false" t="array" ref="BA155:BA155">IF(AND($R155=2,ACOMPANHAMENTO="BM"),ROUND(BA156,4),BA157/$S155)</f>
        <v>0</v>
      </c>
      <c r="BB155" s="422" t="n">
        <f aca="false" t="array" ref="BB155:BB155">IF(AND($R155=2,ACOMPANHAMENTO="BM"),ROUND(BB156,4),BB157/$S155)</f>
        <v>0</v>
      </c>
      <c r="BC155" s="422" t="n">
        <f aca="false" t="array" ref="BC155:BC155">IF(AND($R155=2,ACOMPANHAMENTO="BM"),ROUND(BC156,4),BC157/$S155)</f>
        <v>0</v>
      </c>
      <c r="BD155" s="422" t="n">
        <f aca="false" t="array" ref="BD155:BD155">IF(AND($R155=2,ACOMPANHAMENTO="BM"),ROUND(BD156,4),BD157/$S155)</f>
        <v>0</v>
      </c>
      <c r="BE155" s="430"/>
    </row>
    <row r="156" customFormat="false" ht="12.75" hidden="true" customHeight="true" outlineLevel="0" collapsed="false">
      <c r="E156" s="431"/>
      <c r="F156" s="419" t="n">
        <f aca="true">IF(ISERROR(F155),IF(1+COUNTIF($M$13:OFFSET(M155,-1,0),1)&lt;=MAX(QCI!$D$13:$D$15),1+COUNTIF($M$13:OFFSET(M155,-1,0),1),-1),0)</f>
        <v>0</v>
      </c>
      <c r="G156" s="419" t="str">
        <f aca="true" t="array" ref="G156:G156">IF(ACOMPANHAMENTO="BM",OFFSET(G156,-1,0),"")</f>
        <v/>
      </c>
      <c r="H156" s="432" t="str">
        <f aca="false" t="array" ref="H156:H156">IF(OR(S155=0,S155=""),"vazia",IF(AND(OR(ACOMPANHAMENTO="PLE",$R155&lt;&gt;2),$F156=0),"calculada","--&gt;"))</f>
        <v>calculada</v>
      </c>
      <c r="I156" s="433"/>
      <c r="J156" s="434" t="str">
        <f aca="false">IF(AND(H155&lt;&gt;0,ISNUMBER(H155)),"PREENCHA ESTA LINHA --&gt;","")</f>
        <v/>
      </c>
      <c r="K156" s="434"/>
      <c r="L156" s="434"/>
      <c r="M156" s="435"/>
      <c r="N156" s="435"/>
      <c r="O156" s="435"/>
      <c r="P156" s="435"/>
      <c r="Q156" s="435"/>
      <c r="R156" s="435"/>
      <c r="S156" s="436"/>
      <c r="T156" s="437"/>
      <c r="U156" s="431"/>
      <c r="V156" s="431"/>
      <c r="W156" s="431"/>
      <c r="X156" s="431"/>
      <c r="Y156" s="431"/>
      <c r="Z156" s="431"/>
      <c r="AA156" s="431"/>
      <c r="AB156" s="431"/>
      <c r="AC156" s="431"/>
      <c r="AD156" s="431"/>
      <c r="AE156" s="431"/>
      <c r="AF156" s="431"/>
      <c r="AG156" s="431"/>
      <c r="AH156" s="431"/>
      <c r="AI156" s="431"/>
      <c r="AJ156" s="431"/>
      <c r="AK156" s="431"/>
      <c r="AL156" s="431"/>
      <c r="AM156" s="431"/>
      <c r="AN156" s="431"/>
      <c r="AO156" s="431"/>
      <c r="AP156" s="431"/>
      <c r="AQ156" s="431"/>
      <c r="AR156" s="431"/>
      <c r="AS156" s="431"/>
      <c r="AT156" s="431"/>
      <c r="AU156" s="431"/>
      <c r="AV156" s="431"/>
      <c r="AW156" s="431"/>
      <c r="AX156" s="431"/>
      <c r="AY156" s="431"/>
      <c r="AZ156" s="431"/>
      <c r="BA156" s="431"/>
      <c r="BB156" s="431"/>
      <c r="BC156" s="431"/>
      <c r="BD156" s="431"/>
      <c r="BE156" s="430"/>
    </row>
    <row r="157" customFormat="false" ht="12.75" hidden="true" customHeight="true" outlineLevel="0" collapsed="false">
      <c r="D157" s="438"/>
      <c r="E157" s="439" t="n">
        <f aca="false" t="array" ref="E157:E157">IF($R155=2,
         IF(AND(ACOMPANHAMENTO="PLE",ISNUMBER($F155)),
                SUMIF((OFFSET(CÁLCULO!$BS$15:$CS$15,$F155,0,OFFSET(ORÇAMENTO!$D$15,CRONO!$F155,0))),CRONO!E$12,OFFSET(CÁLCULO!$AR$15:$BR$15,$F155,0,OFFSET(ORÇAMENTO!$D$15,CRONO!$F155,0)))
                +IF(AND($F157&lt;&gt;"",$F157&lt;&gt;0),
                        SUMIF(CÁLCULO!$BS$15:$CS$205,CRONO!E$12,CÁLCULO!$AR$15:$BR$205)/(ORÇAMENTO!$X$15-_xlfn.single(CÁLCULO.TotalAdmLocal))*CRONO!$F157,
                        0),
                 E156*$S155),
          SUMIF(OFFSET($S157,1,0,$R155-2),($M155+1)&amp;"$",OFFSET(E157,1,0,$R155-2)))</f>
        <v>2838.82</v>
      </c>
      <c r="F157" s="419" t="str">
        <f aca="true">IF(OR($R155&lt;&gt;2,AUTOEVENTO&lt;&gt;"manual",$F156&gt;0),"",
        IF(Import.TipoArredondamento="Tradicional",
              SUMIF(OFFSET(CÁLCULO!$M$15,CRONO!$F155,0,OFFSET(ORÇAMENTO!$D$15,CRONO!$F155,0)),1,OFFSET(ORÇAMENTO!$X$15,CRONO!$F155,0,OFFSET(ORÇAMENTO!$D$15,CRONO!$F155,0))),
              0))</f>
        <v/>
      </c>
      <c r="H157" s="440"/>
      <c r="S157" s="441" t="str">
        <f aca="false">M155&amp;"$"</f>
        <v>2$</v>
      </c>
      <c r="T157" s="442"/>
      <c r="U157" s="439" t="n">
        <f aca="false" t="array" ref="U157:U157">IF($R155=2,
         IF(AND(ACOMPANHAMENTO="PLE",ISNUMBER($F155)),
                SUMIF((OFFSET(CÁLCULO!$BS$15:$CS$15,$F155,0,OFFSET(ORÇAMENTO!$D$15,CRONO!$F155,0))),CRONO!U$12,OFFSET(CÁLCULO!$AR$15:$BR$15,$F155,0,OFFSET(ORÇAMENTO!$D$15,CRONO!$F155,0)))
                +IF(AND($F157&lt;&gt;"",$F157&lt;&gt;0),
                        SUMIF(CÁLCULO!$BS$15:$CS$205,CRONO!U$12,CÁLCULO!$AR$15:$BR$205)/(ORÇAMENTO!$X$15-_xlfn.single(CÁLCULO.TotalAdmLocal))*CRONO!$F157,
                        0),
                 U156*$S155),
          SUMIF(OFFSET($S157,1,0,$R155-2),($M155+1)&amp;"$",OFFSET(U157,1,0,$R155-2)))</f>
        <v>2838.82</v>
      </c>
      <c r="V157" s="439" t="n">
        <f aca="false" t="array" ref="V157:V157">IF($R155=2,
         IF(AND(ACOMPANHAMENTO="PLE",ISNUMBER($F155)),
                SUMIF((OFFSET(CÁLCULO!$BS$15:$CS$15,$F155,0,OFFSET(ORÇAMENTO!$D$15,CRONO!$F155,0))),CRONO!V$12,OFFSET(CÁLCULO!$AR$15:$BR$15,$F155,0,OFFSET(ORÇAMENTO!$D$15,CRONO!$F155,0)))
                +IF(AND($F157&lt;&gt;"",$F157&lt;&gt;0),
                        SUMIF(CÁLCULO!$BS$15:$CS$205,CRONO!V$12,CÁLCULO!$AR$15:$BR$205)/(ORÇAMENTO!$X$15-_xlfn.single(CÁLCULO.TotalAdmLocal))*CRONO!$F157,
                        0),
                 V156*$S155),
          SUMIF(OFFSET($S157,1,0,$R155-2),($M155+1)&amp;"$",OFFSET(V157,1,0,$R155-2)))</f>
        <v>2838.82</v>
      </c>
      <c r="W157" s="439" t="n">
        <f aca="false" t="array" ref="W157:W157">IF($R155=2,
         IF(AND(ACOMPANHAMENTO="PLE",ISNUMBER($F155)),
                SUMIF((OFFSET(CÁLCULO!$BS$15:$CS$15,$F155,0,OFFSET(ORÇAMENTO!$D$15,CRONO!$F155,0))),CRONO!W$12,OFFSET(CÁLCULO!$AR$15:$BR$15,$F155,0,OFFSET(ORÇAMENTO!$D$15,CRONO!$F155,0)))
                +IF(AND($F157&lt;&gt;"",$F157&lt;&gt;0),
                        SUMIF(CÁLCULO!$BS$15:$CS$205,CRONO!W$12,CÁLCULO!$AR$15:$BR$205)/(ORÇAMENTO!$X$15-_xlfn.single(CÁLCULO.TotalAdmLocal))*CRONO!$F157,
                        0),
                 W156*$S155),
          SUMIF(OFFSET($S157,1,0,$R155-2),($M155+1)&amp;"$",OFFSET(W157,1,0,$R155-2)))</f>
        <v>2838.82</v>
      </c>
      <c r="X157" s="439" t="n">
        <f aca="false" t="array" ref="X157:X157">IF($R155=2,
         IF(AND(ACOMPANHAMENTO="PLE",ISNUMBER($F155)),
                SUMIF((OFFSET(CÁLCULO!$BS$15:$CS$15,$F155,0,OFFSET(ORÇAMENTO!$D$15,CRONO!$F155,0))),CRONO!X$12,OFFSET(CÁLCULO!$AR$15:$BR$15,$F155,0,OFFSET(ORÇAMENTO!$D$15,CRONO!$F155,0)))
                +IF(AND($F157&lt;&gt;"",$F157&lt;&gt;0),
                        SUMIF(CÁLCULO!$BS$15:$CS$205,CRONO!X$12,CÁLCULO!$AR$15:$BR$205)/(ORÇAMENTO!$X$15-_xlfn.single(CÁLCULO.TotalAdmLocal))*CRONO!$F157,
                        0),
                 X156*$S155),
          SUMIF(OFFSET($S157,1,0,$R155-2),($M155+1)&amp;"$",OFFSET(X157,1,0,$R155-2)))</f>
        <v>2838.82</v>
      </c>
      <c r="Y157" s="439" t="n">
        <f aca="false" t="array" ref="Y157:Y157">IF($R155=2,
         IF(AND(ACOMPANHAMENTO="PLE",ISNUMBER($F155)),
                SUMIF((OFFSET(CÁLCULO!$BS$15:$CS$15,$F155,0,OFFSET(ORÇAMENTO!$D$15,CRONO!$F155,0))),CRONO!Y$12,OFFSET(CÁLCULO!$AR$15:$BR$15,$F155,0,OFFSET(ORÇAMENTO!$D$15,CRONO!$F155,0)))
                +IF(AND($F157&lt;&gt;"",$F157&lt;&gt;0),
                        SUMIF(CÁLCULO!$BS$15:$CS$205,CRONO!Y$12,CÁLCULO!$AR$15:$BR$205)/(ORÇAMENTO!$X$15-_xlfn.single(CÁLCULO.TotalAdmLocal))*CRONO!$F157,
                        0),
                 Y156*$S155),
          SUMIF(OFFSET($S157,1,0,$R155-2),($M155+1)&amp;"$",OFFSET(Y157,1,0,$R155-2)))</f>
        <v>2838.82</v>
      </c>
      <c r="Z157" s="439" t="n">
        <f aca="false" t="array" ref="Z157:Z157">IF($R155=2,
         IF(AND(ACOMPANHAMENTO="PLE",ISNUMBER($F155)),
                SUMIF((OFFSET(CÁLCULO!$BS$15:$CS$15,$F155,0,OFFSET(ORÇAMENTO!$D$15,CRONO!$F155,0))),CRONO!Z$12,OFFSET(CÁLCULO!$AR$15:$BR$15,$F155,0,OFFSET(ORÇAMENTO!$D$15,CRONO!$F155,0)))
                +IF(AND($F157&lt;&gt;"",$F157&lt;&gt;0),
                        SUMIF(CÁLCULO!$BS$15:$CS$205,CRONO!Z$12,CÁLCULO!$AR$15:$BR$205)/(ORÇAMENTO!$X$15-_xlfn.single(CÁLCULO.TotalAdmLocal))*CRONO!$F157,
                        0),
                 Z156*$S155),
          SUMIF(OFFSET($S157,1,0,$R155-2),($M155+1)&amp;"$",OFFSET(Z157,1,0,$R155-2)))</f>
        <v>2838.82</v>
      </c>
      <c r="AA157" s="439" t="n">
        <f aca="false" t="array" ref="AA157:AA157">IF($R155=2,
         IF(AND(ACOMPANHAMENTO="PLE",ISNUMBER($F155)),
                SUMIF((OFFSET(CÁLCULO!$BS$15:$CS$15,$F155,0,OFFSET(ORÇAMENTO!$D$15,CRONO!$F155,0))),CRONO!AA$12,OFFSET(CÁLCULO!$AR$15:$BR$15,$F155,0,OFFSET(ORÇAMENTO!$D$15,CRONO!$F155,0)))
                +IF(AND($F157&lt;&gt;"",$F157&lt;&gt;0),
                        SUMIF(CÁLCULO!$BS$15:$CS$205,CRONO!AA$12,CÁLCULO!$AR$15:$BR$205)/(ORÇAMENTO!$X$15-_xlfn.single(CÁLCULO.TotalAdmLocal))*CRONO!$F157,
                        0),
                 AA156*$S155),
          SUMIF(OFFSET($S157,1,0,$R155-2),($M155+1)&amp;"$",OFFSET(AA157,1,0,$R155-2)))</f>
        <v>2838.82</v>
      </c>
      <c r="AB157" s="439" t="n">
        <f aca="false" t="array" ref="AB157:AB157">IF($R155=2,
         IF(AND(ACOMPANHAMENTO="PLE",ISNUMBER($F155)),
                SUMIF((OFFSET(CÁLCULO!$BS$15:$CS$15,$F155,0,OFFSET(ORÇAMENTO!$D$15,CRONO!$F155,0))),CRONO!AB$12,OFFSET(CÁLCULO!$AR$15:$BR$15,$F155,0,OFFSET(ORÇAMENTO!$D$15,CRONO!$F155,0)))
                +IF(AND($F157&lt;&gt;"",$F157&lt;&gt;0),
                        SUMIF(CÁLCULO!$BS$15:$CS$205,CRONO!AB$12,CÁLCULO!$AR$15:$BR$205)/(ORÇAMENTO!$X$15-_xlfn.single(CÁLCULO.TotalAdmLocal))*CRONO!$F157,
                        0),
                 AB156*$S155),
          SUMIF(OFFSET($S157,1,0,$R155-2),($M155+1)&amp;"$",OFFSET(AB157,1,0,$R155-2)))</f>
        <v>2838.82</v>
      </c>
      <c r="AC157" s="439" t="n">
        <f aca="false" t="array" ref="AC157:AC157">IF($R155=2,
         IF(AND(ACOMPANHAMENTO="PLE",ISNUMBER($F155)),
                SUMIF((OFFSET(CÁLCULO!$BS$15:$CS$15,$F155,0,OFFSET(ORÇAMENTO!$D$15,CRONO!$F155,0))),CRONO!AC$12,OFFSET(CÁLCULO!$AR$15:$BR$15,$F155,0,OFFSET(ORÇAMENTO!$D$15,CRONO!$F155,0)))
                +IF(AND($F157&lt;&gt;"",$F157&lt;&gt;0),
                        SUMIF(CÁLCULO!$BS$15:$CS$205,CRONO!AC$12,CÁLCULO!$AR$15:$BR$205)/(ORÇAMENTO!$X$15-_xlfn.single(CÁLCULO.TotalAdmLocal))*CRONO!$F157,
                        0),
                 AC156*$S155),
          SUMIF(OFFSET($S157,1,0,$R155-2),($M155+1)&amp;"$",OFFSET(AC157,1,0,$R155-2)))</f>
        <v>2838.82</v>
      </c>
      <c r="AD157" s="439" t="n">
        <f aca="false" t="array" ref="AD157:AD157">IF($R155=2,
         IF(AND(ACOMPANHAMENTO="PLE",ISNUMBER($F155)),
                SUMIF((OFFSET(CÁLCULO!$BS$15:$CS$15,$F155,0,OFFSET(ORÇAMENTO!$D$15,CRONO!$F155,0))),CRONO!AD$12,OFFSET(CÁLCULO!$AR$15:$BR$15,$F155,0,OFFSET(ORÇAMENTO!$D$15,CRONO!$F155,0)))
                +IF(AND($F157&lt;&gt;"",$F157&lt;&gt;0),
                        SUMIF(CÁLCULO!$BS$15:$CS$205,CRONO!AD$12,CÁLCULO!$AR$15:$BR$205)/(ORÇAMENTO!$X$15-_xlfn.single(CÁLCULO.TotalAdmLocal))*CRONO!$F157,
                        0),
                 AD156*$S155),
          SUMIF(OFFSET($S157,1,0,$R155-2),($M155+1)&amp;"$",OFFSET(AD157,1,0,$R155-2)))</f>
        <v>2838.82</v>
      </c>
      <c r="AE157" s="439" t="n">
        <f aca="false" t="array" ref="AE157:AE157">IF($R155=2,
         IF(AND(ACOMPANHAMENTO="PLE",ISNUMBER($F155)),
                SUMIF((OFFSET(CÁLCULO!$BS$15:$CS$15,$F155,0,OFFSET(ORÇAMENTO!$D$15,CRONO!$F155,0))),CRONO!AE$12,OFFSET(CÁLCULO!$AR$15:$BR$15,$F155,0,OFFSET(ORÇAMENTO!$D$15,CRONO!$F155,0)))
                +IF(AND($F157&lt;&gt;"",$F157&lt;&gt;0),
                        SUMIF(CÁLCULO!$BS$15:$CS$205,CRONO!AE$12,CÁLCULO!$AR$15:$BR$205)/(ORÇAMENTO!$X$15-_xlfn.single(CÁLCULO.TotalAdmLocal))*CRONO!$F157,
                        0),
                 AE156*$S155),
          SUMIF(OFFSET($S157,1,0,$R155-2),($M155+1)&amp;"$",OFFSET(AE157,1,0,$R155-2)))</f>
        <v>2838.82</v>
      </c>
      <c r="AF157" s="439" t="n">
        <f aca="false" t="array" ref="AF157:AF157">IF($R155=2,
         IF(AND(ACOMPANHAMENTO="PLE",ISNUMBER($F155)),
                SUMIF((OFFSET(CÁLCULO!$BS$15:$CS$15,$F155,0,OFFSET(ORÇAMENTO!$D$15,CRONO!$F155,0))),CRONO!AF$12,OFFSET(CÁLCULO!$AR$15:$BR$15,$F155,0,OFFSET(ORÇAMENTO!$D$15,CRONO!$F155,0)))
                +IF(AND($F157&lt;&gt;"",$F157&lt;&gt;0),
                        SUMIF(CÁLCULO!$BS$15:$CS$205,CRONO!AF$12,CÁLCULO!$AR$15:$BR$205)/(ORÇAMENTO!$X$15-_xlfn.single(CÁLCULO.TotalAdmLocal))*CRONO!$F157,
                        0),
                 AF156*$S155),
          SUMIF(OFFSET($S157,1,0,$R155-2),($M155+1)&amp;"$",OFFSET(AF157,1,0,$R155-2)))</f>
        <v>2838.82</v>
      </c>
      <c r="AG157" s="439" t="n">
        <f aca="false" t="array" ref="AG157:AG157">IF($R155=2,
         IF(AND(ACOMPANHAMENTO="PLE",ISNUMBER($F155)),
                SUMIF((OFFSET(CÁLCULO!$BS$15:$CS$15,$F155,0,OFFSET(ORÇAMENTO!$D$15,CRONO!$F155,0))),CRONO!AG$12,OFFSET(CÁLCULO!$AR$15:$BR$15,$F155,0,OFFSET(ORÇAMENTO!$D$15,CRONO!$F155,0)))
                +IF(AND($F157&lt;&gt;"",$F157&lt;&gt;0),
                        SUMIF(CÁLCULO!$BS$15:$CS$205,CRONO!AG$12,CÁLCULO!$AR$15:$BR$205)/(ORÇAMENTO!$X$15-_xlfn.single(CÁLCULO.TotalAdmLocal))*CRONO!$F157,
                        0),
                 AG156*$S155),
          SUMIF(OFFSET($S157,1,0,$R155-2),($M155+1)&amp;"$",OFFSET(AG157,1,0,$R155-2)))</f>
        <v>2838.82</v>
      </c>
      <c r="AH157" s="439" t="n">
        <f aca="false" t="array" ref="AH157:AH157">IF($R155=2,
         IF(AND(ACOMPANHAMENTO="PLE",ISNUMBER($F155)),
                SUMIF((OFFSET(CÁLCULO!$BS$15:$CS$15,$F155,0,OFFSET(ORÇAMENTO!$D$15,CRONO!$F155,0))),CRONO!AH$12,OFFSET(CÁLCULO!$AR$15:$BR$15,$F155,0,OFFSET(ORÇAMENTO!$D$15,CRONO!$F155,0)))
                +IF(AND($F157&lt;&gt;"",$F157&lt;&gt;0),
                        SUMIF(CÁLCULO!$BS$15:$CS$205,CRONO!AH$12,CÁLCULO!$AR$15:$BR$205)/(ORÇAMENTO!$X$15-_xlfn.single(CÁLCULO.TotalAdmLocal))*CRONO!$F157,
                        0),
                 AH156*$S155),
          SUMIF(OFFSET($S157,1,0,$R155-2),($M155+1)&amp;"$",OFFSET(AH157,1,0,$R155-2)))</f>
        <v>2838.82</v>
      </c>
      <c r="AI157" s="439" t="n">
        <f aca="false" t="array" ref="AI157:AI157">IF($R155=2,
         IF(AND(ACOMPANHAMENTO="PLE",ISNUMBER($F155)),
                SUMIF((OFFSET(CÁLCULO!$BS$15:$CS$15,$F155,0,OFFSET(ORÇAMENTO!$D$15,CRONO!$F155,0))),CRONO!AI$12,OFFSET(CÁLCULO!$AR$15:$BR$15,$F155,0,OFFSET(ORÇAMENTO!$D$15,CRONO!$F155,0)))
                +IF(AND($F157&lt;&gt;"",$F157&lt;&gt;0),
                        SUMIF(CÁLCULO!$BS$15:$CS$205,CRONO!AI$12,CÁLCULO!$AR$15:$BR$205)/(ORÇAMENTO!$X$15-_xlfn.single(CÁLCULO.TotalAdmLocal))*CRONO!$F157,
                        0),
                 AI156*$S155),
          SUMIF(OFFSET($S157,1,0,$R155-2),($M155+1)&amp;"$",OFFSET(AI157,1,0,$R155-2)))</f>
        <v>2838.82</v>
      </c>
      <c r="AJ157" s="439" t="n">
        <f aca="false" t="array" ref="AJ157:AJ157">IF($R155=2,
         IF(AND(ACOMPANHAMENTO="PLE",ISNUMBER($F155)),
                SUMIF((OFFSET(CÁLCULO!$BS$15:$CS$15,$F155,0,OFFSET(ORÇAMENTO!$D$15,CRONO!$F155,0))),CRONO!AJ$12,OFFSET(CÁLCULO!$AR$15:$BR$15,$F155,0,OFFSET(ORÇAMENTO!$D$15,CRONO!$F155,0)))
                +IF(AND($F157&lt;&gt;"",$F157&lt;&gt;0),
                        SUMIF(CÁLCULO!$BS$15:$CS$205,CRONO!AJ$12,CÁLCULO!$AR$15:$BR$205)/(ORÇAMENTO!$X$15-_xlfn.single(CÁLCULO.TotalAdmLocal))*CRONO!$F157,
                        0),
                 AJ156*$S155),
          SUMIF(OFFSET($S157,1,0,$R155-2),($M155+1)&amp;"$",OFFSET(AJ157,1,0,$R155-2)))</f>
        <v>2838.82</v>
      </c>
      <c r="AK157" s="439" t="n">
        <f aca="false" t="array" ref="AK157:AK157">IF($R155=2,
         IF(AND(ACOMPANHAMENTO="PLE",ISNUMBER($F155)),
                SUMIF((OFFSET(CÁLCULO!$BS$15:$CS$15,$F155,0,OFFSET(ORÇAMENTO!$D$15,CRONO!$F155,0))),CRONO!AK$12,OFFSET(CÁLCULO!$AR$15:$BR$15,$F155,0,OFFSET(ORÇAMENTO!$D$15,CRONO!$F155,0)))
                +IF(AND($F157&lt;&gt;"",$F157&lt;&gt;0),
                        SUMIF(CÁLCULO!$BS$15:$CS$205,CRONO!AK$12,CÁLCULO!$AR$15:$BR$205)/(ORÇAMENTO!$X$15-_xlfn.single(CÁLCULO.TotalAdmLocal))*CRONO!$F157,
                        0),
                 AK156*$S155),
          SUMIF(OFFSET($S157,1,0,$R155-2),($M155+1)&amp;"$",OFFSET(AK157,1,0,$R155-2)))</f>
        <v>2838.82</v>
      </c>
      <c r="AL157" s="439" t="n">
        <f aca="false" t="array" ref="AL157:AL157">IF($R155=2,
         IF(AND(ACOMPANHAMENTO="PLE",ISNUMBER($F155)),
                SUMIF((OFFSET(CÁLCULO!$BS$15:$CS$15,$F155,0,OFFSET(ORÇAMENTO!$D$15,CRONO!$F155,0))),CRONO!AL$12,OFFSET(CÁLCULO!$AR$15:$BR$15,$F155,0,OFFSET(ORÇAMENTO!$D$15,CRONO!$F155,0)))
                +IF(AND($F157&lt;&gt;"",$F157&lt;&gt;0),
                        SUMIF(CÁLCULO!$BS$15:$CS$205,CRONO!AL$12,CÁLCULO!$AR$15:$BR$205)/(ORÇAMENTO!$X$15-_xlfn.single(CÁLCULO.TotalAdmLocal))*CRONO!$F157,
                        0),
                 AL156*$S155),
          SUMIF(OFFSET($S157,1,0,$R155-2),($M155+1)&amp;"$",OFFSET(AL157,1,0,$R155-2)))</f>
        <v>2838.82</v>
      </c>
      <c r="AM157" s="439" t="n">
        <f aca="false" t="array" ref="AM157:AM157">IF($R155=2,
         IF(AND(ACOMPANHAMENTO="PLE",ISNUMBER($F155)),
                SUMIF((OFFSET(CÁLCULO!$BS$15:$CS$15,$F155,0,OFFSET(ORÇAMENTO!$D$15,CRONO!$F155,0))),CRONO!AM$12,OFFSET(CÁLCULO!$AR$15:$BR$15,$F155,0,OFFSET(ORÇAMENTO!$D$15,CRONO!$F155,0)))
                +IF(AND($F157&lt;&gt;"",$F157&lt;&gt;0),
                        SUMIF(CÁLCULO!$BS$15:$CS$205,CRONO!AM$12,CÁLCULO!$AR$15:$BR$205)/(ORÇAMENTO!$X$15-_xlfn.single(CÁLCULO.TotalAdmLocal))*CRONO!$F157,
                        0),
                 AM156*$S155),
          SUMIF(OFFSET($S157,1,0,$R155-2),($M155+1)&amp;"$",OFFSET(AM157,1,0,$R155-2)))</f>
        <v>2838.82</v>
      </c>
      <c r="AN157" s="439" t="n">
        <f aca="false" t="array" ref="AN157:AN157">IF($R155=2,
         IF(AND(ACOMPANHAMENTO="PLE",ISNUMBER($F155)),
                SUMIF((OFFSET(CÁLCULO!$BS$15:$CS$15,$F155,0,OFFSET(ORÇAMENTO!$D$15,CRONO!$F155,0))),CRONO!AN$12,OFFSET(CÁLCULO!$AR$15:$BR$15,$F155,0,OFFSET(ORÇAMENTO!$D$15,CRONO!$F155,0)))
                +IF(AND($F157&lt;&gt;"",$F157&lt;&gt;0),
                        SUMIF(CÁLCULO!$BS$15:$CS$205,CRONO!AN$12,CÁLCULO!$AR$15:$BR$205)/(ORÇAMENTO!$X$15-_xlfn.single(CÁLCULO.TotalAdmLocal))*CRONO!$F157,
                        0),
                 AN156*$S155),
          SUMIF(OFFSET($S157,1,0,$R155-2),($M155+1)&amp;"$",OFFSET(AN157,1,0,$R155-2)))</f>
        <v>2838.82</v>
      </c>
      <c r="AO157" s="439" t="n">
        <f aca="false" t="array" ref="AO157:AO157">IF($R155=2,
         IF(AND(ACOMPANHAMENTO="PLE",ISNUMBER($F155)),
                SUMIF((OFFSET(CÁLCULO!$BS$15:$CS$15,$F155,0,OFFSET(ORÇAMENTO!$D$15,CRONO!$F155,0))),CRONO!AO$12,OFFSET(CÁLCULO!$AR$15:$BR$15,$F155,0,OFFSET(ORÇAMENTO!$D$15,CRONO!$F155,0)))
                +IF(AND($F157&lt;&gt;"",$F157&lt;&gt;0),
                        SUMIF(CÁLCULO!$BS$15:$CS$205,CRONO!AO$12,CÁLCULO!$AR$15:$BR$205)/(ORÇAMENTO!$X$15-_xlfn.single(CÁLCULO.TotalAdmLocal))*CRONO!$F157,
                        0),
                 AO156*$S155),
          SUMIF(OFFSET($S157,1,0,$R155-2),($M155+1)&amp;"$",OFFSET(AO157,1,0,$R155-2)))</f>
        <v>2838.82</v>
      </c>
      <c r="AP157" s="439" t="n">
        <f aca="false" t="array" ref="AP157:AP157">IF($R155=2,
         IF(AND(ACOMPANHAMENTO="PLE",ISNUMBER($F155)),
                SUMIF((OFFSET(CÁLCULO!$BS$15:$CS$15,$F155,0,OFFSET(ORÇAMENTO!$D$15,CRONO!$F155,0))),CRONO!AP$12,OFFSET(CÁLCULO!$AR$15:$BR$15,$F155,0,OFFSET(ORÇAMENTO!$D$15,CRONO!$F155,0)))
                +IF(AND($F157&lt;&gt;"",$F157&lt;&gt;0),
                        SUMIF(CÁLCULO!$BS$15:$CS$205,CRONO!AP$12,CÁLCULO!$AR$15:$BR$205)/(ORÇAMENTO!$X$15-_xlfn.single(CÁLCULO.TotalAdmLocal))*CRONO!$F157,
                        0),
                 AP156*$S155),
          SUMIF(OFFSET($S157,1,0,$R155-2),($M155+1)&amp;"$",OFFSET(AP157,1,0,$R155-2)))</f>
        <v>2838.82</v>
      </c>
      <c r="AQ157" s="439" t="n">
        <f aca="false" t="array" ref="AQ157:AQ157">IF($R155=2,
         IF(AND(ACOMPANHAMENTO="PLE",ISNUMBER($F155)),
                SUMIF((OFFSET(CÁLCULO!$BS$15:$CS$15,$F155,0,OFFSET(ORÇAMENTO!$D$15,CRONO!$F155,0))),CRONO!AQ$12,OFFSET(CÁLCULO!$AR$15:$BR$15,$F155,0,OFFSET(ORÇAMENTO!$D$15,CRONO!$F155,0)))
                +IF(AND($F157&lt;&gt;"",$F157&lt;&gt;0),
                        SUMIF(CÁLCULO!$BS$15:$CS$205,CRONO!AQ$12,CÁLCULO!$AR$15:$BR$205)/(ORÇAMENTO!$X$15-_xlfn.single(CÁLCULO.TotalAdmLocal))*CRONO!$F157,
                        0),
                 AQ156*$S155),
          SUMIF(OFFSET($S157,1,0,$R155-2),($M155+1)&amp;"$",OFFSET(AQ157,1,0,$R155-2)))</f>
        <v>2838.82</v>
      </c>
      <c r="AR157" s="439" t="n">
        <f aca="false" t="array" ref="AR157:AR157">IF($R155=2,
         IF(AND(ACOMPANHAMENTO="PLE",ISNUMBER($F155)),
                SUMIF((OFFSET(CÁLCULO!$BS$15:$CS$15,$F155,0,OFFSET(ORÇAMENTO!$D$15,CRONO!$F155,0))),CRONO!AR$12,OFFSET(CÁLCULO!$AR$15:$BR$15,$F155,0,OFFSET(ORÇAMENTO!$D$15,CRONO!$F155,0)))
                +IF(AND($F157&lt;&gt;"",$F157&lt;&gt;0),
                        SUMIF(CÁLCULO!$BS$15:$CS$205,CRONO!AR$12,CÁLCULO!$AR$15:$BR$205)/(ORÇAMENTO!$X$15-_xlfn.single(CÁLCULO.TotalAdmLocal))*CRONO!$F157,
                        0),
                 AR156*$S155),
          SUMIF(OFFSET($S157,1,0,$R155-2),($M155+1)&amp;"$",OFFSET(AR157,1,0,$R155-2)))</f>
        <v>2838.82</v>
      </c>
      <c r="AS157" s="439" t="n">
        <f aca="false" t="array" ref="AS157:AS157">IF($R155=2,
         IF(AND(ACOMPANHAMENTO="PLE",ISNUMBER($F155)),
                SUMIF((OFFSET(CÁLCULO!$BS$15:$CS$15,$F155,0,OFFSET(ORÇAMENTO!$D$15,CRONO!$F155,0))),CRONO!AS$12,OFFSET(CÁLCULO!$AR$15:$BR$15,$F155,0,OFFSET(ORÇAMENTO!$D$15,CRONO!$F155,0)))
                +IF(AND($F157&lt;&gt;"",$F157&lt;&gt;0),
                        SUMIF(CÁLCULO!$BS$15:$CS$205,CRONO!AS$12,CÁLCULO!$AR$15:$BR$205)/(ORÇAMENTO!$X$15-_xlfn.single(CÁLCULO.TotalAdmLocal))*CRONO!$F157,
                        0),
                 AS156*$S155),
          SUMIF(OFFSET($S157,1,0,$R155-2),($M155+1)&amp;"$",OFFSET(AS157,1,0,$R155-2)))</f>
        <v>2838.82</v>
      </c>
      <c r="AT157" s="439" t="n">
        <f aca="false" t="array" ref="AT157:AT157">IF($R155=2,
         IF(AND(ACOMPANHAMENTO="PLE",ISNUMBER($F155)),
                SUMIF((OFFSET(CÁLCULO!$BS$15:$CS$15,$F155,0,OFFSET(ORÇAMENTO!$D$15,CRONO!$F155,0))),CRONO!AT$12,OFFSET(CÁLCULO!$AR$15:$BR$15,$F155,0,OFFSET(ORÇAMENTO!$D$15,CRONO!$F155,0)))
                +IF(AND($F157&lt;&gt;"",$F157&lt;&gt;0),
                        SUMIF(CÁLCULO!$BS$15:$CS$205,CRONO!AT$12,CÁLCULO!$AR$15:$BR$205)/(ORÇAMENTO!$X$15-_xlfn.single(CÁLCULO.TotalAdmLocal))*CRONO!$F157,
                        0),
                 AT156*$S155),
          SUMIF(OFFSET($S157,1,0,$R155-2),($M155+1)&amp;"$",OFFSET(AT157,1,0,$R155-2)))</f>
        <v>0</v>
      </c>
      <c r="AU157" s="439" t="n">
        <f aca="false" t="array" ref="AU157:AU157">IF($R155=2,
         IF(AND(ACOMPANHAMENTO="PLE",ISNUMBER($F155)),
                SUMIF((OFFSET(CÁLCULO!$BS$15:$CS$15,$F155,0,OFFSET(ORÇAMENTO!$D$15,CRONO!$F155,0))),CRONO!AU$12,OFFSET(CÁLCULO!$AR$15:$BR$15,$F155,0,OFFSET(ORÇAMENTO!$D$15,CRONO!$F155,0)))
                +IF(AND($F157&lt;&gt;"",$F157&lt;&gt;0),
                        SUMIF(CÁLCULO!$BS$15:$CS$205,CRONO!AU$12,CÁLCULO!$AR$15:$BR$205)/(ORÇAMENTO!$X$15-_xlfn.single(CÁLCULO.TotalAdmLocal))*CRONO!$F157,
                        0),
                 AU156*$S155),
          SUMIF(OFFSET($S157,1,0,$R155-2),($M155+1)&amp;"$",OFFSET(AU157,1,0,$R155-2)))</f>
        <v>0</v>
      </c>
      <c r="AV157" s="439" t="n">
        <f aca="false" t="array" ref="AV157:AV157">IF($R155=2,
         IF(AND(ACOMPANHAMENTO="PLE",ISNUMBER($F155)),
                SUMIF((OFFSET(CÁLCULO!$BS$15:$CS$15,$F155,0,OFFSET(ORÇAMENTO!$D$15,CRONO!$F155,0))),CRONO!AV$12,OFFSET(CÁLCULO!$AR$15:$BR$15,$F155,0,OFFSET(ORÇAMENTO!$D$15,CRONO!$F155,0)))
                +IF(AND($F157&lt;&gt;"",$F157&lt;&gt;0),
                        SUMIF(CÁLCULO!$BS$15:$CS$205,CRONO!AV$12,CÁLCULO!$AR$15:$BR$205)/(ORÇAMENTO!$X$15-_xlfn.single(CÁLCULO.TotalAdmLocal))*CRONO!$F157,
                        0),
                 AV156*$S155),
          SUMIF(OFFSET($S157,1,0,$R155-2),($M155+1)&amp;"$",OFFSET(AV157,1,0,$R155-2)))</f>
        <v>0</v>
      </c>
      <c r="AW157" s="439" t="n">
        <f aca="false" t="array" ref="AW157:AW157">IF($R155=2,
         IF(AND(ACOMPANHAMENTO="PLE",ISNUMBER($F155)),
                SUMIF((OFFSET(CÁLCULO!$BS$15:$CS$15,$F155,0,OFFSET(ORÇAMENTO!$D$15,CRONO!$F155,0))),CRONO!AW$12,OFFSET(CÁLCULO!$AR$15:$BR$15,$F155,0,OFFSET(ORÇAMENTO!$D$15,CRONO!$F155,0)))
                +IF(AND($F157&lt;&gt;"",$F157&lt;&gt;0),
                        SUMIF(CÁLCULO!$BS$15:$CS$205,CRONO!AW$12,CÁLCULO!$AR$15:$BR$205)/(ORÇAMENTO!$X$15-_xlfn.single(CÁLCULO.TotalAdmLocal))*CRONO!$F157,
                        0),
                 AW156*$S155),
          SUMIF(OFFSET($S157,1,0,$R155-2),($M155+1)&amp;"$",OFFSET(AW157,1,0,$R155-2)))</f>
        <v>0</v>
      </c>
      <c r="AX157" s="439" t="n">
        <f aca="false" t="array" ref="AX157:AX157">IF($R155=2,
         IF(AND(ACOMPANHAMENTO="PLE",ISNUMBER($F155)),
                SUMIF((OFFSET(CÁLCULO!$BS$15:$CS$15,$F155,0,OFFSET(ORÇAMENTO!$D$15,CRONO!$F155,0))),CRONO!AX$12,OFFSET(CÁLCULO!$AR$15:$BR$15,$F155,0,OFFSET(ORÇAMENTO!$D$15,CRONO!$F155,0)))
                +IF(AND($F157&lt;&gt;"",$F157&lt;&gt;0),
                        SUMIF(CÁLCULO!$BS$15:$CS$205,CRONO!AX$12,CÁLCULO!$AR$15:$BR$205)/(ORÇAMENTO!$X$15-_xlfn.single(CÁLCULO.TotalAdmLocal))*CRONO!$F157,
                        0),
                 AX156*$S155),
          SUMIF(OFFSET($S157,1,0,$R155-2),($M155+1)&amp;"$",OFFSET(AX157,1,0,$R155-2)))</f>
        <v>0</v>
      </c>
      <c r="AY157" s="439" t="n">
        <f aca="false" t="array" ref="AY157:AY157">IF($R155=2,
         IF(AND(ACOMPANHAMENTO="PLE",ISNUMBER($F155)),
                SUMIF((OFFSET(CÁLCULO!$BS$15:$CS$15,$F155,0,OFFSET(ORÇAMENTO!$D$15,CRONO!$F155,0))),CRONO!AY$12,OFFSET(CÁLCULO!$AR$15:$BR$15,$F155,0,OFFSET(ORÇAMENTO!$D$15,CRONO!$F155,0)))
                +IF(AND($F157&lt;&gt;"",$F157&lt;&gt;0),
                        SUMIF(CÁLCULO!$BS$15:$CS$205,CRONO!AY$12,CÁLCULO!$AR$15:$BR$205)/(ORÇAMENTO!$X$15-_xlfn.single(CÁLCULO.TotalAdmLocal))*CRONO!$F157,
                        0),
                 AY156*$S155),
          SUMIF(OFFSET($S157,1,0,$R155-2),($M155+1)&amp;"$",OFFSET(AY157,1,0,$R155-2)))</f>
        <v>0</v>
      </c>
      <c r="AZ157" s="439" t="n">
        <f aca="false" t="array" ref="AZ157:AZ157">IF($R155=2,
         IF(AND(ACOMPANHAMENTO="PLE",ISNUMBER($F155)),
                SUMIF((OFFSET(CÁLCULO!$BS$15:$CS$15,$F155,0,OFFSET(ORÇAMENTO!$D$15,CRONO!$F155,0))),CRONO!AZ$12,OFFSET(CÁLCULO!$AR$15:$BR$15,$F155,0,OFFSET(ORÇAMENTO!$D$15,CRONO!$F155,0)))
                +IF(AND($F157&lt;&gt;"",$F157&lt;&gt;0),
                        SUMIF(CÁLCULO!$BS$15:$CS$205,CRONO!AZ$12,CÁLCULO!$AR$15:$BR$205)/(ORÇAMENTO!$X$15-_xlfn.single(CÁLCULO.TotalAdmLocal))*CRONO!$F157,
                        0),
                 AZ156*$S155),
          SUMIF(OFFSET($S157,1,0,$R155-2),($M155+1)&amp;"$",OFFSET(AZ157,1,0,$R155-2)))</f>
        <v>0</v>
      </c>
      <c r="BA157" s="439" t="n">
        <f aca="false" t="array" ref="BA157:BA157">IF($R155=2,
         IF(AND(ACOMPANHAMENTO="PLE",ISNUMBER($F155)),
                SUMIF((OFFSET(CÁLCULO!$BS$15:$CS$15,$F155,0,OFFSET(ORÇAMENTO!$D$15,CRONO!$F155,0))),CRONO!BA$12,OFFSET(CÁLCULO!$AR$15:$BR$15,$F155,0,OFFSET(ORÇAMENTO!$D$15,CRONO!$F155,0)))
                +IF(AND($F157&lt;&gt;"",$F157&lt;&gt;0),
                        SUMIF(CÁLCULO!$BS$15:$CS$205,CRONO!BA$12,CÁLCULO!$AR$15:$BR$205)/(ORÇAMENTO!$X$15-_xlfn.single(CÁLCULO.TotalAdmLocal))*CRONO!$F157,
                        0),
                 BA156*$S155),
          SUMIF(OFFSET($S157,1,0,$R155-2),($M155+1)&amp;"$",OFFSET(BA157,1,0,$R155-2)))</f>
        <v>0</v>
      </c>
      <c r="BB157" s="439" t="n">
        <f aca="false" t="array" ref="BB157:BB157">IF($R155=2,
         IF(AND(ACOMPANHAMENTO="PLE",ISNUMBER($F155)),
                SUMIF((OFFSET(CÁLCULO!$BS$15:$CS$15,$F155,0,OFFSET(ORÇAMENTO!$D$15,CRONO!$F155,0))),CRONO!BB$12,OFFSET(CÁLCULO!$AR$15:$BR$15,$F155,0,OFFSET(ORÇAMENTO!$D$15,CRONO!$F155,0)))
                +IF(AND($F157&lt;&gt;"",$F157&lt;&gt;0),
                        SUMIF(CÁLCULO!$BS$15:$CS$205,CRONO!BB$12,CÁLCULO!$AR$15:$BR$205)/(ORÇAMENTO!$X$15-_xlfn.single(CÁLCULO.TotalAdmLocal))*CRONO!$F157,
                        0),
                 BB156*$S155),
          SUMIF(OFFSET($S157,1,0,$R155-2),($M155+1)&amp;"$",OFFSET(BB157,1,0,$R155-2)))</f>
        <v>0</v>
      </c>
      <c r="BC157" s="439" t="n">
        <f aca="false" t="array" ref="BC157:BC157">IF($R155=2,
         IF(AND(ACOMPANHAMENTO="PLE",ISNUMBER($F155)),
                SUMIF((OFFSET(CÁLCULO!$BS$15:$CS$15,$F155,0,OFFSET(ORÇAMENTO!$D$15,CRONO!$F155,0))),CRONO!BC$12,OFFSET(CÁLCULO!$AR$15:$BR$15,$F155,0,OFFSET(ORÇAMENTO!$D$15,CRONO!$F155,0)))
                +IF(AND($F157&lt;&gt;"",$F157&lt;&gt;0),
                        SUMIF(CÁLCULO!$BS$15:$CS$205,CRONO!BC$12,CÁLCULO!$AR$15:$BR$205)/(ORÇAMENTO!$X$15-_xlfn.single(CÁLCULO.TotalAdmLocal))*CRONO!$F157,
                        0),
                 BC156*$S155),
          SUMIF(OFFSET($S157,1,0,$R155-2),($M155+1)&amp;"$",OFFSET(BC157,1,0,$R155-2)))</f>
        <v>0</v>
      </c>
      <c r="BD157" s="439" t="n">
        <f aca="false" t="array" ref="BD157:BD157">IF($R155=2,
         IF(AND(ACOMPANHAMENTO="PLE",ISNUMBER($F155)),
                SUMIF((OFFSET(CÁLCULO!$BS$15:$CS$15,$F155,0,OFFSET(ORÇAMENTO!$D$15,CRONO!$F155,0))),CRONO!BD$12,OFFSET(CÁLCULO!$AR$15:$BR$15,$F155,0,OFFSET(ORÇAMENTO!$D$15,CRONO!$F155,0)))
                +IF(AND($F157&lt;&gt;"",$F157&lt;&gt;0),
                        SUMIF(CÁLCULO!$BS$15:$CS$205,CRONO!BD$12,CÁLCULO!$AR$15:$BR$205)/(ORÇAMENTO!$X$15-_xlfn.single(CÁLCULO.TotalAdmLocal))*CRONO!$F157,
                        0),
                 BD156*$S155),
          SUMIF(OFFSET($S157,1,0,$R155-2),($M155+1)&amp;"$",OFFSET(BD157,1,0,$R155-2)))</f>
        <v>0</v>
      </c>
      <c r="BE157" s="430"/>
    </row>
    <row r="158" customFormat="false" ht="12.75" hidden="true" customHeight="false" outlineLevel="0" collapsed="false">
      <c r="A158" s="382" t="str">
        <f aca="false">IF($M158&gt;1,_xlfn.CONCAT($I158," ",$J158),"")</f>
        <v>1.48. ELEVADORES / BOMBAS</v>
      </c>
      <c r="B158" s="419" t="n">
        <f aca="true">OFFSET(B158,-3,0)+1</f>
        <v>49</v>
      </c>
      <c r="C158" s="419" t="n">
        <f aca="true">IF($R158&lt;&gt;2,0,IF($S158=0,1,IF(F159&gt;0,OFFSET(QCI!$M$13,SUBSTITUTE(F159,".",""),0),OFFSET(ORÇAMENTO!$AA$15,CRONO!$F158,0))/$S158))</f>
        <v>1</v>
      </c>
      <c r="D158" s="419" t="n">
        <f aca="true">IF($R158&lt;&gt;2,0,IF($S158=0,1,IF(F159&gt;0,OFFSET(QCI!$N$13,SUBSTITUTE(F159,".",""),0),OFFSET(ORÇAMENTO!$AB$15,CRONO!$F158,0))/$S158))</f>
        <v>1</v>
      </c>
      <c r="E158" s="422" t="e">
        <f aca="false" t="array" ref="E158:E158">IF(AND($R158=2,ACOMPANHAMENTO="BM"),ROUND(E159,4),E160/$S158)</f>
        <v>#DIV/0!</v>
      </c>
      <c r="F158" s="419" t="n">
        <f aca="true">IF(B158&lt;=ORÇAMENTO.MáximoListaCrono,MATCH(B158,ORÇAMENTO.ListaCrono,0),NA())</f>
        <v>181</v>
      </c>
      <c r="G158" s="419" t="str">
        <f aca="false">IF(AND($F159&lt;&gt;-1,$S158&gt;0),"F","")</f>
        <v/>
      </c>
      <c r="H158" s="423" t="str">
        <f aca="false" t="array" ref="H158:H158">IF(OR(S158=0,S158=""),"Linha",IF(AND(OR(ACOMPANHAMENTO="PLE",$R158&lt;&gt;2),$F159=0),"Linha",ROUND(1-SUM(U158:BE158),4)))</f>
        <v>Linha</v>
      </c>
      <c r="I158" s="424" t="str">
        <f aca="true">IF($F159=0,OFFSET(ORÇAMENTO!O$15,$F158,0),IF($F159&lt;&gt;-1,OFFSET(QCI!$D$13,$F159,0),""))</f>
        <v>1.48.</v>
      </c>
      <c r="J158" s="425" t="str">
        <f aca="true">IF($F159=0,OFFSET(ORÇAMENTO!R$15,$F158,0),IF($F159&lt;&gt;-1,OFFSET(QCI!$G$13,$F159,0),""))</f>
        <v>ELEVADORES / BOMBAS</v>
      </c>
      <c r="K158" s="425"/>
      <c r="L158" s="425"/>
      <c r="M158" s="426" t="n">
        <f aca="true">IF($F159=0,OFFSET(ORÇAMENTO!C$15,$F158,0),1)</f>
        <v>2</v>
      </c>
      <c r="N158" s="427" t="n">
        <f aca="true">IF($F159=-1,0,IF(N$13&lt;=$M158,IF(ISERROR(MATCH(N$13,OFFSET($M158,1,0,ROW($M$182)-ROW($M158)-1),0)),ROW($M$182)-ROW($M158)-1,MATCH(N$13,OFFSET($M158,1,0,ROW($M$182)-ROW($M158)-1),0)-1),0))</f>
        <v>23</v>
      </c>
      <c r="O158" s="427" t="n">
        <f aca="true">IF($F159=-1,0,IF(O$13&lt;=$M158,IF(ISERROR(MATCH(O$13,OFFSET($M158,1,0,ROW($M$182)-ROW($M158)-1),0)),ROW($M$182)-ROW($M158)-1,MATCH(O$13,OFFSET($M158,1,0,ROW($M$182)-ROW($M158)-1),0)-1),0))</f>
        <v>2</v>
      </c>
      <c r="P158" s="427" t="n">
        <f aca="true">IF($F159=-1,0,IF(P$13&lt;=$M158,IF(ISERROR(MATCH(P$13,OFFSET($M158,1,0,ROW($M$182)-ROW($M158)-1),0)),ROW($M$182)-ROW($M158)-1,MATCH(P$13,OFFSET($M158,1,0,ROW($M$182)-ROW($M158)-1),0)-1),0))</f>
        <v>0</v>
      </c>
      <c r="Q158" s="427" t="n">
        <f aca="true">IF($F159=-1,0,IF(Q$13&lt;=$M158,IF(ISERROR(MATCH(Q$13,OFFSET($M158,1,0,ROW($M$182)-ROW($M158)-1),0)),ROW($M$182)-ROW($M158)-1,MATCH(Q$13,OFFSET($M158,1,0,ROW($M$182)-ROW($M158)-1),0)-1),0))</f>
        <v>0</v>
      </c>
      <c r="R158" s="427" t="n">
        <f aca="true">MIN(OFFSET(M158,0,1,,M158))</f>
        <v>2</v>
      </c>
      <c r="S158" s="428" t="n">
        <f aca="true">IF($F159=0,OFFSET(ORÇAMENTO!X$15,$F158,0),IF($F159&lt;&gt;-1,OFFSET(QCI!$O$13,$F159,0),""))</f>
        <v>0</v>
      </c>
      <c r="T158" s="429" t="s">
        <v>996</v>
      </c>
      <c r="U158" s="422" t="e">
        <f aca="false" t="array" ref="U158:U158">IF(AND($R158=2,ACOMPANHAMENTO="BM"),ROUND(U159,4),U160/$S158)</f>
        <v>#DIV/0!</v>
      </c>
      <c r="V158" s="422" t="e">
        <f aca="false" t="array" ref="V158:V158">IF(AND($R158=2,ACOMPANHAMENTO="BM"),ROUND(V159,4),V160/$S158)</f>
        <v>#DIV/0!</v>
      </c>
      <c r="W158" s="422" t="e">
        <f aca="false" t="array" ref="W158:W158">IF(AND($R158=2,ACOMPANHAMENTO="BM"),ROUND(W159,4),W160/$S158)</f>
        <v>#DIV/0!</v>
      </c>
      <c r="X158" s="422" t="e">
        <f aca="false" t="array" ref="X158:X158">IF(AND($R158=2,ACOMPANHAMENTO="BM"),ROUND(X159,4),X160/$S158)</f>
        <v>#DIV/0!</v>
      </c>
      <c r="Y158" s="422" t="e">
        <f aca="false" t="array" ref="Y158:Y158">IF(AND($R158=2,ACOMPANHAMENTO="BM"),ROUND(Y159,4),Y160/$S158)</f>
        <v>#DIV/0!</v>
      </c>
      <c r="Z158" s="422" t="e">
        <f aca="false" t="array" ref="Z158:Z158">IF(AND($R158=2,ACOMPANHAMENTO="BM"),ROUND(Z159,4),Z160/$S158)</f>
        <v>#DIV/0!</v>
      </c>
      <c r="AA158" s="422" t="e">
        <f aca="false" t="array" ref="AA158:AA158">IF(AND($R158=2,ACOMPANHAMENTO="BM"),ROUND(AA159,4),AA160/$S158)</f>
        <v>#DIV/0!</v>
      </c>
      <c r="AB158" s="422" t="e">
        <f aca="false" t="array" ref="AB158:AB158">IF(AND($R158=2,ACOMPANHAMENTO="BM"),ROUND(AB159,4),AB160/$S158)</f>
        <v>#DIV/0!</v>
      </c>
      <c r="AC158" s="422" t="e">
        <f aca="false" t="array" ref="AC158:AC158">IF(AND($R158=2,ACOMPANHAMENTO="BM"),ROUND(AC159,4),AC160/$S158)</f>
        <v>#DIV/0!</v>
      </c>
      <c r="AD158" s="422" t="e">
        <f aca="false" t="array" ref="AD158:AD158">IF(AND($R158=2,ACOMPANHAMENTO="BM"),ROUND(AD159,4),AD160/$S158)</f>
        <v>#DIV/0!</v>
      </c>
      <c r="AE158" s="422" t="e">
        <f aca="false" t="array" ref="AE158:AE158">IF(AND($R158=2,ACOMPANHAMENTO="BM"),ROUND(AE159,4),AE160/$S158)</f>
        <v>#DIV/0!</v>
      </c>
      <c r="AF158" s="422" t="e">
        <f aca="false" t="array" ref="AF158:AF158">IF(AND($R158=2,ACOMPANHAMENTO="BM"),ROUND(AF159,4),AF160/$S158)</f>
        <v>#DIV/0!</v>
      </c>
      <c r="AG158" s="422" t="e">
        <f aca="false" t="array" ref="AG158:AG158">IF(AND($R158=2,ACOMPANHAMENTO="BM"),ROUND(AG159,4),AG160/$S158)</f>
        <v>#DIV/0!</v>
      </c>
      <c r="AH158" s="422" t="e">
        <f aca="false" t="array" ref="AH158:AH158">IF(AND($R158=2,ACOMPANHAMENTO="BM"),ROUND(AH159,4),AH160/$S158)</f>
        <v>#DIV/0!</v>
      </c>
      <c r="AI158" s="422" t="e">
        <f aca="false" t="array" ref="AI158:AI158">IF(AND($R158=2,ACOMPANHAMENTO="BM"),ROUND(AI159,4),AI160/$S158)</f>
        <v>#DIV/0!</v>
      </c>
      <c r="AJ158" s="422" t="e">
        <f aca="false" t="array" ref="AJ158:AJ158">IF(AND($R158=2,ACOMPANHAMENTO="BM"),ROUND(AJ159,4),AJ160/$S158)</f>
        <v>#DIV/0!</v>
      </c>
      <c r="AK158" s="422" t="e">
        <f aca="false" t="array" ref="AK158:AK158">IF(AND($R158=2,ACOMPANHAMENTO="BM"),ROUND(AK159,4),AK160/$S158)</f>
        <v>#DIV/0!</v>
      </c>
      <c r="AL158" s="422" t="e">
        <f aca="false" t="array" ref="AL158:AL158">IF(AND($R158=2,ACOMPANHAMENTO="BM"),ROUND(AL159,4),AL160/$S158)</f>
        <v>#DIV/0!</v>
      </c>
      <c r="AM158" s="422" t="e">
        <f aca="false" t="array" ref="AM158:AM158">IF(AND($R158=2,ACOMPANHAMENTO="BM"),ROUND(AM159,4),AM160/$S158)</f>
        <v>#DIV/0!</v>
      </c>
      <c r="AN158" s="422" t="e">
        <f aca="false" t="array" ref="AN158:AN158">IF(AND($R158=2,ACOMPANHAMENTO="BM"),ROUND(AN159,4),AN160/$S158)</f>
        <v>#DIV/0!</v>
      </c>
      <c r="AO158" s="422" t="e">
        <f aca="false" t="array" ref="AO158:AO158">IF(AND($R158=2,ACOMPANHAMENTO="BM"),ROUND(AO159,4),AO160/$S158)</f>
        <v>#DIV/0!</v>
      </c>
      <c r="AP158" s="422" t="e">
        <f aca="false" t="array" ref="AP158:AP158">IF(AND($R158=2,ACOMPANHAMENTO="BM"),ROUND(AP159,4),AP160/$S158)</f>
        <v>#DIV/0!</v>
      </c>
      <c r="AQ158" s="422" t="e">
        <f aca="false" t="array" ref="AQ158:AQ158">IF(AND($R158=2,ACOMPANHAMENTO="BM"),ROUND(AQ159,4),AQ160/$S158)</f>
        <v>#DIV/0!</v>
      </c>
      <c r="AR158" s="422" t="e">
        <f aca="false" t="array" ref="AR158:AR158">IF(AND($R158=2,ACOMPANHAMENTO="BM"),ROUND(AR159,4),AR160/$S158)</f>
        <v>#DIV/0!</v>
      </c>
      <c r="AS158" s="422" t="e">
        <f aca="false" t="array" ref="AS158:AS158">IF(AND($R158=2,ACOMPANHAMENTO="BM"),ROUND(AS159,4),AS160/$S158)</f>
        <v>#DIV/0!</v>
      </c>
      <c r="AT158" s="422" t="e">
        <f aca="false" t="array" ref="AT158:AT158">IF(AND($R158=2,ACOMPANHAMENTO="BM"),ROUND(AT159,4),AT160/$S158)</f>
        <v>#DIV/0!</v>
      </c>
      <c r="AU158" s="422" t="e">
        <f aca="false" t="array" ref="AU158:AU158">IF(AND($R158=2,ACOMPANHAMENTO="BM"),ROUND(AU159,4),AU160/$S158)</f>
        <v>#DIV/0!</v>
      </c>
      <c r="AV158" s="422" t="e">
        <f aca="false" t="array" ref="AV158:AV158">IF(AND($R158=2,ACOMPANHAMENTO="BM"),ROUND(AV159,4),AV160/$S158)</f>
        <v>#DIV/0!</v>
      </c>
      <c r="AW158" s="422" t="e">
        <f aca="false" t="array" ref="AW158:AW158">IF(AND($R158=2,ACOMPANHAMENTO="BM"),ROUND(AW159,4),AW160/$S158)</f>
        <v>#DIV/0!</v>
      </c>
      <c r="AX158" s="422" t="e">
        <f aca="false" t="array" ref="AX158:AX158">IF(AND($R158=2,ACOMPANHAMENTO="BM"),ROUND(AX159,4),AX160/$S158)</f>
        <v>#DIV/0!</v>
      </c>
      <c r="AY158" s="422" t="e">
        <f aca="false" t="array" ref="AY158:AY158">IF(AND($R158=2,ACOMPANHAMENTO="BM"),ROUND(AY159,4),AY160/$S158)</f>
        <v>#DIV/0!</v>
      </c>
      <c r="AZ158" s="422" t="e">
        <f aca="false" t="array" ref="AZ158:AZ158">IF(AND($R158=2,ACOMPANHAMENTO="BM"),ROUND(AZ159,4),AZ160/$S158)</f>
        <v>#DIV/0!</v>
      </c>
      <c r="BA158" s="422" t="e">
        <f aca="false" t="array" ref="BA158:BA158">IF(AND($R158=2,ACOMPANHAMENTO="BM"),ROUND(BA159,4),BA160/$S158)</f>
        <v>#DIV/0!</v>
      </c>
      <c r="BB158" s="422" t="e">
        <f aca="false" t="array" ref="BB158:BB158">IF(AND($R158=2,ACOMPANHAMENTO="BM"),ROUND(BB159,4),BB160/$S158)</f>
        <v>#DIV/0!</v>
      </c>
      <c r="BC158" s="422" t="e">
        <f aca="false" t="array" ref="BC158:BC158">IF(AND($R158=2,ACOMPANHAMENTO="BM"),ROUND(BC159,4),BC160/$S158)</f>
        <v>#DIV/0!</v>
      </c>
      <c r="BD158" s="422" t="e">
        <f aca="false" t="array" ref="BD158:BD158">IF(AND($R158=2,ACOMPANHAMENTO="BM"),ROUND(BD159,4),BD160/$S158)</f>
        <v>#DIV/0!</v>
      </c>
      <c r="BE158" s="430"/>
    </row>
    <row r="159" customFormat="false" ht="12.75" hidden="true" customHeight="true" outlineLevel="0" collapsed="false">
      <c r="E159" s="431"/>
      <c r="F159" s="419" t="n">
        <f aca="true">IF(ISERROR(F158),IF(1+COUNTIF($M$13:OFFSET(M158,-1,0),1)&lt;=MAX(QCI!$D$13:$D$15),1+COUNTIF($M$13:OFFSET(M158,-1,0),1),-1),0)</f>
        <v>0</v>
      </c>
      <c r="G159" s="419" t="str">
        <f aca="true" t="array" ref="G159:G159">IF(ACOMPANHAMENTO="BM",OFFSET(G159,-1,0),"")</f>
        <v/>
      </c>
      <c r="H159" s="432" t="str">
        <f aca="false" t="array" ref="H159:H159">IF(OR(S158=0,S158=""),"vazia",IF(AND(OR(ACOMPANHAMENTO="PLE",$R158&lt;&gt;2),$F159=0),"calculada","--&gt;"))</f>
        <v>vazia</v>
      </c>
      <c r="I159" s="433"/>
      <c r="J159" s="434" t="str">
        <f aca="false">IF(AND(H158&lt;&gt;0,ISNUMBER(H158)),"PREENCHA ESTA LINHA --&gt;","")</f>
        <v/>
      </c>
      <c r="K159" s="434"/>
      <c r="L159" s="434"/>
      <c r="M159" s="435"/>
      <c r="N159" s="435"/>
      <c r="O159" s="435"/>
      <c r="P159" s="435"/>
      <c r="Q159" s="435"/>
      <c r="R159" s="435"/>
      <c r="S159" s="436"/>
      <c r="T159" s="437"/>
      <c r="U159" s="431"/>
      <c r="V159" s="431"/>
      <c r="W159" s="431"/>
      <c r="X159" s="431"/>
      <c r="Y159" s="431"/>
      <c r="Z159" s="431"/>
      <c r="AA159" s="431"/>
      <c r="AB159" s="431"/>
      <c r="AC159" s="431"/>
      <c r="AD159" s="431"/>
      <c r="AE159" s="431"/>
      <c r="AF159" s="431"/>
      <c r="AG159" s="431"/>
      <c r="AH159" s="431"/>
      <c r="AI159" s="431"/>
      <c r="AJ159" s="431"/>
      <c r="AK159" s="431"/>
      <c r="AL159" s="431"/>
      <c r="AM159" s="431"/>
      <c r="AN159" s="431"/>
      <c r="AO159" s="431"/>
      <c r="AP159" s="431"/>
      <c r="AQ159" s="431"/>
      <c r="AR159" s="431"/>
      <c r="AS159" s="431"/>
      <c r="AT159" s="431"/>
      <c r="AU159" s="431"/>
      <c r="AV159" s="431"/>
      <c r="AW159" s="431"/>
      <c r="AX159" s="431"/>
      <c r="AY159" s="431"/>
      <c r="AZ159" s="431"/>
      <c r="BA159" s="431"/>
      <c r="BB159" s="431"/>
      <c r="BC159" s="431"/>
      <c r="BD159" s="431"/>
      <c r="BE159" s="430"/>
    </row>
    <row r="160" customFormat="false" ht="12.75" hidden="true" customHeight="true" outlineLevel="0" collapsed="false">
      <c r="D160" s="438"/>
      <c r="E160" s="439" t="n">
        <f aca="false" t="array" ref="E160:E160">IF($R158=2,
         IF(AND(ACOMPANHAMENTO="PLE",ISNUMBER($F158)),
                SUMIF((OFFSET(CÁLCULO!$BS$15:$CS$15,$F158,0,OFFSET(ORÇAMENTO!$D$15,CRONO!$F158,0))),CRONO!E$12,OFFSET(CÁLCULO!$AR$15:$BR$15,$F158,0,OFFSET(ORÇAMENTO!$D$15,CRONO!$F158,0)))
                +IF(AND($F160&lt;&gt;"",$F160&lt;&gt;0),
                        SUMIF(CÁLCULO!$BS$15:$CS$205,CRONO!E$12,CÁLCULO!$AR$15:$BR$205)/(ORÇAMENTO!$X$15-_xlfn.single(CÁLCULO.TotalAdmLocal))*CRONO!$F160,
                        0),
                 E159*$S158),
          SUMIF(OFFSET($S160,1,0,$R158-2),($M158+1)&amp;"$",OFFSET(E160,1,0,$R158-2)))</f>
        <v>0</v>
      </c>
      <c r="F160" s="419" t="str">
        <f aca="true">IF(OR($R158&lt;&gt;2,AUTOEVENTO&lt;&gt;"manual",$F159&gt;0),"",
        IF(Import.TipoArredondamento="Tradicional",
              SUMIF(OFFSET(CÁLCULO!$M$15,CRONO!$F158,0,OFFSET(ORÇAMENTO!$D$15,CRONO!$F158,0)),1,OFFSET(ORÇAMENTO!$X$15,CRONO!$F158,0,OFFSET(ORÇAMENTO!$D$15,CRONO!$F158,0))),
              0))</f>
        <v/>
      </c>
      <c r="H160" s="440"/>
      <c r="S160" s="441" t="str">
        <f aca="false">M158&amp;"$"</f>
        <v>2$</v>
      </c>
      <c r="T160" s="442"/>
      <c r="U160" s="439" t="n">
        <f aca="false" t="array" ref="U160:U160">IF($R158=2,
         IF(AND(ACOMPANHAMENTO="PLE",ISNUMBER($F158)),
                SUMIF((OFFSET(CÁLCULO!$BS$15:$CS$15,$F158,0,OFFSET(ORÇAMENTO!$D$15,CRONO!$F158,0))),CRONO!U$12,OFFSET(CÁLCULO!$AR$15:$BR$15,$F158,0,OFFSET(ORÇAMENTO!$D$15,CRONO!$F158,0)))
                +IF(AND($F160&lt;&gt;"",$F160&lt;&gt;0),
                        SUMIF(CÁLCULO!$BS$15:$CS$205,CRONO!U$12,CÁLCULO!$AR$15:$BR$205)/(ORÇAMENTO!$X$15-_xlfn.single(CÁLCULO.TotalAdmLocal))*CRONO!$F160,
                        0),
                 U159*$S158),
          SUMIF(OFFSET($S160,1,0,$R158-2),($M158+1)&amp;"$",OFFSET(U160,1,0,$R158-2)))</f>
        <v>0</v>
      </c>
      <c r="V160" s="439" t="n">
        <f aca="false" t="array" ref="V160:V160">IF($R158=2,
         IF(AND(ACOMPANHAMENTO="PLE",ISNUMBER($F158)),
                SUMIF((OFFSET(CÁLCULO!$BS$15:$CS$15,$F158,0,OFFSET(ORÇAMENTO!$D$15,CRONO!$F158,0))),CRONO!V$12,OFFSET(CÁLCULO!$AR$15:$BR$15,$F158,0,OFFSET(ORÇAMENTO!$D$15,CRONO!$F158,0)))
                +IF(AND($F160&lt;&gt;"",$F160&lt;&gt;0),
                        SUMIF(CÁLCULO!$BS$15:$CS$205,CRONO!V$12,CÁLCULO!$AR$15:$BR$205)/(ORÇAMENTO!$X$15-_xlfn.single(CÁLCULO.TotalAdmLocal))*CRONO!$F160,
                        0),
                 V159*$S158),
          SUMIF(OFFSET($S160,1,0,$R158-2),($M158+1)&amp;"$",OFFSET(V160,1,0,$R158-2)))</f>
        <v>0</v>
      </c>
      <c r="W160" s="439" t="n">
        <f aca="false" t="array" ref="W160:W160">IF($R158=2,
         IF(AND(ACOMPANHAMENTO="PLE",ISNUMBER($F158)),
                SUMIF((OFFSET(CÁLCULO!$BS$15:$CS$15,$F158,0,OFFSET(ORÇAMENTO!$D$15,CRONO!$F158,0))),CRONO!W$12,OFFSET(CÁLCULO!$AR$15:$BR$15,$F158,0,OFFSET(ORÇAMENTO!$D$15,CRONO!$F158,0)))
                +IF(AND($F160&lt;&gt;"",$F160&lt;&gt;0),
                        SUMIF(CÁLCULO!$BS$15:$CS$205,CRONO!W$12,CÁLCULO!$AR$15:$BR$205)/(ORÇAMENTO!$X$15-_xlfn.single(CÁLCULO.TotalAdmLocal))*CRONO!$F160,
                        0),
                 W159*$S158),
          SUMIF(OFFSET($S160,1,0,$R158-2),($M158+1)&amp;"$",OFFSET(W160,1,0,$R158-2)))</f>
        <v>0</v>
      </c>
      <c r="X160" s="439" t="n">
        <f aca="false" t="array" ref="X160:X160">IF($R158=2,
         IF(AND(ACOMPANHAMENTO="PLE",ISNUMBER($F158)),
                SUMIF((OFFSET(CÁLCULO!$BS$15:$CS$15,$F158,0,OFFSET(ORÇAMENTO!$D$15,CRONO!$F158,0))),CRONO!X$12,OFFSET(CÁLCULO!$AR$15:$BR$15,$F158,0,OFFSET(ORÇAMENTO!$D$15,CRONO!$F158,0)))
                +IF(AND($F160&lt;&gt;"",$F160&lt;&gt;0),
                        SUMIF(CÁLCULO!$BS$15:$CS$205,CRONO!X$12,CÁLCULO!$AR$15:$BR$205)/(ORÇAMENTO!$X$15-_xlfn.single(CÁLCULO.TotalAdmLocal))*CRONO!$F160,
                        0),
                 X159*$S158),
          SUMIF(OFFSET($S160,1,0,$R158-2),($M158+1)&amp;"$",OFFSET(X160,1,0,$R158-2)))</f>
        <v>0</v>
      </c>
      <c r="Y160" s="439" t="n">
        <f aca="false" t="array" ref="Y160:Y160">IF($R158=2,
         IF(AND(ACOMPANHAMENTO="PLE",ISNUMBER($F158)),
                SUMIF((OFFSET(CÁLCULO!$BS$15:$CS$15,$F158,0,OFFSET(ORÇAMENTO!$D$15,CRONO!$F158,0))),CRONO!Y$12,OFFSET(CÁLCULO!$AR$15:$BR$15,$F158,0,OFFSET(ORÇAMENTO!$D$15,CRONO!$F158,0)))
                +IF(AND($F160&lt;&gt;"",$F160&lt;&gt;0),
                        SUMIF(CÁLCULO!$BS$15:$CS$205,CRONO!Y$12,CÁLCULO!$AR$15:$BR$205)/(ORÇAMENTO!$X$15-_xlfn.single(CÁLCULO.TotalAdmLocal))*CRONO!$F160,
                        0),
                 Y159*$S158),
          SUMIF(OFFSET($S160,1,0,$R158-2),($M158+1)&amp;"$",OFFSET(Y160,1,0,$R158-2)))</f>
        <v>0</v>
      </c>
      <c r="Z160" s="439" t="n">
        <f aca="false" t="array" ref="Z160:Z160">IF($R158=2,
         IF(AND(ACOMPANHAMENTO="PLE",ISNUMBER($F158)),
                SUMIF((OFFSET(CÁLCULO!$BS$15:$CS$15,$F158,0,OFFSET(ORÇAMENTO!$D$15,CRONO!$F158,0))),CRONO!Z$12,OFFSET(CÁLCULO!$AR$15:$BR$15,$F158,0,OFFSET(ORÇAMENTO!$D$15,CRONO!$F158,0)))
                +IF(AND($F160&lt;&gt;"",$F160&lt;&gt;0),
                        SUMIF(CÁLCULO!$BS$15:$CS$205,CRONO!Z$12,CÁLCULO!$AR$15:$BR$205)/(ORÇAMENTO!$X$15-_xlfn.single(CÁLCULO.TotalAdmLocal))*CRONO!$F160,
                        0),
                 Z159*$S158),
          SUMIF(OFFSET($S160,1,0,$R158-2),($M158+1)&amp;"$",OFFSET(Z160,1,0,$R158-2)))</f>
        <v>0</v>
      </c>
      <c r="AA160" s="439" t="n">
        <f aca="false" t="array" ref="AA160:AA160">IF($R158=2,
         IF(AND(ACOMPANHAMENTO="PLE",ISNUMBER($F158)),
                SUMIF((OFFSET(CÁLCULO!$BS$15:$CS$15,$F158,0,OFFSET(ORÇAMENTO!$D$15,CRONO!$F158,0))),CRONO!AA$12,OFFSET(CÁLCULO!$AR$15:$BR$15,$F158,0,OFFSET(ORÇAMENTO!$D$15,CRONO!$F158,0)))
                +IF(AND($F160&lt;&gt;"",$F160&lt;&gt;0),
                        SUMIF(CÁLCULO!$BS$15:$CS$205,CRONO!AA$12,CÁLCULO!$AR$15:$BR$205)/(ORÇAMENTO!$X$15-_xlfn.single(CÁLCULO.TotalAdmLocal))*CRONO!$F160,
                        0),
                 AA159*$S158),
          SUMIF(OFFSET($S160,1,0,$R158-2),($M158+1)&amp;"$",OFFSET(AA160,1,0,$R158-2)))</f>
        <v>0</v>
      </c>
      <c r="AB160" s="439" t="n">
        <f aca="false" t="array" ref="AB160:AB160">IF($R158=2,
         IF(AND(ACOMPANHAMENTO="PLE",ISNUMBER($F158)),
                SUMIF((OFFSET(CÁLCULO!$BS$15:$CS$15,$F158,0,OFFSET(ORÇAMENTO!$D$15,CRONO!$F158,0))),CRONO!AB$12,OFFSET(CÁLCULO!$AR$15:$BR$15,$F158,0,OFFSET(ORÇAMENTO!$D$15,CRONO!$F158,0)))
                +IF(AND($F160&lt;&gt;"",$F160&lt;&gt;0),
                        SUMIF(CÁLCULO!$BS$15:$CS$205,CRONO!AB$12,CÁLCULO!$AR$15:$BR$205)/(ORÇAMENTO!$X$15-_xlfn.single(CÁLCULO.TotalAdmLocal))*CRONO!$F160,
                        0),
                 AB159*$S158),
          SUMIF(OFFSET($S160,1,0,$R158-2),($M158+1)&amp;"$",OFFSET(AB160,1,0,$R158-2)))</f>
        <v>0</v>
      </c>
      <c r="AC160" s="439" t="n">
        <f aca="false" t="array" ref="AC160:AC160">IF($R158=2,
         IF(AND(ACOMPANHAMENTO="PLE",ISNUMBER($F158)),
                SUMIF((OFFSET(CÁLCULO!$BS$15:$CS$15,$F158,0,OFFSET(ORÇAMENTO!$D$15,CRONO!$F158,0))),CRONO!AC$12,OFFSET(CÁLCULO!$AR$15:$BR$15,$F158,0,OFFSET(ORÇAMENTO!$D$15,CRONO!$F158,0)))
                +IF(AND($F160&lt;&gt;"",$F160&lt;&gt;0),
                        SUMIF(CÁLCULO!$BS$15:$CS$205,CRONO!AC$12,CÁLCULO!$AR$15:$BR$205)/(ORÇAMENTO!$X$15-_xlfn.single(CÁLCULO.TotalAdmLocal))*CRONO!$F160,
                        0),
                 AC159*$S158),
          SUMIF(OFFSET($S160,1,0,$R158-2),($M158+1)&amp;"$",OFFSET(AC160,1,0,$R158-2)))</f>
        <v>0</v>
      </c>
      <c r="AD160" s="439" t="n">
        <f aca="false" t="array" ref="AD160:AD160">IF($R158=2,
         IF(AND(ACOMPANHAMENTO="PLE",ISNUMBER($F158)),
                SUMIF((OFFSET(CÁLCULO!$BS$15:$CS$15,$F158,0,OFFSET(ORÇAMENTO!$D$15,CRONO!$F158,0))),CRONO!AD$12,OFFSET(CÁLCULO!$AR$15:$BR$15,$F158,0,OFFSET(ORÇAMENTO!$D$15,CRONO!$F158,0)))
                +IF(AND($F160&lt;&gt;"",$F160&lt;&gt;0),
                        SUMIF(CÁLCULO!$BS$15:$CS$205,CRONO!AD$12,CÁLCULO!$AR$15:$BR$205)/(ORÇAMENTO!$X$15-_xlfn.single(CÁLCULO.TotalAdmLocal))*CRONO!$F160,
                        0),
                 AD159*$S158),
          SUMIF(OFFSET($S160,1,0,$R158-2),($M158+1)&amp;"$",OFFSET(AD160,1,0,$R158-2)))</f>
        <v>0</v>
      </c>
      <c r="AE160" s="439" t="n">
        <f aca="false" t="array" ref="AE160:AE160">IF($R158=2,
         IF(AND(ACOMPANHAMENTO="PLE",ISNUMBER($F158)),
                SUMIF((OFFSET(CÁLCULO!$BS$15:$CS$15,$F158,0,OFFSET(ORÇAMENTO!$D$15,CRONO!$F158,0))),CRONO!AE$12,OFFSET(CÁLCULO!$AR$15:$BR$15,$F158,0,OFFSET(ORÇAMENTO!$D$15,CRONO!$F158,0)))
                +IF(AND($F160&lt;&gt;"",$F160&lt;&gt;0),
                        SUMIF(CÁLCULO!$BS$15:$CS$205,CRONO!AE$12,CÁLCULO!$AR$15:$BR$205)/(ORÇAMENTO!$X$15-_xlfn.single(CÁLCULO.TotalAdmLocal))*CRONO!$F160,
                        0),
                 AE159*$S158),
          SUMIF(OFFSET($S160,1,0,$R158-2),($M158+1)&amp;"$",OFFSET(AE160,1,0,$R158-2)))</f>
        <v>0</v>
      </c>
      <c r="AF160" s="439" t="n">
        <f aca="false" t="array" ref="AF160:AF160">IF($R158=2,
         IF(AND(ACOMPANHAMENTO="PLE",ISNUMBER($F158)),
                SUMIF((OFFSET(CÁLCULO!$BS$15:$CS$15,$F158,0,OFFSET(ORÇAMENTO!$D$15,CRONO!$F158,0))),CRONO!AF$12,OFFSET(CÁLCULO!$AR$15:$BR$15,$F158,0,OFFSET(ORÇAMENTO!$D$15,CRONO!$F158,0)))
                +IF(AND($F160&lt;&gt;"",$F160&lt;&gt;0),
                        SUMIF(CÁLCULO!$BS$15:$CS$205,CRONO!AF$12,CÁLCULO!$AR$15:$BR$205)/(ORÇAMENTO!$X$15-_xlfn.single(CÁLCULO.TotalAdmLocal))*CRONO!$F160,
                        0),
                 AF159*$S158),
          SUMIF(OFFSET($S160,1,0,$R158-2),($M158+1)&amp;"$",OFFSET(AF160,1,0,$R158-2)))</f>
        <v>0</v>
      </c>
      <c r="AG160" s="439" t="n">
        <f aca="false" t="array" ref="AG160:AG160">IF($R158=2,
         IF(AND(ACOMPANHAMENTO="PLE",ISNUMBER($F158)),
                SUMIF((OFFSET(CÁLCULO!$BS$15:$CS$15,$F158,0,OFFSET(ORÇAMENTO!$D$15,CRONO!$F158,0))),CRONO!AG$12,OFFSET(CÁLCULO!$AR$15:$BR$15,$F158,0,OFFSET(ORÇAMENTO!$D$15,CRONO!$F158,0)))
                +IF(AND($F160&lt;&gt;"",$F160&lt;&gt;0),
                        SUMIF(CÁLCULO!$BS$15:$CS$205,CRONO!AG$12,CÁLCULO!$AR$15:$BR$205)/(ORÇAMENTO!$X$15-_xlfn.single(CÁLCULO.TotalAdmLocal))*CRONO!$F160,
                        0),
                 AG159*$S158),
          SUMIF(OFFSET($S160,1,0,$R158-2),($M158+1)&amp;"$",OFFSET(AG160,1,0,$R158-2)))</f>
        <v>0</v>
      </c>
      <c r="AH160" s="439" t="n">
        <f aca="false" t="array" ref="AH160:AH160">IF($R158=2,
         IF(AND(ACOMPANHAMENTO="PLE",ISNUMBER($F158)),
                SUMIF((OFFSET(CÁLCULO!$BS$15:$CS$15,$F158,0,OFFSET(ORÇAMENTO!$D$15,CRONO!$F158,0))),CRONO!AH$12,OFFSET(CÁLCULO!$AR$15:$BR$15,$F158,0,OFFSET(ORÇAMENTO!$D$15,CRONO!$F158,0)))
                +IF(AND($F160&lt;&gt;"",$F160&lt;&gt;0),
                        SUMIF(CÁLCULO!$BS$15:$CS$205,CRONO!AH$12,CÁLCULO!$AR$15:$BR$205)/(ORÇAMENTO!$X$15-_xlfn.single(CÁLCULO.TotalAdmLocal))*CRONO!$F160,
                        0),
                 AH159*$S158),
          SUMIF(OFFSET($S160,1,0,$R158-2),($M158+1)&amp;"$",OFFSET(AH160,1,0,$R158-2)))</f>
        <v>0</v>
      </c>
      <c r="AI160" s="439" t="n">
        <f aca="false" t="array" ref="AI160:AI160">IF($R158=2,
         IF(AND(ACOMPANHAMENTO="PLE",ISNUMBER($F158)),
                SUMIF((OFFSET(CÁLCULO!$BS$15:$CS$15,$F158,0,OFFSET(ORÇAMENTO!$D$15,CRONO!$F158,0))),CRONO!AI$12,OFFSET(CÁLCULO!$AR$15:$BR$15,$F158,0,OFFSET(ORÇAMENTO!$D$15,CRONO!$F158,0)))
                +IF(AND($F160&lt;&gt;"",$F160&lt;&gt;0),
                        SUMIF(CÁLCULO!$BS$15:$CS$205,CRONO!AI$12,CÁLCULO!$AR$15:$BR$205)/(ORÇAMENTO!$X$15-_xlfn.single(CÁLCULO.TotalAdmLocal))*CRONO!$F160,
                        0),
                 AI159*$S158),
          SUMIF(OFFSET($S160,1,0,$R158-2),($M158+1)&amp;"$",OFFSET(AI160,1,0,$R158-2)))</f>
        <v>0</v>
      </c>
      <c r="AJ160" s="439" t="n">
        <f aca="false" t="array" ref="AJ160:AJ160">IF($R158=2,
         IF(AND(ACOMPANHAMENTO="PLE",ISNUMBER($F158)),
                SUMIF((OFFSET(CÁLCULO!$BS$15:$CS$15,$F158,0,OFFSET(ORÇAMENTO!$D$15,CRONO!$F158,0))),CRONO!AJ$12,OFFSET(CÁLCULO!$AR$15:$BR$15,$F158,0,OFFSET(ORÇAMENTO!$D$15,CRONO!$F158,0)))
                +IF(AND($F160&lt;&gt;"",$F160&lt;&gt;0),
                        SUMIF(CÁLCULO!$BS$15:$CS$205,CRONO!AJ$12,CÁLCULO!$AR$15:$BR$205)/(ORÇAMENTO!$X$15-_xlfn.single(CÁLCULO.TotalAdmLocal))*CRONO!$F160,
                        0),
                 AJ159*$S158),
          SUMIF(OFFSET($S160,1,0,$R158-2),($M158+1)&amp;"$",OFFSET(AJ160,1,0,$R158-2)))</f>
        <v>0</v>
      </c>
      <c r="AK160" s="439" t="n">
        <f aca="false" t="array" ref="AK160:AK160">IF($R158=2,
         IF(AND(ACOMPANHAMENTO="PLE",ISNUMBER($F158)),
                SUMIF((OFFSET(CÁLCULO!$BS$15:$CS$15,$F158,0,OFFSET(ORÇAMENTO!$D$15,CRONO!$F158,0))),CRONO!AK$12,OFFSET(CÁLCULO!$AR$15:$BR$15,$F158,0,OFFSET(ORÇAMENTO!$D$15,CRONO!$F158,0)))
                +IF(AND($F160&lt;&gt;"",$F160&lt;&gt;0),
                        SUMIF(CÁLCULO!$BS$15:$CS$205,CRONO!AK$12,CÁLCULO!$AR$15:$BR$205)/(ORÇAMENTO!$X$15-_xlfn.single(CÁLCULO.TotalAdmLocal))*CRONO!$F160,
                        0),
                 AK159*$S158),
          SUMIF(OFFSET($S160,1,0,$R158-2),($M158+1)&amp;"$",OFFSET(AK160,1,0,$R158-2)))</f>
        <v>0</v>
      </c>
      <c r="AL160" s="439" t="n">
        <f aca="false" t="array" ref="AL160:AL160">IF($R158=2,
         IF(AND(ACOMPANHAMENTO="PLE",ISNUMBER($F158)),
                SUMIF((OFFSET(CÁLCULO!$BS$15:$CS$15,$F158,0,OFFSET(ORÇAMENTO!$D$15,CRONO!$F158,0))),CRONO!AL$12,OFFSET(CÁLCULO!$AR$15:$BR$15,$F158,0,OFFSET(ORÇAMENTO!$D$15,CRONO!$F158,0)))
                +IF(AND($F160&lt;&gt;"",$F160&lt;&gt;0),
                        SUMIF(CÁLCULO!$BS$15:$CS$205,CRONO!AL$12,CÁLCULO!$AR$15:$BR$205)/(ORÇAMENTO!$X$15-_xlfn.single(CÁLCULO.TotalAdmLocal))*CRONO!$F160,
                        0),
                 AL159*$S158),
          SUMIF(OFFSET($S160,1,0,$R158-2),($M158+1)&amp;"$",OFFSET(AL160,1,0,$R158-2)))</f>
        <v>0</v>
      </c>
      <c r="AM160" s="439" t="n">
        <f aca="false" t="array" ref="AM160:AM160">IF($R158=2,
         IF(AND(ACOMPANHAMENTO="PLE",ISNUMBER($F158)),
                SUMIF((OFFSET(CÁLCULO!$BS$15:$CS$15,$F158,0,OFFSET(ORÇAMENTO!$D$15,CRONO!$F158,0))),CRONO!AM$12,OFFSET(CÁLCULO!$AR$15:$BR$15,$F158,0,OFFSET(ORÇAMENTO!$D$15,CRONO!$F158,0)))
                +IF(AND($F160&lt;&gt;"",$F160&lt;&gt;0),
                        SUMIF(CÁLCULO!$BS$15:$CS$205,CRONO!AM$12,CÁLCULO!$AR$15:$BR$205)/(ORÇAMENTO!$X$15-_xlfn.single(CÁLCULO.TotalAdmLocal))*CRONO!$F160,
                        0),
                 AM159*$S158),
          SUMIF(OFFSET($S160,1,0,$R158-2),($M158+1)&amp;"$",OFFSET(AM160,1,0,$R158-2)))</f>
        <v>0</v>
      </c>
      <c r="AN160" s="439" t="n">
        <f aca="false" t="array" ref="AN160:AN160">IF($R158=2,
         IF(AND(ACOMPANHAMENTO="PLE",ISNUMBER($F158)),
                SUMIF((OFFSET(CÁLCULO!$BS$15:$CS$15,$F158,0,OFFSET(ORÇAMENTO!$D$15,CRONO!$F158,0))),CRONO!AN$12,OFFSET(CÁLCULO!$AR$15:$BR$15,$F158,0,OFFSET(ORÇAMENTO!$D$15,CRONO!$F158,0)))
                +IF(AND($F160&lt;&gt;"",$F160&lt;&gt;0),
                        SUMIF(CÁLCULO!$BS$15:$CS$205,CRONO!AN$12,CÁLCULO!$AR$15:$BR$205)/(ORÇAMENTO!$X$15-_xlfn.single(CÁLCULO.TotalAdmLocal))*CRONO!$F160,
                        0),
                 AN159*$S158),
          SUMIF(OFFSET($S160,1,0,$R158-2),($M158+1)&amp;"$",OFFSET(AN160,1,0,$R158-2)))</f>
        <v>0</v>
      </c>
      <c r="AO160" s="439" t="n">
        <f aca="false" t="array" ref="AO160:AO160">IF($R158=2,
         IF(AND(ACOMPANHAMENTO="PLE",ISNUMBER($F158)),
                SUMIF((OFFSET(CÁLCULO!$BS$15:$CS$15,$F158,0,OFFSET(ORÇAMENTO!$D$15,CRONO!$F158,0))),CRONO!AO$12,OFFSET(CÁLCULO!$AR$15:$BR$15,$F158,0,OFFSET(ORÇAMENTO!$D$15,CRONO!$F158,0)))
                +IF(AND($F160&lt;&gt;"",$F160&lt;&gt;0),
                        SUMIF(CÁLCULO!$BS$15:$CS$205,CRONO!AO$12,CÁLCULO!$AR$15:$BR$205)/(ORÇAMENTO!$X$15-_xlfn.single(CÁLCULO.TotalAdmLocal))*CRONO!$F160,
                        0),
                 AO159*$S158),
          SUMIF(OFFSET($S160,1,0,$R158-2),($M158+1)&amp;"$",OFFSET(AO160,1,0,$R158-2)))</f>
        <v>0</v>
      </c>
      <c r="AP160" s="439" t="n">
        <f aca="false" t="array" ref="AP160:AP160">IF($R158=2,
         IF(AND(ACOMPANHAMENTO="PLE",ISNUMBER($F158)),
                SUMIF((OFFSET(CÁLCULO!$BS$15:$CS$15,$F158,0,OFFSET(ORÇAMENTO!$D$15,CRONO!$F158,0))),CRONO!AP$12,OFFSET(CÁLCULO!$AR$15:$BR$15,$F158,0,OFFSET(ORÇAMENTO!$D$15,CRONO!$F158,0)))
                +IF(AND($F160&lt;&gt;"",$F160&lt;&gt;0),
                        SUMIF(CÁLCULO!$BS$15:$CS$205,CRONO!AP$12,CÁLCULO!$AR$15:$BR$205)/(ORÇAMENTO!$X$15-_xlfn.single(CÁLCULO.TotalAdmLocal))*CRONO!$F160,
                        0),
                 AP159*$S158),
          SUMIF(OFFSET($S160,1,0,$R158-2),($M158+1)&amp;"$",OFFSET(AP160,1,0,$R158-2)))</f>
        <v>0</v>
      </c>
      <c r="AQ160" s="439" t="n">
        <f aca="false" t="array" ref="AQ160:AQ160">IF($R158=2,
         IF(AND(ACOMPANHAMENTO="PLE",ISNUMBER($F158)),
                SUMIF((OFFSET(CÁLCULO!$BS$15:$CS$15,$F158,0,OFFSET(ORÇAMENTO!$D$15,CRONO!$F158,0))),CRONO!AQ$12,OFFSET(CÁLCULO!$AR$15:$BR$15,$F158,0,OFFSET(ORÇAMENTO!$D$15,CRONO!$F158,0)))
                +IF(AND($F160&lt;&gt;"",$F160&lt;&gt;0),
                        SUMIF(CÁLCULO!$BS$15:$CS$205,CRONO!AQ$12,CÁLCULO!$AR$15:$BR$205)/(ORÇAMENTO!$X$15-_xlfn.single(CÁLCULO.TotalAdmLocal))*CRONO!$F160,
                        0),
                 AQ159*$S158),
          SUMIF(OFFSET($S160,1,0,$R158-2),($M158+1)&amp;"$",OFFSET(AQ160,1,0,$R158-2)))</f>
        <v>0</v>
      </c>
      <c r="AR160" s="439" t="n">
        <f aca="false" t="array" ref="AR160:AR160">IF($R158=2,
         IF(AND(ACOMPANHAMENTO="PLE",ISNUMBER($F158)),
                SUMIF((OFFSET(CÁLCULO!$BS$15:$CS$15,$F158,0,OFFSET(ORÇAMENTO!$D$15,CRONO!$F158,0))),CRONO!AR$12,OFFSET(CÁLCULO!$AR$15:$BR$15,$F158,0,OFFSET(ORÇAMENTO!$D$15,CRONO!$F158,0)))
                +IF(AND($F160&lt;&gt;"",$F160&lt;&gt;0),
                        SUMIF(CÁLCULO!$BS$15:$CS$205,CRONO!AR$12,CÁLCULO!$AR$15:$BR$205)/(ORÇAMENTO!$X$15-_xlfn.single(CÁLCULO.TotalAdmLocal))*CRONO!$F160,
                        0),
                 AR159*$S158),
          SUMIF(OFFSET($S160,1,0,$R158-2),($M158+1)&amp;"$",OFFSET(AR160,1,0,$R158-2)))</f>
        <v>0</v>
      </c>
      <c r="AS160" s="439" t="n">
        <f aca="false" t="array" ref="AS160:AS160">IF($R158=2,
         IF(AND(ACOMPANHAMENTO="PLE",ISNUMBER($F158)),
                SUMIF((OFFSET(CÁLCULO!$BS$15:$CS$15,$F158,0,OFFSET(ORÇAMENTO!$D$15,CRONO!$F158,0))),CRONO!AS$12,OFFSET(CÁLCULO!$AR$15:$BR$15,$F158,0,OFFSET(ORÇAMENTO!$D$15,CRONO!$F158,0)))
                +IF(AND($F160&lt;&gt;"",$F160&lt;&gt;0),
                        SUMIF(CÁLCULO!$BS$15:$CS$205,CRONO!AS$12,CÁLCULO!$AR$15:$BR$205)/(ORÇAMENTO!$X$15-_xlfn.single(CÁLCULO.TotalAdmLocal))*CRONO!$F160,
                        0),
                 AS159*$S158),
          SUMIF(OFFSET($S160,1,0,$R158-2),($M158+1)&amp;"$",OFFSET(AS160,1,0,$R158-2)))</f>
        <v>0</v>
      </c>
      <c r="AT160" s="439" t="n">
        <f aca="false" t="array" ref="AT160:AT160">IF($R158=2,
         IF(AND(ACOMPANHAMENTO="PLE",ISNUMBER($F158)),
                SUMIF((OFFSET(CÁLCULO!$BS$15:$CS$15,$F158,0,OFFSET(ORÇAMENTO!$D$15,CRONO!$F158,0))),CRONO!AT$12,OFFSET(CÁLCULO!$AR$15:$BR$15,$F158,0,OFFSET(ORÇAMENTO!$D$15,CRONO!$F158,0)))
                +IF(AND($F160&lt;&gt;"",$F160&lt;&gt;0),
                        SUMIF(CÁLCULO!$BS$15:$CS$205,CRONO!AT$12,CÁLCULO!$AR$15:$BR$205)/(ORÇAMENTO!$X$15-_xlfn.single(CÁLCULO.TotalAdmLocal))*CRONO!$F160,
                        0),
                 AT159*$S158),
          SUMIF(OFFSET($S160,1,0,$R158-2),($M158+1)&amp;"$",OFFSET(AT160,1,0,$R158-2)))</f>
        <v>0</v>
      </c>
      <c r="AU160" s="439" t="n">
        <f aca="false" t="array" ref="AU160:AU160">IF($R158=2,
         IF(AND(ACOMPANHAMENTO="PLE",ISNUMBER($F158)),
                SUMIF((OFFSET(CÁLCULO!$BS$15:$CS$15,$F158,0,OFFSET(ORÇAMENTO!$D$15,CRONO!$F158,0))),CRONO!AU$12,OFFSET(CÁLCULO!$AR$15:$BR$15,$F158,0,OFFSET(ORÇAMENTO!$D$15,CRONO!$F158,0)))
                +IF(AND($F160&lt;&gt;"",$F160&lt;&gt;0),
                        SUMIF(CÁLCULO!$BS$15:$CS$205,CRONO!AU$12,CÁLCULO!$AR$15:$BR$205)/(ORÇAMENTO!$X$15-_xlfn.single(CÁLCULO.TotalAdmLocal))*CRONO!$F160,
                        0),
                 AU159*$S158),
          SUMIF(OFFSET($S160,1,0,$R158-2),($M158+1)&amp;"$",OFFSET(AU160,1,0,$R158-2)))</f>
        <v>0</v>
      </c>
      <c r="AV160" s="439" t="n">
        <f aca="false" t="array" ref="AV160:AV160">IF($R158=2,
         IF(AND(ACOMPANHAMENTO="PLE",ISNUMBER($F158)),
                SUMIF((OFFSET(CÁLCULO!$BS$15:$CS$15,$F158,0,OFFSET(ORÇAMENTO!$D$15,CRONO!$F158,0))),CRONO!AV$12,OFFSET(CÁLCULO!$AR$15:$BR$15,$F158,0,OFFSET(ORÇAMENTO!$D$15,CRONO!$F158,0)))
                +IF(AND($F160&lt;&gt;"",$F160&lt;&gt;0),
                        SUMIF(CÁLCULO!$BS$15:$CS$205,CRONO!AV$12,CÁLCULO!$AR$15:$BR$205)/(ORÇAMENTO!$X$15-_xlfn.single(CÁLCULO.TotalAdmLocal))*CRONO!$F160,
                        0),
                 AV159*$S158),
          SUMIF(OFFSET($S160,1,0,$R158-2),($M158+1)&amp;"$",OFFSET(AV160,1,0,$R158-2)))</f>
        <v>0</v>
      </c>
      <c r="AW160" s="439" t="n">
        <f aca="false" t="array" ref="AW160:AW160">IF($R158=2,
         IF(AND(ACOMPANHAMENTO="PLE",ISNUMBER($F158)),
                SUMIF((OFFSET(CÁLCULO!$BS$15:$CS$15,$F158,0,OFFSET(ORÇAMENTO!$D$15,CRONO!$F158,0))),CRONO!AW$12,OFFSET(CÁLCULO!$AR$15:$BR$15,$F158,0,OFFSET(ORÇAMENTO!$D$15,CRONO!$F158,0)))
                +IF(AND($F160&lt;&gt;"",$F160&lt;&gt;0),
                        SUMIF(CÁLCULO!$BS$15:$CS$205,CRONO!AW$12,CÁLCULO!$AR$15:$BR$205)/(ORÇAMENTO!$X$15-_xlfn.single(CÁLCULO.TotalAdmLocal))*CRONO!$F160,
                        0),
                 AW159*$S158),
          SUMIF(OFFSET($S160,1,0,$R158-2),($M158+1)&amp;"$",OFFSET(AW160,1,0,$R158-2)))</f>
        <v>0</v>
      </c>
      <c r="AX160" s="439" t="n">
        <f aca="false" t="array" ref="AX160:AX160">IF($R158=2,
         IF(AND(ACOMPANHAMENTO="PLE",ISNUMBER($F158)),
                SUMIF((OFFSET(CÁLCULO!$BS$15:$CS$15,$F158,0,OFFSET(ORÇAMENTO!$D$15,CRONO!$F158,0))),CRONO!AX$12,OFFSET(CÁLCULO!$AR$15:$BR$15,$F158,0,OFFSET(ORÇAMENTO!$D$15,CRONO!$F158,0)))
                +IF(AND($F160&lt;&gt;"",$F160&lt;&gt;0),
                        SUMIF(CÁLCULO!$BS$15:$CS$205,CRONO!AX$12,CÁLCULO!$AR$15:$BR$205)/(ORÇAMENTO!$X$15-_xlfn.single(CÁLCULO.TotalAdmLocal))*CRONO!$F160,
                        0),
                 AX159*$S158),
          SUMIF(OFFSET($S160,1,0,$R158-2),($M158+1)&amp;"$",OFFSET(AX160,1,0,$R158-2)))</f>
        <v>0</v>
      </c>
      <c r="AY160" s="439" t="n">
        <f aca="false" t="array" ref="AY160:AY160">IF($R158=2,
         IF(AND(ACOMPANHAMENTO="PLE",ISNUMBER($F158)),
                SUMIF((OFFSET(CÁLCULO!$BS$15:$CS$15,$F158,0,OFFSET(ORÇAMENTO!$D$15,CRONO!$F158,0))),CRONO!AY$12,OFFSET(CÁLCULO!$AR$15:$BR$15,$F158,0,OFFSET(ORÇAMENTO!$D$15,CRONO!$F158,0)))
                +IF(AND($F160&lt;&gt;"",$F160&lt;&gt;0),
                        SUMIF(CÁLCULO!$BS$15:$CS$205,CRONO!AY$12,CÁLCULO!$AR$15:$BR$205)/(ORÇAMENTO!$X$15-_xlfn.single(CÁLCULO.TotalAdmLocal))*CRONO!$F160,
                        0),
                 AY159*$S158),
          SUMIF(OFFSET($S160,1,0,$R158-2),($M158+1)&amp;"$",OFFSET(AY160,1,0,$R158-2)))</f>
        <v>0</v>
      </c>
      <c r="AZ160" s="439" t="n">
        <f aca="false" t="array" ref="AZ160:AZ160">IF($R158=2,
         IF(AND(ACOMPANHAMENTO="PLE",ISNUMBER($F158)),
                SUMIF((OFFSET(CÁLCULO!$BS$15:$CS$15,$F158,0,OFFSET(ORÇAMENTO!$D$15,CRONO!$F158,0))),CRONO!AZ$12,OFFSET(CÁLCULO!$AR$15:$BR$15,$F158,0,OFFSET(ORÇAMENTO!$D$15,CRONO!$F158,0)))
                +IF(AND($F160&lt;&gt;"",$F160&lt;&gt;0),
                        SUMIF(CÁLCULO!$BS$15:$CS$205,CRONO!AZ$12,CÁLCULO!$AR$15:$BR$205)/(ORÇAMENTO!$X$15-_xlfn.single(CÁLCULO.TotalAdmLocal))*CRONO!$F160,
                        0),
                 AZ159*$S158),
          SUMIF(OFFSET($S160,1,0,$R158-2),($M158+1)&amp;"$",OFFSET(AZ160,1,0,$R158-2)))</f>
        <v>0</v>
      </c>
      <c r="BA160" s="439" t="n">
        <f aca="false" t="array" ref="BA160:BA160">IF($R158=2,
         IF(AND(ACOMPANHAMENTO="PLE",ISNUMBER($F158)),
                SUMIF((OFFSET(CÁLCULO!$BS$15:$CS$15,$F158,0,OFFSET(ORÇAMENTO!$D$15,CRONO!$F158,0))),CRONO!BA$12,OFFSET(CÁLCULO!$AR$15:$BR$15,$F158,0,OFFSET(ORÇAMENTO!$D$15,CRONO!$F158,0)))
                +IF(AND($F160&lt;&gt;"",$F160&lt;&gt;0),
                        SUMIF(CÁLCULO!$BS$15:$CS$205,CRONO!BA$12,CÁLCULO!$AR$15:$BR$205)/(ORÇAMENTO!$X$15-_xlfn.single(CÁLCULO.TotalAdmLocal))*CRONO!$F160,
                        0),
                 BA159*$S158),
          SUMIF(OFFSET($S160,1,0,$R158-2),($M158+1)&amp;"$",OFFSET(BA160,1,0,$R158-2)))</f>
        <v>0</v>
      </c>
      <c r="BB160" s="439" t="n">
        <f aca="false" t="array" ref="BB160:BB160">IF($R158=2,
         IF(AND(ACOMPANHAMENTO="PLE",ISNUMBER($F158)),
                SUMIF((OFFSET(CÁLCULO!$BS$15:$CS$15,$F158,0,OFFSET(ORÇAMENTO!$D$15,CRONO!$F158,0))),CRONO!BB$12,OFFSET(CÁLCULO!$AR$15:$BR$15,$F158,0,OFFSET(ORÇAMENTO!$D$15,CRONO!$F158,0)))
                +IF(AND($F160&lt;&gt;"",$F160&lt;&gt;0),
                        SUMIF(CÁLCULO!$BS$15:$CS$205,CRONO!BB$12,CÁLCULO!$AR$15:$BR$205)/(ORÇAMENTO!$X$15-_xlfn.single(CÁLCULO.TotalAdmLocal))*CRONO!$F160,
                        0),
                 BB159*$S158),
          SUMIF(OFFSET($S160,1,0,$R158-2),($M158+1)&amp;"$",OFFSET(BB160,1,0,$R158-2)))</f>
        <v>0</v>
      </c>
      <c r="BC160" s="439" t="n">
        <f aca="false" t="array" ref="BC160:BC160">IF($R158=2,
         IF(AND(ACOMPANHAMENTO="PLE",ISNUMBER($F158)),
                SUMIF((OFFSET(CÁLCULO!$BS$15:$CS$15,$F158,0,OFFSET(ORÇAMENTO!$D$15,CRONO!$F158,0))),CRONO!BC$12,OFFSET(CÁLCULO!$AR$15:$BR$15,$F158,0,OFFSET(ORÇAMENTO!$D$15,CRONO!$F158,0)))
                +IF(AND($F160&lt;&gt;"",$F160&lt;&gt;0),
                        SUMIF(CÁLCULO!$BS$15:$CS$205,CRONO!BC$12,CÁLCULO!$AR$15:$BR$205)/(ORÇAMENTO!$X$15-_xlfn.single(CÁLCULO.TotalAdmLocal))*CRONO!$F160,
                        0),
                 BC159*$S158),
          SUMIF(OFFSET($S160,1,0,$R158-2),($M158+1)&amp;"$",OFFSET(BC160,1,0,$R158-2)))</f>
        <v>0</v>
      </c>
      <c r="BD160" s="439" t="n">
        <f aca="false" t="array" ref="BD160:BD160">IF($R158=2,
         IF(AND(ACOMPANHAMENTO="PLE",ISNUMBER($F158)),
                SUMIF((OFFSET(CÁLCULO!$BS$15:$CS$15,$F158,0,OFFSET(ORÇAMENTO!$D$15,CRONO!$F158,0))),CRONO!BD$12,OFFSET(CÁLCULO!$AR$15:$BR$15,$F158,0,OFFSET(ORÇAMENTO!$D$15,CRONO!$F158,0)))
                +IF(AND($F160&lt;&gt;"",$F160&lt;&gt;0),
                        SUMIF(CÁLCULO!$BS$15:$CS$205,CRONO!BD$12,CÁLCULO!$AR$15:$BR$205)/(ORÇAMENTO!$X$15-_xlfn.single(CÁLCULO.TotalAdmLocal))*CRONO!$F160,
                        0),
                 BD159*$S158),
          SUMIF(OFFSET($S160,1,0,$R158-2),($M158+1)&amp;"$",OFFSET(BD160,1,0,$R158-2)))</f>
        <v>0</v>
      </c>
      <c r="BE160" s="430"/>
    </row>
    <row r="161" customFormat="false" ht="12.75" hidden="true" customHeight="false" outlineLevel="0" collapsed="false">
      <c r="A161" s="382" t="str">
        <f aca="false">IF($M161&gt;1,_xlfn.CONCAT($I161," ",$J161),"")</f>
        <v>1.49. CLIMATIZAÇÃO</v>
      </c>
      <c r="B161" s="419" t="n">
        <f aca="true">OFFSET(B161,-3,0)+1</f>
        <v>50</v>
      </c>
      <c r="C161" s="419" t="n">
        <f aca="true">IF($R161&lt;&gt;2,0,IF($S161=0,1,IF(F162&gt;0,OFFSET(QCI!$M$13,SUBSTITUTE(F162,".",""),0),OFFSET(ORÇAMENTO!$AA$15,CRONO!$F161,0))/$S161))</f>
        <v>1</v>
      </c>
      <c r="D161" s="419" t="n">
        <f aca="true">IF($R161&lt;&gt;2,0,IF($S161=0,1,IF(F162&gt;0,OFFSET(QCI!$N$13,SUBSTITUTE(F162,".",""),0),OFFSET(ORÇAMENTO!$AB$15,CRONO!$F161,0))/$S161))</f>
        <v>1</v>
      </c>
      <c r="E161" s="422" t="e">
        <f aca="false" t="array" ref="E161:E161">IF(AND($R161=2,ACOMPANHAMENTO="BM"),ROUND(E162,4),E163/$S161)</f>
        <v>#DIV/0!</v>
      </c>
      <c r="F161" s="419" t="n">
        <f aca="true">IF(B161&lt;=ORÇAMENTO.MáximoListaCrono,MATCH(B161,ORÇAMENTO.ListaCrono,0),NA())</f>
        <v>182</v>
      </c>
      <c r="G161" s="419" t="str">
        <f aca="false">IF(AND($F162&lt;&gt;-1,$S161&gt;0),"F","")</f>
        <v/>
      </c>
      <c r="H161" s="423" t="str">
        <f aca="false" t="array" ref="H161:H161">IF(OR(S161=0,S161=""),"Linha",IF(AND(OR(ACOMPANHAMENTO="PLE",$R161&lt;&gt;2),$F162=0),"Linha",ROUND(1-SUM(U161:BE161),4)))</f>
        <v>Linha</v>
      </c>
      <c r="I161" s="424" t="str">
        <f aca="true">IF($F162=0,OFFSET(ORÇAMENTO!O$15,$F161,0),IF($F162&lt;&gt;-1,OFFSET(QCI!$D$13,$F162,0),""))</f>
        <v>1.49.</v>
      </c>
      <c r="J161" s="425" t="str">
        <f aca="true">IF($F162=0,OFFSET(ORÇAMENTO!R$15,$F161,0),IF($F162&lt;&gt;-1,OFFSET(QCI!$G$13,$F162,0),""))</f>
        <v>CLIMATIZAÇÃO</v>
      </c>
      <c r="K161" s="425"/>
      <c r="L161" s="425"/>
      <c r="M161" s="426" t="n">
        <f aca="true">IF($F162=0,OFFSET(ORÇAMENTO!C$15,$F161,0),1)</f>
        <v>2</v>
      </c>
      <c r="N161" s="427" t="n">
        <f aca="true">IF($F162=-1,0,IF(N$13&lt;=$M161,IF(ISERROR(MATCH(N$13,OFFSET($M161,1,0,ROW($M$182)-ROW($M161)-1),0)),ROW($M$182)-ROW($M161)-1,MATCH(N$13,OFFSET($M161,1,0,ROW($M$182)-ROW($M161)-1),0)-1),0))</f>
        <v>20</v>
      </c>
      <c r="O161" s="427" t="n">
        <f aca="true">IF($F162=-1,0,IF(O$13&lt;=$M161,IF(ISERROR(MATCH(O$13,OFFSET($M161,1,0,ROW($M$182)-ROW($M161)-1),0)),ROW($M$182)-ROW($M161)-1,MATCH(O$13,OFFSET($M161,1,0,ROW($M$182)-ROW($M161)-1),0)-1),0))</f>
        <v>2</v>
      </c>
      <c r="P161" s="427" t="n">
        <f aca="true">IF($F162=-1,0,IF(P$13&lt;=$M161,IF(ISERROR(MATCH(P$13,OFFSET($M161,1,0,ROW($M$182)-ROW($M161)-1),0)),ROW($M$182)-ROW($M161)-1,MATCH(P$13,OFFSET($M161,1,0,ROW($M$182)-ROW($M161)-1),0)-1),0))</f>
        <v>0</v>
      </c>
      <c r="Q161" s="427" t="n">
        <f aca="true">IF($F162=-1,0,IF(Q$13&lt;=$M161,IF(ISERROR(MATCH(Q$13,OFFSET($M161,1,0,ROW($M$182)-ROW($M161)-1),0)),ROW($M$182)-ROW($M161)-1,MATCH(Q$13,OFFSET($M161,1,0,ROW($M$182)-ROW($M161)-1),0)-1),0))</f>
        <v>0</v>
      </c>
      <c r="R161" s="427" t="n">
        <f aca="true">MIN(OFFSET(M161,0,1,,M161))</f>
        <v>2</v>
      </c>
      <c r="S161" s="428" t="n">
        <f aca="true">IF($F162=0,OFFSET(ORÇAMENTO!X$15,$F161,0),IF($F162&lt;&gt;-1,OFFSET(QCI!$O$13,$F162,0),""))</f>
        <v>0</v>
      </c>
      <c r="T161" s="429" t="s">
        <v>996</v>
      </c>
      <c r="U161" s="422" t="e">
        <f aca="false" t="array" ref="U161:U161">IF(AND($R161=2,ACOMPANHAMENTO="BM"),ROUND(U162,4),U163/$S161)</f>
        <v>#DIV/0!</v>
      </c>
      <c r="V161" s="422" t="e">
        <f aca="false" t="array" ref="V161:V161">IF(AND($R161=2,ACOMPANHAMENTO="BM"),ROUND(V162,4),V163/$S161)</f>
        <v>#DIV/0!</v>
      </c>
      <c r="W161" s="422" t="e">
        <f aca="false" t="array" ref="W161:W161">IF(AND($R161=2,ACOMPANHAMENTO="BM"),ROUND(W162,4),W163/$S161)</f>
        <v>#DIV/0!</v>
      </c>
      <c r="X161" s="422" t="e">
        <f aca="false" t="array" ref="X161:X161">IF(AND($R161=2,ACOMPANHAMENTO="BM"),ROUND(X162,4),X163/$S161)</f>
        <v>#DIV/0!</v>
      </c>
      <c r="Y161" s="422" t="e">
        <f aca="false" t="array" ref="Y161:Y161">IF(AND($R161=2,ACOMPANHAMENTO="BM"),ROUND(Y162,4),Y163/$S161)</f>
        <v>#DIV/0!</v>
      </c>
      <c r="Z161" s="422" t="e">
        <f aca="false" t="array" ref="Z161:Z161">IF(AND($R161=2,ACOMPANHAMENTO="BM"),ROUND(Z162,4),Z163/$S161)</f>
        <v>#DIV/0!</v>
      </c>
      <c r="AA161" s="422" t="e">
        <f aca="false" t="array" ref="AA161:AA161">IF(AND($R161=2,ACOMPANHAMENTO="BM"),ROUND(AA162,4),AA163/$S161)</f>
        <v>#DIV/0!</v>
      </c>
      <c r="AB161" s="422" t="e">
        <f aca="false" t="array" ref="AB161:AB161">IF(AND($R161=2,ACOMPANHAMENTO="BM"),ROUND(AB162,4),AB163/$S161)</f>
        <v>#DIV/0!</v>
      </c>
      <c r="AC161" s="422" t="e">
        <f aca="false" t="array" ref="AC161:AC161">IF(AND($R161=2,ACOMPANHAMENTO="BM"),ROUND(AC162,4),AC163/$S161)</f>
        <v>#DIV/0!</v>
      </c>
      <c r="AD161" s="422" t="e">
        <f aca="false" t="array" ref="AD161:AD161">IF(AND($R161=2,ACOMPANHAMENTO="BM"),ROUND(AD162,4),AD163/$S161)</f>
        <v>#DIV/0!</v>
      </c>
      <c r="AE161" s="422" t="e">
        <f aca="false" t="array" ref="AE161:AE161">IF(AND($R161=2,ACOMPANHAMENTO="BM"),ROUND(AE162,4),AE163/$S161)</f>
        <v>#DIV/0!</v>
      </c>
      <c r="AF161" s="422" t="e">
        <f aca="false" t="array" ref="AF161:AF161">IF(AND($R161=2,ACOMPANHAMENTO="BM"),ROUND(AF162,4),AF163/$S161)</f>
        <v>#DIV/0!</v>
      </c>
      <c r="AG161" s="422" t="e">
        <f aca="false" t="array" ref="AG161:AG161">IF(AND($R161=2,ACOMPANHAMENTO="BM"),ROUND(AG162,4),AG163/$S161)</f>
        <v>#DIV/0!</v>
      </c>
      <c r="AH161" s="422" t="e">
        <f aca="false" t="array" ref="AH161:AH161">IF(AND($R161=2,ACOMPANHAMENTO="BM"),ROUND(AH162,4),AH163/$S161)</f>
        <v>#DIV/0!</v>
      </c>
      <c r="AI161" s="422" t="e">
        <f aca="false" t="array" ref="AI161:AI161">IF(AND($R161=2,ACOMPANHAMENTO="BM"),ROUND(AI162,4),AI163/$S161)</f>
        <v>#DIV/0!</v>
      </c>
      <c r="AJ161" s="422" t="e">
        <f aca="false" t="array" ref="AJ161:AJ161">IF(AND($R161=2,ACOMPANHAMENTO="BM"),ROUND(AJ162,4),AJ163/$S161)</f>
        <v>#DIV/0!</v>
      </c>
      <c r="AK161" s="422" t="e">
        <f aca="false" t="array" ref="AK161:AK161">IF(AND($R161=2,ACOMPANHAMENTO="BM"),ROUND(AK162,4),AK163/$S161)</f>
        <v>#DIV/0!</v>
      </c>
      <c r="AL161" s="422" t="e">
        <f aca="false" t="array" ref="AL161:AL161">IF(AND($R161=2,ACOMPANHAMENTO="BM"),ROUND(AL162,4),AL163/$S161)</f>
        <v>#DIV/0!</v>
      </c>
      <c r="AM161" s="422" t="e">
        <f aca="false" t="array" ref="AM161:AM161">IF(AND($R161=2,ACOMPANHAMENTO="BM"),ROUND(AM162,4),AM163/$S161)</f>
        <v>#DIV/0!</v>
      </c>
      <c r="AN161" s="422" t="e">
        <f aca="false" t="array" ref="AN161:AN161">IF(AND($R161=2,ACOMPANHAMENTO="BM"),ROUND(AN162,4),AN163/$S161)</f>
        <v>#DIV/0!</v>
      </c>
      <c r="AO161" s="422" t="e">
        <f aca="false" t="array" ref="AO161:AO161">IF(AND($R161=2,ACOMPANHAMENTO="BM"),ROUND(AO162,4),AO163/$S161)</f>
        <v>#DIV/0!</v>
      </c>
      <c r="AP161" s="422" t="e">
        <f aca="false" t="array" ref="AP161:AP161">IF(AND($R161=2,ACOMPANHAMENTO="BM"),ROUND(AP162,4),AP163/$S161)</f>
        <v>#DIV/0!</v>
      </c>
      <c r="AQ161" s="422" t="e">
        <f aca="false" t="array" ref="AQ161:AQ161">IF(AND($R161=2,ACOMPANHAMENTO="BM"),ROUND(AQ162,4),AQ163/$S161)</f>
        <v>#DIV/0!</v>
      </c>
      <c r="AR161" s="422" t="e">
        <f aca="false" t="array" ref="AR161:AR161">IF(AND($R161=2,ACOMPANHAMENTO="BM"),ROUND(AR162,4),AR163/$S161)</f>
        <v>#DIV/0!</v>
      </c>
      <c r="AS161" s="422" t="e">
        <f aca="false" t="array" ref="AS161:AS161">IF(AND($R161=2,ACOMPANHAMENTO="BM"),ROUND(AS162,4),AS163/$S161)</f>
        <v>#DIV/0!</v>
      </c>
      <c r="AT161" s="422" t="e">
        <f aca="false" t="array" ref="AT161:AT161">IF(AND($R161=2,ACOMPANHAMENTO="BM"),ROUND(AT162,4),AT163/$S161)</f>
        <v>#DIV/0!</v>
      </c>
      <c r="AU161" s="422" t="e">
        <f aca="false" t="array" ref="AU161:AU161">IF(AND($R161=2,ACOMPANHAMENTO="BM"),ROUND(AU162,4),AU163/$S161)</f>
        <v>#DIV/0!</v>
      </c>
      <c r="AV161" s="422" t="e">
        <f aca="false" t="array" ref="AV161:AV161">IF(AND($R161=2,ACOMPANHAMENTO="BM"),ROUND(AV162,4),AV163/$S161)</f>
        <v>#DIV/0!</v>
      </c>
      <c r="AW161" s="422" t="e">
        <f aca="false" t="array" ref="AW161:AW161">IF(AND($R161=2,ACOMPANHAMENTO="BM"),ROUND(AW162,4),AW163/$S161)</f>
        <v>#DIV/0!</v>
      </c>
      <c r="AX161" s="422" t="e">
        <f aca="false" t="array" ref="AX161:AX161">IF(AND($R161=2,ACOMPANHAMENTO="BM"),ROUND(AX162,4),AX163/$S161)</f>
        <v>#DIV/0!</v>
      </c>
      <c r="AY161" s="422" t="e">
        <f aca="false" t="array" ref="AY161:AY161">IF(AND($R161=2,ACOMPANHAMENTO="BM"),ROUND(AY162,4),AY163/$S161)</f>
        <v>#DIV/0!</v>
      </c>
      <c r="AZ161" s="422" t="e">
        <f aca="false" t="array" ref="AZ161:AZ161">IF(AND($R161=2,ACOMPANHAMENTO="BM"),ROUND(AZ162,4),AZ163/$S161)</f>
        <v>#DIV/0!</v>
      </c>
      <c r="BA161" s="422" t="e">
        <f aca="false" t="array" ref="BA161:BA161">IF(AND($R161=2,ACOMPANHAMENTO="BM"),ROUND(BA162,4),BA163/$S161)</f>
        <v>#DIV/0!</v>
      </c>
      <c r="BB161" s="422" t="e">
        <f aca="false" t="array" ref="BB161:BB161">IF(AND($R161=2,ACOMPANHAMENTO="BM"),ROUND(BB162,4),BB163/$S161)</f>
        <v>#DIV/0!</v>
      </c>
      <c r="BC161" s="422" t="e">
        <f aca="false" t="array" ref="BC161:BC161">IF(AND($R161=2,ACOMPANHAMENTO="BM"),ROUND(BC162,4),BC163/$S161)</f>
        <v>#DIV/0!</v>
      </c>
      <c r="BD161" s="422" t="e">
        <f aca="false" t="array" ref="BD161:BD161">IF(AND($R161=2,ACOMPANHAMENTO="BM"),ROUND(BD162,4),BD163/$S161)</f>
        <v>#DIV/0!</v>
      </c>
      <c r="BE161" s="430"/>
    </row>
    <row r="162" customFormat="false" ht="12.75" hidden="true" customHeight="true" outlineLevel="0" collapsed="false">
      <c r="E162" s="431"/>
      <c r="F162" s="419" t="n">
        <f aca="true">IF(ISERROR(F161),IF(1+COUNTIF($M$13:OFFSET(M161,-1,0),1)&lt;=MAX(QCI!$D$13:$D$15),1+COUNTIF($M$13:OFFSET(M161,-1,0),1),-1),0)</f>
        <v>0</v>
      </c>
      <c r="G162" s="419" t="str">
        <f aca="true" t="array" ref="G162:G162">IF(ACOMPANHAMENTO="BM",OFFSET(G162,-1,0),"")</f>
        <v/>
      </c>
      <c r="H162" s="432" t="str">
        <f aca="false" t="array" ref="H162:H162">IF(OR(S161=0,S161=""),"vazia",IF(AND(OR(ACOMPANHAMENTO="PLE",$R161&lt;&gt;2),$F162=0),"calculada","--&gt;"))</f>
        <v>vazia</v>
      </c>
      <c r="I162" s="433"/>
      <c r="J162" s="434" t="str">
        <f aca="false">IF(AND(H161&lt;&gt;0,ISNUMBER(H161)),"PREENCHA ESTA LINHA --&gt;","")</f>
        <v/>
      </c>
      <c r="K162" s="434"/>
      <c r="L162" s="434"/>
      <c r="M162" s="435"/>
      <c r="N162" s="435"/>
      <c r="O162" s="435"/>
      <c r="P162" s="435"/>
      <c r="Q162" s="435"/>
      <c r="R162" s="435"/>
      <c r="S162" s="436"/>
      <c r="T162" s="437"/>
      <c r="U162" s="431"/>
      <c r="V162" s="431"/>
      <c r="W162" s="431"/>
      <c r="X162" s="431"/>
      <c r="Y162" s="431"/>
      <c r="Z162" s="431"/>
      <c r="AA162" s="431"/>
      <c r="AB162" s="431"/>
      <c r="AC162" s="431"/>
      <c r="AD162" s="431"/>
      <c r="AE162" s="431"/>
      <c r="AF162" s="431"/>
      <c r="AG162" s="431"/>
      <c r="AH162" s="431"/>
      <c r="AI162" s="431"/>
      <c r="AJ162" s="431"/>
      <c r="AK162" s="431"/>
      <c r="AL162" s="431"/>
      <c r="AM162" s="431"/>
      <c r="AN162" s="431"/>
      <c r="AO162" s="431"/>
      <c r="AP162" s="431"/>
      <c r="AQ162" s="431"/>
      <c r="AR162" s="431"/>
      <c r="AS162" s="431"/>
      <c r="AT162" s="431"/>
      <c r="AU162" s="431"/>
      <c r="AV162" s="431"/>
      <c r="AW162" s="431"/>
      <c r="AX162" s="431"/>
      <c r="AY162" s="431"/>
      <c r="AZ162" s="431"/>
      <c r="BA162" s="431"/>
      <c r="BB162" s="431"/>
      <c r="BC162" s="431"/>
      <c r="BD162" s="431"/>
      <c r="BE162" s="430"/>
    </row>
    <row r="163" customFormat="false" ht="12.75" hidden="true" customHeight="true" outlineLevel="0" collapsed="false">
      <c r="D163" s="438"/>
      <c r="E163" s="439" t="n">
        <f aca="false" t="array" ref="E163:E163">IF($R161=2,
         IF(AND(ACOMPANHAMENTO="PLE",ISNUMBER($F161)),
                SUMIF((OFFSET(CÁLCULO!$BS$15:$CS$15,$F161,0,OFFSET(ORÇAMENTO!$D$15,CRONO!$F161,0))),CRONO!E$12,OFFSET(CÁLCULO!$AR$15:$BR$15,$F161,0,OFFSET(ORÇAMENTO!$D$15,CRONO!$F161,0)))
                +IF(AND($F163&lt;&gt;"",$F163&lt;&gt;0),
                        SUMIF(CÁLCULO!$BS$15:$CS$205,CRONO!E$12,CÁLCULO!$AR$15:$BR$205)/(ORÇAMENTO!$X$15-_xlfn.single(CÁLCULO.TotalAdmLocal))*CRONO!$F163,
                        0),
                 E162*$S161),
          SUMIF(OFFSET($S163,1,0,$R161-2),($M161+1)&amp;"$",OFFSET(E163,1,0,$R161-2)))</f>
        <v>0</v>
      </c>
      <c r="F163" s="419" t="str">
        <f aca="true">IF(OR($R161&lt;&gt;2,AUTOEVENTO&lt;&gt;"manual",$F162&gt;0),"",
        IF(Import.TipoArredondamento="Tradicional",
              SUMIF(OFFSET(CÁLCULO!$M$15,CRONO!$F161,0,OFFSET(ORÇAMENTO!$D$15,CRONO!$F161,0)),1,OFFSET(ORÇAMENTO!$X$15,CRONO!$F161,0,OFFSET(ORÇAMENTO!$D$15,CRONO!$F161,0))),
              0))</f>
        <v/>
      </c>
      <c r="H163" s="440"/>
      <c r="S163" s="441" t="str">
        <f aca="false">M161&amp;"$"</f>
        <v>2$</v>
      </c>
      <c r="T163" s="442"/>
      <c r="U163" s="439" t="n">
        <f aca="false" t="array" ref="U163:U163">IF($R161=2,
         IF(AND(ACOMPANHAMENTO="PLE",ISNUMBER($F161)),
                SUMIF((OFFSET(CÁLCULO!$BS$15:$CS$15,$F161,0,OFFSET(ORÇAMENTO!$D$15,CRONO!$F161,0))),CRONO!U$12,OFFSET(CÁLCULO!$AR$15:$BR$15,$F161,0,OFFSET(ORÇAMENTO!$D$15,CRONO!$F161,0)))
                +IF(AND($F163&lt;&gt;"",$F163&lt;&gt;0),
                        SUMIF(CÁLCULO!$BS$15:$CS$205,CRONO!U$12,CÁLCULO!$AR$15:$BR$205)/(ORÇAMENTO!$X$15-_xlfn.single(CÁLCULO.TotalAdmLocal))*CRONO!$F163,
                        0),
                 U162*$S161),
          SUMIF(OFFSET($S163,1,0,$R161-2),($M161+1)&amp;"$",OFFSET(U163,1,0,$R161-2)))</f>
        <v>0</v>
      </c>
      <c r="V163" s="439" t="n">
        <f aca="false" t="array" ref="V163:V163">IF($R161=2,
         IF(AND(ACOMPANHAMENTO="PLE",ISNUMBER($F161)),
                SUMIF((OFFSET(CÁLCULO!$BS$15:$CS$15,$F161,0,OFFSET(ORÇAMENTO!$D$15,CRONO!$F161,0))),CRONO!V$12,OFFSET(CÁLCULO!$AR$15:$BR$15,$F161,0,OFFSET(ORÇAMENTO!$D$15,CRONO!$F161,0)))
                +IF(AND($F163&lt;&gt;"",$F163&lt;&gt;0),
                        SUMIF(CÁLCULO!$BS$15:$CS$205,CRONO!V$12,CÁLCULO!$AR$15:$BR$205)/(ORÇAMENTO!$X$15-_xlfn.single(CÁLCULO.TotalAdmLocal))*CRONO!$F163,
                        0),
                 V162*$S161),
          SUMIF(OFFSET($S163,1,0,$R161-2),($M161+1)&amp;"$",OFFSET(V163,1,0,$R161-2)))</f>
        <v>0</v>
      </c>
      <c r="W163" s="439" t="n">
        <f aca="false" t="array" ref="W163:W163">IF($R161=2,
         IF(AND(ACOMPANHAMENTO="PLE",ISNUMBER($F161)),
                SUMIF((OFFSET(CÁLCULO!$BS$15:$CS$15,$F161,0,OFFSET(ORÇAMENTO!$D$15,CRONO!$F161,0))),CRONO!W$12,OFFSET(CÁLCULO!$AR$15:$BR$15,$F161,0,OFFSET(ORÇAMENTO!$D$15,CRONO!$F161,0)))
                +IF(AND($F163&lt;&gt;"",$F163&lt;&gt;0),
                        SUMIF(CÁLCULO!$BS$15:$CS$205,CRONO!W$12,CÁLCULO!$AR$15:$BR$205)/(ORÇAMENTO!$X$15-_xlfn.single(CÁLCULO.TotalAdmLocal))*CRONO!$F163,
                        0),
                 W162*$S161),
          SUMIF(OFFSET($S163,1,0,$R161-2),($M161+1)&amp;"$",OFFSET(W163,1,0,$R161-2)))</f>
        <v>0</v>
      </c>
      <c r="X163" s="439" t="n">
        <f aca="false" t="array" ref="X163:X163">IF($R161=2,
         IF(AND(ACOMPANHAMENTO="PLE",ISNUMBER($F161)),
                SUMIF((OFFSET(CÁLCULO!$BS$15:$CS$15,$F161,0,OFFSET(ORÇAMENTO!$D$15,CRONO!$F161,0))),CRONO!X$12,OFFSET(CÁLCULO!$AR$15:$BR$15,$F161,0,OFFSET(ORÇAMENTO!$D$15,CRONO!$F161,0)))
                +IF(AND($F163&lt;&gt;"",$F163&lt;&gt;0),
                        SUMIF(CÁLCULO!$BS$15:$CS$205,CRONO!X$12,CÁLCULO!$AR$15:$BR$205)/(ORÇAMENTO!$X$15-_xlfn.single(CÁLCULO.TotalAdmLocal))*CRONO!$F163,
                        0),
                 X162*$S161),
          SUMIF(OFFSET($S163,1,0,$R161-2),($M161+1)&amp;"$",OFFSET(X163,1,0,$R161-2)))</f>
        <v>0</v>
      </c>
      <c r="Y163" s="439" t="n">
        <f aca="false" t="array" ref="Y163:Y163">IF($R161=2,
         IF(AND(ACOMPANHAMENTO="PLE",ISNUMBER($F161)),
                SUMIF((OFFSET(CÁLCULO!$BS$15:$CS$15,$F161,0,OFFSET(ORÇAMENTO!$D$15,CRONO!$F161,0))),CRONO!Y$12,OFFSET(CÁLCULO!$AR$15:$BR$15,$F161,0,OFFSET(ORÇAMENTO!$D$15,CRONO!$F161,0)))
                +IF(AND($F163&lt;&gt;"",$F163&lt;&gt;0),
                        SUMIF(CÁLCULO!$BS$15:$CS$205,CRONO!Y$12,CÁLCULO!$AR$15:$BR$205)/(ORÇAMENTO!$X$15-_xlfn.single(CÁLCULO.TotalAdmLocal))*CRONO!$F163,
                        0),
                 Y162*$S161),
          SUMIF(OFFSET($S163,1,0,$R161-2),($M161+1)&amp;"$",OFFSET(Y163,1,0,$R161-2)))</f>
        <v>0</v>
      </c>
      <c r="Z163" s="439" t="n">
        <f aca="false" t="array" ref="Z163:Z163">IF($R161=2,
         IF(AND(ACOMPANHAMENTO="PLE",ISNUMBER($F161)),
                SUMIF((OFFSET(CÁLCULO!$BS$15:$CS$15,$F161,0,OFFSET(ORÇAMENTO!$D$15,CRONO!$F161,0))),CRONO!Z$12,OFFSET(CÁLCULO!$AR$15:$BR$15,$F161,0,OFFSET(ORÇAMENTO!$D$15,CRONO!$F161,0)))
                +IF(AND($F163&lt;&gt;"",$F163&lt;&gt;0),
                        SUMIF(CÁLCULO!$BS$15:$CS$205,CRONO!Z$12,CÁLCULO!$AR$15:$BR$205)/(ORÇAMENTO!$X$15-_xlfn.single(CÁLCULO.TotalAdmLocal))*CRONO!$F163,
                        0),
                 Z162*$S161),
          SUMIF(OFFSET($S163,1,0,$R161-2),($M161+1)&amp;"$",OFFSET(Z163,1,0,$R161-2)))</f>
        <v>0</v>
      </c>
      <c r="AA163" s="439" t="n">
        <f aca="false" t="array" ref="AA163:AA163">IF($R161=2,
         IF(AND(ACOMPANHAMENTO="PLE",ISNUMBER($F161)),
                SUMIF((OFFSET(CÁLCULO!$BS$15:$CS$15,$F161,0,OFFSET(ORÇAMENTO!$D$15,CRONO!$F161,0))),CRONO!AA$12,OFFSET(CÁLCULO!$AR$15:$BR$15,$F161,0,OFFSET(ORÇAMENTO!$D$15,CRONO!$F161,0)))
                +IF(AND($F163&lt;&gt;"",$F163&lt;&gt;0),
                        SUMIF(CÁLCULO!$BS$15:$CS$205,CRONO!AA$12,CÁLCULO!$AR$15:$BR$205)/(ORÇAMENTO!$X$15-_xlfn.single(CÁLCULO.TotalAdmLocal))*CRONO!$F163,
                        0),
                 AA162*$S161),
          SUMIF(OFFSET($S163,1,0,$R161-2),($M161+1)&amp;"$",OFFSET(AA163,1,0,$R161-2)))</f>
        <v>0</v>
      </c>
      <c r="AB163" s="439" t="n">
        <f aca="false" t="array" ref="AB163:AB163">IF($R161=2,
         IF(AND(ACOMPANHAMENTO="PLE",ISNUMBER($F161)),
                SUMIF((OFFSET(CÁLCULO!$BS$15:$CS$15,$F161,0,OFFSET(ORÇAMENTO!$D$15,CRONO!$F161,0))),CRONO!AB$12,OFFSET(CÁLCULO!$AR$15:$BR$15,$F161,0,OFFSET(ORÇAMENTO!$D$15,CRONO!$F161,0)))
                +IF(AND($F163&lt;&gt;"",$F163&lt;&gt;0),
                        SUMIF(CÁLCULO!$BS$15:$CS$205,CRONO!AB$12,CÁLCULO!$AR$15:$BR$205)/(ORÇAMENTO!$X$15-_xlfn.single(CÁLCULO.TotalAdmLocal))*CRONO!$F163,
                        0),
                 AB162*$S161),
          SUMIF(OFFSET($S163,1,0,$R161-2),($M161+1)&amp;"$",OFFSET(AB163,1,0,$R161-2)))</f>
        <v>0</v>
      </c>
      <c r="AC163" s="439" t="n">
        <f aca="false" t="array" ref="AC163:AC163">IF($R161=2,
         IF(AND(ACOMPANHAMENTO="PLE",ISNUMBER($F161)),
                SUMIF((OFFSET(CÁLCULO!$BS$15:$CS$15,$F161,0,OFFSET(ORÇAMENTO!$D$15,CRONO!$F161,0))),CRONO!AC$12,OFFSET(CÁLCULO!$AR$15:$BR$15,$F161,0,OFFSET(ORÇAMENTO!$D$15,CRONO!$F161,0)))
                +IF(AND($F163&lt;&gt;"",$F163&lt;&gt;0),
                        SUMIF(CÁLCULO!$BS$15:$CS$205,CRONO!AC$12,CÁLCULO!$AR$15:$BR$205)/(ORÇAMENTO!$X$15-_xlfn.single(CÁLCULO.TotalAdmLocal))*CRONO!$F163,
                        0),
                 AC162*$S161),
          SUMIF(OFFSET($S163,1,0,$R161-2),($M161+1)&amp;"$",OFFSET(AC163,1,0,$R161-2)))</f>
        <v>0</v>
      </c>
      <c r="AD163" s="439" t="n">
        <f aca="false" t="array" ref="AD163:AD163">IF($R161=2,
         IF(AND(ACOMPANHAMENTO="PLE",ISNUMBER($F161)),
                SUMIF((OFFSET(CÁLCULO!$BS$15:$CS$15,$F161,0,OFFSET(ORÇAMENTO!$D$15,CRONO!$F161,0))),CRONO!AD$12,OFFSET(CÁLCULO!$AR$15:$BR$15,$F161,0,OFFSET(ORÇAMENTO!$D$15,CRONO!$F161,0)))
                +IF(AND($F163&lt;&gt;"",$F163&lt;&gt;0),
                        SUMIF(CÁLCULO!$BS$15:$CS$205,CRONO!AD$12,CÁLCULO!$AR$15:$BR$205)/(ORÇAMENTO!$X$15-_xlfn.single(CÁLCULO.TotalAdmLocal))*CRONO!$F163,
                        0),
                 AD162*$S161),
          SUMIF(OFFSET($S163,1,0,$R161-2),($M161+1)&amp;"$",OFFSET(AD163,1,0,$R161-2)))</f>
        <v>0</v>
      </c>
      <c r="AE163" s="439" t="n">
        <f aca="false" t="array" ref="AE163:AE163">IF($R161=2,
         IF(AND(ACOMPANHAMENTO="PLE",ISNUMBER($F161)),
                SUMIF((OFFSET(CÁLCULO!$BS$15:$CS$15,$F161,0,OFFSET(ORÇAMENTO!$D$15,CRONO!$F161,0))),CRONO!AE$12,OFFSET(CÁLCULO!$AR$15:$BR$15,$F161,0,OFFSET(ORÇAMENTO!$D$15,CRONO!$F161,0)))
                +IF(AND($F163&lt;&gt;"",$F163&lt;&gt;0),
                        SUMIF(CÁLCULO!$BS$15:$CS$205,CRONO!AE$12,CÁLCULO!$AR$15:$BR$205)/(ORÇAMENTO!$X$15-_xlfn.single(CÁLCULO.TotalAdmLocal))*CRONO!$F163,
                        0),
                 AE162*$S161),
          SUMIF(OFFSET($S163,1,0,$R161-2),($M161+1)&amp;"$",OFFSET(AE163,1,0,$R161-2)))</f>
        <v>0</v>
      </c>
      <c r="AF163" s="439" t="n">
        <f aca="false" t="array" ref="AF163:AF163">IF($R161=2,
         IF(AND(ACOMPANHAMENTO="PLE",ISNUMBER($F161)),
                SUMIF((OFFSET(CÁLCULO!$BS$15:$CS$15,$F161,0,OFFSET(ORÇAMENTO!$D$15,CRONO!$F161,0))),CRONO!AF$12,OFFSET(CÁLCULO!$AR$15:$BR$15,$F161,0,OFFSET(ORÇAMENTO!$D$15,CRONO!$F161,0)))
                +IF(AND($F163&lt;&gt;"",$F163&lt;&gt;0),
                        SUMIF(CÁLCULO!$BS$15:$CS$205,CRONO!AF$12,CÁLCULO!$AR$15:$BR$205)/(ORÇAMENTO!$X$15-_xlfn.single(CÁLCULO.TotalAdmLocal))*CRONO!$F163,
                        0),
                 AF162*$S161),
          SUMIF(OFFSET($S163,1,0,$R161-2),($M161+1)&amp;"$",OFFSET(AF163,1,0,$R161-2)))</f>
        <v>0</v>
      </c>
      <c r="AG163" s="439" t="n">
        <f aca="false" t="array" ref="AG163:AG163">IF($R161=2,
         IF(AND(ACOMPANHAMENTO="PLE",ISNUMBER($F161)),
                SUMIF((OFFSET(CÁLCULO!$BS$15:$CS$15,$F161,0,OFFSET(ORÇAMENTO!$D$15,CRONO!$F161,0))),CRONO!AG$12,OFFSET(CÁLCULO!$AR$15:$BR$15,$F161,0,OFFSET(ORÇAMENTO!$D$15,CRONO!$F161,0)))
                +IF(AND($F163&lt;&gt;"",$F163&lt;&gt;0),
                        SUMIF(CÁLCULO!$BS$15:$CS$205,CRONO!AG$12,CÁLCULO!$AR$15:$BR$205)/(ORÇAMENTO!$X$15-_xlfn.single(CÁLCULO.TotalAdmLocal))*CRONO!$F163,
                        0),
                 AG162*$S161),
          SUMIF(OFFSET($S163,1,0,$R161-2),($M161+1)&amp;"$",OFFSET(AG163,1,0,$R161-2)))</f>
        <v>0</v>
      </c>
      <c r="AH163" s="439" t="n">
        <f aca="false" t="array" ref="AH163:AH163">IF($R161=2,
         IF(AND(ACOMPANHAMENTO="PLE",ISNUMBER($F161)),
                SUMIF((OFFSET(CÁLCULO!$BS$15:$CS$15,$F161,0,OFFSET(ORÇAMENTO!$D$15,CRONO!$F161,0))),CRONO!AH$12,OFFSET(CÁLCULO!$AR$15:$BR$15,$F161,0,OFFSET(ORÇAMENTO!$D$15,CRONO!$F161,0)))
                +IF(AND($F163&lt;&gt;"",$F163&lt;&gt;0),
                        SUMIF(CÁLCULO!$BS$15:$CS$205,CRONO!AH$12,CÁLCULO!$AR$15:$BR$205)/(ORÇAMENTO!$X$15-_xlfn.single(CÁLCULO.TotalAdmLocal))*CRONO!$F163,
                        0),
                 AH162*$S161),
          SUMIF(OFFSET($S163,1,0,$R161-2),($M161+1)&amp;"$",OFFSET(AH163,1,0,$R161-2)))</f>
        <v>0</v>
      </c>
      <c r="AI163" s="439" t="n">
        <f aca="false" t="array" ref="AI163:AI163">IF($R161=2,
         IF(AND(ACOMPANHAMENTO="PLE",ISNUMBER($F161)),
                SUMIF((OFFSET(CÁLCULO!$BS$15:$CS$15,$F161,0,OFFSET(ORÇAMENTO!$D$15,CRONO!$F161,0))),CRONO!AI$12,OFFSET(CÁLCULO!$AR$15:$BR$15,$F161,0,OFFSET(ORÇAMENTO!$D$15,CRONO!$F161,0)))
                +IF(AND($F163&lt;&gt;"",$F163&lt;&gt;0),
                        SUMIF(CÁLCULO!$BS$15:$CS$205,CRONO!AI$12,CÁLCULO!$AR$15:$BR$205)/(ORÇAMENTO!$X$15-_xlfn.single(CÁLCULO.TotalAdmLocal))*CRONO!$F163,
                        0),
                 AI162*$S161),
          SUMIF(OFFSET($S163,1,0,$R161-2),($M161+1)&amp;"$",OFFSET(AI163,1,0,$R161-2)))</f>
        <v>0</v>
      </c>
      <c r="AJ163" s="439" t="n">
        <f aca="false" t="array" ref="AJ163:AJ163">IF($R161=2,
         IF(AND(ACOMPANHAMENTO="PLE",ISNUMBER($F161)),
                SUMIF((OFFSET(CÁLCULO!$BS$15:$CS$15,$F161,0,OFFSET(ORÇAMENTO!$D$15,CRONO!$F161,0))),CRONO!AJ$12,OFFSET(CÁLCULO!$AR$15:$BR$15,$F161,0,OFFSET(ORÇAMENTO!$D$15,CRONO!$F161,0)))
                +IF(AND($F163&lt;&gt;"",$F163&lt;&gt;0),
                        SUMIF(CÁLCULO!$BS$15:$CS$205,CRONO!AJ$12,CÁLCULO!$AR$15:$BR$205)/(ORÇAMENTO!$X$15-_xlfn.single(CÁLCULO.TotalAdmLocal))*CRONO!$F163,
                        0),
                 AJ162*$S161),
          SUMIF(OFFSET($S163,1,0,$R161-2),($M161+1)&amp;"$",OFFSET(AJ163,1,0,$R161-2)))</f>
        <v>0</v>
      </c>
      <c r="AK163" s="439" t="n">
        <f aca="false" t="array" ref="AK163:AK163">IF($R161=2,
         IF(AND(ACOMPANHAMENTO="PLE",ISNUMBER($F161)),
                SUMIF((OFFSET(CÁLCULO!$BS$15:$CS$15,$F161,0,OFFSET(ORÇAMENTO!$D$15,CRONO!$F161,0))),CRONO!AK$12,OFFSET(CÁLCULO!$AR$15:$BR$15,$F161,0,OFFSET(ORÇAMENTO!$D$15,CRONO!$F161,0)))
                +IF(AND($F163&lt;&gt;"",$F163&lt;&gt;0),
                        SUMIF(CÁLCULO!$BS$15:$CS$205,CRONO!AK$12,CÁLCULO!$AR$15:$BR$205)/(ORÇAMENTO!$X$15-_xlfn.single(CÁLCULO.TotalAdmLocal))*CRONO!$F163,
                        0),
                 AK162*$S161),
          SUMIF(OFFSET($S163,1,0,$R161-2),($M161+1)&amp;"$",OFFSET(AK163,1,0,$R161-2)))</f>
        <v>0</v>
      </c>
      <c r="AL163" s="439" t="n">
        <f aca="false" t="array" ref="AL163:AL163">IF($R161=2,
         IF(AND(ACOMPANHAMENTO="PLE",ISNUMBER($F161)),
                SUMIF((OFFSET(CÁLCULO!$BS$15:$CS$15,$F161,0,OFFSET(ORÇAMENTO!$D$15,CRONO!$F161,0))),CRONO!AL$12,OFFSET(CÁLCULO!$AR$15:$BR$15,$F161,0,OFFSET(ORÇAMENTO!$D$15,CRONO!$F161,0)))
                +IF(AND($F163&lt;&gt;"",$F163&lt;&gt;0),
                        SUMIF(CÁLCULO!$BS$15:$CS$205,CRONO!AL$12,CÁLCULO!$AR$15:$BR$205)/(ORÇAMENTO!$X$15-_xlfn.single(CÁLCULO.TotalAdmLocal))*CRONO!$F163,
                        0),
                 AL162*$S161),
          SUMIF(OFFSET($S163,1,0,$R161-2),($M161+1)&amp;"$",OFFSET(AL163,1,0,$R161-2)))</f>
        <v>0</v>
      </c>
      <c r="AM163" s="439" t="n">
        <f aca="false" t="array" ref="AM163:AM163">IF($R161=2,
         IF(AND(ACOMPANHAMENTO="PLE",ISNUMBER($F161)),
                SUMIF((OFFSET(CÁLCULO!$BS$15:$CS$15,$F161,0,OFFSET(ORÇAMENTO!$D$15,CRONO!$F161,0))),CRONO!AM$12,OFFSET(CÁLCULO!$AR$15:$BR$15,$F161,0,OFFSET(ORÇAMENTO!$D$15,CRONO!$F161,0)))
                +IF(AND($F163&lt;&gt;"",$F163&lt;&gt;0),
                        SUMIF(CÁLCULO!$BS$15:$CS$205,CRONO!AM$12,CÁLCULO!$AR$15:$BR$205)/(ORÇAMENTO!$X$15-_xlfn.single(CÁLCULO.TotalAdmLocal))*CRONO!$F163,
                        0),
                 AM162*$S161),
          SUMIF(OFFSET($S163,1,0,$R161-2),($M161+1)&amp;"$",OFFSET(AM163,1,0,$R161-2)))</f>
        <v>0</v>
      </c>
      <c r="AN163" s="439" t="n">
        <f aca="false" t="array" ref="AN163:AN163">IF($R161=2,
         IF(AND(ACOMPANHAMENTO="PLE",ISNUMBER($F161)),
                SUMIF((OFFSET(CÁLCULO!$BS$15:$CS$15,$F161,0,OFFSET(ORÇAMENTO!$D$15,CRONO!$F161,0))),CRONO!AN$12,OFFSET(CÁLCULO!$AR$15:$BR$15,$F161,0,OFFSET(ORÇAMENTO!$D$15,CRONO!$F161,0)))
                +IF(AND($F163&lt;&gt;"",$F163&lt;&gt;0),
                        SUMIF(CÁLCULO!$BS$15:$CS$205,CRONO!AN$12,CÁLCULO!$AR$15:$BR$205)/(ORÇAMENTO!$X$15-_xlfn.single(CÁLCULO.TotalAdmLocal))*CRONO!$F163,
                        0),
                 AN162*$S161),
          SUMIF(OFFSET($S163,1,0,$R161-2),($M161+1)&amp;"$",OFFSET(AN163,1,0,$R161-2)))</f>
        <v>0</v>
      </c>
      <c r="AO163" s="439" t="n">
        <f aca="false" t="array" ref="AO163:AO163">IF($R161=2,
         IF(AND(ACOMPANHAMENTO="PLE",ISNUMBER($F161)),
                SUMIF((OFFSET(CÁLCULO!$BS$15:$CS$15,$F161,0,OFFSET(ORÇAMENTO!$D$15,CRONO!$F161,0))),CRONO!AO$12,OFFSET(CÁLCULO!$AR$15:$BR$15,$F161,0,OFFSET(ORÇAMENTO!$D$15,CRONO!$F161,0)))
                +IF(AND($F163&lt;&gt;"",$F163&lt;&gt;0),
                        SUMIF(CÁLCULO!$BS$15:$CS$205,CRONO!AO$12,CÁLCULO!$AR$15:$BR$205)/(ORÇAMENTO!$X$15-_xlfn.single(CÁLCULO.TotalAdmLocal))*CRONO!$F163,
                        0),
                 AO162*$S161),
          SUMIF(OFFSET($S163,1,0,$R161-2),($M161+1)&amp;"$",OFFSET(AO163,1,0,$R161-2)))</f>
        <v>0</v>
      </c>
      <c r="AP163" s="439" t="n">
        <f aca="false" t="array" ref="AP163:AP163">IF($R161=2,
         IF(AND(ACOMPANHAMENTO="PLE",ISNUMBER($F161)),
                SUMIF((OFFSET(CÁLCULO!$BS$15:$CS$15,$F161,0,OFFSET(ORÇAMENTO!$D$15,CRONO!$F161,0))),CRONO!AP$12,OFFSET(CÁLCULO!$AR$15:$BR$15,$F161,0,OFFSET(ORÇAMENTO!$D$15,CRONO!$F161,0)))
                +IF(AND($F163&lt;&gt;"",$F163&lt;&gt;0),
                        SUMIF(CÁLCULO!$BS$15:$CS$205,CRONO!AP$12,CÁLCULO!$AR$15:$BR$205)/(ORÇAMENTO!$X$15-_xlfn.single(CÁLCULO.TotalAdmLocal))*CRONO!$F163,
                        0),
                 AP162*$S161),
          SUMIF(OFFSET($S163,1,0,$R161-2),($M161+1)&amp;"$",OFFSET(AP163,1,0,$R161-2)))</f>
        <v>0</v>
      </c>
      <c r="AQ163" s="439" t="n">
        <f aca="false" t="array" ref="AQ163:AQ163">IF($R161=2,
         IF(AND(ACOMPANHAMENTO="PLE",ISNUMBER($F161)),
                SUMIF((OFFSET(CÁLCULO!$BS$15:$CS$15,$F161,0,OFFSET(ORÇAMENTO!$D$15,CRONO!$F161,0))),CRONO!AQ$12,OFFSET(CÁLCULO!$AR$15:$BR$15,$F161,0,OFFSET(ORÇAMENTO!$D$15,CRONO!$F161,0)))
                +IF(AND($F163&lt;&gt;"",$F163&lt;&gt;0),
                        SUMIF(CÁLCULO!$BS$15:$CS$205,CRONO!AQ$12,CÁLCULO!$AR$15:$BR$205)/(ORÇAMENTO!$X$15-_xlfn.single(CÁLCULO.TotalAdmLocal))*CRONO!$F163,
                        0),
                 AQ162*$S161),
          SUMIF(OFFSET($S163,1,0,$R161-2),($M161+1)&amp;"$",OFFSET(AQ163,1,0,$R161-2)))</f>
        <v>0</v>
      </c>
      <c r="AR163" s="439" t="n">
        <f aca="false" t="array" ref="AR163:AR163">IF($R161=2,
         IF(AND(ACOMPANHAMENTO="PLE",ISNUMBER($F161)),
                SUMIF((OFFSET(CÁLCULO!$BS$15:$CS$15,$F161,0,OFFSET(ORÇAMENTO!$D$15,CRONO!$F161,0))),CRONO!AR$12,OFFSET(CÁLCULO!$AR$15:$BR$15,$F161,0,OFFSET(ORÇAMENTO!$D$15,CRONO!$F161,0)))
                +IF(AND($F163&lt;&gt;"",$F163&lt;&gt;0),
                        SUMIF(CÁLCULO!$BS$15:$CS$205,CRONO!AR$12,CÁLCULO!$AR$15:$BR$205)/(ORÇAMENTO!$X$15-_xlfn.single(CÁLCULO.TotalAdmLocal))*CRONO!$F163,
                        0),
                 AR162*$S161),
          SUMIF(OFFSET($S163,1,0,$R161-2),($M161+1)&amp;"$",OFFSET(AR163,1,0,$R161-2)))</f>
        <v>0</v>
      </c>
      <c r="AS163" s="439" t="n">
        <f aca="false" t="array" ref="AS163:AS163">IF($R161=2,
         IF(AND(ACOMPANHAMENTO="PLE",ISNUMBER($F161)),
                SUMIF((OFFSET(CÁLCULO!$BS$15:$CS$15,$F161,0,OFFSET(ORÇAMENTO!$D$15,CRONO!$F161,0))),CRONO!AS$12,OFFSET(CÁLCULO!$AR$15:$BR$15,$F161,0,OFFSET(ORÇAMENTO!$D$15,CRONO!$F161,0)))
                +IF(AND($F163&lt;&gt;"",$F163&lt;&gt;0),
                        SUMIF(CÁLCULO!$BS$15:$CS$205,CRONO!AS$12,CÁLCULO!$AR$15:$BR$205)/(ORÇAMENTO!$X$15-_xlfn.single(CÁLCULO.TotalAdmLocal))*CRONO!$F163,
                        0),
                 AS162*$S161),
          SUMIF(OFFSET($S163,1,0,$R161-2),($M161+1)&amp;"$",OFFSET(AS163,1,0,$R161-2)))</f>
        <v>0</v>
      </c>
      <c r="AT163" s="439" t="n">
        <f aca="false" t="array" ref="AT163:AT163">IF($R161=2,
         IF(AND(ACOMPANHAMENTO="PLE",ISNUMBER($F161)),
                SUMIF((OFFSET(CÁLCULO!$BS$15:$CS$15,$F161,0,OFFSET(ORÇAMENTO!$D$15,CRONO!$F161,0))),CRONO!AT$12,OFFSET(CÁLCULO!$AR$15:$BR$15,$F161,0,OFFSET(ORÇAMENTO!$D$15,CRONO!$F161,0)))
                +IF(AND($F163&lt;&gt;"",$F163&lt;&gt;0),
                        SUMIF(CÁLCULO!$BS$15:$CS$205,CRONO!AT$12,CÁLCULO!$AR$15:$BR$205)/(ORÇAMENTO!$X$15-_xlfn.single(CÁLCULO.TotalAdmLocal))*CRONO!$F163,
                        0),
                 AT162*$S161),
          SUMIF(OFFSET($S163,1,0,$R161-2),($M161+1)&amp;"$",OFFSET(AT163,1,0,$R161-2)))</f>
        <v>0</v>
      </c>
      <c r="AU163" s="439" t="n">
        <f aca="false" t="array" ref="AU163:AU163">IF($R161=2,
         IF(AND(ACOMPANHAMENTO="PLE",ISNUMBER($F161)),
                SUMIF((OFFSET(CÁLCULO!$BS$15:$CS$15,$F161,0,OFFSET(ORÇAMENTO!$D$15,CRONO!$F161,0))),CRONO!AU$12,OFFSET(CÁLCULO!$AR$15:$BR$15,$F161,0,OFFSET(ORÇAMENTO!$D$15,CRONO!$F161,0)))
                +IF(AND($F163&lt;&gt;"",$F163&lt;&gt;0),
                        SUMIF(CÁLCULO!$BS$15:$CS$205,CRONO!AU$12,CÁLCULO!$AR$15:$BR$205)/(ORÇAMENTO!$X$15-_xlfn.single(CÁLCULO.TotalAdmLocal))*CRONO!$F163,
                        0),
                 AU162*$S161),
          SUMIF(OFFSET($S163,1,0,$R161-2),($M161+1)&amp;"$",OFFSET(AU163,1,0,$R161-2)))</f>
        <v>0</v>
      </c>
      <c r="AV163" s="439" t="n">
        <f aca="false" t="array" ref="AV163:AV163">IF($R161=2,
         IF(AND(ACOMPANHAMENTO="PLE",ISNUMBER($F161)),
                SUMIF((OFFSET(CÁLCULO!$BS$15:$CS$15,$F161,0,OFFSET(ORÇAMENTO!$D$15,CRONO!$F161,0))),CRONO!AV$12,OFFSET(CÁLCULO!$AR$15:$BR$15,$F161,0,OFFSET(ORÇAMENTO!$D$15,CRONO!$F161,0)))
                +IF(AND($F163&lt;&gt;"",$F163&lt;&gt;0),
                        SUMIF(CÁLCULO!$BS$15:$CS$205,CRONO!AV$12,CÁLCULO!$AR$15:$BR$205)/(ORÇAMENTO!$X$15-_xlfn.single(CÁLCULO.TotalAdmLocal))*CRONO!$F163,
                        0),
                 AV162*$S161),
          SUMIF(OFFSET($S163,1,0,$R161-2),($M161+1)&amp;"$",OFFSET(AV163,1,0,$R161-2)))</f>
        <v>0</v>
      </c>
      <c r="AW163" s="439" t="n">
        <f aca="false" t="array" ref="AW163:AW163">IF($R161=2,
         IF(AND(ACOMPANHAMENTO="PLE",ISNUMBER($F161)),
                SUMIF((OFFSET(CÁLCULO!$BS$15:$CS$15,$F161,0,OFFSET(ORÇAMENTO!$D$15,CRONO!$F161,0))),CRONO!AW$12,OFFSET(CÁLCULO!$AR$15:$BR$15,$F161,0,OFFSET(ORÇAMENTO!$D$15,CRONO!$F161,0)))
                +IF(AND($F163&lt;&gt;"",$F163&lt;&gt;0),
                        SUMIF(CÁLCULO!$BS$15:$CS$205,CRONO!AW$12,CÁLCULO!$AR$15:$BR$205)/(ORÇAMENTO!$X$15-_xlfn.single(CÁLCULO.TotalAdmLocal))*CRONO!$F163,
                        0),
                 AW162*$S161),
          SUMIF(OFFSET($S163,1,0,$R161-2),($M161+1)&amp;"$",OFFSET(AW163,1,0,$R161-2)))</f>
        <v>0</v>
      </c>
      <c r="AX163" s="439" t="n">
        <f aca="false" t="array" ref="AX163:AX163">IF($R161=2,
         IF(AND(ACOMPANHAMENTO="PLE",ISNUMBER($F161)),
                SUMIF((OFFSET(CÁLCULO!$BS$15:$CS$15,$F161,0,OFFSET(ORÇAMENTO!$D$15,CRONO!$F161,0))),CRONO!AX$12,OFFSET(CÁLCULO!$AR$15:$BR$15,$F161,0,OFFSET(ORÇAMENTO!$D$15,CRONO!$F161,0)))
                +IF(AND($F163&lt;&gt;"",$F163&lt;&gt;0),
                        SUMIF(CÁLCULO!$BS$15:$CS$205,CRONO!AX$12,CÁLCULO!$AR$15:$BR$205)/(ORÇAMENTO!$X$15-_xlfn.single(CÁLCULO.TotalAdmLocal))*CRONO!$F163,
                        0),
                 AX162*$S161),
          SUMIF(OFFSET($S163,1,0,$R161-2),($M161+1)&amp;"$",OFFSET(AX163,1,0,$R161-2)))</f>
        <v>0</v>
      </c>
      <c r="AY163" s="439" t="n">
        <f aca="false" t="array" ref="AY163:AY163">IF($R161=2,
         IF(AND(ACOMPANHAMENTO="PLE",ISNUMBER($F161)),
                SUMIF((OFFSET(CÁLCULO!$BS$15:$CS$15,$F161,0,OFFSET(ORÇAMENTO!$D$15,CRONO!$F161,0))),CRONO!AY$12,OFFSET(CÁLCULO!$AR$15:$BR$15,$F161,0,OFFSET(ORÇAMENTO!$D$15,CRONO!$F161,0)))
                +IF(AND($F163&lt;&gt;"",$F163&lt;&gt;0),
                        SUMIF(CÁLCULO!$BS$15:$CS$205,CRONO!AY$12,CÁLCULO!$AR$15:$BR$205)/(ORÇAMENTO!$X$15-_xlfn.single(CÁLCULO.TotalAdmLocal))*CRONO!$F163,
                        0),
                 AY162*$S161),
          SUMIF(OFFSET($S163,1,0,$R161-2),($M161+1)&amp;"$",OFFSET(AY163,1,0,$R161-2)))</f>
        <v>0</v>
      </c>
      <c r="AZ163" s="439" t="n">
        <f aca="false" t="array" ref="AZ163:AZ163">IF($R161=2,
         IF(AND(ACOMPANHAMENTO="PLE",ISNUMBER($F161)),
                SUMIF((OFFSET(CÁLCULO!$BS$15:$CS$15,$F161,0,OFFSET(ORÇAMENTO!$D$15,CRONO!$F161,0))),CRONO!AZ$12,OFFSET(CÁLCULO!$AR$15:$BR$15,$F161,0,OFFSET(ORÇAMENTO!$D$15,CRONO!$F161,0)))
                +IF(AND($F163&lt;&gt;"",$F163&lt;&gt;0),
                        SUMIF(CÁLCULO!$BS$15:$CS$205,CRONO!AZ$12,CÁLCULO!$AR$15:$BR$205)/(ORÇAMENTO!$X$15-_xlfn.single(CÁLCULO.TotalAdmLocal))*CRONO!$F163,
                        0),
                 AZ162*$S161),
          SUMIF(OFFSET($S163,1,0,$R161-2),($M161+1)&amp;"$",OFFSET(AZ163,1,0,$R161-2)))</f>
        <v>0</v>
      </c>
      <c r="BA163" s="439" t="n">
        <f aca="false" t="array" ref="BA163:BA163">IF($R161=2,
         IF(AND(ACOMPANHAMENTO="PLE",ISNUMBER($F161)),
                SUMIF((OFFSET(CÁLCULO!$BS$15:$CS$15,$F161,0,OFFSET(ORÇAMENTO!$D$15,CRONO!$F161,0))),CRONO!BA$12,OFFSET(CÁLCULO!$AR$15:$BR$15,$F161,0,OFFSET(ORÇAMENTO!$D$15,CRONO!$F161,0)))
                +IF(AND($F163&lt;&gt;"",$F163&lt;&gt;0),
                        SUMIF(CÁLCULO!$BS$15:$CS$205,CRONO!BA$12,CÁLCULO!$AR$15:$BR$205)/(ORÇAMENTO!$X$15-_xlfn.single(CÁLCULO.TotalAdmLocal))*CRONO!$F163,
                        0),
                 BA162*$S161),
          SUMIF(OFFSET($S163,1,0,$R161-2),($M161+1)&amp;"$",OFFSET(BA163,1,0,$R161-2)))</f>
        <v>0</v>
      </c>
      <c r="BB163" s="439" t="n">
        <f aca="false" t="array" ref="BB163:BB163">IF($R161=2,
         IF(AND(ACOMPANHAMENTO="PLE",ISNUMBER($F161)),
                SUMIF((OFFSET(CÁLCULO!$BS$15:$CS$15,$F161,0,OFFSET(ORÇAMENTO!$D$15,CRONO!$F161,0))),CRONO!BB$12,OFFSET(CÁLCULO!$AR$15:$BR$15,$F161,0,OFFSET(ORÇAMENTO!$D$15,CRONO!$F161,0)))
                +IF(AND($F163&lt;&gt;"",$F163&lt;&gt;0),
                        SUMIF(CÁLCULO!$BS$15:$CS$205,CRONO!BB$12,CÁLCULO!$AR$15:$BR$205)/(ORÇAMENTO!$X$15-_xlfn.single(CÁLCULO.TotalAdmLocal))*CRONO!$F163,
                        0),
                 BB162*$S161),
          SUMIF(OFFSET($S163,1,0,$R161-2),($M161+1)&amp;"$",OFFSET(BB163,1,0,$R161-2)))</f>
        <v>0</v>
      </c>
      <c r="BC163" s="439" t="n">
        <f aca="false" t="array" ref="BC163:BC163">IF($R161=2,
         IF(AND(ACOMPANHAMENTO="PLE",ISNUMBER($F161)),
                SUMIF((OFFSET(CÁLCULO!$BS$15:$CS$15,$F161,0,OFFSET(ORÇAMENTO!$D$15,CRONO!$F161,0))),CRONO!BC$12,OFFSET(CÁLCULO!$AR$15:$BR$15,$F161,0,OFFSET(ORÇAMENTO!$D$15,CRONO!$F161,0)))
                +IF(AND($F163&lt;&gt;"",$F163&lt;&gt;0),
                        SUMIF(CÁLCULO!$BS$15:$CS$205,CRONO!BC$12,CÁLCULO!$AR$15:$BR$205)/(ORÇAMENTO!$X$15-_xlfn.single(CÁLCULO.TotalAdmLocal))*CRONO!$F163,
                        0),
                 BC162*$S161),
          SUMIF(OFFSET($S163,1,0,$R161-2),($M161+1)&amp;"$",OFFSET(BC163,1,0,$R161-2)))</f>
        <v>0</v>
      </c>
      <c r="BD163" s="439" t="n">
        <f aca="false" t="array" ref="BD163:BD163">IF($R161=2,
         IF(AND(ACOMPANHAMENTO="PLE",ISNUMBER($F161)),
                SUMIF((OFFSET(CÁLCULO!$BS$15:$CS$15,$F161,0,OFFSET(ORÇAMENTO!$D$15,CRONO!$F161,0))),CRONO!BD$12,OFFSET(CÁLCULO!$AR$15:$BR$15,$F161,0,OFFSET(ORÇAMENTO!$D$15,CRONO!$F161,0)))
                +IF(AND($F163&lt;&gt;"",$F163&lt;&gt;0),
                        SUMIF(CÁLCULO!$BS$15:$CS$205,CRONO!BD$12,CÁLCULO!$AR$15:$BR$205)/(ORÇAMENTO!$X$15-_xlfn.single(CÁLCULO.TotalAdmLocal))*CRONO!$F163,
                        0),
                 BD162*$S161),
          SUMIF(OFFSET($S163,1,0,$R161-2),($M161+1)&amp;"$",OFFSET(BD163,1,0,$R161-2)))</f>
        <v>0</v>
      </c>
      <c r="BE163" s="430"/>
    </row>
    <row r="164" customFormat="false" ht="12.75" hidden="true" customHeight="false" outlineLevel="0" collapsed="false">
      <c r="A164" s="382" t="str">
        <f aca="false">IF($M164&gt;1,_xlfn.CONCAT($I164," ",$J164),"")</f>
        <v>1.50. LÓGICA</v>
      </c>
      <c r="B164" s="419" t="n">
        <f aca="true">OFFSET(B164,-3,0)+1</f>
        <v>51</v>
      </c>
      <c r="C164" s="419" t="n">
        <f aca="true">IF($R164&lt;&gt;2,0,IF($S164=0,1,IF(F165&gt;0,OFFSET(QCI!$M$13,SUBSTITUTE(F165,".",""),0),OFFSET(ORÇAMENTO!$AA$15,CRONO!$F164,0))/$S164))</f>
        <v>1</v>
      </c>
      <c r="D164" s="419" t="n">
        <f aca="true">IF($R164&lt;&gt;2,0,IF($S164=0,1,IF(F165&gt;0,OFFSET(QCI!$N$13,SUBSTITUTE(F165,".",""),0),OFFSET(ORÇAMENTO!$AB$15,CRONO!$F164,0))/$S164))</f>
        <v>1</v>
      </c>
      <c r="E164" s="422" t="e">
        <f aca="false" t="array" ref="E164:E164">IF(AND($R164=2,ACOMPANHAMENTO="BM"),ROUND(E165,4),E166/$S164)</f>
        <v>#DIV/0!</v>
      </c>
      <c r="F164" s="419" t="n">
        <f aca="true">IF(B164&lt;=ORÇAMENTO.MáximoListaCrono,MATCH(B164,ORÇAMENTO.ListaCrono,0),NA())</f>
        <v>183</v>
      </c>
      <c r="G164" s="419" t="str">
        <f aca="false">IF(AND($F165&lt;&gt;-1,$S164&gt;0),"F","")</f>
        <v/>
      </c>
      <c r="H164" s="423" t="str">
        <f aca="false" t="array" ref="H164:H164">IF(OR(S164=0,S164=""),"Linha",IF(AND(OR(ACOMPANHAMENTO="PLE",$R164&lt;&gt;2),$F165=0),"Linha",ROUND(1-SUM(U164:BE164),4)))</f>
        <v>Linha</v>
      </c>
      <c r="I164" s="424" t="str">
        <f aca="true">IF($F165=0,OFFSET(ORÇAMENTO!O$15,$F164,0),IF($F165&lt;&gt;-1,OFFSET(QCI!$D$13,$F165,0),""))</f>
        <v>1.50.</v>
      </c>
      <c r="J164" s="425" t="str">
        <f aca="true">IF($F165=0,OFFSET(ORÇAMENTO!R$15,$F164,0),IF($F165&lt;&gt;-1,OFFSET(QCI!$G$13,$F165,0),""))</f>
        <v>LÓGICA</v>
      </c>
      <c r="K164" s="425"/>
      <c r="L164" s="425"/>
      <c r="M164" s="426" t="n">
        <f aca="true">IF($F165=0,OFFSET(ORÇAMENTO!C$15,$F164,0),1)</f>
        <v>2</v>
      </c>
      <c r="N164" s="427" t="n">
        <f aca="true">IF($F165=-1,0,IF(N$13&lt;=$M164,IF(ISERROR(MATCH(N$13,OFFSET($M164,1,0,ROW($M$182)-ROW($M164)-1),0)),ROW($M$182)-ROW($M164)-1,MATCH(N$13,OFFSET($M164,1,0,ROW($M$182)-ROW($M164)-1),0)-1),0))</f>
        <v>17</v>
      </c>
      <c r="O164" s="427" t="n">
        <f aca="true">IF($F165=-1,0,IF(O$13&lt;=$M164,IF(ISERROR(MATCH(O$13,OFFSET($M164,1,0,ROW($M$182)-ROW($M164)-1),0)),ROW($M$182)-ROW($M164)-1,MATCH(O$13,OFFSET($M164,1,0,ROW($M$182)-ROW($M164)-1),0)-1),0))</f>
        <v>2</v>
      </c>
      <c r="P164" s="427" t="n">
        <f aca="true">IF($F165=-1,0,IF(P$13&lt;=$M164,IF(ISERROR(MATCH(P$13,OFFSET($M164,1,0,ROW($M$182)-ROW($M164)-1),0)),ROW($M$182)-ROW($M164)-1,MATCH(P$13,OFFSET($M164,1,0,ROW($M$182)-ROW($M164)-1),0)-1),0))</f>
        <v>0</v>
      </c>
      <c r="Q164" s="427" t="n">
        <f aca="true">IF($F165=-1,0,IF(Q$13&lt;=$M164,IF(ISERROR(MATCH(Q$13,OFFSET($M164,1,0,ROW($M$182)-ROW($M164)-1),0)),ROW($M$182)-ROW($M164)-1,MATCH(Q$13,OFFSET($M164,1,0,ROW($M$182)-ROW($M164)-1),0)-1),0))</f>
        <v>0</v>
      </c>
      <c r="R164" s="427" t="n">
        <f aca="true">MIN(OFFSET(M164,0,1,,M164))</f>
        <v>2</v>
      </c>
      <c r="S164" s="428" t="n">
        <f aca="true">IF($F165=0,OFFSET(ORÇAMENTO!X$15,$F164,0),IF($F165&lt;&gt;-1,OFFSET(QCI!$O$13,$F165,0),""))</f>
        <v>0</v>
      </c>
      <c r="T164" s="429" t="s">
        <v>996</v>
      </c>
      <c r="U164" s="422" t="e">
        <f aca="false" t="array" ref="U164:U164">IF(AND($R164=2,ACOMPANHAMENTO="BM"),ROUND(U165,4),U166/$S164)</f>
        <v>#DIV/0!</v>
      </c>
      <c r="V164" s="422" t="e">
        <f aca="false" t="array" ref="V164:V164">IF(AND($R164=2,ACOMPANHAMENTO="BM"),ROUND(V165,4),V166/$S164)</f>
        <v>#DIV/0!</v>
      </c>
      <c r="W164" s="422" t="e">
        <f aca="false" t="array" ref="W164:W164">IF(AND($R164=2,ACOMPANHAMENTO="BM"),ROUND(W165,4),W166/$S164)</f>
        <v>#DIV/0!</v>
      </c>
      <c r="X164" s="422" t="e">
        <f aca="false" t="array" ref="X164:X164">IF(AND($R164=2,ACOMPANHAMENTO="BM"),ROUND(X165,4),X166/$S164)</f>
        <v>#DIV/0!</v>
      </c>
      <c r="Y164" s="422" t="e">
        <f aca="false" t="array" ref="Y164:Y164">IF(AND($R164=2,ACOMPANHAMENTO="BM"),ROUND(Y165,4),Y166/$S164)</f>
        <v>#DIV/0!</v>
      </c>
      <c r="Z164" s="422" t="e">
        <f aca="false" t="array" ref="Z164:Z164">IF(AND($R164=2,ACOMPANHAMENTO="BM"),ROUND(Z165,4),Z166/$S164)</f>
        <v>#DIV/0!</v>
      </c>
      <c r="AA164" s="422" t="e">
        <f aca="false" t="array" ref="AA164:AA164">IF(AND($R164=2,ACOMPANHAMENTO="BM"),ROUND(AA165,4),AA166/$S164)</f>
        <v>#DIV/0!</v>
      </c>
      <c r="AB164" s="422" t="e">
        <f aca="false" t="array" ref="AB164:AB164">IF(AND($R164=2,ACOMPANHAMENTO="BM"),ROUND(AB165,4),AB166/$S164)</f>
        <v>#DIV/0!</v>
      </c>
      <c r="AC164" s="422" t="e">
        <f aca="false" t="array" ref="AC164:AC164">IF(AND($R164=2,ACOMPANHAMENTO="BM"),ROUND(AC165,4),AC166/$S164)</f>
        <v>#DIV/0!</v>
      </c>
      <c r="AD164" s="422" t="e">
        <f aca="false" t="array" ref="AD164:AD164">IF(AND($R164=2,ACOMPANHAMENTO="BM"),ROUND(AD165,4),AD166/$S164)</f>
        <v>#DIV/0!</v>
      </c>
      <c r="AE164" s="422" t="e">
        <f aca="false" t="array" ref="AE164:AE164">IF(AND($R164=2,ACOMPANHAMENTO="BM"),ROUND(AE165,4),AE166/$S164)</f>
        <v>#DIV/0!</v>
      </c>
      <c r="AF164" s="422" t="e">
        <f aca="false" t="array" ref="AF164:AF164">IF(AND($R164=2,ACOMPANHAMENTO="BM"),ROUND(AF165,4),AF166/$S164)</f>
        <v>#DIV/0!</v>
      </c>
      <c r="AG164" s="422" t="e">
        <f aca="false" t="array" ref="AG164:AG164">IF(AND($R164=2,ACOMPANHAMENTO="BM"),ROUND(AG165,4),AG166/$S164)</f>
        <v>#DIV/0!</v>
      </c>
      <c r="AH164" s="422" t="e">
        <f aca="false" t="array" ref="AH164:AH164">IF(AND($R164=2,ACOMPANHAMENTO="BM"),ROUND(AH165,4),AH166/$S164)</f>
        <v>#DIV/0!</v>
      </c>
      <c r="AI164" s="422" t="e">
        <f aca="false" t="array" ref="AI164:AI164">IF(AND($R164=2,ACOMPANHAMENTO="BM"),ROUND(AI165,4),AI166/$S164)</f>
        <v>#DIV/0!</v>
      </c>
      <c r="AJ164" s="422" t="e">
        <f aca="false" t="array" ref="AJ164:AJ164">IF(AND($R164=2,ACOMPANHAMENTO="BM"),ROUND(AJ165,4),AJ166/$S164)</f>
        <v>#DIV/0!</v>
      </c>
      <c r="AK164" s="422" t="e">
        <f aca="false" t="array" ref="AK164:AK164">IF(AND($R164=2,ACOMPANHAMENTO="BM"),ROUND(AK165,4),AK166/$S164)</f>
        <v>#DIV/0!</v>
      </c>
      <c r="AL164" s="422" t="e">
        <f aca="false" t="array" ref="AL164:AL164">IF(AND($R164=2,ACOMPANHAMENTO="BM"),ROUND(AL165,4),AL166/$S164)</f>
        <v>#DIV/0!</v>
      </c>
      <c r="AM164" s="422" t="e">
        <f aca="false" t="array" ref="AM164:AM164">IF(AND($R164=2,ACOMPANHAMENTO="BM"),ROUND(AM165,4),AM166/$S164)</f>
        <v>#DIV/0!</v>
      </c>
      <c r="AN164" s="422" t="e">
        <f aca="false" t="array" ref="AN164:AN164">IF(AND($R164=2,ACOMPANHAMENTO="BM"),ROUND(AN165,4),AN166/$S164)</f>
        <v>#DIV/0!</v>
      </c>
      <c r="AO164" s="422" t="e">
        <f aca="false" t="array" ref="AO164:AO164">IF(AND($R164=2,ACOMPANHAMENTO="BM"),ROUND(AO165,4),AO166/$S164)</f>
        <v>#DIV/0!</v>
      </c>
      <c r="AP164" s="422" t="e">
        <f aca="false" t="array" ref="AP164:AP164">IF(AND($R164=2,ACOMPANHAMENTO="BM"),ROUND(AP165,4),AP166/$S164)</f>
        <v>#DIV/0!</v>
      </c>
      <c r="AQ164" s="422" t="e">
        <f aca="false" t="array" ref="AQ164:AQ164">IF(AND($R164=2,ACOMPANHAMENTO="BM"),ROUND(AQ165,4),AQ166/$S164)</f>
        <v>#DIV/0!</v>
      </c>
      <c r="AR164" s="422" t="e">
        <f aca="false" t="array" ref="AR164:AR164">IF(AND($R164=2,ACOMPANHAMENTO="BM"),ROUND(AR165,4),AR166/$S164)</f>
        <v>#DIV/0!</v>
      </c>
      <c r="AS164" s="422" t="e">
        <f aca="false" t="array" ref="AS164:AS164">IF(AND($R164=2,ACOMPANHAMENTO="BM"),ROUND(AS165,4),AS166/$S164)</f>
        <v>#DIV/0!</v>
      </c>
      <c r="AT164" s="422" t="e">
        <f aca="false" t="array" ref="AT164:AT164">IF(AND($R164=2,ACOMPANHAMENTO="BM"),ROUND(AT165,4),AT166/$S164)</f>
        <v>#DIV/0!</v>
      </c>
      <c r="AU164" s="422" t="e">
        <f aca="false" t="array" ref="AU164:AU164">IF(AND($R164=2,ACOMPANHAMENTO="BM"),ROUND(AU165,4),AU166/$S164)</f>
        <v>#DIV/0!</v>
      </c>
      <c r="AV164" s="422" t="e">
        <f aca="false" t="array" ref="AV164:AV164">IF(AND($R164=2,ACOMPANHAMENTO="BM"),ROUND(AV165,4),AV166/$S164)</f>
        <v>#DIV/0!</v>
      </c>
      <c r="AW164" s="422" t="e">
        <f aca="false" t="array" ref="AW164:AW164">IF(AND($R164=2,ACOMPANHAMENTO="BM"),ROUND(AW165,4),AW166/$S164)</f>
        <v>#DIV/0!</v>
      </c>
      <c r="AX164" s="422" t="e">
        <f aca="false" t="array" ref="AX164:AX164">IF(AND($R164=2,ACOMPANHAMENTO="BM"),ROUND(AX165,4),AX166/$S164)</f>
        <v>#DIV/0!</v>
      </c>
      <c r="AY164" s="422" t="e">
        <f aca="false" t="array" ref="AY164:AY164">IF(AND($R164=2,ACOMPANHAMENTO="BM"),ROUND(AY165,4),AY166/$S164)</f>
        <v>#DIV/0!</v>
      </c>
      <c r="AZ164" s="422" t="e">
        <f aca="false" t="array" ref="AZ164:AZ164">IF(AND($R164=2,ACOMPANHAMENTO="BM"),ROUND(AZ165,4),AZ166/$S164)</f>
        <v>#DIV/0!</v>
      </c>
      <c r="BA164" s="422" t="e">
        <f aca="false" t="array" ref="BA164:BA164">IF(AND($R164=2,ACOMPANHAMENTO="BM"),ROUND(BA165,4),BA166/$S164)</f>
        <v>#DIV/0!</v>
      </c>
      <c r="BB164" s="422" t="e">
        <f aca="false" t="array" ref="BB164:BB164">IF(AND($R164=2,ACOMPANHAMENTO="BM"),ROUND(BB165,4),BB166/$S164)</f>
        <v>#DIV/0!</v>
      </c>
      <c r="BC164" s="422" t="e">
        <f aca="false" t="array" ref="BC164:BC164">IF(AND($R164=2,ACOMPANHAMENTO="BM"),ROUND(BC165,4),BC166/$S164)</f>
        <v>#DIV/0!</v>
      </c>
      <c r="BD164" s="422" t="e">
        <f aca="false" t="array" ref="BD164:BD164">IF(AND($R164=2,ACOMPANHAMENTO="BM"),ROUND(BD165,4),BD166/$S164)</f>
        <v>#DIV/0!</v>
      </c>
      <c r="BE164" s="430"/>
    </row>
    <row r="165" customFormat="false" ht="12.75" hidden="true" customHeight="true" outlineLevel="0" collapsed="false">
      <c r="E165" s="431"/>
      <c r="F165" s="419" t="n">
        <f aca="true">IF(ISERROR(F164),IF(1+COUNTIF($M$13:OFFSET(M164,-1,0),1)&lt;=MAX(QCI!$D$13:$D$15),1+COUNTIF($M$13:OFFSET(M164,-1,0),1),-1),0)</f>
        <v>0</v>
      </c>
      <c r="G165" s="419" t="str">
        <f aca="true" t="array" ref="G165:G165">IF(ACOMPANHAMENTO="BM",OFFSET(G165,-1,0),"")</f>
        <v/>
      </c>
      <c r="H165" s="432" t="str">
        <f aca="false" t="array" ref="H165:H165">IF(OR(S164=0,S164=""),"vazia",IF(AND(OR(ACOMPANHAMENTO="PLE",$R164&lt;&gt;2),$F165=0),"calculada","--&gt;"))</f>
        <v>vazia</v>
      </c>
      <c r="I165" s="433"/>
      <c r="J165" s="434" t="str">
        <f aca="false">IF(AND(H164&lt;&gt;0,ISNUMBER(H164)),"PREENCHA ESTA LINHA --&gt;","")</f>
        <v/>
      </c>
      <c r="K165" s="434"/>
      <c r="L165" s="434"/>
      <c r="M165" s="435"/>
      <c r="N165" s="435"/>
      <c r="O165" s="435"/>
      <c r="P165" s="435"/>
      <c r="Q165" s="435"/>
      <c r="R165" s="435"/>
      <c r="S165" s="436"/>
      <c r="T165" s="437"/>
      <c r="U165" s="431"/>
      <c r="V165" s="431"/>
      <c r="W165" s="431"/>
      <c r="X165" s="431"/>
      <c r="Y165" s="431"/>
      <c r="Z165" s="431"/>
      <c r="AA165" s="431"/>
      <c r="AB165" s="431"/>
      <c r="AC165" s="431"/>
      <c r="AD165" s="431"/>
      <c r="AE165" s="431"/>
      <c r="AF165" s="431"/>
      <c r="AG165" s="431"/>
      <c r="AH165" s="431"/>
      <c r="AI165" s="431"/>
      <c r="AJ165" s="431"/>
      <c r="AK165" s="431"/>
      <c r="AL165" s="431"/>
      <c r="AM165" s="431"/>
      <c r="AN165" s="431"/>
      <c r="AO165" s="431"/>
      <c r="AP165" s="431"/>
      <c r="AQ165" s="431"/>
      <c r="AR165" s="431"/>
      <c r="AS165" s="431"/>
      <c r="AT165" s="431"/>
      <c r="AU165" s="431"/>
      <c r="AV165" s="431"/>
      <c r="AW165" s="431"/>
      <c r="AX165" s="431"/>
      <c r="AY165" s="431"/>
      <c r="AZ165" s="431"/>
      <c r="BA165" s="431"/>
      <c r="BB165" s="431"/>
      <c r="BC165" s="431"/>
      <c r="BD165" s="431"/>
      <c r="BE165" s="430"/>
    </row>
    <row r="166" customFormat="false" ht="12.75" hidden="true" customHeight="true" outlineLevel="0" collapsed="false">
      <c r="D166" s="438"/>
      <c r="E166" s="439" t="n">
        <f aca="false" t="array" ref="E166:E166">IF($R164=2,
         IF(AND(ACOMPANHAMENTO="PLE",ISNUMBER($F164)),
                SUMIF((OFFSET(CÁLCULO!$BS$15:$CS$15,$F164,0,OFFSET(ORÇAMENTO!$D$15,CRONO!$F164,0))),CRONO!E$12,OFFSET(CÁLCULO!$AR$15:$BR$15,$F164,0,OFFSET(ORÇAMENTO!$D$15,CRONO!$F164,0)))
                +IF(AND($F166&lt;&gt;"",$F166&lt;&gt;0),
                        SUMIF(CÁLCULO!$BS$15:$CS$205,CRONO!E$12,CÁLCULO!$AR$15:$BR$205)/(ORÇAMENTO!$X$15-_xlfn.single(CÁLCULO.TotalAdmLocal))*CRONO!$F166,
                        0),
                 E165*$S164),
          SUMIF(OFFSET($S166,1,0,$R164-2),($M164+1)&amp;"$",OFFSET(E166,1,0,$R164-2)))</f>
        <v>0</v>
      </c>
      <c r="F166" s="419" t="str">
        <f aca="true">IF(OR($R164&lt;&gt;2,AUTOEVENTO&lt;&gt;"manual",$F165&gt;0),"",
        IF(Import.TipoArredondamento="Tradicional",
              SUMIF(OFFSET(CÁLCULO!$M$15,CRONO!$F164,0,OFFSET(ORÇAMENTO!$D$15,CRONO!$F164,0)),1,OFFSET(ORÇAMENTO!$X$15,CRONO!$F164,0,OFFSET(ORÇAMENTO!$D$15,CRONO!$F164,0))),
              0))</f>
        <v/>
      </c>
      <c r="H166" s="440"/>
      <c r="S166" s="441" t="str">
        <f aca="false">M164&amp;"$"</f>
        <v>2$</v>
      </c>
      <c r="T166" s="442"/>
      <c r="U166" s="439" t="n">
        <f aca="false" t="array" ref="U166:U166">IF($R164=2,
         IF(AND(ACOMPANHAMENTO="PLE",ISNUMBER($F164)),
                SUMIF((OFFSET(CÁLCULO!$BS$15:$CS$15,$F164,0,OFFSET(ORÇAMENTO!$D$15,CRONO!$F164,0))),CRONO!U$12,OFFSET(CÁLCULO!$AR$15:$BR$15,$F164,0,OFFSET(ORÇAMENTO!$D$15,CRONO!$F164,0)))
                +IF(AND($F166&lt;&gt;"",$F166&lt;&gt;0),
                        SUMIF(CÁLCULO!$BS$15:$CS$205,CRONO!U$12,CÁLCULO!$AR$15:$BR$205)/(ORÇAMENTO!$X$15-_xlfn.single(CÁLCULO.TotalAdmLocal))*CRONO!$F166,
                        0),
                 U165*$S164),
          SUMIF(OFFSET($S166,1,0,$R164-2),($M164+1)&amp;"$",OFFSET(U166,1,0,$R164-2)))</f>
        <v>0</v>
      </c>
      <c r="V166" s="439" t="n">
        <f aca="false" t="array" ref="V166:V166">IF($R164=2,
         IF(AND(ACOMPANHAMENTO="PLE",ISNUMBER($F164)),
                SUMIF((OFFSET(CÁLCULO!$BS$15:$CS$15,$F164,0,OFFSET(ORÇAMENTO!$D$15,CRONO!$F164,0))),CRONO!V$12,OFFSET(CÁLCULO!$AR$15:$BR$15,$F164,0,OFFSET(ORÇAMENTO!$D$15,CRONO!$F164,0)))
                +IF(AND($F166&lt;&gt;"",$F166&lt;&gt;0),
                        SUMIF(CÁLCULO!$BS$15:$CS$205,CRONO!V$12,CÁLCULO!$AR$15:$BR$205)/(ORÇAMENTO!$X$15-_xlfn.single(CÁLCULO.TotalAdmLocal))*CRONO!$F166,
                        0),
                 V165*$S164),
          SUMIF(OFFSET($S166,1,0,$R164-2),($M164+1)&amp;"$",OFFSET(V166,1,0,$R164-2)))</f>
        <v>0</v>
      </c>
      <c r="W166" s="439" t="n">
        <f aca="false" t="array" ref="W166:W166">IF($R164=2,
         IF(AND(ACOMPANHAMENTO="PLE",ISNUMBER($F164)),
                SUMIF((OFFSET(CÁLCULO!$BS$15:$CS$15,$F164,0,OFFSET(ORÇAMENTO!$D$15,CRONO!$F164,0))),CRONO!W$12,OFFSET(CÁLCULO!$AR$15:$BR$15,$F164,0,OFFSET(ORÇAMENTO!$D$15,CRONO!$F164,0)))
                +IF(AND($F166&lt;&gt;"",$F166&lt;&gt;0),
                        SUMIF(CÁLCULO!$BS$15:$CS$205,CRONO!W$12,CÁLCULO!$AR$15:$BR$205)/(ORÇAMENTO!$X$15-_xlfn.single(CÁLCULO.TotalAdmLocal))*CRONO!$F166,
                        0),
                 W165*$S164),
          SUMIF(OFFSET($S166,1,0,$R164-2),($M164+1)&amp;"$",OFFSET(W166,1,0,$R164-2)))</f>
        <v>0</v>
      </c>
      <c r="X166" s="439" t="n">
        <f aca="false" t="array" ref="X166:X166">IF($R164=2,
         IF(AND(ACOMPANHAMENTO="PLE",ISNUMBER($F164)),
                SUMIF((OFFSET(CÁLCULO!$BS$15:$CS$15,$F164,0,OFFSET(ORÇAMENTO!$D$15,CRONO!$F164,0))),CRONO!X$12,OFFSET(CÁLCULO!$AR$15:$BR$15,$F164,0,OFFSET(ORÇAMENTO!$D$15,CRONO!$F164,0)))
                +IF(AND($F166&lt;&gt;"",$F166&lt;&gt;0),
                        SUMIF(CÁLCULO!$BS$15:$CS$205,CRONO!X$12,CÁLCULO!$AR$15:$BR$205)/(ORÇAMENTO!$X$15-_xlfn.single(CÁLCULO.TotalAdmLocal))*CRONO!$F166,
                        0),
                 X165*$S164),
          SUMIF(OFFSET($S166,1,0,$R164-2),($M164+1)&amp;"$",OFFSET(X166,1,0,$R164-2)))</f>
        <v>0</v>
      </c>
      <c r="Y166" s="439" t="n">
        <f aca="false" t="array" ref="Y166:Y166">IF($R164=2,
         IF(AND(ACOMPANHAMENTO="PLE",ISNUMBER($F164)),
                SUMIF((OFFSET(CÁLCULO!$BS$15:$CS$15,$F164,0,OFFSET(ORÇAMENTO!$D$15,CRONO!$F164,0))),CRONO!Y$12,OFFSET(CÁLCULO!$AR$15:$BR$15,$F164,0,OFFSET(ORÇAMENTO!$D$15,CRONO!$F164,0)))
                +IF(AND($F166&lt;&gt;"",$F166&lt;&gt;0),
                        SUMIF(CÁLCULO!$BS$15:$CS$205,CRONO!Y$12,CÁLCULO!$AR$15:$BR$205)/(ORÇAMENTO!$X$15-_xlfn.single(CÁLCULO.TotalAdmLocal))*CRONO!$F166,
                        0),
                 Y165*$S164),
          SUMIF(OFFSET($S166,1,0,$R164-2),($M164+1)&amp;"$",OFFSET(Y166,1,0,$R164-2)))</f>
        <v>0</v>
      </c>
      <c r="Z166" s="439" t="n">
        <f aca="false" t="array" ref="Z166:Z166">IF($R164=2,
         IF(AND(ACOMPANHAMENTO="PLE",ISNUMBER($F164)),
                SUMIF((OFFSET(CÁLCULO!$BS$15:$CS$15,$F164,0,OFFSET(ORÇAMENTO!$D$15,CRONO!$F164,0))),CRONO!Z$12,OFFSET(CÁLCULO!$AR$15:$BR$15,$F164,0,OFFSET(ORÇAMENTO!$D$15,CRONO!$F164,0)))
                +IF(AND($F166&lt;&gt;"",$F166&lt;&gt;0),
                        SUMIF(CÁLCULO!$BS$15:$CS$205,CRONO!Z$12,CÁLCULO!$AR$15:$BR$205)/(ORÇAMENTO!$X$15-_xlfn.single(CÁLCULO.TotalAdmLocal))*CRONO!$F166,
                        0),
                 Z165*$S164),
          SUMIF(OFFSET($S166,1,0,$R164-2),($M164+1)&amp;"$",OFFSET(Z166,1,0,$R164-2)))</f>
        <v>0</v>
      </c>
      <c r="AA166" s="439" t="n">
        <f aca="false" t="array" ref="AA166:AA166">IF($R164=2,
         IF(AND(ACOMPANHAMENTO="PLE",ISNUMBER($F164)),
                SUMIF((OFFSET(CÁLCULO!$BS$15:$CS$15,$F164,0,OFFSET(ORÇAMENTO!$D$15,CRONO!$F164,0))),CRONO!AA$12,OFFSET(CÁLCULO!$AR$15:$BR$15,$F164,0,OFFSET(ORÇAMENTO!$D$15,CRONO!$F164,0)))
                +IF(AND($F166&lt;&gt;"",$F166&lt;&gt;0),
                        SUMIF(CÁLCULO!$BS$15:$CS$205,CRONO!AA$12,CÁLCULO!$AR$15:$BR$205)/(ORÇAMENTO!$X$15-_xlfn.single(CÁLCULO.TotalAdmLocal))*CRONO!$F166,
                        0),
                 AA165*$S164),
          SUMIF(OFFSET($S166,1,0,$R164-2),($M164+1)&amp;"$",OFFSET(AA166,1,0,$R164-2)))</f>
        <v>0</v>
      </c>
      <c r="AB166" s="439" t="n">
        <f aca="false" t="array" ref="AB166:AB166">IF($R164=2,
         IF(AND(ACOMPANHAMENTO="PLE",ISNUMBER($F164)),
                SUMIF((OFFSET(CÁLCULO!$BS$15:$CS$15,$F164,0,OFFSET(ORÇAMENTO!$D$15,CRONO!$F164,0))),CRONO!AB$12,OFFSET(CÁLCULO!$AR$15:$BR$15,$F164,0,OFFSET(ORÇAMENTO!$D$15,CRONO!$F164,0)))
                +IF(AND($F166&lt;&gt;"",$F166&lt;&gt;0),
                        SUMIF(CÁLCULO!$BS$15:$CS$205,CRONO!AB$12,CÁLCULO!$AR$15:$BR$205)/(ORÇAMENTO!$X$15-_xlfn.single(CÁLCULO.TotalAdmLocal))*CRONO!$F166,
                        0),
                 AB165*$S164),
          SUMIF(OFFSET($S166,1,0,$R164-2),($M164+1)&amp;"$",OFFSET(AB166,1,0,$R164-2)))</f>
        <v>0</v>
      </c>
      <c r="AC166" s="439" t="n">
        <f aca="false" t="array" ref="AC166:AC166">IF($R164=2,
         IF(AND(ACOMPANHAMENTO="PLE",ISNUMBER($F164)),
                SUMIF((OFFSET(CÁLCULO!$BS$15:$CS$15,$F164,0,OFFSET(ORÇAMENTO!$D$15,CRONO!$F164,0))),CRONO!AC$12,OFFSET(CÁLCULO!$AR$15:$BR$15,$F164,0,OFFSET(ORÇAMENTO!$D$15,CRONO!$F164,0)))
                +IF(AND($F166&lt;&gt;"",$F166&lt;&gt;0),
                        SUMIF(CÁLCULO!$BS$15:$CS$205,CRONO!AC$12,CÁLCULO!$AR$15:$BR$205)/(ORÇAMENTO!$X$15-_xlfn.single(CÁLCULO.TotalAdmLocal))*CRONO!$F166,
                        0),
                 AC165*$S164),
          SUMIF(OFFSET($S166,1,0,$R164-2),($M164+1)&amp;"$",OFFSET(AC166,1,0,$R164-2)))</f>
        <v>0</v>
      </c>
      <c r="AD166" s="439" t="n">
        <f aca="false" t="array" ref="AD166:AD166">IF($R164=2,
         IF(AND(ACOMPANHAMENTO="PLE",ISNUMBER($F164)),
                SUMIF((OFFSET(CÁLCULO!$BS$15:$CS$15,$F164,0,OFFSET(ORÇAMENTO!$D$15,CRONO!$F164,0))),CRONO!AD$12,OFFSET(CÁLCULO!$AR$15:$BR$15,$F164,0,OFFSET(ORÇAMENTO!$D$15,CRONO!$F164,0)))
                +IF(AND($F166&lt;&gt;"",$F166&lt;&gt;0),
                        SUMIF(CÁLCULO!$BS$15:$CS$205,CRONO!AD$12,CÁLCULO!$AR$15:$BR$205)/(ORÇAMENTO!$X$15-_xlfn.single(CÁLCULO.TotalAdmLocal))*CRONO!$F166,
                        0),
                 AD165*$S164),
          SUMIF(OFFSET($S166,1,0,$R164-2),($M164+1)&amp;"$",OFFSET(AD166,1,0,$R164-2)))</f>
        <v>0</v>
      </c>
      <c r="AE166" s="439" t="n">
        <f aca="false" t="array" ref="AE166:AE166">IF($R164=2,
         IF(AND(ACOMPANHAMENTO="PLE",ISNUMBER($F164)),
                SUMIF((OFFSET(CÁLCULO!$BS$15:$CS$15,$F164,0,OFFSET(ORÇAMENTO!$D$15,CRONO!$F164,0))),CRONO!AE$12,OFFSET(CÁLCULO!$AR$15:$BR$15,$F164,0,OFFSET(ORÇAMENTO!$D$15,CRONO!$F164,0)))
                +IF(AND($F166&lt;&gt;"",$F166&lt;&gt;0),
                        SUMIF(CÁLCULO!$BS$15:$CS$205,CRONO!AE$12,CÁLCULO!$AR$15:$BR$205)/(ORÇAMENTO!$X$15-_xlfn.single(CÁLCULO.TotalAdmLocal))*CRONO!$F166,
                        0),
                 AE165*$S164),
          SUMIF(OFFSET($S166,1,0,$R164-2),($M164+1)&amp;"$",OFFSET(AE166,1,0,$R164-2)))</f>
        <v>0</v>
      </c>
      <c r="AF166" s="439" t="n">
        <f aca="false" t="array" ref="AF166:AF166">IF($R164=2,
         IF(AND(ACOMPANHAMENTO="PLE",ISNUMBER($F164)),
                SUMIF((OFFSET(CÁLCULO!$BS$15:$CS$15,$F164,0,OFFSET(ORÇAMENTO!$D$15,CRONO!$F164,0))),CRONO!AF$12,OFFSET(CÁLCULO!$AR$15:$BR$15,$F164,0,OFFSET(ORÇAMENTO!$D$15,CRONO!$F164,0)))
                +IF(AND($F166&lt;&gt;"",$F166&lt;&gt;0),
                        SUMIF(CÁLCULO!$BS$15:$CS$205,CRONO!AF$12,CÁLCULO!$AR$15:$BR$205)/(ORÇAMENTO!$X$15-_xlfn.single(CÁLCULO.TotalAdmLocal))*CRONO!$F166,
                        0),
                 AF165*$S164),
          SUMIF(OFFSET($S166,1,0,$R164-2),($M164+1)&amp;"$",OFFSET(AF166,1,0,$R164-2)))</f>
        <v>0</v>
      </c>
      <c r="AG166" s="439" t="n">
        <f aca="false" t="array" ref="AG166:AG166">IF($R164=2,
         IF(AND(ACOMPANHAMENTO="PLE",ISNUMBER($F164)),
                SUMIF((OFFSET(CÁLCULO!$BS$15:$CS$15,$F164,0,OFFSET(ORÇAMENTO!$D$15,CRONO!$F164,0))),CRONO!AG$12,OFFSET(CÁLCULO!$AR$15:$BR$15,$F164,0,OFFSET(ORÇAMENTO!$D$15,CRONO!$F164,0)))
                +IF(AND($F166&lt;&gt;"",$F166&lt;&gt;0),
                        SUMIF(CÁLCULO!$BS$15:$CS$205,CRONO!AG$12,CÁLCULO!$AR$15:$BR$205)/(ORÇAMENTO!$X$15-_xlfn.single(CÁLCULO.TotalAdmLocal))*CRONO!$F166,
                        0),
                 AG165*$S164),
          SUMIF(OFFSET($S166,1,0,$R164-2),($M164+1)&amp;"$",OFFSET(AG166,1,0,$R164-2)))</f>
        <v>0</v>
      </c>
      <c r="AH166" s="439" t="n">
        <f aca="false" t="array" ref="AH166:AH166">IF($R164=2,
         IF(AND(ACOMPANHAMENTO="PLE",ISNUMBER($F164)),
                SUMIF((OFFSET(CÁLCULO!$BS$15:$CS$15,$F164,0,OFFSET(ORÇAMENTO!$D$15,CRONO!$F164,0))),CRONO!AH$12,OFFSET(CÁLCULO!$AR$15:$BR$15,$F164,0,OFFSET(ORÇAMENTO!$D$15,CRONO!$F164,0)))
                +IF(AND($F166&lt;&gt;"",$F166&lt;&gt;0),
                        SUMIF(CÁLCULO!$BS$15:$CS$205,CRONO!AH$12,CÁLCULO!$AR$15:$BR$205)/(ORÇAMENTO!$X$15-_xlfn.single(CÁLCULO.TotalAdmLocal))*CRONO!$F166,
                        0),
                 AH165*$S164),
          SUMIF(OFFSET($S166,1,0,$R164-2),($M164+1)&amp;"$",OFFSET(AH166,1,0,$R164-2)))</f>
        <v>0</v>
      </c>
      <c r="AI166" s="439" t="n">
        <f aca="false" t="array" ref="AI166:AI166">IF($R164=2,
         IF(AND(ACOMPANHAMENTO="PLE",ISNUMBER($F164)),
                SUMIF((OFFSET(CÁLCULO!$BS$15:$CS$15,$F164,0,OFFSET(ORÇAMENTO!$D$15,CRONO!$F164,0))),CRONO!AI$12,OFFSET(CÁLCULO!$AR$15:$BR$15,$F164,0,OFFSET(ORÇAMENTO!$D$15,CRONO!$F164,0)))
                +IF(AND($F166&lt;&gt;"",$F166&lt;&gt;0),
                        SUMIF(CÁLCULO!$BS$15:$CS$205,CRONO!AI$12,CÁLCULO!$AR$15:$BR$205)/(ORÇAMENTO!$X$15-_xlfn.single(CÁLCULO.TotalAdmLocal))*CRONO!$F166,
                        0),
                 AI165*$S164),
          SUMIF(OFFSET($S166,1,0,$R164-2),($M164+1)&amp;"$",OFFSET(AI166,1,0,$R164-2)))</f>
        <v>0</v>
      </c>
      <c r="AJ166" s="439" t="n">
        <f aca="false" t="array" ref="AJ166:AJ166">IF($R164=2,
         IF(AND(ACOMPANHAMENTO="PLE",ISNUMBER($F164)),
                SUMIF((OFFSET(CÁLCULO!$BS$15:$CS$15,$F164,0,OFFSET(ORÇAMENTO!$D$15,CRONO!$F164,0))),CRONO!AJ$12,OFFSET(CÁLCULO!$AR$15:$BR$15,$F164,0,OFFSET(ORÇAMENTO!$D$15,CRONO!$F164,0)))
                +IF(AND($F166&lt;&gt;"",$F166&lt;&gt;0),
                        SUMIF(CÁLCULO!$BS$15:$CS$205,CRONO!AJ$12,CÁLCULO!$AR$15:$BR$205)/(ORÇAMENTO!$X$15-_xlfn.single(CÁLCULO.TotalAdmLocal))*CRONO!$F166,
                        0),
                 AJ165*$S164),
          SUMIF(OFFSET($S166,1,0,$R164-2),($M164+1)&amp;"$",OFFSET(AJ166,1,0,$R164-2)))</f>
        <v>0</v>
      </c>
      <c r="AK166" s="439" t="n">
        <f aca="false" t="array" ref="AK166:AK166">IF($R164=2,
         IF(AND(ACOMPANHAMENTO="PLE",ISNUMBER($F164)),
                SUMIF((OFFSET(CÁLCULO!$BS$15:$CS$15,$F164,0,OFFSET(ORÇAMENTO!$D$15,CRONO!$F164,0))),CRONO!AK$12,OFFSET(CÁLCULO!$AR$15:$BR$15,$F164,0,OFFSET(ORÇAMENTO!$D$15,CRONO!$F164,0)))
                +IF(AND($F166&lt;&gt;"",$F166&lt;&gt;0),
                        SUMIF(CÁLCULO!$BS$15:$CS$205,CRONO!AK$12,CÁLCULO!$AR$15:$BR$205)/(ORÇAMENTO!$X$15-_xlfn.single(CÁLCULO.TotalAdmLocal))*CRONO!$F166,
                        0),
                 AK165*$S164),
          SUMIF(OFFSET($S166,1,0,$R164-2),($M164+1)&amp;"$",OFFSET(AK166,1,0,$R164-2)))</f>
        <v>0</v>
      </c>
      <c r="AL166" s="439" t="n">
        <f aca="false" t="array" ref="AL166:AL166">IF($R164=2,
         IF(AND(ACOMPANHAMENTO="PLE",ISNUMBER($F164)),
                SUMIF((OFFSET(CÁLCULO!$BS$15:$CS$15,$F164,0,OFFSET(ORÇAMENTO!$D$15,CRONO!$F164,0))),CRONO!AL$12,OFFSET(CÁLCULO!$AR$15:$BR$15,$F164,0,OFFSET(ORÇAMENTO!$D$15,CRONO!$F164,0)))
                +IF(AND($F166&lt;&gt;"",$F166&lt;&gt;0),
                        SUMIF(CÁLCULO!$BS$15:$CS$205,CRONO!AL$12,CÁLCULO!$AR$15:$BR$205)/(ORÇAMENTO!$X$15-_xlfn.single(CÁLCULO.TotalAdmLocal))*CRONO!$F166,
                        0),
                 AL165*$S164),
          SUMIF(OFFSET($S166,1,0,$R164-2),($M164+1)&amp;"$",OFFSET(AL166,1,0,$R164-2)))</f>
        <v>0</v>
      </c>
      <c r="AM166" s="439" t="n">
        <f aca="false" t="array" ref="AM166:AM166">IF($R164=2,
         IF(AND(ACOMPANHAMENTO="PLE",ISNUMBER($F164)),
                SUMIF((OFFSET(CÁLCULO!$BS$15:$CS$15,$F164,0,OFFSET(ORÇAMENTO!$D$15,CRONO!$F164,0))),CRONO!AM$12,OFFSET(CÁLCULO!$AR$15:$BR$15,$F164,0,OFFSET(ORÇAMENTO!$D$15,CRONO!$F164,0)))
                +IF(AND($F166&lt;&gt;"",$F166&lt;&gt;0),
                        SUMIF(CÁLCULO!$BS$15:$CS$205,CRONO!AM$12,CÁLCULO!$AR$15:$BR$205)/(ORÇAMENTO!$X$15-_xlfn.single(CÁLCULO.TotalAdmLocal))*CRONO!$F166,
                        0),
                 AM165*$S164),
          SUMIF(OFFSET($S166,1,0,$R164-2),($M164+1)&amp;"$",OFFSET(AM166,1,0,$R164-2)))</f>
        <v>0</v>
      </c>
      <c r="AN166" s="439" t="n">
        <f aca="false" t="array" ref="AN166:AN166">IF($R164=2,
         IF(AND(ACOMPANHAMENTO="PLE",ISNUMBER($F164)),
                SUMIF((OFFSET(CÁLCULO!$BS$15:$CS$15,$F164,0,OFFSET(ORÇAMENTO!$D$15,CRONO!$F164,0))),CRONO!AN$12,OFFSET(CÁLCULO!$AR$15:$BR$15,$F164,0,OFFSET(ORÇAMENTO!$D$15,CRONO!$F164,0)))
                +IF(AND($F166&lt;&gt;"",$F166&lt;&gt;0),
                        SUMIF(CÁLCULO!$BS$15:$CS$205,CRONO!AN$12,CÁLCULO!$AR$15:$BR$205)/(ORÇAMENTO!$X$15-_xlfn.single(CÁLCULO.TotalAdmLocal))*CRONO!$F166,
                        0),
                 AN165*$S164),
          SUMIF(OFFSET($S166,1,0,$R164-2),($M164+1)&amp;"$",OFFSET(AN166,1,0,$R164-2)))</f>
        <v>0</v>
      </c>
      <c r="AO166" s="439" t="n">
        <f aca="false" t="array" ref="AO166:AO166">IF($R164=2,
         IF(AND(ACOMPANHAMENTO="PLE",ISNUMBER($F164)),
                SUMIF((OFFSET(CÁLCULO!$BS$15:$CS$15,$F164,0,OFFSET(ORÇAMENTO!$D$15,CRONO!$F164,0))),CRONO!AO$12,OFFSET(CÁLCULO!$AR$15:$BR$15,$F164,0,OFFSET(ORÇAMENTO!$D$15,CRONO!$F164,0)))
                +IF(AND($F166&lt;&gt;"",$F166&lt;&gt;0),
                        SUMIF(CÁLCULO!$BS$15:$CS$205,CRONO!AO$12,CÁLCULO!$AR$15:$BR$205)/(ORÇAMENTO!$X$15-_xlfn.single(CÁLCULO.TotalAdmLocal))*CRONO!$F166,
                        0),
                 AO165*$S164),
          SUMIF(OFFSET($S166,1,0,$R164-2),($M164+1)&amp;"$",OFFSET(AO166,1,0,$R164-2)))</f>
        <v>0</v>
      </c>
      <c r="AP166" s="439" t="n">
        <f aca="false" t="array" ref="AP166:AP166">IF($R164=2,
         IF(AND(ACOMPANHAMENTO="PLE",ISNUMBER($F164)),
                SUMIF((OFFSET(CÁLCULO!$BS$15:$CS$15,$F164,0,OFFSET(ORÇAMENTO!$D$15,CRONO!$F164,0))),CRONO!AP$12,OFFSET(CÁLCULO!$AR$15:$BR$15,$F164,0,OFFSET(ORÇAMENTO!$D$15,CRONO!$F164,0)))
                +IF(AND($F166&lt;&gt;"",$F166&lt;&gt;0),
                        SUMIF(CÁLCULO!$BS$15:$CS$205,CRONO!AP$12,CÁLCULO!$AR$15:$BR$205)/(ORÇAMENTO!$X$15-_xlfn.single(CÁLCULO.TotalAdmLocal))*CRONO!$F166,
                        0),
                 AP165*$S164),
          SUMIF(OFFSET($S166,1,0,$R164-2),($M164+1)&amp;"$",OFFSET(AP166,1,0,$R164-2)))</f>
        <v>0</v>
      </c>
      <c r="AQ166" s="439" t="n">
        <f aca="false" t="array" ref="AQ166:AQ166">IF($R164=2,
         IF(AND(ACOMPANHAMENTO="PLE",ISNUMBER($F164)),
                SUMIF((OFFSET(CÁLCULO!$BS$15:$CS$15,$F164,0,OFFSET(ORÇAMENTO!$D$15,CRONO!$F164,0))),CRONO!AQ$12,OFFSET(CÁLCULO!$AR$15:$BR$15,$F164,0,OFFSET(ORÇAMENTO!$D$15,CRONO!$F164,0)))
                +IF(AND($F166&lt;&gt;"",$F166&lt;&gt;0),
                        SUMIF(CÁLCULO!$BS$15:$CS$205,CRONO!AQ$12,CÁLCULO!$AR$15:$BR$205)/(ORÇAMENTO!$X$15-_xlfn.single(CÁLCULO.TotalAdmLocal))*CRONO!$F166,
                        0),
                 AQ165*$S164),
          SUMIF(OFFSET($S166,1,0,$R164-2),($M164+1)&amp;"$",OFFSET(AQ166,1,0,$R164-2)))</f>
        <v>0</v>
      </c>
      <c r="AR166" s="439" t="n">
        <f aca="false" t="array" ref="AR166:AR166">IF($R164=2,
         IF(AND(ACOMPANHAMENTO="PLE",ISNUMBER($F164)),
                SUMIF((OFFSET(CÁLCULO!$BS$15:$CS$15,$F164,0,OFFSET(ORÇAMENTO!$D$15,CRONO!$F164,0))),CRONO!AR$12,OFFSET(CÁLCULO!$AR$15:$BR$15,$F164,0,OFFSET(ORÇAMENTO!$D$15,CRONO!$F164,0)))
                +IF(AND($F166&lt;&gt;"",$F166&lt;&gt;0),
                        SUMIF(CÁLCULO!$BS$15:$CS$205,CRONO!AR$12,CÁLCULO!$AR$15:$BR$205)/(ORÇAMENTO!$X$15-_xlfn.single(CÁLCULO.TotalAdmLocal))*CRONO!$F166,
                        0),
                 AR165*$S164),
          SUMIF(OFFSET($S166,1,0,$R164-2),($M164+1)&amp;"$",OFFSET(AR166,1,0,$R164-2)))</f>
        <v>0</v>
      </c>
      <c r="AS166" s="439" t="n">
        <f aca="false" t="array" ref="AS166:AS166">IF($R164=2,
         IF(AND(ACOMPANHAMENTO="PLE",ISNUMBER($F164)),
                SUMIF((OFFSET(CÁLCULO!$BS$15:$CS$15,$F164,0,OFFSET(ORÇAMENTO!$D$15,CRONO!$F164,0))),CRONO!AS$12,OFFSET(CÁLCULO!$AR$15:$BR$15,$F164,0,OFFSET(ORÇAMENTO!$D$15,CRONO!$F164,0)))
                +IF(AND($F166&lt;&gt;"",$F166&lt;&gt;0),
                        SUMIF(CÁLCULO!$BS$15:$CS$205,CRONO!AS$12,CÁLCULO!$AR$15:$BR$205)/(ORÇAMENTO!$X$15-_xlfn.single(CÁLCULO.TotalAdmLocal))*CRONO!$F166,
                        0),
                 AS165*$S164),
          SUMIF(OFFSET($S166,1,0,$R164-2),($M164+1)&amp;"$",OFFSET(AS166,1,0,$R164-2)))</f>
        <v>0</v>
      </c>
      <c r="AT166" s="439" t="n">
        <f aca="false" t="array" ref="AT166:AT166">IF($R164=2,
         IF(AND(ACOMPANHAMENTO="PLE",ISNUMBER($F164)),
                SUMIF((OFFSET(CÁLCULO!$BS$15:$CS$15,$F164,0,OFFSET(ORÇAMENTO!$D$15,CRONO!$F164,0))),CRONO!AT$12,OFFSET(CÁLCULO!$AR$15:$BR$15,$F164,0,OFFSET(ORÇAMENTO!$D$15,CRONO!$F164,0)))
                +IF(AND($F166&lt;&gt;"",$F166&lt;&gt;0),
                        SUMIF(CÁLCULO!$BS$15:$CS$205,CRONO!AT$12,CÁLCULO!$AR$15:$BR$205)/(ORÇAMENTO!$X$15-_xlfn.single(CÁLCULO.TotalAdmLocal))*CRONO!$F166,
                        0),
                 AT165*$S164),
          SUMIF(OFFSET($S166,1,0,$R164-2),($M164+1)&amp;"$",OFFSET(AT166,1,0,$R164-2)))</f>
        <v>0</v>
      </c>
      <c r="AU166" s="439" t="n">
        <f aca="false" t="array" ref="AU166:AU166">IF($R164=2,
         IF(AND(ACOMPANHAMENTO="PLE",ISNUMBER($F164)),
                SUMIF((OFFSET(CÁLCULO!$BS$15:$CS$15,$F164,0,OFFSET(ORÇAMENTO!$D$15,CRONO!$F164,0))),CRONO!AU$12,OFFSET(CÁLCULO!$AR$15:$BR$15,$F164,0,OFFSET(ORÇAMENTO!$D$15,CRONO!$F164,0)))
                +IF(AND($F166&lt;&gt;"",$F166&lt;&gt;0),
                        SUMIF(CÁLCULO!$BS$15:$CS$205,CRONO!AU$12,CÁLCULO!$AR$15:$BR$205)/(ORÇAMENTO!$X$15-_xlfn.single(CÁLCULO.TotalAdmLocal))*CRONO!$F166,
                        0),
                 AU165*$S164),
          SUMIF(OFFSET($S166,1,0,$R164-2),($M164+1)&amp;"$",OFFSET(AU166,1,0,$R164-2)))</f>
        <v>0</v>
      </c>
      <c r="AV166" s="439" t="n">
        <f aca="false" t="array" ref="AV166:AV166">IF($R164=2,
         IF(AND(ACOMPANHAMENTO="PLE",ISNUMBER($F164)),
                SUMIF((OFFSET(CÁLCULO!$BS$15:$CS$15,$F164,0,OFFSET(ORÇAMENTO!$D$15,CRONO!$F164,0))),CRONO!AV$12,OFFSET(CÁLCULO!$AR$15:$BR$15,$F164,0,OFFSET(ORÇAMENTO!$D$15,CRONO!$F164,0)))
                +IF(AND($F166&lt;&gt;"",$F166&lt;&gt;0),
                        SUMIF(CÁLCULO!$BS$15:$CS$205,CRONO!AV$12,CÁLCULO!$AR$15:$BR$205)/(ORÇAMENTO!$X$15-_xlfn.single(CÁLCULO.TotalAdmLocal))*CRONO!$F166,
                        0),
                 AV165*$S164),
          SUMIF(OFFSET($S166,1,0,$R164-2),($M164+1)&amp;"$",OFFSET(AV166,1,0,$R164-2)))</f>
        <v>0</v>
      </c>
      <c r="AW166" s="439" t="n">
        <f aca="false" t="array" ref="AW166:AW166">IF($R164=2,
         IF(AND(ACOMPANHAMENTO="PLE",ISNUMBER($F164)),
                SUMIF((OFFSET(CÁLCULO!$BS$15:$CS$15,$F164,0,OFFSET(ORÇAMENTO!$D$15,CRONO!$F164,0))),CRONO!AW$12,OFFSET(CÁLCULO!$AR$15:$BR$15,$F164,0,OFFSET(ORÇAMENTO!$D$15,CRONO!$F164,0)))
                +IF(AND($F166&lt;&gt;"",$F166&lt;&gt;0),
                        SUMIF(CÁLCULO!$BS$15:$CS$205,CRONO!AW$12,CÁLCULO!$AR$15:$BR$205)/(ORÇAMENTO!$X$15-_xlfn.single(CÁLCULO.TotalAdmLocal))*CRONO!$F166,
                        0),
                 AW165*$S164),
          SUMIF(OFFSET($S166,1,0,$R164-2),($M164+1)&amp;"$",OFFSET(AW166,1,0,$R164-2)))</f>
        <v>0</v>
      </c>
      <c r="AX166" s="439" t="n">
        <f aca="false" t="array" ref="AX166:AX166">IF($R164=2,
         IF(AND(ACOMPANHAMENTO="PLE",ISNUMBER($F164)),
                SUMIF((OFFSET(CÁLCULO!$BS$15:$CS$15,$F164,0,OFFSET(ORÇAMENTO!$D$15,CRONO!$F164,0))),CRONO!AX$12,OFFSET(CÁLCULO!$AR$15:$BR$15,$F164,0,OFFSET(ORÇAMENTO!$D$15,CRONO!$F164,0)))
                +IF(AND($F166&lt;&gt;"",$F166&lt;&gt;0),
                        SUMIF(CÁLCULO!$BS$15:$CS$205,CRONO!AX$12,CÁLCULO!$AR$15:$BR$205)/(ORÇAMENTO!$X$15-_xlfn.single(CÁLCULO.TotalAdmLocal))*CRONO!$F166,
                        0),
                 AX165*$S164),
          SUMIF(OFFSET($S166,1,0,$R164-2),($M164+1)&amp;"$",OFFSET(AX166,1,0,$R164-2)))</f>
        <v>0</v>
      </c>
      <c r="AY166" s="439" t="n">
        <f aca="false" t="array" ref="AY166:AY166">IF($R164=2,
         IF(AND(ACOMPANHAMENTO="PLE",ISNUMBER($F164)),
                SUMIF((OFFSET(CÁLCULO!$BS$15:$CS$15,$F164,0,OFFSET(ORÇAMENTO!$D$15,CRONO!$F164,0))),CRONO!AY$12,OFFSET(CÁLCULO!$AR$15:$BR$15,$F164,0,OFFSET(ORÇAMENTO!$D$15,CRONO!$F164,0)))
                +IF(AND($F166&lt;&gt;"",$F166&lt;&gt;0),
                        SUMIF(CÁLCULO!$BS$15:$CS$205,CRONO!AY$12,CÁLCULO!$AR$15:$BR$205)/(ORÇAMENTO!$X$15-_xlfn.single(CÁLCULO.TotalAdmLocal))*CRONO!$F166,
                        0),
                 AY165*$S164),
          SUMIF(OFFSET($S166,1,0,$R164-2),($M164+1)&amp;"$",OFFSET(AY166,1,0,$R164-2)))</f>
        <v>0</v>
      </c>
      <c r="AZ166" s="439" t="n">
        <f aca="false" t="array" ref="AZ166:AZ166">IF($R164=2,
         IF(AND(ACOMPANHAMENTO="PLE",ISNUMBER($F164)),
                SUMIF((OFFSET(CÁLCULO!$BS$15:$CS$15,$F164,0,OFFSET(ORÇAMENTO!$D$15,CRONO!$F164,0))),CRONO!AZ$12,OFFSET(CÁLCULO!$AR$15:$BR$15,$F164,0,OFFSET(ORÇAMENTO!$D$15,CRONO!$F164,0)))
                +IF(AND($F166&lt;&gt;"",$F166&lt;&gt;0),
                        SUMIF(CÁLCULO!$BS$15:$CS$205,CRONO!AZ$12,CÁLCULO!$AR$15:$BR$205)/(ORÇAMENTO!$X$15-_xlfn.single(CÁLCULO.TotalAdmLocal))*CRONO!$F166,
                        0),
                 AZ165*$S164),
          SUMIF(OFFSET($S166,1,0,$R164-2),($M164+1)&amp;"$",OFFSET(AZ166,1,0,$R164-2)))</f>
        <v>0</v>
      </c>
      <c r="BA166" s="439" t="n">
        <f aca="false" t="array" ref="BA166:BA166">IF($R164=2,
         IF(AND(ACOMPANHAMENTO="PLE",ISNUMBER($F164)),
                SUMIF((OFFSET(CÁLCULO!$BS$15:$CS$15,$F164,0,OFFSET(ORÇAMENTO!$D$15,CRONO!$F164,0))),CRONO!BA$12,OFFSET(CÁLCULO!$AR$15:$BR$15,$F164,0,OFFSET(ORÇAMENTO!$D$15,CRONO!$F164,0)))
                +IF(AND($F166&lt;&gt;"",$F166&lt;&gt;0),
                        SUMIF(CÁLCULO!$BS$15:$CS$205,CRONO!BA$12,CÁLCULO!$AR$15:$BR$205)/(ORÇAMENTO!$X$15-_xlfn.single(CÁLCULO.TotalAdmLocal))*CRONO!$F166,
                        0),
                 BA165*$S164),
          SUMIF(OFFSET($S166,1,0,$R164-2),($M164+1)&amp;"$",OFFSET(BA166,1,0,$R164-2)))</f>
        <v>0</v>
      </c>
      <c r="BB166" s="439" t="n">
        <f aca="false" t="array" ref="BB166:BB166">IF($R164=2,
         IF(AND(ACOMPANHAMENTO="PLE",ISNUMBER($F164)),
                SUMIF((OFFSET(CÁLCULO!$BS$15:$CS$15,$F164,0,OFFSET(ORÇAMENTO!$D$15,CRONO!$F164,0))),CRONO!BB$12,OFFSET(CÁLCULO!$AR$15:$BR$15,$F164,0,OFFSET(ORÇAMENTO!$D$15,CRONO!$F164,0)))
                +IF(AND($F166&lt;&gt;"",$F166&lt;&gt;0),
                        SUMIF(CÁLCULO!$BS$15:$CS$205,CRONO!BB$12,CÁLCULO!$AR$15:$BR$205)/(ORÇAMENTO!$X$15-_xlfn.single(CÁLCULO.TotalAdmLocal))*CRONO!$F166,
                        0),
                 BB165*$S164),
          SUMIF(OFFSET($S166,1,0,$R164-2),($M164+1)&amp;"$",OFFSET(BB166,1,0,$R164-2)))</f>
        <v>0</v>
      </c>
      <c r="BC166" s="439" t="n">
        <f aca="false" t="array" ref="BC166:BC166">IF($R164=2,
         IF(AND(ACOMPANHAMENTO="PLE",ISNUMBER($F164)),
                SUMIF((OFFSET(CÁLCULO!$BS$15:$CS$15,$F164,0,OFFSET(ORÇAMENTO!$D$15,CRONO!$F164,0))),CRONO!BC$12,OFFSET(CÁLCULO!$AR$15:$BR$15,$F164,0,OFFSET(ORÇAMENTO!$D$15,CRONO!$F164,0)))
                +IF(AND($F166&lt;&gt;"",$F166&lt;&gt;0),
                        SUMIF(CÁLCULO!$BS$15:$CS$205,CRONO!BC$12,CÁLCULO!$AR$15:$BR$205)/(ORÇAMENTO!$X$15-_xlfn.single(CÁLCULO.TotalAdmLocal))*CRONO!$F166,
                        0),
                 BC165*$S164),
          SUMIF(OFFSET($S166,1,0,$R164-2),($M164+1)&amp;"$",OFFSET(BC166,1,0,$R164-2)))</f>
        <v>0</v>
      </c>
      <c r="BD166" s="439" t="n">
        <f aca="false" t="array" ref="BD166:BD166">IF($R164=2,
         IF(AND(ACOMPANHAMENTO="PLE",ISNUMBER($F164)),
                SUMIF((OFFSET(CÁLCULO!$BS$15:$CS$15,$F164,0,OFFSET(ORÇAMENTO!$D$15,CRONO!$F164,0))),CRONO!BD$12,OFFSET(CÁLCULO!$AR$15:$BR$15,$F164,0,OFFSET(ORÇAMENTO!$D$15,CRONO!$F164,0)))
                +IF(AND($F166&lt;&gt;"",$F166&lt;&gt;0),
                        SUMIF(CÁLCULO!$BS$15:$CS$205,CRONO!BD$12,CÁLCULO!$AR$15:$BR$205)/(ORÇAMENTO!$X$15-_xlfn.single(CÁLCULO.TotalAdmLocal))*CRONO!$F166,
                        0),
                 BD165*$S164),
          SUMIF(OFFSET($S166,1,0,$R164-2),($M164+1)&amp;"$",OFFSET(BD166,1,0,$R164-2)))</f>
        <v>0</v>
      </c>
      <c r="BE166" s="430"/>
    </row>
    <row r="167" customFormat="false" ht="12.75" hidden="true" customHeight="false" outlineLevel="0" collapsed="false">
      <c r="A167" s="382" t="str">
        <f aca="false">IF($M167&gt;1,_xlfn.CONCAT($I167," ",$J167),"")</f>
        <v>1.51. ESPECIAIS</v>
      </c>
      <c r="B167" s="419" t="n">
        <f aca="true">OFFSET(B167,-3,0)+1</f>
        <v>52</v>
      </c>
      <c r="C167" s="419" t="n">
        <f aca="true">IF($R167&lt;&gt;2,0,IF($S167=0,1,IF(F168&gt;0,OFFSET(QCI!$M$13,SUBSTITUTE(F168,".",""),0),OFFSET(ORÇAMENTO!$AA$15,CRONO!$F167,0))/$S167))</f>
        <v>1</v>
      </c>
      <c r="D167" s="419" t="n">
        <f aca="true">IF($R167&lt;&gt;2,0,IF($S167=0,1,IF(F168&gt;0,OFFSET(QCI!$N$13,SUBSTITUTE(F168,".",""),0),OFFSET(ORÇAMENTO!$AB$15,CRONO!$F167,0))/$S167))</f>
        <v>1</v>
      </c>
      <c r="E167" s="422" t="e">
        <f aca="false" t="array" ref="E167:E167">IF(AND($R167=2,ACOMPANHAMENTO="BM"),ROUND(E168,4),E169/$S167)</f>
        <v>#DIV/0!</v>
      </c>
      <c r="F167" s="419" t="n">
        <f aca="true">IF(B167&lt;=ORÇAMENTO.MáximoListaCrono,MATCH(B167,ORÇAMENTO.ListaCrono,0),NA())</f>
        <v>184</v>
      </c>
      <c r="G167" s="419" t="str">
        <f aca="false">IF(AND($F168&lt;&gt;-1,$S167&gt;0),"F","")</f>
        <v/>
      </c>
      <c r="H167" s="423" t="str">
        <f aca="false" t="array" ref="H167:H167">IF(OR(S167=0,S167=""),"Linha",IF(AND(OR(ACOMPANHAMENTO="PLE",$R167&lt;&gt;2),$F168=0),"Linha",ROUND(1-SUM(U167:BE167),4)))</f>
        <v>Linha</v>
      </c>
      <c r="I167" s="424" t="str">
        <f aca="true">IF($F168=0,OFFSET(ORÇAMENTO!O$15,$F167,0),IF($F168&lt;&gt;-1,OFFSET(QCI!$D$13,$F168,0),""))</f>
        <v>1.51.</v>
      </c>
      <c r="J167" s="425" t="str">
        <f aca="true">IF($F168=0,OFFSET(ORÇAMENTO!R$15,$F167,0),IF($F168&lt;&gt;-1,OFFSET(QCI!$G$13,$F168,0),""))</f>
        <v>ESPECIAIS</v>
      </c>
      <c r="K167" s="425"/>
      <c r="L167" s="425"/>
      <c r="M167" s="426" t="n">
        <f aca="true">IF($F168=0,OFFSET(ORÇAMENTO!C$15,$F167,0),1)</f>
        <v>2</v>
      </c>
      <c r="N167" s="427" t="n">
        <f aca="true">IF($F168=-1,0,IF(N$13&lt;=$M167,IF(ISERROR(MATCH(N$13,OFFSET($M167,1,0,ROW($M$182)-ROW($M167)-1),0)),ROW($M$182)-ROW($M167)-1,MATCH(N$13,OFFSET($M167,1,0,ROW($M$182)-ROW($M167)-1),0)-1),0))</f>
        <v>14</v>
      </c>
      <c r="O167" s="427" t="n">
        <f aca="true">IF($F168=-1,0,IF(O$13&lt;=$M167,IF(ISERROR(MATCH(O$13,OFFSET($M167,1,0,ROW($M$182)-ROW($M167)-1),0)),ROW($M$182)-ROW($M167)-1,MATCH(O$13,OFFSET($M167,1,0,ROW($M$182)-ROW($M167)-1),0)-1),0))</f>
        <v>2</v>
      </c>
      <c r="P167" s="427" t="n">
        <f aca="true">IF($F168=-1,0,IF(P$13&lt;=$M167,IF(ISERROR(MATCH(P$13,OFFSET($M167,1,0,ROW($M$182)-ROW($M167)-1),0)),ROW($M$182)-ROW($M167)-1,MATCH(P$13,OFFSET($M167,1,0,ROW($M$182)-ROW($M167)-1),0)-1),0))</f>
        <v>0</v>
      </c>
      <c r="Q167" s="427" t="n">
        <f aca="true">IF($F168=-1,0,IF(Q$13&lt;=$M167,IF(ISERROR(MATCH(Q$13,OFFSET($M167,1,0,ROW($M$182)-ROW($M167)-1),0)),ROW($M$182)-ROW($M167)-1,MATCH(Q$13,OFFSET($M167,1,0,ROW($M$182)-ROW($M167)-1),0)-1),0))</f>
        <v>0</v>
      </c>
      <c r="R167" s="427" t="n">
        <f aca="true">MIN(OFFSET(M167,0,1,,M167))</f>
        <v>2</v>
      </c>
      <c r="S167" s="428" t="n">
        <f aca="true">IF($F168=0,OFFSET(ORÇAMENTO!X$15,$F167,0),IF($F168&lt;&gt;-1,OFFSET(QCI!$O$13,$F168,0),""))</f>
        <v>0</v>
      </c>
      <c r="T167" s="429" t="s">
        <v>996</v>
      </c>
      <c r="U167" s="422" t="e">
        <f aca="false" t="array" ref="U167:U167">IF(AND($R167=2,ACOMPANHAMENTO="BM"),ROUND(U168,4),U169/$S167)</f>
        <v>#DIV/0!</v>
      </c>
      <c r="V167" s="422" t="e">
        <f aca="false" t="array" ref="V167:V167">IF(AND($R167=2,ACOMPANHAMENTO="BM"),ROUND(V168,4),V169/$S167)</f>
        <v>#DIV/0!</v>
      </c>
      <c r="W167" s="422" t="e">
        <f aca="false" t="array" ref="W167:W167">IF(AND($R167=2,ACOMPANHAMENTO="BM"),ROUND(W168,4),W169/$S167)</f>
        <v>#DIV/0!</v>
      </c>
      <c r="X167" s="422" t="e">
        <f aca="false" t="array" ref="X167:X167">IF(AND($R167=2,ACOMPANHAMENTO="BM"),ROUND(X168,4),X169/$S167)</f>
        <v>#DIV/0!</v>
      </c>
      <c r="Y167" s="422" t="e">
        <f aca="false" t="array" ref="Y167:Y167">IF(AND($R167=2,ACOMPANHAMENTO="BM"),ROUND(Y168,4),Y169/$S167)</f>
        <v>#DIV/0!</v>
      </c>
      <c r="Z167" s="422" t="e">
        <f aca="false" t="array" ref="Z167:Z167">IF(AND($R167=2,ACOMPANHAMENTO="BM"),ROUND(Z168,4),Z169/$S167)</f>
        <v>#DIV/0!</v>
      </c>
      <c r="AA167" s="422" t="e">
        <f aca="false" t="array" ref="AA167:AA167">IF(AND($R167=2,ACOMPANHAMENTO="BM"),ROUND(AA168,4),AA169/$S167)</f>
        <v>#DIV/0!</v>
      </c>
      <c r="AB167" s="422" t="e">
        <f aca="false" t="array" ref="AB167:AB167">IF(AND($R167=2,ACOMPANHAMENTO="BM"),ROUND(AB168,4),AB169/$S167)</f>
        <v>#DIV/0!</v>
      </c>
      <c r="AC167" s="422" t="e">
        <f aca="false" t="array" ref="AC167:AC167">IF(AND($R167=2,ACOMPANHAMENTO="BM"),ROUND(AC168,4),AC169/$S167)</f>
        <v>#DIV/0!</v>
      </c>
      <c r="AD167" s="422" t="e">
        <f aca="false" t="array" ref="AD167:AD167">IF(AND($R167=2,ACOMPANHAMENTO="BM"),ROUND(AD168,4),AD169/$S167)</f>
        <v>#DIV/0!</v>
      </c>
      <c r="AE167" s="422" t="e">
        <f aca="false" t="array" ref="AE167:AE167">IF(AND($R167=2,ACOMPANHAMENTO="BM"),ROUND(AE168,4),AE169/$S167)</f>
        <v>#DIV/0!</v>
      </c>
      <c r="AF167" s="422" t="e">
        <f aca="false" t="array" ref="AF167:AF167">IF(AND($R167=2,ACOMPANHAMENTO="BM"),ROUND(AF168,4),AF169/$S167)</f>
        <v>#DIV/0!</v>
      </c>
      <c r="AG167" s="422" t="e">
        <f aca="false" t="array" ref="AG167:AG167">IF(AND($R167=2,ACOMPANHAMENTO="BM"),ROUND(AG168,4),AG169/$S167)</f>
        <v>#DIV/0!</v>
      </c>
      <c r="AH167" s="422" t="e">
        <f aca="false" t="array" ref="AH167:AH167">IF(AND($R167=2,ACOMPANHAMENTO="BM"),ROUND(AH168,4),AH169/$S167)</f>
        <v>#DIV/0!</v>
      </c>
      <c r="AI167" s="422" t="e">
        <f aca="false" t="array" ref="AI167:AI167">IF(AND($R167=2,ACOMPANHAMENTO="BM"),ROUND(AI168,4),AI169/$S167)</f>
        <v>#DIV/0!</v>
      </c>
      <c r="AJ167" s="422" t="e">
        <f aca="false" t="array" ref="AJ167:AJ167">IF(AND($R167=2,ACOMPANHAMENTO="BM"),ROUND(AJ168,4),AJ169/$S167)</f>
        <v>#DIV/0!</v>
      </c>
      <c r="AK167" s="422" t="e">
        <f aca="false" t="array" ref="AK167:AK167">IF(AND($R167=2,ACOMPANHAMENTO="BM"),ROUND(AK168,4),AK169/$S167)</f>
        <v>#DIV/0!</v>
      </c>
      <c r="AL167" s="422" t="e">
        <f aca="false" t="array" ref="AL167:AL167">IF(AND($R167=2,ACOMPANHAMENTO="BM"),ROUND(AL168,4),AL169/$S167)</f>
        <v>#DIV/0!</v>
      </c>
      <c r="AM167" s="422" t="e">
        <f aca="false" t="array" ref="AM167:AM167">IF(AND($R167=2,ACOMPANHAMENTO="BM"),ROUND(AM168,4),AM169/$S167)</f>
        <v>#DIV/0!</v>
      </c>
      <c r="AN167" s="422" t="e">
        <f aca="false" t="array" ref="AN167:AN167">IF(AND($R167=2,ACOMPANHAMENTO="BM"),ROUND(AN168,4),AN169/$S167)</f>
        <v>#DIV/0!</v>
      </c>
      <c r="AO167" s="422" t="e">
        <f aca="false" t="array" ref="AO167:AO167">IF(AND($R167=2,ACOMPANHAMENTO="BM"),ROUND(AO168,4),AO169/$S167)</f>
        <v>#DIV/0!</v>
      </c>
      <c r="AP167" s="422" t="e">
        <f aca="false" t="array" ref="AP167:AP167">IF(AND($R167=2,ACOMPANHAMENTO="BM"),ROUND(AP168,4),AP169/$S167)</f>
        <v>#DIV/0!</v>
      </c>
      <c r="AQ167" s="422" t="e">
        <f aca="false" t="array" ref="AQ167:AQ167">IF(AND($R167=2,ACOMPANHAMENTO="BM"),ROUND(AQ168,4),AQ169/$S167)</f>
        <v>#DIV/0!</v>
      </c>
      <c r="AR167" s="422" t="e">
        <f aca="false" t="array" ref="AR167:AR167">IF(AND($R167=2,ACOMPANHAMENTO="BM"),ROUND(AR168,4),AR169/$S167)</f>
        <v>#DIV/0!</v>
      </c>
      <c r="AS167" s="422" t="e">
        <f aca="false" t="array" ref="AS167:AS167">IF(AND($R167=2,ACOMPANHAMENTO="BM"),ROUND(AS168,4),AS169/$S167)</f>
        <v>#DIV/0!</v>
      </c>
      <c r="AT167" s="422" t="e">
        <f aca="false" t="array" ref="AT167:AT167">IF(AND($R167=2,ACOMPANHAMENTO="BM"),ROUND(AT168,4),AT169/$S167)</f>
        <v>#DIV/0!</v>
      </c>
      <c r="AU167" s="422" t="e">
        <f aca="false" t="array" ref="AU167:AU167">IF(AND($R167=2,ACOMPANHAMENTO="BM"),ROUND(AU168,4),AU169/$S167)</f>
        <v>#DIV/0!</v>
      </c>
      <c r="AV167" s="422" t="e">
        <f aca="false" t="array" ref="AV167:AV167">IF(AND($R167=2,ACOMPANHAMENTO="BM"),ROUND(AV168,4),AV169/$S167)</f>
        <v>#DIV/0!</v>
      </c>
      <c r="AW167" s="422" t="e">
        <f aca="false" t="array" ref="AW167:AW167">IF(AND($R167=2,ACOMPANHAMENTO="BM"),ROUND(AW168,4),AW169/$S167)</f>
        <v>#DIV/0!</v>
      </c>
      <c r="AX167" s="422" t="e">
        <f aca="false" t="array" ref="AX167:AX167">IF(AND($R167=2,ACOMPANHAMENTO="BM"),ROUND(AX168,4),AX169/$S167)</f>
        <v>#DIV/0!</v>
      </c>
      <c r="AY167" s="422" t="e">
        <f aca="false" t="array" ref="AY167:AY167">IF(AND($R167=2,ACOMPANHAMENTO="BM"),ROUND(AY168,4),AY169/$S167)</f>
        <v>#DIV/0!</v>
      </c>
      <c r="AZ167" s="422" t="e">
        <f aca="false" t="array" ref="AZ167:AZ167">IF(AND($R167=2,ACOMPANHAMENTO="BM"),ROUND(AZ168,4),AZ169/$S167)</f>
        <v>#DIV/0!</v>
      </c>
      <c r="BA167" s="422" t="e">
        <f aca="false" t="array" ref="BA167:BA167">IF(AND($R167=2,ACOMPANHAMENTO="BM"),ROUND(BA168,4),BA169/$S167)</f>
        <v>#DIV/0!</v>
      </c>
      <c r="BB167" s="422" t="e">
        <f aca="false" t="array" ref="BB167:BB167">IF(AND($R167=2,ACOMPANHAMENTO="BM"),ROUND(BB168,4),BB169/$S167)</f>
        <v>#DIV/0!</v>
      </c>
      <c r="BC167" s="422" t="e">
        <f aca="false" t="array" ref="BC167:BC167">IF(AND($R167=2,ACOMPANHAMENTO="BM"),ROUND(BC168,4),BC169/$S167)</f>
        <v>#DIV/0!</v>
      </c>
      <c r="BD167" s="422" t="e">
        <f aca="false" t="array" ref="BD167:BD167">IF(AND($R167=2,ACOMPANHAMENTO="BM"),ROUND(BD168,4),BD169/$S167)</f>
        <v>#DIV/0!</v>
      </c>
      <c r="BE167" s="430"/>
    </row>
    <row r="168" customFormat="false" ht="12.75" hidden="true" customHeight="true" outlineLevel="0" collapsed="false">
      <c r="E168" s="431"/>
      <c r="F168" s="419" t="n">
        <f aca="true">IF(ISERROR(F167),IF(1+COUNTIF($M$13:OFFSET(M167,-1,0),1)&lt;=MAX(QCI!$D$13:$D$15),1+COUNTIF($M$13:OFFSET(M167,-1,0),1),-1),0)</f>
        <v>0</v>
      </c>
      <c r="G168" s="419" t="str">
        <f aca="true" t="array" ref="G168:G168">IF(ACOMPANHAMENTO="BM",OFFSET(G168,-1,0),"")</f>
        <v/>
      </c>
      <c r="H168" s="432" t="str">
        <f aca="false" t="array" ref="H168:H168">IF(OR(S167=0,S167=""),"vazia",IF(AND(OR(ACOMPANHAMENTO="PLE",$R167&lt;&gt;2),$F168=0),"calculada","--&gt;"))</f>
        <v>vazia</v>
      </c>
      <c r="I168" s="433"/>
      <c r="J168" s="434" t="str">
        <f aca="false">IF(AND(H167&lt;&gt;0,ISNUMBER(H167)),"PREENCHA ESTA LINHA --&gt;","")</f>
        <v/>
      </c>
      <c r="K168" s="434"/>
      <c r="L168" s="434"/>
      <c r="M168" s="435"/>
      <c r="N168" s="435"/>
      <c r="O168" s="435"/>
      <c r="P168" s="435"/>
      <c r="Q168" s="435"/>
      <c r="R168" s="435"/>
      <c r="S168" s="436"/>
      <c r="T168" s="437"/>
      <c r="U168" s="431"/>
      <c r="V168" s="431"/>
      <c r="W168" s="431"/>
      <c r="X168" s="431"/>
      <c r="Y168" s="431"/>
      <c r="Z168" s="431"/>
      <c r="AA168" s="431"/>
      <c r="AB168" s="431"/>
      <c r="AC168" s="431"/>
      <c r="AD168" s="431"/>
      <c r="AE168" s="431"/>
      <c r="AF168" s="431"/>
      <c r="AG168" s="431"/>
      <c r="AH168" s="431"/>
      <c r="AI168" s="431"/>
      <c r="AJ168" s="431"/>
      <c r="AK168" s="431"/>
      <c r="AL168" s="431"/>
      <c r="AM168" s="431"/>
      <c r="AN168" s="431"/>
      <c r="AO168" s="431"/>
      <c r="AP168" s="431"/>
      <c r="AQ168" s="431"/>
      <c r="AR168" s="431"/>
      <c r="AS168" s="431"/>
      <c r="AT168" s="431"/>
      <c r="AU168" s="431"/>
      <c r="AV168" s="431"/>
      <c r="AW168" s="431"/>
      <c r="AX168" s="431"/>
      <c r="AY168" s="431"/>
      <c r="AZ168" s="431"/>
      <c r="BA168" s="431"/>
      <c r="BB168" s="431"/>
      <c r="BC168" s="431"/>
      <c r="BD168" s="431"/>
      <c r="BE168" s="430"/>
    </row>
    <row r="169" customFormat="false" ht="12.75" hidden="true" customHeight="true" outlineLevel="0" collapsed="false">
      <c r="D169" s="438"/>
      <c r="E169" s="439" t="n">
        <f aca="false" t="array" ref="E169:E169">IF($R167=2,
         IF(AND(ACOMPANHAMENTO="PLE",ISNUMBER($F167)),
                SUMIF((OFFSET(CÁLCULO!$BS$15:$CS$15,$F167,0,OFFSET(ORÇAMENTO!$D$15,CRONO!$F167,0))),CRONO!E$12,OFFSET(CÁLCULO!$AR$15:$BR$15,$F167,0,OFFSET(ORÇAMENTO!$D$15,CRONO!$F167,0)))
                +IF(AND($F169&lt;&gt;"",$F169&lt;&gt;0),
                        SUMIF(CÁLCULO!$BS$15:$CS$205,CRONO!E$12,CÁLCULO!$AR$15:$BR$205)/(ORÇAMENTO!$X$15-_xlfn.single(CÁLCULO.TotalAdmLocal))*CRONO!$F169,
                        0),
                 E168*$S167),
          SUMIF(OFFSET($S169,1,0,$R167-2),($M167+1)&amp;"$",OFFSET(E169,1,0,$R167-2)))</f>
        <v>0</v>
      </c>
      <c r="F169" s="419" t="str">
        <f aca="true">IF(OR($R167&lt;&gt;2,AUTOEVENTO&lt;&gt;"manual",$F168&gt;0),"",
        IF(Import.TipoArredondamento="Tradicional",
              SUMIF(OFFSET(CÁLCULO!$M$15,CRONO!$F167,0,OFFSET(ORÇAMENTO!$D$15,CRONO!$F167,0)),1,OFFSET(ORÇAMENTO!$X$15,CRONO!$F167,0,OFFSET(ORÇAMENTO!$D$15,CRONO!$F167,0))),
              0))</f>
        <v/>
      </c>
      <c r="H169" s="440"/>
      <c r="S169" s="441" t="str">
        <f aca="false">M167&amp;"$"</f>
        <v>2$</v>
      </c>
      <c r="T169" s="442"/>
      <c r="U169" s="439" t="n">
        <f aca="false" t="array" ref="U169:U169">IF($R167=2,
         IF(AND(ACOMPANHAMENTO="PLE",ISNUMBER($F167)),
                SUMIF((OFFSET(CÁLCULO!$BS$15:$CS$15,$F167,0,OFFSET(ORÇAMENTO!$D$15,CRONO!$F167,0))),CRONO!U$12,OFFSET(CÁLCULO!$AR$15:$BR$15,$F167,0,OFFSET(ORÇAMENTO!$D$15,CRONO!$F167,0)))
                +IF(AND($F169&lt;&gt;"",$F169&lt;&gt;0),
                        SUMIF(CÁLCULO!$BS$15:$CS$205,CRONO!U$12,CÁLCULO!$AR$15:$BR$205)/(ORÇAMENTO!$X$15-_xlfn.single(CÁLCULO.TotalAdmLocal))*CRONO!$F169,
                        0),
                 U168*$S167),
          SUMIF(OFFSET($S169,1,0,$R167-2),($M167+1)&amp;"$",OFFSET(U169,1,0,$R167-2)))</f>
        <v>0</v>
      </c>
      <c r="V169" s="439" t="n">
        <f aca="false" t="array" ref="V169:V169">IF($R167=2,
         IF(AND(ACOMPANHAMENTO="PLE",ISNUMBER($F167)),
                SUMIF((OFFSET(CÁLCULO!$BS$15:$CS$15,$F167,0,OFFSET(ORÇAMENTO!$D$15,CRONO!$F167,0))),CRONO!V$12,OFFSET(CÁLCULO!$AR$15:$BR$15,$F167,0,OFFSET(ORÇAMENTO!$D$15,CRONO!$F167,0)))
                +IF(AND($F169&lt;&gt;"",$F169&lt;&gt;0),
                        SUMIF(CÁLCULO!$BS$15:$CS$205,CRONO!V$12,CÁLCULO!$AR$15:$BR$205)/(ORÇAMENTO!$X$15-_xlfn.single(CÁLCULO.TotalAdmLocal))*CRONO!$F169,
                        0),
                 V168*$S167),
          SUMIF(OFFSET($S169,1,0,$R167-2),($M167+1)&amp;"$",OFFSET(V169,1,0,$R167-2)))</f>
        <v>0</v>
      </c>
      <c r="W169" s="439" t="n">
        <f aca="false" t="array" ref="W169:W169">IF($R167=2,
         IF(AND(ACOMPANHAMENTO="PLE",ISNUMBER($F167)),
                SUMIF((OFFSET(CÁLCULO!$BS$15:$CS$15,$F167,0,OFFSET(ORÇAMENTO!$D$15,CRONO!$F167,0))),CRONO!W$12,OFFSET(CÁLCULO!$AR$15:$BR$15,$F167,0,OFFSET(ORÇAMENTO!$D$15,CRONO!$F167,0)))
                +IF(AND($F169&lt;&gt;"",$F169&lt;&gt;0),
                        SUMIF(CÁLCULO!$BS$15:$CS$205,CRONO!W$12,CÁLCULO!$AR$15:$BR$205)/(ORÇAMENTO!$X$15-_xlfn.single(CÁLCULO.TotalAdmLocal))*CRONO!$F169,
                        0),
                 W168*$S167),
          SUMIF(OFFSET($S169,1,0,$R167-2),($M167+1)&amp;"$",OFFSET(W169,1,0,$R167-2)))</f>
        <v>0</v>
      </c>
      <c r="X169" s="439" t="n">
        <f aca="false" t="array" ref="X169:X169">IF($R167=2,
         IF(AND(ACOMPANHAMENTO="PLE",ISNUMBER($F167)),
                SUMIF((OFFSET(CÁLCULO!$BS$15:$CS$15,$F167,0,OFFSET(ORÇAMENTO!$D$15,CRONO!$F167,0))),CRONO!X$12,OFFSET(CÁLCULO!$AR$15:$BR$15,$F167,0,OFFSET(ORÇAMENTO!$D$15,CRONO!$F167,0)))
                +IF(AND($F169&lt;&gt;"",$F169&lt;&gt;0),
                        SUMIF(CÁLCULO!$BS$15:$CS$205,CRONO!X$12,CÁLCULO!$AR$15:$BR$205)/(ORÇAMENTO!$X$15-_xlfn.single(CÁLCULO.TotalAdmLocal))*CRONO!$F169,
                        0),
                 X168*$S167),
          SUMIF(OFFSET($S169,1,0,$R167-2),($M167+1)&amp;"$",OFFSET(X169,1,0,$R167-2)))</f>
        <v>0</v>
      </c>
      <c r="Y169" s="439" t="n">
        <f aca="false" t="array" ref="Y169:Y169">IF($R167=2,
         IF(AND(ACOMPANHAMENTO="PLE",ISNUMBER($F167)),
                SUMIF((OFFSET(CÁLCULO!$BS$15:$CS$15,$F167,0,OFFSET(ORÇAMENTO!$D$15,CRONO!$F167,0))),CRONO!Y$12,OFFSET(CÁLCULO!$AR$15:$BR$15,$F167,0,OFFSET(ORÇAMENTO!$D$15,CRONO!$F167,0)))
                +IF(AND($F169&lt;&gt;"",$F169&lt;&gt;0),
                        SUMIF(CÁLCULO!$BS$15:$CS$205,CRONO!Y$12,CÁLCULO!$AR$15:$BR$205)/(ORÇAMENTO!$X$15-_xlfn.single(CÁLCULO.TotalAdmLocal))*CRONO!$F169,
                        0),
                 Y168*$S167),
          SUMIF(OFFSET($S169,1,0,$R167-2),($M167+1)&amp;"$",OFFSET(Y169,1,0,$R167-2)))</f>
        <v>0</v>
      </c>
      <c r="Z169" s="439" t="n">
        <f aca="false" t="array" ref="Z169:Z169">IF($R167=2,
         IF(AND(ACOMPANHAMENTO="PLE",ISNUMBER($F167)),
                SUMIF((OFFSET(CÁLCULO!$BS$15:$CS$15,$F167,0,OFFSET(ORÇAMENTO!$D$15,CRONO!$F167,0))),CRONO!Z$12,OFFSET(CÁLCULO!$AR$15:$BR$15,$F167,0,OFFSET(ORÇAMENTO!$D$15,CRONO!$F167,0)))
                +IF(AND($F169&lt;&gt;"",$F169&lt;&gt;0),
                        SUMIF(CÁLCULO!$BS$15:$CS$205,CRONO!Z$12,CÁLCULO!$AR$15:$BR$205)/(ORÇAMENTO!$X$15-_xlfn.single(CÁLCULO.TotalAdmLocal))*CRONO!$F169,
                        0),
                 Z168*$S167),
          SUMIF(OFFSET($S169,1,0,$R167-2),($M167+1)&amp;"$",OFFSET(Z169,1,0,$R167-2)))</f>
        <v>0</v>
      </c>
      <c r="AA169" s="439" t="n">
        <f aca="false" t="array" ref="AA169:AA169">IF($R167=2,
         IF(AND(ACOMPANHAMENTO="PLE",ISNUMBER($F167)),
                SUMIF((OFFSET(CÁLCULO!$BS$15:$CS$15,$F167,0,OFFSET(ORÇAMENTO!$D$15,CRONO!$F167,0))),CRONO!AA$12,OFFSET(CÁLCULO!$AR$15:$BR$15,$F167,0,OFFSET(ORÇAMENTO!$D$15,CRONO!$F167,0)))
                +IF(AND($F169&lt;&gt;"",$F169&lt;&gt;0),
                        SUMIF(CÁLCULO!$BS$15:$CS$205,CRONO!AA$12,CÁLCULO!$AR$15:$BR$205)/(ORÇAMENTO!$X$15-_xlfn.single(CÁLCULO.TotalAdmLocal))*CRONO!$F169,
                        0),
                 AA168*$S167),
          SUMIF(OFFSET($S169,1,0,$R167-2),($M167+1)&amp;"$",OFFSET(AA169,1,0,$R167-2)))</f>
        <v>0</v>
      </c>
      <c r="AB169" s="439" t="n">
        <f aca="false" t="array" ref="AB169:AB169">IF($R167=2,
         IF(AND(ACOMPANHAMENTO="PLE",ISNUMBER($F167)),
                SUMIF((OFFSET(CÁLCULO!$BS$15:$CS$15,$F167,0,OFFSET(ORÇAMENTO!$D$15,CRONO!$F167,0))),CRONO!AB$12,OFFSET(CÁLCULO!$AR$15:$BR$15,$F167,0,OFFSET(ORÇAMENTO!$D$15,CRONO!$F167,0)))
                +IF(AND($F169&lt;&gt;"",$F169&lt;&gt;0),
                        SUMIF(CÁLCULO!$BS$15:$CS$205,CRONO!AB$12,CÁLCULO!$AR$15:$BR$205)/(ORÇAMENTO!$X$15-_xlfn.single(CÁLCULO.TotalAdmLocal))*CRONO!$F169,
                        0),
                 AB168*$S167),
          SUMIF(OFFSET($S169,1,0,$R167-2),($M167+1)&amp;"$",OFFSET(AB169,1,0,$R167-2)))</f>
        <v>0</v>
      </c>
      <c r="AC169" s="439" t="n">
        <f aca="false" t="array" ref="AC169:AC169">IF($R167=2,
         IF(AND(ACOMPANHAMENTO="PLE",ISNUMBER($F167)),
                SUMIF((OFFSET(CÁLCULO!$BS$15:$CS$15,$F167,0,OFFSET(ORÇAMENTO!$D$15,CRONO!$F167,0))),CRONO!AC$12,OFFSET(CÁLCULO!$AR$15:$BR$15,$F167,0,OFFSET(ORÇAMENTO!$D$15,CRONO!$F167,0)))
                +IF(AND($F169&lt;&gt;"",$F169&lt;&gt;0),
                        SUMIF(CÁLCULO!$BS$15:$CS$205,CRONO!AC$12,CÁLCULO!$AR$15:$BR$205)/(ORÇAMENTO!$X$15-_xlfn.single(CÁLCULO.TotalAdmLocal))*CRONO!$F169,
                        0),
                 AC168*$S167),
          SUMIF(OFFSET($S169,1,0,$R167-2),($M167+1)&amp;"$",OFFSET(AC169,1,0,$R167-2)))</f>
        <v>0</v>
      </c>
      <c r="AD169" s="439" t="n">
        <f aca="false" t="array" ref="AD169:AD169">IF($R167=2,
         IF(AND(ACOMPANHAMENTO="PLE",ISNUMBER($F167)),
                SUMIF((OFFSET(CÁLCULO!$BS$15:$CS$15,$F167,0,OFFSET(ORÇAMENTO!$D$15,CRONO!$F167,0))),CRONO!AD$12,OFFSET(CÁLCULO!$AR$15:$BR$15,$F167,0,OFFSET(ORÇAMENTO!$D$15,CRONO!$F167,0)))
                +IF(AND($F169&lt;&gt;"",$F169&lt;&gt;0),
                        SUMIF(CÁLCULO!$BS$15:$CS$205,CRONO!AD$12,CÁLCULO!$AR$15:$BR$205)/(ORÇAMENTO!$X$15-_xlfn.single(CÁLCULO.TotalAdmLocal))*CRONO!$F169,
                        0),
                 AD168*$S167),
          SUMIF(OFFSET($S169,1,0,$R167-2),($M167+1)&amp;"$",OFFSET(AD169,1,0,$R167-2)))</f>
        <v>0</v>
      </c>
      <c r="AE169" s="439" t="n">
        <f aca="false" t="array" ref="AE169:AE169">IF($R167=2,
         IF(AND(ACOMPANHAMENTO="PLE",ISNUMBER($F167)),
                SUMIF((OFFSET(CÁLCULO!$BS$15:$CS$15,$F167,0,OFFSET(ORÇAMENTO!$D$15,CRONO!$F167,0))),CRONO!AE$12,OFFSET(CÁLCULO!$AR$15:$BR$15,$F167,0,OFFSET(ORÇAMENTO!$D$15,CRONO!$F167,0)))
                +IF(AND($F169&lt;&gt;"",$F169&lt;&gt;0),
                        SUMIF(CÁLCULO!$BS$15:$CS$205,CRONO!AE$12,CÁLCULO!$AR$15:$BR$205)/(ORÇAMENTO!$X$15-_xlfn.single(CÁLCULO.TotalAdmLocal))*CRONO!$F169,
                        0),
                 AE168*$S167),
          SUMIF(OFFSET($S169,1,0,$R167-2),($M167+1)&amp;"$",OFFSET(AE169,1,0,$R167-2)))</f>
        <v>0</v>
      </c>
      <c r="AF169" s="439" t="n">
        <f aca="false" t="array" ref="AF169:AF169">IF($R167=2,
         IF(AND(ACOMPANHAMENTO="PLE",ISNUMBER($F167)),
                SUMIF((OFFSET(CÁLCULO!$BS$15:$CS$15,$F167,0,OFFSET(ORÇAMENTO!$D$15,CRONO!$F167,0))),CRONO!AF$12,OFFSET(CÁLCULO!$AR$15:$BR$15,$F167,0,OFFSET(ORÇAMENTO!$D$15,CRONO!$F167,0)))
                +IF(AND($F169&lt;&gt;"",$F169&lt;&gt;0),
                        SUMIF(CÁLCULO!$BS$15:$CS$205,CRONO!AF$12,CÁLCULO!$AR$15:$BR$205)/(ORÇAMENTO!$X$15-_xlfn.single(CÁLCULO.TotalAdmLocal))*CRONO!$F169,
                        0),
                 AF168*$S167),
          SUMIF(OFFSET($S169,1,0,$R167-2),($M167+1)&amp;"$",OFFSET(AF169,1,0,$R167-2)))</f>
        <v>0</v>
      </c>
      <c r="AG169" s="439" t="n">
        <f aca="false" t="array" ref="AG169:AG169">IF($R167=2,
         IF(AND(ACOMPANHAMENTO="PLE",ISNUMBER($F167)),
                SUMIF((OFFSET(CÁLCULO!$BS$15:$CS$15,$F167,0,OFFSET(ORÇAMENTO!$D$15,CRONO!$F167,0))),CRONO!AG$12,OFFSET(CÁLCULO!$AR$15:$BR$15,$F167,0,OFFSET(ORÇAMENTO!$D$15,CRONO!$F167,0)))
                +IF(AND($F169&lt;&gt;"",$F169&lt;&gt;0),
                        SUMIF(CÁLCULO!$BS$15:$CS$205,CRONO!AG$12,CÁLCULO!$AR$15:$BR$205)/(ORÇAMENTO!$X$15-_xlfn.single(CÁLCULO.TotalAdmLocal))*CRONO!$F169,
                        0),
                 AG168*$S167),
          SUMIF(OFFSET($S169,1,0,$R167-2),($M167+1)&amp;"$",OFFSET(AG169,1,0,$R167-2)))</f>
        <v>0</v>
      </c>
      <c r="AH169" s="439" t="n">
        <f aca="false" t="array" ref="AH169:AH169">IF($R167=2,
         IF(AND(ACOMPANHAMENTO="PLE",ISNUMBER($F167)),
                SUMIF((OFFSET(CÁLCULO!$BS$15:$CS$15,$F167,0,OFFSET(ORÇAMENTO!$D$15,CRONO!$F167,0))),CRONO!AH$12,OFFSET(CÁLCULO!$AR$15:$BR$15,$F167,0,OFFSET(ORÇAMENTO!$D$15,CRONO!$F167,0)))
                +IF(AND($F169&lt;&gt;"",$F169&lt;&gt;0),
                        SUMIF(CÁLCULO!$BS$15:$CS$205,CRONO!AH$12,CÁLCULO!$AR$15:$BR$205)/(ORÇAMENTO!$X$15-_xlfn.single(CÁLCULO.TotalAdmLocal))*CRONO!$F169,
                        0),
                 AH168*$S167),
          SUMIF(OFFSET($S169,1,0,$R167-2),($M167+1)&amp;"$",OFFSET(AH169,1,0,$R167-2)))</f>
        <v>0</v>
      </c>
      <c r="AI169" s="439" t="n">
        <f aca="false" t="array" ref="AI169:AI169">IF($R167=2,
         IF(AND(ACOMPANHAMENTO="PLE",ISNUMBER($F167)),
                SUMIF((OFFSET(CÁLCULO!$BS$15:$CS$15,$F167,0,OFFSET(ORÇAMENTO!$D$15,CRONO!$F167,0))),CRONO!AI$12,OFFSET(CÁLCULO!$AR$15:$BR$15,$F167,0,OFFSET(ORÇAMENTO!$D$15,CRONO!$F167,0)))
                +IF(AND($F169&lt;&gt;"",$F169&lt;&gt;0),
                        SUMIF(CÁLCULO!$BS$15:$CS$205,CRONO!AI$12,CÁLCULO!$AR$15:$BR$205)/(ORÇAMENTO!$X$15-_xlfn.single(CÁLCULO.TotalAdmLocal))*CRONO!$F169,
                        0),
                 AI168*$S167),
          SUMIF(OFFSET($S169,1,0,$R167-2),($M167+1)&amp;"$",OFFSET(AI169,1,0,$R167-2)))</f>
        <v>0</v>
      </c>
      <c r="AJ169" s="439" t="n">
        <f aca="false" t="array" ref="AJ169:AJ169">IF($R167=2,
         IF(AND(ACOMPANHAMENTO="PLE",ISNUMBER($F167)),
                SUMIF((OFFSET(CÁLCULO!$BS$15:$CS$15,$F167,0,OFFSET(ORÇAMENTO!$D$15,CRONO!$F167,0))),CRONO!AJ$12,OFFSET(CÁLCULO!$AR$15:$BR$15,$F167,0,OFFSET(ORÇAMENTO!$D$15,CRONO!$F167,0)))
                +IF(AND($F169&lt;&gt;"",$F169&lt;&gt;0),
                        SUMIF(CÁLCULO!$BS$15:$CS$205,CRONO!AJ$12,CÁLCULO!$AR$15:$BR$205)/(ORÇAMENTO!$X$15-_xlfn.single(CÁLCULO.TotalAdmLocal))*CRONO!$F169,
                        0),
                 AJ168*$S167),
          SUMIF(OFFSET($S169,1,0,$R167-2),($M167+1)&amp;"$",OFFSET(AJ169,1,0,$R167-2)))</f>
        <v>0</v>
      </c>
      <c r="AK169" s="439" t="n">
        <f aca="false" t="array" ref="AK169:AK169">IF($R167=2,
         IF(AND(ACOMPANHAMENTO="PLE",ISNUMBER($F167)),
                SUMIF((OFFSET(CÁLCULO!$BS$15:$CS$15,$F167,0,OFFSET(ORÇAMENTO!$D$15,CRONO!$F167,0))),CRONO!AK$12,OFFSET(CÁLCULO!$AR$15:$BR$15,$F167,0,OFFSET(ORÇAMENTO!$D$15,CRONO!$F167,0)))
                +IF(AND($F169&lt;&gt;"",$F169&lt;&gt;0),
                        SUMIF(CÁLCULO!$BS$15:$CS$205,CRONO!AK$12,CÁLCULO!$AR$15:$BR$205)/(ORÇAMENTO!$X$15-_xlfn.single(CÁLCULO.TotalAdmLocal))*CRONO!$F169,
                        0),
                 AK168*$S167),
          SUMIF(OFFSET($S169,1,0,$R167-2),($M167+1)&amp;"$",OFFSET(AK169,1,0,$R167-2)))</f>
        <v>0</v>
      </c>
      <c r="AL169" s="439" t="n">
        <f aca="false" t="array" ref="AL169:AL169">IF($R167=2,
         IF(AND(ACOMPANHAMENTO="PLE",ISNUMBER($F167)),
                SUMIF((OFFSET(CÁLCULO!$BS$15:$CS$15,$F167,0,OFFSET(ORÇAMENTO!$D$15,CRONO!$F167,0))),CRONO!AL$12,OFFSET(CÁLCULO!$AR$15:$BR$15,$F167,0,OFFSET(ORÇAMENTO!$D$15,CRONO!$F167,0)))
                +IF(AND($F169&lt;&gt;"",$F169&lt;&gt;0),
                        SUMIF(CÁLCULO!$BS$15:$CS$205,CRONO!AL$12,CÁLCULO!$AR$15:$BR$205)/(ORÇAMENTO!$X$15-_xlfn.single(CÁLCULO.TotalAdmLocal))*CRONO!$F169,
                        0),
                 AL168*$S167),
          SUMIF(OFFSET($S169,1,0,$R167-2),($M167+1)&amp;"$",OFFSET(AL169,1,0,$R167-2)))</f>
        <v>0</v>
      </c>
      <c r="AM169" s="439" t="n">
        <f aca="false" t="array" ref="AM169:AM169">IF($R167=2,
         IF(AND(ACOMPANHAMENTO="PLE",ISNUMBER($F167)),
                SUMIF((OFFSET(CÁLCULO!$BS$15:$CS$15,$F167,0,OFFSET(ORÇAMENTO!$D$15,CRONO!$F167,0))),CRONO!AM$12,OFFSET(CÁLCULO!$AR$15:$BR$15,$F167,0,OFFSET(ORÇAMENTO!$D$15,CRONO!$F167,0)))
                +IF(AND($F169&lt;&gt;"",$F169&lt;&gt;0),
                        SUMIF(CÁLCULO!$BS$15:$CS$205,CRONO!AM$12,CÁLCULO!$AR$15:$BR$205)/(ORÇAMENTO!$X$15-_xlfn.single(CÁLCULO.TotalAdmLocal))*CRONO!$F169,
                        0),
                 AM168*$S167),
          SUMIF(OFFSET($S169,1,0,$R167-2),($M167+1)&amp;"$",OFFSET(AM169,1,0,$R167-2)))</f>
        <v>0</v>
      </c>
      <c r="AN169" s="439" t="n">
        <f aca="false" t="array" ref="AN169:AN169">IF($R167=2,
         IF(AND(ACOMPANHAMENTO="PLE",ISNUMBER($F167)),
                SUMIF((OFFSET(CÁLCULO!$BS$15:$CS$15,$F167,0,OFFSET(ORÇAMENTO!$D$15,CRONO!$F167,0))),CRONO!AN$12,OFFSET(CÁLCULO!$AR$15:$BR$15,$F167,0,OFFSET(ORÇAMENTO!$D$15,CRONO!$F167,0)))
                +IF(AND($F169&lt;&gt;"",$F169&lt;&gt;0),
                        SUMIF(CÁLCULO!$BS$15:$CS$205,CRONO!AN$12,CÁLCULO!$AR$15:$BR$205)/(ORÇAMENTO!$X$15-_xlfn.single(CÁLCULO.TotalAdmLocal))*CRONO!$F169,
                        0),
                 AN168*$S167),
          SUMIF(OFFSET($S169,1,0,$R167-2),($M167+1)&amp;"$",OFFSET(AN169,1,0,$R167-2)))</f>
        <v>0</v>
      </c>
      <c r="AO169" s="439" t="n">
        <f aca="false" t="array" ref="AO169:AO169">IF($R167=2,
         IF(AND(ACOMPANHAMENTO="PLE",ISNUMBER($F167)),
                SUMIF((OFFSET(CÁLCULO!$BS$15:$CS$15,$F167,0,OFFSET(ORÇAMENTO!$D$15,CRONO!$F167,0))),CRONO!AO$12,OFFSET(CÁLCULO!$AR$15:$BR$15,$F167,0,OFFSET(ORÇAMENTO!$D$15,CRONO!$F167,0)))
                +IF(AND($F169&lt;&gt;"",$F169&lt;&gt;0),
                        SUMIF(CÁLCULO!$BS$15:$CS$205,CRONO!AO$12,CÁLCULO!$AR$15:$BR$205)/(ORÇAMENTO!$X$15-_xlfn.single(CÁLCULO.TotalAdmLocal))*CRONO!$F169,
                        0),
                 AO168*$S167),
          SUMIF(OFFSET($S169,1,0,$R167-2),($M167+1)&amp;"$",OFFSET(AO169,1,0,$R167-2)))</f>
        <v>0</v>
      </c>
      <c r="AP169" s="439" t="n">
        <f aca="false" t="array" ref="AP169:AP169">IF($R167=2,
         IF(AND(ACOMPANHAMENTO="PLE",ISNUMBER($F167)),
                SUMIF((OFFSET(CÁLCULO!$BS$15:$CS$15,$F167,0,OFFSET(ORÇAMENTO!$D$15,CRONO!$F167,0))),CRONO!AP$12,OFFSET(CÁLCULO!$AR$15:$BR$15,$F167,0,OFFSET(ORÇAMENTO!$D$15,CRONO!$F167,0)))
                +IF(AND($F169&lt;&gt;"",$F169&lt;&gt;0),
                        SUMIF(CÁLCULO!$BS$15:$CS$205,CRONO!AP$12,CÁLCULO!$AR$15:$BR$205)/(ORÇAMENTO!$X$15-_xlfn.single(CÁLCULO.TotalAdmLocal))*CRONO!$F169,
                        0),
                 AP168*$S167),
          SUMIF(OFFSET($S169,1,0,$R167-2),($M167+1)&amp;"$",OFFSET(AP169,1,0,$R167-2)))</f>
        <v>0</v>
      </c>
      <c r="AQ169" s="439" t="n">
        <f aca="false" t="array" ref="AQ169:AQ169">IF($R167=2,
         IF(AND(ACOMPANHAMENTO="PLE",ISNUMBER($F167)),
                SUMIF((OFFSET(CÁLCULO!$BS$15:$CS$15,$F167,0,OFFSET(ORÇAMENTO!$D$15,CRONO!$F167,0))),CRONO!AQ$12,OFFSET(CÁLCULO!$AR$15:$BR$15,$F167,0,OFFSET(ORÇAMENTO!$D$15,CRONO!$F167,0)))
                +IF(AND($F169&lt;&gt;"",$F169&lt;&gt;0),
                        SUMIF(CÁLCULO!$BS$15:$CS$205,CRONO!AQ$12,CÁLCULO!$AR$15:$BR$205)/(ORÇAMENTO!$X$15-_xlfn.single(CÁLCULO.TotalAdmLocal))*CRONO!$F169,
                        0),
                 AQ168*$S167),
          SUMIF(OFFSET($S169,1,0,$R167-2),($M167+1)&amp;"$",OFFSET(AQ169,1,0,$R167-2)))</f>
        <v>0</v>
      </c>
      <c r="AR169" s="439" t="n">
        <f aca="false" t="array" ref="AR169:AR169">IF($R167=2,
         IF(AND(ACOMPANHAMENTO="PLE",ISNUMBER($F167)),
                SUMIF((OFFSET(CÁLCULO!$BS$15:$CS$15,$F167,0,OFFSET(ORÇAMENTO!$D$15,CRONO!$F167,0))),CRONO!AR$12,OFFSET(CÁLCULO!$AR$15:$BR$15,$F167,0,OFFSET(ORÇAMENTO!$D$15,CRONO!$F167,0)))
                +IF(AND($F169&lt;&gt;"",$F169&lt;&gt;0),
                        SUMIF(CÁLCULO!$BS$15:$CS$205,CRONO!AR$12,CÁLCULO!$AR$15:$BR$205)/(ORÇAMENTO!$X$15-_xlfn.single(CÁLCULO.TotalAdmLocal))*CRONO!$F169,
                        0),
                 AR168*$S167),
          SUMIF(OFFSET($S169,1,0,$R167-2),($M167+1)&amp;"$",OFFSET(AR169,1,0,$R167-2)))</f>
        <v>0</v>
      </c>
      <c r="AS169" s="439" t="n">
        <f aca="false" t="array" ref="AS169:AS169">IF($R167=2,
         IF(AND(ACOMPANHAMENTO="PLE",ISNUMBER($F167)),
                SUMIF((OFFSET(CÁLCULO!$BS$15:$CS$15,$F167,0,OFFSET(ORÇAMENTO!$D$15,CRONO!$F167,0))),CRONO!AS$12,OFFSET(CÁLCULO!$AR$15:$BR$15,$F167,0,OFFSET(ORÇAMENTO!$D$15,CRONO!$F167,0)))
                +IF(AND($F169&lt;&gt;"",$F169&lt;&gt;0),
                        SUMIF(CÁLCULO!$BS$15:$CS$205,CRONO!AS$12,CÁLCULO!$AR$15:$BR$205)/(ORÇAMENTO!$X$15-_xlfn.single(CÁLCULO.TotalAdmLocal))*CRONO!$F169,
                        0),
                 AS168*$S167),
          SUMIF(OFFSET($S169,1,0,$R167-2),($M167+1)&amp;"$",OFFSET(AS169,1,0,$R167-2)))</f>
        <v>0</v>
      </c>
      <c r="AT169" s="439" t="n">
        <f aca="false" t="array" ref="AT169:AT169">IF($R167=2,
         IF(AND(ACOMPANHAMENTO="PLE",ISNUMBER($F167)),
                SUMIF((OFFSET(CÁLCULO!$BS$15:$CS$15,$F167,0,OFFSET(ORÇAMENTO!$D$15,CRONO!$F167,0))),CRONO!AT$12,OFFSET(CÁLCULO!$AR$15:$BR$15,$F167,0,OFFSET(ORÇAMENTO!$D$15,CRONO!$F167,0)))
                +IF(AND($F169&lt;&gt;"",$F169&lt;&gt;0),
                        SUMIF(CÁLCULO!$BS$15:$CS$205,CRONO!AT$12,CÁLCULO!$AR$15:$BR$205)/(ORÇAMENTO!$X$15-_xlfn.single(CÁLCULO.TotalAdmLocal))*CRONO!$F169,
                        0),
                 AT168*$S167),
          SUMIF(OFFSET($S169,1,0,$R167-2),($M167+1)&amp;"$",OFFSET(AT169,1,0,$R167-2)))</f>
        <v>0</v>
      </c>
      <c r="AU169" s="439" t="n">
        <f aca="false" t="array" ref="AU169:AU169">IF($R167=2,
         IF(AND(ACOMPANHAMENTO="PLE",ISNUMBER($F167)),
                SUMIF((OFFSET(CÁLCULO!$BS$15:$CS$15,$F167,0,OFFSET(ORÇAMENTO!$D$15,CRONO!$F167,0))),CRONO!AU$12,OFFSET(CÁLCULO!$AR$15:$BR$15,$F167,0,OFFSET(ORÇAMENTO!$D$15,CRONO!$F167,0)))
                +IF(AND($F169&lt;&gt;"",$F169&lt;&gt;0),
                        SUMIF(CÁLCULO!$BS$15:$CS$205,CRONO!AU$12,CÁLCULO!$AR$15:$BR$205)/(ORÇAMENTO!$X$15-_xlfn.single(CÁLCULO.TotalAdmLocal))*CRONO!$F169,
                        0),
                 AU168*$S167),
          SUMIF(OFFSET($S169,1,0,$R167-2),($M167+1)&amp;"$",OFFSET(AU169,1,0,$R167-2)))</f>
        <v>0</v>
      </c>
      <c r="AV169" s="439" t="n">
        <f aca="false" t="array" ref="AV169:AV169">IF($R167=2,
         IF(AND(ACOMPANHAMENTO="PLE",ISNUMBER($F167)),
                SUMIF((OFFSET(CÁLCULO!$BS$15:$CS$15,$F167,0,OFFSET(ORÇAMENTO!$D$15,CRONO!$F167,0))),CRONO!AV$12,OFFSET(CÁLCULO!$AR$15:$BR$15,$F167,0,OFFSET(ORÇAMENTO!$D$15,CRONO!$F167,0)))
                +IF(AND($F169&lt;&gt;"",$F169&lt;&gt;0),
                        SUMIF(CÁLCULO!$BS$15:$CS$205,CRONO!AV$12,CÁLCULO!$AR$15:$BR$205)/(ORÇAMENTO!$X$15-_xlfn.single(CÁLCULO.TotalAdmLocal))*CRONO!$F169,
                        0),
                 AV168*$S167),
          SUMIF(OFFSET($S169,1,0,$R167-2),($M167+1)&amp;"$",OFFSET(AV169,1,0,$R167-2)))</f>
        <v>0</v>
      </c>
      <c r="AW169" s="439" t="n">
        <f aca="false" t="array" ref="AW169:AW169">IF($R167=2,
         IF(AND(ACOMPANHAMENTO="PLE",ISNUMBER($F167)),
                SUMIF((OFFSET(CÁLCULO!$BS$15:$CS$15,$F167,0,OFFSET(ORÇAMENTO!$D$15,CRONO!$F167,0))),CRONO!AW$12,OFFSET(CÁLCULO!$AR$15:$BR$15,$F167,0,OFFSET(ORÇAMENTO!$D$15,CRONO!$F167,0)))
                +IF(AND($F169&lt;&gt;"",$F169&lt;&gt;0),
                        SUMIF(CÁLCULO!$BS$15:$CS$205,CRONO!AW$12,CÁLCULO!$AR$15:$BR$205)/(ORÇAMENTO!$X$15-_xlfn.single(CÁLCULO.TotalAdmLocal))*CRONO!$F169,
                        0),
                 AW168*$S167),
          SUMIF(OFFSET($S169,1,0,$R167-2),($M167+1)&amp;"$",OFFSET(AW169,1,0,$R167-2)))</f>
        <v>0</v>
      </c>
      <c r="AX169" s="439" t="n">
        <f aca="false" t="array" ref="AX169:AX169">IF($R167=2,
         IF(AND(ACOMPANHAMENTO="PLE",ISNUMBER($F167)),
                SUMIF((OFFSET(CÁLCULO!$BS$15:$CS$15,$F167,0,OFFSET(ORÇAMENTO!$D$15,CRONO!$F167,0))),CRONO!AX$12,OFFSET(CÁLCULO!$AR$15:$BR$15,$F167,0,OFFSET(ORÇAMENTO!$D$15,CRONO!$F167,0)))
                +IF(AND($F169&lt;&gt;"",$F169&lt;&gt;0),
                        SUMIF(CÁLCULO!$BS$15:$CS$205,CRONO!AX$12,CÁLCULO!$AR$15:$BR$205)/(ORÇAMENTO!$X$15-_xlfn.single(CÁLCULO.TotalAdmLocal))*CRONO!$F169,
                        0),
                 AX168*$S167),
          SUMIF(OFFSET($S169,1,0,$R167-2),($M167+1)&amp;"$",OFFSET(AX169,1,0,$R167-2)))</f>
        <v>0</v>
      </c>
      <c r="AY169" s="439" t="n">
        <f aca="false" t="array" ref="AY169:AY169">IF($R167=2,
         IF(AND(ACOMPANHAMENTO="PLE",ISNUMBER($F167)),
                SUMIF((OFFSET(CÁLCULO!$BS$15:$CS$15,$F167,0,OFFSET(ORÇAMENTO!$D$15,CRONO!$F167,0))),CRONO!AY$12,OFFSET(CÁLCULO!$AR$15:$BR$15,$F167,0,OFFSET(ORÇAMENTO!$D$15,CRONO!$F167,0)))
                +IF(AND($F169&lt;&gt;"",$F169&lt;&gt;0),
                        SUMIF(CÁLCULO!$BS$15:$CS$205,CRONO!AY$12,CÁLCULO!$AR$15:$BR$205)/(ORÇAMENTO!$X$15-_xlfn.single(CÁLCULO.TotalAdmLocal))*CRONO!$F169,
                        0),
                 AY168*$S167),
          SUMIF(OFFSET($S169,1,0,$R167-2),($M167+1)&amp;"$",OFFSET(AY169,1,0,$R167-2)))</f>
        <v>0</v>
      </c>
      <c r="AZ169" s="439" t="n">
        <f aca="false" t="array" ref="AZ169:AZ169">IF($R167=2,
         IF(AND(ACOMPANHAMENTO="PLE",ISNUMBER($F167)),
                SUMIF((OFFSET(CÁLCULO!$BS$15:$CS$15,$F167,0,OFFSET(ORÇAMENTO!$D$15,CRONO!$F167,0))),CRONO!AZ$12,OFFSET(CÁLCULO!$AR$15:$BR$15,$F167,0,OFFSET(ORÇAMENTO!$D$15,CRONO!$F167,0)))
                +IF(AND($F169&lt;&gt;"",$F169&lt;&gt;0),
                        SUMIF(CÁLCULO!$BS$15:$CS$205,CRONO!AZ$12,CÁLCULO!$AR$15:$BR$205)/(ORÇAMENTO!$X$15-_xlfn.single(CÁLCULO.TotalAdmLocal))*CRONO!$F169,
                        0),
                 AZ168*$S167),
          SUMIF(OFFSET($S169,1,0,$R167-2),($M167+1)&amp;"$",OFFSET(AZ169,1,0,$R167-2)))</f>
        <v>0</v>
      </c>
      <c r="BA169" s="439" t="n">
        <f aca="false" t="array" ref="BA169:BA169">IF($R167=2,
         IF(AND(ACOMPANHAMENTO="PLE",ISNUMBER($F167)),
                SUMIF((OFFSET(CÁLCULO!$BS$15:$CS$15,$F167,0,OFFSET(ORÇAMENTO!$D$15,CRONO!$F167,0))),CRONO!BA$12,OFFSET(CÁLCULO!$AR$15:$BR$15,$F167,0,OFFSET(ORÇAMENTO!$D$15,CRONO!$F167,0)))
                +IF(AND($F169&lt;&gt;"",$F169&lt;&gt;0),
                        SUMIF(CÁLCULO!$BS$15:$CS$205,CRONO!BA$12,CÁLCULO!$AR$15:$BR$205)/(ORÇAMENTO!$X$15-_xlfn.single(CÁLCULO.TotalAdmLocal))*CRONO!$F169,
                        0),
                 BA168*$S167),
          SUMIF(OFFSET($S169,1,0,$R167-2),($M167+1)&amp;"$",OFFSET(BA169,1,0,$R167-2)))</f>
        <v>0</v>
      </c>
      <c r="BB169" s="439" t="n">
        <f aca="false" t="array" ref="BB169:BB169">IF($R167=2,
         IF(AND(ACOMPANHAMENTO="PLE",ISNUMBER($F167)),
                SUMIF((OFFSET(CÁLCULO!$BS$15:$CS$15,$F167,0,OFFSET(ORÇAMENTO!$D$15,CRONO!$F167,0))),CRONO!BB$12,OFFSET(CÁLCULO!$AR$15:$BR$15,$F167,0,OFFSET(ORÇAMENTO!$D$15,CRONO!$F167,0)))
                +IF(AND($F169&lt;&gt;"",$F169&lt;&gt;0),
                        SUMIF(CÁLCULO!$BS$15:$CS$205,CRONO!BB$12,CÁLCULO!$AR$15:$BR$205)/(ORÇAMENTO!$X$15-_xlfn.single(CÁLCULO.TotalAdmLocal))*CRONO!$F169,
                        0),
                 BB168*$S167),
          SUMIF(OFFSET($S169,1,0,$R167-2),($M167+1)&amp;"$",OFFSET(BB169,1,0,$R167-2)))</f>
        <v>0</v>
      </c>
      <c r="BC169" s="439" t="n">
        <f aca="false" t="array" ref="BC169:BC169">IF($R167=2,
         IF(AND(ACOMPANHAMENTO="PLE",ISNUMBER($F167)),
                SUMIF((OFFSET(CÁLCULO!$BS$15:$CS$15,$F167,0,OFFSET(ORÇAMENTO!$D$15,CRONO!$F167,0))),CRONO!BC$12,OFFSET(CÁLCULO!$AR$15:$BR$15,$F167,0,OFFSET(ORÇAMENTO!$D$15,CRONO!$F167,0)))
                +IF(AND($F169&lt;&gt;"",$F169&lt;&gt;0),
                        SUMIF(CÁLCULO!$BS$15:$CS$205,CRONO!BC$12,CÁLCULO!$AR$15:$BR$205)/(ORÇAMENTO!$X$15-_xlfn.single(CÁLCULO.TotalAdmLocal))*CRONO!$F169,
                        0),
                 BC168*$S167),
          SUMIF(OFFSET($S169,1,0,$R167-2),($M167+1)&amp;"$",OFFSET(BC169,1,0,$R167-2)))</f>
        <v>0</v>
      </c>
      <c r="BD169" s="439" t="n">
        <f aca="false" t="array" ref="BD169:BD169">IF($R167=2,
         IF(AND(ACOMPANHAMENTO="PLE",ISNUMBER($F167)),
                SUMIF((OFFSET(CÁLCULO!$BS$15:$CS$15,$F167,0,OFFSET(ORÇAMENTO!$D$15,CRONO!$F167,0))),CRONO!BD$12,OFFSET(CÁLCULO!$AR$15:$BR$15,$F167,0,OFFSET(ORÇAMENTO!$D$15,CRONO!$F167,0)))
                +IF(AND($F169&lt;&gt;"",$F169&lt;&gt;0),
                        SUMIF(CÁLCULO!$BS$15:$CS$205,CRONO!BD$12,CÁLCULO!$AR$15:$BR$205)/(ORÇAMENTO!$X$15-_xlfn.single(CÁLCULO.TotalAdmLocal))*CRONO!$F169,
                        0),
                 BD168*$S167),
          SUMIF(OFFSET($S169,1,0,$R167-2),($M167+1)&amp;"$",OFFSET(BD169,1,0,$R167-2)))</f>
        <v>0</v>
      </c>
      <c r="BE169" s="430"/>
    </row>
    <row r="170" customFormat="false" ht="12.75" hidden="true" customHeight="false" outlineLevel="0" collapsed="false">
      <c r="A170" s="382" t="str">
        <f aca="false">IF($M170&gt;1,_xlfn.CONCAT($I170," ",$J170),"")</f>
        <v>1.52. COMPLEMENTAÇÕES</v>
      </c>
      <c r="B170" s="419" t="n">
        <f aca="true">OFFSET(B170,-3,0)+1</f>
        <v>53</v>
      </c>
      <c r="C170" s="419" t="n">
        <f aca="true">IF($R170&lt;&gt;2,0,IF($S170=0,1,IF(F171&gt;0,OFFSET(QCI!$M$13,SUBSTITUTE(F171,".",""),0),OFFSET(ORÇAMENTO!$AA$15,CRONO!$F170,0))/$S170))</f>
        <v>1</v>
      </c>
      <c r="D170" s="419" t="n">
        <f aca="true">IF($R170&lt;&gt;2,0,IF($S170=0,1,IF(F171&gt;0,OFFSET(QCI!$N$13,SUBSTITUTE(F171,".",""),0),OFFSET(ORÇAMENTO!$AB$15,CRONO!$F170,0))/$S170))</f>
        <v>1</v>
      </c>
      <c r="E170" s="422" t="e">
        <f aca="false" t="array" ref="E170:E170">IF(AND($R170=2,ACOMPANHAMENTO="BM"),ROUND(E171,4),E172/$S170)</f>
        <v>#DIV/0!</v>
      </c>
      <c r="F170" s="419" t="n">
        <f aca="true">IF(B170&lt;=ORÇAMENTO.MáximoListaCrono,MATCH(B170,ORÇAMENTO.ListaCrono,0),NA())</f>
        <v>185</v>
      </c>
      <c r="G170" s="419" t="str">
        <f aca="false">IF(AND($F171&lt;&gt;-1,$S170&gt;0),"F","")</f>
        <v/>
      </c>
      <c r="H170" s="423" t="str">
        <f aca="false" t="array" ref="H170:H170">IF(OR(S170=0,S170=""),"Linha",IF(AND(OR(ACOMPANHAMENTO="PLE",$R170&lt;&gt;2),$F171=0),"Linha",ROUND(1-SUM(U170:BE170),4)))</f>
        <v>Linha</v>
      </c>
      <c r="I170" s="424" t="str">
        <f aca="true">IF($F171=0,OFFSET(ORÇAMENTO!O$15,$F170,0),IF($F171&lt;&gt;-1,OFFSET(QCI!$D$13,$F171,0),""))</f>
        <v>1.52.</v>
      </c>
      <c r="J170" s="425" t="str">
        <f aca="true">IF($F171=0,OFFSET(ORÇAMENTO!R$15,$F170,0),IF($F171&lt;&gt;-1,OFFSET(QCI!$G$13,$F171,0),""))</f>
        <v>COMPLEMENTAÇÕES</v>
      </c>
      <c r="K170" s="425"/>
      <c r="L170" s="425"/>
      <c r="M170" s="426" t="n">
        <f aca="true">IF($F171=0,OFFSET(ORÇAMENTO!C$15,$F170,0),1)</f>
        <v>2</v>
      </c>
      <c r="N170" s="427" t="n">
        <f aca="true">IF($F171=-1,0,IF(N$13&lt;=$M170,IF(ISERROR(MATCH(N$13,OFFSET($M170,1,0,ROW($M$182)-ROW($M170)-1),0)),ROW($M$182)-ROW($M170)-1,MATCH(N$13,OFFSET($M170,1,0,ROW($M$182)-ROW($M170)-1),0)-1),0))</f>
        <v>11</v>
      </c>
      <c r="O170" s="427" t="n">
        <f aca="true">IF($F171=-1,0,IF(O$13&lt;=$M170,IF(ISERROR(MATCH(O$13,OFFSET($M170,1,0,ROW($M$182)-ROW($M170)-1),0)),ROW($M$182)-ROW($M170)-1,MATCH(O$13,OFFSET($M170,1,0,ROW($M$182)-ROW($M170)-1),0)-1),0))</f>
        <v>2</v>
      </c>
      <c r="P170" s="427" t="n">
        <f aca="true">IF($F171=-1,0,IF(P$13&lt;=$M170,IF(ISERROR(MATCH(P$13,OFFSET($M170,1,0,ROW($M$182)-ROW($M170)-1),0)),ROW($M$182)-ROW($M170)-1,MATCH(P$13,OFFSET($M170,1,0,ROW($M$182)-ROW($M170)-1),0)-1),0))</f>
        <v>0</v>
      </c>
      <c r="Q170" s="427" t="n">
        <f aca="true">IF($F171=-1,0,IF(Q$13&lt;=$M170,IF(ISERROR(MATCH(Q$13,OFFSET($M170,1,0,ROW($M$182)-ROW($M170)-1),0)),ROW($M$182)-ROW($M170)-1,MATCH(Q$13,OFFSET($M170,1,0,ROW($M$182)-ROW($M170)-1),0)-1),0))</f>
        <v>0</v>
      </c>
      <c r="R170" s="427" t="n">
        <f aca="true">MIN(OFFSET(M170,0,1,,M170))</f>
        <v>2</v>
      </c>
      <c r="S170" s="428" t="n">
        <f aca="true">IF($F171=0,OFFSET(ORÇAMENTO!X$15,$F170,0),IF($F171&lt;&gt;-1,OFFSET(QCI!$O$13,$F171,0),""))</f>
        <v>0</v>
      </c>
      <c r="T170" s="429" t="s">
        <v>996</v>
      </c>
      <c r="U170" s="422" t="e">
        <f aca="false" t="array" ref="U170:U170">IF(AND($R170=2,ACOMPANHAMENTO="BM"),ROUND(U171,4),U172/$S170)</f>
        <v>#DIV/0!</v>
      </c>
      <c r="V170" s="422" t="e">
        <f aca="false" t="array" ref="V170:V170">IF(AND($R170=2,ACOMPANHAMENTO="BM"),ROUND(V171,4),V172/$S170)</f>
        <v>#DIV/0!</v>
      </c>
      <c r="W170" s="422" t="e">
        <f aca="false" t="array" ref="W170:W170">IF(AND($R170=2,ACOMPANHAMENTO="BM"),ROUND(W171,4),W172/$S170)</f>
        <v>#DIV/0!</v>
      </c>
      <c r="X170" s="422" t="e">
        <f aca="false" t="array" ref="X170:X170">IF(AND($R170=2,ACOMPANHAMENTO="BM"),ROUND(X171,4),X172/$S170)</f>
        <v>#DIV/0!</v>
      </c>
      <c r="Y170" s="422" t="e">
        <f aca="false" t="array" ref="Y170:Y170">IF(AND($R170=2,ACOMPANHAMENTO="BM"),ROUND(Y171,4),Y172/$S170)</f>
        <v>#DIV/0!</v>
      </c>
      <c r="Z170" s="422" t="e">
        <f aca="false" t="array" ref="Z170:Z170">IF(AND($R170=2,ACOMPANHAMENTO="BM"),ROUND(Z171,4),Z172/$S170)</f>
        <v>#DIV/0!</v>
      </c>
      <c r="AA170" s="422" t="e">
        <f aca="false" t="array" ref="AA170:AA170">IF(AND($R170=2,ACOMPANHAMENTO="BM"),ROUND(AA171,4),AA172/$S170)</f>
        <v>#DIV/0!</v>
      </c>
      <c r="AB170" s="422" t="e">
        <f aca="false" t="array" ref="AB170:AB170">IF(AND($R170=2,ACOMPANHAMENTO="BM"),ROUND(AB171,4),AB172/$S170)</f>
        <v>#DIV/0!</v>
      </c>
      <c r="AC170" s="422" t="e">
        <f aca="false" t="array" ref="AC170:AC170">IF(AND($R170=2,ACOMPANHAMENTO="BM"),ROUND(AC171,4),AC172/$S170)</f>
        <v>#DIV/0!</v>
      </c>
      <c r="AD170" s="422" t="e">
        <f aca="false" t="array" ref="AD170:AD170">IF(AND($R170=2,ACOMPANHAMENTO="BM"),ROUND(AD171,4),AD172/$S170)</f>
        <v>#DIV/0!</v>
      </c>
      <c r="AE170" s="422" t="e">
        <f aca="false" t="array" ref="AE170:AE170">IF(AND($R170=2,ACOMPANHAMENTO="BM"),ROUND(AE171,4),AE172/$S170)</f>
        <v>#DIV/0!</v>
      </c>
      <c r="AF170" s="422" t="e">
        <f aca="false" t="array" ref="AF170:AF170">IF(AND($R170=2,ACOMPANHAMENTO="BM"),ROUND(AF171,4),AF172/$S170)</f>
        <v>#DIV/0!</v>
      </c>
      <c r="AG170" s="422" t="e">
        <f aca="false" t="array" ref="AG170:AG170">IF(AND($R170=2,ACOMPANHAMENTO="BM"),ROUND(AG171,4),AG172/$S170)</f>
        <v>#DIV/0!</v>
      </c>
      <c r="AH170" s="422" t="e">
        <f aca="false" t="array" ref="AH170:AH170">IF(AND($R170=2,ACOMPANHAMENTO="BM"),ROUND(AH171,4),AH172/$S170)</f>
        <v>#DIV/0!</v>
      </c>
      <c r="AI170" s="422" t="e">
        <f aca="false" t="array" ref="AI170:AI170">IF(AND($R170=2,ACOMPANHAMENTO="BM"),ROUND(AI171,4),AI172/$S170)</f>
        <v>#DIV/0!</v>
      </c>
      <c r="AJ170" s="422" t="e">
        <f aca="false" t="array" ref="AJ170:AJ170">IF(AND($R170=2,ACOMPANHAMENTO="BM"),ROUND(AJ171,4),AJ172/$S170)</f>
        <v>#DIV/0!</v>
      </c>
      <c r="AK170" s="422" t="e">
        <f aca="false" t="array" ref="AK170:AK170">IF(AND($R170=2,ACOMPANHAMENTO="BM"),ROUND(AK171,4),AK172/$S170)</f>
        <v>#DIV/0!</v>
      </c>
      <c r="AL170" s="422" t="e">
        <f aca="false" t="array" ref="AL170:AL170">IF(AND($R170=2,ACOMPANHAMENTO="BM"),ROUND(AL171,4),AL172/$S170)</f>
        <v>#DIV/0!</v>
      </c>
      <c r="AM170" s="422" t="e">
        <f aca="false" t="array" ref="AM170:AM170">IF(AND($R170=2,ACOMPANHAMENTO="BM"),ROUND(AM171,4),AM172/$S170)</f>
        <v>#DIV/0!</v>
      </c>
      <c r="AN170" s="422" t="e">
        <f aca="false" t="array" ref="AN170:AN170">IF(AND($R170=2,ACOMPANHAMENTO="BM"),ROUND(AN171,4),AN172/$S170)</f>
        <v>#DIV/0!</v>
      </c>
      <c r="AO170" s="422" t="e">
        <f aca="false" t="array" ref="AO170:AO170">IF(AND($R170=2,ACOMPANHAMENTO="BM"),ROUND(AO171,4),AO172/$S170)</f>
        <v>#DIV/0!</v>
      </c>
      <c r="AP170" s="422" t="e">
        <f aca="false" t="array" ref="AP170:AP170">IF(AND($R170=2,ACOMPANHAMENTO="BM"),ROUND(AP171,4),AP172/$S170)</f>
        <v>#DIV/0!</v>
      </c>
      <c r="AQ170" s="422" t="e">
        <f aca="false" t="array" ref="AQ170:AQ170">IF(AND($R170=2,ACOMPANHAMENTO="BM"),ROUND(AQ171,4),AQ172/$S170)</f>
        <v>#DIV/0!</v>
      </c>
      <c r="AR170" s="422" t="e">
        <f aca="false" t="array" ref="AR170:AR170">IF(AND($R170=2,ACOMPANHAMENTO="BM"),ROUND(AR171,4),AR172/$S170)</f>
        <v>#DIV/0!</v>
      </c>
      <c r="AS170" s="422" t="e">
        <f aca="false" t="array" ref="AS170:AS170">IF(AND($R170=2,ACOMPANHAMENTO="BM"),ROUND(AS171,4),AS172/$S170)</f>
        <v>#DIV/0!</v>
      </c>
      <c r="AT170" s="422" t="e">
        <f aca="false" t="array" ref="AT170:AT170">IF(AND($R170=2,ACOMPANHAMENTO="BM"),ROUND(AT171,4),AT172/$S170)</f>
        <v>#DIV/0!</v>
      </c>
      <c r="AU170" s="422" t="e">
        <f aca="false" t="array" ref="AU170:AU170">IF(AND($R170=2,ACOMPANHAMENTO="BM"),ROUND(AU171,4),AU172/$S170)</f>
        <v>#DIV/0!</v>
      </c>
      <c r="AV170" s="422" t="e">
        <f aca="false" t="array" ref="AV170:AV170">IF(AND($R170=2,ACOMPANHAMENTO="BM"),ROUND(AV171,4),AV172/$S170)</f>
        <v>#DIV/0!</v>
      </c>
      <c r="AW170" s="422" t="e">
        <f aca="false" t="array" ref="AW170:AW170">IF(AND($R170=2,ACOMPANHAMENTO="BM"),ROUND(AW171,4),AW172/$S170)</f>
        <v>#DIV/0!</v>
      </c>
      <c r="AX170" s="422" t="e">
        <f aca="false" t="array" ref="AX170:AX170">IF(AND($R170=2,ACOMPANHAMENTO="BM"),ROUND(AX171,4),AX172/$S170)</f>
        <v>#DIV/0!</v>
      </c>
      <c r="AY170" s="422" t="e">
        <f aca="false" t="array" ref="AY170:AY170">IF(AND($R170=2,ACOMPANHAMENTO="BM"),ROUND(AY171,4),AY172/$S170)</f>
        <v>#DIV/0!</v>
      </c>
      <c r="AZ170" s="422" t="e">
        <f aca="false" t="array" ref="AZ170:AZ170">IF(AND($R170=2,ACOMPANHAMENTO="BM"),ROUND(AZ171,4),AZ172/$S170)</f>
        <v>#DIV/0!</v>
      </c>
      <c r="BA170" s="422" t="e">
        <f aca="false" t="array" ref="BA170:BA170">IF(AND($R170=2,ACOMPANHAMENTO="BM"),ROUND(BA171,4),BA172/$S170)</f>
        <v>#DIV/0!</v>
      </c>
      <c r="BB170" s="422" t="e">
        <f aca="false" t="array" ref="BB170:BB170">IF(AND($R170=2,ACOMPANHAMENTO="BM"),ROUND(BB171,4),BB172/$S170)</f>
        <v>#DIV/0!</v>
      </c>
      <c r="BC170" s="422" t="e">
        <f aca="false" t="array" ref="BC170:BC170">IF(AND($R170=2,ACOMPANHAMENTO="BM"),ROUND(BC171,4),BC172/$S170)</f>
        <v>#DIV/0!</v>
      </c>
      <c r="BD170" s="422" t="e">
        <f aca="false" t="array" ref="BD170:BD170">IF(AND($R170=2,ACOMPANHAMENTO="BM"),ROUND(BD171,4),BD172/$S170)</f>
        <v>#DIV/0!</v>
      </c>
      <c r="BE170" s="430"/>
    </row>
    <row r="171" customFormat="false" ht="12.75" hidden="true" customHeight="true" outlineLevel="0" collapsed="false">
      <c r="E171" s="431"/>
      <c r="F171" s="419" t="n">
        <f aca="true">IF(ISERROR(F170),IF(1+COUNTIF($M$13:OFFSET(M170,-1,0),1)&lt;=MAX(QCI!$D$13:$D$15),1+COUNTIF($M$13:OFFSET(M170,-1,0),1),-1),0)</f>
        <v>0</v>
      </c>
      <c r="G171" s="419" t="str">
        <f aca="true" t="array" ref="G171:G171">IF(ACOMPANHAMENTO="BM",OFFSET(G171,-1,0),"")</f>
        <v/>
      </c>
      <c r="H171" s="432" t="str">
        <f aca="false" t="array" ref="H171:H171">IF(OR(S170=0,S170=""),"vazia",IF(AND(OR(ACOMPANHAMENTO="PLE",$R170&lt;&gt;2),$F171=0),"calculada","--&gt;"))</f>
        <v>vazia</v>
      </c>
      <c r="I171" s="433"/>
      <c r="J171" s="434" t="str">
        <f aca="false">IF(AND(H170&lt;&gt;0,ISNUMBER(H170)),"PREENCHA ESTA LINHA --&gt;","")</f>
        <v/>
      </c>
      <c r="K171" s="434"/>
      <c r="L171" s="434"/>
      <c r="M171" s="435"/>
      <c r="N171" s="435"/>
      <c r="O171" s="435"/>
      <c r="P171" s="435"/>
      <c r="Q171" s="435"/>
      <c r="R171" s="435"/>
      <c r="S171" s="436"/>
      <c r="T171" s="437"/>
      <c r="U171" s="431"/>
      <c r="V171" s="431"/>
      <c r="W171" s="431"/>
      <c r="X171" s="431"/>
      <c r="Y171" s="431"/>
      <c r="Z171" s="431"/>
      <c r="AA171" s="431"/>
      <c r="AB171" s="431"/>
      <c r="AC171" s="431"/>
      <c r="AD171" s="431"/>
      <c r="AE171" s="431"/>
      <c r="AF171" s="431"/>
      <c r="AG171" s="431"/>
      <c r="AH171" s="431"/>
      <c r="AI171" s="431"/>
      <c r="AJ171" s="431"/>
      <c r="AK171" s="431"/>
      <c r="AL171" s="431"/>
      <c r="AM171" s="431"/>
      <c r="AN171" s="431"/>
      <c r="AO171" s="431"/>
      <c r="AP171" s="431"/>
      <c r="AQ171" s="431"/>
      <c r="AR171" s="431"/>
      <c r="AS171" s="431"/>
      <c r="AT171" s="431"/>
      <c r="AU171" s="431"/>
      <c r="AV171" s="431"/>
      <c r="AW171" s="431"/>
      <c r="AX171" s="431"/>
      <c r="AY171" s="431"/>
      <c r="AZ171" s="431"/>
      <c r="BA171" s="431"/>
      <c r="BB171" s="431"/>
      <c r="BC171" s="431"/>
      <c r="BD171" s="431"/>
      <c r="BE171" s="430"/>
    </row>
    <row r="172" customFormat="false" ht="12.75" hidden="true" customHeight="true" outlineLevel="0" collapsed="false">
      <c r="D172" s="438"/>
      <c r="E172" s="439" t="n">
        <f aca="false" t="array" ref="E172:E172">IF($R170=2,
         IF(AND(ACOMPANHAMENTO="PLE",ISNUMBER($F170)),
                SUMIF((OFFSET(CÁLCULO!$BS$15:$CS$15,$F170,0,OFFSET(ORÇAMENTO!$D$15,CRONO!$F170,0))),CRONO!E$12,OFFSET(CÁLCULO!$AR$15:$BR$15,$F170,0,OFFSET(ORÇAMENTO!$D$15,CRONO!$F170,0)))
                +IF(AND($F172&lt;&gt;"",$F172&lt;&gt;0),
                        SUMIF(CÁLCULO!$BS$15:$CS$205,CRONO!E$12,CÁLCULO!$AR$15:$BR$205)/(ORÇAMENTO!$X$15-_xlfn.single(CÁLCULO.TotalAdmLocal))*CRONO!$F172,
                        0),
                 E171*$S170),
          SUMIF(OFFSET($S172,1,0,$R170-2),($M170+1)&amp;"$",OFFSET(E172,1,0,$R170-2)))</f>
        <v>0</v>
      </c>
      <c r="F172" s="419" t="str">
        <f aca="true">IF(OR($R170&lt;&gt;2,AUTOEVENTO&lt;&gt;"manual",$F171&gt;0),"",
        IF(Import.TipoArredondamento="Tradicional",
              SUMIF(OFFSET(CÁLCULO!$M$15,CRONO!$F170,0,OFFSET(ORÇAMENTO!$D$15,CRONO!$F170,0)),1,OFFSET(ORÇAMENTO!$X$15,CRONO!$F170,0,OFFSET(ORÇAMENTO!$D$15,CRONO!$F170,0))),
              0))</f>
        <v/>
      </c>
      <c r="H172" s="440"/>
      <c r="S172" s="441" t="str">
        <f aca="false">M170&amp;"$"</f>
        <v>2$</v>
      </c>
      <c r="T172" s="442"/>
      <c r="U172" s="439" t="n">
        <f aca="false" t="array" ref="U172:U172">IF($R170=2,
         IF(AND(ACOMPANHAMENTO="PLE",ISNUMBER($F170)),
                SUMIF((OFFSET(CÁLCULO!$BS$15:$CS$15,$F170,0,OFFSET(ORÇAMENTO!$D$15,CRONO!$F170,0))),CRONO!U$12,OFFSET(CÁLCULO!$AR$15:$BR$15,$F170,0,OFFSET(ORÇAMENTO!$D$15,CRONO!$F170,0)))
                +IF(AND($F172&lt;&gt;"",$F172&lt;&gt;0),
                        SUMIF(CÁLCULO!$BS$15:$CS$205,CRONO!U$12,CÁLCULO!$AR$15:$BR$205)/(ORÇAMENTO!$X$15-_xlfn.single(CÁLCULO.TotalAdmLocal))*CRONO!$F172,
                        0),
                 U171*$S170),
          SUMIF(OFFSET($S172,1,0,$R170-2),($M170+1)&amp;"$",OFFSET(U172,1,0,$R170-2)))</f>
        <v>0</v>
      </c>
      <c r="V172" s="439" t="n">
        <f aca="false" t="array" ref="V172:V172">IF($R170=2,
         IF(AND(ACOMPANHAMENTO="PLE",ISNUMBER($F170)),
                SUMIF((OFFSET(CÁLCULO!$BS$15:$CS$15,$F170,0,OFFSET(ORÇAMENTO!$D$15,CRONO!$F170,0))),CRONO!V$12,OFFSET(CÁLCULO!$AR$15:$BR$15,$F170,0,OFFSET(ORÇAMENTO!$D$15,CRONO!$F170,0)))
                +IF(AND($F172&lt;&gt;"",$F172&lt;&gt;0),
                        SUMIF(CÁLCULO!$BS$15:$CS$205,CRONO!V$12,CÁLCULO!$AR$15:$BR$205)/(ORÇAMENTO!$X$15-_xlfn.single(CÁLCULO.TotalAdmLocal))*CRONO!$F172,
                        0),
                 V171*$S170),
          SUMIF(OFFSET($S172,1,0,$R170-2),($M170+1)&amp;"$",OFFSET(V172,1,0,$R170-2)))</f>
        <v>0</v>
      </c>
      <c r="W172" s="439" t="n">
        <f aca="false" t="array" ref="W172:W172">IF($R170=2,
         IF(AND(ACOMPANHAMENTO="PLE",ISNUMBER($F170)),
                SUMIF((OFFSET(CÁLCULO!$BS$15:$CS$15,$F170,0,OFFSET(ORÇAMENTO!$D$15,CRONO!$F170,0))),CRONO!W$12,OFFSET(CÁLCULO!$AR$15:$BR$15,$F170,0,OFFSET(ORÇAMENTO!$D$15,CRONO!$F170,0)))
                +IF(AND($F172&lt;&gt;"",$F172&lt;&gt;0),
                        SUMIF(CÁLCULO!$BS$15:$CS$205,CRONO!W$12,CÁLCULO!$AR$15:$BR$205)/(ORÇAMENTO!$X$15-_xlfn.single(CÁLCULO.TotalAdmLocal))*CRONO!$F172,
                        0),
                 W171*$S170),
          SUMIF(OFFSET($S172,1,0,$R170-2),($M170+1)&amp;"$",OFFSET(W172,1,0,$R170-2)))</f>
        <v>0</v>
      </c>
      <c r="X172" s="439" t="n">
        <f aca="false" t="array" ref="X172:X172">IF($R170=2,
         IF(AND(ACOMPANHAMENTO="PLE",ISNUMBER($F170)),
                SUMIF((OFFSET(CÁLCULO!$BS$15:$CS$15,$F170,0,OFFSET(ORÇAMENTO!$D$15,CRONO!$F170,0))),CRONO!X$12,OFFSET(CÁLCULO!$AR$15:$BR$15,$F170,0,OFFSET(ORÇAMENTO!$D$15,CRONO!$F170,0)))
                +IF(AND($F172&lt;&gt;"",$F172&lt;&gt;0),
                        SUMIF(CÁLCULO!$BS$15:$CS$205,CRONO!X$12,CÁLCULO!$AR$15:$BR$205)/(ORÇAMENTO!$X$15-_xlfn.single(CÁLCULO.TotalAdmLocal))*CRONO!$F172,
                        0),
                 X171*$S170),
          SUMIF(OFFSET($S172,1,0,$R170-2),($M170+1)&amp;"$",OFFSET(X172,1,0,$R170-2)))</f>
        <v>0</v>
      </c>
      <c r="Y172" s="439" t="n">
        <f aca="false" t="array" ref="Y172:Y172">IF($R170=2,
         IF(AND(ACOMPANHAMENTO="PLE",ISNUMBER($F170)),
                SUMIF((OFFSET(CÁLCULO!$BS$15:$CS$15,$F170,0,OFFSET(ORÇAMENTO!$D$15,CRONO!$F170,0))),CRONO!Y$12,OFFSET(CÁLCULO!$AR$15:$BR$15,$F170,0,OFFSET(ORÇAMENTO!$D$15,CRONO!$F170,0)))
                +IF(AND($F172&lt;&gt;"",$F172&lt;&gt;0),
                        SUMIF(CÁLCULO!$BS$15:$CS$205,CRONO!Y$12,CÁLCULO!$AR$15:$BR$205)/(ORÇAMENTO!$X$15-_xlfn.single(CÁLCULO.TotalAdmLocal))*CRONO!$F172,
                        0),
                 Y171*$S170),
          SUMIF(OFFSET($S172,1,0,$R170-2),($M170+1)&amp;"$",OFFSET(Y172,1,0,$R170-2)))</f>
        <v>0</v>
      </c>
      <c r="Z172" s="439" t="n">
        <f aca="false" t="array" ref="Z172:Z172">IF($R170=2,
         IF(AND(ACOMPANHAMENTO="PLE",ISNUMBER($F170)),
                SUMIF((OFFSET(CÁLCULO!$BS$15:$CS$15,$F170,0,OFFSET(ORÇAMENTO!$D$15,CRONO!$F170,0))),CRONO!Z$12,OFFSET(CÁLCULO!$AR$15:$BR$15,$F170,0,OFFSET(ORÇAMENTO!$D$15,CRONO!$F170,0)))
                +IF(AND($F172&lt;&gt;"",$F172&lt;&gt;0),
                        SUMIF(CÁLCULO!$BS$15:$CS$205,CRONO!Z$12,CÁLCULO!$AR$15:$BR$205)/(ORÇAMENTO!$X$15-_xlfn.single(CÁLCULO.TotalAdmLocal))*CRONO!$F172,
                        0),
                 Z171*$S170),
          SUMIF(OFFSET($S172,1,0,$R170-2),($M170+1)&amp;"$",OFFSET(Z172,1,0,$R170-2)))</f>
        <v>0</v>
      </c>
      <c r="AA172" s="439" t="n">
        <f aca="false" t="array" ref="AA172:AA172">IF($R170=2,
         IF(AND(ACOMPANHAMENTO="PLE",ISNUMBER($F170)),
                SUMIF((OFFSET(CÁLCULO!$BS$15:$CS$15,$F170,0,OFFSET(ORÇAMENTO!$D$15,CRONO!$F170,0))),CRONO!AA$12,OFFSET(CÁLCULO!$AR$15:$BR$15,$F170,0,OFFSET(ORÇAMENTO!$D$15,CRONO!$F170,0)))
                +IF(AND($F172&lt;&gt;"",$F172&lt;&gt;0),
                        SUMIF(CÁLCULO!$BS$15:$CS$205,CRONO!AA$12,CÁLCULO!$AR$15:$BR$205)/(ORÇAMENTO!$X$15-_xlfn.single(CÁLCULO.TotalAdmLocal))*CRONO!$F172,
                        0),
                 AA171*$S170),
          SUMIF(OFFSET($S172,1,0,$R170-2),($M170+1)&amp;"$",OFFSET(AA172,1,0,$R170-2)))</f>
        <v>0</v>
      </c>
      <c r="AB172" s="439" t="n">
        <f aca="false" t="array" ref="AB172:AB172">IF($R170=2,
         IF(AND(ACOMPANHAMENTO="PLE",ISNUMBER($F170)),
                SUMIF((OFFSET(CÁLCULO!$BS$15:$CS$15,$F170,0,OFFSET(ORÇAMENTO!$D$15,CRONO!$F170,0))),CRONO!AB$12,OFFSET(CÁLCULO!$AR$15:$BR$15,$F170,0,OFFSET(ORÇAMENTO!$D$15,CRONO!$F170,0)))
                +IF(AND($F172&lt;&gt;"",$F172&lt;&gt;0),
                        SUMIF(CÁLCULO!$BS$15:$CS$205,CRONO!AB$12,CÁLCULO!$AR$15:$BR$205)/(ORÇAMENTO!$X$15-_xlfn.single(CÁLCULO.TotalAdmLocal))*CRONO!$F172,
                        0),
                 AB171*$S170),
          SUMIF(OFFSET($S172,1,0,$R170-2),($M170+1)&amp;"$",OFFSET(AB172,1,0,$R170-2)))</f>
        <v>0</v>
      </c>
      <c r="AC172" s="439" t="n">
        <f aca="false" t="array" ref="AC172:AC172">IF($R170=2,
         IF(AND(ACOMPANHAMENTO="PLE",ISNUMBER($F170)),
                SUMIF((OFFSET(CÁLCULO!$BS$15:$CS$15,$F170,0,OFFSET(ORÇAMENTO!$D$15,CRONO!$F170,0))),CRONO!AC$12,OFFSET(CÁLCULO!$AR$15:$BR$15,$F170,0,OFFSET(ORÇAMENTO!$D$15,CRONO!$F170,0)))
                +IF(AND($F172&lt;&gt;"",$F172&lt;&gt;0),
                        SUMIF(CÁLCULO!$BS$15:$CS$205,CRONO!AC$12,CÁLCULO!$AR$15:$BR$205)/(ORÇAMENTO!$X$15-_xlfn.single(CÁLCULO.TotalAdmLocal))*CRONO!$F172,
                        0),
                 AC171*$S170),
          SUMIF(OFFSET($S172,1,0,$R170-2),($M170+1)&amp;"$",OFFSET(AC172,1,0,$R170-2)))</f>
        <v>0</v>
      </c>
      <c r="AD172" s="439" t="n">
        <f aca="false" t="array" ref="AD172:AD172">IF($R170=2,
         IF(AND(ACOMPANHAMENTO="PLE",ISNUMBER($F170)),
                SUMIF((OFFSET(CÁLCULO!$BS$15:$CS$15,$F170,0,OFFSET(ORÇAMENTO!$D$15,CRONO!$F170,0))),CRONO!AD$12,OFFSET(CÁLCULO!$AR$15:$BR$15,$F170,0,OFFSET(ORÇAMENTO!$D$15,CRONO!$F170,0)))
                +IF(AND($F172&lt;&gt;"",$F172&lt;&gt;0),
                        SUMIF(CÁLCULO!$BS$15:$CS$205,CRONO!AD$12,CÁLCULO!$AR$15:$BR$205)/(ORÇAMENTO!$X$15-_xlfn.single(CÁLCULO.TotalAdmLocal))*CRONO!$F172,
                        0),
                 AD171*$S170),
          SUMIF(OFFSET($S172,1,0,$R170-2),($M170+1)&amp;"$",OFFSET(AD172,1,0,$R170-2)))</f>
        <v>0</v>
      </c>
      <c r="AE172" s="439" t="n">
        <f aca="false" t="array" ref="AE172:AE172">IF($R170=2,
         IF(AND(ACOMPANHAMENTO="PLE",ISNUMBER($F170)),
                SUMIF((OFFSET(CÁLCULO!$BS$15:$CS$15,$F170,0,OFFSET(ORÇAMENTO!$D$15,CRONO!$F170,0))),CRONO!AE$12,OFFSET(CÁLCULO!$AR$15:$BR$15,$F170,0,OFFSET(ORÇAMENTO!$D$15,CRONO!$F170,0)))
                +IF(AND($F172&lt;&gt;"",$F172&lt;&gt;0),
                        SUMIF(CÁLCULO!$BS$15:$CS$205,CRONO!AE$12,CÁLCULO!$AR$15:$BR$205)/(ORÇAMENTO!$X$15-_xlfn.single(CÁLCULO.TotalAdmLocal))*CRONO!$F172,
                        0),
                 AE171*$S170),
          SUMIF(OFFSET($S172,1,0,$R170-2),($M170+1)&amp;"$",OFFSET(AE172,1,0,$R170-2)))</f>
        <v>0</v>
      </c>
      <c r="AF172" s="439" t="n">
        <f aca="false" t="array" ref="AF172:AF172">IF($R170=2,
         IF(AND(ACOMPANHAMENTO="PLE",ISNUMBER($F170)),
                SUMIF((OFFSET(CÁLCULO!$BS$15:$CS$15,$F170,0,OFFSET(ORÇAMENTO!$D$15,CRONO!$F170,0))),CRONO!AF$12,OFFSET(CÁLCULO!$AR$15:$BR$15,$F170,0,OFFSET(ORÇAMENTO!$D$15,CRONO!$F170,0)))
                +IF(AND($F172&lt;&gt;"",$F172&lt;&gt;0),
                        SUMIF(CÁLCULO!$BS$15:$CS$205,CRONO!AF$12,CÁLCULO!$AR$15:$BR$205)/(ORÇAMENTO!$X$15-_xlfn.single(CÁLCULO.TotalAdmLocal))*CRONO!$F172,
                        0),
                 AF171*$S170),
          SUMIF(OFFSET($S172,1,0,$R170-2),($M170+1)&amp;"$",OFFSET(AF172,1,0,$R170-2)))</f>
        <v>0</v>
      </c>
      <c r="AG172" s="439" t="n">
        <f aca="false" t="array" ref="AG172:AG172">IF($R170=2,
         IF(AND(ACOMPANHAMENTO="PLE",ISNUMBER($F170)),
                SUMIF((OFFSET(CÁLCULO!$BS$15:$CS$15,$F170,0,OFFSET(ORÇAMENTO!$D$15,CRONO!$F170,0))),CRONO!AG$12,OFFSET(CÁLCULO!$AR$15:$BR$15,$F170,0,OFFSET(ORÇAMENTO!$D$15,CRONO!$F170,0)))
                +IF(AND($F172&lt;&gt;"",$F172&lt;&gt;0),
                        SUMIF(CÁLCULO!$BS$15:$CS$205,CRONO!AG$12,CÁLCULO!$AR$15:$BR$205)/(ORÇAMENTO!$X$15-_xlfn.single(CÁLCULO.TotalAdmLocal))*CRONO!$F172,
                        0),
                 AG171*$S170),
          SUMIF(OFFSET($S172,1,0,$R170-2),($M170+1)&amp;"$",OFFSET(AG172,1,0,$R170-2)))</f>
        <v>0</v>
      </c>
      <c r="AH172" s="439" t="n">
        <f aca="false" t="array" ref="AH172:AH172">IF($R170=2,
         IF(AND(ACOMPANHAMENTO="PLE",ISNUMBER($F170)),
                SUMIF((OFFSET(CÁLCULO!$BS$15:$CS$15,$F170,0,OFFSET(ORÇAMENTO!$D$15,CRONO!$F170,0))),CRONO!AH$12,OFFSET(CÁLCULO!$AR$15:$BR$15,$F170,0,OFFSET(ORÇAMENTO!$D$15,CRONO!$F170,0)))
                +IF(AND($F172&lt;&gt;"",$F172&lt;&gt;0),
                        SUMIF(CÁLCULO!$BS$15:$CS$205,CRONO!AH$12,CÁLCULO!$AR$15:$BR$205)/(ORÇAMENTO!$X$15-_xlfn.single(CÁLCULO.TotalAdmLocal))*CRONO!$F172,
                        0),
                 AH171*$S170),
          SUMIF(OFFSET($S172,1,0,$R170-2),($M170+1)&amp;"$",OFFSET(AH172,1,0,$R170-2)))</f>
        <v>0</v>
      </c>
      <c r="AI172" s="439" t="n">
        <f aca="false" t="array" ref="AI172:AI172">IF($R170=2,
         IF(AND(ACOMPANHAMENTO="PLE",ISNUMBER($F170)),
                SUMIF((OFFSET(CÁLCULO!$BS$15:$CS$15,$F170,0,OFFSET(ORÇAMENTO!$D$15,CRONO!$F170,0))),CRONO!AI$12,OFFSET(CÁLCULO!$AR$15:$BR$15,$F170,0,OFFSET(ORÇAMENTO!$D$15,CRONO!$F170,0)))
                +IF(AND($F172&lt;&gt;"",$F172&lt;&gt;0),
                        SUMIF(CÁLCULO!$BS$15:$CS$205,CRONO!AI$12,CÁLCULO!$AR$15:$BR$205)/(ORÇAMENTO!$X$15-_xlfn.single(CÁLCULO.TotalAdmLocal))*CRONO!$F172,
                        0),
                 AI171*$S170),
          SUMIF(OFFSET($S172,1,0,$R170-2),($M170+1)&amp;"$",OFFSET(AI172,1,0,$R170-2)))</f>
        <v>0</v>
      </c>
      <c r="AJ172" s="439" t="n">
        <f aca="false" t="array" ref="AJ172:AJ172">IF($R170=2,
         IF(AND(ACOMPANHAMENTO="PLE",ISNUMBER($F170)),
                SUMIF((OFFSET(CÁLCULO!$BS$15:$CS$15,$F170,0,OFFSET(ORÇAMENTO!$D$15,CRONO!$F170,0))),CRONO!AJ$12,OFFSET(CÁLCULO!$AR$15:$BR$15,$F170,0,OFFSET(ORÇAMENTO!$D$15,CRONO!$F170,0)))
                +IF(AND($F172&lt;&gt;"",$F172&lt;&gt;0),
                        SUMIF(CÁLCULO!$BS$15:$CS$205,CRONO!AJ$12,CÁLCULO!$AR$15:$BR$205)/(ORÇAMENTO!$X$15-_xlfn.single(CÁLCULO.TotalAdmLocal))*CRONO!$F172,
                        0),
                 AJ171*$S170),
          SUMIF(OFFSET($S172,1,0,$R170-2),($M170+1)&amp;"$",OFFSET(AJ172,1,0,$R170-2)))</f>
        <v>0</v>
      </c>
      <c r="AK172" s="439" t="n">
        <f aca="false" t="array" ref="AK172:AK172">IF($R170=2,
         IF(AND(ACOMPANHAMENTO="PLE",ISNUMBER($F170)),
                SUMIF((OFFSET(CÁLCULO!$BS$15:$CS$15,$F170,0,OFFSET(ORÇAMENTO!$D$15,CRONO!$F170,0))),CRONO!AK$12,OFFSET(CÁLCULO!$AR$15:$BR$15,$F170,0,OFFSET(ORÇAMENTO!$D$15,CRONO!$F170,0)))
                +IF(AND($F172&lt;&gt;"",$F172&lt;&gt;0),
                        SUMIF(CÁLCULO!$BS$15:$CS$205,CRONO!AK$12,CÁLCULO!$AR$15:$BR$205)/(ORÇAMENTO!$X$15-_xlfn.single(CÁLCULO.TotalAdmLocal))*CRONO!$F172,
                        0),
                 AK171*$S170),
          SUMIF(OFFSET($S172,1,0,$R170-2),($M170+1)&amp;"$",OFFSET(AK172,1,0,$R170-2)))</f>
        <v>0</v>
      </c>
      <c r="AL172" s="439" t="n">
        <f aca="false" t="array" ref="AL172:AL172">IF($R170=2,
         IF(AND(ACOMPANHAMENTO="PLE",ISNUMBER($F170)),
                SUMIF((OFFSET(CÁLCULO!$BS$15:$CS$15,$F170,0,OFFSET(ORÇAMENTO!$D$15,CRONO!$F170,0))),CRONO!AL$12,OFFSET(CÁLCULO!$AR$15:$BR$15,$F170,0,OFFSET(ORÇAMENTO!$D$15,CRONO!$F170,0)))
                +IF(AND($F172&lt;&gt;"",$F172&lt;&gt;0),
                        SUMIF(CÁLCULO!$BS$15:$CS$205,CRONO!AL$12,CÁLCULO!$AR$15:$BR$205)/(ORÇAMENTO!$X$15-_xlfn.single(CÁLCULO.TotalAdmLocal))*CRONO!$F172,
                        0),
                 AL171*$S170),
          SUMIF(OFFSET($S172,1,0,$R170-2),($M170+1)&amp;"$",OFFSET(AL172,1,0,$R170-2)))</f>
        <v>0</v>
      </c>
      <c r="AM172" s="439" t="n">
        <f aca="false" t="array" ref="AM172:AM172">IF($R170=2,
         IF(AND(ACOMPANHAMENTO="PLE",ISNUMBER($F170)),
                SUMIF((OFFSET(CÁLCULO!$BS$15:$CS$15,$F170,0,OFFSET(ORÇAMENTO!$D$15,CRONO!$F170,0))),CRONO!AM$12,OFFSET(CÁLCULO!$AR$15:$BR$15,$F170,0,OFFSET(ORÇAMENTO!$D$15,CRONO!$F170,0)))
                +IF(AND($F172&lt;&gt;"",$F172&lt;&gt;0),
                        SUMIF(CÁLCULO!$BS$15:$CS$205,CRONO!AM$12,CÁLCULO!$AR$15:$BR$205)/(ORÇAMENTO!$X$15-_xlfn.single(CÁLCULO.TotalAdmLocal))*CRONO!$F172,
                        0),
                 AM171*$S170),
          SUMIF(OFFSET($S172,1,0,$R170-2),($M170+1)&amp;"$",OFFSET(AM172,1,0,$R170-2)))</f>
        <v>0</v>
      </c>
      <c r="AN172" s="439" t="n">
        <f aca="false" t="array" ref="AN172:AN172">IF($R170=2,
         IF(AND(ACOMPANHAMENTO="PLE",ISNUMBER($F170)),
                SUMIF((OFFSET(CÁLCULO!$BS$15:$CS$15,$F170,0,OFFSET(ORÇAMENTO!$D$15,CRONO!$F170,0))),CRONO!AN$12,OFFSET(CÁLCULO!$AR$15:$BR$15,$F170,0,OFFSET(ORÇAMENTO!$D$15,CRONO!$F170,0)))
                +IF(AND($F172&lt;&gt;"",$F172&lt;&gt;0),
                        SUMIF(CÁLCULO!$BS$15:$CS$205,CRONO!AN$12,CÁLCULO!$AR$15:$BR$205)/(ORÇAMENTO!$X$15-_xlfn.single(CÁLCULO.TotalAdmLocal))*CRONO!$F172,
                        0),
                 AN171*$S170),
          SUMIF(OFFSET($S172,1,0,$R170-2),($M170+1)&amp;"$",OFFSET(AN172,1,0,$R170-2)))</f>
        <v>0</v>
      </c>
      <c r="AO172" s="439" t="n">
        <f aca="false" t="array" ref="AO172:AO172">IF($R170=2,
         IF(AND(ACOMPANHAMENTO="PLE",ISNUMBER($F170)),
                SUMIF((OFFSET(CÁLCULO!$BS$15:$CS$15,$F170,0,OFFSET(ORÇAMENTO!$D$15,CRONO!$F170,0))),CRONO!AO$12,OFFSET(CÁLCULO!$AR$15:$BR$15,$F170,0,OFFSET(ORÇAMENTO!$D$15,CRONO!$F170,0)))
                +IF(AND($F172&lt;&gt;"",$F172&lt;&gt;0),
                        SUMIF(CÁLCULO!$BS$15:$CS$205,CRONO!AO$12,CÁLCULO!$AR$15:$BR$205)/(ORÇAMENTO!$X$15-_xlfn.single(CÁLCULO.TotalAdmLocal))*CRONO!$F172,
                        0),
                 AO171*$S170),
          SUMIF(OFFSET($S172,1,0,$R170-2),($M170+1)&amp;"$",OFFSET(AO172,1,0,$R170-2)))</f>
        <v>0</v>
      </c>
      <c r="AP172" s="439" t="n">
        <f aca="false" t="array" ref="AP172:AP172">IF($R170=2,
         IF(AND(ACOMPANHAMENTO="PLE",ISNUMBER($F170)),
                SUMIF((OFFSET(CÁLCULO!$BS$15:$CS$15,$F170,0,OFFSET(ORÇAMENTO!$D$15,CRONO!$F170,0))),CRONO!AP$12,OFFSET(CÁLCULO!$AR$15:$BR$15,$F170,0,OFFSET(ORÇAMENTO!$D$15,CRONO!$F170,0)))
                +IF(AND($F172&lt;&gt;"",$F172&lt;&gt;0),
                        SUMIF(CÁLCULO!$BS$15:$CS$205,CRONO!AP$12,CÁLCULO!$AR$15:$BR$205)/(ORÇAMENTO!$X$15-_xlfn.single(CÁLCULO.TotalAdmLocal))*CRONO!$F172,
                        0),
                 AP171*$S170),
          SUMIF(OFFSET($S172,1,0,$R170-2),($M170+1)&amp;"$",OFFSET(AP172,1,0,$R170-2)))</f>
        <v>0</v>
      </c>
      <c r="AQ172" s="439" t="n">
        <f aca="false" t="array" ref="AQ172:AQ172">IF($R170=2,
         IF(AND(ACOMPANHAMENTO="PLE",ISNUMBER($F170)),
                SUMIF((OFFSET(CÁLCULO!$BS$15:$CS$15,$F170,0,OFFSET(ORÇAMENTO!$D$15,CRONO!$F170,0))),CRONO!AQ$12,OFFSET(CÁLCULO!$AR$15:$BR$15,$F170,0,OFFSET(ORÇAMENTO!$D$15,CRONO!$F170,0)))
                +IF(AND($F172&lt;&gt;"",$F172&lt;&gt;0),
                        SUMIF(CÁLCULO!$BS$15:$CS$205,CRONO!AQ$12,CÁLCULO!$AR$15:$BR$205)/(ORÇAMENTO!$X$15-_xlfn.single(CÁLCULO.TotalAdmLocal))*CRONO!$F172,
                        0),
                 AQ171*$S170),
          SUMIF(OFFSET($S172,1,0,$R170-2),($M170+1)&amp;"$",OFFSET(AQ172,1,0,$R170-2)))</f>
        <v>0</v>
      </c>
      <c r="AR172" s="439" t="n">
        <f aca="false" t="array" ref="AR172:AR172">IF($R170=2,
         IF(AND(ACOMPANHAMENTO="PLE",ISNUMBER($F170)),
                SUMIF((OFFSET(CÁLCULO!$BS$15:$CS$15,$F170,0,OFFSET(ORÇAMENTO!$D$15,CRONO!$F170,0))),CRONO!AR$12,OFFSET(CÁLCULO!$AR$15:$BR$15,$F170,0,OFFSET(ORÇAMENTO!$D$15,CRONO!$F170,0)))
                +IF(AND($F172&lt;&gt;"",$F172&lt;&gt;0),
                        SUMIF(CÁLCULO!$BS$15:$CS$205,CRONO!AR$12,CÁLCULO!$AR$15:$BR$205)/(ORÇAMENTO!$X$15-_xlfn.single(CÁLCULO.TotalAdmLocal))*CRONO!$F172,
                        0),
                 AR171*$S170),
          SUMIF(OFFSET($S172,1,0,$R170-2),($M170+1)&amp;"$",OFFSET(AR172,1,0,$R170-2)))</f>
        <v>0</v>
      </c>
      <c r="AS172" s="439" t="n">
        <f aca="false" t="array" ref="AS172:AS172">IF($R170=2,
         IF(AND(ACOMPANHAMENTO="PLE",ISNUMBER($F170)),
                SUMIF((OFFSET(CÁLCULO!$BS$15:$CS$15,$F170,0,OFFSET(ORÇAMENTO!$D$15,CRONO!$F170,0))),CRONO!AS$12,OFFSET(CÁLCULO!$AR$15:$BR$15,$F170,0,OFFSET(ORÇAMENTO!$D$15,CRONO!$F170,0)))
                +IF(AND($F172&lt;&gt;"",$F172&lt;&gt;0),
                        SUMIF(CÁLCULO!$BS$15:$CS$205,CRONO!AS$12,CÁLCULO!$AR$15:$BR$205)/(ORÇAMENTO!$X$15-_xlfn.single(CÁLCULO.TotalAdmLocal))*CRONO!$F172,
                        0),
                 AS171*$S170),
          SUMIF(OFFSET($S172,1,0,$R170-2),($M170+1)&amp;"$",OFFSET(AS172,1,0,$R170-2)))</f>
        <v>0</v>
      </c>
      <c r="AT172" s="439" t="n">
        <f aca="false" t="array" ref="AT172:AT172">IF($R170=2,
         IF(AND(ACOMPANHAMENTO="PLE",ISNUMBER($F170)),
                SUMIF((OFFSET(CÁLCULO!$BS$15:$CS$15,$F170,0,OFFSET(ORÇAMENTO!$D$15,CRONO!$F170,0))),CRONO!AT$12,OFFSET(CÁLCULO!$AR$15:$BR$15,$F170,0,OFFSET(ORÇAMENTO!$D$15,CRONO!$F170,0)))
                +IF(AND($F172&lt;&gt;"",$F172&lt;&gt;0),
                        SUMIF(CÁLCULO!$BS$15:$CS$205,CRONO!AT$12,CÁLCULO!$AR$15:$BR$205)/(ORÇAMENTO!$X$15-_xlfn.single(CÁLCULO.TotalAdmLocal))*CRONO!$F172,
                        0),
                 AT171*$S170),
          SUMIF(OFFSET($S172,1,0,$R170-2),($M170+1)&amp;"$",OFFSET(AT172,1,0,$R170-2)))</f>
        <v>0</v>
      </c>
      <c r="AU172" s="439" t="n">
        <f aca="false" t="array" ref="AU172:AU172">IF($R170=2,
         IF(AND(ACOMPANHAMENTO="PLE",ISNUMBER($F170)),
                SUMIF((OFFSET(CÁLCULO!$BS$15:$CS$15,$F170,0,OFFSET(ORÇAMENTO!$D$15,CRONO!$F170,0))),CRONO!AU$12,OFFSET(CÁLCULO!$AR$15:$BR$15,$F170,0,OFFSET(ORÇAMENTO!$D$15,CRONO!$F170,0)))
                +IF(AND($F172&lt;&gt;"",$F172&lt;&gt;0),
                        SUMIF(CÁLCULO!$BS$15:$CS$205,CRONO!AU$12,CÁLCULO!$AR$15:$BR$205)/(ORÇAMENTO!$X$15-_xlfn.single(CÁLCULO.TotalAdmLocal))*CRONO!$F172,
                        0),
                 AU171*$S170),
          SUMIF(OFFSET($S172,1,0,$R170-2),($M170+1)&amp;"$",OFFSET(AU172,1,0,$R170-2)))</f>
        <v>0</v>
      </c>
      <c r="AV172" s="439" t="n">
        <f aca="false" t="array" ref="AV172:AV172">IF($R170=2,
         IF(AND(ACOMPANHAMENTO="PLE",ISNUMBER($F170)),
                SUMIF((OFFSET(CÁLCULO!$BS$15:$CS$15,$F170,0,OFFSET(ORÇAMENTO!$D$15,CRONO!$F170,0))),CRONO!AV$12,OFFSET(CÁLCULO!$AR$15:$BR$15,$F170,0,OFFSET(ORÇAMENTO!$D$15,CRONO!$F170,0)))
                +IF(AND($F172&lt;&gt;"",$F172&lt;&gt;0),
                        SUMIF(CÁLCULO!$BS$15:$CS$205,CRONO!AV$12,CÁLCULO!$AR$15:$BR$205)/(ORÇAMENTO!$X$15-_xlfn.single(CÁLCULO.TotalAdmLocal))*CRONO!$F172,
                        0),
                 AV171*$S170),
          SUMIF(OFFSET($S172,1,0,$R170-2),($M170+1)&amp;"$",OFFSET(AV172,1,0,$R170-2)))</f>
        <v>0</v>
      </c>
      <c r="AW172" s="439" t="n">
        <f aca="false" t="array" ref="AW172:AW172">IF($R170=2,
         IF(AND(ACOMPANHAMENTO="PLE",ISNUMBER($F170)),
                SUMIF((OFFSET(CÁLCULO!$BS$15:$CS$15,$F170,0,OFFSET(ORÇAMENTO!$D$15,CRONO!$F170,0))),CRONO!AW$12,OFFSET(CÁLCULO!$AR$15:$BR$15,$F170,0,OFFSET(ORÇAMENTO!$D$15,CRONO!$F170,0)))
                +IF(AND($F172&lt;&gt;"",$F172&lt;&gt;0),
                        SUMIF(CÁLCULO!$BS$15:$CS$205,CRONO!AW$12,CÁLCULO!$AR$15:$BR$205)/(ORÇAMENTO!$X$15-_xlfn.single(CÁLCULO.TotalAdmLocal))*CRONO!$F172,
                        0),
                 AW171*$S170),
          SUMIF(OFFSET($S172,1,0,$R170-2),($M170+1)&amp;"$",OFFSET(AW172,1,0,$R170-2)))</f>
        <v>0</v>
      </c>
      <c r="AX172" s="439" t="n">
        <f aca="false" t="array" ref="AX172:AX172">IF($R170=2,
         IF(AND(ACOMPANHAMENTO="PLE",ISNUMBER($F170)),
                SUMIF((OFFSET(CÁLCULO!$BS$15:$CS$15,$F170,0,OFFSET(ORÇAMENTO!$D$15,CRONO!$F170,0))),CRONO!AX$12,OFFSET(CÁLCULO!$AR$15:$BR$15,$F170,0,OFFSET(ORÇAMENTO!$D$15,CRONO!$F170,0)))
                +IF(AND($F172&lt;&gt;"",$F172&lt;&gt;0),
                        SUMIF(CÁLCULO!$BS$15:$CS$205,CRONO!AX$12,CÁLCULO!$AR$15:$BR$205)/(ORÇAMENTO!$X$15-_xlfn.single(CÁLCULO.TotalAdmLocal))*CRONO!$F172,
                        0),
                 AX171*$S170),
          SUMIF(OFFSET($S172,1,0,$R170-2),($M170+1)&amp;"$",OFFSET(AX172,1,0,$R170-2)))</f>
        <v>0</v>
      </c>
      <c r="AY172" s="439" t="n">
        <f aca="false" t="array" ref="AY172:AY172">IF($R170=2,
         IF(AND(ACOMPANHAMENTO="PLE",ISNUMBER($F170)),
                SUMIF((OFFSET(CÁLCULO!$BS$15:$CS$15,$F170,0,OFFSET(ORÇAMENTO!$D$15,CRONO!$F170,0))),CRONO!AY$12,OFFSET(CÁLCULO!$AR$15:$BR$15,$F170,0,OFFSET(ORÇAMENTO!$D$15,CRONO!$F170,0)))
                +IF(AND($F172&lt;&gt;"",$F172&lt;&gt;0),
                        SUMIF(CÁLCULO!$BS$15:$CS$205,CRONO!AY$12,CÁLCULO!$AR$15:$BR$205)/(ORÇAMENTO!$X$15-_xlfn.single(CÁLCULO.TotalAdmLocal))*CRONO!$F172,
                        0),
                 AY171*$S170),
          SUMIF(OFFSET($S172,1,0,$R170-2),($M170+1)&amp;"$",OFFSET(AY172,1,0,$R170-2)))</f>
        <v>0</v>
      </c>
      <c r="AZ172" s="439" t="n">
        <f aca="false" t="array" ref="AZ172:AZ172">IF($R170=2,
         IF(AND(ACOMPANHAMENTO="PLE",ISNUMBER($F170)),
                SUMIF((OFFSET(CÁLCULO!$BS$15:$CS$15,$F170,0,OFFSET(ORÇAMENTO!$D$15,CRONO!$F170,0))),CRONO!AZ$12,OFFSET(CÁLCULO!$AR$15:$BR$15,$F170,0,OFFSET(ORÇAMENTO!$D$15,CRONO!$F170,0)))
                +IF(AND($F172&lt;&gt;"",$F172&lt;&gt;0),
                        SUMIF(CÁLCULO!$BS$15:$CS$205,CRONO!AZ$12,CÁLCULO!$AR$15:$BR$205)/(ORÇAMENTO!$X$15-_xlfn.single(CÁLCULO.TotalAdmLocal))*CRONO!$F172,
                        0),
                 AZ171*$S170),
          SUMIF(OFFSET($S172,1,0,$R170-2),($M170+1)&amp;"$",OFFSET(AZ172,1,0,$R170-2)))</f>
        <v>0</v>
      </c>
      <c r="BA172" s="439" t="n">
        <f aca="false" t="array" ref="BA172:BA172">IF($R170=2,
         IF(AND(ACOMPANHAMENTO="PLE",ISNUMBER($F170)),
                SUMIF((OFFSET(CÁLCULO!$BS$15:$CS$15,$F170,0,OFFSET(ORÇAMENTO!$D$15,CRONO!$F170,0))),CRONO!BA$12,OFFSET(CÁLCULO!$AR$15:$BR$15,$F170,0,OFFSET(ORÇAMENTO!$D$15,CRONO!$F170,0)))
                +IF(AND($F172&lt;&gt;"",$F172&lt;&gt;0),
                        SUMIF(CÁLCULO!$BS$15:$CS$205,CRONO!BA$12,CÁLCULO!$AR$15:$BR$205)/(ORÇAMENTO!$X$15-_xlfn.single(CÁLCULO.TotalAdmLocal))*CRONO!$F172,
                        0),
                 BA171*$S170),
          SUMIF(OFFSET($S172,1,0,$R170-2),($M170+1)&amp;"$",OFFSET(BA172,1,0,$R170-2)))</f>
        <v>0</v>
      </c>
      <c r="BB172" s="439" t="n">
        <f aca="false" t="array" ref="BB172:BB172">IF($R170=2,
         IF(AND(ACOMPANHAMENTO="PLE",ISNUMBER($F170)),
                SUMIF((OFFSET(CÁLCULO!$BS$15:$CS$15,$F170,0,OFFSET(ORÇAMENTO!$D$15,CRONO!$F170,0))),CRONO!BB$12,OFFSET(CÁLCULO!$AR$15:$BR$15,$F170,0,OFFSET(ORÇAMENTO!$D$15,CRONO!$F170,0)))
                +IF(AND($F172&lt;&gt;"",$F172&lt;&gt;0),
                        SUMIF(CÁLCULO!$BS$15:$CS$205,CRONO!BB$12,CÁLCULO!$AR$15:$BR$205)/(ORÇAMENTO!$X$15-_xlfn.single(CÁLCULO.TotalAdmLocal))*CRONO!$F172,
                        0),
                 BB171*$S170),
          SUMIF(OFFSET($S172,1,0,$R170-2),($M170+1)&amp;"$",OFFSET(BB172,1,0,$R170-2)))</f>
        <v>0</v>
      </c>
      <c r="BC172" s="439" t="n">
        <f aca="false" t="array" ref="BC172:BC172">IF($R170=2,
         IF(AND(ACOMPANHAMENTO="PLE",ISNUMBER($F170)),
                SUMIF((OFFSET(CÁLCULO!$BS$15:$CS$15,$F170,0,OFFSET(ORÇAMENTO!$D$15,CRONO!$F170,0))),CRONO!BC$12,OFFSET(CÁLCULO!$AR$15:$BR$15,$F170,0,OFFSET(ORÇAMENTO!$D$15,CRONO!$F170,0)))
                +IF(AND($F172&lt;&gt;"",$F172&lt;&gt;0),
                        SUMIF(CÁLCULO!$BS$15:$CS$205,CRONO!BC$12,CÁLCULO!$AR$15:$BR$205)/(ORÇAMENTO!$X$15-_xlfn.single(CÁLCULO.TotalAdmLocal))*CRONO!$F172,
                        0),
                 BC171*$S170),
          SUMIF(OFFSET($S172,1,0,$R170-2),($M170+1)&amp;"$",OFFSET(BC172,1,0,$R170-2)))</f>
        <v>0</v>
      </c>
      <c r="BD172" s="439" t="n">
        <f aca="false" t="array" ref="BD172:BD172">IF($R170=2,
         IF(AND(ACOMPANHAMENTO="PLE",ISNUMBER($F170)),
                SUMIF((OFFSET(CÁLCULO!$BS$15:$CS$15,$F170,0,OFFSET(ORÇAMENTO!$D$15,CRONO!$F170,0))),CRONO!BD$12,OFFSET(CÁLCULO!$AR$15:$BR$15,$F170,0,OFFSET(ORÇAMENTO!$D$15,CRONO!$F170,0)))
                +IF(AND($F172&lt;&gt;"",$F172&lt;&gt;0),
                        SUMIF(CÁLCULO!$BS$15:$CS$205,CRONO!BD$12,CÁLCULO!$AR$15:$BR$205)/(ORÇAMENTO!$X$15-_xlfn.single(CÁLCULO.TotalAdmLocal))*CRONO!$F172,
                        0),
                 BD171*$S170),
          SUMIF(OFFSET($S172,1,0,$R170-2),($M170+1)&amp;"$",OFFSET(BD172,1,0,$R170-2)))</f>
        <v>0</v>
      </c>
      <c r="BE172" s="430"/>
    </row>
    <row r="173" customFormat="false" ht="12.75" hidden="false" customHeight="false" outlineLevel="0" collapsed="false">
      <c r="A173" s="382" t="str">
        <f aca="false">IF($M173&gt;1,_xlfn.CONCAT($I173," ",$J173),"")</f>
        <v>1.53. CALAFETE / LIMPEZA</v>
      </c>
      <c r="B173" s="419" t="n">
        <f aca="true">OFFSET(B173,-3,0)+1</f>
        <v>54</v>
      </c>
      <c r="C173" s="419" t="n">
        <f aca="true">IF($R173&lt;&gt;2,0,IF($S173=0,1,IF(F174&gt;0,OFFSET(QCI!$M$13,SUBSTITUTE(F174,".",""),0),OFFSET(ORÇAMENTO!$AA$15,CRONO!$F173,0))/$S173))</f>
        <v>0.110981526562671</v>
      </c>
      <c r="D173" s="419" t="n">
        <f aca="true">IF($R173&lt;&gt;2,0,IF($S173=0,1,IF(F174&gt;0,OFFSET(QCI!$N$13,SUBSTITUTE(F174,".",""),0),OFFSET(ORÇAMENTO!$AB$15,CRONO!$F173,0))/$S173))</f>
        <v>0</v>
      </c>
      <c r="E173" s="422" t="n">
        <f aca="false" t="array" ref="E173:E173">IF(AND($R173=2,ACOMPANHAMENTO="BM"),ROUND(E174,4),E175/$S173)</f>
        <v>0.04</v>
      </c>
      <c r="F173" s="419" t="n">
        <f aca="true">IF(B173&lt;=ORÇAMENTO.MáximoListaCrono,MATCH(B173,ORÇAMENTO.ListaCrono,0),NA())</f>
        <v>186</v>
      </c>
      <c r="G173" s="419" t="str">
        <f aca="false">IF(AND($F174&lt;&gt;-1,$S173&gt;0),"F","")</f>
        <v>F</v>
      </c>
      <c r="H173" s="423" t="str">
        <f aca="false" t="array" ref="H173:H173">IF(OR(S173=0,S173=""),"Linha",IF(AND(OR(ACOMPANHAMENTO="PLE",$R173&lt;&gt;2),$F174=0),"Linha",ROUND(1-SUM(U173:BE173),4)))</f>
        <v>Linha</v>
      </c>
      <c r="I173" s="424" t="str">
        <f aca="true">IF($F174=0,OFFSET(ORÇAMENTO!O$15,$F173,0),IF($F174&lt;&gt;-1,OFFSET(QCI!$D$13,$F174,0),""))</f>
        <v>1.53.</v>
      </c>
      <c r="J173" s="425" t="str">
        <f aca="true">IF($F174=0,OFFSET(ORÇAMENTO!R$15,$F173,0),IF($F174&lt;&gt;-1,OFFSET(QCI!$G$13,$F174,0),""))</f>
        <v>CALAFETE / LIMPEZA</v>
      </c>
      <c r="K173" s="425"/>
      <c r="L173" s="425"/>
      <c r="M173" s="426" t="n">
        <f aca="true">IF($F174=0,OFFSET(ORÇAMENTO!C$15,$F173,0),1)</f>
        <v>2</v>
      </c>
      <c r="N173" s="427" t="n">
        <f aca="true">IF($F174=-1,0,IF(N$13&lt;=$M173,IF(ISERROR(MATCH(N$13,OFFSET($M173,1,0,ROW($M$182)-ROW($M173)-1),0)),ROW($M$182)-ROW($M173)-1,MATCH(N$13,OFFSET($M173,1,0,ROW($M$182)-ROW($M173)-1),0)-1),0))</f>
        <v>8</v>
      </c>
      <c r="O173" s="427" t="n">
        <f aca="true">IF($F174=-1,0,IF(O$13&lt;=$M173,IF(ISERROR(MATCH(O$13,OFFSET($M173,1,0,ROW($M$182)-ROW($M173)-1),0)),ROW($M$182)-ROW($M173)-1,MATCH(O$13,OFFSET($M173,1,0,ROW($M$182)-ROW($M173)-1),0)-1),0))</f>
        <v>2</v>
      </c>
      <c r="P173" s="427" t="n">
        <f aca="true">IF($F174=-1,0,IF(P$13&lt;=$M173,IF(ISERROR(MATCH(P$13,OFFSET($M173,1,0,ROW($M$182)-ROW($M173)-1),0)),ROW($M$182)-ROW($M173)-1,MATCH(P$13,OFFSET($M173,1,0,ROW($M$182)-ROW($M173)-1),0)-1),0))</f>
        <v>0</v>
      </c>
      <c r="Q173" s="427" t="n">
        <f aca="true">IF($F174=-1,0,IF(Q$13&lt;=$M173,IF(ISERROR(MATCH(Q$13,OFFSET($M173,1,0,ROW($M$182)-ROW($M173)-1),0)),ROW($M$182)-ROW($M173)-1,MATCH(Q$13,OFFSET($M173,1,0,ROW($M$182)-ROW($M173)-1),0)-1),0))</f>
        <v>0</v>
      </c>
      <c r="R173" s="427" t="n">
        <f aca="true">MIN(OFFSET(M173,0,1,,M173))</f>
        <v>2</v>
      </c>
      <c r="S173" s="428" t="n">
        <f aca="true">IF($F174=0,OFFSET(ORÇAMENTO!X$15,$F173,0),IF($F174&lt;&gt;-1,OFFSET(QCI!$O$13,$F174,0),""))</f>
        <v>13446</v>
      </c>
      <c r="T173" s="429" t="s">
        <v>996</v>
      </c>
      <c r="U173" s="422" t="n">
        <f aca="false" t="array" ref="U173:U173">IF(AND($R173=2,ACOMPANHAMENTO="BM"),ROUND(U174,4),U175/$S173)</f>
        <v>0.04</v>
      </c>
      <c r="V173" s="422" t="n">
        <f aca="false" t="array" ref="V173:V173">IF(AND($R173=2,ACOMPANHAMENTO="BM"),ROUND(V174,4),V175/$S173)</f>
        <v>0.04</v>
      </c>
      <c r="W173" s="422" t="n">
        <f aca="false" t="array" ref="W173:W173">IF(AND($R173=2,ACOMPANHAMENTO="BM"),ROUND(W174,4),W175/$S173)</f>
        <v>0.04</v>
      </c>
      <c r="X173" s="422" t="n">
        <f aca="false" t="array" ref="X173:X173">IF(AND($R173=2,ACOMPANHAMENTO="BM"),ROUND(X174,4),X175/$S173)</f>
        <v>0.04</v>
      </c>
      <c r="Y173" s="422" t="n">
        <f aca="false" t="array" ref="Y173:Y173">IF(AND($R173=2,ACOMPANHAMENTO="BM"),ROUND(Y174,4),Y175/$S173)</f>
        <v>0.04</v>
      </c>
      <c r="Z173" s="422" t="n">
        <f aca="false" t="array" ref="Z173:Z173">IF(AND($R173=2,ACOMPANHAMENTO="BM"),ROUND(Z174,4),Z175/$S173)</f>
        <v>0.04</v>
      </c>
      <c r="AA173" s="422" t="n">
        <f aca="false" t="array" ref="AA173:AA173">IF(AND($R173=2,ACOMPANHAMENTO="BM"),ROUND(AA174,4),AA175/$S173)</f>
        <v>0.04</v>
      </c>
      <c r="AB173" s="422" t="n">
        <f aca="false" t="array" ref="AB173:AB173">IF(AND($R173=2,ACOMPANHAMENTO="BM"),ROUND(AB174,4),AB175/$S173)</f>
        <v>0.04</v>
      </c>
      <c r="AC173" s="422" t="n">
        <f aca="false" t="array" ref="AC173:AC173">IF(AND($R173=2,ACOMPANHAMENTO="BM"),ROUND(AC174,4),AC175/$S173)</f>
        <v>0.04</v>
      </c>
      <c r="AD173" s="422" t="n">
        <f aca="false" t="array" ref="AD173:AD173">IF(AND($R173=2,ACOMPANHAMENTO="BM"),ROUND(AD174,4),AD175/$S173)</f>
        <v>0.04</v>
      </c>
      <c r="AE173" s="422" t="n">
        <f aca="false" t="array" ref="AE173:AE173">IF(AND($R173=2,ACOMPANHAMENTO="BM"),ROUND(AE174,4),AE175/$S173)</f>
        <v>0.04</v>
      </c>
      <c r="AF173" s="422" t="n">
        <f aca="false" t="array" ref="AF173:AF173">IF(AND($R173=2,ACOMPANHAMENTO="BM"),ROUND(AF174,4),AF175/$S173)</f>
        <v>0.04</v>
      </c>
      <c r="AG173" s="422" t="n">
        <f aca="false" t="array" ref="AG173:AG173">IF(AND($R173=2,ACOMPANHAMENTO="BM"),ROUND(AG174,4),AG175/$S173)</f>
        <v>0.04</v>
      </c>
      <c r="AH173" s="422" t="n">
        <f aca="false" t="array" ref="AH173:AH173">IF(AND($R173=2,ACOMPANHAMENTO="BM"),ROUND(AH174,4),AH175/$S173)</f>
        <v>0.04</v>
      </c>
      <c r="AI173" s="422" t="n">
        <f aca="false" t="array" ref="AI173:AI173">IF(AND($R173=2,ACOMPANHAMENTO="BM"),ROUND(AI174,4),AI175/$S173)</f>
        <v>0.04</v>
      </c>
      <c r="AJ173" s="422" t="n">
        <f aca="false" t="array" ref="AJ173:AJ173">IF(AND($R173=2,ACOMPANHAMENTO="BM"),ROUND(AJ174,4),AJ175/$S173)</f>
        <v>0.04</v>
      </c>
      <c r="AK173" s="422" t="n">
        <f aca="false" t="array" ref="AK173:AK173">IF(AND($R173=2,ACOMPANHAMENTO="BM"),ROUND(AK174,4),AK175/$S173)</f>
        <v>0.04</v>
      </c>
      <c r="AL173" s="422" t="n">
        <f aca="false" t="array" ref="AL173:AL173">IF(AND($R173=2,ACOMPANHAMENTO="BM"),ROUND(AL174,4),AL175/$S173)</f>
        <v>0.04</v>
      </c>
      <c r="AM173" s="422" t="n">
        <f aca="false" t="array" ref="AM173:AM173">IF(AND($R173=2,ACOMPANHAMENTO="BM"),ROUND(AM174,4),AM175/$S173)</f>
        <v>0.04</v>
      </c>
      <c r="AN173" s="422" t="n">
        <f aca="false" t="array" ref="AN173:AN173">IF(AND($R173=2,ACOMPANHAMENTO="BM"),ROUND(AN174,4),AN175/$S173)</f>
        <v>0.04</v>
      </c>
      <c r="AO173" s="422" t="n">
        <f aca="false" t="array" ref="AO173:AO173">IF(AND($R173=2,ACOMPANHAMENTO="BM"),ROUND(AO174,4),AO175/$S173)</f>
        <v>0.04</v>
      </c>
      <c r="AP173" s="422" t="n">
        <f aca="false" t="array" ref="AP173:AP173">IF(AND($R173=2,ACOMPANHAMENTO="BM"),ROUND(AP174,4),AP175/$S173)</f>
        <v>0.04</v>
      </c>
      <c r="AQ173" s="422" t="n">
        <f aca="false" t="array" ref="AQ173:AQ173">IF(AND($R173=2,ACOMPANHAMENTO="BM"),ROUND(AQ174,4),AQ175/$S173)</f>
        <v>0.04</v>
      </c>
      <c r="AR173" s="422" t="n">
        <f aca="false" t="array" ref="AR173:AR173">IF(AND($R173=2,ACOMPANHAMENTO="BM"),ROUND(AR174,4),AR175/$S173)</f>
        <v>0.04</v>
      </c>
      <c r="AS173" s="422" t="n">
        <f aca="false" t="array" ref="AS173:AS173">IF(AND($R173=2,ACOMPANHAMENTO="BM"),ROUND(AS174,4),AS175/$S173)</f>
        <v>0.04</v>
      </c>
      <c r="AT173" s="422" t="n">
        <f aca="false" t="array" ref="AT173:AT173">IF(AND($R173=2,ACOMPANHAMENTO="BM"),ROUND(AT174,4),AT175/$S173)</f>
        <v>0</v>
      </c>
      <c r="AU173" s="422" t="n">
        <f aca="false" t="array" ref="AU173:AU173">IF(AND($R173=2,ACOMPANHAMENTO="BM"),ROUND(AU174,4),AU175/$S173)</f>
        <v>0</v>
      </c>
      <c r="AV173" s="422" t="n">
        <f aca="false" t="array" ref="AV173:AV173">IF(AND($R173=2,ACOMPANHAMENTO="BM"),ROUND(AV174,4),AV175/$S173)</f>
        <v>0</v>
      </c>
      <c r="AW173" s="422" t="n">
        <f aca="false" t="array" ref="AW173:AW173">IF(AND($R173=2,ACOMPANHAMENTO="BM"),ROUND(AW174,4),AW175/$S173)</f>
        <v>0</v>
      </c>
      <c r="AX173" s="422" t="n">
        <f aca="false" t="array" ref="AX173:AX173">IF(AND($R173=2,ACOMPANHAMENTO="BM"),ROUND(AX174,4),AX175/$S173)</f>
        <v>0</v>
      </c>
      <c r="AY173" s="422" t="n">
        <f aca="false" t="array" ref="AY173:AY173">IF(AND($R173=2,ACOMPANHAMENTO="BM"),ROUND(AY174,4),AY175/$S173)</f>
        <v>0</v>
      </c>
      <c r="AZ173" s="422" t="n">
        <f aca="false" t="array" ref="AZ173:AZ173">IF(AND($R173=2,ACOMPANHAMENTO="BM"),ROUND(AZ174,4),AZ175/$S173)</f>
        <v>0</v>
      </c>
      <c r="BA173" s="422" t="n">
        <f aca="false" t="array" ref="BA173:BA173">IF(AND($R173=2,ACOMPANHAMENTO="BM"),ROUND(BA174,4),BA175/$S173)</f>
        <v>0</v>
      </c>
      <c r="BB173" s="422" t="n">
        <f aca="false" t="array" ref="BB173:BB173">IF(AND($R173=2,ACOMPANHAMENTO="BM"),ROUND(BB174,4),BB175/$S173)</f>
        <v>0</v>
      </c>
      <c r="BC173" s="422" t="n">
        <f aca="false" t="array" ref="BC173:BC173">IF(AND($R173=2,ACOMPANHAMENTO="BM"),ROUND(BC174,4),BC175/$S173)</f>
        <v>0</v>
      </c>
      <c r="BD173" s="422" t="n">
        <f aca="false" t="array" ref="BD173:BD173">IF(AND($R173=2,ACOMPANHAMENTO="BM"),ROUND(BD174,4),BD175/$S173)</f>
        <v>0</v>
      </c>
      <c r="BE173" s="430"/>
    </row>
    <row r="174" customFormat="false" ht="12.75" hidden="true" customHeight="true" outlineLevel="0" collapsed="false">
      <c r="E174" s="431"/>
      <c r="F174" s="419" t="n">
        <f aca="true">IF(ISERROR(F173),IF(1+COUNTIF($M$13:OFFSET(M173,-1,0),1)&lt;=MAX(QCI!$D$13:$D$15),1+COUNTIF($M$13:OFFSET(M173,-1,0),1),-1),0)</f>
        <v>0</v>
      </c>
      <c r="G174" s="419" t="str">
        <f aca="true" t="array" ref="G174:G174">IF(ACOMPANHAMENTO="BM",OFFSET(G174,-1,0),"")</f>
        <v/>
      </c>
      <c r="H174" s="432" t="str">
        <f aca="false" t="array" ref="H174:H174">IF(OR(S173=0,S173=""),"vazia",IF(AND(OR(ACOMPANHAMENTO="PLE",$R173&lt;&gt;2),$F174=0),"calculada","--&gt;"))</f>
        <v>calculada</v>
      </c>
      <c r="I174" s="433"/>
      <c r="J174" s="434" t="str">
        <f aca="false">IF(AND(H173&lt;&gt;0,ISNUMBER(H173)),"PREENCHA ESTA LINHA --&gt;","")</f>
        <v/>
      </c>
      <c r="K174" s="434"/>
      <c r="L174" s="434"/>
      <c r="M174" s="435"/>
      <c r="N174" s="435"/>
      <c r="O174" s="435"/>
      <c r="P174" s="435"/>
      <c r="Q174" s="435"/>
      <c r="R174" s="435"/>
      <c r="S174" s="436"/>
      <c r="T174" s="437"/>
      <c r="U174" s="431"/>
      <c r="V174" s="431"/>
      <c r="W174" s="431"/>
      <c r="X174" s="431"/>
      <c r="Y174" s="431"/>
      <c r="Z174" s="431"/>
      <c r="AA174" s="431"/>
      <c r="AB174" s="431"/>
      <c r="AC174" s="431"/>
      <c r="AD174" s="431"/>
      <c r="AE174" s="431"/>
      <c r="AF174" s="431"/>
      <c r="AG174" s="431"/>
      <c r="AH174" s="431"/>
      <c r="AI174" s="431"/>
      <c r="AJ174" s="431"/>
      <c r="AK174" s="431"/>
      <c r="AL174" s="431"/>
      <c r="AM174" s="431"/>
      <c r="AN174" s="431"/>
      <c r="AO174" s="431"/>
      <c r="AP174" s="431"/>
      <c r="AQ174" s="431"/>
      <c r="AR174" s="431"/>
      <c r="AS174" s="431"/>
      <c r="AT174" s="431"/>
      <c r="AU174" s="431"/>
      <c r="AV174" s="431"/>
      <c r="AW174" s="431"/>
      <c r="AX174" s="431"/>
      <c r="AY174" s="431"/>
      <c r="AZ174" s="431"/>
      <c r="BA174" s="431"/>
      <c r="BB174" s="431"/>
      <c r="BC174" s="431"/>
      <c r="BD174" s="431"/>
      <c r="BE174" s="430"/>
    </row>
    <row r="175" customFormat="false" ht="12.75" hidden="true" customHeight="true" outlineLevel="0" collapsed="false">
      <c r="D175" s="438"/>
      <c r="E175" s="439" t="n">
        <f aca="false" t="array" ref="E175:E175">IF($R173=2,
         IF(AND(ACOMPANHAMENTO="PLE",ISNUMBER($F173)),
                SUMIF((OFFSET(CÁLCULO!$BS$15:$CS$15,$F173,0,OFFSET(ORÇAMENTO!$D$15,CRONO!$F173,0))),CRONO!E$12,OFFSET(CÁLCULO!$AR$15:$BR$15,$F173,0,OFFSET(ORÇAMENTO!$D$15,CRONO!$F173,0)))
                +IF(AND($F175&lt;&gt;"",$F175&lt;&gt;0),
                        SUMIF(CÁLCULO!$BS$15:$CS$205,CRONO!E$12,CÁLCULO!$AR$15:$BR$205)/(ORÇAMENTO!$X$15-_xlfn.single(CÁLCULO.TotalAdmLocal))*CRONO!$F175,
                        0),
                 E174*$S173),
          SUMIF(OFFSET($S175,1,0,$R173-2),($M173+1)&amp;"$",OFFSET(E175,1,0,$R173-2)))</f>
        <v>537.84</v>
      </c>
      <c r="F175" s="419" t="str">
        <f aca="true">IF(OR($R173&lt;&gt;2,AUTOEVENTO&lt;&gt;"manual",$F174&gt;0),"",
        IF(Import.TipoArredondamento="Tradicional",
              SUMIF(OFFSET(CÁLCULO!$M$15,CRONO!$F173,0,OFFSET(ORÇAMENTO!$D$15,CRONO!$F173,0)),1,OFFSET(ORÇAMENTO!$X$15,CRONO!$F173,0,OFFSET(ORÇAMENTO!$D$15,CRONO!$F173,0))),
              0))</f>
        <v/>
      </c>
      <c r="H175" s="440"/>
      <c r="S175" s="441" t="str">
        <f aca="false">M173&amp;"$"</f>
        <v>2$</v>
      </c>
      <c r="T175" s="442"/>
      <c r="U175" s="439" t="n">
        <f aca="false" t="array" ref="U175:U175">IF($R173=2,
         IF(AND(ACOMPANHAMENTO="PLE",ISNUMBER($F173)),
                SUMIF((OFFSET(CÁLCULO!$BS$15:$CS$15,$F173,0,OFFSET(ORÇAMENTO!$D$15,CRONO!$F173,0))),CRONO!U$12,OFFSET(CÁLCULO!$AR$15:$BR$15,$F173,0,OFFSET(ORÇAMENTO!$D$15,CRONO!$F173,0)))
                +IF(AND($F175&lt;&gt;"",$F175&lt;&gt;0),
                        SUMIF(CÁLCULO!$BS$15:$CS$205,CRONO!U$12,CÁLCULO!$AR$15:$BR$205)/(ORÇAMENTO!$X$15-_xlfn.single(CÁLCULO.TotalAdmLocal))*CRONO!$F175,
                        0),
                 U174*$S173),
          SUMIF(OFFSET($S175,1,0,$R173-2),($M173+1)&amp;"$",OFFSET(U175,1,0,$R173-2)))</f>
        <v>537.84</v>
      </c>
      <c r="V175" s="439" t="n">
        <f aca="false" t="array" ref="V175:V175">IF($R173=2,
         IF(AND(ACOMPANHAMENTO="PLE",ISNUMBER($F173)),
                SUMIF((OFFSET(CÁLCULO!$BS$15:$CS$15,$F173,0,OFFSET(ORÇAMENTO!$D$15,CRONO!$F173,0))),CRONO!V$12,OFFSET(CÁLCULO!$AR$15:$BR$15,$F173,0,OFFSET(ORÇAMENTO!$D$15,CRONO!$F173,0)))
                +IF(AND($F175&lt;&gt;"",$F175&lt;&gt;0),
                        SUMIF(CÁLCULO!$BS$15:$CS$205,CRONO!V$12,CÁLCULO!$AR$15:$BR$205)/(ORÇAMENTO!$X$15-_xlfn.single(CÁLCULO.TotalAdmLocal))*CRONO!$F175,
                        0),
                 V174*$S173),
          SUMIF(OFFSET($S175,1,0,$R173-2),($M173+1)&amp;"$",OFFSET(V175,1,0,$R173-2)))</f>
        <v>537.84</v>
      </c>
      <c r="W175" s="439" t="n">
        <f aca="false" t="array" ref="W175:W175">IF($R173=2,
         IF(AND(ACOMPANHAMENTO="PLE",ISNUMBER($F173)),
                SUMIF((OFFSET(CÁLCULO!$BS$15:$CS$15,$F173,0,OFFSET(ORÇAMENTO!$D$15,CRONO!$F173,0))),CRONO!W$12,OFFSET(CÁLCULO!$AR$15:$BR$15,$F173,0,OFFSET(ORÇAMENTO!$D$15,CRONO!$F173,0)))
                +IF(AND($F175&lt;&gt;"",$F175&lt;&gt;0),
                        SUMIF(CÁLCULO!$BS$15:$CS$205,CRONO!W$12,CÁLCULO!$AR$15:$BR$205)/(ORÇAMENTO!$X$15-_xlfn.single(CÁLCULO.TotalAdmLocal))*CRONO!$F175,
                        0),
                 W174*$S173),
          SUMIF(OFFSET($S175,1,0,$R173-2),($M173+1)&amp;"$",OFFSET(W175,1,0,$R173-2)))</f>
        <v>537.84</v>
      </c>
      <c r="X175" s="439" t="n">
        <f aca="false" t="array" ref="X175:X175">IF($R173=2,
         IF(AND(ACOMPANHAMENTO="PLE",ISNUMBER($F173)),
                SUMIF((OFFSET(CÁLCULO!$BS$15:$CS$15,$F173,0,OFFSET(ORÇAMENTO!$D$15,CRONO!$F173,0))),CRONO!X$12,OFFSET(CÁLCULO!$AR$15:$BR$15,$F173,0,OFFSET(ORÇAMENTO!$D$15,CRONO!$F173,0)))
                +IF(AND($F175&lt;&gt;"",$F175&lt;&gt;0),
                        SUMIF(CÁLCULO!$BS$15:$CS$205,CRONO!X$12,CÁLCULO!$AR$15:$BR$205)/(ORÇAMENTO!$X$15-_xlfn.single(CÁLCULO.TotalAdmLocal))*CRONO!$F175,
                        0),
                 X174*$S173),
          SUMIF(OFFSET($S175,1,0,$R173-2),($M173+1)&amp;"$",OFFSET(X175,1,0,$R173-2)))</f>
        <v>537.84</v>
      </c>
      <c r="Y175" s="439" t="n">
        <f aca="false" t="array" ref="Y175:Y175">IF($R173=2,
         IF(AND(ACOMPANHAMENTO="PLE",ISNUMBER($F173)),
                SUMIF((OFFSET(CÁLCULO!$BS$15:$CS$15,$F173,0,OFFSET(ORÇAMENTO!$D$15,CRONO!$F173,0))),CRONO!Y$12,OFFSET(CÁLCULO!$AR$15:$BR$15,$F173,0,OFFSET(ORÇAMENTO!$D$15,CRONO!$F173,0)))
                +IF(AND($F175&lt;&gt;"",$F175&lt;&gt;0),
                        SUMIF(CÁLCULO!$BS$15:$CS$205,CRONO!Y$12,CÁLCULO!$AR$15:$BR$205)/(ORÇAMENTO!$X$15-_xlfn.single(CÁLCULO.TotalAdmLocal))*CRONO!$F175,
                        0),
                 Y174*$S173),
          SUMIF(OFFSET($S175,1,0,$R173-2),($M173+1)&amp;"$",OFFSET(Y175,1,0,$R173-2)))</f>
        <v>537.84</v>
      </c>
      <c r="Z175" s="439" t="n">
        <f aca="false" t="array" ref="Z175:Z175">IF($R173=2,
         IF(AND(ACOMPANHAMENTO="PLE",ISNUMBER($F173)),
                SUMIF((OFFSET(CÁLCULO!$BS$15:$CS$15,$F173,0,OFFSET(ORÇAMENTO!$D$15,CRONO!$F173,0))),CRONO!Z$12,OFFSET(CÁLCULO!$AR$15:$BR$15,$F173,0,OFFSET(ORÇAMENTO!$D$15,CRONO!$F173,0)))
                +IF(AND($F175&lt;&gt;"",$F175&lt;&gt;0),
                        SUMIF(CÁLCULO!$BS$15:$CS$205,CRONO!Z$12,CÁLCULO!$AR$15:$BR$205)/(ORÇAMENTO!$X$15-_xlfn.single(CÁLCULO.TotalAdmLocal))*CRONO!$F175,
                        0),
                 Z174*$S173),
          SUMIF(OFFSET($S175,1,0,$R173-2),($M173+1)&amp;"$",OFFSET(Z175,1,0,$R173-2)))</f>
        <v>537.84</v>
      </c>
      <c r="AA175" s="439" t="n">
        <f aca="false" t="array" ref="AA175:AA175">IF($R173=2,
         IF(AND(ACOMPANHAMENTO="PLE",ISNUMBER($F173)),
                SUMIF((OFFSET(CÁLCULO!$BS$15:$CS$15,$F173,0,OFFSET(ORÇAMENTO!$D$15,CRONO!$F173,0))),CRONO!AA$12,OFFSET(CÁLCULO!$AR$15:$BR$15,$F173,0,OFFSET(ORÇAMENTO!$D$15,CRONO!$F173,0)))
                +IF(AND($F175&lt;&gt;"",$F175&lt;&gt;0),
                        SUMIF(CÁLCULO!$BS$15:$CS$205,CRONO!AA$12,CÁLCULO!$AR$15:$BR$205)/(ORÇAMENTO!$X$15-_xlfn.single(CÁLCULO.TotalAdmLocal))*CRONO!$F175,
                        0),
                 AA174*$S173),
          SUMIF(OFFSET($S175,1,0,$R173-2),($M173+1)&amp;"$",OFFSET(AA175,1,0,$R173-2)))</f>
        <v>537.84</v>
      </c>
      <c r="AB175" s="439" t="n">
        <f aca="false" t="array" ref="AB175:AB175">IF($R173=2,
         IF(AND(ACOMPANHAMENTO="PLE",ISNUMBER($F173)),
                SUMIF((OFFSET(CÁLCULO!$BS$15:$CS$15,$F173,0,OFFSET(ORÇAMENTO!$D$15,CRONO!$F173,0))),CRONO!AB$12,OFFSET(CÁLCULO!$AR$15:$BR$15,$F173,0,OFFSET(ORÇAMENTO!$D$15,CRONO!$F173,0)))
                +IF(AND($F175&lt;&gt;"",$F175&lt;&gt;0),
                        SUMIF(CÁLCULO!$BS$15:$CS$205,CRONO!AB$12,CÁLCULO!$AR$15:$BR$205)/(ORÇAMENTO!$X$15-_xlfn.single(CÁLCULO.TotalAdmLocal))*CRONO!$F175,
                        0),
                 AB174*$S173),
          SUMIF(OFFSET($S175,1,0,$R173-2),($M173+1)&amp;"$",OFFSET(AB175,1,0,$R173-2)))</f>
        <v>537.84</v>
      </c>
      <c r="AC175" s="439" t="n">
        <f aca="false" t="array" ref="AC175:AC175">IF($R173=2,
         IF(AND(ACOMPANHAMENTO="PLE",ISNUMBER($F173)),
                SUMIF((OFFSET(CÁLCULO!$BS$15:$CS$15,$F173,0,OFFSET(ORÇAMENTO!$D$15,CRONO!$F173,0))),CRONO!AC$12,OFFSET(CÁLCULO!$AR$15:$BR$15,$F173,0,OFFSET(ORÇAMENTO!$D$15,CRONO!$F173,0)))
                +IF(AND($F175&lt;&gt;"",$F175&lt;&gt;0),
                        SUMIF(CÁLCULO!$BS$15:$CS$205,CRONO!AC$12,CÁLCULO!$AR$15:$BR$205)/(ORÇAMENTO!$X$15-_xlfn.single(CÁLCULO.TotalAdmLocal))*CRONO!$F175,
                        0),
                 AC174*$S173),
          SUMIF(OFFSET($S175,1,0,$R173-2),($M173+1)&amp;"$",OFFSET(AC175,1,0,$R173-2)))</f>
        <v>537.84</v>
      </c>
      <c r="AD175" s="439" t="n">
        <f aca="false" t="array" ref="AD175:AD175">IF($R173=2,
         IF(AND(ACOMPANHAMENTO="PLE",ISNUMBER($F173)),
                SUMIF((OFFSET(CÁLCULO!$BS$15:$CS$15,$F173,0,OFFSET(ORÇAMENTO!$D$15,CRONO!$F173,0))),CRONO!AD$12,OFFSET(CÁLCULO!$AR$15:$BR$15,$F173,0,OFFSET(ORÇAMENTO!$D$15,CRONO!$F173,0)))
                +IF(AND($F175&lt;&gt;"",$F175&lt;&gt;0),
                        SUMIF(CÁLCULO!$BS$15:$CS$205,CRONO!AD$12,CÁLCULO!$AR$15:$BR$205)/(ORÇAMENTO!$X$15-_xlfn.single(CÁLCULO.TotalAdmLocal))*CRONO!$F175,
                        0),
                 AD174*$S173),
          SUMIF(OFFSET($S175,1,0,$R173-2),($M173+1)&amp;"$",OFFSET(AD175,1,0,$R173-2)))</f>
        <v>537.84</v>
      </c>
      <c r="AE175" s="439" t="n">
        <f aca="false" t="array" ref="AE175:AE175">IF($R173=2,
         IF(AND(ACOMPANHAMENTO="PLE",ISNUMBER($F173)),
                SUMIF((OFFSET(CÁLCULO!$BS$15:$CS$15,$F173,0,OFFSET(ORÇAMENTO!$D$15,CRONO!$F173,0))),CRONO!AE$12,OFFSET(CÁLCULO!$AR$15:$BR$15,$F173,0,OFFSET(ORÇAMENTO!$D$15,CRONO!$F173,0)))
                +IF(AND($F175&lt;&gt;"",$F175&lt;&gt;0),
                        SUMIF(CÁLCULO!$BS$15:$CS$205,CRONO!AE$12,CÁLCULO!$AR$15:$BR$205)/(ORÇAMENTO!$X$15-_xlfn.single(CÁLCULO.TotalAdmLocal))*CRONO!$F175,
                        0),
                 AE174*$S173),
          SUMIF(OFFSET($S175,1,0,$R173-2),($M173+1)&amp;"$",OFFSET(AE175,1,0,$R173-2)))</f>
        <v>537.84</v>
      </c>
      <c r="AF175" s="439" t="n">
        <f aca="false" t="array" ref="AF175:AF175">IF($R173=2,
         IF(AND(ACOMPANHAMENTO="PLE",ISNUMBER($F173)),
                SUMIF((OFFSET(CÁLCULO!$BS$15:$CS$15,$F173,0,OFFSET(ORÇAMENTO!$D$15,CRONO!$F173,0))),CRONO!AF$12,OFFSET(CÁLCULO!$AR$15:$BR$15,$F173,0,OFFSET(ORÇAMENTO!$D$15,CRONO!$F173,0)))
                +IF(AND($F175&lt;&gt;"",$F175&lt;&gt;0),
                        SUMIF(CÁLCULO!$BS$15:$CS$205,CRONO!AF$12,CÁLCULO!$AR$15:$BR$205)/(ORÇAMENTO!$X$15-_xlfn.single(CÁLCULO.TotalAdmLocal))*CRONO!$F175,
                        0),
                 AF174*$S173),
          SUMIF(OFFSET($S175,1,0,$R173-2),($M173+1)&amp;"$",OFFSET(AF175,1,0,$R173-2)))</f>
        <v>537.84</v>
      </c>
      <c r="AG175" s="439" t="n">
        <f aca="false" t="array" ref="AG175:AG175">IF($R173=2,
         IF(AND(ACOMPANHAMENTO="PLE",ISNUMBER($F173)),
                SUMIF((OFFSET(CÁLCULO!$BS$15:$CS$15,$F173,0,OFFSET(ORÇAMENTO!$D$15,CRONO!$F173,0))),CRONO!AG$12,OFFSET(CÁLCULO!$AR$15:$BR$15,$F173,0,OFFSET(ORÇAMENTO!$D$15,CRONO!$F173,0)))
                +IF(AND($F175&lt;&gt;"",$F175&lt;&gt;0),
                        SUMIF(CÁLCULO!$BS$15:$CS$205,CRONO!AG$12,CÁLCULO!$AR$15:$BR$205)/(ORÇAMENTO!$X$15-_xlfn.single(CÁLCULO.TotalAdmLocal))*CRONO!$F175,
                        0),
                 AG174*$S173),
          SUMIF(OFFSET($S175,1,0,$R173-2),($M173+1)&amp;"$",OFFSET(AG175,1,0,$R173-2)))</f>
        <v>537.84</v>
      </c>
      <c r="AH175" s="439" t="n">
        <f aca="false" t="array" ref="AH175:AH175">IF($R173=2,
         IF(AND(ACOMPANHAMENTO="PLE",ISNUMBER($F173)),
                SUMIF((OFFSET(CÁLCULO!$BS$15:$CS$15,$F173,0,OFFSET(ORÇAMENTO!$D$15,CRONO!$F173,0))),CRONO!AH$12,OFFSET(CÁLCULO!$AR$15:$BR$15,$F173,0,OFFSET(ORÇAMENTO!$D$15,CRONO!$F173,0)))
                +IF(AND($F175&lt;&gt;"",$F175&lt;&gt;0),
                        SUMIF(CÁLCULO!$BS$15:$CS$205,CRONO!AH$12,CÁLCULO!$AR$15:$BR$205)/(ORÇAMENTO!$X$15-_xlfn.single(CÁLCULO.TotalAdmLocal))*CRONO!$F175,
                        0),
                 AH174*$S173),
          SUMIF(OFFSET($S175,1,0,$R173-2),($M173+1)&amp;"$",OFFSET(AH175,1,0,$R173-2)))</f>
        <v>537.84</v>
      </c>
      <c r="AI175" s="439" t="n">
        <f aca="false" t="array" ref="AI175:AI175">IF($R173=2,
         IF(AND(ACOMPANHAMENTO="PLE",ISNUMBER($F173)),
                SUMIF((OFFSET(CÁLCULO!$BS$15:$CS$15,$F173,0,OFFSET(ORÇAMENTO!$D$15,CRONO!$F173,0))),CRONO!AI$12,OFFSET(CÁLCULO!$AR$15:$BR$15,$F173,0,OFFSET(ORÇAMENTO!$D$15,CRONO!$F173,0)))
                +IF(AND($F175&lt;&gt;"",$F175&lt;&gt;0),
                        SUMIF(CÁLCULO!$BS$15:$CS$205,CRONO!AI$12,CÁLCULO!$AR$15:$BR$205)/(ORÇAMENTO!$X$15-_xlfn.single(CÁLCULO.TotalAdmLocal))*CRONO!$F175,
                        0),
                 AI174*$S173),
          SUMIF(OFFSET($S175,1,0,$R173-2),($M173+1)&amp;"$",OFFSET(AI175,1,0,$R173-2)))</f>
        <v>537.84</v>
      </c>
      <c r="AJ175" s="439" t="n">
        <f aca="false" t="array" ref="AJ175:AJ175">IF($R173=2,
         IF(AND(ACOMPANHAMENTO="PLE",ISNUMBER($F173)),
                SUMIF((OFFSET(CÁLCULO!$BS$15:$CS$15,$F173,0,OFFSET(ORÇAMENTO!$D$15,CRONO!$F173,0))),CRONO!AJ$12,OFFSET(CÁLCULO!$AR$15:$BR$15,$F173,0,OFFSET(ORÇAMENTO!$D$15,CRONO!$F173,0)))
                +IF(AND($F175&lt;&gt;"",$F175&lt;&gt;0),
                        SUMIF(CÁLCULO!$BS$15:$CS$205,CRONO!AJ$12,CÁLCULO!$AR$15:$BR$205)/(ORÇAMENTO!$X$15-_xlfn.single(CÁLCULO.TotalAdmLocal))*CRONO!$F175,
                        0),
                 AJ174*$S173),
          SUMIF(OFFSET($S175,1,0,$R173-2),($M173+1)&amp;"$",OFFSET(AJ175,1,0,$R173-2)))</f>
        <v>537.84</v>
      </c>
      <c r="AK175" s="439" t="n">
        <f aca="false" t="array" ref="AK175:AK175">IF($R173=2,
         IF(AND(ACOMPANHAMENTO="PLE",ISNUMBER($F173)),
                SUMIF((OFFSET(CÁLCULO!$BS$15:$CS$15,$F173,0,OFFSET(ORÇAMENTO!$D$15,CRONO!$F173,0))),CRONO!AK$12,OFFSET(CÁLCULO!$AR$15:$BR$15,$F173,0,OFFSET(ORÇAMENTO!$D$15,CRONO!$F173,0)))
                +IF(AND($F175&lt;&gt;"",$F175&lt;&gt;0),
                        SUMIF(CÁLCULO!$BS$15:$CS$205,CRONO!AK$12,CÁLCULO!$AR$15:$BR$205)/(ORÇAMENTO!$X$15-_xlfn.single(CÁLCULO.TotalAdmLocal))*CRONO!$F175,
                        0),
                 AK174*$S173),
          SUMIF(OFFSET($S175,1,0,$R173-2),($M173+1)&amp;"$",OFFSET(AK175,1,0,$R173-2)))</f>
        <v>537.84</v>
      </c>
      <c r="AL175" s="439" t="n">
        <f aca="false" t="array" ref="AL175:AL175">IF($R173=2,
         IF(AND(ACOMPANHAMENTO="PLE",ISNUMBER($F173)),
                SUMIF((OFFSET(CÁLCULO!$BS$15:$CS$15,$F173,0,OFFSET(ORÇAMENTO!$D$15,CRONO!$F173,0))),CRONO!AL$12,OFFSET(CÁLCULO!$AR$15:$BR$15,$F173,0,OFFSET(ORÇAMENTO!$D$15,CRONO!$F173,0)))
                +IF(AND($F175&lt;&gt;"",$F175&lt;&gt;0),
                        SUMIF(CÁLCULO!$BS$15:$CS$205,CRONO!AL$12,CÁLCULO!$AR$15:$BR$205)/(ORÇAMENTO!$X$15-_xlfn.single(CÁLCULO.TotalAdmLocal))*CRONO!$F175,
                        0),
                 AL174*$S173),
          SUMIF(OFFSET($S175,1,0,$R173-2),($M173+1)&amp;"$",OFFSET(AL175,1,0,$R173-2)))</f>
        <v>537.84</v>
      </c>
      <c r="AM175" s="439" t="n">
        <f aca="false" t="array" ref="AM175:AM175">IF($R173=2,
         IF(AND(ACOMPANHAMENTO="PLE",ISNUMBER($F173)),
                SUMIF((OFFSET(CÁLCULO!$BS$15:$CS$15,$F173,0,OFFSET(ORÇAMENTO!$D$15,CRONO!$F173,0))),CRONO!AM$12,OFFSET(CÁLCULO!$AR$15:$BR$15,$F173,0,OFFSET(ORÇAMENTO!$D$15,CRONO!$F173,0)))
                +IF(AND($F175&lt;&gt;"",$F175&lt;&gt;0),
                        SUMIF(CÁLCULO!$BS$15:$CS$205,CRONO!AM$12,CÁLCULO!$AR$15:$BR$205)/(ORÇAMENTO!$X$15-_xlfn.single(CÁLCULO.TotalAdmLocal))*CRONO!$F175,
                        0),
                 AM174*$S173),
          SUMIF(OFFSET($S175,1,0,$R173-2),($M173+1)&amp;"$",OFFSET(AM175,1,0,$R173-2)))</f>
        <v>537.84</v>
      </c>
      <c r="AN175" s="439" t="n">
        <f aca="false" t="array" ref="AN175:AN175">IF($R173=2,
         IF(AND(ACOMPANHAMENTO="PLE",ISNUMBER($F173)),
                SUMIF((OFFSET(CÁLCULO!$BS$15:$CS$15,$F173,0,OFFSET(ORÇAMENTO!$D$15,CRONO!$F173,0))),CRONO!AN$12,OFFSET(CÁLCULO!$AR$15:$BR$15,$F173,0,OFFSET(ORÇAMENTO!$D$15,CRONO!$F173,0)))
                +IF(AND($F175&lt;&gt;"",$F175&lt;&gt;0),
                        SUMIF(CÁLCULO!$BS$15:$CS$205,CRONO!AN$12,CÁLCULO!$AR$15:$BR$205)/(ORÇAMENTO!$X$15-_xlfn.single(CÁLCULO.TotalAdmLocal))*CRONO!$F175,
                        0),
                 AN174*$S173),
          SUMIF(OFFSET($S175,1,0,$R173-2),($M173+1)&amp;"$",OFFSET(AN175,1,0,$R173-2)))</f>
        <v>537.84</v>
      </c>
      <c r="AO175" s="439" t="n">
        <f aca="false" t="array" ref="AO175:AO175">IF($R173=2,
         IF(AND(ACOMPANHAMENTO="PLE",ISNUMBER($F173)),
                SUMIF((OFFSET(CÁLCULO!$BS$15:$CS$15,$F173,0,OFFSET(ORÇAMENTO!$D$15,CRONO!$F173,0))),CRONO!AO$12,OFFSET(CÁLCULO!$AR$15:$BR$15,$F173,0,OFFSET(ORÇAMENTO!$D$15,CRONO!$F173,0)))
                +IF(AND($F175&lt;&gt;"",$F175&lt;&gt;0),
                        SUMIF(CÁLCULO!$BS$15:$CS$205,CRONO!AO$12,CÁLCULO!$AR$15:$BR$205)/(ORÇAMENTO!$X$15-_xlfn.single(CÁLCULO.TotalAdmLocal))*CRONO!$F175,
                        0),
                 AO174*$S173),
          SUMIF(OFFSET($S175,1,0,$R173-2),($M173+1)&amp;"$",OFFSET(AO175,1,0,$R173-2)))</f>
        <v>537.84</v>
      </c>
      <c r="AP175" s="439" t="n">
        <f aca="false" t="array" ref="AP175:AP175">IF($R173=2,
         IF(AND(ACOMPANHAMENTO="PLE",ISNUMBER($F173)),
                SUMIF((OFFSET(CÁLCULO!$BS$15:$CS$15,$F173,0,OFFSET(ORÇAMENTO!$D$15,CRONO!$F173,0))),CRONO!AP$12,OFFSET(CÁLCULO!$AR$15:$BR$15,$F173,0,OFFSET(ORÇAMENTO!$D$15,CRONO!$F173,0)))
                +IF(AND($F175&lt;&gt;"",$F175&lt;&gt;0),
                        SUMIF(CÁLCULO!$BS$15:$CS$205,CRONO!AP$12,CÁLCULO!$AR$15:$BR$205)/(ORÇAMENTO!$X$15-_xlfn.single(CÁLCULO.TotalAdmLocal))*CRONO!$F175,
                        0),
                 AP174*$S173),
          SUMIF(OFFSET($S175,1,0,$R173-2),($M173+1)&amp;"$",OFFSET(AP175,1,0,$R173-2)))</f>
        <v>537.84</v>
      </c>
      <c r="AQ175" s="439" t="n">
        <f aca="false" t="array" ref="AQ175:AQ175">IF($R173=2,
         IF(AND(ACOMPANHAMENTO="PLE",ISNUMBER($F173)),
                SUMIF((OFFSET(CÁLCULO!$BS$15:$CS$15,$F173,0,OFFSET(ORÇAMENTO!$D$15,CRONO!$F173,0))),CRONO!AQ$12,OFFSET(CÁLCULO!$AR$15:$BR$15,$F173,0,OFFSET(ORÇAMENTO!$D$15,CRONO!$F173,0)))
                +IF(AND($F175&lt;&gt;"",$F175&lt;&gt;0),
                        SUMIF(CÁLCULO!$BS$15:$CS$205,CRONO!AQ$12,CÁLCULO!$AR$15:$BR$205)/(ORÇAMENTO!$X$15-_xlfn.single(CÁLCULO.TotalAdmLocal))*CRONO!$F175,
                        0),
                 AQ174*$S173),
          SUMIF(OFFSET($S175,1,0,$R173-2),($M173+1)&amp;"$",OFFSET(AQ175,1,0,$R173-2)))</f>
        <v>537.84</v>
      </c>
      <c r="AR175" s="439" t="n">
        <f aca="false" t="array" ref="AR175:AR175">IF($R173=2,
         IF(AND(ACOMPANHAMENTO="PLE",ISNUMBER($F173)),
                SUMIF((OFFSET(CÁLCULO!$BS$15:$CS$15,$F173,0,OFFSET(ORÇAMENTO!$D$15,CRONO!$F173,0))),CRONO!AR$12,OFFSET(CÁLCULO!$AR$15:$BR$15,$F173,0,OFFSET(ORÇAMENTO!$D$15,CRONO!$F173,0)))
                +IF(AND($F175&lt;&gt;"",$F175&lt;&gt;0),
                        SUMIF(CÁLCULO!$BS$15:$CS$205,CRONO!AR$12,CÁLCULO!$AR$15:$BR$205)/(ORÇAMENTO!$X$15-_xlfn.single(CÁLCULO.TotalAdmLocal))*CRONO!$F175,
                        0),
                 AR174*$S173),
          SUMIF(OFFSET($S175,1,0,$R173-2),($M173+1)&amp;"$",OFFSET(AR175,1,0,$R173-2)))</f>
        <v>537.84</v>
      </c>
      <c r="AS175" s="439" t="n">
        <f aca="false" t="array" ref="AS175:AS175">IF($R173=2,
         IF(AND(ACOMPANHAMENTO="PLE",ISNUMBER($F173)),
                SUMIF((OFFSET(CÁLCULO!$BS$15:$CS$15,$F173,0,OFFSET(ORÇAMENTO!$D$15,CRONO!$F173,0))),CRONO!AS$12,OFFSET(CÁLCULO!$AR$15:$BR$15,$F173,0,OFFSET(ORÇAMENTO!$D$15,CRONO!$F173,0)))
                +IF(AND($F175&lt;&gt;"",$F175&lt;&gt;0),
                        SUMIF(CÁLCULO!$BS$15:$CS$205,CRONO!AS$12,CÁLCULO!$AR$15:$BR$205)/(ORÇAMENTO!$X$15-_xlfn.single(CÁLCULO.TotalAdmLocal))*CRONO!$F175,
                        0),
                 AS174*$S173),
          SUMIF(OFFSET($S175,1,0,$R173-2),($M173+1)&amp;"$",OFFSET(AS175,1,0,$R173-2)))</f>
        <v>537.84</v>
      </c>
      <c r="AT175" s="439" t="n">
        <f aca="false" t="array" ref="AT175:AT175">IF($R173=2,
         IF(AND(ACOMPANHAMENTO="PLE",ISNUMBER($F173)),
                SUMIF((OFFSET(CÁLCULO!$BS$15:$CS$15,$F173,0,OFFSET(ORÇAMENTO!$D$15,CRONO!$F173,0))),CRONO!AT$12,OFFSET(CÁLCULO!$AR$15:$BR$15,$F173,0,OFFSET(ORÇAMENTO!$D$15,CRONO!$F173,0)))
                +IF(AND($F175&lt;&gt;"",$F175&lt;&gt;0),
                        SUMIF(CÁLCULO!$BS$15:$CS$205,CRONO!AT$12,CÁLCULO!$AR$15:$BR$205)/(ORÇAMENTO!$X$15-_xlfn.single(CÁLCULO.TotalAdmLocal))*CRONO!$F175,
                        0),
                 AT174*$S173),
          SUMIF(OFFSET($S175,1,0,$R173-2),($M173+1)&amp;"$",OFFSET(AT175,1,0,$R173-2)))</f>
        <v>0</v>
      </c>
      <c r="AU175" s="439" t="n">
        <f aca="false" t="array" ref="AU175:AU175">IF($R173=2,
         IF(AND(ACOMPANHAMENTO="PLE",ISNUMBER($F173)),
                SUMIF((OFFSET(CÁLCULO!$BS$15:$CS$15,$F173,0,OFFSET(ORÇAMENTO!$D$15,CRONO!$F173,0))),CRONO!AU$12,OFFSET(CÁLCULO!$AR$15:$BR$15,$F173,0,OFFSET(ORÇAMENTO!$D$15,CRONO!$F173,0)))
                +IF(AND($F175&lt;&gt;"",$F175&lt;&gt;0),
                        SUMIF(CÁLCULO!$BS$15:$CS$205,CRONO!AU$12,CÁLCULO!$AR$15:$BR$205)/(ORÇAMENTO!$X$15-_xlfn.single(CÁLCULO.TotalAdmLocal))*CRONO!$F175,
                        0),
                 AU174*$S173),
          SUMIF(OFFSET($S175,1,0,$R173-2),($M173+1)&amp;"$",OFFSET(AU175,1,0,$R173-2)))</f>
        <v>0</v>
      </c>
      <c r="AV175" s="439" t="n">
        <f aca="false" t="array" ref="AV175:AV175">IF($R173=2,
         IF(AND(ACOMPANHAMENTO="PLE",ISNUMBER($F173)),
                SUMIF((OFFSET(CÁLCULO!$BS$15:$CS$15,$F173,0,OFFSET(ORÇAMENTO!$D$15,CRONO!$F173,0))),CRONO!AV$12,OFFSET(CÁLCULO!$AR$15:$BR$15,$F173,0,OFFSET(ORÇAMENTO!$D$15,CRONO!$F173,0)))
                +IF(AND($F175&lt;&gt;"",$F175&lt;&gt;0),
                        SUMIF(CÁLCULO!$BS$15:$CS$205,CRONO!AV$12,CÁLCULO!$AR$15:$BR$205)/(ORÇAMENTO!$X$15-_xlfn.single(CÁLCULO.TotalAdmLocal))*CRONO!$F175,
                        0),
                 AV174*$S173),
          SUMIF(OFFSET($S175,1,0,$R173-2),($M173+1)&amp;"$",OFFSET(AV175,1,0,$R173-2)))</f>
        <v>0</v>
      </c>
      <c r="AW175" s="439" t="n">
        <f aca="false" t="array" ref="AW175:AW175">IF($R173=2,
         IF(AND(ACOMPANHAMENTO="PLE",ISNUMBER($F173)),
                SUMIF((OFFSET(CÁLCULO!$BS$15:$CS$15,$F173,0,OFFSET(ORÇAMENTO!$D$15,CRONO!$F173,0))),CRONO!AW$12,OFFSET(CÁLCULO!$AR$15:$BR$15,$F173,0,OFFSET(ORÇAMENTO!$D$15,CRONO!$F173,0)))
                +IF(AND($F175&lt;&gt;"",$F175&lt;&gt;0),
                        SUMIF(CÁLCULO!$BS$15:$CS$205,CRONO!AW$12,CÁLCULO!$AR$15:$BR$205)/(ORÇAMENTO!$X$15-_xlfn.single(CÁLCULO.TotalAdmLocal))*CRONO!$F175,
                        0),
                 AW174*$S173),
          SUMIF(OFFSET($S175,1,0,$R173-2),($M173+1)&amp;"$",OFFSET(AW175,1,0,$R173-2)))</f>
        <v>0</v>
      </c>
      <c r="AX175" s="439" t="n">
        <f aca="false" t="array" ref="AX175:AX175">IF($R173=2,
         IF(AND(ACOMPANHAMENTO="PLE",ISNUMBER($F173)),
                SUMIF((OFFSET(CÁLCULO!$BS$15:$CS$15,$F173,0,OFFSET(ORÇAMENTO!$D$15,CRONO!$F173,0))),CRONO!AX$12,OFFSET(CÁLCULO!$AR$15:$BR$15,$F173,0,OFFSET(ORÇAMENTO!$D$15,CRONO!$F173,0)))
                +IF(AND($F175&lt;&gt;"",$F175&lt;&gt;0),
                        SUMIF(CÁLCULO!$BS$15:$CS$205,CRONO!AX$12,CÁLCULO!$AR$15:$BR$205)/(ORÇAMENTO!$X$15-_xlfn.single(CÁLCULO.TotalAdmLocal))*CRONO!$F175,
                        0),
                 AX174*$S173),
          SUMIF(OFFSET($S175,1,0,$R173-2),($M173+1)&amp;"$",OFFSET(AX175,1,0,$R173-2)))</f>
        <v>0</v>
      </c>
      <c r="AY175" s="439" t="n">
        <f aca="false" t="array" ref="AY175:AY175">IF($R173=2,
         IF(AND(ACOMPANHAMENTO="PLE",ISNUMBER($F173)),
                SUMIF((OFFSET(CÁLCULO!$BS$15:$CS$15,$F173,0,OFFSET(ORÇAMENTO!$D$15,CRONO!$F173,0))),CRONO!AY$12,OFFSET(CÁLCULO!$AR$15:$BR$15,$F173,0,OFFSET(ORÇAMENTO!$D$15,CRONO!$F173,0)))
                +IF(AND($F175&lt;&gt;"",$F175&lt;&gt;0),
                        SUMIF(CÁLCULO!$BS$15:$CS$205,CRONO!AY$12,CÁLCULO!$AR$15:$BR$205)/(ORÇAMENTO!$X$15-_xlfn.single(CÁLCULO.TotalAdmLocal))*CRONO!$F175,
                        0),
                 AY174*$S173),
          SUMIF(OFFSET($S175,1,0,$R173-2),($M173+1)&amp;"$",OFFSET(AY175,1,0,$R173-2)))</f>
        <v>0</v>
      </c>
      <c r="AZ175" s="439" t="n">
        <f aca="false" t="array" ref="AZ175:AZ175">IF($R173=2,
         IF(AND(ACOMPANHAMENTO="PLE",ISNUMBER($F173)),
                SUMIF((OFFSET(CÁLCULO!$BS$15:$CS$15,$F173,0,OFFSET(ORÇAMENTO!$D$15,CRONO!$F173,0))),CRONO!AZ$12,OFFSET(CÁLCULO!$AR$15:$BR$15,$F173,0,OFFSET(ORÇAMENTO!$D$15,CRONO!$F173,0)))
                +IF(AND($F175&lt;&gt;"",$F175&lt;&gt;0),
                        SUMIF(CÁLCULO!$BS$15:$CS$205,CRONO!AZ$12,CÁLCULO!$AR$15:$BR$205)/(ORÇAMENTO!$X$15-_xlfn.single(CÁLCULO.TotalAdmLocal))*CRONO!$F175,
                        0),
                 AZ174*$S173),
          SUMIF(OFFSET($S175,1,0,$R173-2),($M173+1)&amp;"$",OFFSET(AZ175,1,0,$R173-2)))</f>
        <v>0</v>
      </c>
      <c r="BA175" s="439" t="n">
        <f aca="false" t="array" ref="BA175:BA175">IF($R173=2,
         IF(AND(ACOMPANHAMENTO="PLE",ISNUMBER($F173)),
                SUMIF((OFFSET(CÁLCULO!$BS$15:$CS$15,$F173,0,OFFSET(ORÇAMENTO!$D$15,CRONO!$F173,0))),CRONO!BA$12,OFFSET(CÁLCULO!$AR$15:$BR$15,$F173,0,OFFSET(ORÇAMENTO!$D$15,CRONO!$F173,0)))
                +IF(AND($F175&lt;&gt;"",$F175&lt;&gt;0),
                        SUMIF(CÁLCULO!$BS$15:$CS$205,CRONO!BA$12,CÁLCULO!$AR$15:$BR$205)/(ORÇAMENTO!$X$15-_xlfn.single(CÁLCULO.TotalAdmLocal))*CRONO!$F175,
                        0),
                 BA174*$S173),
          SUMIF(OFFSET($S175,1,0,$R173-2),($M173+1)&amp;"$",OFFSET(BA175,1,0,$R173-2)))</f>
        <v>0</v>
      </c>
      <c r="BB175" s="439" t="n">
        <f aca="false" t="array" ref="BB175:BB175">IF($R173=2,
         IF(AND(ACOMPANHAMENTO="PLE",ISNUMBER($F173)),
                SUMIF((OFFSET(CÁLCULO!$BS$15:$CS$15,$F173,0,OFFSET(ORÇAMENTO!$D$15,CRONO!$F173,0))),CRONO!BB$12,OFFSET(CÁLCULO!$AR$15:$BR$15,$F173,0,OFFSET(ORÇAMENTO!$D$15,CRONO!$F173,0)))
                +IF(AND($F175&lt;&gt;"",$F175&lt;&gt;0),
                        SUMIF(CÁLCULO!$BS$15:$CS$205,CRONO!BB$12,CÁLCULO!$AR$15:$BR$205)/(ORÇAMENTO!$X$15-_xlfn.single(CÁLCULO.TotalAdmLocal))*CRONO!$F175,
                        0),
                 BB174*$S173),
          SUMIF(OFFSET($S175,1,0,$R173-2),($M173+1)&amp;"$",OFFSET(BB175,1,0,$R173-2)))</f>
        <v>0</v>
      </c>
      <c r="BC175" s="439" t="n">
        <f aca="false" t="array" ref="BC175:BC175">IF($R173=2,
         IF(AND(ACOMPANHAMENTO="PLE",ISNUMBER($F173)),
                SUMIF((OFFSET(CÁLCULO!$BS$15:$CS$15,$F173,0,OFFSET(ORÇAMENTO!$D$15,CRONO!$F173,0))),CRONO!BC$12,OFFSET(CÁLCULO!$AR$15:$BR$15,$F173,0,OFFSET(ORÇAMENTO!$D$15,CRONO!$F173,0)))
                +IF(AND($F175&lt;&gt;"",$F175&lt;&gt;0),
                        SUMIF(CÁLCULO!$BS$15:$CS$205,CRONO!BC$12,CÁLCULO!$AR$15:$BR$205)/(ORÇAMENTO!$X$15-_xlfn.single(CÁLCULO.TotalAdmLocal))*CRONO!$F175,
                        0),
                 BC174*$S173),
          SUMIF(OFFSET($S175,1,0,$R173-2),($M173+1)&amp;"$",OFFSET(BC175,1,0,$R173-2)))</f>
        <v>0</v>
      </c>
      <c r="BD175" s="439" t="n">
        <f aca="false" t="array" ref="BD175:BD175">IF($R173=2,
         IF(AND(ACOMPANHAMENTO="PLE",ISNUMBER($F173)),
                SUMIF((OFFSET(CÁLCULO!$BS$15:$CS$15,$F173,0,OFFSET(ORÇAMENTO!$D$15,CRONO!$F173,0))),CRONO!BD$12,OFFSET(CÁLCULO!$AR$15:$BR$15,$F173,0,OFFSET(ORÇAMENTO!$D$15,CRONO!$F173,0)))
                +IF(AND($F175&lt;&gt;"",$F175&lt;&gt;0),
                        SUMIF(CÁLCULO!$BS$15:$CS$205,CRONO!BD$12,CÁLCULO!$AR$15:$BR$205)/(ORÇAMENTO!$X$15-_xlfn.single(CÁLCULO.TotalAdmLocal))*CRONO!$F175,
                        0),
                 BD174*$S173),
          SUMIF(OFFSET($S175,1,0,$R173-2),($M173+1)&amp;"$",OFFSET(BD175,1,0,$R173-2)))</f>
        <v>0</v>
      </c>
      <c r="BE175" s="430"/>
    </row>
    <row r="176" customFormat="false" ht="12.75" hidden="true" customHeight="false" outlineLevel="0" collapsed="false">
      <c r="A176" s="382" t="str">
        <f aca="false">IF($M176&gt;1,_xlfn.CONCAT($I176," ",$J176),"")</f>
        <v>1.54. LIGAÇÕES DEFINITIVAS</v>
      </c>
      <c r="B176" s="419" t="n">
        <f aca="true">OFFSET(B176,-3,0)+1</f>
        <v>55</v>
      </c>
      <c r="C176" s="419" t="n">
        <f aca="true">IF($R176&lt;&gt;2,0,IF($S176=0,1,IF(F177&gt;0,OFFSET(QCI!$M$13,SUBSTITUTE(F177,".",""),0),OFFSET(ORÇAMENTO!$AA$15,CRONO!$F176,0))/$S176))</f>
        <v>1</v>
      </c>
      <c r="D176" s="419" t="n">
        <f aca="true">IF($R176&lt;&gt;2,0,IF($S176=0,1,IF(F177&gt;0,OFFSET(QCI!$N$13,SUBSTITUTE(F177,".",""),0),OFFSET(ORÇAMENTO!$AB$15,CRONO!$F176,0))/$S176))</f>
        <v>1</v>
      </c>
      <c r="E176" s="422" t="e">
        <f aca="false" t="array" ref="E176:E176">IF(AND($R176=2,ACOMPANHAMENTO="BM"),ROUND(E177,4),E178/$S176)</f>
        <v>#DIV/0!</v>
      </c>
      <c r="F176" s="419" t="n">
        <f aca="true">IF(B176&lt;=ORÇAMENTO.MáximoListaCrono,MATCH(B176,ORÇAMENTO.ListaCrono,0),NA())</f>
        <v>188</v>
      </c>
      <c r="G176" s="419" t="str">
        <f aca="false">IF(AND($F177&lt;&gt;-1,$S176&gt;0),"F","")</f>
        <v/>
      </c>
      <c r="H176" s="423" t="str">
        <f aca="false" t="array" ref="H176:H176">IF(OR(S176=0,S176=""),"Linha",IF(AND(OR(ACOMPANHAMENTO="PLE",$R176&lt;&gt;2),$F177=0),"Linha",ROUND(1-SUM(U176:BE176),4)))</f>
        <v>Linha</v>
      </c>
      <c r="I176" s="424" t="str">
        <f aca="true">IF($F177=0,OFFSET(ORÇAMENTO!O$15,$F176,0),IF($F177&lt;&gt;-1,OFFSET(QCI!$D$13,$F177,0),""))</f>
        <v>1.54.</v>
      </c>
      <c r="J176" s="425" t="str">
        <f aca="true">IF($F177=0,OFFSET(ORÇAMENTO!R$15,$F176,0),IF($F177&lt;&gt;-1,OFFSET(QCI!$G$13,$F177,0),""))</f>
        <v>LIGAÇÕES DEFINITIVAS</v>
      </c>
      <c r="K176" s="425"/>
      <c r="L176" s="425"/>
      <c r="M176" s="426" t="n">
        <f aca="true">IF($F177=0,OFFSET(ORÇAMENTO!C$15,$F176,0),1)</f>
        <v>2</v>
      </c>
      <c r="N176" s="427" t="n">
        <f aca="true">IF($F177=-1,0,IF(N$13&lt;=$M176,IF(ISERROR(MATCH(N$13,OFFSET($M176,1,0,ROW($M$182)-ROW($M176)-1),0)),ROW($M$182)-ROW($M176)-1,MATCH(N$13,OFFSET($M176,1,0,ROW($M$182)-ROW($M176)-1),0)-1),0))</f>
        <v>5</v>
      </c>
      <c r="O176" s="427" t="n">
        <f aca="true">IF($F177=-1,0,IF(O$13&lt;=$M176,IF(ISERROR(MATCH(O$13,OFFSET($M176,1,0,ROW($M$182)-ROW($M176)-1),0)),ROW($M$182)-ROW($M176)-1,MATCH(O$13,OFFSET($M176,1,0,ROW($M$182)-ROW($M176)-1),0)-1),0))</f>
        <v>2</v>
      </c>
      <c r="P176" s="427" t="n">
        <f aca="true">IF($F177=-1,0,IF(P$13&lt;=$M176,IF(ISERROR(MATCH(P$13,OFFSET($M176,1,0,ROW($M$182)-ROW($M176)-1),0)),ROW($M$182)-ROW($M176)-1,MATCH(P$13,OFFSET($M176,1,0,ROW($M$182)-ROW($M176)-1),0)-1),0))</f>
        <v>0</v>
      </c>
      <c r="Q176" s="427" t="n">
        <f aca="true">IF($F177=-1,0,IF(Q$13&lt;=$M176,IF(ISERROR(MATCH(Q$13,OFFSET($M176,1,0,ROW($M$182)-ROW($M176)-1),0)),ROW($M$182)-ROW($M176)-1,MATCH(Q$13,OFFSET($M176,1,0,ROW($M$182)-ROW($M176)-1),0)-1),0))</f>
        <v>0</v>
      </c>
      <c r="R176" s="427" t="n">
        <f aca="true">MIN(OFFSET(M176,0,1,,M176))</f>
        <v>2</v>
      </c>
      <c r="S176" s="428" t="n">
        <f aca="true">IF($F177=0,OFFSET(ORÇAMENTO!X$15,$F176,0),IF($F177&lt;&gt;-1,OFFSET(QCI!$O$13,$F177,0),""))</f>
        <v>0</v>
      </c>
      <c r="T176" s="429" t="s">
        <v>996</v>
      </c>
      <c r="U176" s="422" t="e">
        <f aca="false" t="array" ref="U176:U176">IF(AND($R176=2,ACOMPANHAMENTO="BM"),ROUND(U177,4),U178/$S176)</f>
        <v>#DIV/0!</v>
      </c>
      <c r="V176" s="422" t="e">
        <f aca="false" t="array" ref="V176:V176">IF(AND($R176=2,ACOMPANHAMENTO="BM"),ROUND(V177,4),V178/$S176)</f>
        <v>#DIV/0!</v>
      </c>
      <c r="W176" s="422" t="e">
        <f aca="false" t="array" ref="W176:W176">IF(AND($R176=2,ACOMPANHAMENTO="BM"),ROUND(W177,4),W178/$S176)</f>
        <v>#DIV/0!</v>
      </c>
      <c r="X176" s="422" t="e">
        <f aca="false" t="array" ref="X176:X176">IF(AND($R176=2,ACOMPANHAMENTO="BM"),ROUND(X177,4),X178/$S176)</f>
        <v>#DIV/0!</v>
      </c>
      <c r="Y176" s="422" t="e">
        <f aca="false" t="array" ref="Y176:Y176">IF(AND($R176=2,ACOMPANHAMENTO="BM"),ROUND(Y177,4),Y178/$S176)</f>
        <v>#DIV/0!</v>
      </c>
      <c r="Z176" s="422" t="e">
        <f aca="false" t="array" ref="Z176:Z176">IF(AND($R176=2,ACOMPANHAMENTO="BM"),ROUND(Z177,4),Z178/$S176)</f>
        <v>#DIV/0!</v>
      </c>
      <c r="AA176" s="422" t="e">
        <f aca="false" t="array" ref="AA176:AA176">IF(AND($R176=2,ACOMPANHAMENTO="BM"),ROUND(AA177,4),AA178/$S176)</f>
        <v>#DIV/0!</v>
      </c>
      <c r="AB176" s="422" t="e">
        <f aca="false" t="array" ref="AB176:AB176">IF(AND($R176=2,ACOMPANHAMENTO="BM"),ROUND(AB177,4),AB178/$S176)</f>
        <v>#DIV/0!</v>
      </c>
      <c r="AC176" s="422" t="e">
        <f aca="false" t="array" ref="AC176:AC176">IF(AND($R176=2,ACOMPANHAMENTO="BM"),ROUND(AC177,4),AC178/$S176)</f>
        <v>#DIV/0!</v>
      </c>
      <c r="AD176" s="422" t="e">
        <f aca="false" t="array" ref="AD176:AD176">IF(AND($R176=2,ACOMPANHAMENTO="BM"),ROUND(AD177,4),AD178/$S176)</f>
        <v>#DIV/0!</v>
      </c>
      <c r="AE176" s="422" t="e">
        <f aca="false" t="array" ref="AE176:AE176">IF(AND($R176=2,ACOMPANHAMENTO="BM"),ROUND(AE177,4),AE178/$S176)</f>
        <v>#DIV/0!</v>
      </c>
      <c r="AF176" s="422" t="e">
        <f aca="false" t="array" ref="AF176:AF176">IF(AND($R176=2,ACOMPANHAMENTO="BM"),ROUND(AF177,4),AF178/$S176)</f>
        <v>#DIV/0!</v>
      </c>
      <c r="AG176" s="422" t="e">
        <f aca="false" t="array" ref="AG176:AG176">IF(AND($R176=2,ACOMPANHAMENTO="BM"),ROUND(AG177,4),AG178/$S176)</f>
        <v>#DIV/0!</v>
      </c>
      <c r="AH176" s="422" t="e">
        <f aca="false" t="array" ref="AH176:AH176">IF(AND($R176=2,ACOMPANHAMENTO="BM"),ROUND(AH177,4),AH178/$S176)</f>
        <v>#DIV/0!</v>
      </c>
      <c r="AI176" s="422" t="e">
        <f aca="false" t="array" ref="AI176:AI176">IF(AND($R176=2,ACOMPANHAMENTO="BM"),ROUND(AI177,4),AI178/$S176)</f>
        <v>#DIV/0!</v>
      </c>
      <c r="AJ176" s="422" t="e">
        <f aca="false" t="array" ref="AJ176:AJ176">IF(AND($R176=2,ACOMPANHAMENTO="BM"),ROUND(AJ177,4),AJ178/$S176)</f>
        <v>#DIV/0!</v>
      </c>
      <c r="AK176" s="422" t="e">
        <f aca="false" t="array" ref="AK176:AK176">IF(AND($R176=2,ACOMPANHAMENTO="BM"),ROUND(AK177,4),AK178/$S176)</f>
        <v>#DIV/0!</v>
      </c>
      <c r="AL176" s="422" t="e">
        <f aca="false" t="array" ref="AL176:AL176">IF(AND($R176=2,ACOMPANHAMENTO="BM"),ROUND(AL177,4),AL178/$S176)</f>
        <v>#DIV/0!</v>
      </c>
      <c r="AM176" s="422" t="e">
        <f aca="false" t="array" ref="AM176:AM176">IF(AND($R176=2,ACOMPANHAMENTO="BM"),ROUND(AM177,4),AM178/$S176)</f>
        <v>#DIV/0!</v>
      </c>
      <c r="AN176" s="422" t="e">
        <f aca="false" t="array" ref="AN176:AN176">IF(AND($R176=2,ACOMPANHAMENTO="BM"),ROUND(AN177,4),AN178/$S176)</f>
        <v>#DIV/0!</v>
      </c>
      <c r="AO176" s="422" t="e">
        <f aca="false" t="array" ref="AO176:AO176">IF(AND($R176=2,ACOMPANHAMENTO="BM"),ROUND(AO177,4),AO178/$S176)</f>
        <v>#DIV/0!</v>
      </c>
      <c r="AP176" s="422" t="e">
        <f aca="false" t="array" ref="AP176:AP176">IF(AND($R176=2,ACOMPANHAMENTO="BM"),ROUND(AP177,4),AP178/$S176)</f>
        <v>#DIV/0!</v>
      </c>
      <c r="AQ176" s="422" t="e">
        <f aca="false" t="array" ref="AQ176:AQ176">IF(AND($R176=2,ACOMPANHAMENTO="BM"),ROUND(AQ177,4),AQ178/$S176)</f>
        <v>#DIV/0!</v>
      </c>
      <c r="AR176" s="422" t="e">
        <f aca="false" t="array" ref="AR176:AR176">IF(AND($R176=2,ACOMPANHAMENTO="BM"),ROUND(AR177,4),AR178/$S176)</f>
        <v>#DIV/0!</v>
      </c>
      <c r="AS176" s="422" t="e">
        <f aca="false" t="array" ref="AS176:AS176">IF(AND($R176=2,ACOMPANHAMENTO="BM"),ROUND(AS177,4),AS178/$S176)</f>
        <v>#DIV/0!</v>
      </c>
      <c r="AT176" s="422" t="e">
        <f aca="false" t="array" ref="AT176:AT176">IF(AND($R176=2,ACOMPANHAMENTO="BM"),ROUND(AT177,4),AT178/$S176)</f>
        <v>#DIV/0!</v>
      </c>
      <c r="AU176" s="422" t="e">
        <f aca="false" t="array" ref="AU176:AU176">IF(AND($R176=2,ACOMPANHAMENTO="BM"),ROUND(AU177,4),AU178/$S176)</f>
        <v>#DIV/0!</v>
      </c>
      <c r="AV176" s="422" t="e">
        <f aca="false" t="array" ref="AV176:AV176">IF(AND($R176=2,ACOMPANHAMENTO="BM"),ROUND(AV177,4),AV178/$S176)</f>
        <v>#DIV/0!</v>
      </c>
      <c r="AW176" s="422" t="e">
        <f aca="false" t="array" ref="AW176:AW176">IF(AND($R176=2,ACOMPANHAMENTO="BM"),ROUND(AW177,4),AW178/$S176)</f>
        <v>#DIV/0!</v>
      </c>
      <c r="AX176" s="422" t="e">
        <f aca="false" t="array" ref="AX176:AX176">IF(AND($R176=2,ACOMPANHAMENTO="BM"),ROUND(AX177,4),AX178/$S176)</f>
        <v>#DIV/0!</v>
      </c>
      <c r="AY176" s="422" t="e">
        <f aca="false" t="array" ref="AY176:AY176">IF(AND($R176=2,ACOMPANHAMENTO="BM"),ROUND(AY177,4),AY178/$S176)</f>
        <v>#DIV/0!</v>
      </c>
      <c r="AZ176" s="422" t="e">
        <f aca="false" t="array" ref="AZ176:AZ176">IF(AND($R176=2,ACOMPANHAMENTO="BM"),ROUND(AZ177,4),AZ178/$S176)</f>
        <v>#DIV/0!</v>
      </c>
      <c r="BA176" s="422" t="e">
        <f aca="false" t="array" ref="BA176:BA176">IF(AND($R176=2,ACOMPANHAMENTO="BM"),ROUND(BA177,4),BA178/$S176)</f>
        <v>#DIV/0!</v>
      </c>
      <c r="BB176" s="422" t="e">
        <f aca="false" t="array" ref="BB176:BB176">IF(AND($R176=2,ACOMPANHAMENTO="BM"),ROUND(BB177,4),BB178/$S176)</f>
        <v>#DIV/0!</v>
      </c>
      <c r="BC176" s="422" t="e">
        <f aca="false" t="array" ref="BC176:BC176">IF(AND($R176=2,ACOMPANHAMENTO="BM"),ROUND(BC177,4),BC178/$S176)</f>
        <v>#DIV/0!</v>
      </c>
      <c r="BD176" s="422" t="e">
        <f aca="false" t="array" ref="BD176:BD176">IF(AND($R176=2,ACOMPANHAMENTO="BM"),ROUND(BD177,4),BD178/$S176)</f>
        <v>#DIV/0!</v>
      </c>
      <c r="BE176" s="430"/>
    </row>
    <row r="177" customFormat="false" ht="12.75" hidden="true" customHeight="true" outlineLevel="0" collapsed="false">
      <c r="E177" s="431"/>
      <c r="F177" s="419" t="n">
        <f aca="true">IF(ISERROR(F176),IF(1+COUNTIF($M$13:OFFSET(M176,-1,0),1)&lt;=MAX(QCI!$D$13:$D$15),1+COUNTIF($M$13:OFFSET(M176,-1,0),1),-1),0)</f>
        <v>0</v>
      </c>
      <c r="G177" s="419" t="str">
        <f aca="true" t="array" ref="G177:G177">IF(ACOMPANHAMENTO="BM",OFFSET(G177,-1,0),"")</f>
        <v/>
      </c>
      <c r="H177" s="432" t="str">
        <f aca="false" t="array" ref="H177:H177">IF(OR(S176=0,S176=""),"vazia",IF(AND(OR(ACOMPANHAMENTO="PLE",$R176&lt;&gt;2),$F177=0),"calculada","--&gt;"))</f>
        <v>vazia</v>
      </c>
      <c r="I177" s="433"/>
      <c r="J177" s="434" t="str">
        <f aca="false">IF(AND(H176&lt;&gt;0,ISNUMBER(H176)),"PREENCHA ESTA LINHA --&gt;","")</f>
        <v/>
      </c>
      <c r="K177" s="434"/>
      <c r="L177" s="434"/>
      <c r="M177" s="435"/>
      <c r="N177" s="435"/>
      <c r="O177" s="435"/>
      <c r="P177" s="435"/>
      <c r="Q177" s="435"/>
      <c r="R177" s="435"/>
      <c r="S177" s="436"/>
      <c r="T177" s="437"/>
      <c r="U177" s="431"/>
      <c r="V177" s="431"/>
      <c r="W177" s="431"/>
      <c r="X177" s="431"/>
      <c r="Y177" s="431"/>
      <c r="Z177" s="431"/>
      <c r="AA177" s="431"/>
      <c r="AB177" s="431"/>
      <c r="AC177" s="431"/>
      <c r="AD177" s="431"/>
      <c r="AE177" s="431"/>
      <c r="AF177" s="431"/>
      <c r="AG177" s="431"/>
      <c r="AH177" s="431"/>
      <c r="AI177" s="431"/>
      <c r="AJ177" s="431"/>
      <c r="AK177" s="431"/>
      <c r="AL177" s="431"/>
      <c r="AM177" s="431"/>
      <c r="AN177" s="431"/>
      <c r="AO177" s="431"/>
      <c r="AP177" s="431"/>
      <c r="AQ177" s="431"/>
      <c r="AR177" s="431"/>
      <c r="AS177" s="431"/>
      <c r="AT177" s="431"/>
      <c r="AU177" s="431"/>
      <c r="AV177" s="431"/>
      <c r="AW177" s="431"/>
      <c r="AX177" s="431"/>
      <c r="AY177" s="431"/>
      <c r="AZ177" s="431"/>
      <c r="BA177" s="431"/>
      <c r="BB177" s="431"/>
      <c r="BC177" s="431"/>
      <c r="BD177" s="431"/>
      <c r="BE177" s="430"/>
    </row>
    <row r="178" customFormat="false" ht="12.75" hidden="true" customHeight="true" outlineLevel="0" collapsed="false">
      <c r="D178" s="438"/>
      <c r="E178" s="439" t="n">
        <f aca="false" t="array" ref="E178:E178">IF($R176=2,
         IF(AND(ACOMPANHAMENTO="PLE",ISNUMBER($F176)),
                SUMIF((OFFSET(CÁLCULO!$BS$15:$CS$15,$F176,0,OFFSET(ORÇAMENTO!$D$15,CRONO!$F176,0))),CRONO!E$12,OFFSET(CÁLCULO!$AR$15:$BR$15,$F176,0,OFFSET(ORÇAMENTO!$D$15,CRONO!$F176,0)))
                +IF(AND($F178&lt;&gt;"",$F178&lt;&gt;0),
                        SUMIF(CÁLCULO!$BS$15:$CS$205,CRONO!E$12,CÁLCULO!$AR$15:$BR$205)/(ORÇAMENTO!$X$15-_xlfn.single(CÁLCULO.TotalAdmLocal))*CRONO!$F178,
                        0),
                 E177*$S176),
          SUMIF(OFFSET($S178,1,0,$R176-2),($M176+1)&amp;"$",OFFSET(E178,1,0,$R176-2)))</f>
        <v>0</v>
      </c>
      <c r="F178" s="419" t="str">
        <f aca="true">IF(OR($R176&lt;&gt;2,AUTOEVENTO&lt;&gt;"manual",$F177&gt;0),"",
        IF(Import.TipoArredondamento="Tradicional",
              SUMIF(OFFSET(CÁLCULO!$M$15,CRONO!$F176,0,OFFSET(ORÇAMENTO!$D$15,CRONO!$F176,0)),1,OFFSET(ORÇAMENTO!$X$15,CRONO!$F176,0,OFFSET(ORÇAMENTO!$D$15,CRONO!$F176,0))),
              0))</f>
        <v/>
      </c>
      <c r="H178" s="440"/>
      <c r="S178" s="441" t="str">
        <f aca="false">M176&amp;"$"</f>
        <v>2$</v>
      </c>
      <c r="T178" s="442"/>
      <c r="U178" s="439" t="n">
        <f aca="false" t="array" ref="U178:U178">IF($R176=2,
         IF(AND(ACOMPANHAMENTO="PLE",ISNUMBER($F176)),
                SUMIF((OFFSET(CÁLCULO!$BS$15:$CS$15,$F176,0,OFFSET(ORÇAMENTO!$D$15,CRONO!$F176,0))),CRONO!U$12,OFFSET(CÁLCULO!$AR$15:$BR$15,$F176,0,OFFSET(ORÇAMENTO!$D$15,CRONO!$F176,0)))
                +IF(AND($F178&lt;&gt;"",$F178&lt;&gt;0),
                        SUMIF(CÁLCULO!$BS$15:$CS$205,CRONO!U$12,CÁLCULO!$AR$15:$BR$205)/(ORÇAMENTO!$X$15-_xlfn.single(CÁLCULO.TotalAdmLocal))*CRONO!$F178,
                        0),
                 U177*$S176),
          SUMIF(OFFSET($S178,1,0,$R176-2),($M176+1)&amp;"$",OFFSET(U178,1,0,$R176-2)))</f>
        <v>0</v>
      </c>
      <c r="V178" s="439" t="n">
        <f aca="false" t="array" ref="V178:V178">IF($R176=2,
         IF(AND(ACOMPANHAMENTO="PLE",ISNUMBER($F176)),
                SUMIF((OFFSET(CÁLCULO!$BS$15:$CS$15,$F176,0,OFFSET(ORÇAMENTO!$D$15,CRONO!$F176,0))),CRONO!V$12,OFFSET(CÁLCULO!$AR$15:$BR$15,$F176,0,OFFSET(ORÇAMENTO!$D$15,CRONO!$F176,0)))
                +IF(AND($F178&lt;&gt;"",$F178&lt;&gt;0),
                        SUMIF(CÁLCULO!$BS$15:$CS$205,CRONO!V$12,CÁLCULO!$AR$15:$BR$205)/(ORÇAMENTO!$X$15-_xlfn.single(CÁLCULO.TotalAdmLocal))*CRONO!$F178,
                        0),
                 V177*$S176),
          SUMIF(OFFSET($S178,1,0,$R176-2),($M176+1)&amp;"$",OFFSET(V178,1,0,$R176-2)))</f>
        <v>0</v>
      </c>
      <c r="W178" s="439" t="n">
        <f aca="false" t="array" ref="W178:W178">IF($R176=2,
         IF(AND(ACOMPANHAMENTO="PLE",ISNUMBER($F176)),
                SUMIF((OFFSET(CÁLCULO!$BS$15:$CS$15,$F176,0,OFFSET(ORÇAMENTO!$D$15,CRONO!$F176,0))),CRONO!W$12,OFFSET(CÁLCULO!$AR$15:$BR$15,$F176,0,OFFSET(ORÇAMENTO!$D$15,CRONO!$F176,0)))
                +IF(AND($F178&lt;&gt;"",$F178&lt;&gt;0),
                        SUMIF(CÁLCULO!$BS$15:$CS$205,CRONO!W$12,CÁLCULO!$AR$15:$BR$205)/(ORÇAMENTO!$X$15-_xlfn.single(CÁLCULO.TotalAdmLocal))*CRONO!$F178,
                        0),
                 W177*$S176),
          SUMIF(OFFSET($S178,1,0,$R176-2),($M176+1)&amp;"$",OFFSET(W178,1,0,$R176-2)))</f>
        <v>0</v>
      </c>
      <c r="X178" s="439" t="n">
        <f aca="false" t="array" ref="X178:X178">IF($R176=2,
         IF(AND(ACOMPANHAMENTO="PLE",ISNUMBER($F176)),
                SUMIF((OFFSET(CÁLCULO!$BS$15:$CS$15,$F176,0,OFFSET(ORÇAMENTO!$D$15,CRONO!$F176,0))),CRONO!X$12,OFFSET(CÁLCULO!$AR$15:$BR$15,$F176,0,OFFSET(ORÇAMENTO!$D$15,CRONO!$F176,0)))
                +IF(AND($F178&lt;&gt;"",$F178&lt;&gt;0),
                        SUMIF(CÁLCULO!$BS$15:$CS$205,CRONO!X$12,CÁLCULO!$AR$15:$BR$205)/(ORÇAMENTO!$X$15-_xlfn.single(CÁLCULO.TotalAdmLocal))*CRONO!$F178,
                        0),
                 X177*$S176),
          SUMIF(OFFSET($S178,1,0,$R176-2),($M176+1)&amp;"$",OFFSET(X178,1,0,$R176-2)))</f>
        <v>0</v>
      </c>
      <c r="Y178" s="439" t="n">
        <f aca="false" t="array" ref="Y178:Y178">IF($R176=2,
         IF(AND(ACOMPANHAMENTO="PLE",ISNUMBER($F176)),
                SUMIF((OFFSET(CÁLCULO!$BS$15:$CS$15,$F176,0,OFFSET(ORÇAMENTO!$D$15,CRONO!$F176,0))),CRONO!Y$12,OFFSET(CÁLCULO!$AR$15:$BR$15,$F176,0,OFFSET(ORÇAMENTO!$D$15,CRONO!$F176,0)))
                +IF(AND($F178&lt;&gt;"",$F178&lt;&gt;0),
                        SUMIF(CÁLCULO!$BS$15:$CS$205,CRONO!Y$12,CÁLCULO!$AR$15:$BR$205)/(ORÇAMENTO!$X$15-_xlfn.single(CÁLCULO.TotalAdmLocal))*CRONO!$F178,
                        0),
                 Y177*$S176),
          SUMIF(OFFSET($S178,1,0,$R176-2),($M176+1)&amp;"$",OFFSET(Y178,1,0,$R176-2)))</f>
        <v>0</v>
      </c>
      <c r="Z178" s="439" t="n">
        <f aca="false" t="array" ref="Z178:Z178">IF($R176=2,
         IF(AND(ACOMPANHAMENTO="PLE",ISNUMBER($F176)),
                SUMIF((OFFSET(CÁLCULO!$BS$15:$CS$15,$F176,0,OFFSET(ORÇAMENTO!$D$15,CRONO!$F176,0))),CRONO!Z$12,OFFSET(CÁLCULO!$AR$15:$BR$15,$F176,0,OFFSET(ORÇAMENTO!$D$15,CRONO!$F176,0)))
                +IF(AND($F178&lt;&gt;"",$F178&lt;&gt;0),
                        SUMIF(CÁLCULO!$BS$15:$CS$205,CRONO!Z$12,CÁLCULO!$AR$15:$BR$205)/(ORÇAMENTO!$X$15-_xlfn.single(CÁLCULO.TotalAdmLocal))*CRONO!$F178,
                        0),
                 Z177*$S176),
          SUMIF(OFFSET($S178,1,0,$R176-2),($M176+1)&amp;"$",OFFSET(Z178,1,0,$R176-2)))</f>
        <v>0</v>
      </c>
      <c r="AA178" s="439" t="n">
        <f aca="false" t="array" ref="AA178:AA178">IF($R176=2,
         IF(AND(ACOMPANHAMENTO="PLE",ISNUMBER($F176)),
                SUMIF((OFFSET(CÁLCULO!$BS$15:$CS$15,$F176,0,OFFSET(ORÇAMENTO!$D$15,CRONO!$F176,0))),CRONO!AA$12,OFFSET(CÁLCULO!$AR$15:$BR$15,$F176,0,OFFSET(ORÇAMENTO!$D$15,CRONO!$F176,0)))
                +IF(AND($F178&lt;&gt;"",$F178&lt;&gt;0),
                        SUMIF(CÁLCULO!$BS$15:$CS$205,CRONO!AA$12,CÁLCULO!$AR$15:$BR$205)/(ORÇAMENTO!$X$15-_xlfn.single(CÁLCULO.TotalAdmLocal))*CRONO!$F178,
                        0),
                 AA177*$S176),
          SUMIF(OFFSET($S178,1,0,$R176-2),($M176+1)&amp;"$",OFFSET(AA178,1,0,$R176-2)))</f>
        <v>0</v>
      </c>
      <c r="AB178" s="439" t="n">
        <f aca="false" t="array" ref="AB178:AB178">IF($R176=2,
         IF(AND(ACOMPANHAMENTO="PLE",ISNUMBER($F176)),
                SUMIF((OFFSET(CÁLCULO!$BS$15:$CS$15,$F176,0,OFFSET(ORÇAMENTO!$D$15,CRONO!$F176,0))),CRONO!AB$12,OFFSET(CÁLCULO!$AR$15:$BR$15,$F176,0,OFFSET(ORÇAMENTO!$D$15,CRONO!$F176,0)))
                +IF(AND($F178&lt;&gt;"",$F178&lt;&gt;0),
                        SUMIF(CÁLCULO!$BS$15:$CS$205,CRONO!AB$12,CÁLCULO!$AR$15:$BR$205)/(ORÇAMENTO!$X$15-_xlfn.single(CÁLCULO.TotalAdmLocal))*CRONO!$F178,
                        0),
                 AB177*$S176),
          SUMIF(OFFSET($S178,1,0,$R176-2),($M176+1)&amp;"$",OFFSET(AB178,1,0,$R176-2)))</f>
        <v>0</v>
      </c>
      <c r="AC178" s="439" t="n">
        <f aca="false" t="array" ref="AC178:AC178">IF($R176=2,
         IF(AND(ACOMPANHAMENTO="PLE",ISNUMBER($F176)),
                SUMIF((OFFSET(CÁLCULO!$BS$15:$CS$15,$F176,0,OFFSET(ORÇAMENTO!$D$15,CRONO!$F176,0))),CRONO!AC$12,OFFSET(CÁLCULO!$AR$15:$BR$15,$F176,0,OFFSET(ORÇAMENTO!$D$15,CRONO!$F176,0)))
                +IF(AND($F178&lt;&gt;"",$F178&lt;&gt;0),
                        SUMIF(CÁLCULO!$BS$15:$CS$205,CRONO!AC$12,CÁLCULO!$AR$15:$BR$205)/(ORÇAMENTO!$X$15-_xlfn.single(CÁLCULO.TotalAdmLocal))*CRONO!$F178,
                        0),
                 AC177*$S176),
          SUMIF(OFFSET($S178,1,0,$R176-2),($M176+1)&amp;"$",OFFSET(AC178,1,0,$R176-2)))</f>
        <v>0</v>
      </c>
      <c r="AD178" s="439" t="n">
        <f aca="false" t="array" ref="AD178:AD178">IF($R176=2,
         IF(AND(ACOMPANHAMENTO="PLE",ISNUMBER($F176)),
                SUMIF((OFFSET(CÁLCULO!$BS$15:$CS$15,$F176,0,OFFSET(ORÇAMENTO!$D$15,CRONO!$F176,0))),CRONO!AD$12,OFFSET(CÁLCULO!$AR$15:$BR$15,$F176,0,OFFSET(ORÇAMENTO!$D$15,CRONO!$F176,0)))
                +IF(AND($F178&lt;&gt;"",$F178&lt;&gt;0),
                        SUMIF(CÁLCULO!$BS$15:$CS$205,CRONO!AD$12,CÁLCULO!$AR$15:$BR$205)/(ORÇAMENTO!$X$15-_xlfn.single(CÁLCULO.TotalAdmLocal))*CRONO!$F178,
                        0),
                 AD177*$S176),
          SUMIF(OFFSET($S178,1,0,$R176-2),($M176+1)&amp;"$",OFFSET(AD178,1,0,$R176-2)))</f>
        <v>0</v>
      </c>
      <c r="AE178" s="439" t="n">
        <f aca="false" t="array" ref="AE178:AE178">IF($R176=2,
         IF(AND(ACOMPANHAMENTO="PLE",ISNUMBER($F176)),
                SUMIF((OFFSET(CÁLCULO!$BS$15:$CS$15,$F176,0,OFFSET(ORÇAMENTO!$D$15,CRONO!$F176,0))),CRONO!AE$12,OFFSET(CÁLCULO!$AR$15:$BR$15,$F176,0,OFFSET(ORÇAMENTO!$D$15,CRONO!$F176,0)))
                +IF(AND($F178&lt;&gt;"",$F178&lt;&gt;0),
                        SUMIF(CÁLCULO!$BS$15:$CS$205,CRONO!AE$12,CÁLCULO!$AR$15:$BR$205)/(ORÇAMENTO!$X$15-_xlfn.single(CÁLCULO.TotalAdmLocal))*CRONO!$F178,
                        0),
                 AE177*$S176),
          SUMIF(OFFSET($S178,1,0,$R176-2),($M176+1)&amp;"$",OFFSET(AE178,1,0,$R176-2)))</f>
        <v>0</v>
      </c>
      <c r="AF178" s="439" t="n">
        <f aca="false" t="array" ref="AF178:AF178">IF($R176=2,
         IF(AND(ACOMPANHAMENTO="PLE",ISNUMBER($F176)),
                SUMIF((OFFSET(CÁLCULO!$BS$15:$CS$15,$F176,0,OFFSET(ORÇAMENTO!$D$15,CRONO!$F176,0))),CRONO!AF$12,OFFSET(CÁLCULO!$AR$15:$BR$15,$F176,0,OFFSET(ORÇAMENTO!$D$15,CRONO!$F176,0)))
                +IF(AND($F178&lt;&gt;"",$F178&lt;&gt;0),
                        SUMIF(CÁLCULO!$BS$15:$CS$205,CRONO!AF$12,CÁLCULO!$AR$15:$BR$205)/(ORÇAMENTO!$X$15-_xlfn.single(CÁLCULO.TotalAdmLocal))*CRONO!$F178,
                        0),
                 AF177*$S176),
          SUMIF(OFFSET($S178,1,0,$R176-2),($M176+1)&amp;"$",OFFSET(AF178,1,0,$R176-2)))</f>
        <v>0</v>
      </c>
      <c r="AG178" s="439" t="n">
        <f aca="false" t="array" ref="AG178:AG178">IF($R176=2,
         IF(AND(ACOMPANHAMENTO="PLE",ISNUMBER($F176)),
                SUMIF((OFFSET(CÁLCULO!$BS$15:$CS$15,$F176,0,OFFSET(ORÇAMENTO!$D$15,CRONO!$F176,0))),CRONO!AG$12,OFFSET(CÁLCULO!$AR$15:$BR$15,$F176,0,OFFSET(ORÇAMENTO!$D$15,CRONO!$F176,0)))
                +IF(AND($F178&lt;&gt;"",$F178&lt;&gt;0),
                        SUMIF(CÁLCULO!$BS$15:$CS$205,CRONO!AG$12,CÁLCULO!$AR$15:$BR$205)/(ORÇAMENTO!$X$15-_xlfn.single(CÁLCULO.TotalAdmLocal))*CRONO!$F178,
                        0),
                 AG177*$S176),
          SUMIF(OFFSET($S178,1,0,$R176-2),($M176+1)&amp;"$",OFFSET(AG178,1,0,$R176-2)))</f>
        <v>0</v>
      </c>
      <c r="AH178" s="439" t="n">
        <f aca="false" t="array" ref="AH178:AH178">IF($R176=2,
         IF(AND(ACOMPANHAMENTO="PLE",ISNUMBER($F176)),
                SUMIF((OFFSET(CÁLCULO!$BS$15:$CS$15,$F176,0,OFFSET(ORÇAMENTO!$D$15,CRONO!$F176,0))),CRONO!AH$12,OFFSET(CÁLCULO!$AR$15:$BR$15,$F176,0,OFFSET(ORÇAMENTO!$D$15,CRONO!$F176,0)))
                +IF(AND($F178&lt;&gt;"",$F178&lt;&gt;0),
                        SUMIF(CÁLCULO!$BS$15:$CS$205,CRONO!AH$12,CÁLCULO!$AR$15:$BR$205)/(ORÇAMENTO!$X$15-_xlfn.single(CÁLCULO.TotalAdmLocal))*CRONO!$F178,
                        0),
                 AH177*$S176),
          SUMIF(OFFSET($S178,1,0,$R176-2),($M176+1)&amp;"$",OFFSET(AH178,1,0,$R176-2)))</f>
        <v>0</v>
      </c>
      <c r="AI178" s="439" t="n">
        <f aca="false" t="array" ref="AI178:AI178">IF($R176=2,
         IF(AND(ACOMPANHAMENTO="PLE",ISNUMBER($F176)),
                SUMIF((OFFSET(CÁLCULO!$BS$15:$CS$15,$F176,0,OFFSET(ORÇAMENTO!$D$15,CRONO!$F176,0))),CRONO!AI$12,OFFSET(CÁLCULO!$AR$15:$BR$15,$F176,0,OFFSET(ORÇAMENTO!$D$15,CRONO!$F176,0)))
                +IF(AND($F178&lt;&gt;"",$F178&lt;&gt;0),
                        SUMIF(CÁLCULO!$BS$15:$CS$205,CRONO!AI$12,CÁLCULO!$AR$15:$BR$205)/(ORÇAMENTO!$X$15-_xlfn.single(CÁLCULO.TotalAdmLocal))*CRONO!$F178,
                        0),
                 AI177*$S176),
          SUMIF(OFFSET($S178,1,0,$R176-2),($M176+1)&amp;"$",OFFSET(AI178,1,0,$R176-2)))</f>
        <v>0</v>
      </c>
      <c r="AJ178" s="439" t="n">
        <f aca="false" t="array" ref="AJ178:AJ178">IF($R176=2,
         IF(AND(ACOMPANHAMENTO="PLE",ISNUMBER($F176)),
                SUMIF((OFFSET(CÁLCULO!$BS$15:$CS$15,$F176,0,OFFSET(ORÇAMENTO!$D$15,CRONO!$F176,0))),CRONO!AJ$12,OFFSET(CÁLCULO!$AR$15:$BR$15,$F176,0,OFFSET(ORÇAMENTO!$D$15,CRONO!$F176,0)))
                +IF(AND($F178&lt;&gt;"",$F178&lt;&gt;0),
                        SUMIF(CÁLCULO!$BS$15:$CS$205,CRONO!AJ$12,CÁLCULO!$AR$15:$BR$205)/(ORÇAMENTO!$X$15-_xlfn.single(CÁLCULO.TotalAdmLocal))*CRONO!$F178,
                        0),
                 AJ177*$S176),
          SUMIF(OFFSET($S178,1,0,$R176-2),($M176+1)&amp;"$",OFFSET(AJ178,1,0,$R176-2)))</f>
        <v>0</v>
      </c>
      <c r="AK178" s="439" t="n">
        <f aca="false" t="array" ref="AK178:AK178">IF($R176=2,
         IF(AND(ACOMPANHAMENTO="PLE",ISNUMBER($F176)),
                SUMIF((OFFSET(CÁLCULO!$BS$15:$CS$15,$F176,0,OFFSET(ORÇAMENTO!$D$15,CRONO!$F176,0))),CRONO!AK$12,OFFSET(CÁLCULO!$AR$15:$BR$15,$F176,0,OFFSET(ORÇAMENTO!$D$15,CRONO!$F176,0)))
                +IF(AND($F178&lt;&gt;"",$F178&lt;&gt;0),
                        SUMIF(CÁLCULO!$BS$15:$CS$205,CRONO!AK$12,CÁLCULO!$AR$15:$BR$205)/(ORÇAMENTO!$X$15-_xlfn.single(CÁLCULO.TotalAdmLocal))*CRONO!$F178,
                        0),
                 AK177*$S176),
          SUMIF(OFFSET($S178,1,0,$R176-2),($M176+1)&amp;"$",OFFSET(AK178,1,0,$R176-2)))</f>
        <v>0</v>
      </c>
      <c r="AL178" s="439" t="n">
        <f aca="false" t="array" ref="AL178:AL178">IF($R176=2,
         IF(AND(ACOMPANHAMENTO="PLE",ISNUMBER($F176)),
                SUMIF((OFFSET(CÁLCULO!$BS$15:$CS$15,$F176,0,OFFSET(ORÇAMENTO!$D$15,CRONO!$F176,0))),CRONO!AL$12,OFFSET(CÁLCULO!$AR$15:$BR$15,$F176,0,OFFSET(ORÇAMENTO!$D$15,CRONO!$F176,0)))
                +IF(AND($F178&lt;&gt;"",$F178&lt;&gt;0),
                        SUMIF(CÁLCULO!$BS$15:$CS$205,CRONO!AL$12,CÁLCULO!$AR$15:$BR$205)/(ORÇAMENTO!$X$15-_xlfn.single(CÁLCULO.TotalAdmLocal))*CRONO!$F178,
                        0),
                 AL177*$S176),
          SUMIF(OFFSET($S178,1,0,$R176-2),($M176+1)&amp;"$",OFFSET(AL178,1,0,$R176-2)))</f>
        <v>0</v>
      </c>
      <c r="AM178" s="439" t="n">
        <f aca="false" t="array" ref="AM178:AM178">IF($R176=2,
         IF(AND(ACOMPANHAMENTO="PLE",ISNUMBER($F176)),
                SUMIF((OFFSET(CÁLCULO!$BS$15:$CS$15,$F176,0,OFFSET(ORÇAMENTO!$D$15,CRONO!$F176,0))),CRONO!AM$12,OFFSET(CÁLCULO!$AR$15:$BR$15,$F176,0,OFFSET(ORÇAMENTO!$D$15,CRONO!$F176,0)))
                +IF(AND($F178&lt;&gt;"",$F178&lt;&gt;0),
                        SUMIF(CÁLCULO!$BS$15:$CS$205,CRONO!AM$12,CÁLCULO!$AR$15:$BR$205)/(ORÇAMENTO!$X$15-_xlfn.single(CÁLCULO.TotalAdmLocal))*CRONO!$F178,
                        0),
                 AM177*$S176),
          SUMIF(OFFSET($S178,1,0,$R176-2),($M176+1)&amp;"$",OFFSET(AM178,1,0,$R176-2)))</f>
        <v>0</v>
      </c>
      <c r="AN178" s="439" t="n">
        <f aca="false" t="array" ref="AN178:AN178">IF($R176=2,
         IF(AND(ACOMPANHAMENTO="PLE",ISNUMBER($F176)),
                SUMIF((OFFSET(CÁLCULO!$BS$15:$CS$15,$F176,0,OFFSET(ORÇAMENTO!$D$15,CRONO!$F176,0))),CRONO!AN$12,OFFSET(CÁLCULO!$AR$15:$BR$15,$F176,0,OFFSET(ORÇAMENTO!$D$15,CRONO!$F176,0)))
                +IF(AND($F178&lt;&gt;"",$F178&lt;&gt;0),
                        SUMIF(CÁLCULO!$BS$15:$CS$205,CRONO!AN$12,CÁLCULO!$AR$15:$BR$205)/(ORÇAMENTO!$X$15-_xlfn.single(CÁLCULO.TotalAdmLocal))*CRONO!$F178,
                        0),
                 AN177*$S176),
          SUMIF(OFFSET($S178,1,0,$R176-2),($M176+1)&amp;"$",OFFSET(AN178,1,0,$R176-2)))</f>
        <v>0</v>
      </c>
      <c r="AO178" s="439" t="n">
        <f aca="false" t="array" ref="AO178:AO178">IF($R176=2,
         IF(AND(ACOMPANHAMENTO="PLE",ISNUMBER($F176)),
                SUMIF((OFFSET(CÁLCULO!$BS$15:$CS$15,$F176,0,OFFSET(ORÇAMENTO!$D$15,CRONO!$F176,0))),CRONO!AO$12,OFFSET(CÁLCULO!$AR$15:$BR$15,$F176,0,OFFSET(ORÇAMENTO!$D$15,CRONO!$F176,0)))
                +IF(AND($F178&lt;&gt;"",$F178&lt;&gt;0),
                        SUMIF(CÁLCULO!$BS$15:$CS$205,CRONO!AO$12,CÁLCULO!$AR$15:$BR$205)/(ORÇAMENTO!$X$15-_xlfn.single(CÁLCULO.TotalAdmLocal))*CRONO!$F178,
                        0),
                 AO177*$S176),
          SUMIF(OFFSET($S178,1,0,$R176-2),($M176+1)&amp;"$",OFFSET(AO178,1,0,$R176-2)))</f>
        <v>0</v>
      </c>
      <c r="AP178" s="439" t="n">
        <f aca="false" t="array" ref="AP178:AP178">IF($R176=2,
         IF(AND(ACOMPANHAMENTO="PLE",ISNUMBER($F176)),
                SUMIF((OFFSET(CÁLCULO!$BS$15:$CS$15,$F176,0,OFFSET(ORÇAMENTO!$D$15,CRONO!$F176,0))),CRONO!AP$12,OFFSET(CÁLCULO!$AR$15:$BR$15,$F176,0,OFFSET(ORÇAMENTO!$D$15,CRONO!$F176,0)))
                +IF(AND($F178&lt;&gt;"",$F178&lt;&gt;0),
                        SUMIF(CÁLCULO!$BS$15:$CS$205,CRONO!AP$12,CÁLCULO!$AR$15:$BR$205)/(ORÇAMENTO!$X$15-_xlfn.single(CÁLCULO.TotalAdmLocal))*CRONO!$F178,
                        0),
                 AP177*$S176),
          SUMIF(OFFSET($S178,1,0,$R176-2),($M176+1)&amp;"$",OFFSET(AP178,1,0,$R176-2)))</f>
        <v>0</v>
      </c>
      <c r="AQ178" s="439" t="n">
        <f aca="false" t="array" ref="AQ178:AQ178">IF($R176=2,
         IF(AND(ACOMPANHAMENTO="PLE",ISNUMBER($F176)),
                SUMIF((OFFSET(CÁLCULO!$BS$15:$CS$15,$F176,0,OFFSET(ORÇAMENTO!$D$15,CRONO!$F176,0))),CRONO!AQ$12,OFFSET(CÁLCULO!$AR$15:$BR$15,$F176,0,OFFSET(ORÇAMENTO!$D$15,CRONO!$F176,0)))
                +IF(AND($F178&lt;&gt;"",$F178&lt;&gt;0),
                        SUMIF(CÁLCULO!$BS$15:$CS$205,CRONO!AQ$12,CÁLCULO!$AR$15:$BR$205)/(ORÇAMENTO!$X$15-_xlfn.single(CÁLCULO.TotalAdmLocal))*CRONO!$F178,
                        0),
                 AQ177*$S176),
          SUMIF(OFFSET($S178,1,0,$R176-2),($M176+1)&amp;"$",OFFSET(AQ178,1,0,$R176-2)))</f>
        <v>0</v>
      </c>
      <c r="AR178" s="439" t="n">
        <f aca="false" t="array" ref="AR178:AR178">IF($R176=2,
         IF(AND(ACOMPANHAMENTO="PLE",ISNUMBER($F176)),
                SUMIF((OFFSET(CÁLCULO!$BS$15:$CS$15,$F176,0,OFFSET(ORÇAMENTO!$D$15,CRONO!$F176,0))),CRONO!AR$12,OFFSET(CÁLCULO!$AR$15:$BR$15,$F176,0,OFFSET(ORÇAMENTO!$D$15,CRONO!$F176,0)))
                +IF(AND($F178&lt;&gt;"",$F178&lt;&gt;0),
                        SUMIF(CÁLCULO!$BS$15:$CS$205,CRONO!AR$12,CÁLCULO!$AR$15:$BR$205)/(ORÇAMENTO!$X$15-_xlfn.single(CÁLCULO.TotalAdmLocal))*CRONO!$F178,
                        0),
                 AR177*$S176),
          SUMIF(OFFSET($S178,1,0,$R176-2),($M176+1)&amp;"$",OFFSET(AR178,1,0,$R176-2)))</f>
        <v>0</v>
      </c>
      <c r="AS178" s="439" t="n">
        <f aca="false" t="array" ref="AS178:AS178">IF($R176=2,
         IF(AND(ACOMPANHAMENTO="PLE",ISNUMBER($F176)),
                SUMIF((OFFSET(CÁLCULO!$BS$15:$CS$15,$F176,0,OFFSET(ORÇAMENTO!$D$15,CRONO!$F176,0))),CRONO!AS$12,OFFSET(CÁLCULO!$AR$15:$BR$15,$F176,0,OFFSET(ORÇAMENTO!$D$15,CRONO!$F176,0)))
                +IF(AND($F178&lt;&gt;"",$F178&lt;&gt;0),
                        SUMIF(CÁLCULO!$BS$15:$CS$205,CRONO!AS$12,CÁLCULO!$AR$15:$BR$205)/(ORÇAMENTO!$X$15-_xlfn.single(CÁLCULO.TotalAdmLocal))*CRONO!$F178,
                        0),
                 AS177*$S176),
          SUMIF(OFFSET($S178,1,0,$R176-2),($M176+1)&amp;"$",OFFSET(AS178,1,0,$R176-2)))</f>
        <v>0</v>
      </c>
      <c r="AT178" s="439" t="n">
        <f aca="false" t="array" ref="AT178:AT178">IF($R176=2,
         IF(AND(ACOMPANHAMENTO="PLE",ISNUMBER($F176)),
                SUMIF((OFFSET(CÁLCULO!$BS$15:$CS$15,$F176,0,OFFSET(ORÇAMENTO!$D$15,CRONO!$F176,0))),CRONO!AT$12,OFFSET(CÁLCULO!$AR$15:$BR$15,$F176,0,OFFSET(ORÇAMENTO!$D$15,CRONO!$F176,0)))
                +IF(AND($F178&lt;&gt;"",$F178&lt;&gt;0),
                        SUMIF(CÁLCULO!$BS$15:$CS$205,CRONO!AT$12,CÁLCULO!$AR$15:$BR$205)/(ORÇAMENTO!$X$15-_xlfn.single(CÁLCULO.TotalAdmLocal))*CRONO!$F178,
                        0),
                 AT177*$S176),
          SUMIF(OFFSET($S178,1,0,$R176-2),($M176+1)&amp;"$",OFFSET(AT178,1,0,$R176-2)))</f>
        <v>0</v>
      </c>
      <c r="AU178" s="439" t="n">
        <f aca="false" t="array" ref="AU178:AU178">IF($R176=2,
         IF(AND(ACOMPANHAMENTO="PLE",ISNUMBER($F176)),
                SUMIF((OFFSET(CÁLCULO!$BS$15:$CS$15,$F176,0,OFFSET(ORÇAMENTO!$D$15,CRONO!$F176,0))),CRONO!AU$12,OFFSET(CÁLCULO!$AR$15:$BR$15,$F176,0,OFFSET(ORÇAMENTO!$D$15,CRONO!$F176,0)))
                +IF(AND($F178&lt;&gt;"",$F178&lt;&gt;0),
                        SUMIF(CÁLCULO!$BS$15:$CS$205,CRONO!AU$12,CÁLCULO!$AR$15:$BR$205)/(ORÇAMENTO!$X$15-_xlfn.single(CÁLCULO.TotalAdmLocal))*CRONO!$F178,
                        0),
                 AU177*$S176),
          SUMIF(OFFSET($S178,1,0,$R176-2),($M176+1)&amp;"$",OFFSET(AU178,1,0,$R176-2)))</f>
        <v>0</v>
      </c>
      <c r="AV178" s="439" t="n">
        <f aca="false" t="array" ref="AV178:AV178">IF($R176=2,
         IF(AND(ACOMPANHAMENTO="PLE",ISNUMBER($F176)),
                SUMIF((OFFSET(CÁLCULO!$BS$15:$CS$15,$F176,0,OFFSET(ORÇAMENTO!$D$15,CRONO!$F176,0))),CRONO!AV$12,OFFSET(CÁLCULO!$AR$15:$BR$15,$F176,0,OFFSET(ORÇAMENTO!$D$15,CRONO!$F176,0)))
                +IF(AND($F178&lt;&gt;"",$F178&lt;&gt;0),
                        SUMIF(CÁLCULO!$BS$15:$CS$205,CRONO!AV$12,CÁLCULO!$AR$15:$BR$205)/(ORÇAMENTO!$X$15-_xlfn.single(CÁLCULO.TotalAdmLocal))*CRONO!$F178,
                        0),
                 AV177*$S176),
          SUMIF(OFFSET($S178,1,0,$R176-2),($M176+1)&amp;"$",OFFSET(AV178,1,0,$R176-2)))</f>
        <v>0</v>
      </c>
      <c r="AW178" s="439" t="n">
        <f aca="false" t="array" ref="AW178:AW178">IF($R176=2,
         IF(AND(ACOMPANHAMENTO="PLE",ISNUMBER($F176)),
                SUMIF((OFFSET(CÁLCULO!$BS$15:$CS$15,$F176,0,OFFSET(ORÇAMENTO!$D$15,CRONO!$F176,0))),CRONO!AW$12,OFFSET(CÁLCULO!$AR$15:$BR$15,$F176,0,OFFSET(ORÇAMENTO!$D$15,CRONO!$F176,0)))
                +IF(AND($F178&lt;&gt;"",$F178&lt;&gt;0),
                        SUMIF(CÁLCULO!$BS$15:$CS$205,CRONO!AW$12,CÁLCULO!$AR$15:$BR$205)/(ORÇAMENTO!$X$15-_xlfn.single(CÁLCULO.TotalAdmLocal))*CRONO!$F178,
                        0),
                 AW177*$S176),
          SUMIF(OFFSET($S178,1,0,$R176-2),($M176+1)&amp;"$",OFFSET(AW178,1,0,$R176-2)))</f>
        <v>0</v>
      </c>
      <c r="AX178" s="439" t="n">
        <f aca="false" t="array" ref="AX178:AX178">IF($R176=2,
         IF(AND(ACOMPANHAMENTO="PLE",ISNUMBER($F176)),
                SUMIF((OFFSET(CÁLCULO!$BS$15:$CS$15,$F176,0,OFFSET(ORÇAMENTO!$D$15,CRONO!$F176,0))),CRONO!AX$12,OFFSET(CÁLCULO!$AR$15:$BR$15,$F176,0,OFFSET(ORÇAMENTO!$D$15,CRONO!$F176,0)))
                +IF(AND($F178&lt;&gt;"",$F178&lt;&gt;0),
                        SUMIF(CÁLCULO!$BS$15:$CS$205,CRONO!AX$12,CÁLCULO!$AR$15:$BR$205)/(ORÇAMENTO!$X$15-_xlfn.single(CÁLCULO.TotalAdmLocal))*CRONO!$F178,
                        0),
                 AX177*$S176),
          SUMIF(OFFSET($S178,1,0,$R176-2),($M176+1)&amp;"$",OFFSET(AX178,1,0,$R176-2)))</f>
        <v>0</v>
      </c>
      <c r="AY178" s="439" t="n">
        <f aca="false" t="array" ref="AY178:AY178">IF($R176=2,
         IF(AND(ACOMPANHAMENTO="PLE",ISNUMBER($F176)),
                SUMIF((OFFSET(CÁLCULO!$BS$15:$CS$15,$F176,0,OFFSET(ORÇAMENTO!$D$15,CRONO!$F176,0))),CRONO!AY$12,OFFSET(CÁLCULO!$AR$15:$BR$15,$F176,0,OFFSET(ORÇAMENTO!$D$15,CRONO!$F176,0)))
                +IF(AND($F178&lt;&gt;"",$F178&lt;&gt;0),
                        SUMIF(CÁLCULO!$BS$15:$CS$205,CRONO!AY$12,CÁLCULO!$AR$15:$BR$205)/(ORÇAMENTO!$X$15-_xlfn.single(CÁLCULO.TotalAdmLocal))*CRONO!$F178,
                        0),
                 AY177*$S176),
          SUMIF(OFFSET($S178,1,0,$R176-2),($M176+1)&amp;"$",OFFSET(AY178,1,0,$R176-2)))</f>
        <v>0</v>
      </c>
      <c r="AZ178" s="439" t="n">
        <f aca="false" t="array" ref="AZ178:AZ178">IF($R176=2,
         IF(AND(ACOMPANHAMENTO="PLE",ISNUMBER($F176)),
                SUMIF((OFFSET(CÁLCULO!$BS$15:$CS$15,$F176,0,OFFSET(ORÇAMENTO!$D$15,CRONO!$F176,0))),CRONO!AZ$12,OFFSET(CÁLCULO!$AR$15:$BR$15,$F176,0,OFFSET(ORÇAMENTO!$D$15,CRONO!$F176,0)))
                +IF(AND($F178&lt;&gt;"",$F178&lt;&gt;0),
                        SUMIF(CÁLCULO!$BS$15:$CS$205,CRONO!AZ$12,CÁLCULO!$AR$15:$BR$205)/(ORÇAMENTO!$X$15-_xlfn.single(CÁLCULO.TotalAdmLocal))*CRONO!$F178,
                        0),
                 AZ177*$S176),
          SUMIF(OFFSET($S178,1,0,$R176-2),($M176+1)&amp;"$",OFFSET(AZ178,1,0,$R176-2)))</f>
        <v>0</v>
      </c>
      <c r="BA178" s="439" t="n">
        <f aca="false" t="array" ref="BA178:BA178">IF($R176=2,
         IF(AND(ACOMPANHAMENTO="PLE",ISNUMBER($F176)),
                SUMIF((OFFSET(CÁLCULO!$BS$15:$CS$15,$F176,0,OFFSET(ORÇAMENTO!$D$15,CRONO!$F176,0))),CRONO!BA$12,OFFSET(CÁLCULO!$AR$15:$BR$15,$F176,0,OFFSET(ORÇAMENTO!$D$15,CRONO!$F176,0)))
                +IF(AND($F178&lt;&gt;"",$F178&lt;&gt;0),
                        SUMIF(CÁLCULO!$BS$15:$CS$205,CRONO!BA$12,CÁLCULO!$AR$15:$BR$205)/(ORÇAMENTO!$X$15-_xlfn.single(CÁLCULO.TotalAdmLocal))*CRONO!$F178,
                        0),
                 BA177*$S176),
          SUMIF(OFFSET($S178,1,0,$R176-2),($M176+1)&amp;"$",OFFSET(BA178,1,0,$R176-2)))</f>
        <v>0</v>
      </c>
      <c r="BB178" s="439" t="n">
        <f aca="false" t="array" ref="BB178:BB178">IF($R176=2,
         IF(AND(ACOMPANHAMENTO="PLE",ISNUMBER($F176)),
                SUMIF((OFFSET(CÁLCULO!$BS$15:$CS$15,$F176,0,OFFSET(ORÇAMENTO!$D$15,CRONO!$F176,0))),CRONO!BB$12,OFFSET(CÁLCULO!$AR$15:$BR$15,$F176,0,OFFSET(ORÇAMENTO!$D$15,CRONO!$F176,0)))
                +IF(AND($F178&lt;&gt;"",$F178&lt;&gt;0),
                        SUMIF(CÁLCULO!$BS$15:$CS$205,CRONO!BB$12,CÁLCULO!$AR$15:$BR$205)/(ORÇAMENTO!$X$15-_xlfn.single(CÁLCULO.TotalAdmLocal))*CRONO!$F178,
                        0),
                 BB177*$S176),
          SUMIF(OFFSET($S178,1,0,$R176-2),($M176+1)&amp;"$",OFFSET(BB178,1,0,$R176-2)))</f>
        <v>0</v>
      </c>
      <c r="BC178" s="439" t="n">
        <f aca="false" t="array" ref="BC178:BC178">IF($R176=2,
         IF(AND(ACOMPANHAMENTO="PLE",ISNUMBER($F176)),
                SUMIF((OFFSET(CÁLCULO!$BS$15:$CS$15,$F176,0,OFFSET(ORÇAMENTO!$D$15,CRONO!$F176,0))),CRONO!BC$12,OFFSET(CÁLCULO!$AR$15:$BR$15,$F176,0,OFFSET(ORÇAMENTO!$D$15,CRONO!$F176,0)))
                +IF(AND($F178&lt;&gt;"",$F178&lt;&gt;0),
                        SUMIF(CÁLCULO!$BS$15:$CS$205,CRONO!BC$12,CÁLCULO!$AR$15:$BR$205)/(ORÇAMENTO!$X$15-_xlfn.single(CÁLCULO.TotalAdmLocal))*CRONO!$F178,
                        0),
                 BC177*$S176),
          SUMIF(OFFSET($S178,1,0,$R176-2),($M176+1)&amp;"$",OFFSET(BC178,1,0,$R176-2)))</f>
        <v>0</v>
      </c>
      <c r="BD178" s="439" t="n">
        <f aca="false" t="array" ref="BD178:BD178">IF($R176=2,
         IF(AND(ACOMPANHAMENTO="PLE",ISNUMBER($F176)),
                SUMIF((OFFSET(CÁLCULO!$BS$15:$CS$15,$F176,0,OFFSET(ORÇAMENTO!$D$15,CRONO!$F176,0))),CRONO!BD$12,OFFSET(CÁLCULO!$AR$15:$BR$15,$F176,0,OFFSET(ORÇAMENTO!$D$15,CRONO!$F176,0)))
                +IF(AND($F178&lt;&gt;"",$F178&lt;&gt;0),
                        SUMIF(CÁLCULO!$BS$15:$CS$205,CRONO!BD$12,CÁLCULO!$AR$15:$BR$205)/(ORÇAMENTO!$X$15-_xlfn.single(CÁLCULO.TotalAdmLocal))*CRONO!$F178,
                        0),
                 BD177*$S176),
          SUMIF(OFFSET($S178,1,0,$R176-2),($M176+1)&amp;"$",OFFSET(BD178,1,0,$R176-2)))</f>
        <v>0</v>
      </c>
      <c r="BE178" s="430"/>
    </row>
    <row r="179" customFormat="false" ht="12.75" hidden="true" customHeight="false" outlineLevel="0" collapsed="false">
      <c r="A179" s="382" t="str">
        <f aca="false">IF($M179&gt;1,_xlfn.CONCAT($I179," ",$J179),"")</f>
        <v>1.55. OUTROS</v>
      </c>
      <c r="B179" s="419" t="n">
        <f aca="true">OFFSET(B179,-3,0)+1</f>
        <v>56</v>
      </c>
      <c r="C179" s="419" t="n">
        <f aca="true">IF($R179&lt;&gt;2,0,IF($S179=0,1,IF(F180&gt;0,OFFSET(QCI!$M$13,SUBSTITUTE(F180,".",""),0),OFFSET(ORÇAMENTO!$AA$15,CRONO!$F179,0))/$S179))</f>
        <v>1</v>
      </c>
      <c r="D179" s="419" t="n">
        <f aca="true">IF($R179&lt;&gt;2,0,IF($S179=0,1,IF(F180&gt;0,OFFSET(QCI!$N$13,SUBSTITUTE(F180,".",""),0),OFFSET(ORÇAMENTO!$AB$15,CRONO!$F179,0))/$S179))</f>
        <v>1</v>
      </c>
      <c r="E179" s="422" t="e">
        <f aca="false" t="array" ref="E179:E179">IF(AND($R179=2,ACOMPANHAMENTO="BM"),ROUND(E180,4),E181/$S179)</f>
        <v>#DIV/0!</v>
      </c>
      <c r="F179" s="419" t="n">
        <f aca="true">IF(B179&lt;=ORÇAMENTO.MáximoListaCrono,MATCH(B179,ORÇAMENTO.ListaCrono,0),NA())</f>
        <v>189</v>
      </c>
      <c r="G179" s="419" t="str">
        <f aca="false">IF(AND($F180&lt;&gt;-1,$S179&gt;0),"F","")</f>
        <v/>
      </c>
      <c r="H179" s="423" t="str">
        <f aca="false" t="array" ref="H179:H179">IF(OR(S179=0,S179=""),"Linha",IF(AND(OR(ACOMPANHAMENTO="PLE",$R179&lt;&gt;2),$F180=0),"Linha",ROUND(1-SUM(U179:BE179),4)))</f>
        <v>Linha</v>
      </c>
      <c r="I179" s="424" t="str">
        <f aca="true">IF($F180=0,OFFSET(ORÇAMENTO!O$15,$F179,0),IF($F180&lt;&gt;-1,OFFSET(QCI!$D$13,$F180,0),""))</f>
        <v>1.55.</v>
      </c>
      <c r="J179" s="425" t="str">
        <f aca="true">IF($F180=0,OFFSET(ORÇAMENTO!R$15,$F179,0),IF($F180&lt;&gt;-1,OFFSET(QCI!$G$13,$F180,0),""))</f>
        <v>OUTROS</v>
      </c>
      <c r="K179" s="425"/>
      <c r="L179" s="425"/>
      <c r="M179" s="426" t="n">
        <f aca="true">IF($F180=0,OFFSET(ORÇAMENTO!C$15,$F179,0),1)</f>
        <v>2</v>
      </c>
      <c r="N179" s="427" t="n">
        <f aca="true">IF($F180=-1,0,IF(N$13&lt;=$M179,IF(ISERROR(MATCH(N$13,OFFSET($M179,1,0,ROW($M$182)-ROW($M179)-1),0)),ROW($M$182)-ROW($M179)-1,MATCH(N$13,OFFSET($M179,1,0,ROW($M$182)-ROW($M179)-1),0)-1),0))</f>
        <v>2</v>
      </c>
      <c r="O179" s="427" t="n">
        <f aca="true">IF($F180=-1,0,IF(O$13&lt;=$M179,IF(ISERROR(MATCH(O$13,OFFSET($M179,1,0,ROW($M$182)-ROW($M179)-1),0)),ROW($M$182)-ROW($M179)-1,MATCH(O$13,OFFSET($M179,1,0,ROW($M$182)-ROW($M179)-1),0)-1),0))</f>
        <v>2</v>
      </c>
      <c r="P179" s="427" t="n">
        <f aca="true">IF($F180=-1,0,IF(P$13&lt;=$M179,IF(ISERROR(MATCH(P$13,OFFSET($M179,1,0,ROW($M$182)-ROW($M179)-1),0)),ROW($M$182)-ROW($M179)-1,MATCH(P$13,OFFSET($M179,1,0,ROW($M$182)-ROW($M179)-1),0)-1),0))</f>
        <v>0</v>
      </c>
      <c r="Q179" s="427" t="n">
        <f aca="true">IF($F180=-1,0,IF(Q$13&lt;=$M179,IF(ISERROR(MATCH(Q$13,OFFSET($M179,1,0,ROW($M$182)-ROW($M179)-1),0)),ROW($M$182)-ROW($M179)-1,MATCH(Q$13,OFFSET($M179,1,0,ROW($M$182)-ROW($M179)-1),0)-1),0))</f>
        <v>0</v>
      </c>
      <c r="R179" s="427" t="n">
        <f aca="true">MIN(OFFSET(M179,0,1,,M179))</f>
        <v>2</v>
      </c>
      <c r="S179" s="428" t="n">
        <f aca="true">IF($F180=0,OFFSET(ORÇAMENTO!X$15,$F179,0),IF($F180&lt;&gt;-1,OFFSET(QCI!$O$13,$F180,0),""))</f>
        <v>0</v>
      </c>
      <c r="T179" s="429" t="s">
        <v>996</v>
      </c>
      <c r="U179" s="422" t="e">
        <f aca="false" t="array" ref="U179:U179">IF(AND($R179=2,ACOMPANHAMENTO="BM"),ROUND(U180,4),U181/$S179)</f>
        <v>#DIV/0!</v>
      </c>
      <c r="V179" s="422" t="e">
        <f aca="false" t="array" ref="V179:V179">IF(AND($R179=2,ACOMPANHAMENTO="BM"),ROUND(V180,4),V181/$S179)</f>
        <v>#DIV/0!</v>
      </c>
      <c r="W179" s="422" t="e">
        <f aca="false" t="array" ref="W179:W179">IF(AND($R179=2,ACOMPANHAMENTO="BM"),ROUND(W180,4),W181/$S179)</f>
        <v>#DIV/0!</v>
      </c>
      <c r="X179" s="422" t="e">
        <f aca="false" t="array" ref="X179:X179">IF(AND($R179=2,ACOMPANHAMENTO="BM"),ROUND(X180,4),X181/$S179)</f>
        <v>#DIV/0!</v>
      </c>
      <c r="Y179" s="422" t="e">
        <f aca="false" t="array" ref="Y179:Y179">IF(AND($R179=2,ACOMPANHAMENTO="BM"),ROUND(Y180,4),Y181/$S179)</f>
        <v>#DIV/0!</v>
      </c>
      <c r="Z179" s="422" t="e">
        <f aca="false" t="array" ref="Z179:Z179">IF(AND($R179=2,ACOMPANHAMENTO="BM"),ROUND(Z180,4),Z181/$S179)</f>
        <v>#DIV/0!</v>
      </c>
      <c r="AA179" s="422" t="e">
        <f aca="false" t="array" ref="AA179:AA179">IF(AND($R179=2,ACOMPANHAMENTO="BM"),ROUND(AA180,4),AA181/$S179)</f>
        <v>#DIV/0!</v>
      </c>
      <c r="AB179" s="422" t="e">
        <f aca="false" t="array" ref="AB179:AB179">IF(AND($R179=2,ACOMPANHAMENTO="BM"),ROUND(AB180,4),AB181/$S179)</f>
        <v>#DIV/0!</v>
      </c>
      <c r="AC179" s="422" t="e">
        <f aca="false" t="array" ref="AC179:AC179">IF(AND($R179=2,ACOMPANHAMENTO="BM"),ROUND(AC180,4),AC181/$S179)</f>
        <v>#DIV/0!</v>
      </c>
      <c r="AD179" s="422" t="e">
        <f aca="false" t="array" ref="AD179:AD179">IF(AND($R179=2,ACOMPANHAMENTO="BM"),ROUND(AD180,4),AD181/$S179)</f>
        <v>#DIV/0!</v>
      </c>
      <c r="AE179" s="422" t="e">
        <f aca="false" t="array" ref="AE179:AE179">IF(AND($R179=2,ACOMPANHAMENTO="BM"),ROUND(AE180,4),AE181/$S179)</f>
        <v>#DIV/0!</v>
      </c>
      <c r="AF179" s="422" t="e">
        <f aca="false" t="array" ref="AF179:AF179">IF(AND($R179=2,ACOMPANHAMENTO="BM"),ROUND(AF180,4),AF181/$S179)</f>
        <v>#DIV/0!</v>
      </c>
      <c r="AG179" s="422" t="e">
        <f aca="false" t="array" ref="AG179:AG179">IF(AND($R179=2,ACOMPANHAMENTO="BM"),ROUND(AG180,4),AG181/$S179)</f>
        <v>#DIV/0!</v>
      </c>
      <c r="AH179" s="422" t="e">
        <f aca="false" t="array" ref="AH179:AH179">IF(AND($R179=2,ACOMPANHAMENTO="BM"),ROUND(AH180,4),AH181/$S179)</f>
        <v>#DIV/0!</v>
      </c>
      <c r="AI179" s="422" t="e">
        <f aca="false" t="array" ref="AI179:AI179">IF(AND($R179=2,ACOMPANHAMENTO="BM"),ROUND(AI180,4),AI181/$S179)</f>
        <v>#DIV/0!</v>
      </c>
      <c r="AJ179" s="422" t="e">
        <f aca="false" t="array" ref="AJ179:AJ179">IF(AND($R179=2,ACOMPANHAMENTO="BM"),ROUND(AJ180,4),AJ181/$S179)</f>
        <v>#DIV/0!</v>
      </c>
      <c r="AK179" s="422" t="e">
        <f aca="false" t="array" ref="AK179:AK179">IF(AND($R179=2,ACOMPANHAMENTO="BM"),ROUND(AK180,4),AK181/$S179)</f>
        <v>#DIV/0!</v>
      </c>
      <c r="AL179" s="422" t="e">
        <f aca="false" t="array" ref="AL179:AL179">IF(AND($R179=2,ACOMPANHAMENTO="BM"),ROUND(AL180,4),AL181/$S179)</f>
        <v>#DIV/0!</v>
      </c>
      <c r="AM179" s="422" t="e">
        <f aca="false" t="array" ref="AM179:AM179">IF(AND($R179=2,ACOMPANHAMENTO="BM"),ROUND(AM180,4),AM181/$S179)</f>
        <v>#DIV/0!</v>
      </c>
      <c r="AN179" s="422" t="e">
        <f aca="false" t="array" ref="AN179:AN179">IF(AND($R179=2,ACOMPANHAMENTO="BM"),ROUND(AN180,4),AN181/$S179)</f>
        <v>#DIV/0!</v>
      </c>
      <c r="AO179" s="422" t="e">
        <f aca="false" t="array" ref="AO179:AO179">IF(AND($R179=2,ACOMPANHAMENTO="BM"),ROUND(AO180,4),AO181/$S179)</f>
        <v>#DIV/0!</v>
      </c>
      <c r="AP179" s="422" t="e">
        <f aca="false" t="array" ref="AP179:AP179">IF(AND($R179=2,ACOMPANHAMENTO="BM"),ROUND(AP180,4),AP181/$S179)</f>
        <v>#DIV/0!</v>
      </c>
      <c r="AQ179" s="422" t="e">
        <f aca="false" t="array" ref="AQ179:AQ179">IF(AND($R179=2,ACOMPANHAMENTO="BM"),ROUND(AQ180,4),AQ181/$S179)</f>
        <v>#DIV/0!</v>
      </c>
      <c r="AR179" s="422" t="e">
        <f aca="false" t="array" ref="AR179:AR179">IF(AND($R179=2,ACOMPANHAMENTO="BM"),ROUND(AR180,4),AR181/$S179)</f>
        <v>#DIV/0!</v>
      </c>
      <c r="AS179" s="422" t="e">
        <f aca="false" t="array" ref="AS179:AS179">IF(AND($R179=2,ACOMPANHAMENTO="BM"),ROUND(AS180,4),AS181/$S179)</f>
        <v>#DIV/0!</v>
      </c>
      <c r="AT179" s="422" t="e">
        <f aca="false" t="array" ref="AT179:AT179">IF(AND($R179=2,ACOMPANHAMENTO="BM"),ROUND(AT180,4),AT181/$S179)</f>
        <v>#DIV/0!</v>
      </c>
      <c r="AU179" s="422" t="e">
        <f aca="false" t="array" ref="AU179:AU179">IF(AND($R179=2,ACOMPANHAMENTO="BM"),ROUND(AU180,4),AU181/$S179)</f>
        <v>#DIV/0!</v>
      </c>
      <c r="AV179" s="422" t="e">
        <f aca="false" t="array" ref="AV179:AV179">IF(AND($R179=2,ACOMPANHAMENTO="BM"),ROUND(AV180,4),AV181/$S179)</f>
        <v>#DIV/0!</v>
      </c>
      <c r="AW179" s="422" t="e">
        <f aca="false" t="array" ref="AW179:AW179">IF(AND($R179=2,ACOMPANHAMENTO="BM"),ROUND(AW180,4),AW181/$S179)</f>
        <v>#DIV/0!</v>
      </c>
      <c r="AX179" s="422" t="e">
        <f aca="false" t="array" ref="AX179:AX179">IF(AND($R179=2,ACOMPANHAMENTO="BM"),ROUND(AX180,4),AX181/$S179)</f>
        <v>#DIV/0!</v>
      </c>
      <c r="AY179" s="422" t="e">
        <f aca="false" t="array" ref="AY179:AY179">IF(AND($R179=2,ACOMPANHAMENTO="BM"),ROUND(AY180,4),AY181/$S179)</f>
        <v>#DIV/0!</v>
      </c>
      <c r="AZ179" s="422" t="e">
        <f aca="false" t="array" ref="AZ179:AZ179">IF(AND($R179=2,ACOMPANHAMENTO="BM"),ROUND(AZ180,4),AZ181/$S179)</f>
        <v>#DIV/0!</v>
      </c>
      <c r="BA179" s="422" t="e">
        <f aca="false" t="array" ref="BA179:BA179">IF(AND($R179=2,ACOMPANHAMENTO="BM"),ROUND(BA180,4),BA181/$S179)</f>
        <v>#DIV/0!</v>
      </c>
      <c r="BB179" s="422" t="e">
        <f aca="false" t="array" ref="BB179:BB179">IF(AND($R179=2,ACOMPANHAMENTO="BM"),ROUND(BB180,4),BB181/$S179)</f>
        <v>#DIV/0!</v>
      </c>
      <c r="BC179" s="422" t="e">
        <f aca="false" t="array" ref="BC179:BC179">IF(AND($R179=2,ACOMPANHAMENTO="BM"),ROUND(BC180,4),BC181/$S179)</f>
        <v>#DIV/0!</v>
      </c>
      <c r="BD179" s="422" t="e">
        <f aca="false" t="array" ref="BD179:BD179">IF(AND($R179=2,ACOMPANHAMENTO="BM"),ROUND(BD180,4),BD181/$S179)</f>
        <v>#DIV/0!</v>
      </c>
      <c r="BE179" s="430"/>
    </row>
    <row r="180" customFormat="false" ht="12.75" hidden="true" customHeight="true" outlineLevel="0" collapsed="false">
      <c r="E180" s="431"/>
      <c r="F180" s="419" t="n">
        <f aca="true">IF(ISERROR(F179),IF(1+COUNTIF($M$13:OFFSET(M179,-1,0),1)&lt;=MAX(QCI!$D$13:$D$15),1+COUNTIF($M$13:OFFSET(M179,-1,0),1),-1),0)</f>
        <v>0</v>
      </c>
      <c r="G180" s="419" t="str">
        <f aca="true" t="array" ref="G180:G180">IF(ACOMPANHAMENTO="BM",OFFSET(G180,-1,0),"")</f>
        <v/>
      </c>
      <c r="H180" s="432" t="str">
        <f aca="false" t="array" ref="H180:H180">IF(OR(S179=0,S179=""),"vazia",IF(AND(OR(ACOMPANHAMENTO="PLE",$R179&lt;&gt;2),$F180=0),"calculada","--&gt;"))</f>
        <v>vazia</v>
      </c>
      <c r="I180" s="433"/>
      <c r="J180" s="434" t="str">
        <f aca="false">IF(AND(H179&lt;&gt;0,ISNUMBER(H179)),"PREENCHA ESTA LINHA --&gt;","")</f>
        <v/>
      </c>
      <c r="K180" s="434"/>
      <c r="L180" s="434"/>
      <c r="M180" s="435"/>
      <c r="N180" s="435"/>
      <c r="O180" s="435"/>
      <c r="P180" s="435"/>
      <c r="Q180" s="435"/>
      <c r="R180" s="435"/>
      <c r="S180" s="436"/>
      <c r="T180" s="437"/>
      <c r="U180" s="431"/>
      <c r="V180" s="431"/>
      <c r="W180" s="431"/>
      <c r="X180" s="431"/>
      <c r="Y180" s="431"/>
      <c r="Z180" s="431"/>
      <c r="AA180" s="431"/>
      <c r="AB180" s="431"/>
      <c r="AC180" s="431"/>
      <c r="AD180" s="431"/>
      <c r="AE180" s="431"/>
      <c r="AF180" s="431"/>
      <c r="AG180" s="431"/>
      <c r="AH180" s="431"/>
      <c r="AI180" s="431"/>
      <c r="AJ180" s="431"/>
      <c r="AK180" s="431"/>
      <c r="AL180" s="431"/>
      <c r="AM180" s="431"/>
      <c r="AN180" s="431"/>
      <c r="AO180" s="431"/>
      <c r="AP180" s="431"/>
      <c r="AQ180" s="431"/>
      <c r="AR180" s="431"/>
      <c r="AS180" s="431"/>
      <c r="AT180" s="431"/>
      <c r="AU180" s="431"/>
      <c r="AV180" s="431"/>
      <c r="AW180" s="431"/>
      <c r="AX180" s="431"/>
      <c r="AY180" s="431"/>
      <c r="AZ180" s="431"/>
      <c r="BA180" s="431"/>
      <c r="BB180" s="431"/>
      <c r="BC180" s="431"/>
      <c r="BD180" s="431"/>
      <c r="BE180" s="430"/>
    </row>
    <row r="181" customFormat="false" ht="12.75" hidden="true" customHeight="true" outlineLevel="0" collapsed="false">
      <c r="D181" s="438"/>
      <c r="E181" s="439" t="n">
        <f aca="false" t="array" ref="E181:E181">IF($R179=2,
         IF(AND(ACOMPANHAMENTO="PLE",ISNUMBER($F179)),
                SUMIF((OFFSET(CÁLCULO!$BS$15:$CS$15,$F179,0,OFFSET(ORÇAMENTO!$D$15,CRONO!$F179,0))),CRONO!E$12,OFFSET(CÁLCULO!$AR$15:$BR$15,$F179,0,OFFSET(ORÇAMENTO!$D$15,CRONO!$F179,0)))
                +IF(AND($F181&lt;&gt;"",$F181&lt;&gt;0),
                        SUMIF(CÁLCULO!$BS$15:$CS$205,CRONO!E$12,CÁLCULO!$AR$15:$BR$205)/(ORÇAMENTO!$X$15-_xlfn.single(CÁLCULO.TotalAdmLocal))*CRONO!$F181,
                        0),
                 E180*$S179),
          SUMIF(OFFSET($S181,1,0,$R179-2),($M179+1)&amp;"$",OFFSET(E181,1,0,$R179-2)))</f>
        <v>0</v>
      </c>
      <c r="F181" s="419" t="str">
        <f aca="true">IF(OR($R179&lt;&gt;2,AUTOEVENTO&lt;&gt;"manual",$F180&gt;0),"",
        IF(Import.TipoArredondamento="Tradicional",
              SUMIF(OFFSET(CÁLCULO!$M$15,CRONO!$F179,0,OFFSET(ORÇAMENTO!$D$15,CRONO!$F179,0)),1,OFFSET(ORÇAMENTO!$X$15,CRONO!$F179,0,OFFSET(ORÇAMENTO!$D$15,CRONO!$F179,0))),
              0))</f>
        <v/>
      </c>
      <c r="H181" s="440"/>
      <c r="S181" s="441" t="str">
        <f aca="false">M179&amp;"$"</f>
        <v>2$</v>
      </c>
      <c r="T181" s="442"/>
      <c r="U181" s="439" t="n">
        <f aca="false" t="array" ref="U181:U181">IF($R179=2,
         IF(AND(ACOMPANHAMENTO="PLE",ISNUMBER($F179)),
                SUMIF((OFFSET(CÁLCULO!$BS$15:$CS$15,$F179,0,OFFSET(ORÇAMENTO!$D$15,CRONO!$F179,0))),CRONO!U$12,OFFSET(CÁLCULO!$AR$15:$BR$15,$F179,0,OFFSET(ORÇAMENTO!$D$15,CRONO!$F179,0)))
                +IF(AND($F181&lt;&gt;"",$F181&lt;&gt;0),
                        SUMIF(CÁLCULO!$BS$15:$CS$205,CRONO!U$12,CÁLCULO!$AR$15:$BR$205)/(ORÇAMENTO!$X$15-_xlfn.single(CÁLCULO.TotalAdmLocal))*CRONO!$F181,
                        0),
                 U180*$S179),
          SUMIF(OFFSET($S181,1,0,$R179-2),($M179+1)&amp;"$",OFFSET(U181,1,0,$R179-2)))</f>
        <v>0</v>
      </c>
      <c r="V181" s="439" t="n">
        <f aca="false" t="array" ref="V181:V181">IF($R179=2,
         IF(AND(ACOMPANHAMENTO="PLE",ISNUMBER($F179)),
                SUMIF((OFFSET(CÁLCULO!$BS$15:$CS$15,$F179,0,OFFSET(ORÇAMENTO!$D$15,CRONO!$F179,0))),CRONO!V$12,OFFSET(CÁLCULO!$AR$15:$BR$15,$F179,0,OFFSET(ORÇAMENTO!$D$15,CRONO!$F179,0)))
                +IF(AND($F181&lt;&gt;"",$F181&lt;&gt;0),
                        SUMIF(CÁLCULO!$BS$15:$CS$205,CRONO!V$12,CÁLCULO!$AR$15:$BR$205)/(ORÇAMENTO!$X$15-_xlfn.single(CÁLCULO.TotalAdmLocal))*CRONO!$F181,
                        0),
                 V180*$S179),
          SUMIF(OFFSET($S181,1,0,$R179-2),($M179+1)&amp;"$",OFFSET(V181,1,0,$R179-2)))</f>
        <v>0</v>
      </c>
      <c r="W181" s="439" t="n">
        <f aca="false" t="array" ref="W181:W181">IF($R179=2,
         IF(AND(ACOMPANHAMENTO="PLE",ISNUMBER($F179)),
                SUMIF((OFFSET(CÁLCULO!$BS$15:$CS$15,$F179,0,OFFSET(ORÇAMENTO!$D$15,CRONO!$F179,0))),CRONO!W$12,OFFSET(CÁLCULO!$AR$15:$BR$15,$F179,0,OFFSET(ORÇAMENTO!$D$15,CRONO!$F179,0)))
                +IF(AND($F181&lt;&gt;"",$F181&lt;&gt;0),
                        SUMIF(CÁLCULO!$BS$15:$CS$205,CRONO!W$12,CÁLCULO!$AR$15:$BR$205)/(ORÇAMENTO!$X$15-_xlfn.single(CÁLCULO.TotalAdmLocal))*CRONO!$F181,
                        0),
                 W180*$S179),
          SUMIF(OFFSET($S181,1,0,$R179-2),($M179+1)&amp;"$",OFFSET(W181,1,0,$R179-2)))</f>
        <v>0</v>
      </c>
      <c r="X181" s="439" t="n">
        <f aca="false" t="array" ref="X181:X181">IF($R179=2,
         IF(AND(ACOMPANHAMENTO="PLE",ISNUMBER($F179)),
                SUMIF((OFFSET(CÁLCULO!$BS$15:$CS$15,$F179,0,OFFSET(ORÇAMENTO!$D$15,CRONO!$F179,0))),CRONO!X$12,OFFSET(CÁLCULO!$AR$15:$BR$15,$F179,0,OFFSET(ORÇAMENTO!$D$15,CRONO!$F179,0)))
                +IF(AND($F181&lt;&gt;"",$F181&lt;&gt;0),
                        SUMIF(CÁLCULO!$BS$15:$CS$205,CRONO!X$12,CÁLCULO!$AR$15:$BR$205)/(ORÇAMENTO!$X$15-_xlfn.single(CÁLCULO.TotalAdmLocal))*CRONO!$F181,
                        0),
                 X180*$S179),
          SUMIF(OFFSET($S181,1,0,$R179-2),($M179+1)&amp;"$",OFFSET(X181,1,0,$R179-2)))</f>
        <v>0</v>
      </c>
      <c r="Y181" s="439" t="n">
        <f aca="false" t="array" ref="Y181:Y181">IF($R179=2,
         IF(AND(ACOMPANHAMENTO="PLE",ISNUMBER($F179)),
                SUMIF((OFFSET(CÁLCULO!$BS$15:$CS$15,$F179,0,OFFSET(ORÇAMENTO!$D$15,CRONO!$F179,0))),CRONO!Y$12,OFFSET(CÁLCULO!$AR$15:$BR$15,$F179,0,OFFSET(ORÇAMENTO!$D$15,CRONO!$F179,0)))
                +IF(AND($F181&lt;&gt;"",$F181&lt;&gt;0),
                        SUMIF(CÁLCULO!$BS$15:$CS$205,CRONO!Y$12,CÁLCULO!$AR$15:$BR$205)/(ORÇAMENTO!$X$15-_xlfn.single(CÁLCULO.TotalAdmLocal))*CRONO!$F181,
                        0),
                 Y180*$S179),
          SUMIF(OFFSET($S181,1,0,$R179-2),($M179+1)&amp;"$",OFFSET(Y181,1,0,$R179-2)))</f>
        <v>0</v>
      </c>
      <c r="Z181" s="439" t="n">
        <f aca="false" t="array" ref="Z181:Z181">IF($R179=2,
         IF(AND(ACOMPANHAMENTO="PLE",ISNUMBER($F179)),
                SUMIF((OFFSET(CÁLCULO!$BS$15:$CS$15,$F179,0,OFFSET(ORÇAMENTO!$D$15,CRONO!$F179,0))),CRONO!Z$12,OFFSET(CÁLCULO!$AR$15:$BR$15,$F179,0,OFFSET(ORÇAMENTO!$D$15,CRONO!$F179,0)))
                +IF(AND($F181&lt;&gt;"",$F181&lt;&gt;0),
                        SUMIF(CÁLCULO!$BS$15:$CS$205,CRONO!Z$12,CÁLCULO!$AR$15:$BR$205)/(ORÇAMENTO!$X$15-_xlfn.single(CÁLCULO.TotalAdmLocal))*CRONO!$F181,
                        0),
                 Z180*$S179),
          SUMIF(OFFSET($S181,1,0,$R179-2),($M179+1)&amp;"$",OFFSET(Z181,1,0,$R179-2)))</f>
        <v>0</v>
      </c>
      <c r="AA181" s="439" t="n">
        <f aca="false" t="array" ref="AA181:AA181">IF($R179=2,
         IF(AND(ACOMPANHAMENTO="PLE",ISNUMBER($F179)),
                SUMIF((OFFSET(CÁLCULO!$BS$15:$CS$15,$F179,0,OFFSET(ORÇAMENTO!$D$15,CRONO!$F179,0))),CRONO!AA$12,OFFSET(CÁLCULO!$AR$15:$BR$15,$F179,0,OFFSET(ORÇAMENTO!$D$15,CRONO!$F179,0)))
                +IF(AND($F181&lt;&gt;"",$F181&lt;&gt;0),
                        SUMIF(CÁLCULO!$BS$15:$CS$205,CRONO!AA$12,CÁLCULO!$AR$15:$BR$205)/(ORÇAMENTO!$X$15-_xlfn.single(CÁLCULO.TotalAdmLocal))*CRONO!$F181,
                        0),
                 AA180*$S179),
          SUMIF(OFFSET($S181,1,0,$R179-2),($M179+1)&amp;"$",OFFSET(AA181,1,0,$R179-2)))</f>
        <v>0</v>
      </c>
      <c r="AB181" s="439" t="n">
        <f aca="false" t="array" ref="AB181:AB181">IF($R179=2,
         IF(AND(ACOMPANHAMENTO="PLE",ISNUMBER($F179)),
                SUMIF((OFFSET(CÁLCULO!$BS$15:$CS$15,$F179,0,OFFSET(ORÇAMENTO!$D$15,CRONO!$F179,0))),CRONO!AB$12,OFFSET(CÁLCULO!$AR$15:$BR$15,$F179,0,OFFSET(ORÇAMENTO!$D$15,CRONO!$F179,0)))
                +IF(AND($F181&lt;&gt;"",$F181&lt;&gt;0),
                        SUMIF(CÁLCULO!$BS$15:$CS$205,CRONO!AB$12,CÁLCULO!$AR$15:$BR$205)/(ORÇAMENTO!$X$15-_xlfn.single(CÁLCULO.TotalAdmLocal))*CRONO!$F181,
                        0),
                 AB180*$S179),
          SUMIF(OFFSET($S181,1,0,$R179-2),($M179+1)&amp;"$",OFFSET(AB181,1,0,$R179-2)))</f>
        <v>0</v>
      </c>
      <c r="AC181" s="439" t="n">
        <f aca="false" t="array" ref="AC181:AC181">IF($R179=2,
         IF(AND(ACOMPANHAMENTO="PLE",ISNUMBER($F179)),
                SUMIF((OFFSET(CÁLCULO!$BS$15:$CS$15,$F179,0,OFFSET(ORÇAMENTO!$D$15,CRONO!$F179,0))),CRONO!AC$12,OFFSET(CÁLCULO!$AR$15:$BR$15,$F179,0,OFFSET(ORÇAMENTO!$D$15,CRONO!$F179,0)))
                +IF(AND($F181&lt;&gt;"",$F181&lt;&gt;0),
                        SUMIF(CÁLCULO!$BS$15:$CS$205,CRONO!AC$12,CÁLCULO!$AR$15:$BR$205)/(ORÇAMENTO!$X$15-_xlfn.single(CÁLCULO.TotalAdmLocal))*CRONO!$F181,
                        0),
                 AC180*$S179),
          SUMIF(OFFSET($S181,1,0,$R179-2),($M179+1)&amp;"$",OFFSET(AC181,1,0,$R179-2)))</f>
        <v>0</v>
      </c>
      <c r="AD181" s="439" t="n">
        <f aca="false" t="array" ref="AD181:AD181">IF($R179=2,
         IF(AND(ACOMPANHAMENTO="PLE",ISNUMBER($F179)),
                SUMIF((OFFSET(CÁLCULO!$BS$15:$CS$15,$F179,0,OFFSET(ORÇAMENTO!$D$15,CRONO!$F179,0))),CRONO!AD$12,OFFSET(CÁLCULO!$AR$15:$BR$15,$F179,0,OFFSET(ORÇAMENTO!$D$15,CRONO!$F179,0)))
                +IF(AND($F181&lt;&gt;"",$F181&lt;&gt;0),
                        SUMIF(CÁLCULO!$BS$15:$CS$205,CRONO!AD$12,CÁLCULO!$AR$15:$BR$205)/(ORÇAMENTO!$X$15-_xlfn.single(CÁLCULO.TotalAdmLocal))*CRONO!$F181,
                        0),
                 AD180*$S179),
          SUMIF(OFFSET($S181,1,0,$R179-2),($M179+1)&amp;"$",OFFSET(AD181,1,0,$R179-2)))</f>
        <v>0</v>
      </c>
      <c r="AE181" s="439" t="n">
        <f aca="false" t="array" ref="AE181:AE181">IF($R179=2,
         IF(AND(ACOMPANHAMENTO="PLE",ISNUMBER($F179)),
                SUMIF((OFFSET(CÁLCULO!$BS$15:$CS$15,$F179,0,OFFSET(ORÇAMENTO!$D$15,CRONO!$F179,0))),CRONO!AE$12,OFFSET(CÁLCULO!$AR$15:$BR$15,$F179,0,OFFSET(ORÇAMENTO!$D$15,CRONO!$F179,0)))
                +IF(AND($F181&lt;&gt;"",$F181&lt;&gt;0),
                        SUMIF(CÁLCULO!$BS$15:$CS$205,CRONO!AE$12,CÁLCULO!$AR$15:$BR$205)/(ORÇAMENTO!$X$15-_xlfn.single(CÁLCULO.TotalAdmLocal))*CRONO!$F181,
                        0),
                 AE180*$S179),
          SUMIF(OFFSET($S181,1,0,$R179-2),($M179+1)&amp;"$",OFFSET(AE181,1,0,$R179-2)))</f>
        <v>0</v>
      </c>
      <c r="AF181" s="439" t="n">
        <f aca="false" t="array" ref="AF181:AF181">IF($R179=2,
         IF(AND(ACOMPANHAMENTO="PLE",ISNUMBER($F179)),
                SUMIF((OFFSET(CÁLCULO!$BS$15:$CS$15,$F179,0,OFFSET(ORÇAMENTO!$D$15,CRONO!$F179,0))),CRONO!AF$12,OFFSET(CÁLCULO!$AR$15:$BR$15,$F179,0,OFFSET(ORÇAMENTO!$D$15,CRONO!$F179,0)))
                +IF(AND($F181&lt;&gt;"",$F181&lt;&gt;0),
                        SUMIF(CÁLCULO!$BS$15:$CS$205,CRONO!AF$12,CÁLCULO!$AR$15:$BR$205)/(ORÇAMENTO!$X$15-_xlfn.single(CÁLCULO.TotalAdmLocal))*CRONO!$F181,
                        0),
                 AF180*$S179),
          SUMIF(OFFSET($S181,1,0,$R179-2),($M179+1)&amp;"$",OFFSET(AF181,1,0,$R179-2)))</f>
        <v>0</v>
      </c>
      <c r="AG181" s="439" t="n">
        <f aca="false" t="array" ref="AG181:AG181">IF($R179=2,
         IF(AND(ACOMPANHAMENTO="PLE",ISNUMBER($F179)),
                SUMIF((OFFSET(CÁLCULO!$BS$15:$CS$15,$F179,0,OFFSET(ORÇAMENTO!$D$15,CRONO!$F179,0))),CRONO!AG$12,OFFSET(CÁLCULO!$AR$15:$BR$15,$F179,0,OFFSET(ORÇAMENTO!$D$15,CRONO!$F179,0)))
                +IF(AND($F181&lt;&gt;"",$F181&lt;&gt;0),
                        SUMIF(CÁLCULO!$BS$15:$CS$205,CRONO!AG$12,CÁLCULO!$AR$15:$BR$205)/(ORÇAMENTO!$X$15-_xlfn.single(CÁLCULO.TotalAdmLocal))*CRONO!$F181,
                        0),
                 AG180*$S179),
          SUMIF(OFFSET($S181,1,0,$R179-2),($M179+1)&amp;"$",OFFSET(AG181,1,0,$R179-2)))</f>
        <v>0</v>
      </c>
      <c r="AH181" s="439" t="n">
        <f aca="false" t="array" ref="AH181:AH181">IF($R179=2,
         IF(AND(ACOMPANHAMENTO="PLE",ISNUMBER($F179)),
                SUMIF((OFFSET(CÁLCULO!$BS$15:$CS$15,$F179,0,OFFSET(ORÇAMENTO!$D$15,CRONO!$F179,0))),CRONO!AH$12,OFFSET(CÁLCULO!$AR$15:$BR$15,$F179,0,OFFSET(ORÇAMENTO!$D$15,CRONO!$F179,0)))
                +IF(AND($F181&lt;&gt;"",$F181&lt;&gt;0),
                        SUMIF(CÁLCULO!$BS$15:$CS$205,CRONO!AH$12,CÁLCULO!$AR$15:$BR$205)/(ORÇAMENTO!$X$15-_xlfn.single(CÁLCULO.TotalAdmLocal))*CRONO!$F181,
                        0),
                 AH180*$S179),
          SUMIF(OFFSET($S181,1,0,$R179-2),($M179+1)&amp;"$",OFFSET(AH181,1,0,$R179-2)))</f>
        <v>0</v>
      </c>
      <c r="AI181" s="439" t="n">
        <f aca="false" t="array" ref="AI181:AI181">IF($R179=2,
         IF(AND(ACOMPANHAMENTO="PLE",ISNUMBER($F179)),
                SUMIF((OFFSET(CÁLCULO!$BS$15:$CS$15,$F179,0,OFFSET(ORÇAMENTO!$D$15,CRONO!$F179,0))),CRONO!AI$12,OFFSET(CÁLCULO!$AR$15:$BR$15,$F179,0,OFFSET(ORÇAMENTO!$D$15,CRONO!$F179,0)))
                +IF(AND($F181&lt;&gt;"",$F181&lt;&gt;0),
                        SUMIF(CÁLCULO!$BS$15:$CS$205,CRONO!AI$12,CÁLCULO!$AR$15:$BR$205)/(ORÇAMENTO!$X$15-_xlfn.single(CÁLCULO.TotalAdmLocal))*CRONO!$F181,
                        0),
                 AI180*$S179),
          SUMIF(OFFSET($S181,1,0,$R179-2),($M179+1)&amp;"$",OFFSET(AI181,1,0,$R179-2)))</f>
        <v>0</v>
      </c>
      <c r="AJ181" s="439" t="n">
        <f aca="false" t="array" ref="AJ181:AJ181">IF($R179=2,
         IF(AND(ACOMPANHAMENTO="PLE",ISNUMBER($F179)),
                SUMIF((OFFSET(CÁLCULO!$BS$15:$CS$15,$F179,0,OFFSET(ORÇAMENTO!$D$15,CRONO!$F179,0))),CRONO!AJ$12,OFFSET(CÁLCULO!$AR$15:$BR$15,$F179,0,OFFSET(ORÇAMENTO!$D$15,CRONO!$F179,0)))
                +IF(AND($F181&lt;&gt;"",$F181&lt;&gt;0),
                        SUMIF(CÁLCULO!$BS$15:$CS$205,CRONO!AJ$12,CÁLCULO!$AR$15:$BR$205)/(ORÇAMENTO!$X$15-_xlfn.single(CÁLCULO.TotalAdmLocal))*CRONO!$F181,
                        0),
                 AJ180*$S179),
          SUMIF(OFFSET($S181,1,0,$R179-2),($M179+1)&amp;"$",OFFSET(AJ181,1,0,$R179-2)))</f>
        <v>0</v>
      </c>
      <c r="AK181" s="439" t="n">
        <f aca="false" t="array" ref="AK181:AK181">IF($R179=2,
         IF(AND(ACOMPANHAMENTO="PLE",ISNUMBER($F179)),
                SUMIF((OFFSET(CÁLCULO!$BS$15:$CS$15,$F179,0,OFFSET(ORÇAMENTO!$D$15,CRONO!$F179,0))),CRONO!AK$12,OFFSET(CÁLCULO!$AR$15:$BR$15,$F179,0,OFFSET(ORÇAMENTO!$D$15,CRONO!$F179,0)))
                +IF(AND($F181&lt;&gt;"",$F181&lt;&gt;0),
                        SUMIF(CÁLCULO!$BS$15:$CS$205,CRONO!AK$12,CÁLCULO!$AR$15:$BR$205)/(ORÇAMENTO!$X$15-_xlfn.single(CÁLCULO.TotalAdmLocal))*CRONO!$F181,
                        0),
                 AK180*$S179),
          SUMIF(OFFSET($S181,1,0,$R179-2),($M179+1)&amp;"$",OFFSET(AK181,1,0,$R179-2)))</f>
        <v>0</v>
      </c>
      <c r="AL181" s="439" t="n">
        <f aca="false" t="array" ref="AL181:AL181">IF($R179=2,
         IF(AND(ACOMPANHAMENTO="PLE",ISNUMBER($F179)),
                SUMIF((OFFSET(CÁLCULO!$BS$15:$CS$15,$F179,0,OFFSET(ORÇAMENTO!$D$15,CRONO!$F179,0))),CRONO!AL$12,OFFSET(CÁLCULO!$AR$15:$BR$15,$F179,0,OFFSET(ORÇAMENTO!$D$15,CRONO!$F179,0)))
                +IF(AND($F181&lt;&gt;"",$F181&lt;&gt;0),
                        SUMIF(CÁLCULO!$BS$15:$CS$205,CRONO!AL$12,CÁLCULO!$AR$15:$BR$205)/(ORÇAMENTO!$X$15-_xlfn.single(CÁLCULO.TotalAdmLocal))*CRONO!$F181,
                        0),
                 AL180*$S179),
          SUMIF(OFFSET($S181,1,0,$R179-2),($M179+1)&amp;"$",OFFSET(AL181,1,0,$R179-2)))</f>
        <v>0</v>
      </c>
      <c r="AM181" s="439" t="n">
        <f aca="false" t="array" ref="AM181:AM181">IF($R179=2,
         IF(AND(ACOMPANHAMENTO="PLE",ISNUMBER($F179)),
                SUMIF((OFFSET(CÁLCULO!$BS$15:$CS$15,$F179,0,OFFSET(ORÇAMENTO!$D$15,CRONO!$F179,0))),CRONO!AM$12,OFFSET(CÁLCULO!$AR$15:$BR$15,$F179,0,OFFSET(ORÇAMENTO!$D$15,CRONO!$F179,0)))
                +IF(AND($F181&lt;&gt;"",$F181&lt;&gt;0),
                        SUMIF(CÁLCULO!$BS$15:$CS$205,CRONO!AM$12,CÁLCULO!$AR$15:$BR$205)/(ORÇAMENTO!$X$15-_xlfn.single(CÁLCULO.TotalAdmLocal))*CRONO!$F181,
                        0),
                 AM180*$S179),
          SUMIF(OFFSET($S181,1,0,$R179-2),($M179+1)&amp;"$",OFFSET(AM181,1,0,$R179-2)))</f>
        <v>0</v>
      </c>
      <c r="AN181" s="439" t="n">
        <f aca="false" t="array" ref="AN181:AN181">IF($R179=2,
         IF(AND(ACOMPANHAMENTO="PLE",ISNUMBER($F179)),
                SUMIF((OFFSET(CÁLCULO!$BS$15:$CS$15,$F179,0,OFFSET(ORÇAMENTO!$D$15,CRONO!$F179,0))),CRONO!AN$12,OFFSET(CÁLCULO!$AR$15:$BR$15,$F179,0,OFFSET(ORÇAMENTO!$D$15,CRONO!$F179,0)))
                +IF(AND($F181&lt;&gt;"",$F181&lt;&gt;0),
                        SUMIF(CÁLCULO!$BS$15:$CS$205,CRONO!AN$12,CÁLCULO!$AR$15:$BR$205)/(ORÇAMENTO!$X$15-_xlfn.single(CÁLCULO.TotalAdmLocal))*CRONO!$F181,
                        0),
                 AN180*$S179),
          SUMIF(OFFSET($S181,1,0,$R179-2),($M179+1)&amp;"$",OFFSET(AN181,1,0,$R179-2)))</f>
        <v>0</v>
      </c>
      <c r="AO181" s="439" t="n">
        <f aca="false" t="array" ref="AO181:AO181">IF($R179=2,
         IF(AND(ACOMPANHAMENTO="PLE",ISNUMBER($F179)),
                SUMIF((OFFSET(CÁLCULO!$BS$15:$CS$15,$F179,0,OFFSET(ORÇAMENTO!$D$15,CRONO!$F179,0))),CRONO!AO$12,OFFSET(CÁLCULO!$AR$15:$BR$15,$F179,0,OFFSET(ORÇAMENTO!$D$15,CRONO!$F179,0)))
                +IF(AND($F181&lt;&gt;"",$F181&lt;&gt;0),
                        SUMIF(CÁLCULO!$BS$15:$CS$205,CRONO!AO$12,CÁLCULO!$AR$15:$BR$205)/(ORÇAMENTO!$X$15-_xlfn.single(CÁLCULO.TotalAdmLocal))*CRONO!$F181,
                        0),
                 AO180*$S179),
          SUMIF(OFFSET($S181,1,0,$R179-2),($M179+1)&amp;"$",OFFSET(AO181,1,0,$R179-2)))</f>
        <v>0</v>
      </c>
      <c r="AP181" s="439" t="n">
        <f aca="false" t="array" ref="AP181:AP181">IF($R179=2,
         IF(AND(ACOMPANHAMENTO="PLE",ISNUMBER($F179)),
                SUMIF((OFFSET(CÁLCULO!$BS$15:$CS$15,$F179,0,OFFSET(ORÇAMENTO!$D$15,CRONO!$F179,0))),CRONO!AP$12,OFFSET(CÁLCULO!$AR$15:$BR$15,$F179,0,OFFSET(ORÇAMENTO!$D$15,CRONO!$F179,0)))
                +IF(AND($F181&lt;&gt;"",$F181&lt;&gt;0),
                        SUMIF(CÁLCULO!$BS$15:$CS$205,CRONO!AP$12,CÁLCULO!$AR$15:$BR$205)/(ORÇAMENTO!$X$15-_xlfn.single(CÁLCULO.TotalAdmLocal))*CRONO!$F181,
                        0),
                 AP180*$S179),
          SUMIF(OFFSET($S181,1,0,$R179-2),($M179+1)&amp;"$",OFFSET(AP181,1,0,$R179-2)))</f>
        <v>0</v>
      </c>
      <c r="AQ181" s="439" t="n">
        <f aca="false" t="array" ref="AQ181:AQ181">IF($R179=2,
         IF(AND(ACOMPANHAMENTO="PLE",ISNUMBER($F179)),
                SUMIF((OFFSET(CÁLCULO!$BS$15:$CS$15,$F179,0,OFFSET(ORÇAMENTO!$D$15,CRONO!$F179,0))),CRONO!AQ$12,OFFSET(CÁLCULO!$AR$15:$BR$15,$F179,0,OFFSET(ORÇAMENTO!$D$15,CRONO!$F179,0)))
                +IF(AND($F181&lt;&gt;"",$F181&lt;&gt;0),
                        SUMIF(CÁLCULO!$BS$15:$CS$205,CRONO!AQ$12,CÁLCULO!$AR$15:$BR$205)/(ORÇAMENTO!$X$15-_xlfn.single(CÁLCULO.TotalAdmLocal))*CRONO!$F181,
                        0),
                 AQ180*$S179),
          SUMIF(OFFSET($S181,1,0,$R179-2),($M179+1)&amp;"$",OFFSET(AQ181,1,0,$R179-2)))</f>
        <v>0</v>
      </c>
      <c r="AR181" s="439" t="n">
        <f aca="false" t="array" ref="AR181:AR181">IF($R179=2,
         IF(AND(ACOMPANHAMENTO="PLE",ISNUMBER($F179)),
                SUMIF((OFFSET(CÁLCULO!$BS$15:$CS$15,$F179,0,OFFSET(ORÇAMENTO!$D$15,CRONO!$F179,0))),CRONO!AR$12,OFFSET(CÁLCULO!$AR$15:$BR$15,$F179,0,OFFSET(ORÇAMENTO!$D$15,CRONO!$F179,0)))
                +IF(AND($F181&lt;&gt;"",$F181&lt;&gt;0),
                        SUMIF(CÁLCULO!$BS$15:$CS$205,CRONO!AR$12,CÁLCULO!$AR$15:$BR$205)/(ORÇAMENTO!$X$15-_xlfn.single(CÁLCULO.TotalAdmLocal))*CRONO!$F181,
                        0),
                 AR180*$S179),
          SUMIF(OFFSET($S181,1,0,$R179-2),($M179+1)&amp;"$",OFFSET(AR181,1,0,$R179-2)))</f>
        <v>0</v>
      </c>
      <c r="AS181" s="439" t="n">
        <f aca="false" t="array" ref="AS181:AS181">IF($R179=2,
         IF(AND(ACOMPANHAMENTO="PLE",ISNUMBER($F179)),
                SUMIF((OFFSET(CÁLCULO!$BS$15:$CS$15,$F179,0,OFFSET(ORÇAMENTO!$D$15,CRONO!$F179,0))),CRONO!AS$12,OFFSET(CÁLCULO!$AR$15:$BR$15,$F179,0,OFFSET(ORÇAMENTO!$D$15,CRONO!$F179,0)))
                +IF(AND($F181&lt;&gt;"",$F181&lt;&gt;0),
                        SUMIF(CÁLCULO!$BS$15:$CS$205,CRONO!AS$12,CÁLCULO!$AR$15:$BR$205)/(ORÇAMENTO!$X$15-_xlfn.single(CÁLCULO.TotalAdmLocal))*CRONO!$F181,
                        0),
                 AS180*$S179),
          SUMIF(OFFSET($S181,1,0,$R179-2),($M179+1)&amp;"$",OFFSET(AS181,1,0,$R179-2)))</f>
        <v>0</v>
      </c>
      <c r="AT181" s="439" t="n">
        <f aca="false" t="array" ref="AT181:AT181">IF($R179=2,
         IF(AND(ACOMPANHAMENTO="PLE",ISNUMBER($F179)),
                SUMIF((OFFSET(CÁLCULO!$BS$15:$CS$15,$F179,0,OFFSET(ORÇAMENTO!$D$15,CRONO!$F179,0))),CRONO!AT$12,OFFSET(CÁLCULO!$AR$15:$BR$15,$F179,0,OFFSET(ORÇAMENTO!$D$15,CRONO!$F179,0)))
                +IF(AND($F181&lt;&gt;"",$F181&lt;&gt;0),
                        SUMIF(CÁLCULO!$BS$15:$CS$205,CRONO!AT$12,CÁLCULO!$AR$15:$BR$205)/(ORÇAMENTO!$X$15-_xlfn.single(CÁLCULO.TotalAdmLocal))*CRONO!$F181,
                        0),
                 AT180*$S179),
          SUMIF(OFFSET($S181,1,0,$R179-2),($M179+1)&amp;"$",OFFSET(AT181,1,0,$R179-2)))</f>
        <v>0</v>
      </c>
      <c r="AU181" s="439" t="n">
        <f aca="false" t="array" ref="AU181:AU181">IF($R179=2,
         IF(AND(ACOMPANHAMENTO="PLE",ISNUMBER($F179)),
                SUMIF((OFFSET(CÁLCULO!$BS$15:$CS$15,$F179,0,OFFSET(ORÇAMENTO!$D$15,CRONO!$F179,0))),CRONO!AU$12,OFFSET(CÁLCULO!$AR$15:$BR$15,$F179,0,OFFSET(ORÇAMENTO!$D$15,CRONO!$F179,0)))
                +IF(AND($F181&lt;&gt;"",$F181&lt;&gt;0),
                        SUMIF(CÁLCULO!$BS$15:$CS$205,CRONO!AU$12,CÁLCULO!$AR$15:$BR$205)/(ORÇAMENTO!$X$15-_xlfn.single(CÁLCULO.TotalAdmLocal))*CRONO!$F181,
                        0),
                 AU180*$S179),
          SUMIF(OFFSET($S181,1,0,$R179-2),($M179+1)&amp;"$",OFFSET(AU181,1,0,$R179-2)))</f>
        <v>0</v>
      </c>
      <c r="AV181" s="439" t="n">
        <f aca="false" t="array" ref="AV181:AV181">IF($R179=2,
         IF(AND(ACOMPANHAMENTO="PLE",ISNUMBER($F179)),
                SUMIF((OFFSET(CÁLCULO!$BS$15:$CS$15,$F179,0,OFFSET(ORÇAMENTO!$D$15,CRONO!$F179,0))),CRONO!AV$12,OFFSET(CÁLCULO!$AR$15:$BR$15,$F179,0,OFFSET(ORÇAMENTO!$D$15,CRONO!$F179,0)))
                +IF(AND($F181&lt;&gt;"",$F181&lt;&gt;0),
                        SUMIF(CÁLCULO!$BS$15:$CS$205,CRONO!AV$12,CÁLCULO!$AR$15:$BR$205)/(ORÇAMENTO!$X$15-_xlfn.single(CÁLCULO.TotalAdmLocal))*CRONO!$F181,
                        0),
                 AV180*$S179),
          SUMIF(OFFSET($S181,1,0,$R179-2),($M179+1)&amp;"$",OFFSET(AV181,1,0,$R179-2)))</f>
        <v>0</v>
      </c>
      <c r="AW181" s="439" t="n">
        <f aca="false" t="array" ref="AW181:AW181">IF($R179=2,
         IF(AND(ACOMPANHAMENTO="PLE",ISNUMBER($F179)),
                SUMIF((OFFSET(CÁLCULO!$BS$15:$CS$15,$F179,0,OFFSET(ORÇAMENTO!$D$15,CRONO!$F179,0))),CRONO!AW$12,OFFSET(CÁLCULO!$AR$15:$BR$15,$F179,0,OFFSET(ORÇAMENTO!$D$15,CRONO!$F179,0)))
                +IF(AND($F181&lt;&gt;"",$F181&lt;&gt;0),
                        SUMIF(CÁLCULO!$BS$15:$CS$205,CRONO!AW$12,CÁLCULO!$AR$15:$BR$205)/(ORÇAMENTO!$X$15-_xlfn.single(CÁLCULO.TotalAdmLocal))*CRONO!$F181,
                        0),
                 AW180*$S179),
          SUMIF(OFFSET($S181,1,0,$R179-2),($M179+1)&amp;"$",OFFSET(AW181,1,0,$R179-2)))</f>
        <v>0</v>
      </c>
      <c r="AX181" s="439" t="n">
        <f aca="false" t="array" ref="AX181:AX181">IF($R179=2,
         IF(AND(ACOMPANHAMENTO="PLE",ISNUMBER($F179)),
                SUMIF((OFFSET(CÁLCULO!$BS$15:$CS$15,$F179,0,OFFSET(ORÇAMENTO!$D$15,CRONO!$F179,0))),CRONO!AX$12,OFFSET(CÁLCULO!$AR$15:$BR$15,$F179,0,OFFSET(ORÇAMENTO!$D$15,CRONO!$F179,0)))
                +IF(AND($F181&lt;&gt;"",$F181&lt;&gt;0),
                        SUMIF(CÁLCULO!$BS$15:$CS$205,CRONO!AX$12,CÁLCULO!$AR$15:$BR$205)/(ORÇAMENTO!$X$15-_xlfn.single(CÁLCULO.TotalAdmLocal))*CRONO!$F181,
                        0),
                 AX180*$S179),
          SUMIF(OFFSET($S181,1,0,$R179-2),($M179+1)&amp;"$",OFFSET(AX181,1,0,$R179-2)))</f>
        <v>0</v>
      </c>
      <c r="AY181" s="439" t="n">
        <f aca="false" t="array" ref="AY181:AY181">IF($R179=2,
         IF(AND(ACOMPANHAMENTO="PLE",ISNUMBER($F179)),
                SUMIF((OFFSET(CÁLCULO!$BS$15:$CS$15,$F179,0,OFFSET(ORÇAMENTO!$D$15,CRONO!$F179,0))),CRONO!AY$12,OFFSET(CÁLCULO!$AR$15:$BR$15,$F179,0,OFFSET(ORÇAMENTO!$D$15,CRONO!$F179,0)))
                +IF(AND($F181&lt;&gt;"",$F181&lt;&gt;0),
                        SUMIF(CÁLCULO!$BS$15:$CS$205,CRONO!AY$12,CÁLCULO!$AR$15:$BR$205)/(ORÇAMENTO!$X$15-_xlfn.single(CÁLCULO.TotalAdmLocal))*CRONO!$F181,
                        0),
                 AY180*$S179),
          SUMIF(OFFSET($S181,1,0,$R179-2),($M179+1)&amp;"$",OFFSET(AY181,1,0,$R179-2)))</f>
        <v>0</v>
      </c>
      <c r="AZ181" s="439" t="n">
        <f aca="false" t="array" ref="AZ181:AZ181">IF($R179=2,
         IF(AND(ACOMPANHAMENTO="PLE",ISNUMBER($F179)),
                SUMIF((OFFSET(CÁLCULO!$BS$15:$CS$15,$F179,0,OFFSET(ORÇAMENTO!$D$15,CRONO!$F179,0))),CRONO!AZ$12,OFFSET(CÁLCULO!$AR$15:$BR$15,$F179,0,OFFSET(ORÇAMENTO!$D$15,CRONO!$F179,0)))
                +IF(AND($F181&lt;&gt;"",$F181&lt;&gt;0),
                        SUMIF(CÁLCULO!$BS$15:$CS$205,CRONO!AZ$12,CÁLCULO!$AR$15:$BR$205)/(ORÇAMENTO!$X$15-_xlfn.single(CÁLCULO.TotalAdmLocal))*CRONO!$F181,
                        0),
                 AZ180*$S179),
          SUMIF(OFFSET($S181,1,0,$R179-2),($M179+1)&amp;"$",OFFSET(AZ181,1,0,$R179-2)))</f>
        <v>0</v>
      </c>
      <c r="BA181" s="439" t="n">
        <f aca="false" t="array" ref="BA181:BA181">IF($R179=2,
         IF(AND(ACOMPANHAMENTO="PLE",ISNUMBER($F179)),
                SUMIF((OFFSET(CÁLCULO!$BS$15:$CS$15,$F179,0,OFFSET(ORÇAMENTO!$D$15,CRONO!$F179,0))),CRONO!BA$12,OFFSET(CÁLCULO!$AR$15:$BR$15,$F179,0,OFFSET(ORÇAMENTO!$D$15,CRONO!$F179,0)))
                +IF(AND($F181&lt;&gt;"",$F181&lt;&gt;0),
                        SUMIF(CÁLCULO!$BS$15:$CS$205,CRONO!BA$12,CÁLCULO!$AR$15:$BR$205)/(ORÇAMENTO!$X$15-_xlfn.single(CÁLCULO.TotalAdmLocal))*CRONO!$F181,
                        0),
                 BA180*$S179),
          SUMIF(OFFSET($S181,1,0,$R179-2),($M179+1)&amp;"$",OFFSET(BA181,1,0,$R179-2)))</f>
        <v>0</v>
      </c>
      <c r="BB181" s="439" t="n">
        <f aca="false" t="array" ref="BB181:BB181">IF($R179=2,
         IF(AND(ACOMPANHAMENTO="PLE",ISNUMBER($F179)),
                SUMIF((OFFSET(CÁLCULO!$BS$15:$CS$15,$F179,0,OFFSET(ORÇAMENTO!$D$15,CRONO!$F179,0))),CRONO!BB$12,OFFSET(CÁLCULO!$AR$15:$BR$15,$F179,0,OFFSET(ORÇAMENTO!$D$15,CRONO!$F179,0)))
                +IF(AND($F181&lt;&gt;"",$F181&lt;&gt;0),
                        SUMIF(CÁLCULO!$BS$15:$CS$205,CRONO!BB$12,CÁLCULO!$AR$15:$BR$205)/(ORÇAMENTO!$X$15-_xlfn.single(CÁLCULO.TotalAdmLocal))*CRONO!$F181,
                        0),
                 BB180*$S179),
          SUMIF(OFFSET($S181,1,0,$R179-2),($M179+1)&amp;"$",OFFSET(BB181,1,0,$R179-2)))</f>
        <v>0</v>
      </c>
      <c r="BC181" s="439" t="n">
        <f aca="false" t="array" ref="BC181:BC181">IF($R179=2,
         IF(AND(ACOMPANHAMENTO="PLE",ISNUMBER($F179)),
                SUMIF((OFFSET(CÁLCULO!$BS$15:$CS$15,$F179,0,OFFSET(ORÇAMENTO!$D$15,CRONO!$F179,0))),CRONO!BC$12,OFFSET(CÁLCULO!$AR$15:$BR$15,$F179,0,OFFSET(ORÇAMENTO!$D$15,CRONO!$F179,0)))
                +IF(AND($F181&lt;&gt;"",$F181&lt;&gt;0),
                        SUMIF(CÁLCULO!$BS$15:$CS$205,CRONO!BC$12,CÁLCULO!$AR$15:$BR$205)/(ORÇAMENTO!$X$15-_xlfn.single(CÁLCULO.TotalAdmLocal))*CRONO!$F181,
                        0),
                 BC180*$S179),
          SUMIF(OFFSET($S181,1,0,$R179-2),($M179+1)&amp;"$",OFFSET(BC181,1,0,$R179-2)))</f>
        <v>0</v>
      </c>
      <c r="BD181" s="439" t="n">
        <f aca="false" t="array" ref="BD181:BD181">IF($R179=2,
         IF(AND(ACOMPANHAMENTO="PLE",ISNUMBER($F179)),
                SUMIF((OFFSET(CÁLCULO!$BS$15:$CS$15,$F179,0,OFFSET(ORÇAMENTO!$D$15,CRONO!$F179,0))),CRONO!BD$12,OFFSET(CÁLCULO!$AR$15:$BR$15,$F179,0,OFFSET(ORÇAMENTO!$D$15,CRONO!$F179,0)))
                +IF(AND($F181&lt;&gt;"",$F181&lt;&gt;0),
                        SUMIF(CÁLCULO!$BS$15:$CS$205,CRONO!BD$12,CÁLCULO!$AR$15:$BR$205)/(ORÇAMENTO!$X$15-_xlfn.single(CÁLCULO.TotalAdmLocal))*CRONO!$F181,
                        0),
                 BD180*$S179),
          SUMIF(OFFSET($S181,1,0,$R179-2),($M179+1)&amp;"$",OFFSET(BD181,1,0,$R179-2)))</f>
        <v>0</v>
      </c>
      <c r="BE181" s="430"/>
    </row>
    <row r="182" customFormat="false" ht="4.5" hidden="false" customHeight="true" outlineLevel="0" collapsed="false">
      <c r="E182" s="473"/>
      <c r="G182" s="419" t="s">
        <v>563</v>
      </c>
      <c r="H182" s="474"/>
      <c r="I182" s="475"/>
      <c r="J182" s="476"/>
      <c r="K182" s="476"/>
      <c r="L182" s="476"/>
      <c r="M182" s="477" t="s">
        <v>1008</v>
      </c>
      <c r="N182" s="477"/>
      <c r="O182" s="477"/>
      <c r="P182" s="477"/>
      <c r="Q182" s="477"/>
      <c r="R182" s="477"/>
      <c r="S182" s="478"/>
      <c r="T182" s="478"/>
      <c r="U182" s="476"/>
      <c r="V182" s="476"/>
      <c r="W182" s="476"/>
      <c r="X182" s="476"/>
      <c r="Y182" s="476"/>
      <c r="Z182" s="476"/>
      <c r="AA182" s="476"/>
      <c r="AB182" s="476"/>
      <c r="AC182" s="476"/>
      <c r="AD182" s="476"/>
      <c r="AE182" s="476"/>
      <c r="AF182" s="476"/>
      <c r="AG182" s="476"/>
      <c r="AH182" s="476"/>
      <c r="AI182" s="476"/>
      <c r="AJ182" s="476"/>
      <c r="AK182" s="476"/>
      <c r="AL182" s="476"/>
      <c r="AM182" s="476"/>
      <c r="AN182" s="476"/>
      <c r="AO182" s="476"/>
      <c r="AP182" s="476"/>
      <c r="AQ182" s="476"/>
      <c r="AR182" s="476"/>
      <c r="AS182" s="476"/>
      <c r="AT182" s="476"/>
      <c r="AU182" s="476"/>
      <c r="AV182" s="476"/>
      <c r="AW182" s="476"/>
      <c r="AX182" s="476"/>
      <c r="AY182" s="476"/>
      <c r="AZ182" s="476"/>
      <c r="BA182" s="476"/>
      <c r="BB182" s="476"/>
      <c r="BC182" s="476"/>
      <c r="BD182" s="476"/>
      <c r="BE182" s="430"/>
    </row>
    <row r="183" customFormat="false" ht="12.75" hidden="false" customHeight="true" outlineLevel="0" collapsed="false">
      <c r="E183" s="479" t="n">
        <f aca="false">E187/$R$183</f>
        <v>0.0452290856448283</v>
      </c>
      <c r="G183" s="419" t="s">
        <v>563</v>
      </c>
      <c r="I183" s="480" t="str">
        <f aca="false">"Total:    R$ "&amp;TEXT(R183,"#.##0,00")</f>
        <v>Total:    R$ 3.655.717,06</v>
      </c>
      <c r="J183" s="480"/>
      <c r="K183" s="480"/>
      <c r="L183" s="481"/>
      <c r="R183" s="482" t="n">
        <f aca="false">SUMIF(M12:M182,1,S12:S182)</f>
        <v>3655717.06</v>
      </c>
      <c r="S183" s="483"/>
      <c r="T183" s="484" t="s">
        <v>1009</v>
      </c>
      <c r="U183" s="479" t="n">
        <f aca="false">ROUND(U187,2)/$R$183</f>
        <v>0.0452290856448283</v>
      </c>
      <c r="V183" s="479" t="n">
        <f aca="false">ROUND(V187,2)/$R$183</f>
        <v>0.0435596840199663</v>
      </c>
      <c r="W183" s="479" t="n">
        <f aca="false">ROUND(W187,2)/$R$183</f>
        <v>0.0400047043027996</v>
      </c>
      <c r="X183" s="479" t="n">
        <f aca="false">ROUND(X187,2)/$R$183</f>
        <v>0.0396002966378366</v>
      </c>
      <c r="Y183" s="479" t="n">
        <f aca="false">ROUND(Y187,2)/$R$183</f>
        <v>0.0396002966378366</v>
      </c>
      <c r="Z183" s="479" t="n">
        <f aca="false">ROUND(Z187,2)/$R$183</f>
        <v>0.0396002966378366</v>
      </c>
      <c r="AA183" s="479" t="n">
        <f aca="false">ROUND(AA187,2)/$R$183</f>
        <v>0.0396002966378366</v>
      </c>
      <c r="AB183" s="479" t="n">
        <f aca="false">ROUND(AB187,2)/$R$183</f>
        <v>0.0396002966378366</v>
      </c>
      <c r="AC183" s="479" t="n">
        <f aca="false">ROUND(AC187,2)/$R$183</f>
        <v>0.0396002966378366</v>
      </c>
      <c r="AD183" s="479" t="n">
        <f aca="false">ROUND(AD187,2)/$R$183</f>
        <v>0.0396002966378366</v>
      </c>
      <c r="AE183" s="479" t="n">
        <f aca="false">ROUND(AE187,2)/$R$183</f>
        <v>0.0396002966378366</v>
      </c>
      <c r="AF183" s="485" t="n">
        <f aca="false">ROUND(AF187,2)/$R$183</f>
        <v>0.0396002966378366</v>
      </c>
      <c r="AG183" s="479" t="n">
        <f aca="false">ROUND(AG187,2)/$R$183</f>
        <v>0.0396002966378366</v>
      </c>
      <c r="AH183" s="479" t="n">
        <f aca="false">ROUND(AH187,2)/$R$183</f>
        <v>0.0396002966378366</v>
      </c>
      <c r="AI183" s="479" t="n">
        <f aca="false">ROUND(AI187,2)/$R$183</f>
        <v>0.0396002966378366</v>
      </c>
      <c r="AJ183" s="479" t="n">
        <f aca="false">ROUND(AJ187,2)/$R$183</f>
        <v>0.0396002966378366</v>
      </c>
      <c r="AK183" s="479" t="n">
        <f aca="false">ROUND(AK187,2)/$R$183</f>
        <v>0.0396002966378366</v>
      </c>
      <c r="AL183" s="479" t="n">
        <f aca="false">ROUND(AL187,2)/$R$183</f>
        <v>0.0396002966378366</v>
      </c>
      <c r="AM183" s="479" t="n">
        <f aca="false">ROUND(AM187,2)/$R$183</f>
        <v>0.0396002966378366</v>
      </c>
      <c r="AN183" s="479" t="n">
        <f aca="false">ROUND(AN187,2)/$R$183</f>
        <v>0.0396002966378366</v>
      </c>
      <c r="AO183" s="479" t="n">
        <f aca="false">ROUND(AO187,2)/$R$183</f>
        <v>0.0396002966378366</v>
      </c>
      <c r="AP183" s="479" t="n">
        <f aca="false">ROUND(AP187,2)/$R$183</f>
        <v>0.0396002966378366</v>
      </c>
      <c r="AQ183" s="479" t="n">
        <f aca="false">ROUND(AQ187,2)/$R$183</f>
        <v>0.0396002966378366</v>
      </c>
      <c r="AR183" s="485" t="n">
        <f aca="false">ROUND(AR187,2)/$R$183</f>
        <v>0.0396002966378366</v>
      </c>
      <c r="AS183" s="479" t="n">
        <f aca="false">ROUND(AS187,2)/$R$183</f>
        <v>0.0396002966378366</v>
      </c>
      <c r="AT183" s="479" t="n">
        <f aca="false">ROUND(AT187,2)/$R$183</f>
        <v>0</v>
      </c>
      <c r="AU183" s="479" t="n">
        <f aca="false">ROUND(AU187,2)/$R$183</f>
        <v>0</v>
      </c>
      <c r="AV183" s="479" t="n">
        <f aca="false">ROUND(AV187,2)/$R$183</f>
        <v>0</v>
      </c>
      <c r="AW183" s="479" t="n">
        <f aca="false">ROUND(AW187,2)/$R$183</f>
        <v>0</v>
      </c>
      <c r="AX183" s="479" t="n">
        <f aca="false">ROUND(AX187,2)/$R$183</f>
        <v>0</v>
      </c>
      <c r="AY183" s="479" t="n">
        <f aca="false">ROUND(AY187,2)/$R$183</f>
        <v>0</v>
      </c>
      <c r="AZ183" s="479" t="n">
        <f aca="false">ROUND(AZ187,2)/$R$183</f>
        <v>0</v>
      </c>
      <c r="BA183" s="479" t="n">
        <f aca="false">ROUND(BA187,2)/$R$183</f>
        <v>0</v>
      </c>
      <c r="BB183" s="479" t="n">
        <f aca="false">ROUND(BB187,2)/$R$183</f>
        <v>0</v>
      </c>
      <c r="BC183" s="479" t="n">
        <f aca="false">ROUND(BC187,2)/$R$183</f>
        <v>0</v>
      </c>
      <c r="BD183" s="485" t="n">
        <f aca="false">ROUND(BD187,2)/$R$183</f>
        <v>0</v>
      </c>
      <c r="BE183" s="430"/>
    </row>
    <row r="184" customFormat="false" ht="15" hidden="false" customHeight="true" outlineLevel="0" collapsed="false">
      <c r="E184" s="486" t="n">
        <f aca="false">IF(E$12=1,ROUND(E189,2),ROUND(E189,2)-ROUND(D189,2))</f>
        <v>146994.53</v>
      </c>
      <c r="G184" s="419" t="s">
        <v>563</v>
      </c>
      <c r="I184" s="480"/>
      <c r="J184" s="480"/>
      <c r="K184" s="480"/>
      <c r="L184" s="487"/>
      <c r="R184" s="482"/>
      <c r="S184" s="488"/>
      <c r="T184" s="489" t="str">
        <f aca="false">IF(import.recurso="FGTS","Financiamento:","Repasse:")</f>
        <v>Repasse:</v>
      </c>
      <c r="U184" s="486" t="n">
        <f aca="false">IF(U$12=1,ROUND(U189,2),ROUND(U189,2)-ROUND(T189,2))</f>
        <v>146994.53</v>
      </c>
      <c r="V184" s="486" t="n">
        <f aca="false">IF(V$12=1,ROUND(V189,2),ROUND(V189,2)-ROUND(U189,2))</f>
        <v>141568.97</v>
      </c>
      <c r="W184" s="486" t="n">
        <f aca="false">IF(W$12=1,ROUND(W189,2),ROUND(W189,2)-ROUND(V189,2))</f>
        <v>130015.29</v>
      </c>
      <c r="X184" s="486" t="n">
        <f aca="false">IF(X$12=1,ROUND(X189,2),ROUND(X189,2)-ROUND(W189,2))</f>
        <v>128700.96</v>
      </c>
      <c r="Y184" s="486" t="n">
        <f aca="false">IF(Y$12=1,ROUND(Y189,2),ROUND(Y189,2)-ROUND(X189,2))</f>
        <v>128700.97</v>
      </c>
      <c r="Z184" s="486" t="n">
        <f aca="false">IF(Z$12=1,ROUND(Z189,2),ROUND(Z189,2)-ROUND(Y189,2))</f>
        <v>128700.96</v>
      </c>
      <c r="AA184" s="486" t="n">
        <f aca="false">IF(AA$12=1,ROUND(AA189,2),ROUND(AA189,2)-ROUND(Z189,2))</f>
        <v>128700.97</v>
      </c>
      <c r="AB184" s="486" t="n">
        <f aca="false">IF(AB$12=1,ROUND(AB189,2),ROUND(AB189,2)-ROUND(AA189,2))</f>
        <v>128700.96</v>
      </c>
      <c r="AC184" s="486" t="n">
        <f aca="false">IF(AC$12=1,ROUND(AC189,2),ROUND(AC189,2)-ROUND(AB189,2))</f>
        <v>128700.96</v>
      </c>
      <c r="AD184" s="486" t="n">
        <f aca="false">IF(AD$12=1,ROUND(AD189,2),ROUND(AD189,2)-ROUND(AC189,2))</f>
        <v>128700.97</v>
      </c>
      <c r="AE184" s="486" t="n">
        <f aca="false">IF(AE$12=1,ROUND(AE189,2),ROUND(AE189,2)-ROUND(AD189,2))</f>
        <v>128700.96</v>
      </c>
      <c r="AF184" s="486" t="n">
        <f aca="false">IF(AF$12=1,ROUND(AF189,2),ROUND(AF189,2)-ROUND(AE189,2))</f>
        <v>128700.97</v>
      </c>
      <c r="AG184" s="486" t="n">
        <f aca="false">IF(AG$12=1,ROUND(AG189,2),ROUND(AG189,2)-ROUND(AF189,2))</f>
        <v>128700.96</v>
      </c>
      <c r="AH184" s="486" t="n">
        <f aca="false">IF(AH$12=1,ROUND(AH189,2),ROUND(AH189,2)-ROUND(AG189,2))</f>
        <v>128700.97</v>
      </c>
      <c r="AI184" s="486" t="n">
        <f aca="false">IF(AI$12=1,ROUND(AI189,2),ROUND(AI189,2)-ROUND(AH189,2))</f>
        <v>128700.96</v>
      </c>
      <c r="AJ184" s="486" t="n">
        <f aca="false">IF(AJ$12=1,ROUND(AJ189,2),ROUND(AJ189,2)-ROUND(AI189,2))</f>
        <v>128700.96</v>
      </c>
      <c r="AK184" s="486" t="n">
        <f aca="false">IF(AK$12=1,ROUND(AK189,2),ROUND(AK189,2)-ROUND(AJ189,2))</f>
        <v>128700.97</v>
      </c>
      <c r="AL184" s="486" t="n">
        <f aca="false">IF(AL$12=1,ROUND(AL189,2),ROUND(AL189,2)-ROUND(AK189,2))</f>
        <v>128700.96</v>
      </c>
      <c r="AM184" s="486" t="n">
        <f aca="false">IF(AM$12=1,ROUND(AM189,2),ROUND(AM189,2)-ROUND(AL189,2))</f>
        <v>128700.97</v>
      </c>
      <c r="AN184" s="486" t="n">
        <f aca="false">IF(AN$12=1,ROUND(AN189,2),ROUND(AN189,2)-ROUND(AM189,2))</f>
        <v>128700.96</v>
      </c>
      <c r="AO184" s="486" t="n">
        <f aca="false">IF(AO$12=1,ROUND(AO189,2),ROUND(AO189,2)-ROUND(AN189,2))</f>
        <v>128700.96</v>
      </c>
      <c r="AP184" s="486" t="n">
        <f aca="false">IF(AP$12=1,ROUND(AP189,2),ROUND(AP189,2)-ROUND(AO189,2))</f>
        <v>128700.97</v>
      </c>
      <c r="AQ184" s="486" t="n">
        <f aca="false">IF(AQ$12=1,ROUND(AQ189,2),ROUND(AQ189,2)-ROUND(AP189,2))</f>
        <v>128700.96</v>
      </c>
      <c r="AR184" s="486" t="n">
        <f aca="false">IF(AR$12=1,ROUND(AR189,2),ROUND(AR189,2)-ROUND(AQ189,2))</f>
        <v>128700.97</v>
      </c>
      <c r="AS184" s="486" t="n">
        <f aca="false">IF(AS$12=1,ROUND(AS189,2),ROUND(AS189,2)-ROUND(AR189,2))</f>
        <v>128700.96</v>
      </c>
      <c r="AT184" s="486" t="n">
        <f aca="false">IF(AT$12=1,ROUND(AT189,2),ROUND(AT189,2)-ROUND(AS189,2))</f>
        <v>0</v>
      </c>
      <c r="AU184" s="486" t="n">
        <f aca="false">IF(AU$12=1,ROUND(AU189,2),ROUND(AU189,2)-ROUND(AT189,2))</f>
        <v>0</v>
      </c>
      <c r="AV184" s="486" t="n">
        <f aca="false">IF(AV$12=1,ROUND(AV189,2),ROUND(AV189,2)-ROUND(AU189,2))</f>
        <v>0</v>
      </c>
      <c r="AW184" s="486" t="n">
        <f aca="false">IF(AW$12=1,ROUND(AW189,2),ROUND(AW189,2)-ROUND(AV189,2))</f>
        <v>0</v>
      </c>
      <c r="AX184" s="486" t="n">
        <f aca="false">IF(AX$12=1,ROUND(AX189,2),ROUND(AX189,2)-ROUND(AW189,2))</f>
        <v>0</v>
      </c>
      <c r="AY184" s="486" t="n">
        <f aca="false">IF(AY$12=1,ROUND(AY189,2),ROUND(AY189,2)-ROUND(AX189,2))</f>
        <v>0</v>
      </c>
      <c r="AZ184" s="486" t="n">
        <f aca="false">IF(AZ$12=1,ROUND(AZ189,2),ROUND(AZ189,2)-ROUND(AY189,2))</f>
        <v>0</v>
      </c>
      <c r="BA184" s="486" t="n">
        <f aca="false">IF(BA$12=1,ROUND(BA189,2),ROUND(BA189,2)-ROUND(AZ189,2))</f>
        <v>0</v>
      </c>
      <c r="BB184" s="486" t="n">
        <f aca="false">IF(BB$12=1,ROUND(BB189,2),ROUND(BB189,2)-ROUND(BA189,2))</f>
        <v>0</v>
      </c>
      <c r="BC184" s="486" t="n">
        <f aca="false">IF(BC$12=1,ROUND(BC189,2),ROUND(BC189,2)-ROUND(BB189,2))</f>
        <v>0</v>
      </c>
      <c r="BD184" s="486" t="n">
        <f aca="false">IF(BD$12=1,ROUND(BD189,2),ROUND(BD189,2)-ROUND(BC189,2))</f>
        <v>0</v>
      </c>
      <c r="BE184" s="430"/>
    </row>
    <row r="185" customFormat="false" ht="12.75" hidden="false" customHeight="true" outlineLevel="0" collapsed="false">
      <c r="E185" s="490" t="n">
        <f aca="false">IF(E$12=1,ROUND(E190,2),ROUND(E190,2)-ROUND(D190,2))</f>
        <v>18350.21</v>
      </c>
      <c r="G185" s="419" t="s">
        <v>563</v>
      </c>
      <c r="I185" s="491"/>
      <c r="L185" s="492" t="s">
        <v>1010</v>
      </c>
      <c r="R185" s="482"/>
      <c r="S185" s="493"/>
      <c r="T185" s="494" t="s">
        <v>1011</v>
      </c>
      <c r="U185" s="490" t="n">
        <f aca="false">IF(U$12=1,ROUND(U190,2),ROUND(U190,2)-ROUND(T190,2))</f>
        <v>18350.21</v>
      </c>
      <c r="V185" s="490" t="n">
        <f aca="false">IF(V$12=1,ROUND(V190,2),ROUND(V190,2)-ROUND(U190,2))</f>
        <v>17672.91</v>
      </c>
      <c r="W185" s="490" t="n">
        <f aca="false">IF(W$12=1,ROUND(W190,2),ROUND(W190,2)-ROUND(V190,2))</f>
        <v>16230.59</v>
      </c>
      <c r="X185" s="490" t="n">
        <f aca="false">IF(X$12=1,ROUND(X190,2),ROUND(X190,2)-ROUND(W190,2))</f>
        <v>16066.52</v>
      </c>
      <c r="Y185" s="490" t="n">
        <f aca="false">IF(Y$12=1,ROUND(Y190,2),ROUND(Y190,2)-ROUND(X190,2))</f>
        <v>16066.51</v>
      </c>
      <c r="Z185" s="490" t="n">
        <f aca="false">IF(Z$12=1,ROUND(Z190,2),ROUND(Z190,2)-ROUND(Y190,2))</f>
        <v>16066.52</v>
      </c>
      <c r="AA185" s="490" t="n">
        <f aca="false">IF(AA$12=1,ROUND(AA190,2),ROUND(AA190,2)-ROUND(Z190,2))</f>
        <v>16066.51</v>
      </c>
      <c r="AB185" s="490" t="n">
        <f aca="false">IF(AB$12=1,ROUND(AB190,2),ROUND(AB190,2)-ROUND(AA190,2))</f>
        <v>16066.52</v>
      </c>
      <c r="AC185" s="490" t="n">
        <f aca="false">IF(AC$12=1,ROUND(AC190,2),ROUND(AC190,2)-ROUND(AB190,2))</f>
        <v>16066.52</v>
      </c>
      <c r="AD185" s="490" t="n">
        <f aca="false">IF(AD$12=1,ROUND(AD190,2),ROUND(AD190,2)-ROUND(AC190,2))</f>
        <v>16066.51</v>
      </c>
      <c r="AE185" s="490" t="n">
        <f aca="false">IF(AE$12=1,ROUND(AE190,2),ROUND(AE190,2)-ROUND(AD190,2))</f>
        <v>16066.52</v>
      </c>
      <c r="AF185" s="490" t="n">
        <f aca="false">IF(AF$12=1,ROUND(AF190,2),ROUND(AF190,2)-ROUND(AE190,2))</f>
        <v>16066.51</v>
      </c>
      <c r="AG185" s="490" t="n">
        <f aca="false">IF(AG$12=1,ROUND(AG190,2),ROUND(AG190,2)-ROUND(AF190,2))</f>
        <v>16066.52</v>
      </c>
      <c r="AH185" s="490" t="n">
        <f aca="false">IF(AH$12=1,ROUND(AH190,2),ROUND(AH190,2)-ROUND(AG190,2))</f>
        <v>16066.51</v>
      </c>
      <c r="AI185" s="490" t="n">
        <f aca="false">IF(AI$12=1,ROUND(AI190,2),ROUND(AI190,2)-ROUND(AH190,2))</f>
        <v>16066.52</v>
      </c>
      <c r="AJ185" s="490" t="n">
        <f aca="false">IF(AJ$12=1,ROUND(AJ190,2),ROUND(AJ190,2)-ROUND(AI190,2))</f>
        <v>16066.52</v>
      </c>
      <c r="AK185" s="490" t="n">
        <f aca="false">IF(AK$12=1,ROUND(AK190,2),ROUND(AK190,2)-ROUND(AJ190,2))</f>
        <v>16066.51</v>
      </c>
      <c r="AL185" s="490" t="n">
        <f aca="false">IF(AL$12=1,ROUND(AL190,2),ROUND(AL190,2)-ROUND(AK190,2))</f>
        <v>16066.52</v>
      </c>
      <c r="AM185" s="490" t="n">
        <f aca="false">IF(AM$12=1,ROUND(AM190,2),ROUND(AM190,2)-ROUND(AL190,2))</f>
        <v>16066.51</v>
      </c>
      <c r="AN185" s="490" t="n">
        <f aca="false">IF(AN$12=1,ROUND(AN190,2),ROUND(AN190,2)-ROUND(AM190,2))</f>
        <v>16066.52</v>
      </c>
      <c r="AO185" s="490" t="n">
        <f aca="false">IF(AO$12=1,ROUND(AO190,2),ROUND(AO190,2)-ROUND(AN190,2))</f>
        <v>16066.52</v>
      </c>
      <c r="AP185" s="490" t="n">
        <f aca="false">IF(AP$12=1,ROUND(AP190,2),ROUND(AP190,2)-ROUND(AO190,2))</f>
        <v>16066.51</v>
      </c>
      <c r="AQ185" s="490" t="n">
        <f aca="false">IF(AQ$12=1,ROUND(AQ190,2),ROUND(AQ190,2)-ROUND(AP190,2))</f>
        <v>16066.52</v>
      </c>
      <c r="AR185" s="490" t="n">
        <f aca="false">IF(AR$12=1,ROUND(AR190,2),ROUND(AR190,2)-ROUND(AQ190,2))</f>
        <v>16066.51</v>
      </c>
      <c r="AS185" s="490" t="n">
        <f aca="false">IF(AS$12=1,ROUND(AS190,2),ROUND(AS190,2)-ROUND(AR190,2))</f>
        <v>16066.52</v>
      </c>
      <c r="AT185" s="490" t="n">
        <f aca="false">IF(AT$12=1,ROUND(AT190,2),ROUND(AT190,2)-ROUND(AS190,2))</f>
        <v>0</v>
      </c>
      <c r="AU185" s="490" t="n">
        <f aca="false">IF(AU$12=1,ROUND(AU190,2),ROUND(AU190,2)-ROUND(AT190,2))</f>
        <v>0</v>
      </c>
      <c r="AV185" s="490" t="n">
        <f aca="false">IF(AV$12=1,ROUND(AV190,2),ROUND(AV190,2)-ROUND(AU190,2))</f>
        <v>0</v>
      </c>
      <c r="AW185" s="490" t="n">
        <f aca="false">IF(AW$12=1,ROUND(AW190,2),ROUND(AW190,2)-ROUND(AV190,2))</f>
        <v>0</v>
      </c>
      <c r="AX185" s="490" t="n">
        <f aca="false">IF(AX$12=1,ROUND(AX190,2),ROUND(AX190,2)-ROUND(AW190,2))</f>
        <v>0</v>
      </c>
      <c r="AY185" s="490" t="n">
        <f aca="false">IF(AY$12=1,ROUND(AY190,2),ROUND(AY190,2)-ROUND(AX190,2))</f>
        <v>0</v>
      </c>
      <c r="AZ185" s="490" t="n">
        <f aca="false">IF(AZ$12=1,ROUND(AZ190,2),ROUND(AZ190,2)-ROUND(AY190,2))</f>
        <v>0</v>
      </c>
      <c r="BA185" s="490" t="n">
        <f aca="false">IF(BA$12=1,ROUND(BA190,2),ROUND(BA190,2)-ROUND(AZ190,2))</f>
        <v>0</v>
      </c>
      <c r="BB185" s="490" t="n">
        <f aca="false">IF(BB$12=1,ROUND(BB190,2),ROUND(BB190,2)-ROUND(BA190,2))</f>
        <v>0</v>
      </c>
      <c r="BC185" s="490" t="n">
        <f aca="false">IF(BC$12=1,ROUND(BC190,2),ROUND(BC190,2)-ROUND(BB190,2))</f>
        <v>0</v>
      </c>
      <c r="BD185" s="490" t="n">
        <f aca="false">IF(BD$12=1,ROUND(BD190,2),ROUND(BD190,2)-ROUND(BC190,2))</f>
        <v>0</v>
      </c>
      <c r="BE185" s="430"/>
    </row>
    <row r="186" customFormat="false" ht="12.75" hidden="false" customHeight="false" outlineLevel="0" collapsed="false">
      <c r="E186" s="495" t="n">
        <f aca="false">IF(E$12=1,ROUND(E191,2),ROUND(E191,2)-ROUND(D191,2))</f>
        <v>0</v>
      </c>
      <c r="G186" s="419" t="s">
        <v>563</v>
      </c>
      <c r="I186" s="491"/>
      <c r="L186" s="492"/>
      <c r="R186" s="482"/>
      <c r="S186" s="496"/>
      <c r="T186" s="497" t="s">
        <v>1012</v>
      </c>
      <c r="U186" s="495" t="n">
        <f aca="false">IF(U$12=1,ROUND(U191,2),ROUND(U191,2)-ROUND(T191,2))</f>
        <v>0</v>
      </c>
      <c r="V186" s="495" t="n">
        <f aca="false">IF(V$12=1,ROUND(V191,2),ROUND(V191,2)-ROUND(U191,2))</f>
        <v>0</v>
      </c>
      <c r="W186" s="495" t="n">
        <f aca="false">IF(W$12=1,ROUND(W191,2),ROUND(W191,2)-ROUND(V191,2))</f>
        <v>0</v>
      </c>
      <c r="X186" s="495" t="n">
        <f aca="false">IF(X$12=1,ROUND(X191,2),ROUND(X191,2)-ROUND(W191,2))</f>
        <v>0</v>
      </c>
      <c r="Y186" s="495" t="n">
        <f aca="false">IF(Y$12=1,ROUND(Y191,2),ROUND(Y191,2)-ROUND(X191,2))</f>
        <v>0</v>
      </c>
      <c r="Z186" s="495" t="n">
        <f aca="false">IF(Z$12=1,ROUND(Z191,2),ROUND(Z191,2)-ROUND(Y191,2))</f>
        <v>0</v>
      </c>
      <c r="AA186" s="495" t="n">
        <f aca="false">IF(AA$12=1,ROUND(AA191,2),ROUND(AA191,2)-ROUND(Z191,2))</f>
        <v>0</v>
      </c>
      <c r="AB186" s="495" t="n">
        <f aca="false">IF(AB$12=1,ROUND(AB191,2),ROUND(AB191,2)-ROUND(AA191,2))</f>
        <v>0</v>
      </c>
      <c r="AC186" s="495" t="n">
        <f aca="false">IF(AC$12=1,ROUND(AC191,2),ROUND(AC191,2)-ROUND(AB191,2))</f>
        <v>0</v>
      </c>
      <c r="AD186" s="495" t="n">
        <f aca="false">IF(AD$12=1,ROUND(AD191,2),ROUND(AD191,2)-ROUND(AC191,2))</f>
        <v>0</v>
      </c>
      <c r="AE186" s="495" t="n">
        <f aca="false">IF(AE$12=1,ROUND(AE191,2),ROUND(AE191,2)-ROUND(AD191,2))</f>
        <v>0</v>
      </c>
      <c r="AF186" s="495" t="n">
        <f aca="false">IF(AF$12=1,ROUND(AF191,2),ROUND(AF191,2)-ROUND(AE191,2))</f>
        <v>0</v>
      </c>
      <c r="AG186" s="495" t="n">
        <f aca="false">IF(AG$12=1,ROUND(AG191,2),ROUND(AG191,2)-ROUND(AF191,2))</f>
        <v>0</v>
      </c>
      <c r="AH186" s="495" t="n">
        <f aca="false">IF(AH$12=1,ROUND(AH191,2),ROUND(AH191,2)-ROUND(AG191,2))</f>
        <v>0</v>
      </c>
      <c r="AI186" s="495" t="n">
        <f aca="false">IF(AI$12=1,ROUND(AI191,2),ROUND(AI191,2)-ROUND(AH191,2))</f>
        <v>0</v>
      </c>
      <c r="AJ186" s="495" t="n">
        <f aca="false">IF(AJ$12=1,ROUND(AJ191,2),ROUND(AJ191,2)-ROUND(AI191,2))</f>
        <v>0</v>
      </c>
      <c r="AK186" s="495" t="n">
        <f aca="false">IF(AK$12=1,ROUND(AK191,2),ROUND(AK191,2)-ROUND(AJ191,2))</f>
        <v>0</v>
      </c>
      <c r="AL186" s="495" t="n">
        <f aca="false">IF(AL$12=1,ROUND(AL191,2),ROUND(AL191,2)-ROUND(AK191,2))</f>
        <v>0</v>
      </c>
      <c r="AM186" s="495" t="n">
        <f aca="false">IF(AM$12=1,ROUND(AM191,2),ROUND(AM191,2)-ROUND(AL191,2))</f>
        <v>0</v>
      </c>
      <c r="AN186" s="495" t="n">
        <f aca="false">IF(AN$12=1,ROUND(AN191,2),ROUND(AN191,2)-ROUND(AM191,2))</f>
        <v>0</v>
      </c>
      <c r="AO186" s="495" t="n">
        <f aca="false">IF(AO$12=1,ROUND(AO191,2),ROUND(AO191,2)-ROUND(AN191,2))</f>
        <v>0</v>
      </c>
      <c r="AP186" s="495" t="n">
        <f aca="false">IF(AP$12=1,ROUND(AP191,2),ROUND(AP191,2)-ROUND(AO191,2))</f>
        <v>0</v>
      </c>
      <c r="AQ186" s="495" t="n">
        <f aca="false">IF(AQ$12=1,ROUND(AQ191,2),ROUND(AQ191,2)-ROUND(AP191,2))</f>
        <v>0</v>
      </c>
      <c r="AR186" s="495" t="n">
        <f aca="false">IF(AR$12=1,ROUND(AR191,2),ROUND(AR191,2)-ROUND(AQ191,2))</f>
        <v>0</v>
      </c>
      <c r="AS186" s="495" t="n">
        <f aca="false">IF(AS$12=1,ROUND(AS191,2),ROUND(AS191,2)-ROUND(AR191,2))</f>
        <v>0</v>
      </c>
      <c r="AT186" s="495" t="n">
        <f aca="false">IF(AT$12=1,ROUND(AT191,2),ROUND(AT191,2)-ROUND(AS191,2))</f>
        <v>0</v>
      </c>
      <c r="AU186" s="495" t="n">
        <f aca="false">IF(AU$12=1,ROUND(AU191,2),ROUND(AU191,2)-ROUND(AT191,2))</f>
        <v>0</v>
      </c>
      <c r="AV186" s="495" t="n">
        <f aca="false">IF(AV$12=1,ROUND(AV191,2),ROUND(AV191,2)-ROUND(AU191,2))</f>
        <v>0</v>
      </c>
      <c r="AW186" s="495" t="n">
        <f aca="false">IF(AW$12=1,ROUND(AW191,2),ROUND(AW191,2)-ROUND(AV191,2))</f>
        <v>0</v>
      </c>
      <c r="AX186" s="495" t="n">
        <f aca="false">IF(AX$12=1,ROUND(AX191,2),ROUND(AX191,2)-ROUND(AW191,2))</f>
        <v>0</v>
      </c>
      <c r="AY186" s="495" t="n">
        <f aca="false">IF(AY$12=1,ROUND(AY191,2),ROUND(AY191,2)-ROUND(AX191,2))</f>
        <v>0</v>
      </c>
      <c r="AZ186" s="495" t="n">
        <f aca="false">IF(AZ$12=1,ROUND(AZ191,2),ROUND(AZ191,2)-ROUND(AY191,2))</f>
        <v>0</v>
      </c>
      <c r="BA186" s="495" t="n">
        <f aca="false">IF(BA$12=1,ROUND(BA191,2),ROUND(BA191,2)-ROUND(AZ191,2))</f>
        <v>0</v>
      </c>
      <c r="BB186" s="495" t="n">
        <f aca="false">IF(BB$12=1,ROUND(BB191,2),ROUND(BB191,2)-ROUND(BA191,2))</f>
        <v>0</v>
      </c>
      <c r="BC186" s="495" t="n">
        <f aca="false">IF(BC$12=1,ROUND(BC191,2),ROUND(BC191,2)-ROUND(BB191,2))</f>
        <v>0</v>
      </c>
      <c r="BD186" s="495" t="n">
        <f aca="false">IF(BD$12=1,ROUND(BD191,2),ROUND(BD191,2)-ROUND(BC191,2))</f>
        <v>0</v>
      </c>
      <c r="BE186" s="430"/>
    </row>
    <row r="187" customFormat="false" ht="12.75" hidden="false" customHeight="false" outlineLevel="0" collapsed="false">
      <c r="E187" s="498" t="n">
        <f aca="false">IF(E$12=1,ROUND(E192,2),ROUND(E192,2)-ROUND(D192,2))</f>
        <v>165344.74</v>
      </c>
      <c r="G187" s="419" t="s">
        <v>563</v>
      </c>
      <c r="H187" s="499"/>
      <c r="L187" s="500"/>
      <c r="S187" s="501"/>
      <c r="T187" s="502" t="s">
        <v>1013</v>
      </c>
      <c r="U187" s="498" t="n">
        <f aca="false">IF(U$12=1,ROUND(U192,2),ROUND(U192,2)-ROUND(T192,2))</f>
        <v>165344.74</v>
      </c>
      <c r="V187" s="498" t="n">
        <f aca="false">IF(V$12=1,ROUND(V192,2),ROUND(V192,2)-ROUND(U192,2))</f>
        <v>159241.88</v>
      </c>
      <c r="W187" s="498" t="n">
        <f aca="false">IF(W$12=1,ROUND(W192,2),ROUND(W192,2)-ROUND(V192,2))</f>
        <v>146245.88</v>
      </c>
      <c r="X187" s="498" t="n">
        <f aca="false">IF(X$12=1,ROUND(X192,2),ROUND(X192,2)-ROUND(W192,2))</f>
        <v>144767.48</v>
      </c>
      <c r="Y187" s="498" t="n">
        <f aca="false">IF(Y$12=1,ROUND(Y192,2),ROUND(Y192,2)-ROUND(X192,2))</f>
        <v>144767.48</v>
      </c>
      <c r="Z187" s="498" t="n">
        <f aca="false">IF(Z$12=1,ROUND(Z192,2),ROUND(Z192,2)-ROUND(Y192,2))</f>
        <v>144767.48</v>
      </c>
      <c r="AA187" s="498" t="n">
        <f aca="false">IF(AA$12=1,ROUND(AA192,2),ROUND(AA192,2)-ROUND(Z192,2))</f>
        <v>144767.48</v>
      </c>
      <c r="AB187" s="498" t="n">
        <f aca="false">IF(AB$12=1,ROUND(AB192,2),ROUND(AB192,2)-ROUND(AA192,2))</f>
        <v>144767.48</v>
      </c>
      <c r="AC187" s="498" t="n">
        <f aca="false">IF(AC$12=1,ROUND(AC192,2),ROUND(AC192,2)-ROUND(AB192,2))</f>
        <v>144767.48</v>
      </c>
      <c r="AD187" s="498" t="n">
        <f aca="false">IF(AD$12=1,ROUND(AD192,2),ROUND(AD192,2)-ROUND(AC192,2))</f>
        <v>144767.48</v>
      </c>
      <c r="AE187" s="498" t="n">
        <f aca="false">IF(AE$12=1,ROUND(AE192,2),ROUND(AE192,2)-ROUND(AD192,2))</f>
        <v>144767.48</v>
      </c>
      <c r="AF187" s="498" t="n">
        <f aca="false">IF(AF$12=1,ROUND(AF192,2),ROUND(AF192,2)-ROUND(AE192,2))</f>
        <v>144767.48</v>
      </c>
      <c r="AG187" s="498" t="n">
        <f aca="false">IF(AG$12=1,ROUND(AG192,2),ROUND(AG192,2)-ROUND(AF192,2))</f>
        <v>144767.48</v>
      </c>
      <c r="AH187" s="498" t="n">
        <f aca="false">IF(AH$12=1,ROUND(AH192,2),ROUND(AH192,2)-ROUND(AG192,2))</f>
        <v>144767.48</v>
      </c>
      <c r="AI187" s="498" t="n">
        <f aca="false">IF(AI$12=1,ROUND(AI192,2),ROUND(AI192,2)-ROUND(AH192,2))</f>
        <v>144767.48</v>
      </c>
      <c r="AJ187" s="498" t="n">
        <f aca="false">IF(AJ$12=1,ROUND(AJ192,2),ROUND(AJ192,2)-ROUND(AI192,2))</f>
        <v>144767.48</v>
      </c>
      <c r="AK187" s="498" t="n">
        <f aca="false">IF(AK$12=1,ROUND(AK192,2),ROUND(AK192,2)-ROUND(AJ192,2))</f>
        <v>144767.48</v>
      </c>
      <c r="AL187" s="498" t="n">
        <f aca="false">IF(AL$12=1,ROUND(AL192,2),ROUND(AL192,2)-ROUND(AK192,2))</f>
        <v>144767.48</v>
      </c>
      <c r="AM187" s="498" t="n">
        <f aca="false">IF(AM$12=1,ROUND(AM192,2),ROUND(AM192,2)-ROUND(AL192,2))</f>
        <v>144767.48</v>
      </c>
      <c r="AN187" s="498" t="n">
        <f aca="false">IF(AN$12=1,ROUND(AN192,2),ROUND(AN192,2)-ROUND(AM192,2))</f>
        <v>144767.48</v>
      </c>
      <c r="AO187" s="498" t="n">
        <f aca="false">IF(AO$12=1,ROUND(AO192,2),ROUND(AO192,2)-ROUND(AN192,2))</f>
        <v>144767.48</v>
      </c>
      <c r="AP187" s="498" t="n">
        <f aca="false">IF(AP$12=1,ROUND(AP192,2),ROUND(AP192,2)-ROUND(AO192,2))</f>
        <v>144767.48</v>
      </c>
      <c r="AQ187" s="498" t="n">
        <f aca="false">IF(AQ$12=1,ROUND(AQ192,2),ROUND(AQ192,2)-ROUND(AP192,2))</f>
        <v>144767.48</v>
      </c>
      <c r="AR187" s="498" t="n">
        <f aca="false">IF(AR$12=1,ROUND(AR192,2),ROUND(AR192,2)-ROUND(AQ192,2))</f>
        <v>144767.48</v>
      </c>
      <c r="AS187" s="498" t="n">
        <f aca="false">IF(AS$12=1,ROUND(AS192,2),ROUND(AS192,2)-ROUND(AR192,2))</f>
        <v>144767.48</v>
      </c>
      <c r="AT187" s="498" t="n">
        <f aca="false">IF(AT$12=1,ROUND(AT192,2),ROUND(AT192,2)-ROUND(AS192,2))</f>
        <v>0</v>
      </c>
      <c r="AU187" s="498" t="n">
        <f aca="false">IF(AU$12=1,ROUND(AU192,2),ROUND(AU192,2)-ROUND(AT192,2))</f>
        <v>0</v>
      </c>
      <c r="AV187" s="498" t="n">
        <f aca="false">IF(AV$12=1,ROUND(AV192,2),ROUND(AV192,2)-ROUND(AU192,2))</f>
        <v>0</v>
      </c>
      <c r="AW187" s="498" t="n">
        <f aca="false">IF(AW$12=1,ROUND(AW192,2),ROUND(AW192,2)-ROUND(AV192,2))</f>
        <v>0</v>
      </c>
      <c r="AX187" s="498" t="n">
        <f aca="false">IF(AX$12=1,ROUND(AX192,2),ROUND(AX192,2)-ROUND(AW192,2))</f>
        <v>0</v>
      </c>
      <c r="AY187" s="498" t="n">
        <f aca="false">IF(AY$12=1,ROUND(AY192,2),ROUND(AY192,2)-ROUND(AX192,2))</f>
        <v>0</v>
      </c>
      <c r="AZ187" s="498" t="n">
        <f aca="false">IF(AZ$12=1,ROUND(AZ192,2),ROUND(AZ192,2)-ROUND(AY192,2))</f>
        <v>0</v>
      </c>
      <c r="BA187" s="498" t="n">
        <f aca="false">IF(BA$12=1,ROUND(BA192,2),ROUND(BA192,2)-ROUND(AZ192,2))</f>
        <v>0</v>
      </c>
      <c r="BB187" s="498" t="n">
        <f aca="false">IF(BB$12=1,ROUND(BB192,2),ROUND(BB192,2)-ROUND(BA192,2))</f>
        <v>0</v>
      </c>
      <c r="BC187" s="498" t="n">
        <f aca="false">IF(BC$12=1,ROUND(BC192,2),ROUND(BC192,2)-ROUND(BB192,2))</f>
        <v>0</v>
      </c>
      <c r="BD187" s="498" t="n">
        <f aca="false">IF(BD$12=1,ROUND(BD192,2),ROUND(BD192,2)-ROUND(BC192,2))</f>
        <v>0</v>
      </c>
      <c r="BE187" s="430"/>
    </row>
    <row r="188" customFormat="false" ht="12.75" hidden="false" customHeight="false" outlineLevel="0" collapsed="false">
      <c r="E188" s="479" t="n">
        <f aca="false">ROUND(ROUND(E192,2)/$R$183,4)</f>
        <v>0.0452</v>
      </c>
      <c r="G188" s="419" t="s">
        <v>563</v>
      </c>
      <c r="L188" s="481"/>
      <c r="S188" s="483"/>
      <c r="T188" s="484" t="s">
        <v>1009</v>
      </c>
      <c r="U188" s="479" t="n">
        <f aca="false">ROUND(ROUND(U192,2)/$R$183,4)</f>
        <v>0.0452</v>
      </c>
      <c r="V188" s="479" t="n">
        <f aca="false">ROUND(ROUND(V192,2)/$R$183,4)</f>
        <v>0.0888</v>
      </c>
      <c r="W188" s="479" t="n">
        <f aca="false">ROUND(ROUND(W192,2)/$R$183,4)</f>
        <v>0.1288</v>
      </c>
      <c r="X188" s="479" t="n">
        <f aca="false">ROUND(ROUND(X192,2)/$R$183,4)</f>
        <v>0.1684</v>
      </c>
      <c r="Y188" s="479" t="n">
        <f aca="false">ROUND(ROUND(Y192,2)/$R$183,4)</f>
        <v>0.208</v>
      </c>
      <c r="Z188" s="479" t="n">
        <f aca="false">ROUND(ROUND(Z192,2)/$R$183,4)</f>
        <v>0.2476</v>
      </c>
      <c r="AA188" s="479" t="n">
        <f aca="false">ROUND(ROUND(AA192,2)/$R$183,4)</f>
        <v>0.2872</v>
      </c>
      <c r="AB188" s="479" t="n">
        <f aca="false">ROUND(ROUND(AB192,2)/$R$183,4)</f>
        <v>0.3268</v>
      </c>
      <c r="AC188" s="479" t="n">
        <f aca="false">ROUND(ROUND(AC192,2)/$R$183,4)</f>
        <v>0.3664</v>
      </c>
      <c r="AD188" s="479" t="n">
        <f aca="false">ROUND(ROUND(AD192,2)/$R$183,4)</f>
        <v>0.406</v>
      </c>
      <c r="AE188" s="479" t="n">
        <f aca="false">ROUND(ROUND(AE192,2)/$R$183,4)</f>
        <v>0.4456</v>
      </c>
      <c r="AF188" s="479" t="n">
        <f aca="false">ROUND(ROUND(AF192,2)/$R$183,4)</f>
        <v>0.4852</v>
      </c>
      <c r="AG188" s="479" t="n">
        <f aca="false">ROUND(ROUND(AG192,2)/$R$183,4)</f>
        <v>0.5248</v>
      </c>
      <c r="AH188" s="479" t="n">
        <f aca="false">ROUND(ROUND(AH192,2)/$R$183,4)</f>
        <v>0.5644</v>
      </c>
      <c r="AI188" s="479" t="n">
        <f aca="false">ROUND(ROUND(AI192,2)/$R$183,4)</f>
        <v>0.604</v>
      </c>
      <c r="AJ188" s="479" t="n">
        <f aca="false">ROUND(ROUND(AJ192,2)/$R$183,4)</f>
        <v>0.6436</v>
      </c>
      <c r="AK188" s="479" t="n">
        <f aca="false">ROUND(ROUND(AK192,2)/$R$183,4)</f>
        <v>0.6832</v>
      </c>
      <c r="AL188" s="479" t="n">
        <f aca="false">ROUND(ROUND(AL192,2)/$R$183,4)</f>
        <v>0.7228</v>
      </c>
      <c r="AM188" s="479" t="n">
        <f aca="false">ROUND(ROUND(AM192,2)/$R$183,4)</f>
        <v>0.7624</v>
      </c>
      <c r="AN188" s="479" t="n">
        <f aca="false">ROUND(ROUND(AN192,2)/$R$183,4)</f>
        <v>0.802</v>
      </c>
      <c r="AO188" s="479" t="n">
        <f aca="false">ROUND(ROUND(AO192,2)/$R$183,4)</f>
        <v>0.8416</v>
      </c>
      <c r="AP188" s="479" t="n">
        <f aca="false">ROUND(ROUND(AP192,2)/$R$183,4)</f>
        <v>0.8812</v>
      </c>
      <c r="AQ188" s="479" t="n">
        <f aca="false">ROUND(ROUND(AQ192,2)/$R$183,4)</f>
        <v>0.9208</v>
      </c>
      <c r="AR188" s="479" t="n">
        <f aca="false">ROUND(ROUND(AR192,2)/$R$183,4)</f>
        <v>0.9604</v>
      </c>
      <c r="AS188" s="479" t="n">
        <f aca="false">ROUND(ROUND(AS192,2)/$R$183,4)</f>
        <v>1</v>
      </c>
      <c r="AT188" s="479" t="n">
        <f aca="false">ROUND(ROUND(AT192,2)/$R$183,4)</f>
        <v>1</v>
      </c>
      <c r="AU188" s="479" t="n">
        <f aca="false">ROUND(ROUND(AU192,2)/$R$183,4)</f>
        <v>1</v>
      </c>
      <c r="AV188" s="479" t="n">
        <f aca="false">ROUND(ROUND(AV192,2)/$R$183,4)</f>
        <v>1</v>
      </c>
      <c r="AW188" s="479" t="n">
        <f aca="false">ROUND(ROUND(AW192,2)/$R$183,4)</f>
        <v>1</v>
      </c>
      <c r="AX188" s="479" t="n">
        <f aca="false">ROUND(ROUND(AX192,2)/$R$183,4)</f>
        <v>1</v>
      </c>
      <c r="AY188" s="479" t="n">
        <f aca="false">ROUND(ROUND(AY192,2)/$R$183,4)</f>
        <v>1</v>
      </c>
      <c r="AZ188" s="479" t="n">
        <f aca="false">ROUND(ROUND(AZ192,2)/$R$183,4)</f>
        <v>1</v>
      </c>
      <c r="BA188" s="479" t="n">
        <f aca="false">ROUND(ROUND(BA192,2)/$R$183,4)</f>
        <v>1</v>
      </c>
      <c r="BB188" s="479" t="n">
        <f aca="false">ROUND(ROUND(BB192,2)/$R$183,4)</f>
        <v>1</v>
      </c>
      <c r="BC188" s="479" t="n">
        <f aca="false">ROUND(ROUND(BC192,2)/$R$183,4)</f>
        <v>1</v>
      </c>
      <c r="BD188" s="479" t="n">
        <f aca="false">ROUND(ROUND(BD192,2)/$R$183,4)</f>
        <v>1</v>
      </c>
      <c r="BE188" s="430"/>
    </row>
    <row r="189" customFormat="false" ht="12.75" hidden="false" customHeight="false" outlineLevel="0" collapsed="false">
      <c r="E189" s="486" t="n">
        <f aca="false">ROUND(E192-E191-E190,2)</f>
        <v>146994.53</v>
      </c>
      <c r="G189" s="419" t="s">
        <v>563</v>
      </c>
      <c r="L189" s="487"/>
      <c r="S189" s="488"/>
      <c r="T189" s="489" t="str">
        <f aca="false">IF(import.recurso="FGTS","Financiamento:","Repasse:")</f>
        <v>Repasse:</v>
      </c>
      <c r="U189" s="486" t="n">
        <f aca="false">ROUND(U192-U191-U190,2)</f>
        <v>146994.53</v>
      </c>
      <c r="V189" s="486" t="n">
        <f aca="false">ROUND(V192-V191-V190,2)</f>
        <v>288563.5</v>
      </c>
      <c r="W189" s="486" t="n">
        <f aca="false">ROUND(W192-W191-W190,2)</f>
        <v>418578.79</v>
      </c>
      <c r="X189" s="486" t="n">
        <f aca="false">ROUND(X192-X191-X190,2)</f>
        <v>547279.75</v>
      </c>
      <c r="Y189" s="486" t="n">
        <f aca="false">ROUND(Y192-Y191-Y190,2)</f>
        <v>675980.72</v>
      </c>
      <c r="Z189" s="486" t="n">
        <f aca="false">ROUND(Z192-Z191-Z190,2)</f>
        <v>804681.68</v>
      </c>
      <c r="AA189" s="486" t="n">
        <f aca="false">ROUND(AA192-AA191-AA190,2)</f>
        <v>933382.65</v>
      </c>
      <c r="AB189" s="486" t="n">
        <f aca="false">ROUND(AB192-AB191-AB190,2)</f>
        <v>1062083.61</v>
      </c>
      <c r="AC189" s="486" t="n">
        <f aca="false">ROUND(AC192-AC191-AC190,2)</f>
        <v>1190784.57</v>
      </c>
      <c r="AD189" s="486" t="n">
        <f aca="false">ROUND(AD192-AD191-AD190,2)</f>
        <v>1319485.54</v>
      </c>
      <c r="AE189" s="486" t="n">
        <f aca="false">ROUND(AE192-AE191-AE190,2)</f>
        <v>1448186.5</v>
      </c>
      <c r="AF189" s="486" t="n">
        <f aca="false">ROUND(AF192-AF191-AF190,2)</f>
        <v>1576887.47</v>
      </c>
      <c r="AG189" s="486" t="n">
        <f aca="false">ROUND(AG192-AG191-AG190,2)</f>
        <v>1705588.43</v>
      </c>
      <c r="AH189" s="486" t="n">
        <f aca="false">ROUND(AH192-AH191-AH190,2)</f>
        <v>1834289.4</v>
      </c>
      <c r="AI189" s="486" t="n">
        <f aca="false">ROUND(AI192-AI191-AI190,2)</f>
        <v>1962990.36</v>
      </c>
      <c r="AJ189" s="486" t="n">
        <f aca="false">ROUND(AJ192-AJ191-AJ190,2)</f>
        <v>2091691.32</v>
      </c>
      <c r="AK189" s="486" t="n">
        <f aca="false">ROUND(AK192-AK191-AK190,2)</f>
        <v>2220392.29</v>
      </c>
      <c r="AL189" s="486" t="n">
        <f aca="false">ROUND(AL192-AL191-AL190,2)</f>
        <v>2349093.25</v>
      </c>
      <c r="AM189" s="486" t="n">
        <f aca="false">ROUND(AM192-AM191-AM190,2)</f>
        <v>2477794.22</v>
      </c>
      <c r="AN189" s="486" t="n">
        <f aca="false">ROUND(AN192-AN191-AN190,2)</f>
        <v>2606495.18</v>
      </c>
      <c r="AO189" s="486" t="n">
        <f aca="false">ROUND(AO192-AO191-AO190,2)</f>
        <v>2735196.14</v>
      </c>
      <c r="AP189" s="486" t="n">
        <f aca="false">ROUND(AP192-AP191-AP190,2)</f>
        <v>2863897.11</v>
      </c>
      <c r="AQ189" s="486" t="n">
        <f aca="false">ROUND(AQ192-AQ191-AQ190,2)</f>
        <v>2992598.07</v>
      </c>
      <c r="AR189" s="486" t="n">
        <f aca="false">ROUND(AR192-AR191-AR190,2)</f>
        <v>3121299.04</v>
      </c>
      <c r="AS189" s="486" t="n">
        <f aca="false">ROUND(AS192-AS191-AS190,2)</f>
        <v>3250000</v>
      </c>
      <c r="AT189" s="486" t="n">
        <f aca="false">ROUND(AT192-AT191-AT190,2)</f>
        <v>3250000</v>
      </c>
      <c r="AU189" s="486" t="n">
        <f aca="false">ROUND(AU192-AU191-AU190,2)</f>
        <v>3250000</v>
      </c>
      <c r="AV189" s="486" t="n">
        <f aca="false">ROUND(AV192-AV191-AV190,2)</f>
        <v>3250000</v>
      </c>
      <c r="AW189" s="486" t="n">
        <f aca="false">ROUND(AW192-AW191-AW190,2)</f>
        <v>3250000</v>
      </c>
      <c r="AX189" s="486" t="n">
        <f aca="false">ROUND(AX192-AX191-AX190,2)</f>
        <v>3250000</v>
      </c>
      <c r="AY189" s="486" t="n">
        <f aca="false">ROUND(AY192-AY191-AY190,2)</f>
        <v>3250000</v>
      </c>
      <c r="AZ189" s="486" t="n">
        <f aca="false">ROUND(AZ192-AZ191-AZ190,2)</f>
        <v>3250000</v>
      </c>
      <c r="BA189" s="486" t="n">
        <f aca="false">ROUND(BA192-BA191-BA190,2)</f>
        <v>3250000</v>
      </c>
      <c r="BB189" s="486" t="n">
        <f aca="false">ROUND(BB192-BB191-BB190,2)</f>
        <v>3250000</v>
      </c>
      <c r="BC189" s="486" t="n">
        <f aca="false">ROUND(BC192-BC191-BC190,2)</f>
        <v>3250000</v>
      </c>
      <c r="BD189" s="486" t="n">
        <f aca="false">ROUND(BD192-BD191-BD190,2)</f>
        <v>3250000</v>
      </c>
      <c r="BE189" s="430"/>
    </row>
    <row r="190" customFormat="false" ht="12.75" hidden="false" customHeight="false" outlineLevel="0" collapsed="false">
      <c r="E190" s="490" t="n">
        <f aca="true" t="array" ref="E190:E190">IF(E$12=1,0,OFFSET(E190,0,-1))+SUM((OFFSET($C$13,1,0):OFFSET($C$182,-3,0))*IF(ISNUMBER(OFFSET(E$11,5,0):OFFSET(E$182,-1,0)),OFFSET(E$11,5,0):OFFSET(E$182,-1,0),0))</f>
        <v>18350.211654308</v>
      </c>
      <c r="G190" s="419" t="s">
        <v>563</v>
      </c>
      <c r="L190" s="492" t="s">
        <v>1014</v>
      </c>
      <c r="S190" s="493"/>
      <c r="T190" s="494" t="s">
        <v>1011</v>
      </c>
      <c r="U190" s="490" t="n">
        <f aca="true" t="array" ref="U190:U190">IF(U$12=1,0,OFFSET(U190,0,-1))+SUM((OFFSET($C$13,1,0):OFFSET($C$182,-3,0))*IF(ISNUMBER(OFFSET(U$11,5,0):OFFSET(U$182,-1,0)),OFFSET(U$11,5,0):OFFSET(U$182,-1,0),0))</f>
        <v>18350.211654308</v>
      </c>
      <c r="V190" s="490" t="n">
        <f aca="true" t="array" ref="V190:V190">IF(V$12=1,0,OFFSET(V190,0,-1))+SUM((OFFSET($C$13,1,0):OFFSET($C$182,-3,0))*IF(ISNUMBER(OFFSET(V$11,5,0):OFFSET(V$182,-1,0)),OFFSET(V$11,5,0):OFFSET(V$182,-1,0),0))</f>
        <v>36023.1185894176</v>
      </c>
      <c r="W190" s="490" t="n">
        <f aca="true" t="array" ref="W190:W190">IF(W$12=1,0,OFFSET(W190,0,-1))+SUM((OFFSET($C$13,1,0):OFFSET($C$182,-3,0))*IF(ISNUMBER(OFFSET(W$11,5,0):OFFSET(W$182,-1,0)),OFFSET(W$11,5,0):OFFSET(W$182,-1,0),0))</f>
        <v>52253.7096053189</v>
      </c>
      <c r="X190" s="490" t="n">
        <f aca="true" t="array" ref="X190:X190">IF(X$12=1,0,OFFSET(X190,0,-1))+SUM((OFFSET($C$13,1,0):OFFSET($C$182,-3,0))*IF(ISNUMBER(OFFSET(X$11,5,0):OFFSET(X$182,-1,0)),OFFSET(X$11,5,0):OFFSET(X$182,-1,0),0))</f>
        <v>68320.2255323498</v>
      </c>
      <c r="Y190" s="490" t="n">
        <f aca="true" t="array" ref="Y190:Y190">IF(Y$12=1,0,OFFSET(Y190,0,-1))+SUM((OFFSET($C$13,1,0):OFFSET($C$182,-3,0))*IF(ISNUMBER(OFFSET(Y$11,5,0):OFFSET(Y$182,-1,0)),OFFSET(Y$11,5,0):OFFSET(Y$182,-1,0),0))</f>
        <v>84386.7414593808</v>
      </c>
      <c r="Z190" s="490" t="n">
        <f aca="true" t="array" ref="Z190:Z190">IF(Z$12=1,0,OFFSET(Z190,0,-1))+SUM((OFFSET($C$13,1,0):OFFSET($C$182,-3,0))*IF(ISNUMBER(OFFSET(Z$11,5,0):OFFSET(Z$182,-1,0)),OFFSET(Z$11,5,0):OFFSET(Z$182,-1,0),0))</f>
        <v>100453.257386412</v>
      </c>
      <c r="AA190" s="490" t="n">
        <f aca="true" t="array" ref="AA190:AA190">IF(AA$12=1,0,OFFSET(AA190,0,-1))+SUM((OFFSET($C$13,1,0):OFFSET($C$182,-3,0))*IF(ISNUMBER(OFFSET(AA$11,5,0):OFFSET(AA$182,-1,0)),OFFSET(AA$11,5,0):OFFSET(AA$182,-1,0),0))</f>
        <v>116519.773313443</v>
      </c>
      <c r="AB190" s="490" t="n">
        <f aca="true" t="array" ref="AB190:AB190">IF(AB$12=1,0,OFFSET(AB190,0,-1))+SUM((OFFSET($C$13,1,0):OFFSET($C$182,-3,0))*IF(ISNUMBER(OFFSET(AB$11,5,0):OFFSET(AB$182,-1,0)),OFFSET(AB$11,5,0):OFFSET(AB$182,-1,0),0))</f>
        <v>132586.289240474</v>
      </c>
      <c r="AC190" s="490" t="n">
        <f aca="true" t="array" ref="AC190:AC190">IF(AC$12=1,0,OFFSET(AC190,0,-1))+SUM((OFFSET($C$13,1,0):OFFSET($C$182,-3,0))*IF(ISNUMBER(OFFSET(AC$11,5,0):OFFSET(AC$182,-1,0)),OFFSET(AC$11,5,0):OFFSET(AC$182,-1,0),0))</f>
        <v>148652.805167505</v>
      </c>
      <c r="AD190" s="490" t="n">
        <f aca="true" t="array" ref="AD190:AD190">IF(AD$12=1,0,OFFSET(AD190,0,-1))+SUM((OFFSET($C$13,1,0):OFFSET($C$182,-3,0))*IF(ISNUMBER(OFFSET(AD$11,5,0):OFFSET(AD$182,-1,0)),OFFSET(AD$11,5,0):OFFSET(AD$182,-1,0),0))</f>
        <v>164719.321094536</v>
      </c>
      <c r="AE190" s="490" t="n">
        <f aca="true" t="array" ref="AE190:AE190">IF(AE$12=1,0,OFFSET(AE190,0,-1))+SUM((OFFSET($C$13,1,0):OFFSET($C$182,-3,0))*IF(ISNUMBER(OFFSET(AE$11,5,0):OFFSET(AE$182,-1,0)),OFFSET(AE$11,5,0):OFFSET(AE$182,-1,0),0))</f>
        <v>180785.837021567</v>
      </c>
      <c r="AF190" s="490" t="n">
        <f aca="true" t="array" ref="AF190:AF190">IF(AF$12=1,0,OFFSET(AF190,0,-1))+SUM((OFFSET($C$13,1,0):OFFSET($C$182,-3,0))*IF(ISNUMBER(OFFSET(AF$11,5,0):OFFSET(AF$182,-1,0)),OFFSET(AF$11,5,0):OFFSET(AF$182,-1,0),0))</f>
        <v>196852.352948598</v>
      </c>
      <c r="AG190" s="490" t="n">
        <f aca="true" t="array" ref="AG190:AG190">IF(AG$12=1,0,OFFSET(AG190,0,-1))+SUM((OFFSET($C$13,1,0):OFFSET($C$182,-3,0))*IF(ISNUMBER(OFFSET(AG$11,5,0):OFFSET(AG$182,-1,0)),OFFSET(AG$11,5,0):OFFSET(AG$182,-1,0),0))</f>
        <v>212918.868875629</v>
      </c>
      <c r="AH190" s="490" t="n">
        <f aca="true" t="array" ref="AH190:AH190">IF(AH$12=1,0,OFFSET(AH190,0,-1))+SUM((OFFSET($C$13,1,0):OFFSET($C$182,-3,0))*IF(ISNUMBER(OFFSET(AH$11,5,0):OFFSET(AH$182,-1,0)),OFFSET(AH$11,5,0):OFFSET(AH$182,-1,0),0))</f>
        <v>228985.384802659</v>
      </c>
      <c r="AI190" s="490" t="n">
        <f aca="true" t="array" ref="AI190:AI190">IF(AI$12=1,0,OFFSET(AI190,0,-1))+SUM((OFFSET($C$13,1,0):OFFSET($C$182,-3,0))*IF(ISNUMBER(OFFSET(AI$11,5,0):OFFSET(AI$182,-1,0)),OFFSET(AI$11,5,0):OFFSET(AI$182,-1,0),0))</f>
        <v>245051.90072969</v>
      </c>
      <c r="AJ190" s="490" t="n">
        <f aca="true" t="array" ref="AJ190:AJ190">IF(AJ$12=1,0,OFFSET(AJ190,0,-1))+SUM((OFFSET($C$13,1,0):OFFSET($C$182,-3,0))*IF(ISNUMBER(OFFSET(AJ$11,5,0):OFFSET(AJ$182,-1,0)),OFFSET(AJ$11,5,0):OFFSET(AJ$182,-1,0),0))</f>
        <v>261118.416656721</v>
      </c>
      <c r="AK190" s="490" t="n">
        <f aca="true" t="array" ref="AK190:AK190">IF(AK$12=1,0,OFFSET(AK190,0,-1))+SUM((OFFSET($C$13,1,0):OFFSET($C$182,-3,0))*IF(ISNUMBER(OFFSET(AK$11,5,0):OFFSET(AK$182,-1,0)),OFFSET(AK$11,5,0):OFFSET(AK$182,-1,0),0))</f>
        <v>277184.932583752</v>
      </c>
      <c r="AL190" s="490" t="n">
        <f aca="true" t="array" ref="AL190:AL190">IF(AL$12=1,0,OFFSET(AL190,0,-1))+SUM((OFFSET($C$13,1,0):OFFSET($C$182,-3,0))*IF(ISNUMBER(OFFSET(AL$11,5,0):OFFSET(AL$182,-1,0)),OFFSET(AL$11,5,0):OFFSET(AL$182,-1,0),0))</f>
        <v>293251.448510783</v>
      </c>
      <c r="AM190" s="490" t="n">
        <f aca="true" t="array" ref="AM190:AM190">IF(AM$12=1,0,OFFSET(AM190,0,-1))+SUM((OFFSET($C$13,1,0):OFFSET($C$182,-3,0))*IF(ISNUMBER(OFFSET(AM$11,5,0):OFFSET(AM$182,-1,0)),OFFSET(AM$11,5,0):OFFSET(AM$182,-1,0),0))</f>
        <v>309317.964437814</v>
      </c>
      <c r="AN190" s="490" t="n">
        <f aca="true" t="array" ref="AN190:AN190">IF(AN$12=1,0,OFFSET(AN190,0,-1))+SUM((OFFSET($C$13,1,0):OFFSET($C$182,-3,0))*IF(ISNUMBER(OFFSET(AN$11,5,0):OFFSET(AN$182,-1,0)),OFFSET(AN$11,5,0):OFFSET(AN$182,-1,0),0))</f>
        <v>325384.480364845</v>
      </c>
      <c r="AO190" s="490" t="n">
        <f aca="true" t="array" ref="AO190:AO190">IF(AO$12=1,0,OFFSET(AO190,0,-1))+SUM((OFFSET($C$13,1,0):OFFSET($C$182,-3,0))*IF(ISNUMBER(OFFSET(AO$11,5,0):OFFSET(AO$182,-1,0)),OFFSET(AO$11,5,0):OFFSET(AO$182,-1,0),0))</f>
        <v>341450.996291876</v>
      </c>
      <c r="AP190" s="490" t="n">
        <f aca="true" t="array" ref="AP190:AP190">IF(AP$12=1,0,OFFSET(AP190,0,-1))+SUM((OFFSET($C$13,1,0):OFFSET($C$182,-3,0))*IF(ISNUMBER(OFFSET(AP$11,5,0):OFFSET(AP$182,-1,0)),OFFSET(AP$11,5,0):OFFSET(AP$182,-1,0),0))</f>
        <v>357517.512218907</v>
      </c>
      <c r="AQ190" s="490" t="n">
        <f aca="true" t="array" ref="AQ190:AQ190">IF(AQ$12=1,0,OFFSET(AQ190,0,-1))+SUM((OFFSET($C$13,1,0):OFFSET($C$182,-3,0))*IF(ISNUMBER(OFFSET(AQ$11,5,0):OFFSET(AQ$182,-1,0)),OFFSET(AQ$11,5,0):OFFSET(AQ$182,-1,0),0))</f>
        <v>373584.028145938</v>
      </c>
      <c r="AR190" s="490" t="n">
        <f aca="true" t="array" ref="AR190:AR190">IF(AR$12=1,0,OFFSET(AR190,0,-1))+SUM((OFFSET($C$13,1,0):OFFSET($C$182,-3,0))*IF(ISNUMBER(OFFSET(AR$11,5,0):OFFSET(AR$182,-1,0)),OFFSET(AR$11,5,0):OFFSET(AR$182,-1,0),0))</f>
        <v>389650.544072969</v>
      </c>
      <c r="AS190" s="490" t="n">
        <f aca="true" t="array" ref="AS190:AS190">IF(AS$12=1,0,OFFSET(AS190,0,-1))+SUM((OFFSET($C$13,1,0):OFFSET($C$182,-3,0))*IF(ISNUMBER(OFFSET(AS$11,5,0):OFFSET(AS$182,-1,0)),OFFSET(AS$11,5,0):OFFSET(AS$182,-1,0),0))</f>
        <v>405717.06</v>
      </c>
      <c r="AT190" s="490" t="n">
        <f aca="true" t="array" ref="AT190:AT190">IF(AT$12=1,0,OFFSET(AT190,0,-1))+SUM((OFFSET($C$13,1,0):OFFSET($C$182,-3,0))*IF(ISNUMBER(OFFSET(AT$11,5,0):OFFSET(AT$182,-1,0)),OFFSET(AT$11,5,0):OFFSET(AT$182,-1,0),0))</f>
        <v>405717.06</v>
      </c>
      <c r="AU190" s="490" t="n">
        <f aca="true" t="array" ref="AU190:AU190">IF(AU$12=1,0,OFFSET(AU190,0,-1))+SUM((OFFSET($C$13,1,0):OFFSET($C$182,-3,0))*IF(ISNUMBER(OFFSET(AU$11,5,0):OFFSET(AU$182,-1,0)),OFFSET(AU$11,5,0):OFFSET(AU$182,-1,0),0))</f>
        <v>405717.06</v>
      </c>
      <c r="AV190" s="490" t="n">
        <f aca="true" t="array" ref="AV190:AV190">IF(AV$12=1,0,OFFSET(AV190,0,-1))+SUM((OFFSET($C$13,1,0):OFFSET($C$182,-3,0))*IF(ISNUMBER(OFFSET(AV$11,5,0):OFFSET(AV$182,-1,0)),OFFSET(AV$11,5,0):OFFSET(AV$182,-1,0),0))</f>
        <v>405717.06</v>
      </c>
      <c r="AW190" s="490" t="n">
        <f aca="true" t="array" ref="AW190:AW190">IF(AW$12=1,0,OFFSET(AW190,0,-1))+SUM((OFFSET($C$13,1,0):OFFSET($C$182,-3,0))*IF(ISNUMBER(OFFSET(AW$11,5,0):OFFSET(AW$182,-1,0)),OFFSET(AW$11,5,0):OFFSET(AW$182,-1,0),0))</f>
        <v>405717.06</v>
      </c>
      <c r="AX190" s="490" t="n">
        <f aca="true" t="array" ref="AX190:AX190">IF(AX$12=1,0,OFFSET(AX190,0,-1))+SUM((OFFSET($C$13,1,0):OFFSET($C$182,-3,0))*IF(ISNUMBER(OFFSET(AX$11,5,0):OFFSET(AX$182,-1,0)),OFFSET(AX$11,5,0):OFFSET(AX$182,-1,0),0))</f>
        <v>405717.06</v>
      </c>
      <c r="AY190" s="490" t="n">
        <f aca="true" t="array" ref="AY190:AY190">IF(AY$12=1,0,OFFSET(AY190,0,-1))+SUM((OFFSET($C$13,1,0):OFFSET($C$182,-3,0))*IF(ISNUMBER(OFFSET(AY$11,5,0):OFFSET(AY$182,-1,0)),OFFSET(AY$11,5,0):OFFSET(AY$182,-1,0),0))</f>
        <v>405717.06</v>
      </c>
      <c r="AZ190" s="490" t="n">
        <f aca="true" t="array" ref="AZ190:AZ190">IF(AZ$12=1,0,OFFSET(AZ190,0,-1))+SUM((OFFSET($C$13,1,0):OFFSET($C$182,-3,0))*IF(ISNUMBER(OFFSET(AZ$11,5,0):OFFSET(AZ$182,-1,0)),OFFSET(AZ$11,5,0):OFFSET(AZ$182,-1,0),0))</f>
        <v>405717.06</v>
      </c>
      <c r="BA190" s="490" t="n">
        <f aca="true" t="array" ref="BA190:BA190">IF(BA$12=1,0,OFFSET(BA190,0,-1))+SUM((OFFSET($C$13,1,0):OFFSET($C$182,-3,0))*IF(ISNUMBER(OFFSET(BA$11,5,0):OFFSET(BA$182,-1,0)),OFFSET(BA$11,5,0):OFFSET(BA$182,-1,0),0))</f>
        <v>405717.06</v>
      </c>
      <c r="BB190" s="490" t="n">
        <f aca="true" t="array" ref="BB190:BB190">IF(BB$12=1,0,OFFSET(BB190,0,-1))+SUM((OFFSET($C$13,1,0):OFFSET($C$182,-3,0))*IF(ISNUMBER(OFFSET(BB$11,5,0):OFFSET(BB$182,-1,0)),OFFSET(BB$11,5,0):OFFSET(BB$182,-1,0),0))</f>
        <v>405717.06</v>
      </c>
      <c r="BC190" s="490" t="n">
        <f aca="true" t="array" ref="BC190:BC190">IF(BC$12=1,0,OFFSET(BC190,0,-1))+SUM((OFFSET($C$13,1,0):OFFSET($C$182,-3,0))*IF(ISNUMBER(OFFSET(BC$11,5,0):OFFSET(BC$182,-1,0)),OFFSET(BC$11,5,0):OFFSET(BC$182,-1,0),0))</f>
        <v>405717.06</v>
      </c>
      <c r="BD190" s="490" t="n">
        <f aca="true" t="array" ref="BD190:BD190">IF(BD$12=1,0,OFFSET(BD190,0,-1))+SUM((OFFSET($C$13,1,0):OFFSET($C$182,-3,0))*IF(ISNUMBER(OFFSET(BD$11,5,0):OFFSET(BD$182,-1,0)),OFFSET(BD$11,5,0):OFFSET(BD$182,-1,0),0))</f>
        <v>405717.06</v>
      </c>
      <c r="BE190" s="430"/>
    </row>
    <row r="191" customFormat="false" ht="12.75" hidden="false" customHeight="false" outlineLevel="0" collapsed="false">
      <c r="E191" s="495" t="n">
        <f aca="true" t="array" ref="E191:E191">IF(E$12=1,0,OFFSET(E191,0,-1))+SUM((OFFSET($D$13,1,0):OFFSET($D$182,-3,0))*IF(ISNUMBER(OFFSET(E$11,5,0):OFFSET(E$182,-1,0)),OFFSET(E$11,5,0):OFFSET(E$182,-1,0),0))</f>
        <v>0</v>
      </c>
      <c r="G191" s="419" t="s">
        <v>563</v>
      </c>
      <c r="L191" s="492"/>
      <c r="S191" s="496"/>
      <c r="T191" s="497" t="s">
        <v>1012</v>
      </c>
      <c r="U191" s="495" t="n">
        <f aca="true" t="array" ref="U191:U191">IF(U$12=1,0,OFFSET(U191,0,-1))+SUM((OFFSET($D$13,1,0):OFFSET($D$182,-3,0))*IF(ISNUMBER(OFFSET(U$11,5,0):OFFSET(U$182,-1,0)),OFFSET(U$11,5,0):OFFSET(U$182,-1,0),0))</f>
        <v>0</v>
      </c>
      <c r="V191" s="495" t="n">
        <f aca="true" t="array" ref="V191:V191">IF(V$12=1,0,OFFSET(V191,0,-1))+SUM((OFFSET($D$13,1,0):OFFSET($D$182,-3,0))*IF(ISNUMBER(OFFSET(V$11,5,0):OFFSET(V$182,-1,0)),OFFSET(V$11,5,0):OFFSET(V$182,-1,0),0))</f>
        <v>0</v>
      </c>
      <c r="W191" s="495" t="n">
        <f aca="true" t="array" ref="W191:W191">IF(W$12=1,0,OFFSET(W191,0,-1))+SUM((OFFSET($D$13,1,0):OFFSET($D$182,-3,0))*IF(ISNUMBER(OFFSET(W$11,5,0):OFFSET(W$182,-1,0)),OFFSET(W$11,5,0):OFFSET(W$182,-1,0),0))</f>
        <v>0</v>
      </c>
      <c r="X191" s="495" t="n">
        <f aca="true" t="array" ref="X191:X191">IF(X$12=1,0,OFFSET(X191,0,-1))+SUM((OFFSET($D$13,1,0):OFFSET($D$182,-3,0))*IF(ISNUMBER(OFFSET(X$11,5,0):OFFSET(X$182,-1,0)),OFFSET(X$11,5,0):OFFSET(X$182,-1,0),0))</f>
        <v>0</v>
      </c>
      <c r="Y191" s="495" t="n">
        <f aca="true" t="array" ref="Y191:Y191">IF(Y$12=1,0,OFFSET(Y191,0,-1))+SUM((OFFSET($D$13,1,0):OFFSET($D$182,-3,0))*IF(ISNUMBER(OFFSET(Y$11,5,0):OFFSET(Y$182,-1,0)),OFFSET(Y$11,5,0):OFFSET(Y$182,-1,0),0))</f>
        <v>0</v>
      </c>
      <c r="Z191" s="495" t="n">
        <f aca="true" t="array" ref="Z191:Z191">IF(Z$12=1,0,OFFSET(Z191,0,-1))+SUM((OFFSET($D$13,1,0):OFFSET($D$182,-3,0))*IF(ISNUMBER(OFFSET(Z$11,5,0):OFFSET(Z$182,-1,0)),OFFSET(Z$11,5,0):OFFSET(Z$182,-1,0),0))</f>
        <v>0</v>
      </c>
      <c r="AA191" s="495" t="n">
        <f aca="true" t="array" ref="AA191:AA191">IF(AA$12=1,0,OFFSET(AA191,0,-1))+SUM((OFFSET($D$13,1,0):OFFSET($D$182,-3,0))*IF(ISNUMBER(OFFSET(AA$11,5,0):OFFSET(AA$182,-1,0)),OFFSET(AA$11,5,0):OFFSET(AA$182,-1,0),0))</f>
        <v>0</v>
      </c>
      <c r="AB191" s="495" t="n">
        <f aca="true" t="array" ref="AB191:AB191">IF(AB$12=1,0,OFFSET(AB191,0,-1))+SUM((OFFSET($D$13,1,0):OFFSET($D$182,-3,0))*IF(ISNUMBER(OFFSET(AB$11,5,0):OFFSET(AB$182,-1,0)),OFFSET(AB$11,5,0):OFFSET(AB$182,-1,0),0))</f>
        <v>0</v>
      </c>
      <c r="AC191" s="495" t="n">
        <f aca="true" t="array" ref="AC191:AC191">IF(AC$12=1,0,OFFSET(AC191,0,-1))+SUM((OFFSET($D$13,1,0):OFFSET($D$182,-3,0))*IF(ISNUMBER(OFFSET(AC$11,5,0):OFFSET(AC$182,-1,0)),OFFSET(AC$11,5,0):OFFSET(AC$182,-1,0),0))</f>
        <v>0</v>
      </c>
      <c r="AD191" s="495" t="n">
        <f aca="true" t="array" ref="AD191:AD191">IF(AD$12=1,0,OFFSET(AD191,0,-1))+SUM((OFFSET($D$13,1,0):OFFSET($D$182,-3,0))*IF(ISNUMBER(OFFSET(AD$11,5,0):OFFSET(AD$182,-1,0)),OFFSET(AD$11,5,0):OFFSET(AD$182,-1,0),0))</f>
        <v>0</v>
      </c>
      <c r="AE191" s="495" t="n">
        <f aca="true" t="array" ref="AE191:AE191">IF(AE$12=1,0,OFFSET(AE191,0,-1))+SUM((OFFSET($D$13,1,0):OFFSET($D$182,-3,0))*IF(ISNUMBER(OFFSET(AE$11,5,0):OFFSET(AE$182,-1,0)),OFFSET(AE$11,5,0):OFFSET(AE$182,-1,0),0))</f>
        <v>0</v>
      </c>
      <c r="AF191" s="495" t="n">
        <f aca="true" t="array" ref="AF191:AF191">IF(AF$12=1,0,OFFSET(AF191,0,-1))+SUM((OFFSET($D$13,1,0):OFFSET($D$182,-3,0))*IF(ISNUMBER(OFFSET(AF$11,5,0):OFFSET(AF$182,-1,0)),OFFSET(AF$11,5,0):OFFSET(AF$182,-1,0),0))</f>
        <v>0</v>
      </c>
      <c r="AG191" s="495" t="n">
        <f aca="true" t="array" ref="AG191:AG191">IF(AG$12=1,0,OFFSET(AG191,0,-1))+SUM((OFFSET($D$13,1,0):OFFSET($D$182,-3,0))*IF(ISNUMBER(OFFSET(AG$11,5,0):OFFSET(AG$182,-1,0)),OFFSET(AG$11,5,0):OFFSET(AG$182,-1,0),0))</f>
        <v>0</v>
      </c>
      <c r="AH191" s="495" t="n">
        <f aca="true" t="array" ref="AH191:AH191">IF(AH$12=1,0,OFFSET(AH191,0,-1))+SUM((OFFSET($D$13,1,0):OFFSET($D$182,-3,0))*IF(ISNUMBER(OFFSET(AH$11,5,0):OFFSET(AH$182,-1,0)),OFFSET(AH$11,5,0):OFFSET(AH$182,-1,0),0))</f>
        <v>0</v>
      </c>
      <c r="AI191" s="495" t="n">
        <f aca="true" t="array" ref="AI191:AI191">IF(AI$12=1,0,OFFSET(AI191,0,-1))+SUM((OFFSET($D$13,1,0):OFFSET($D$182,-3,0))*IF(ISNUMBER(OFFSET(AI$11,5,0):OFFSET(AI$182,-1,0)),OFFSET(AI$11,5,0):OFFSET(AI$182,-1,0),0))</f>
        <v>0</v>
      </c>
      <c r="AJ191" s="495" t="n">
        <f aca="true" t="array" ref="AJ191:AJ191">IF(AJ$12=1,0,OFFSET(AJ191,0,-1))+SUM((OFFSET($D$13,1,0):OFFSET($D$182,-3,0))*IF(ISNUMBER(OFFSET(AJ$11,5,0):OFFSET(AJ$182,-1,0)),OFFSET(AJ$11,5,0):OFFSET(AJ$182,-1,0),0))</f>
        <v>0</v>
      </c>
      <c r="AK191" s="495" t="n">
        <f aca="true" t="array" ref="AK191:AK191">IF(AK$12=1,0,OFFSET(AK191,0,-1))+SUM((OFFSET($D$13,1,0):OFFSET($D$182,-3,0))*IF(ISNUMBER(OFFSET(AK$11,5,0):OFFSET(AK$182,-1,0)),OFFSET(AK$11,5,0):OFFSET(AK$182,-1,0),0))</f>
        <v>0</v>
      </c>
      <c r="AL191" s="495" t="n">
        <f aca="true" t="array" ref="AL191:AL191">IF(AL$12=1,0,OFFSET(AL191,0,-1))+SUM((OFFSET($D$13,1,0):OFFSET($D$182,-3,0))*IF(ISNUMBER(OFFSET(AL$11,5,0):OFFSET(AL$182,-1,0)),OFFSET(AL$11,5,0):OFFSET(AL$182,-1,0),0))</f>
        <v>0</v>
      </c>
      <c r="AM191" s="495" t="n">
        <f aca="true" t="array" ref="AM191:AM191">IF(AM$12=1,0,OFFSET(AM191,0,-1))+SUM((OFFSET($D$13,1,0):OFFSET($D$182,-3,0))*IF(ISNUMBER(OFFSET(AM$11,5,0):OFFSET(AM$182,-1,0)),OFFSET(AM$11,5,0):OFFSET(AM$182,-1,0),0))</f>
        <v>0</v>
      </c>
      <c r="AN191" s="495" t="n">
        <f aca="true" t="array" ref="AN191:AN191">IF(AN$12=1,0,OFFSET(AN191,0,-1))+SUM((OFFSET($D$13,1,0):OFFSET($D$182,-3,0))*IF(ISNUMBER(OFFSET(AN$11,5,0):OFFSET(AN$182,-1,0)),OFFSET(AN$11,5,0):OFFSET(AN$182,-1,0),0))</f>
        <v>0</v>
      </c>
      <c r="AO191" s="495" t="n">
        <f aca="true" t="array" ref="AO191:AO191">IF(AO$12=1,0,OFFSET(AO191,0,-1))+SUM((OFFSET($D$13,1,0):OFFSET($D$182,-3,0))*IF(ISNUMBER(OFFSET(AO$11,5,0):OFFSET(AO$182,-1,0)),OFFSET(AO$11,5,0):OFFSET(AO$182,-1,0),0))</f>
        <v>0</v>
      </c>
      <c r="AP191" s="495" t="n">
        <f aca="true" t="array" ref="AP191:AP191">IF(AP$12=1,0,OFFSET(AP191,0,-1))+SUM((OFFSET($D$13,1,0):OFFSET($D$182,-3,0))*IF(ISNUMBER(OFFSET(AP$11,5,0):OFFSET(AP$182,-1,0)),OFFSET(AP$11,5,0):OFFSET(AP$182,-1,0),0))</f>
        <v>0</v>
      </c>
      <c r="AQ191" s="495" t="n">
        <f aca="true" t="array" ref="AQ191:AQ191">IF(AQ$12=1,0,OFFSET(AQ191,0,-1))+SUM((OFFSET($D$13,1,0):OFFSET($D$182,-3,0))*IF(ISNUMBER(OFFSET(AQ$11,5,0):OFFSET(AQ$182,-1,0)),OFFSET(AQ$11,5,0):OFFSET(AQ$182,-1,0),0))</f>
        <v>0</v>
      </c>
      <c r="AR191" s="495" t="n">
        <f aca="true" t="array" ref="AR191:AR191">IF(AR$12=1,0,OFFSET(AR191,0,-1))+SUM((OFFSET($D$13,1,0):OFFSET($D$182,-3,0))*IF(ISNUMBER(OFFSET(AR$11,5,0):OFFSET(AR$182,-1,0)),OFFSET(AR$11,5,0):OFFSET(AR$182,-1,0),0))</f>
        <v>0</v>
      </c>
      <c r="AS191" s="495" t="n">
        <f aca="true" t="array" ref="AS191:AS191">IF(AS$12=1,0,OFFSET(AS191,0,-1))+SUM((OFFSET($D$13,1,0):OFFSET($D$182,-3,0))*IF(ISNUMBER(OFFSET(AS$11,5,0):OFFSET(AS$182,-1,0)),OFFSET(AS$11,5,0):OFFSET(AS$182,-1,0),0))</f>
        <v>0</v>
      </c>
      <c r="AT191" s="495" t="n">
        <f aca="true" t="array" ref="AT191:AT191">IF(AT$12=1,0,OFFSET(AT191,0,-1))+SUM((OFFSET($D$13,1,0):OFFSET($D$182,-3,0))*IF(ISNUMBER(OFFSET(AT$11,5,0):OFFSET(AT$182,-1,0)),OFFSET(AT$11,5,0):OFFSET(AT$182,-1,0),0))</f>
        <v>0</v>
      </c>
      <c r="AU191" s="495" t="n">
        <f aca="true" t="array" ref="AU191:AU191">IF(AU$12=1,0,OFFSET(AU191,0,-1))+SUM((OFFSET($D$13,1,0):OFFSET($D$182,-3,0))*IF(ISNUMBER(OFFSET(AU$11,5,0):OFFSET(AU$182,-1,0)),OFFSET(AU$11,5,0):OFFSET(AU$182,-1,0),0))</f>
        <v>0</v>
      </c>
      <c r="AV191" s="495" t="n">
        <f aca="true" t="array" ref="AV191:AV191">IF(AV$12=1,0,OFFSET(AV191,0,-1))+SUM((OFFSET($D$13,1,0):OFFSET($D$182,-3,0))*IF(ISNUMBER(OFFSET(AV$11,5,0):OFFSET(AV$182,-1,0)),OFFSET(AV$11,5,0):OFFSET(AV$182,-1,0),0))</f>
        <v>0</v>
      </c>
      <c r="AW191" s="495" t="n">
        <f aca="true" t="array" ref="AW191:AW191">IF(AW$12=1,0,OFFSET(AW191,0,-1))+SUM((OFFSET($D$13,1,0):OFFSET($D$182,-3,0))*IF(ISNUMBER(OFFSET(AW$11,5,0):OFFSET(AW$182,-1,0)),OFFSET(AW$11,5,0):OFFSET(AW$182,-1,0),0))</f>
        <v>0</v>
      </c>
      <c r="AX191" s="495" t="n">
        <f aca="true" t="array" ref="AX191:AX191">IF(AX$12=1,0,OFFSET(AX191,0,-1))+SUM((OFFSET($D$13,1,0):OFFSET($D$182,-3,0))*IF(ISNUMBER(OFFSET(AX$11,5,0):OFFSET(AX$182,-1,0)),OFFSET(AX$11,5,0):OFFSET(AX$182,-1,0),0))</f>
        <v>0</v>
      </c>
      <c r="AY191" s="495" t="n">
        <f aca="true" t="array" ref="AY191:AY191">IF(AY$12=1,0,OFFSET(AY191,0,-1))+SUM((OFFSET($D$13,1,0):OFFSET($D$182,-3,0))*IF(ISNUMBER(OFFSET(AY$11,5,0):OFFSET(AY$182,-1,0)),OFFSET(AY$11,5,0):OFFSET(AY$182,-1,0),0))</f>
        <v>0</v>
      </c>
      <c r="AZ191" s="495" t="n">
        <f aca="true" t="array" ref="AZ191:AZ191">IF(AZ$12=1,0,OFFSET(AZ191,0,-1))+SUM((OFFSET($D$13,1,0):OFFSET($D$182,-3,0))*IF(ISNUMBER(OFFSET(AZ$11,5,0):OFFSET(AZ$182,-1,0)),OFFSET(AZ$11,5,0):OFFSET(AZ$182,-1,0),0))</f>
        <v>0</v>
      </c>
      <c r="BA191" s="495" t="n">
        <f aca="true" t="array" ref="BA191:BA191">IF(BA$12=1,0,OFFSET(BA191,0,-1))+SUM((OFFSET($D$13,1,0):OFFSET($D$182,-3,0))*IF(ISNUMBER(OFFSET(BA$11,5,0):OFFSET(BA$182,-1,0)),OFFSET(BA$11,5,0):OFFSET(BA$182,-1,0),0))</f>
        <v>0</v>
      </c>
      <c r="BB191" s="495" t="n">
        <f aca="true" t="array" ref="BB191:BB191">IF(BB$12=1,0,OFFSET(BB191,0,-1))+SUM((OFFSET($D$13,1,0):OFFSET($D$182,-3,0))*IF(ISNUMBER(OFFSET(BB$11,5,0):OFFSET(BB$182,-1,0)),OFFSET(BB$11,5,0):OFFSET(BB$182,-1,0),0))</f>
        <v>0</v>
      </c>
      <c r="BC191" s="495" t="n">
        <f aca="true" t="array" ref="BC191:BC191">IF(BC$12=1,0,OFFSET(BC191,0,-1))+SUM((OFFSET($D$13,1,0):OFFSET($D$182,-3,0))*IF(ISNUMBER(OFFSET(BC$11,5,0):OFFSET(BC$182,-1,0)),OFFSET(BC$11,5,0):OFFSET(BC$182,-1,0),0))</f>
        <v>0</v>
      </c>
      <c r="BD191" s="495" t="n">
        <f aca="true" t="array" ref="BD191:BD191">IF(BD$12=1,0,OFFSET(BD191,0,-1))+SUM((OFFSET($D$13,1,0):OFFSET($D$182,-3,0))*IF(ISNUMBER(OFFSET(BD$11,5,0):OFFSET(BD$182,-1,0)),OFFSET(BD$11,5,0):OFFSET(BD$182,-1,0),0))</f>
        <v>0</v>
      </c>
      <c r="BE191" s="430"/>
    </row>
    <row r="192" customFormat="false" ht="12.75" hidden="false" customHeight="false" outlineLevel="0" collapsed="false">
      <c r="D192" s="438"/>
      <c r="E192" s="503" t="n">
        <f aca="true">SUMIF($S$12:$S$182,"1$",E12:E182)+IF(E$12&gt;1,OFFSET(E192,0,-1),0)</f>
        <v>165344.74</v>
      </c>
      <c r="G192" s="419" t="s">
        <v>563</v>
      </c>
      <c r="H192" s="336" t="str">
        <f aca="false" t="array" ref="H192:H192">IF(ACOMPANHAMENTO="BM","Selecione o Macrosserviço da Administração Local:","")</f>
        <v/>
      </c>
      <c r="L192" s="492"/>
      <c r="S192" s="493"/>
      <c r="T192" s="504" t="s">
        <v>1013</v>
      </c>
      <c r="U192" s="503" t="n">
        <f aca="true">SUMIF($S$12:$S$182,"1$",U12:U182)+IF(U$12&gt;1,OFFSET(U192,0,-1),0)</f>
        <v>165344.74</v>
      </c>
      <c r="V192" s="503" t="n">
        <f aca="true">SUMIF($S$12:$S$182,"1$",V12:V182)+IF(V$12&gt;1,OFFSET(V192,0,-1),0)</f>
        <v>324586.62</v>
      </c>
      <c r="W192" s="503" t="n">
        <f aca="true">SUMIF($S$12:$S$182,"1$",W12:W182)+IF(W$12&gt;1,OFFSET(W192,0,-1),0)</f>
        <v>470832.5</v>
      </c>
      <c r="X192" s="503" t="n">
        <f aca="true">SUMIF($S$12:$S$182,"1$",X12:X182)+IF(X$12&gt;1,OFFSET(X192,0,-1),0)</f>
        <v>615599.98</v>
      </c>
      <c r="Y192" s="503" t="n">
        <f aca="true">SUMIF($S$12:$S$182,"1$",Y12:Y182)+IF(Y$12&gt;1,OFFSET(Y192,0,-1),0)</f>
        <v>760367.46</v>
      </c>
      <c r="Z192" s="503" t="n">
        <f aca="true">SUMIF($S$12:$S$182,"1$",Z12:Z182)+IF(Z$12&gt;1,OFFSET(Z192,0,-1),0)</f>
        <v>905134.94</v>
      </c>
      <c r="AA192" s="503" t="n">
        <f aca="true">SUMIF($S$12:$S$182,"1$",AA12:AA182)+IF(AA$12&gt;1,OFFSET(AA192,0,-1),0)</f>
        <v>1049902.42</v>
      </c>
      <c r="AB192" s="503" t="n">
        <f aca="true">SUMIF($S$12:$S$182,"1$",AB12:AB182)+IF(AB$12&gt;1,OFFSET(AB192,0,-1),0)</f>
        <v>1194669.9</v>
      </c>
      <c r="AC192" s="503" t="n">
        <f aca="true">SUMIF($S$12:$S$182,"1$",AC12:AC182)+IF(AC$12&gt;1,OFFSET(AC192,0,-1),0)</f>
        <v>1339437.38</v>
      </c>
      <c r="AD192" s="503" t="n">
        <f aca="true">SUMIF($S$12:$S$182,"1$",AD12:AD182)+IF(AD$12&gt;1,OFFSET(AD192,0,-1),0)</f>
        <v>1484204.86</v>
      </c>
      <c r="AE192" s="503" t="n">
        <f aca="true">SUMIF($S$12:$S$182,"1$",AE12:AE182)+IF(AE$12&gt;1,OFFSET(AE192,0,-1),0)</f>
        <v>1628972.34</v>
      </c>
      <c r="AF192" s="505" t="n">
        <f aca="true">SUMIF($S$12:$S$182,"1$",AF12:AF182)+IF(AF$12&gt;1,OFFSET(AF192,0,-1),0)</f>
        <v>1773739.82</v>
      </c>
      <c r="AG192" s="503" t="n">
        <f aca="true">SUMIF($S$12:$S$182,"1$",AG12:AG182)+IF(AG$12&gt;1,OFFSET(AG192,0,-1),0)</f>
        <v>1918507.3</v>
      </c>
      <c r="AH192" s="503" t="n">
        <f aca="true">SUMIF($S$12:$S$182,"1$",AH12:AH182)+IF(AH$12&gt;1,OFFSET(AH192,0,-1),0)</f>
        <v>2063274.78</v>
      </c>
      <c r="AI192" s="503" t="n">
        <f aca="true">SUMIF($S$12:$S$182,"1$",AI12:AI182)+IF(AI$12&gt;1,OFFSET(AI192,0,-1),0)</f>
        <v>2208042.26</v>
      </c>
      <c r="AJ192" s="503" t="n">
        <f aca="true">SUMIF($S$12:$S$182,"1$",AJ12:AJ182)+IF(AJ$12&gt;1,OFFSET(AJ192,0,-1),0)</f>
        <v>2352809.74</v>
      </c>
      <c r="AK192" s="503" t="n">
        <f aca="true">SUMIF($S$12:$S$182,"1$",AK12:AK182)+IF(AK$12&gt;1,OFFSET(AK192,0,-1),0)</f>
        <v>2497577.22</v>
      </c>
      <c r="AL192" s="503" t="n">
        <f aca="true">SUMIF($S$12:$S$182,"1$",AL12:AL182)+IF(AL$12&gt;1,OFFSET(AL192,0,-1),0)</f>
        <v>2642344.7</v>
      </c>
      <c r="AM192" s="503" t="n">
        <f aca="true">SUMIF($S$12:$S$182,"1$",AM12:AM182)+IF(AM$12&gt;1,OFFSET(AM192,0,-1),0)</f>
        <v>2787112.18</v>
      </c>
      <c r="AN192" s="503" t="n">
        <f aca="true">SUMIF($S$12:$S$182,"1$",AN12:AN182)+IF(AN$12&gt;1,OFFSET(AN192,0,-1),0)</f>
        <v>2931879.66</v>
      </c>
      <c r="AO192" s="503" t="n">
        <f aca="true">SUMIF($S$12:$S$182,"1$",AO12:AO182)+IF(AO$12&gt;1,OFFSET(AO192,0,-1),0)</f>
        <v>3076647.14</v>
      </c>
      <c r="AP192" s="503" t="n">
        <f aca="true">SUMIF($S$12:$S$182,"1$",AP12:AP182)+IF(AP$12&gt;1,OFFSET(AP192,0,-1),0)</f>
        <v>3221414.62</v>
      </c>
      <c r="AQ192" s="503" t="n">
        <f aca="true">SUMIF($S$12:$S$182,"1$",AQ12:AQ182)+IF(AQ$12&gt;1,OFFSET(AQ192,0,-1),0)</f>
        <v>3366182.1</v>
      </c>
      <c r="AR192" s="505" t="n">
        <f aca="true">SUMIF($S$12:$S$182,"1$",AR12:AR182)+IF(AR$12&gt;1,OFFSET(AR192,0,-1),0)</f>
        <v>3510949.58</v>
      </c>
      <c r="AS192" s="503" t="n">
        <f aca="true">SUMIF($S$12:$S$182,"1$",AS12:AS182)+IF(AS$12&gt;1,OFFSET(AS192,0,-1),0)</f>
        <v>3655717.06</v>
      </c>
      <c r="AT192" s="503" t="n">
        <f aca="true">SUMIF($S$12:$S$182,"1$",AT12:AT182)+IF(AT$12&gt;1,OFFSET(AT192,0,-1),0)</f>
        <v>3655717.06</v>
      </c>
      <c r="AU192" s="503" t="n">
        <f aca="true">SUMIF($S$12:$S$182,"1$",AU12:AU182)+IF(AU$12&gt;1,OFFSET(AU192,0,-1),0)</f>
        <v>3655717.06</v>
      </c>
      <c r="AV192" s="503" t="n">
        <f aca="true">SUMIF($S$12:$S$182,"1$",AV12:AV182)+IF(AV$12&gt;1,OFFSET(AV192,0,-1),0)</f>
        <v>3655717.06</v>
      </c>
      <c r="AW192" s="503" t="n">
        <f aca="true">SUMIF($S$12:$S$182,"1$",AW12:AW182)+IF(AW$12&gt;1,OFFSET(AW192,0,-1),0)</f>
        <v>3655717.06</v>
      </c>
      <c r="AX192" s="503" t="n">
        <f aca="true">SUMIF($S$12:$S$182,"1$",AX12:AX182)+IF(AX$12&gt;1,OFFSET(AX192,0,-1),0)</f>
        <v>3655717.06</v>
      </c>
      <c r="AY192" s="503" t="n">
        <f aca="true">SUMIF($S$12:$S$182,"1$",AY12:AY182)+IF(AY$12&gt;1,OFFSET(AY192,0,-1),0)</f>
        <v>3655717.06</v>
      </c>
      <c r="AZ192" s="503" t="n">
        <f aca="true">SUMIF($S$12:$S$182,"1$",AZ12:AZ182)+IF(AZ$12&gt;1,OFFSET(AZ192,0,-1),0)</f>
        <v>3655717.06</v>
      </c>
      <c r="BA192" s="503" t="n">
        <f aca="true">SUMIF($S$12:$S$182,"1$",BA12:BA182)+IF(BA$12&gt;1,OFFSET(BA192,0,-1),0)</f>
        <v>3655717.06</v>
      </c>
      <c r="BB192" s="503" t="n">
        <f aca="true">SUMIF($S$12:$S$182,"1$",BB12:BB182)+IF(BB$12&gt;1,OFFSET(BB192,0,-1),0)</f>
        <v>3655717.06</v>
      </c>
      <c r="BC192" s="503" t="n">
        <f aca="true">SUMIF($S$12:$S$182,"1$",BC12:BC182)+IF(BC$12&gt;1,OFFSET(BC192,0,-1),0)</f>
        <v>3655717.06</v>
      </c>
      <c r="BD192" s="505" t="n">
        <f aca="true">SUMIF($S$12:$S$182,"1$",BD12:BD182)+IF(BD$12&gt;1,OFFSET(BD192,0,-1),0)</f>
        <v>3655717.06</v>
      </c>
      <c r="BE192" s="430"/>
    </row>
    <row r="193" customFormat="false" ht="12.75" hidden="false" customHeight="false" outlineLevel="0" collapsed="false">
      <c r="D193" s="438"/>
      <c r="E193" s="506" t="n">
        <f aca="true">IF($F$193="","",
  IF(ACOMPANHAMENTO="PLE",
     IF(AUTOEVENTO="Manual",
         IF(AdmLocal="Automática",
              E188,
              SUMIF(OFFSET(CRONOPLE!$F$14,CRONOPLE!$A$8+1,1,1,OFFSET(CRONOPLE!$BE$12,0,-1)),"&lt;="&amp;E$12,OFFSET(EVENTOS!$G$14,CRONOPLE!$A$8+1,1,1,OFFSET(CRONOPLE!$BE$12,0,-1)))/OFFSET(EVENTOS!$G$14,CRONOPLE!$A$8+1,-1)),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SUMIFS(OFFSET(CÁLCULO!$AQ$15,$F$193,1,OFFSET(ORÇAMENTO!$D$15,$F$193,0),CÁLCULO.FrentesPreenchidas),OFFSET(CÁLCULO!$BR$15,$F$193,1,OFFSET(ORÇAMENTO!$D$15,$F$193,0),CÁLCULO.FrentesPreenchidas),"&lt;="&amp;E$12)/OFFSET(ORÇAMENTO!$X$15,$F$193,0)),
     IF(ACOMPANHAMENTO="BM",SUM(OFFSET($T$13,$F$193+2,1,1,E$12))/OFFSET($S$13,$F$193,0),"")))</f>
        <v>0.563296638439685</v>
      </c>
      <c r="F193" s="419" t="n">
        <f aca="false">IF(ACOMPANHAMENTO="PLE",
    IF(AUTOEVENTO="Manual",
        IF(AdmLocal="Automática",1,IF(CRONOPLE!$D$8&lt;&gt;"","",MATCH(Import.EventoAdmLocal,EVENTOS!$B$15:$B$47,0))),
        IF(CRONOPLE!$D$8&lt;&gt;"","",CRONOPLE!$A$10)),
    IF($H$194&lt;&gt;"","",MATCH(Import.MacrosserviçoAdmLocal,$A$13:$A$182,0)-1))</f>
        <v>2</v>
      </c>
      <c r="G193" s="419" t="s">
        <v>563</v>
      </c>
      <c r="H193" s="507"/>
      <c r="I193" s="507"/>
      <c r="J193" s="507"/>
      <c r="L193" s="500"/>
      <c r="S193" s="508"/>
      <c r="T193" s="509" t="s">
        <v>1015</v>
      </c>
      <c r="U193" s="506" t="n">
        <f aca="true">IF($F$193="","",
  IF(ACOMPANHAMENTO="PLE",
     IF(AUTOEVENTO="Manual",
         IF(AdmLocal="Automática",
              U188,
              SUMIF(OFFSET(CRONOPLE!$F$14,CRONOPLE!$A$8+1,1,1,OFFSET(CRONOPLE!$BE$12,0,-1)),"&lt;="&amp;U$12,OFFSET(EVENTOS!$G$14,CRONOPLE!$A$8+1,1,1,OFFSET(CRONOPLE!$BE$12,0,-1)))/OFFSET(EVENTOS!$G$14,CRONOPLE!$A$8+1,-1)),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SUMIFS(OFFSET(CÁLCULO!$AQ$15,$F$193,1,OFFSET(ORÇAMENTO!$D$15,$F$193,0),CÁLCULO.FrentesPreenchidas),OFFSET(CÁLCULO!$BR$15,$F$193,1,OFFSET(ORÇAMENTO!$D$15,$F$193,0),CÁLCULO.FrentesPreenchidas),"&lt;="&amp;U$12)/OFFSET(ORÇAMENTO!$X$15,$F$193,0)),
     IF(ACOMPANHAMENTO="BM",SUM(OFFSET($T$13,$F$193+2,1,1,U$12))/OFFSET($S$13,$F$193,0),"")))</f>
        <v>0.563296638439685</v>
      </c>
      <c r="V193" s="506" t="n">
        <f aca="true">IF($F$193="","",
  IF(ACOMPANHAMENTO="PLE",
     IF(AUTOEVENTO="Manual",
         IF(AdmLocal="Automática",
              V188,
              SUMIF(OFFSET(CRONOPLE!$F$14,CRONOPLE!$A$8+1,1,1,OFFSET(CRONOPLE!$BE$12,0,-1)),"&lt;="&amp;V$12,OFFSET(EVENTOS!$G$14,CRONOPLE!$A$8+1,1,1,OFFSET(CRONOPLE!$BE$12,0,-1)))/OFFSET(EVENTOS!$G$14,CRONOPLE!$A$8+1,-1)),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SUMIFS(OFFSET(CÁLCULO!$AQ$15,$F$193,1,OFFSET(ORÇAMENTO!$D$15,$F$193,0),CÁLCULO.FrentesPreenchidas),OFFSET(CÁLCULO!$BR$15,$F$193,1,OFFSET(ORÇAMENTO!$D$15,$F$193,0),CÁLCULO.FrentesPreenchidas),"&lt;="&amp;V$12)/OFFSET(ORÇAMENTO!$X$15,$F$193,0)),
     IF(ACOMPANHAMENTO="BM",SUM(OFFSET($T$13,$F$193+2,1,1,V$12))/OFFSET($S$13,$F$193,0),"")))</f>
        <v>0.959529220592575</v>
      </c>
      <c r="W193" s="506" t="n">
        <f aca="true">IF($F$193="","",
  IF(ACOMPANHAMENTO="PLE",
     IF(AUTOEVENTO="Manual",
         IF(AdmLocal="Automática",
              W188,
              SUMIF(OFFSET(CRONOPLE!$F$14,CRONOPLE!$A$8+1,1,1,OFFSET(CRONOPLE!$BE$12,0,-1)),"&lt;="&amp;W$12,OFFSET(EVENTOS!$G$14,CRONOPLE!$A$8+1,1,1,OFFSET(CRONOPLE!$BE$12,0,-1)))/OFFSET(EVENTOS!$G$14,CRONOPLE!$A$8+1,-1)),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SUMIFS(OFFSET(CÁLCULO!$AQ$15,$F$193,1,OFFSET(ORÇAMENTO!$D$15,$F$193,0),CÁLCULO.FrentesPreenchidas),OFFSET(CÁLCULO!$BR$15,$F$193,1,OFFSET(ORÇAMENTO!$D$15,$F$193,0),CÁLCULO.FrentesPreenchidas),"&lt;="&amp;W$12)/OFFSET(ORÇAMENTO!$X$15,$F$193,0)),
     IF(ACOMPANHAMENTO="BM",SUM(OFFSET($T$13,$F$193+2,1,1,W$12))/OFFSET($S$13,$F$193,0),"")))</f>
        <v>1</v>
      </c>
      <c r="X193" s="506" t="n">
        <f aca="true">IF($F$193="","",
  IF(ACOMPANHAMENTO="PLE",
     IF(AUTOEVENTO="Manual",
         IF(AdmLocal="Automática",
              X188,
              SUMIF(OFFSET(CRONOPLE!$F$14,CRONOPLE!$A$8+1,1,1,OFFSET(CRONOPLE!$BE$12,0,-1)),"&lt;="&amp;X$12,OFFSET(EVENTOS!$G$14,CRONOPLE!$A$8+1,1,1,OFFSET(CRONOPLE!$BE$12,0,-1)))/OFFSET(EVENTOS!$G$14,CRONOPLE!$A$8+1,-1)),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SUMIFS(OFFSET(CÁLCULO!$AQ$15,$F$193,1,OFFSET(ORÇAMENTO!$D$15,$F$193,0),CÁLCULO.FrentesPreenchidas),OFFSET(CÁLCULO!$BR$15,$F$193,1,OFFSET(ORÇAMENTO!$D$15,$F$193,0),CÁLCULO.FrentesPreenchidas),"&lt;="&amp;X$12)/OFFSET(ORÇAMENTO!$X$15,$F$193,0)),
     IF(ACOMPANHAMENTO="BM",SUM(OFFSET($T$13,$F$193+2,1,1,X$12))/OFFSET($S$13,$F$193,0),"")))</f>
        <v>1</v>
      </c>
      <c r="Y193" s="506" t="n">
        <f aca="true">IF($F$193="","",
  IF(ACOMPANHAMENTO="PLE",
     IF(AUTOEVENTO="Manual",
         IF(AdmLocal="Automática",
              Y188,
              SUMIF(OFFSET(CRONOPLE!$F$14,CRONOPLE!$A$8+1,1,1,OFFSET(CRONOPLE!$BE$12,0,-1)),"&lt;="&amp;Y$12,OFFSET(EVENTOS!$G$14,CRONOPLE!$A$8+1,1,1,OFFSET(CRONOPLE!$BE$12,0,-1)))/OFFSET(EVENTOS!$G$14,CRONOPLE!$A$8+1,-1)),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SUMIFS(OFFSET(CÁLCULO!$AQ$15,$F$193,1,OFFSET(ORÇAMENTO!$D$15,$F$193,0),CÁLCULO.FrentesPreenchidas),OFFSET(CÁLCULO!$BR$15,$F$193,1,OFFSET(ORÇAMENTO!$D$15,$F$193,0),CÁLCULO.FrentesPreenchidas),"&lt;="&amp;Y$12)/OFFSET(ORÇAMENTO!$X$15,$F$193,0)),
     IF(ACOMPANHAMENTO="BM",SUM(OFFSET($T$13,$F$193+2,1,1,Y$12))/OFFSET($S$13,$F$193,0),"")))</f>
        <v>1</v>
      </c>
      <c r="Z193" s="506" t="n">
        <f aca="true">IF($F$193="","",
  IF(ACOMPANHAMENTO="PLE",
     IF(AUTOEVENTO="Manual",
         IF(AdmLocal="Automática",
              Z188,
              SUMIF(OFFSET(CRONOPLE!$F$14,CRONOPLE!$A$8+1,1,1,OFFSET(CRONOPLE!$BE$12,0,-1)),"&lt;="&amp;Z$12,OFFSET(EVENTOS!$G$14,CRONOPLE!$A$8+1,1,1,OFFSET(CRONOPLE!$BE$12,0,-1)))/OFFSET(EVENTOS!$G$14,CRONOPLE!$A$8+1,-1)),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SUMIFS(OFFSET(CÁLCULO!$AQ$15,$F$193,1,OFFSET(ORÇAMENTO!$D$15,$F$193,0),CÁLCULO.FrentesPreenchidas),OFFSET(CÁLCULO!$BR$15,$F$193,1,OFFSET(ORÇAMENTO!$D$15,$F$193,0),CÁLCULO.FrentesPreenchidas),"&lt;="&amp;Z$12)/OFFSET(ORÇAMENTO!$X$15,$F$193,0)),
     IF(ACOMPANHAMENTO="BM",SUM(OFFSET($T$13,$F$193+2,1,1,Z$12))/OFFSET($S$13,$F$193,0),"")))</f>
        <v>1</v>
      </c>
      <c r="AA193" s="506" t="n">
        <f aca="true">IF($F$193="","",
  IF(ACOMPANHAMENTO="PLE",
     IF(AUTOEVENTO="Manual",
         IF(AdmLocal="Automática",
              AA188,
              SUMIF(OFFSET(CRONOPLE!$F$14,CRONOPLE!$A$8+1,1,1,OFFSET(CRONOPLE!$BE$12,0,-1)),"&lt;="&amp;AA$12,OFFSET(EVENTOS!$G$14,CRONOPLE!$A$8+1,1,1,OFFSET(CRONOPLE!$BE$12,0,-1)))/OFFSET(EVENTOS!$G$14,CRONOPLE!$A$8+1,-1)),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SUMIFS(OFFSET(CÁLCULO!$AQ$15,$F$193,1,OFFSET(ORÇAMENTO!$D$15,$F$193,0),CÁLCULO.FrentesPreenchidas),OFFSET(CÁLCULO!$BR$15,$F$193,1,OFFSET(ORÇAMENTO!$D$15,$F$193,0),CÁLCULO.FrentesPreenchidas),"&lt;="&amp;AA$12)/OFFSET(ORÇAMENTO!$X$15,$F$193,0)),
     IF(ACOMPANHAMENTO="BM",SUM(OFFSET($T$13,$F$193+2,1,1,AA$12))/OFFSET($S$13,$F$193,0),"")))</f>
        <v>1</v>
      </c>
      <c r="AB193" s="506" t="n">
        <f aca="true">IF($F$193="","",
  IF(ACOMPANHAMENTO="PLE",
     IF(AUTOEVENTO="Manual",
         IF(AdmLocal="Automática",
              AB188,
              SUMIF(OFFSET(CRONOPLE!$F$14,CRONOPLE!$A$8+1,1,1,OFFSET(CRONOPLE!$BE$12,0,-1)),"&lt;="&amp;AB$12,OFFSET(EVENTOS!$G$14,CRONOPLE!$A$8+1,1,1,OFFSET(CRONOPLE!$BE$12,0,-1)))/OFFSET(EVENTOS!$G$14,CRONOPLE!$A$8+1,-1)),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SUMIFS(OFFSET(CÁLCULO!$AQ$15,$F$193,1,OFFSET(ORÇAMENTO!$D$15,$F$193,0),CÁLCULO.FrentesPreenchidas),OFFSET(CÁLCULO!$BR$15,$F$193,1,OFFSET(ORÇAMENTO!$D$15,$F$193,0),CÁLCULO.FrentesPreenchidas),"&lt;="&amp;AB$12)/OFFSET(ORÇAMENTO!$X$15,$F$193,0)),
     IF(ACOMPANHAMENTO="BM",SUM(OFFSET($T$13,$F$193+2,1,1,AB$12))/OFFSET($S$13,$F$193,0),"")))</f>
        <v>1</v>
      </c>
      <c r="AC193" s="506" t="n">
        <f aca="true">IF($F$193="","",
  IF(ACOMPANHAMENTO="PLE",
     IF(AUTOEVENTO="Manual",
         IF(AdmLocal="Automática",
              AC188,
              SUMIF(OFFSET(CRONOPLE!$F$14,CRONOPLE!$A$8+1,1,1,OFFSET(CRONOPLE!$BE$12,0,-1)),"&lt;="&amp;AC$12,OFFSET(EVENTOS!$G$14,CRONOPLE!$A$8+1,1,1,OFFSET(CRONOPLE!$BE$12,0,-1)))/OFFSET(EVENTOS!$G$14,CRONOPLE!$A$8+1,-1)),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SUMIFS(OFFSET(CÁLCULO!$AQ$15,$F$193,1,OFFSET(ORÇAMENTO!$D$15,$F$193,0),CÁLCULO.FrentesPreenchidas),OFFSET(CÁLCULO!$BR$15,$F$193,1,OFFSET(ORÇAMENTO!$D$15,$F$193,0),CÁLCULO.FrentesPreenchidas),"&lt;="&amp;AC$12)/OFFSET(ORÇAMENTO!$X$15,$F$193,0)),
     IF(ACOMPANHAMENTO="BM",SUM(OFFSET($T$13,$F$193+2,1,1,AC$12))/OFFSET($S$13,$F$193,0),"")))</f>
        <v>1</v>
      </c>
      <c r="AD193" s="506" t="n">
        <f aca="true">IF($F$193="","",
  IF(ACOMPANHAMENTO="PLE",
     IF(AUTOEVENTO="Manual",
         IF(AdmLocal="Automática",
              AD188,
              SUMIF(OFFSET(CRONOPLE!$F$14,CRONOPLE!$A$8+1,1,1,OFFSET(CRONOPLE!$BE$12,0,-1)),"&lt;="&amp;AD$12,OFFSET(EVENTOS!$G$14,CRONOPLE!$A$8+1,1,1,OFFSET(CRONOPLE!$BE$12,0,-1)))/OFFSET(EVENTOS!$G$14,CRONOPLE!$A$8+1,-1)),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SUMIFS(OFFSET(CÁLCULO!$AQ$15,$F$193,1,OFFSET(ORÇAMENTO!$D$15,$F$193,0),CÁLCULO.FrentesPreenchidas),OFFSET(CÁLCULO!$BR$15,$F$193,1,OFFSET(ORÇAMENTO!$D$15,$F$193,0),CÁLCULO.FrentesPreenchidas),"&lt;="&amp;AD$12)/OFFSET(ORÇAMENTO!$X$15,$F$193,0)),
     IF(ACOMPANHAMENTO="BM",SUM(OFFSET($T$13,$F$193+2,1,1,AD$12))/OFFSET($S$13,$F$193,0),"")))</f>
        <v>1</v>
      </c>
      <c r="AE193" s="506" t="n">
        <f aca="true">IF($F$193="","",
  IF(ACOMPANHAMENTO="PLE",
     IF(AUTOEVENTO="Manual",
         IF(AdmLocal="Automática",
              AE188,
              SUMIF(OFFSET(CRONOPLE!$F$14,CRONOPLE!$A$8+1,1,1,OFFSET(CRONOPLE!$BE$12,0,-1)),"&lt;="&amp;AE$12,OFFSET(EVENTOS!$G$14,CRONOPLE!$A$8+1,1,1,OFFSET(CRONOPLE!$BE$12,0,-1)))/OFFSET(EVENTOS!$G$14,CRONOPLE!$A$8+1,-1)),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SUMIFS(OFFSET(CÁLCULO!$AQ$15,$F$193,1,OFFSET(ORÇAMENTO!$D$15,$F$193,0),CÁLCULO.FrentesPreenchidas),OFFSET(CÁLCULO!$BR$15,$F$193,1,OFFSET(ORÇAMENTO!$D$15,$F$193,0),CÁLCULO.FrentesPreenchidas),"&lt;="&amp;AE$12)/OFFSET(ORÇAMENTO!$X$15,$F$193,0)),
     IF(ACOMPANHAMENTO="BM",SUM(OFFSET($T$13,$F$193+2,1,1,AE$12))/OFFSET($S$13,$F$193,0),"")))</f>
        <v>1</v>
      </c>
      <c r="AF193" s="506" t="n">
        <f aca="true">IF($F$193="","",
  IF(ACOMPANHAMENTO="PLE",
     IF(AUTOEVENTO="Manual",
         IF(AdmLocal="Automática",
              AF188,
              SUMIF(OFFSET(CRONOPLE!$F$14,CRONOPLE!$A$8+1,1,1,OFFSET(CRONOPLE!$BE$12,0,-1)),"&lt;="&amp;AF$12,OFFSET(EVENTOS!$G$14,CRONOPLE!$A$8+1,1,1,OFFSET(CRONOPLE!$BE$12,0,-1)))/OFFSET(EVENTOS!$G$14,CRONOPLE!$A$8+1,-1)),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SUMIFS(OFFSET(CÁLCULO!$AQ$15,$F$193,1,OFFSET(ORÇAMENTO!$D$15,$F$193,0),CÁLCULO.FrentesPreenchidas),OFFSET(CÁLCULO!$BR$15,$F$193,1,OFFSET(ORÇAMENTO!$D$15,$F$193,0),CÁLCULO.FrentesPreenchidas),"&lt;="&amp;AF$12)/OFFSET(ORÇAMENTO!$X$15,$F$193,0)),
     IF(ACOMPANHAMENTO="BM",SUM(OFFSET($T$13,$F$193+2,1,1,AF$12))/OFFSET($S$13,$F$193,0),"")))</f>
        <v>1</v>
      </c>
      <c r="AG193" s="506" t="n">
        <f aca="true">IF($F$193="","",
  IF(ACOMPANHAMENTO="PLE",
     IF(AUTOEVENTO="Manual",
         IF(AdmLocal="Automática",
              AG188,
              SUMIF(OFFSET(CRONOPLE!$F$14,CRONOPLE!$A$8+1,1,1,OFFSET(CRONOPLE!$BE$12,0,-1)),"&lt;="&amp;AG$12,OFFSET(EVENTOS!$G$14,CRONOPLE!$A$8+1,1,1,OFFSET(CRONOPLE!$BE$12,0,-1)))/OFFSET(EVENTOS!$G$14,CRONOPLE!$A$8+1,-1)),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SUMIFS(OFFSET(CÁLCULO!$AQ$15,$F$193,1,OFFSET(ORÇAMENTO!$D$15,$F$193,0),CÁLCULO.FrentesPreenchidas),OFFSET(CÁLCULO!$BR$15,$F$193,1,OFFSET(ORÇAMENTO!$D$15,$F$193,0),CÁLCULO.FrentesPreenchidas),"&lt;="&amp;AG$12)/OFFSET(ORÇAMENTO!$X$15,$F$193,0)),
     IF(ACOMPANHAMENTO="BM",SUM(OFFSET($T$13,$F$193+2,1,1,AG$12))/OFFSET($S$13,$F$193,0),"")))</f>
        <v>1</v>
      </c>
      <c r="AH193" s="506" t="n">
        <f aca="true">IF($F$193="","",
  IF(ACOMPANHAMENTO="PLE",
     IF(AUTOEVENTO="Manual",
         IF(AdmLocal="Automática",
              AH188,
              SUMIF(OFFSET(CRONOPLE!$F$14,CRONOPLE!$A$8+1,1,1,OFFSET(CRONOPLE!$BE$12,0,-1)),"&lt;="&amp;AH$12,OFFSET(EVENTOS!$G$14,CRONOPLE!$A$8+1,1,1,OFFSET(CRONOPLE!$BE$12,0,-1)))/OFFSET(EVENTOS!$G$14,CRONOPLE!$A$8+1,-1)),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SUMIFS(OFFSET(CÁLCULO!$AQ$15,$F$193,1,OFFSET(ORÇAMENTO!$D$15,$F$193,0),CÁLCULO.FrentesPreenchidas),OFFSET(CÁLCULO!$BR$15,$F$193,1,OFFSET(ORÇAMENTO!$D$15,$F$193,0),CÁLCULO.FrentesPreenchidas),"&lt;="&amp;AH$12)/OFFSET(ORÇAMENTO!$X$15,$F$193,0)),
     IF(ACOMPANHAMENTO="BM",SUM(OFFSET($T$13,$F$193+2,1,1,AH$12))/OFFSET($S$13,$F$193,0),"")))</f>
        <v>1</v>
      </c>
      <c r="AI193" s="506" t="n">
        <f aca="true">IF($F$193="","",
  IF(ACOMPANHAMENTO="PLE",
     IF(AUTOEVENTO="Manual",
         IF(AdmLocal="Automática",
              AI188,
              SUMIF(OFFSET(CRONOPLE!$F$14,CRONOPLE!$A$8+1,1,1,OFFSET(CRONOPLE!$BE$12,0,-1)),"&lt;="&amp;AI$12,OFFSET(EVENTOS!$G$14,CRONOPLE!$A$8+1,1,1,OFFSET(CRONOPLE!$BE$12,0,-1)))/OFFSET(EVENTOS!$G$14,CRONOPLE!$A$8+1,-1)),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SUMIFS(OFFSET(CÁLCULO!$AQ$15,$F$193,1,OFFSET(ORÇAMENTO!$D$15,$F$193,0),CÁLCULO.FrentesPreenchidas),OFFSET(CÁLCULO!$BR$15,$F$193,1,OFFSET(ORÇAMENTO!$D$15,$F$193,0),CÁLCULO.FrentesPreenchidas),"&lt;="&amp;AI$12)/OFFSET(ORÇAMENTO!$X$15,$F$193,0)),
     IF(ACOMPANHAMENTO="BM",SUM(OFFSET($T$13,$F$193+2,1,1,AI$12))/OFFSET($S$13,$F$193,0),"")))</f>
        <v>1</v>
      </c>
      <c r="AJ193" s="506" t="n">
        <f aca="true">IF($F$193="","",
  IF(ACOMPANHAMENTO="PLE",
     IF(AUTOEVENTO="Manual",
         IF(AdmLocal="Automática",
              AJ188,
              SUMIF(OFFSET(CRONOPLE!$F$14,CRONOPLE!$A$8+1,1,1,OFFSET(CRONOPLE!$BE$12,0,-1)),"&lt;="&amp;AJ$12,OFFSET(EVENTOS!$G$14,CRONOPLE!$A$8+1,1,1,OFFSET(CRONOPLE!$BE$12,0,-1)))/OFFSET(EVENTOS!$G$14,CRONOPLE!$A$8+1,-1)),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SUMIFS(OFFSET(CÁLCULO!$AQ$15,$F$193,1,OFFSET(ORÇAMENTO!$D$15,$F$193,0),CÁLCULO.FrentesPreenchidas),OFFSET(CÁLCULO!$BR$15,$F$193,1,OFFSET(ORÇAMENTO!$D$15,$F$193,0),CÁLCULO.FrentesPreenchidas),"&lt;="&amp;AJ$12)/OFFSET(ORÇAMENTO!$X$15,$F$193,0)),
     IF(ACOMPANHAMENTO="BM",SUM(OFFSET($T$13,$F$193+2,1,1,AJ$12))/OFFSET($S$13,$F$193,0),"")))</f>
        <v>1</v>
      </c>
      <c r="AK193" s="506" t="n">
        <f aca="true">IF($F$193="","",
  IF(ACOMPANHAMENTO="PLE",
     IF(AUTOEVENTO="Manual",
         IF(AdmLocal="Automática",
              AK188,
              SUMIF(OFFSET(CRONOPLE!$F$14,CRONOPLE!$A$8+1,1,1,OFFSET(CRONOPLE!$BE$12,0,-1)),"&lt;="&amp;AK$12,OFFSET(EVENTOS!$G$14,CRONOPLE!$A$8+1,1,1,OFFSET(CRONOPLE!$BE$12,0,-1)))/OFFSET(EVENTOS!$G$14,CRONOPLE!$A$8+1,-1)),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SUMIFS(OFFSET(CÁLCULO!$AQ$15,$F$193,1,OFFSET(ORÇAMENTO!$D$15,$F$193,0),CÁLCULO.FrentesPreenchidas),OFFSET(CÁLCULO!$BR$15,$F$193,1,OFFSET(ORÇAMENTO!$D$15,$F$193,0),CÁLCULO.FrentesPreenchidas),"&lt;="&amp;AK$12)/OFFSET(ORÇAMENTO!$X$15,$F$193,0)),
     IF(ACOMPANHAMENTO="BM",SUM(OFFSET($T$13,$F$193+2,1,1,AK$12))/OFFSET($S$13,$F$193,0),"")))</f>
        <v>1</v>
      </c>
      <c r="AL193" s="506" t="n">
        <f aca="true">IF($F$193="","",
  IF(ACOMPANHAMENTO="PLE",
     IF(AUTOEVENTO="Manual",
         IF(AdmLocal="Automática",
              AL188,
              SUMIF(OFFSET(CRONOPLE!$F$14,CRONOPLE!$A$8+1,1,1,OFFSET(CRONOPLE!$BE$12,0,-1)),"&lt;="&amp;AL$12,OFFSET(EVENTOS!$G$14,CRONOPLE!$A$8+1,1,1,OFFSET(CRONOPLE!$BE$12,0,-1)))/OFFSET(EVENTOS!$G$14,CRONOPLE!$A$8+1,-1)),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SUMIFS(OFFSET(CÁLCULO!$AQ$15,$F$193,1,OFFSET(ORÇAMENTO!$D$15,$F$193,0),CÁLCULO.FrentesPreenchidas),OFFSET(CÁLCULO!$BR$15,$F$193,1,OFFSET(ORÇAMENTO!$D$15,$F$193,0),CÁLCULO.FrentesPreenchidas),"&lt;="&amp;AL$12)/OFFSET(ORÇAMENTO!$X$15,$F$193,0)),
     IF(ACOMPANHAMENTO="BM",SUM(OFFSET($T$13,$F$193+2,1,1,AL$12))/OFFSET($S$13,$F$193,0),"")))</f>
        <v>1</v>
      </c>
      <c r="AM193" s="506" t="n">
        <f aca="true">IF($F$193="","",
  IF(ACOMPANHAMENTO="PLE",
     IF(AUTOEVENTO="Manual",
         IF(AdmLocal="Automática",
              AM188,
              SUMIF(OFFSET(CRONOPLE!$F$14,CRONOPLE!$A$8+1,1,1,OFFSET(CRONOPLE!$BE$12,0,-1)),"&lt;="&amp;AM$12,OFFSET(EVENTOS!$G$14,CRONOPLE!$A$8+1,1,1,OFFSET(CRONOPLE!$BE$12,0,-1)))/OFFSET(EVENTOS!$G$14,CRONOPLE!$A$8+1,-1)),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SUMIFS(OFFSET(CÁLCULO!$AQ$15,$F$193,1,OFFSET(ORÇAMENTO!$D$15,$F$193,0),CÁLCULO.FrentesPreenchidas),OFFSET(CÁLCULO!$BR$15,$F$193,1,OFFSET(ORÇAMENTO!$D$15,$F$193,0),CÁLCULO.FrentesPreenchidas),"&lt;="&amp;AM$12)/OFFSET(ORÇAMENTO!$X$15,$F$193,0)),
     IF(ACOMPANHAMENTO="BM",SUM(OFFSET($T$13,$F$193+2,1,1,AM$12))/OFFSET($S$13,$F$193,0),"")))</f>
        <v>1</v>
      </c>
      <c r="AN193" s="506" t="n">
        <f aca="true">IF($F$193="","",
  IF(ACOMPANHAMENTO="PLE",
     IF(AUTOEVENTO="Manual",
         IF(AdmLocal="Automática",
              AN188,
              SUMIF(OFFSET(CRONOPLE!$F$14,CRONOPLE!$A$8+1,1,1,OFFSET(CRONOPLE!$BE$12,0,-1)),"&lt;="&amp;AN$12,OFFSET(EVENTOS!$G$14,CRONOPLE!$A$8+1,1,1,OFFSET(CRONOPLE!$BE$12,0,-1)))/OFFSET(EVENTOS!$G$14,CRONOPLE!$A$8+1,-1)),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SUMIFS(OFFSET(CÁLCULO!$AQ$15,$F$193,1,OFFSET(ORÇAMENTO!$D$15,$F$193,0),CÁLCULO.FrentesPreenchidas),OFFSET(CÁLCULO!$BR$15,$F$193,1,OFFSET(ORÇAMENTO!$D$15,$F$193,0),CÁLCULO.FrentesPreenchidas),"&lt;="&amp;AN$12)/OFFSET(ORÇAMENTO!$X$15,$F$193,0)),
     IF(ACOMPANHAMENTO="BM",SUM(OFFSET($T$13,$F$193+2,1,1,AN$12))/OFFSET($S$13,$F$193,0),"")))</f>
        <v>1</v>
      </c>
      <c r="AO193" s="506" t="n">
        <f aca="true">IF($F$193="","",
  IF(ACOMPANHAMENTO="PLE",
     IF(AUTOEVENTO="Manual",
         IF(AdmLocal="Automática",
              AO188,
              SUMIF(OFFSET(CRONOPLE!$F$14,CRONOPLE!$A$8+1,1,1,OFFSET(CRONOPLE!$BE$12,0,-1)),"&lt;="&amp;AO$12,OFFSET(EVENTOS!$G$14,CRONOPLE!$A$8+1,1,1,OFFSET(CRONOPLE!$BE$12,0,-1)))/OFFSET(EVENTOS!$G$14,CRONOPLE!$A$8+1,-1)),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SUMIFS(OFFSET(CÁLCULO!$AQ$15,$F$193,1,OFFSET(ORÇAMENTO!$D$15,$F$193,0),CÁLCULO.FrentesPreenchidas),OFFSET(CÁLCULO!$BR$15,$F$193,1,OFFSET(ORÇAMENTO!$D$15,$F$193,0),CÁLCULO.FrentesPreenchidas),"&lt;="&amp;AO$12)/OFFSET(ORÇAMENTO!$X$15,$F$193,0)),
     IF(ACOMPANHAMENTO="BM",SUM(OFFSET($T$13,$F$193+2,1,1,AO$12))/OFFSET($S$13,$F$193,0),"")))</f>
        <v>1</v>
      </c>
      <c r="AP193" s="506" t="n">
        <f aca="true">IF($F$193="","",
  IF(ACOMPANHAMENTO="PLE",
     IF(AUTOEVENTO="Manual",
         IF(AdmLocal="Automática",
              AP188,
              SUMIF(OFFSET(CRONOPLE!$F$14,CRONOPLE!$A$8+1,1,1,OFFSET(CRONOPLE!$BE$12,0,-1)),"&lt;="&amp;AP$12,OFFSET(EVENTOS!$G$14,CRONOPLE!$A$8+1,1,1,OFFSET(CRONOPLE!$BE$12,0,-1)))/OFFSET(EVENTOS!$G$14,CRONOPLE!$A$8+1,-1)),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SUMIFS(OFFSET(CÁLCULO!$AQ$15,$F$193,1,OFFSET(ORÇAMENTO!$D$15,$F$193,0),CÁLCULO.FrentesPreenchidas),OFFSET(CÁLCULO!$BR$15,$F$193,1,OFFSET(ORÇAMENTO!$D$15,$F$193,0),CÁLCULO.FrentesPreenchidas),"&lt;="&amp;AP$12)/OFFSET(ORÇAMENTO!$X$15,$F$193,0)),
     IF(ACOMPANHAMENTO="BM",SUM(OFFSET($T$13,$F$193+2,1,1,AP$12))/OFFSET($S$13,$F$193,0),"")))</f>
        <v>1</v>
      </c>
      <c r="AQ193" s="506" t="n">
        <f aca="true">IF($F$193="","",
  IF(ACOMPANHAMENTO="PLE",
     IF(AUTOEVENTO="Manual",
         IF(AdmLocal="Automática",
              AQ188,
              SUMIF(OFFSET(CRONOPLE!$F$14,CRONOPLE!$A$8+1,1,1,OFFSET(CRONOPLE!$BE$12,0,-1)),"&lt;="&amp;AQ$12,OFFSET(EVENTOS!$G$14,CRONOPLE!$A$8+1,1,1,OFFSET(CRONOPLE!$BE$12,0,-1)))/OFFSET(EVENTOS!$G$14,CRONOPLE!$A$8+1,-1)),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SUMIFS(OFFSET(CÁLCULO!$AQ$15,$F$193,1,OFFSET(ORÇAMENTO!$D$15,$F$193,0),CÁLCULO.FrentesPreenchidas),OFFSET(CÁLCULO!$BR$15,$F$193,1,OFFSET(ORÇAMENTO!$D$15,$F$193,0),CÁLCULO.FrentesPreenchidas),"&lt;="&amp;AQ$12)/OFFSET(ORÇAMENTO!$X$15,$F$193,0)),
     IF(ACOMPANHAMENTO="BM",SUM(OFFSET($T$13,$F$193+2,1,1,AQ$12))/OFFSET($S$13,$F$193,0),"")))</f>
        <v>1</v>
      </c>
      <c r="AR193" s="506" t="n">
        <f aca="true">IF($F$193="","",
  IF(ACOMPANHAMENTO="PLE",
     IF(AUTOEVENTO="Manual",
         IF(AdmLocal="Automática",
              AR188,
              SUMIF(OFFSET(CRONOPLE!$F$14,CRONOPLE!$A$8+1,1,1,OFFSET(CRONOPLE!$BE$12,0,-1)),"&lt;="&amp;AR$12,OFFSET(EVENTOS!$G$14,CRONOPLE!$A$8+1,1,1,OFFSET(CRONOPLE!$BE$12,0,-1)))/OFFSET(EVENTOS!$G$14,CRONOPLE!$A$8+1,-1)),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SUMIFS(OFFSET(CÁLCULO!$AQ$15,$F$193,1,OFFSET(ORÇAMENTO!$D$15,$F$193,0),CÁLCULO.FrentesPreenchidas),OFFSET(CÁLCULO!$BR$15,$F$193,1,OFFSET(ORÇAMENTO!$D$15,$F$193,0),CÁLCULO.FrentesPreenchidas),"&lt;="&amp;AR$12)/OFFSET(ORÇAMENTO!$X$15,$F$193,0)),
     IF(ACOMPANHAMENTO="BM",SUM(OFFSET($T$13,$F$193+2,1,1,AR$12))/OFFSET($S$13,$F$193,0),"")))</f>
        <v>1</v>
      </c>
      <c r="AS193" s="506" t="n">
        <f aca="true">IF($F$193="","",
  IF(ACOMPANHAMENTO="PLE",
     IF(AUTOEVENTO="Manual",
         IF(AdmLocal="Automática",
              AS188,
              SUMIF(OFFSET(CRONOPLE!$F$14,CRONOPLE!$A$8+1,1,1,OFFSET(CRONOPLE!$BE$12,0,-1)),"&lt;="&amp;AS$12,OFFSET(EVENTOS!$G$14,CRONOPLE!$A$8+1,1,1,OFFSET(CRONOPLE!$BE$12,0,-1)))/OFFSET(EVENTOS!$G$14,CRONOPLE!$A$8+1,-1)),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SUMIFS(OFFSET(CÁLCULO!$AQ$15,$F$193,1,OFFSET(ORÇAMENTO!$D$15,$F$193,0),CÁLCULO.FrentesPreenchidas),OFFSET(CÁLCULO!$BR$15,$F$193,1,OFFSET(ORÇAMENTO!$D$15,$F$193,0),CÁLCULO.FrentesPreenchidas),"&lt;="&amp;AS$12)/OFFSET(ORÇAMENTO!$X$15,$F$193,0)),
     IF(ACOMPANHAMENTO="BM",SUM(OFFSET($T$13,$F$193+2,1,1,AS$12))/OFFSET($S$13,$F$193,0),"")))</f>
        <v>1</v>
      </c>
      <c r="AT193" s="506" t="n">
        <f aca="true">IF($F$193="","",
  IF(ACOMPANHAMENTO="PLE",
     IF(AUTOEVENTO="Manual",
         IF(AdmLocal="Automática",
              AT188,
              SUMIF(OFFSET(CRONOPLE!$F$14,CRONOPLE!$A$8+1,1,1,OFFSET(CRONOPLE!$BE$12,0,-1)),"&lt;="&amp;AT$12,OFFSET(EVENTOS!$G$14,CRONOPLE!$A$8+1,1,1,OFFSET(CRONOPLE!$BE$12,0,-1)))/OFFSET(EVENTOS!$G$14,CRONOPLE!$A$8+1,-1)),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SUMIFS(OFFSET(CÁLCULO!$AQ$15,$F$193,1,OFFSET(ORÇAMENTO!$D$15,$F$193,0),CÁLCULO.FrentesPreenchidas),OFFSET(CÁLCULO!$BR$15,$F$193,1,OFFSET(ORÇAMENTO!$D$15,$F$193,0),CÁLCULO.FrentesPreenchidas),"&lt;="&amp;AT$12)/OFFSET(ORÇAMENTO!$X$15,$F$193,0)),
     IF(ACOMPANHAMENTO="BM",SUM(OFFSET($T$13,$F$193+2,1,1,AT$12))/OFFSET($S$13,$F$193,0),"")))</f>
        <v>1</v>
      </c>
      <c r="AU193" s="506" t="n">
        <f aca="true">IF($F$193="","",
  IF(ACOMPANHAMENTO="PLE",
     IF(AUTOEVENTO="Manual",
         IF(AdmLocal="Automática",
              AU188,
              SUMIF(OFFSET(CRONOPLE!$F$14,CRONOPLE!$A$8+1,1,1,OFFSET(CRONOPLE!$BE$12,0,-1)),"&lt;="&amp;AU$12,OFFSET(EVENTOS!$G$14,CRONOPLE!$A$8+1,1,1,OFFSET(CRONOPLE!$BE$12,0,-1)))/OFFSET(EVENTOS!$G$14,CRONOPLE!$A$8+1,-1)),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SUMIFS(OFFSET(CÁLCULO!$AQ$15,$F$193,1,OFFSET(ORÇAMENTO!$D$15,$F$193,0),CÁLCULO.FrentesPreenchidas),OFFSET(CÁLCULO!$BR$15,$F$193,1,OFFSET(ORÇAMENTO!$D$15,$F$193,0),CÁLCULO.FrentesPreenchidas),"&lt;="&amp;AU$12)/OFFSET(ORÇAMENTO!$X$15,$F$193,0)),
     IF(ACOMPANHAMENTO="BM",SUM(OFFSET($T$13,$F$193+2,1,1,AU$12))/OFFSET($S$13,$F$193,0),"")))</f>
        <v>1</v>
      </c>
      <c r="AV193" s="506" t="n">
        <f aca="true">IF($F$193="","",
  IF(ACOMPANHAMENTO="PLE",
     IF(AUTOEVENTO="Manual",
         IF(AdmLocal="Automática",
              AV188,
              SUMIF(OFFSET(CRONOPLE!$F$14,CRONOPLE!$A$8+1,1,1,OFFSET(CRONOPLE!$BE$12,0,-1)),"&lt;="&amp;AV$12,OFFSET(EVENTOS!$G$14,CRONOPLE!$A$8+1,1,1,OFFSET(CRONOPLE!$BE$12,0,-1)))/OFFSET(EVENTOS!$G$14,CRONOPLE!$A$8+1,-1)),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SUMIFS(OFFSET(CÁLCULO!$AQ$15,$F$193,1,OFFSET(ORÇAMENTO!$D$15,$F$193,0),CÁLCULO.FrentesPreenchidas),OFFSET(CÁLCULO!$BR$15,$F$193,1,OFFSET(ORÇAMENTO!$D$15,$F$193,0),CÁLCULO.FrentesPreenchidas),"&lt;="&amp;AV$12)/OFFSET(ORÇAMENTO!$X$15,$F$193,0)),
     IF(ACOMPANHAMENTO="BM",SUM(OFFSET($T$13,$F$193+2,1,1,AV$12))/OFFSET($S$13,$F$193,0),"")))</f>
        <v>1</v>
      </c>
      <c r="AW193" s="506" t="n">
        <f aca="true">IF($F$193="","",
  IF(ACOMPANHAMENTO="PLE",
     IF(AUTOEVENTO="Manual",
         IF(AdmLocal="Automática",
              AW188,
              SUMIF(OFFSET(CRONOPLE!$F$14,CRONOPLE!$A$8+1,1,1,OFFSET(CRONOPLE!$BE$12,0,-1)),"&lt;="&amp;AW$12,OFFSET(EVENTOS!$G$14,CRONOPLE!$A$8+1,1,1,OFFSET(CRONOPLE!$BE$12,0,-1)))/OFFSET(EVENTOS!$G$14,CRONOPLE!$A$8+1,-1)),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SUMIFS(OFFSET(CÁLCULO!$AQ$15,$F$193,1,OFFSET(ORÇAMENTO!$D$15,$F$193,0),CÁLCULO.FrentesPreenchidas),OFFSET(CÁLCULO!$BR$15,$F$193,1,OFFSET(ORÇAMENTO!$D$15,$F$193,0),CÁLCULO.FrentesPreenchidas),"&lt;="&amp;AW$12)/OFFSET(ORÇAMENTO!$X$15,$F$193,0)),
     IF(ACOMPANHAMENTO="BM",SUM(OFFSET($T$13,$F$193+2,1,1,AW$12))/OFFSET($S$13,$F$193,0),"")))</f>
        <v>1</v>
      </c>
      <c r="AX193" s="506" t="n">
        <f aca="true">IF($F$193="","",
  IF(ACOMPANHAMENTO="PLE",
     IF(AUTOEVENTO="Manual",
         IF(AdmLocal="Automática",
              AX188,
              SUMIF(OFFSET(CRONOPLE!$F$14,CRONOPLE!$A$8+1,1,1,OFFSET(CRONOPLE!$BE$12,0,-1)),"&lt;="&amp;AX$12,OFFSET(EVENTOS!$G$14,CRONOPLE!$A$8+1,1,1,OFFSET(CRONOPLE!$BE$12,0,-1)))/OFFSET(EVENTOS!$G$14,CRONOPLE!$A$8+1,-1)),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SUMIFS(OFFSET(CÁLCULO!$AQ$15,$F$193,1,OFFSET(ORÇAMENTO!$D$15,$F$193,0),CÁLCULO.FrentesPreenchidas),OFFSET(CÁLCULO!$BR$15,$F$193,1,OFFSET(ORÇAMENTO!$D$15,$F$193,0),CÁLCULO.FrentesPreenchidas),"&lt;="&amp;AX$12)/OFFSET(ORÇAMENTO!$X$15,$F$193,0)),
     IF(ACOMPANHAMENTO="BM",SUM(OFFSET($T$13,$F$193+2,1,1,AX$12))/OFFSET($S$13,$F$193,0),"")))</f>
        <v>1</v>
      </c>
      <c r="AY193" s="506" t="n">
        <f aca="true">IF($F$193="","",
  IF(ACOMPANHAMENTO="PLE",
     IF(AUTOEVENTO="Manual",
         IF(AdmLocal="Automática",
              AY188,
              SUMIF(OFFSET(CRONOPLE!$F$14,CRONOPLE!$A$8+1,1,1,OFFSET(CRONOPLE!$BE$12,0,-1)),"&lt;="&amp;AY$12,OFFSET(EVENTOS!$G$14,CRONOPLE!$A$8+1,1,1,OFFSET(CRONOPLE!$BE$12,0,-1)))/OFFSET(EVENTOS!$G$14,CRONOPLE!$A$8+1,-1)),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SUMIFS(OFFSET(CÁLCULO!$AQ$15,$F$193,1,OFFSET(ORÇAMENTO!$D$15,$F$193,0),CÁLCULO.FrentesPreenchidas),OFFSET(CÁLCULO!$BR$15,$F$193,1,OFFSET(ORÇAMENTO!$D$15,$F$193,0),CÁLCULO.FrentesPreenchidas),"&lt;="&amp;AY$12)/OFFSET(ORÇAMENTO!$X$15,$F$193,0)),
     IF(ACOMPANHAMENTO="BM",SUM(OFFSET($T$13,$F$193+2,1,1,AY$12))/OFFSET($S$13,$F$193,0),"")))</f>
        <v>1</v>
      </c>
      <c r="AZ193" s="506" t="n">
        <f aca="true">IF($F$193="","",
  IF(ACOMPANHAMENTO="PLE",
     IF(AUTOEVENTO="Manual",
         IF(AdmLocal="Automática",
              AZ188,
              SUMIF(OFFSET(CRONOPLE!$F$14,CRONOPLE!$A$8+1,1,1,OFFSET(CRONOPLE!$BE$12,0,-1)),"&lt;="&amp;AZ$12,OFFSET(EVENTOS!$G$14,CRONOPLE!$A$8+1,1,1,OFFSET(CRONOPLE!$BE$12,0,-1)))/OFFSET(EVENTOS!$G$14,CRONOPLE!$A$8+1,-1)),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SUMIFS(OFFSET(CÁLCULO!$AQ$15,$F$193,1,OFFSET(ORÇAMENTO!$D$15,$F$193,0),CÁLCULO.FrentesPreenchidas),OFFSET(CÁLCULO!$BR$15,$F$193,1,OFFSET(ORÇAMENTO!$D$15,$F$193,0),CÁLCULO.FrentesPreenchidas),"&lt;="&amp;AZ$12)/OFFSET(ORÇAMENTO!$X$15,$F$193,0)),
     IF(ACOMPANHAMENTO="BM",SUM(OFFSET($T$13,$F$193+2,1,1,AZ$12))/OFFSET($S$13,$F$193,0),"")))</f>
        <v>1</v>
      </c>
      <c r="BA193" s="506" t="n">
        <f aca="true">IF($F$193="","",
  IF(ACOMPANHAMENTO="PLE",
     IF(AUTOEVENTO="Manual",
         IF(AdmLocal="Automática",
              BA188,
              SUMIF(OFFSET(CRONOPLE!$F$14,CRONOPLE!$A$8+1,1,1,OFFSET(CRONOPLE!$BE$12,0,-1)),"&lt;="&amp;BA$12,OFFSET(EVENTOS!$G$14,CRONOPLE!$A$8+1,1,1,OFFSET(CRONOPLE!$BE$12,0,-1)))/OFFSET(EVENTOS!$G$14,CRONOPLE!$A$8+1,-1)),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SUMIFS(OFFSET(CÁLCULO!$AQ$15,$F$193,1,OFFSET(ORÇAMENTO!$D$15,$F$193,0),CÁLCULO.FrentesPreenchidas),OFFSET(CÁLCULO!$BR$15,$F$193,1,OFFSET(ORÇAMENTO!$D$15,$F$193,0),CÁLCULO.FrentesPreenchidas),"&lt;="&amp;BA$12)/OFFSET(ORÇAMENTO!$X$15,$F$193,0)),
     IF(ACOMPANHAMENTO="BM",SUM(OFFSET($T$13,$F$193+2,1,1,BA$12))/OFFSET($S$13,$F$193,0),"")))</f>
        <v>1</v>
      </c>
      <c r="BB193" s="506" t="n">
        <f aca="true">IF($F$193="","",
  IF(ACOMPANHAMENTO="PLE",
     IF(AUTOEVENTO="Manual",
         IF(AdmLocal="Automática",
              BB188,
              SUMIF(OFFSET(CRONOPLE!$F$14,CRONOPLE!$A$8+1,1,1,OFFSET(CRONOPLE!$BE$12,0,-1)),"&lt;="&amp;BB$12,OFFSET(EVENTOS!$G$14,CRONOPLE!$A$8+1,1,1,OFFSET(CRONOPLE!$BE$12,0,-1)))/OFFSET(EVENTOS!$G$14,CRONOPLE!$A$8+1,-1)),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SUMIFS(OFFSET(CÁLCULO!$AQ$15,$F$193,1,OFFSET(ORÇAMENTO!$D$15,$F$193,0),CÁLCULO.FrentesPreenchidas),OFFSET(CÁLCULO!$BR$15,$F$193,1,OFFSET(ORÇAMENTO!$D$15,$F$193,0),CÁLCULO.FrentesPreenchidas),"&lt;="&amp;BB$12)/OFFSET(ORÇAMENTO!$X$15,$F$193,0)),
     IF(ACOMPANHAMENTO="BM",SUM(OFFSET($T$13,$F$193+2,1,1,BB$12))/OFFSET($S$13,$F$193,0),"")))</f>
        <v>1</v>
      </c>
      <c r="BC193" s="506" t="n">
        <f aca="true">IF($F$193="","",
  IF(ACOMPANHAMENTO="PLE",
     IF(AUTOEVENTO="Manual",
         IF(AdmLocal="Automática",
              BC188,
              SUMIF(OFFSET(CRONOPLE!$F$14,CRONOPLE!$A$8+1,1,1,OFFSET(CRONOPLE!$BE$12,0,-1)),"&lt;="&amp;BC$12,OFFSET(EVENTOS!$G$14,CRONOPLE!$A$8+1,1,1,OFFSET(CRONOPLE!$BE$12,0,-1)))/OFFSET(EVENTOS!$G$14,CRONOPLE!$A$8+1,-1)),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SUMIFS(OFFSET(CÁLCULO!$AQ$15,$F$193,1,OFFSET(ORÇAMENTO!$D$15,$F$193,0),CÁLCULO.FrentesPreenchidas),OFFSET(CÁLCULO!$BR$15,$F$193,1,OFFSET(ORÇAMENTO!$D$15,$F$193,0),CÁLCULO.FrentesPreenchidas),"&lt;="&amp;BC$12)/OFFSET(ORÇAMENTO!$X$15,$F$193,0)),
     IF(ACOMPANHAMENTO="BM",SUM(OFFSET($T$13,$F$193+2,1,1,BC$12))/OFFSET($S$13,$F$193,0),"")))</f>
        <v>1</v>
      </c>
      <c r="BD193" s="506" t="n">
        <f aca="true">IF($F$193="","",
  IF(ACOMPANHAMENTO="PLE",
     IF(AUTOEVENTO="Manual",
         IF(AdmLocal="Automática",
              BD188,
              SUMIF(OFFSET(CRONOPLE!$F$14,CRONOPLE!$A$8+1,1,1,OFFSET(CRONOPLE!$BE$12,0,-1)),"&lt;="&amp;BD$12,OFFSET(EVENTOS!$G$14,CRONOPLE!$A$8+1,1,1,OFFSET(CRONOPLE!$BE$12,0,-1)))/OFFSET(EVENTOS!$G$14,CRONOPLE!$A$8+1,-1)),
         SUMIFS(OFFSET(CÁLCULO!$AQ$15,$F$193,1,OFFSET(ORÇAMENTO!$D$15,$F$193,0),CÁLCULO.FrentesPreenchidas),OFFSET(CÁLCULO!$BR$15,$F$193,1,OFFSET(ORÇAMENTO!$D$15,$F$193,0),CÁLCULO.FrentesPreenchidas),"&lt;="&amp;BD$12)/OFFSET(ORÇAMENTO!$X$15,$F$193,0)),
     IF(ACOMPANHAMENTO="BM",SUM(OFFSET($T$13,$F$193+2,1,1,BD$12))/OFFSET($S$13,$F$193,0),"")))</f>
        <v>1</v>
      </c>
      <c r="BE193" s="430"/>
    </row>
    <row r="194" customFormat="false" ht="16.5" hidden="false" customHeight="true" outlineLevel="0" collapsed="false">
      <c r="G194" s="419" t="s">
        <v>563</v>
      </c>
      <c r="H194" s="111" t="str">
        <f aca="false" t="array" ref="H194:H194">IF(AND(ACOMPANHAMENTO="BM",$H$193=""),"↑ Não foi indicado o Macrosserviço de Administração Local","")</f>
        <v/>
      </c>
      <c r="T194" s="416" t="str">
        <f aca="false">IF(COUNTIF(U194:BE194,"%Adm&gt;%Global")&gt;0,"Verificar proporcionalidade da Administração Local","")</f>
        <v>Verificar proporcionalidade da Administração Local</v>
      </c>
      <c r="U194" s="417" t="str">
        <f aca="false">IF(U193="","",IF(ROUND(U193,4)&gt;ROUND(U188,4),"%Adm&gt;%Global",""))</f>
        <v>%Adm&gt;%Global</v>
      </c>
      <c r="V194" s="417" t="str">
        <f aca="false">IF(V193="","",IF(ROUND(V193,4)&gt;ROUND(V188,4),"%Adm&gt;%Global",""))</f>
        <v>%Adm&gt;%Global</v>
      </c>
      <c r="W194" s="417" t="str">
        <f aca="false">IF(W193="","",IF(ROUND(W193,4)&gt;ROUND(W188,4),"%Adm&gt;%Global",""))</f>
        <v>%Adm&gt;%Global</v>
      </c>
      <c r="X194" s="417" t="str">
        <f aca="false">IF(X193="","",IF(ROUND(X193,4)&gt;ROUND(X188,4),"%Adm&gt;%Global",""))</f>
        <v>%Adm&gt;%Global</v>
      </c>
      <c r="Y194" s="417" t="str">
        <f aca="false">IF(Y193="","",IF(ROUND(Y193,4)&gt;ROUND(Y188,4),"%Adm&gt;%Global",""))</f>
        <v>%Adm&gt;%Global</v>
      </c>
      <c r="Z194" s="417" t="str">
        <f aca="false">IF(Z193="","",IF(ROUND(Z193,4)&gt;ROUND(Z188,4),"%Adm&gt;%Global",""))</f>
        <v>%Adm&gt;%Global</v>
      </c>
      <c r="AA194" s="417" t="str">
        <f aca="false">IF(AA193="","",IF(ROUND(AA193,4)&gt;ROUND(AA188,4),"%Adm&gt;%Global",""))</f>
        <v>%Adm&gt;%Global</v>
      </c>
      <c r="AB194" s="417" t="str">
        <f aca="false">IF(AB193="","",IF(ROUND(AB193,4)&gt;ROUND(AB188,4),"%Adm&gt;%Global",""))</f>
        <v>%Adm&gt;%Global</v>
      </c>
      <c r="AC194" s="417" t="str">
        <f aca="false">IF(AC193="","",IF(ROUND(AC193,4)&gt;ROUND(AC188,4),"%Adm&gt;%Global",""))</f>
        <v>%Adm&gt;%Global</v>
      </c>
      <c r="AD194" s="417" t="str">
        <f aca="false">IF(AD193="","",IF(ROUND(AD193,4)&gt;ROUND(AD188,4),"%Adm&gt;%Global",""))</f>
        <v>%Adm&gt;%Global</v>
      </c>
      <c r="AE194" s="417" t="str">
        <f aca="false">IF(AE193="","",IF(ROUND(AE193,4)&gt;ROUND(AE188,4),"%Adm&gt;%Global",""))</f>
        <v>%Adm&gt;%Global</v>
      </c>
      <c r="AF194" s="417" t="str">
        <f aca="false">IF(AF193="","",IF(ROUND(AF193,4)&gt;ROUND(AF188,4),"%Adm&gt;%Global",""))</f>
        <v>%Adm&gt;%Global</v>
      </c>
      <c r="AG194" s="417" t="str">
        <f aca="false">IF(AG193="","",IF(ROUND(AG193,4)&gt;ROUND(AG188,4),"%Adm&gt;%Global",""))</f>
        <v>%Adm&gt;%Global</v>
      </c>
      <c r="AH194" s="417" t="str">
        <f aca="false">IF(AH193="","",IF(ROUND(AH193,4)&gt;ROUND(AH188,4),"%Adm&gt;%Global",""))</f>
        <v>%Adm&gt;%Global</v>
      </c>
      <c r="AI194" s="417" t="str">
        <f aca="false">IF(AI193="","",IF(ROUND(AI193,4)&gt;ROUND(AI188,4),"%Adm&gt;%Global",""))</f>
        <v>%Adm&gt;%Global</v>
      </c>
      <c r="AJ194" s="417" t="str">
        <f aca="false">IF(AJ193="","",IF(ROUND(AJ193,4)&gt;ROUND(AJ188,4),"%Adm&gt;%Global",""))</f>
        <v>%Adm&gt;%Global</v>
      </c>
      <c r="AK194" s="417" t="str">
        <f aca="false">IF(AK193="","",IF(ROUND(AK193,4)&gt;ROUND(AK188,4),"%Adm&gt;%Global",""))</f>
        <v>%Adm&gt;%Global</v>
      </c>
      <c r="AL194" s="417" t="str">
        <f aca="false">IF(AL193="","",IF(ROUND(AL193,4)&gt;ROUND(AL188,4),"%Adm&gt;%Global",""))</f>
        <v>%Adm&gt;%Global</v>
      </c>
      <c r="AM194" s="417" t="str">
        <f aca="false">IF(AM193="","",IF(ROUND(AM193,4)&gt;ROUND(AM188,4),"%Adm&gt;%Global",""))</f>
        <v>%Adm&gt;%Global</v>
      </c>
      <c r="AN194" s="417" t="str">
        <f aca="false">IF(AN193="","",IF(ROUND(AN193,4)&gt;ROUND(AN188,4),"%Adm&gt;%Global",""))</f>
        <v>%Adm&gt;%Global</v>
      </c>
      <c r="AO194" s="417" t="str">
        <f aca="false">IF(AO193="","",IF(ROUND(AO193,4)&gt;ROUND(AO188,4),"%Adm&gt;%Global",""))</f>
        <v>%Adm&gt;%Global</v>
      </c>
      <c r="AP194" s="417" t="str">
        <f aca="false">IF(AP193="","",IF(ROUND(AP193,4)&gt;ROUND(AP188,4),"%Adm&gt;%Global",""))</f>
        <v>%Adm&gt;%Global</v>
      </c>
      <c r="AQ194" s="417" t="str">
        <f aca="false">IF(AQ193="","",IF(ROUND(AQ193,4)&gt;ROUND(AQ188,4),"%Adm&gt;%Global",""))</f>
        <v>%Adm&gt;%Global</v>
      </c>
      <c r="AR194" s="417" t="str">
        <f aca="false">IF(AR193="","",IF(ROUND(AR193,4)&gt;ROUND(AR188,4),"%Adm&gt;%Global",""))</f>
        <v>%Adm&gt;%Global</v>
      </c>
      <c r="AS194" s="417" t="str">
        <f aca="false">IF(AS193="","",IF(ROUND(AS193,4)&gt;ROUND(AS188,4),"%Adm&gt;%Global",""))</f>
        <v/>
      </c>
      <c r="AT194" s="417" t="str">
        <f aca="false">IF(AT193="","",IF(ROUND(AT193,4)&gt;ROUND(AT188,4),"%Adm&gt;%Global",""))</f>
        <v/>
      </c>
      <c r="AU194" s="417" t="str">
        <f aca="false">IF(AU193="","",IF(ROUND(AU193,4)&gt;ROUND(AU188,4),"%Adm&gt;%Global",""))</f>
        <v/>
      </c>
      <c r="AV194" s="417" t="str">
        <f aca="false">IF(AV193="","",IF(ROUND(AV193,4)&gt;ROUND(AV188,4),"%Adm&gt;%Global",""))</f>
        <v/>
      </c>
      <c r="AW194" s="417" t="str">
        <f aca="false">IF(AW193="","",IF(ROUND(AW193,4)&gt;ROUND(AW188,4),"%Adm&gt;%Global",""))</f>
        <v/>
      </c>
      <c r="AX194" s="417" t="str">
        <f aca="false">IF(AX193="","",IF(ROUND(AX193,4)&gt;ROUND(AX188,4),"%Adm&gt;%Global",""))</f>
        <v/>
      </c>
      <c r="AY194" s="417" t="str">
        <f aca="false">IF(AY193="","",IF(ROUND(AY193,4)&gt;ROUND(AY188,4),"%Adm&gt;%Global",""))</f>
        <v/>
      </c>
      <c r="AZ194" s="417" t="str">
        <f aca="false">IF(AZ193="","",IF(ROUND(AZ193,4)&gt;ROUND(AZ188,4),"%Adm&gt;%Global",""))</f>
        <v/>
      </c>
      <c r="BA194" s="417" t="str">
        <f aca="false">IF(BA193="","",IF(ROUND(BA193,4)&gt;ROUND(BA188,4),"%Adm&gt;%Global",""))</f>
        <v/>
      </c>
      <c r="BB194" s="417" t="str">
        <f aca="false">IF(BB193="","",IF(ROUND(BB193,4)&gt;ROUND(BB188,4),"%Adm&gt;%Global",""))</f>
        <v/>
      </c>
      <c r="BC194" s="417" t="str">
        <f aca="false">IF(BC193="","",IF(ROUND(BC193,4)&gt;ROUND(BC188,4),"%Adm&gt;%Global",""))</f>
        <v/>
      </c>
      <c r="BD194" s="417" t="str">
        <f aca="false">IF(BD193="","",IF(ROUND(BD193,4)&gt;ROUND(BD188,4),"%Adm&gt;%Global",""))</f>
        <v/>
      </c>
      <c r="BE194" s="417" t="str">
        <f aca="false">IF(BE193="","",IF(ROUND(BE193,4)&gt;ROUND(BE188,4),"%Adm&gt;%Global",""))</f>
        <v/>
      </c>
    </row>
    <row r="195" customFormat="false" ht="32.25" hidden="false" customHeight="true" outlineLevel="0" collapsed="false">
      <c r="G195" s="419" t="s">
        <v>563</v>
      </c>
      <c r="I195" s="254" t="str">
        <f aca="false">Import.Município</f>
        <v>SALINAS</v>
      </c>
      <c r="J195" s="254"/>
      <c r="K195" s="254"/>
      <c r="L195" s="254"/>
      <c r="M195" s="254"/>
      <c r="N195" s="254"/>
      <c r="O195" s="254"/>
      <c r="P195" s="254"/>
      <c r="Q195" s="254"/>
      <c r="R195" s="254"/>
      <c r="S195" s="254"/>
      <c r="AA195" s="255"/>
      <c r="AB195" s="255"/>
      <c r="AC195" s="255"/>
      <c r="AD195" s="255"/>
      <c r="AE195" s="510"/>
      <c r="AF195" s="510"/>
      <c r="AM195" s="255"/>
      <c r="AN195" s="255"/>
      <c r="AO195" s="255"/>
      <c r="AP195" s="255"/>
      <c r="AQ195" s="510"/>
      <c r="AR195" s="510"/>
      <c r="AY195" s="255"/>
      <c r="AZ195" s="255"/>
      <c r="BA195" s="255"/>
      <c r="BB195" s="255"/>
      <c r="BC195" s="510"/>
      <c r="BD195" s="510"/>
    </row>
    <row r="196" customFormat="false" ht="12.75" hidden="false" customHeight="false" outlineLevel="0" collapsed="false">
      <c r="G196" s="419" t="s">
        <v>563</v>
      </c>
      <c r="I196" s="58" t="s">
        <v>722</v>
      </c>
      <c r="AA196" s="256" t="s">
        <v>725</v>
      </c>
      <c r="AB196" s="256"/>
      <c r="AC196" s="256"/>
      <c r="AD196" s="256"/>
      <c r="AE196" s="419"/>
      <c r="AF196" s="419"/>
      <c r="AM196" s="256" t="s">
        <v>725</v>
      </c>
      <c r="AN196" s="256"/>
      <c r="AO196" s="256"/>
      <c r="AP196" s="256"/>
      <c r="AQ196" s="419"/>
      <c r="AR196" s="419"/>
      <c r="AY196" s="256" t="s">
        <v>725</v>
      </c>
      <c r="AZ196" s="256"/>
      <c r="BA196" s="256"/>
      <c r="BB196" s="256"/>
      <c r="BC196" s="419"/>
      <c r="BD196" s="419"/>
    </row>
    <row r="197" customFormat="false" ht="12.75" hidden="false" customHeight="false" outlineLevel="0" collapsed="false">
      <c r="G197" s="419" t="s">
        <v>563</v>
      </c>
      <c r="AA197" s="301" t="str">
        <f aca="true" t="array" ref="AA197:AA199">OFFSET(Import.RespOrçamento,0,-1) &amp; " " &amp; Import.RespOrçamento</f>
        <v>Nome: DEBHORA DOS SANTOS GUIMARÃES</v>
      </c>
      <c r="AD197" s="152"/>
      <c r="AE197" s="419"/>
      <c r="AF197" s="419"/>
      <c r="AM197" s="301" t="str">
        <f aca="true" t="array" ref="AM197:AM199">OFFSET(Import.RespOrçamento,0,-1) &amp; " " &amp; Import.RespOrçamento</f>
        <v>Nome: DEBHORA DOS SANTOS GUIMARÃES</v>
      </c>
      <c r="AP197" s="152"/>
      <c r="AQ197" s="419"/>
      <c r="AR197" s="419"/>
      <c r="AY197" s="301" t="str">
        <f aca="true" t="array" ref="AY197:AY199">OFFSET(Import.RespOrçamento,0,-1) &amp; " " &amp; Import.RespOrçamento</f>
        <v>Nome: DEBHORA DOS SANTOS GUIMARÃES</v>
      </c>
      <c r="BB197" s="152"/>
      <c r="BC197" s="419"/>
      <c r="BD197" s="419"/>
    </row>
    <row r="198" customFormat="false" ht="12.75" hidden="false" customHeight="false" outlineLevel="0" collapsed="false">
      <c r="G198" s="419" t="s">
        <v>563</v>
      </c>
      <c r="I198" s="302" t="n">
        <f aca="false">DADOS!$C$25</f>
        <v>45845</v>
      </c>
      <c r="J198" s="302"/>
      <c r="K198" s="302"/>
      <c r="L198" s="48"/>
      <c r="M198" s="510"/>
      <c r="N198" s="510"/>
      <c r="O198" s="510"/>
      <c r="P198" s="510"/>
      <c r="Q198" s="510"/>
      <c r="R198" s="510"/>
      <c r="S198" s="511"/>
      <c r="AA198" s="301" t="str">
        <v>CREA/CAU: 111769/D</v>
      </c>
      <c r="AC198" s="152"/>
      <c r="AD198" s="152"/>
      <c r="AE198" s="419"/>
      <c r="AF198" s="419"/>
      <c r="AM198" s="301" t="str">
        <v>CREA/CAU: 111769/D</v>
      </c>
      <c r="AO198" s="152"/>
      <c r="AP198" s="152"/>
      <c r="AQ198" s="419"/>
      <c r="AR198" s="419"/>
      <c r="AY198" s="301" t="str">
        <v>CREA/CAU: 111769/D</v>
      </c>
      <c r="BA198" s="152"/>
      <c r="BB198" s="152"/>
      <c r="BC198" s="419"/>
      <c r="BD198" s="419"/>
    </row>
    <row r="199" customFormat="false" ht="12.75" hidden="false" customHeight="false" outlineLevel="0" collapsed="false">
      <c r="G199" s="419" t="s">
        <v>563</v>
      </c>
      <c r="I199" s="58" t="s">
        <v>723</v>
      </c>
      <c r="AA199" s="301" t="str">
        <v>ART/RRT: MG20254000676</v>
      </c>
      <c r="AC199" s="152"/>
      <c r="AD199" s="152"/>
      <c r="AE199" s="419"/>
      <c r="AF199" s="419"/>
      <c r="AM199" s="301" t="str">
        <v>ART/RRT: MG20254000676</v>
      </c>
      <c r="AO199" s="152"/>
      <c r="AP199" s="152"/>
      <c r="AQ199" s="419"/>
      <c r="AR199" s="419"/>
      <c r="AY199" s="301" t="str">
        <v>ART/RRT: MG20254000676</v>
      </c>
      <c r="BA199" s="152"/>
      <c r="BB199" s="152"/>
      <c r="BC199" s="419"/>
      <c r="BD199" s="419"/>
    </row>
  </sheetData>
  <sheetProtection algorithmName="SHA-512" hashValue="t6x11jUE+Rd0W8/89durYipRsLuFsZ7GDQchEgIxAP7+5WDNsBoNKTdcvFoS8z3U//Xk2vNeF87nMRXQOoVr+w==" saltValue="gPcP+nVj5rK7d/pBUpoiRA==" spinCount="100000" sheet="true" objects="true" scenarios="true" autoFilter="false"/>
  <autoFilter ref="G13:G199">
    <filterColumn colId="0" hiddenButton="1">
      <filters>
        <filter val="F"/>
      </filters>
    </filterColumn>
    <filterColumn colId="0" hiddenButton="1"/>
  </autoFilter>
  <mergeCells count="26">
    <mergeCell ref="AE4:AF4"/>
    <mergeCell ref="AQ4:AR4"/>
    <mergeCell ref="BC4:BD4"/>
    <mergeCell ref="AE5:AF5"/>
    <mergeCell ref="AQ5:AR5"/>
    <mergeCell ref="BC5:BD5"/>
    <mergeCell ref="H7:H9"/>
    <mergeCell ref="G8:G11"/>
    <mergeCell ref="I8:J8"/>
    <mergeCell ref="L8:T8"/>
    <mergeCell ref="U8:Y8"/>
    <mergeCell ref="Z8:AE8"/>
    <mergeCell ref="AG8:AK8"/>
    <mergeCell ref="AL8:AQ8"/>
    <mergeCell ref="AS8:AW8"/>
    <mergeCell ref="AX8:BC8"/>
    <mergeCell ref="K10:T11"/>
    <mergeCell ref="H12:H13"/>
    <mergeCell ref="I12:I13"/>
    <mergeCell ref="J12:J13"/>
    <mergeCell ref="S12:S13"/>
    <mergeCell ref="T12:T13"/>
    <mergeCell ref="I183:K184"/>
    <mergeCell ref="H193:J193"/>
    <mergeCell ref="I195:S195"/>
    <mergeCell ref="I198:K198"/>
  </mergeCells>
  <conditionalFormatting sqref="U180:BD180">
    <cfRule type="expression" priority="2" aboveAverage="0" equalAverage="0" bottom="0" percent="0" rank="0" text="" dxfId="339">
      <formula>AND(_xlfn.single(ACOMPANHAMENTO)="BM",U180&gt;ROUND(U180,4))</formula>
    </cfRule>
  </conditionalFormatting>
  <conditionalFormatting sqref="U179:BD179">
    <cfRule type="expression" priority="3" aboveAverage="0" equalAverage="0" bottom="0" percent="0" rank="0" text="" dxfId="340">
      <formula>U179&lt;&gt;0</formula>
    </cfRule>
  </conditionalFormatting>
  <conditionalFormatting sqref="E180">
    <cfRule type="expression" priority="4" aboveAverage="0" equalAverage="0" bottom="0" percent="0" rank="0" text="" dxfId="341">
      <formula>AND(_xlfn.single(ACOMPANHAMENTO)="BM",E180&gt;ROUND(E180,4))</formula>
    </cfRule>
  </conditionalFormatting>
  <conditionalFormatting sqref="E179">
    <cfRule type="expression" priority="5" aboveAverage="0" equalAverage="0" bottom="0" percent="0" rank="0" text="" dxfId="342">
      <formula>E179&lt;&gt;0</formula>
    </cfRule>
  </conditionalFormatting>
  <conditionalFormatting sqref="H179">
    <cfRule type="expression" priority="6" aboveAverage="0" equalAverage="0" bottom="0" percent="0" rank="0" text="" dxfId="343">
      <formula>AND(H179&lt;&gt;0,ISNUMBER(H179))</formula>
    </cfRule>
  </conditionalFormatting>
  <conditionalFormatting sqref="H180">
    <cfRule type="expression" priority="7" aboveAverage="0" equalAverage="0" bottom="0" percent="0" rank="0" text="" dxfId="344">
      <formula>AND(H179&lt;&gt;0,ISNUMBER(H179))</formula>
    </cfRule>
  </conditionalFormatting>
  <conditionalFormatting sqref="E180 U180:BD180">
    <cfRule type="expression" priority="8" aboveAverage="0" equalAverage="0" bottom="0" percent="0" rank="0" text="" dxfId="345">
      <formula>AND(ISNUMBER($H179),$H179&lt;&gt;0)</formula>
    </cfRule>
  </conditionalFormatting>
  <conditionalFormatting sqref="I180:S180">
    <cfRule type="expression" priority="9" aboveAverage="0" equalAverage="0" bottom="0" percent="0" rank="0" text="" dxfId="346">
      <formula>$M179=2</formula>
    </cfRule>
    <cfRule type="expression" priority="10" aboveAverage="0" equalAverage="0" bottom="0" percent="0" rank="0" text="" dxfId="347">
      <formula>AND($M179=1,$S179&lt;&gt;"")</formula>
    </cfRule>
  </conditionalFormatting>
  <conditionalFormatting sqref="I179:S179">
    <cfRule type="expression" priority="11" aboveAverage="0" equalAverage="0" bottom="0" percent="0" rank="0" text="" dxfId="348">
      <formula>$M179=2</formula>
    </cfRule>
    <cfRule type="expression" priority="12" aboveAverage="0" equalAverage="0" bottom="0" percent="0" rank="0" text="" dxfId="349">
      <formula>AND($M179=1,$S179&lt;&gt;"")</formula>
    </cfRule>
  </conditionalFormatting>
  <conditionalFormatting sqref="AX7:BC8">
    <cfRule type="expression" priority="13" aboveAverage="0" equalAverage="0" bottom="0" percent="0" rank="0" text="" dxfId="350">
      <formula>QCI.ExisteManual</formula>
    </cfRule>
  </conditionalFormatting>
  <conditionalFormatting sqref="AS12:AS13">
    <cfRule type="expression" priority="14" aboveAverage="0" equalAverage="0" bottom="0" percent="0" rank="0" text="" dxfId="351">
      <formula>NOT(ISNUMBER(AR$12))</formula>
    </cfRule>
  </conditionalFormatting>
  <conditionalFormatting sqref="AL7:AQ8">
    <cfRule type="expression" priority="15" aboveAverage="0" equalAverage="0" bottom="0" percent="0" rank="0" text="" dxfId="352">
      <formula>QCI.ExisteManual</formula>
    </cfRule>
  </conditionalFormatting>
  <conditionalFormatting sqref="AG12:AG13">
    <cfRule type="expression" priority="16" aboveAverage="0" equalAverage="0" bottom="0" percent="0" rank="0" text="" dxfId="353">
      <formula>NOT(ISNUMBER(AF$12))</formula>
    </cfRule>
  </conditionalFormatting>
  <conditionalFormatting sqref="U174:BD174 U177:BD177">
    <cfRule type="expression" priority="17" aboveAverage="0" equalAverage="0" bottom="0" percent="0" rank="0" text="" dxfId="354">
      <formula>AND(_xlfn.single(ACOMPANHAMENTO)="BM",U174&gt;ROUND(U174,4))</formula>
    </cfRule>
  </conditionalFormatting>
  <conditionalFormatting sqref="U173:BD173 U176:BD176">
    <cfRule type="expression" priority="18" aboveAverage="0" equalAverage="0" bottom="0" percent="0" rank="0" text="" dxfId="355">
      <formula>U173&lt;&gt;0</formula>
    </cfRule>
  </conditionalFormatting>
  <conditionalFormatting sqref="E174 E177">
    <cfRule type="expression" priority="19" aboveAverage="0" equalAverage="0" bottom="0" percent="0" rank="0" text="" dxfId="356">
      <formula>AND(_xlfn.single(ACOMPANHAMENTO)="BM",E174&gt;ROUND(E174,4))</formula>
    </cfRule>
  </conditionalFormatting>
  <conditionalFormatting sqref="E173 E176">
    <cfRule type="expression" priority="20" aboveAverage="0" equalAverage="0" bottom="0" percent="0" rank="0" text="" dxfId="357">
      <formula>E173&lt;&gt;0</formula>
    </cfRule>
  </conditionalFormatting>
  <conditionalFormatting sqref="H173 H176">
    <cfRule type="expression" priority="21" aboveAverage="0" equalAverage="0" bottom="0" percent="0" rank="0" text="" dxfId="358">
      <formula>AND(H173&lt;&gt;0,ISNUMBER(H173))</formula>
    </cfRule>
  </conditionalFormatting>
  <conditionalFormatting sqref="H174 H177">
    <cfRule type="expression" priority="22" aboveAverage="0" equalAverage="0" bottom="0" percent="0" rank="0" text="" dxfId="359">
      <formula>AND(H173&lt;&gt;0,ISNUMBER(H173))</formula>
    </cfRule>
  </conditionalFormatting>
  <conditionalFormatting sqref="E174 E177 U174:BD174 U177:BD177">
    <cfRule type="expression" priority="23" aboveAverage="0" equalAverage="0" bottom="0" percent="0" rank="0" text="" dxfId="360">
      <formula>AND(ISNUMBER($H173),$H173&lt;&gt;0)</formula>
    </cfRule>
  </conditionalFormatting>
  <conditionalFormatting sqref="I174:S174 I177:S177">
    <cfRule type="expression" priority="24" aboveAverage="0" equalAverage="0" bottom="0" percent="0" rank="0" text="" dxfId="361">
      <formula>$M173=2</formula>
    </cfRule>
    <cfRule type="expression" priority="25" aboveAverage="0" equalAverage="0" bottom="0" percent="0" rank="0" text="" dxfId="362">
      <formula>AND($M173=1,$S173&lt;&gt;"")</formula>
    </cfRule>
  </conditionalFormatting>
  <conditionalFormatting sqref="I173:S173 I176:S176">
    <cfRule type="expression" priority="26" aboveAverage="0" equalAverage="0" bottom="0" percent="0" rank="0" text="" dxfId="363">
      <formula>$M173=2</formula>
    </cfRule>
    <cfRule type="expression" priority="27" aboveAverage="0" equalAverage="0" bottom="0" percent="0" rank="0" text="" dxfId="364">
      <formula>AND($M173=1,$S173&lt;&gt;"")</formula>
    </cfRule>
  </conditionalFormatting>
  <conditionalFormatting sqref="U165:BD165 U168:BD168 U171:BD171">
    <cfRule type="expression" priority="28" aboveAverage="0" equalAverage="0" bottom="0" percent="0" rank="0" text="" dxfId="365">
      <formula>AND(_xlfn.single(ACOMPANHAMENTO)="BM",U165&gt;ROUND(U165,4))</formula>
    </cfRule>
  </conditionalFormatting>
  <conditionalFormatting sqref="U164:BD164 U167:BD167 U170:BD170">
    <cfRule type="expression" priority="29" aboveAverage="0" equalAverage="0" bottom="0" percent="0" rank="0" text="" dxfId="366">
      <formula>U164&lt;&gt;0</formula>
    </cfRule>
  </conditionalFormatting>
  <conditionalFormatting sqref="E165 E168 E171">
    <cfRule type="expression" priority="30" aboveAverage="0" equalAverage="0" bottom="0" percent="0" rank="0" text="" dxfId="367">
      <formula>AND(_xlfn.single(ACOMPANHAMENTO)="BM",E165&gt;ROUND(E165,4))</formula>
    </cfRule>
  </conditionalFormatting>
  <conditionalFormatting sqref="E164 E167 E170">
    <cfRule type="expression" priority="31" aboveAverage="0" equalAverage="0" bottom="0" percent="0" rank="0" text="" dxfId="368">
      <formula>E164&lt;&gt;0</formula>
    </cfRule>
  </conditionalFormatting>
  <conditionalFormatting sqref="H164 H167 H170">
    <cfRule type="expression" priority="32" aboveAverage="0" equalAverage="0" bottom="0" percent="0" rank="0" text="" dxfId="369">
      <formula>AND(H164&lt;&gt;0,ISNUMBER(H164))</formula>
    </cfRule>
  </conditionalFormatting>
  <conditionalFormatting sqref="H165 H168 H171">
    <cfRule type="expression" priority="33" aboveAverage="0" equalAverage="0" bottom="0" percent="0" rank="0" text="" dxfId="370">
      <formula>AND(H164&lt;&gt;0,ISNUMBER(H164))</formula>
    </cfRule>
  </conditionalFormatting>
  <conditionalFormatting sqref="E165 E168 E171 U165:BD165 U168:BD168 U171:BD171">
    <cfRule type="expression" priority="34" aboveAverage="0" equalAverage="0" bottom="0" percent="0" rank="0" text="" dxfId="371">
      <formula>AND(ISNUMBER($H164),$H164&lt;&gt;0)</formula>
    </cfRule>
  </conditionalFormatting>
  <conditionalFormatting sqref="I165:S165 I168:S168 I171:S171">
    <cfRule type="expression" priority="35" aboveAverage="0" equalAverage="0" bottom="0" percent="0" rank="0" text="" dxfId="372">
      <formula>$M164=2</formula>
    </cfRule>
    <cfRule type="expression" priority="36" aboveAverage="0" equalAverage="0" bottom="0" percent="0" rank="0" text="" dxfId="373">
      <formula>AND($M164=1,$S164&lt;&gt;"")</formula>
    </cfRule>
  </conditionalFormatting>
  <conditionalFormatting sqref="I164:S164 I167:S167 I170:S170">
    <cfRule type="expression" priority="37" aboveAverage="0" equalAverage="0" bottom="0" percent="0" rank="0" text="" dxfId="374">
      <formula>$M164=2</formula>
    </cfRule>
    <cfRule type="expression" priority="38" aboveAverage="0" equalAverage="0" bottom="0" percent="0" rank="0" text="" dxfId="375">
      <formula>AND($M164=1,$S164&lt;&gt;"")</formula>
    </cfRule>
  </conditionalFormatting>
  <conditionalFormatting sqref="U156:BD156 U159:BD159 U162:BD162">
    <cfRule type="expression" priority="39" aboveAverage="0" equalAverage="0" bottom="0" percent="0" rank="0" text="" dxfId="376">
      <formula>AND(_xlfn.single(ACOMPANHAMENTO)="BM",U156&gt;ROUND(U156,4))</formula>
    </cfRule>
  </conditionalFormatting>
  <conditionalFormatting sqref="U155:BD155 U158:BD158 U161:BD161">
    <cfRule type="expression" priority="40" aboveAverage="0" equalAverage="0" bottom="0" percent="0" rank="0" text="" dxfId="377">
      <formula>U155&lt;&gt;0</formula>
    </cfRule>
  </conditionalFormatting>
  <conditionalFormatting sqref="E156 E159 E162">
    <cfRule type="expression" priority="41" aboveAverage="0" equalAverage="0" bottom="0" percent="0" rank="0" text="" dxfId="378">
      <formula>AND(_xlfn.single(ACOMPANHAMENTO)="BM",E156&gt;ROUND(E156,4))</formula>
    </cfRule>
  </conditionalFormatting>
  <conditionalFormatting sqref="E155 E158 E161">
    <cfRule type="expression" priority="42" aboveAverage="0" equalAverage="0" bottom="0" percent="0" rank="0" text="" dxfId="379">
      <formula>E155&lt;&gt;0</formula>
    </cfRule>
  </conditionalFormatting>
  <conditionalFormatting sqref="H155 H158 H161">
    <cfRule type="expression" priority="43" aboveAverage="0" equalAverage="0" bottom="0" percent="0" rank="0" text="" dxfId="380">
      <formula>AND(H155&lt;&gt;0,ISNUMBER(H155))</formula>
    </cfRule>
  </conditionalFormatting>
  <conditionalFormatting sqref="H156 H159 H162">
    <cfRule type="expression" priority="44" aboveAverage="0" equalAverage="0" bottom="0" percent="0" rank="0" text="" dxfId="381">
      <formula>AND(H155&lt;&gt;0,ISNUMBER(H155))</formula>
    </cfRule>
  </conditionalFormatting>
  <conditionalFormatting sqref="E156 E159 E162 U156:BD156 U159:BD159 U162:BD162">
    <cfRule type="expression" priority="45" aboveAverage="0" equalAverage="0" bottom="0" percent="0" rank="0" text="" dxfId="382">
      <formula>AND(ISNUMBER($H155),$H155&lt;&gt;0)</formula>
    </cfRule>
  </conditionalFormatting>
  <conditionalFormatting sqref="I156:S156 I159:S159 I162:S162">
    <cfRule type="expression" priority="46" aboveAverage="0" equalAverage="0" bottom="0" percent="0" rank="0" text="" dxfId="383">
      <formula>$M155=2</formula>
    </cfRule>
    <cfRule type="expression" priority="47" aboveAverage="0" equalAverage="0" bottom="0" percent="0" rank="0" text="" dxfId="384">
      <formula>AND($M155=1,$S155&lt;&gt;"")</formula>
    </cfRule>
  </conditionalFormatting>
  <conditionalFormatting sqref="I155:S155 I158:S158 I161:S161">
    <cfRule type="expression" priority="48" aboveAverage="0" equalAverage="0" bottom="0" percent="0" rank="0" text="" dxfId="385">
      <formula>$M155=2</formula>
    </cfRule>
    <cfRule type="expression" priority="49" aboveAverage="0" equalAverage="0" bottom="0" percent="0" rank="0" text="" dxfId="386">
      <formula>AND($M155=1,$S155&lt;&gt;"")</formula>
    </cfRule>
  </conditionalFormatting>
  <conditionalFormatting sqref="U147:BD147 U150:BD150 U153:BD153">
    <cfRule type="expression" priority="50" aboveAverage="0" equalAverage="0" bottom="0" percent="0" rank="0" text="" dxfId="387">
      <formula>AND(_xlfn.single(ACOMPANHAMENTO)="BM",U147&gt;ROUND(U147,4))</formula>
    </cfRule>
  </conditionalFormatting>
  <conditionalFormatting sqref="U146:BD146 U149:BD149 U152:BD152">
    <cfRule type="expression" priority="51" aboveAverage="0" equalAverage="0" bottom="0" percent="0" rank="0" text="" dxfId="388">
      <formula>U146&lt;&gt;0</formula>
    </cfRule>
  </conditionalFormatting>
  <conditionalFormatting sqref="E147 E150 E153">
    <cfRule type="expression" priority="52" aboveAverage="0" equalAverage="0" bottom="0" percent="0" rank="0" text="" dxfId="389">
      <formula>AND(_xlfn.single(ACOMPANHAMENTO)="BM",E147&gt;ROUND(E147,4))</formula>
    </cfRule>
  </conditionalFormatting>
  <conditionalFormatting sqref="E146 E149 E152">
    <cfRule type="expression" priority="53" aboveAverage="0" equalAverage="0" bottom="0" percent="0" rank="0" text="" dxfId="390">
      <formula>E146&lt;&gt;0</formula>
    </cfRule>
  </conditionalFormatting>
  <conditionalFormatting sqref="H146 H149 H152">
    <cfRule type="expression" priority="54" aboveAverage="0" equalAverage="0" bottom="0" percent="0" rank="0" text="" dxfId="391">
      <formula>AND(H146&lt;&gt;0,ISNUMBER(H146))</formula>
    </cfRule>
  </conditionalFormatting>
  <conditionalFormatting sqref="H147 H150 H153">
    <cfRule type="expression" priority="55" aboveAverage="0" equalAverage="0" bottom="0" percent="0" rank="0" text="" dxfId="392">
      <formula>AND(H146&lt;&gt;0,ISNUMBER(H146))</formula>
    </cfRule>
  </conditionalFormatting>
  <conditionalFormatting sqref="E147 E150 E153 U147:BD147 U150:BD150 U153:BD153">
    <cfRule type="expression" priority="56" aboveAverage="0" equalAverage="0" bottom="0" percent="0" rank="0" text="" dxfId="393">
      <formula>AND(ISNUMBER($H146),$H146&lt;&gt;0)</formula>
    </cfRule>
  </conditionalFormatting>
  <conditionalFormatting sqref="I147:S147 I150:S150 I153:S153">
    <cfRule type="expression" priority="57" aboveAverage="0" equalAverage="0" bottom="0" percent="0" rank="0" text="" dxfId="394">
      <formula>$M146=2</formula>
    </cfRule>
    <cfRule type="expression" priority="58" aboveAverage="0" equalAverage="0" bottom="0" percent="0" rank="0" text="" dxfId="395">
      <formula>AND($M146=1,$S146&lt;&gt;"")</formula>
    </cfRule>
  </conditionalFormatting>
  <conditionalFormatting sqref="I146:S146 I149:S149 I152:S152">
    <cfRule type="expression" priority="59" aboveAverage="0" equalAverage="0" bottom="0" percent="0" rank="0" text="" dxfId="396">
      <formula>$M146=2</formula>
    </cfRule>
    <cfRule type="expression" priority="60" aboveAverage="0" equalAverage="0" bottom="0" percent="0" rank="0" text="" dxfId="397">
      <formula>AND($M146=1,$S146&lt;&gt;"")</formula>
    </cfRule>
  </conditionalFormatting>
  <conditionalFormatting sqref="U138:BD138 U141:BD141 U144:BD144">
    <cfRule type="expression" priority="61" aboveAverage="0" equalAverage="0" bottom="0" percent="0" rank="0" text="" dxfId="398">
      <formula>AND(_xlfn.single(ACOMPANHAMENTO)="BM",U138&gt;ROUND(U138,4))</formula>
    </cfRule>
  </conditionalFormatting>
  <conditionalFormatting sqref="U137:BD137 U140:BD140 U143:BD143">
    <cfRule type="expression" priority="62" aboveAverage="0" equalAverage="0" bottom="0" percent="0" rank="0" text="" dxfId="399">
      <formula>U137&lt;&gt;0</formula>
    </cfRule>
  </conditionalFormatting>
  <conditionalFormatting sqref="E138 E141 E144">
    <cfRule type="expression" priority="63" aboveAverage="0" equalAverage="0" bottom="0" percent="0" rank="0" text="" dxfId="400">
      <formula>AND(_xlfn.single(ACOMPANHAMENTO)="BM",E138&gt;ROUND(E138,4))</formula>
    </cfRule>
  </conditionalFormatting>
  <conditionalFormatting sqref="E137 E140 E143">
    <cfRule type="expression" priority="64" aboveAverage="0" equalAverage="0" bottom="0" percent="0" rank="0" text="" dxfId="401">
      <formula>E137&lt;&gt;0</formula>
    </cfRule>
  </conditionalFormatting>
  <conditionalFormatting sqref="H137 H140 H143">
    <cfRule type="expression" priority="65" aboveAverage="0" equalAverage="0" bottom="0" percent="0" rank="0" text="" dxfId="402">
      <formula>AND(H137&lt;&gt;0,ISNUMBER(H137))</formula>
    </cfRule>
  </conditionalFormatting>
  <conditionalFormatting sqref="H138 H141 H144">
    <cfRule type="expression" priority="66" aboveAverage="0" equalAverage="0" bottom="0" percent="0" rank="0" text="" dxfId="403">
      <formula>AND(H137&lt;&gt;0,ISNUMBER(H137))</formula>
    </cfRule>
  </conditionalFormatting>
  <conditionalFormatting sqref="E138 E141 E144 U138:BD138 U141:BD141 U144:BD144">
    <cfRule type="expression" priority="67" aboveAverage="0" equalAverage="0" bottom="0" percent="0" rank="0" text="" dxfId="404">
      <formula>AND(ISNUMBER($H137),$H137&lt;&gt;0)</formula>
    </cfRule>
  </conditionalFormatting>
  <conditionalFormatting sqref="I138:S138 I141:S141 I144:S144">
    <cfRule type="expression" priority="68" aboveAverage="0" equalAverage="0" bottom="0" percent="0" rank="0" text="" dxfId="405">
      <formula>$M137=2</formula>
    </cfRule>
    <cfRule type="expression" priority="69" aboveAverage="0" equalAverage="0" bottom="0" percent="0" rank="0" text="" dxfId="406">
      <formula>AND($M137=1,$S137&lt;&gt;"")</formula>
    </cfRule>
  </conditionalFormatting>
  <conditionalFormatting sqref="I137:S137 I140:S140 I143:S143">
    <cfRule type="expression" priority="70" aboveAverage="0" equalAverage="0" bottom="0" percent="0" rank="0" text="" dxfId="407">
      <formula>$M137=2</formula>
    </cfRule>
    <cfRule type="expression" priority="71" aboveAverage="0" equalAverage="0" bottom="0" percent="0" rank="0" text="" dxfId="408">
      <formula>AND($M137=1,$S137&lt;&gt;"")</formula>
    </cfRule>
  </conditionalFormatting>
  <conditionalFormatting sqref="U129:BD129 U132:BD132 U135:BD135">
    <cfRule type="expression" priority="72" aboveAverage="0" equalAverage="0" bottom="0" percent="0" rank="0" text="" dxfId="409">
      <formula>AND(_xlfn.single(ACOMPANHAMENTO)="BM",U129&gt;ROUND(U129,4))</formula>
    </cfRule>
  </conditionalFormatting>
  <conditionalFormatting sqref="U128:BD128 U131:BD131 U134:BD134">
    <cfRule type="expression" priority="73" aboveAverage="0" equalAverage="0" bottom="0" percent="0" rank="0" text="" dxfId="410">
      <formula>U128&lt;&gt;0</formula>
    </cfRule>
  </conditionalFormatting>
  <conditionalFormatting sqref="E129 E132 E135">
    <cfRule type="expression" priority="74" aboveAverage="0" equalAverage="0" bottom="0" percent="0" rank="0" text="" dxfId="411">
      <formula>AND(_xlfn.single(ACOMPANHAMENTO)="BM",E129&gt;ROUND(E129,4))</formula>
    </cfRule>
  </conditionalFormatting>
  <conditionalFormatting sqref="E128 E131 E134">
    <cfRule type="expression" priority="75" aboveAverage="0" equalAverage="0" bottom="0" percent="0" rank="0" text="" dxfId="412">
      <formula>E128&lt;&gt;0</formula>
    </cfRule>
  </conditionalFormatting>
  <conditionalFormatting sqref="H128 H131 H134">
    <cfRule type="expression" priority="76" aboveAverage="0" equalAverage="0" bottom="0" percent="0" rank="0" text="" dxfId="413">
      <formula>AND(H128&lt;&gt;0,ISNUMBER(H128))</formula>
    </cfRule>
  </conditionalFormatting>
  <conditionalFormatting sqref="H129 H132 H135">
    <cfRule type="expression" priority="77" aboveAverage="0" equalAverage="0" bottom="0" percent="0" rank="0" text="" dxfId="414">
      <formula>AND(H128&lt;&gt;0,ISNUMBER(H128))</formula>
    </cfRule>
  </conditionalFormatting>
  <conditionalFormatting sqref="E129 E132 E135 U129:BD129 U132:BD132 U135:BD135">
    <cfRule type="expression" priority="78" aboveAverage="0" equalAverage="0" bottom="0" percent="0" rank="0" text="" dxfId="415">
      <formula>AND(ISNUMBER($H128),$H128&lt;&gt;0)</formula>
    </cfRule>
  </conditionalFormatting>
  <conditionalFormatting sqref="I129:S129 I132:S132 I135:S135">
    <cfRule type="expression" priority="79" aboveAverage="0" equalAverage="0" bottom="0" percent="0" rank="0" text="" dxfId="416">
      <formula>$M128=2</formula>
    </cfRule>
    <cfRule type="expression" priority="80" aboveAverage="0" equalAverage="0" bottom="0" percent="0" rank="0" text="" dxfId="417">
      <formula>AND($M128=1,$S128&lt;&gt;"")</formula>
    </cfRule>
  </conditionalFormatting>
  <conditionalFormatting sqref="I128:S128 I131:S131 I134:S134">
    <cfRule type="expression" priority="81" aboveAverage="0" equalAverage="0" bottom="0" percent="0" rank="0" text="" dxfId="418">
      <formula>$M128=2</formula>
    </cfRule>
    <cfRule type="expression" priority="82" aboveAverage="0" equalAverage="0" bottom="0" percent="0" rank="0" text="" dxfId="419">
      <formula>AND($M128=1,$S128&lt;&gt;"")</formula>
    </cfRule>
  </conditionalFormatting>
  <conditionalFormatting sqref="U120:BD120 U123:BD123 U126:BD126">
    <cfRule type="expression" priority="83" aboveAverage="0" equalAverage="0" bottom="0" percent="0" rank="0" text="" dxfId="420">
      <formula>AND(_xlfn.single(ACOMPANHAMENTO)="BM",U120&gt;ROUND(U120,4))</formula>
    </cfRule>
  </conditionalFormatting>
  <conditionalFormatting sqref="U119:BD119 U122:BD122 U125:BD125">
    <cfRule type="expression" priority="84" aboveAverage="0" equalAverage="0" bottom="0" percent="0" rank="0" text="" dxfId="421">
      <formula>U119&lt;&gt;0</formula>
    </cfRule>
  </conditionalFormatting>
  <conditionalFormatting sqref="E120 E123 E126">
    <cfRule type="expression" priority="85" aboveAverage="0" equalAverage="0" bottom="0" percent="0" rank="0" text="" dxfId="422">
      <formula>AND(_xlfn.single(ACOMPANHAMENTO)="BM",E120&gt;ROUND(E120,4))</formula>
    </cfRule>
  </conditionalFormatting>
  <conditionalFormatting sqref="E119 E122 E125">
    <cfRule type="expression" priority="86" aboveAverage="0" equalAverage="0" bottom="0" percent="0" rank="0" text="" dxfId="423">
      <formula>E119&lt;&gt;0</formula>
    </cfRule>
  </conditionalFormatting>
  <conditionalFormatting sqref="H119 H122 H125">
    <cfRule type="expression" priority="87" aboveAverage="0" equalAverage="0" bottom="0" percent="0" rank="0" text="" dxfId="424">
      <formula>AND(H119&lt;&gt;0,ISNUMBER(H119))</formula>
    </cfRule>
  </conditionalFormatting>
  <conditionalFormatting sqref="H120 H123 H126">
    <cfRule type="expression" priority="88" aboveAverage="0" equalAverage="0" bottom="0" percent="0" rank="0" text="" dxfId="425">
      <formula>AND(H119&lt;&gt;0,ISNUMBER(H119))</formula>
    </cfRule>
  </conditionalFormatting>
  <conditionalFormatting sqref="E120 E123 E126 U120:BD120 U123:BD123 U126:BD126">
    <cfRule type="expression" priority="89" aboveAverage="0" equalAverage="0" bottom="0" percent="0" rank="0" text="" dxfId="426">
      <formula>AND(ISNUMBER($H119),$H119&lt;&gt;0)</formula>
    </cfRule>
  </conditionalFormatting>
  <conditionalFormatting sqref="I120:S120 I123:S123 I126:S126">
    <cfRule type="expression" priority="90" aboveAverage="0" equalAverage="0" bottom="0" percent="0" rank="0" text="" dxfId="427">
      <formula>$M119=2</formula>
    </cfRule>
    <cfRule type="expression" priority="91" aboveAverage="0" equalAverage="0" bottom="0" percent="0" rank="0" text="" dxfId="428">
      <formula>AND($M119=1,$S119&lt;&gt;"")</formula>
    </cfRule>
  </conditionalFormatting>
  <conditionalFormatting sqref="I119:S119 I122:S122 I125:S125">
    <cfRule type="expression" priority="92" aboveAverage="0" equalAverage="0" bottom="0" percent="0" rank="0" text="" dxfId="429">
      <formula>$M119=2</formula>
    </cfRule>
    <cfRule type="expression" priority="93" aboveAverage="0" equalAverage="0" bottom="0" percent="0" rank="0" text="" dxfId="430">
      <formula>AND($M119=1,$S119&lt;&gt;"")</formula>
    </cfRule>
  </conditionalFormatting>
  <conditionalFormatting sqref="U111:BD111 U114:BD114 U117:BD117">
    <cfRule type="expression" priority="94" aboveAverage="0" equalAverage="0" bottom="0" percent="0" rank="0" text="" dxfId="431">
      <formula>AND(_xlfn.single(ACOMPANHAMENTO)="BM",U111&gt;ROUND(U111,4))</formula>
    </cfRule>
  </conditionalFormatting>
  <conditionalFormatting sqref="U110:BD110 U113:BD113 U116:BD116">
    <cfRule type="expression" priority="95" aboveAverage="0" equalAverage="0" bottom="0" percent="0" rank="0" text="" dxfId="432">
      <formula>U110&lt;&gt;0</formula>
    </cfRule>
  </conditionalFormatting>
  <conditionalFormatting sqref="E111 E114 E117">
    <cfRule type="expression" priority="96" aboveAverage="0" equalAverage="0" bottom="0" percent="0" rank="0" text="" dxfId="433">
      <formula>AND(_xlfn.single(ACOMPANHAMENTO)="BM",E111&gt;ROUND(E111,4))</formula>
    </cfRule>
  </conditionalFormatting>
  <conditionalFormatting sqref="E110 E113 E116">
    <cfRule type="expression" priority="97" aboveAverage="0" equalAverage="0" bottom="0" percent="0" rank="0" text="" dxfId="434">
      <formula>E110&lt;&gt;0</formula>
    </cfRule>
  </conditionalFormatting>
  <conditionalFormatting sqref="H110 H113 H116">
    <cfRule type="expression" priority="98" aboveAverage="0" equalAverage="0" bottom="0" percent="0" rank="0" text="" dxfId="435">
      <formula>AND(H110&lt;&gt;0,ISNUMBER(H110))</formula>
    </cfRule>
  </conditionalFormatting>
  <conditionalFormatting sqref="H111 H114 H117">
    <cfRule type="expression" priority="99" aboveAverage="0" equalAverage="0" bottom="0" percent="0" rank="0" text="" dxfId="436">
      <formula>AND(H110&lt;&gt;0,ISNUMBER(H110))</formula>
    </cfRule>
  </conditionalFormatting>
  <conditionalFormatting sqref="E111 E114 E117 U111:BD111 U114:BD114 U117:BD117">
    <cfRule type="expression" priority="100" aboveAverage="0" equalAverage="0" bottom="0" percent="0" rank="0" text="" dxfId="437">
      <formula>AND(ISNUMBER($H110),$H110&lt;&gt;0)</formula>
    </cfRule>
  </conditionalFormatting>
  <conditionalFormatting sqref="I111:S111 I114:S114 I117:S117">
    <cfRule type="expression" priority="101" aboveAverage="0" equalAverage="0" bottom="0" percent="0" rank="0" text="" dxfId="438">
      <formula>$M110=2</formula>
    </cfRule>
    <cfRule type="expression" priority="102" aboveAverage="0" equalAverage="0" bottom="0" percent="0" rank="0" text="" dxfId="439">
      <formula>AND($M110=1,$S110&lt;&gt;"")</formula>
    </cfRule>
  </conditionalFormatting>
  <conditionalFormatting sqref="I110:S110 I113:S113 I116:S116">
    <cfRule type="expression" priority="103" aboveAverage="0" equalAverage="0" bottom="0" percent="0" rank="0" text="" dxfId="440">
      <formula>$M110=2</formula>
    </cfRule>
    <cfRule type="expression" priority="104" aboveAverage="0" equalAverage="0" bottom="0" percent="0" rank="0" text="" dxfId="441">
      <formula>AND($M110=1,$S110&lt;&gt;"")</formula>
    </cfRule>
  </conditionalFormatting>
  <conditionalFormatting sqref="U102:BD102 U105:BD105 U108:BD108">
    <cfRule type="expression" priority="105" aboveAverage="0" equalAverage="0" bottom="0" percent="0" rank="0" text="" dxfId="442">
      <formula>AND(_xlfn.single(ACOMPANHAMENTO)="BM",U102&gt;ROUND(U102,4))</formula>
    </cfRule>
  </conditionalFormatting>
  <conditionalFormatting sqref="U101:BD101 U104:BD104 U107:BD107">
    <cfRule type="expression" priority="106" aboveAverage="0" equalAverage="0" bottom="0" percent="0" rank="0" text="" dxfId="443">
      <formula>U101&lt;&gt;0</formula>
    </cfRule>
  </conditionalFormatting>
  <conditionalFormatting sqref="E102 E105 E108">
    <cfRule type="expression" priority="107" aboveAverage="0" equalAverage="0" bottom="0" percent="0" rank="0" text="" dxfId="444">
      <formula>AND(_xlfn.single(ACOMPANHAMENTO)="BM",E102&gt;ROUND(E102,4))</formula>
    </cfRule>
  </conditionalFormatting>
  <conditionalFormatting sqref="E101 E104 E107">
    <cfRule type="expression" priority="108" aboveAverage="0" equalAverage="0" bottom="0" percent="0" rank="0" text="" dxfId="445">
      <formula>E101&lt;&gt;0</formula>
    </cfRule>
  </conditionalFormatting>
  <conditionalFormatting sqref="H101 H104 H107">
    <cfRule type="expression" priority="109" aboveAverage="0" equalAverage="0" bottom="0" percent="0" rank="0" text="" dxfId="446">
      <formula>AND(H101&lt;&gt;0,ISNUMBER(H101))</formula>
    </cfRule>
  </conditionalFormatting>
  <conditionalFormatting sqref="H102 H105 H108">
    <cfRule type="expression" priority="110" aboveAverage="0" equalAverage="0" bottom="0" percent="0" rank="0" text="" dxfId="447">
      <formula>AND(H101&lt;&gt;0,ISNUMBER(H101))</formula>
    </cfRule>
  </conditionalFormatting>
  <conditionalFormatting sqref="E102 E105 E108 U102:BD102 U105:BD105 U108:BD108">
    <cfRule type="expression" priority="111" aboveAverage="0" equalAverage="0" bottom="0" percent="0" rank="0" text="" dxfId="448">
      <formula>AND(ISNUMBER($H101),$H101&lt;&gt;0)</formula>
    </cfRule>
  </conditionalFormatting>
  <conditionalFormatting sqref="I102:S102 I105:S105 I108:S108">
    <cfRule type="expression" priority="112" aboveAverage="0" equalAverage="0" bottom="0" percent="0" rank="0" text="" dxfId="449">
      <formula>$M101=2</formula>
    </cfRule>
    <cfRule type="expression" priority="113" aboveAverage="0" equalAverage="0" bottom="0" percent="0" rank="0" text="" dxfId="450">
      <formula>AND($M101=1,$S101&lt;&gt;"")</formula>
    </cfRule>
  </conditionalFormatting>
  <conditionalFormatting sqref="I101:S101 I104:S104 I107:S107">
    <cfRule type="expression" priority="114" aboveAverage="0" equalAverage="0" bottom="0" percent="0" rank="0" text="" dxfId="451">
      <formula>$M101=2</formula>
    </cfRule>
    <cfRule type="expression" priority="115" aboveAverage="0" equalAverage="0" bottom="0" percent="0" rank="0" text="" dxfId="452">
      <formula>AND($M101=1,$S101&lt;&gt;"")</formula>
    </cfRule>
  </conditionalFormatting>
  <conditionalFormatting sqref="U93:BD93 U96:BD96 U99:BD99">
    <cfRule type="expression" priority="116" aboveAverage="0" equalAverage="0" bottom="0" percent="0" rank="0" text="" dxfId="453">
      <formula>AND(_xlfn.single(ACOMPANHAMENTO)="BM",U93&gt;ROUND(U93,4))</formula>
    </cfRule>
  </conditionalFormatting>
  <conditionalFormatting sqref="U92:BD92 U95:BD95 U98:BD98">
    <cfRule type="expression" priority="117" aboveAverage="0" equalAverage="0" bottom="0" percent="0" rank="0" text="" dxfId="454">
      <formula>U92&lt;&gt;0</formula>
    </cfRule>
  </conditionalFormatting>
  <conditionalFormatting sqref="E93 E96 E99">
    <cfRule type="expression" priority="118" aboveAverage="0" equalAverage="0" bottom="0" percent="0" rank="0" text="" dxfId="455">
      <formula>AND(_xlfn.single(ACOMPANHAMENTO)="BM",E93&gt;ROUND(E93,4))</formula>
    </cfRule>
  </conditionalFormatting>
  <conditionalFormatting sqref="E92 E95 E98">
    <cfRule type="expression" priority="119" aboveAverage="0" equalAverage="0" bottom="0" percent="0" rank="0" text="" dxfId="456">
      <formula>E92&lt;&gt;0</formula>
    </cfRule>
  </conditionalFormatting>
  <conditionalFormatting sqref="H92 H95 H98">
    <cfRule type="expression" priority="120" aboveAverage="0" equalAverage="0" bottom="0" percent="0" rank="0" text="" dxfId="457">
      <formula>AND(H92&lt;&gt;0,ISNUMBER(H92))</formula>
    </cfRule>
  </conditionalFormatting>
  <conditionalFormatting sqref="H93 H96 H99">
    <cfRule type="expression" priority="121" aboveAverage="0" equalAverage="0" bottom="0" percent="0" rank="0" text="" dxfId="458">
      <formula>AND(H92&lt;&gt;0,ISNUMBER(H92))</formula>
    </cfRule>
  </conditionalFormatting>
  <conditionalFormatting sqref="E93 E96 E99 U93:BD93 U96:BD96 U99:BD99">
    <cfRule type="expression" priority="122" aboveAverage="0" equalAverage="0" bottom="0" percent="0" rank="0" text="" dxfId="459">
      <formula>AND(ISNUMBER($H92),$H92&lt;&gt;0)</formula>
    </cfRule>
  </conditionalFormatting>
  <conditionalFormatting sqref="I93:S93 I96:S96 I99:S99">
    <cfRule type="expression" priority="123" aboveAverage="0" equalAverage="0" bottom="0" percent="0" rank="0" text="" dxfId="460">
      <formula>$M92=2</formula>
    </cfRule>
    <cfRule type="expression" priority="124" aboveAverage="0" equalAverage="0" bottom="0" percent="0" rank="0" text="" dxfId="461">
      <formula>AND($M92=1,$S92&lt;&gt;"")</formula>
    </cfRule>
  </conditionalFormatting>
  <conditionalFormatting sqref="I92:S92 I95:S95 I98:S98">
    <cfRule type="expression" priority="125" aboveAverage="0" equalAverage="0" bottom="0" percent="0" rank="0" text="" dxfId="462">
      <formula>$M92=2</formula>
    </cfRule>
    <cfRule type="expression" priority="126" aboveAverage="0" equalAverage="0" bottom="0" percent="0" rank="0" text="" dxfId="463">
      <formula>AND($M92=1,$S92&lt;&gt;"")</formula>
    </cfRule>
  </conditionalFormatting>
  <conditionalFormatting sqref="U84:BD84 U87:BD87 U90:BD90">
    <cfRule type="expression" priority="127" aboveAverage="0" equalAverage="0" bottom="0" percent="0" rank="0" text="" dxfId="464">
      <formula>AND(_xlfn.single(ACOMPANHAMENTO)="BM",U84&gt;ROUND(U84,4))</formula>
    </cfRule>
  </conditionalFormatting>
  <conditionalFormatting sqref="U83:BD83 U86:BD86 U89:BD89">
    <cfRule type="expression" priority="128" aboveAverage="0" equalAverage="0" bottom="0" percent="0" rank="0" text="" dxfId="465">
      <formula>U83&lt;&gt;0</formula>
    </cfRule>
  </conditionalFormatting>
  <conditionalFormatting sqref="E84 E87 E90">
    <cfRule type="expression" priority="129" aboveAverage="0" equalAverage="0" bottom="0" percent="0" rank="0" text="" dxfId="466">
      <formula>AND(_xlfn.single(ACOMPANHAMENTO)="BM",E84&gt;ROUND(E84,4))</formula>
    </cfRule>
  </conditionalFormatting>
  <conditionalFormatting sqref="E83 E86 E89">
    <cfRule type="expression" priority="130" aboveAverage="0" equalAverage="0" bottom="0" percent="0" rank="0" text="" dxfId="467">
      <formula>E83&lt;&gt;0</formula>
    </cfRule>
  </conditionalFormatting>
  <conditionalFormatting sqref="H83 H86 H89">
    <cfRule type="expression" priority="131" aboveAverage="0" equalAverage="0" bottom="0" percent="0" rank="0" text="" dxfId="468">
      <formula>AND(H83&lt;&gt;0,ISNUMBER(H83))</formula>
    </cfRule>
  </conditionalFormatting>
  <conditionalFormatting sqref="H84 H87 H90">
    <cfRule type="expression" priority="132" aboveAverage="0" equalAverage="0" bottom="0" percent="0" rank="0" text="" dxfId="469">
      <formula>AND(H83&lt;&gt;0,ISNUMBER(H83))</formula>
    </cfRule>
  </conditionalFormatting>
  <conditionalFormatting sqref="E84 E87 E90 U84:BD84 U87:BD87 U90:BD90">
    <cfRule type="expression" priority="133" aboveAverage="0" equalAverage="0" bottom="0" percent="0" rank="0" text="" dxfId="470">
      <formula>AND(ISNUMBER($H83),$H83&lt;&gt;0)</formula>
    </cfRule>
  </conditionalFormatting>
  <conditionalFormatting sqref="I84:S84 I87:S87 I90:S90">
    <cfRule type="expression" priority="134" aboveAverage="0" equalAverage="0" bottom="0" percent="0" rank="0" text="" dxfId="471">
      <formula>$M83=2</formula>
    </cfRule>
    <cfRule type="expression" priority="135" aboveAverage="0" equalAverage="0" bottom="0" percent="0" rank="0" text="" dxfId="472">
      <formula>AND($M83=1,$S83&lt;&gt;"")</formula>
    </cfRule>
  </conditionalFormatting>
  <conditionalFormatting sqref="I83:S83 I86:S86 I89:S89">
    <cfRule type="expression" priority="136" aboveAverage="0" equalAverage="0" bottom="0" percent="0" rank="0" text="" dxfId="473">
      <formula>$M83=2</formula>
    </cfRule>
    <cfRule type="expression" priority="137" aboveAverage="0" equalAverage="0" bottom="0" percent="0" rank="0" text="" dxfId="474">
      <formula>AND($M83=1,$S83&lt;&gt;"")</formula>
    </cfRule>
  </conditionalFormatting>
  <conditionalFormatting sqref="U75:BD75 U78:BD78 U81:BD81">
    <cfRule type="expression" priority="138" aboveAverage="0" equalAverage="0" bottom="0" percent="0" rank="0" text="" dxfId="475">
      <formula>AND(_xlfn.single(ACOMPANHAMENTO)="BM",U75&gt;ROUND(U75,4))</formula>
    </cfRule>
  </conditionalFormatting>
  <conditionalFormatting sqref="U74:BD74 U77:BD77 U80:BD80">
    <cfRule type="expression" priority="139" aboveAverage="0" equalAverage="0" bottom="0" percent="0" rank="0" text="" dxfId="476">
      <formula>U74&lt;&gt;0</formula>
    </cfRule>
  </conditionalFormatting>
  <conditionalFormatting sqref="E75 E78 E81">
    <cfRule type="expression" priority="140" aboveAverage="0" equalAverage="0" bottom="0" percent="0" rank="0" text="" dxfId="477">
      <formula>AND(_xlfn.single(ACOMPANHAMENTO)="BM",E75&gt;ROUND(E75,4))</formula>
    </cfRule>
  </conditionalFormatting>
  <conditionalFormatting sqref="E74 E77 E80">
    <cfRule type="expression" priority="141" aboveAverage="0" equalAverage="0" bottom="0" percent="0" rank="0" text="" dxfId="478">
      <formula>E74&lt;&gt;0</formula>
    </cfRule>
  </conditionalFormatting>
  <conditionalFormatting sqref="H74 H77 H80">
    <cfRule type="expression" priority="142" aboveAverage="0" equalAverage="0" bottom="0" percent="0" rank="0" text="" dxfId="479">
      <formula>AND(H74&lt;&gt;0,ISNUMBER(H74))</formula>
    </cfRule>
  </conditionalFormatting>
  <conditionalFormatting sqref="H75 H78 H81">
    <cfRule type="expression" priority="143" aboveAverage="0" equalAverage="0" bottom="0" percent="0" rank="0" text="" dxfId="480">
      <formula>AND(H74&lt;&gt;0,ISNUMBER(H74))</formula>
    </cfRule>
  </conditionalFormatting>
  <conditionalFormatting sqref="E75 E78 E81 U75:BD75 U78:BD78 U81:BD81">
    <cfRule type="expression" priority="144" aboveAverage="0" equalAverage="0" bottom="0" percent="0" rank="0" text="" dxfId="481">
      <formula>AND(ISNUMBER($H74),$H74&lt;&gt;0)</formula>
    </cfRule>
  </conditionalFormatting>
  <conditionalFormatting sqref="I75:S75 I78:S78 I81:S81">
    <cfRule type="expression" priority="145" aboveAverage="0" equalAverage="0" bottom="0" percent="0" rank="0" text="" dxfId="482">
      <formula>$M74=2</formula>
    </cfRule>
    <cfRule type="expression" priority="146" aboveAverage="0" equalAverage="0" bottom="0" percent="0" rank="0" text="" dxfId="483">
      <formula>AND($M74=1,$S74&lt;&gt;"")</formula>
    </cfRule>
  </conditionalFormatting>
  <conditionalFormatting sqref="I74:S74 I77:S77 I80:S80">
    <cfRule type="expression" priority="147" aboveAverage="0" equalAverage="0" bottom="0" percent="0" rank="0" text="" dxfId="484">
      <formula>$M74=2</formula>
    </cfRule>
    <cfRule type="expression" priority="148" aboveAverage="0" equalAverage="0" bottom="0" percent="0" rank="0" text="" dxfId="485">
      <formula>AND($M74=1,$S74&lt;&gt;"")</formula>
    </cfRule>
  </conditionalFormatting>
  <conditionalFormatting sqref="U66:BD66 U69:BD69 U72:BD72">
    <cfRule type="expression" priority="149" aboveAverage="0" equalAverage="0" bottom="0" percent="0" rank="0" text="" dxfId="486">
      <formula>AND(_xlfn.single(ACOMPANHAMENTO)="BM",U66&gt;ROUND(U66,4))</formula>
    </cfRule>
  </conditionalFormatting>
  <conditionalFormatting sqref="U65:BD65 U68:BD68 U71:BD71">
    <cfRule type="expression" priority="150" aboveAverage="0" equalAverage="0" bottom="0" percent="0" rank="0" text="" dxfId="487">
      <formula>U65&lt;&gt;0</formula>
    </cfRule>
  </conditionalFormatting>
  <conditionalFormatting sqref="E66 E69 E72">
    <cfRule type="expression" priority="151" aboveAverage="0" equalAverage="0" bottom="0" percent="0" rank="0" text="" dxfId="488">
      <formula>AND(_xlfn.single(ACOMPANHAMENTO)="BM",E66&gt;ROUND(E66,4))</formula>
    </cfRule>
  </conditionalFormatting>
  <conditionalFormatting sqref="E65 E68 E71">
    <cfRule type="expression" priority="152" aboveAverage="0" equalAverage="0" bottom="0" percent="0" rank="0" text="" dxfId="489">
      <formula>E65&lt;&gt;0</formula>
    </cfRule>
  </conditionalFormatting>
  <conditionalFormatting sqref="H65 H68 H71">
    <cfRule type="expression" priority="153" aboveAverage="0" equalAverage="0" bottom="0" percent="0" rank="0" text="" dxfId="490">
      <formula>AND(H65&lt;&gt;0,ISNUMBER(H65))</formula>
    </cfRule>
  </conditionalFormatting>
  <conditionalFormatting sqref="H66 H69 H72">
    <cfRule type="expression" priority="154" aboveAverage="0" equalAverage="0" bottom="0" percent="0" rank="0" text="" dxfId="491">
      <formula>AND(H65&lt;&gt;0,ISNUMBER(H65))</formula>
    </cfRule>
  </conditionalFormatting>
  <conditionalFormatting sqref="E66 E69 E72 U66:BD66 U69:BD69 U72:BD72">
    <cfRule type="expression" priority="155" aboveAverage="0" equalAverage="0" bottom="0" percent="0" rank="0" text="" dxfId="492">
      <formula>AND(ISNUMBER($H65),$H65&lt;&gt;0)</formula>
    </cfRule>
  </conditionalFormatting>
  <conditionalFormatting sqref="I66:S66 I69:S69 I72:S72">
    <cfRule type="expression" priority="156" aboveAverage="0" equalAverage="0" bottom="0" percent="0" rank="0" text="" dxfId="493">
      <formula>$M65=2</formula>
    </cfRule>
    <cfRule type="expression" priority="157" aboveAverage="0" equalAverage="0" bottom="0" percent="0" rank="0" text="" dxfId="494">
      <formula>AND($M65=1,$S65&lt;&gt;"")</formula>
    </cfRule>
  </conditionalFormatting>
  <conditionalFormatting sqref="I65:S65 I68:S68 I71:S71">
    <cfRule type="expression" priority="158" aboveAverage="0" equalAverage="0" bottom="0" percent="0" rank="0" text="" dxfId="495">
      <formula>$M65=2</formula>
    </cfRule>
    <cfRule type="expression" priority="159" aboveAverage="0" equalAverage="0" bottom="0" percent="0" rank="0" text="" dxfId="496">
      <formula>AND($M65=1,$S65&lt;&gt;"")</formula>
    </cfRule>
  </conditionalFormatting>
  <conditionalFormatting sqref="U60:BD60 U63:BD63">
    <cfRule type="expression" priority="160" aboveAverage="0" equalAverage="0" bottom="0" percent="0" rank="0" text="" dxfId="497">
      <formula>AND(_xlfn.single(ACOMPANHAMENTO)="BM",U60&gt;ROUND(U60,4))</formula>
    </cfRule>
  </conditionalFormatting>
  <conditionalFormatting sqref="U59:BD59 U62:BD62">
    <cfRule type="expression" priority="161" aboveAverage="0" equalAverage="0" bottom="0" percent="0" rank="0" text="" dxfId="498">
      <formula>U59&lt;&gt;0</formula>
    </cfRule>
  </conditionalFormatting>
  <conditionalFormatting sqref="E60 E63">
    <cfRule type="expression" priority="162" aboveAverage="0" equalAverage="0" bottom="0" percent="0" rank="0" text="" dxfId="499">
      <formula>AND(_xlfn.single(ACOMPANHAMENTO)="BM",E60&gt;ROUND(E60,4))</formula>
    </cfRule>
  </conditionalFormatting>
  <conditionalFormatting sqref="E59 E62">
    <cfRule type="expression" priority="163" aboveAverage="0" equalAverage="0" bottom="0" percent="0" rank="0" text="" dxfId="500">
      <formula>E59&lt;&gt;0</formula>
    </cfRule>
  </conditionalFormatting>
  <conditionalFormatting sqref="H59 H62">
    <cfRule type="expression" priority="164" aboveAverage="0" equalAverage="0" bottom="0" percent="0" rank="0" text="" dxfId="501">
      <formula>AND(H59&lt;&gt;0,ISNUMBER(H59))</formula>
    </cfRule>
  </conditionalFormatting>
  <conditionalFormatting sqref="H60 H63">
    <cfRule type="expression" priority="165" aboveAverage="0" equalAverage="0" bottom="0" percent="0" rank="0" text="" dxfId="502">
      <formula>AND(H59&lt;&gt;0,ISNUMBER(H59))</formula>
    </cfRule>
  </conditionalFormatting>
  <conditionalFormatting sqref="E60 E63 U60:BD60 U63:BD63">
    <cfRule type="expression" priority="166" aboveAverage="0" equalAverage="0" bottom="0" percent="0" rank="0" text="" dxfId="503">
      <formula>AND(ISNUMBER($H59),$H59&lt;&gt;0)</formula>
    </cfRule>
  </conditionalFormatting>
  <conditionalFormatting sqref="I60:S60 I63:S63">
    <cfRule type="expression" priority="167" aboveAverage="0" equalAverage="0" bottom="0" percent="0" rank="0" text="" dxfId="504">
      <formula>$M59=2</formula>
    </cfRule>
    <cfRule type="expression" priority="168" aboveAverage="0" equalAverage="0" bottom="0" percent="0" rank="0" text="" dxfId="505">
      <formula>AND($M59=1,$S59&lt;&gt;"")</formula>
    </cfRule>
  </conditionalFormatting>
  <conditionalFormatting sqref="I59:S59 I62:S62">
    <cfRule type="expression" priority="169" aboveAverage="0" equalAverage="0" bottom="0" percent="0" rank="0" text="" dxfId="506">
      <formula>$M59=2</formula>
    </cfRule>
    <cfRule type="expression" priority="170" aboveAverage="0" equalAverage="0" bottom="0" percent="0" rank="0" text="" dxfId="507">
      <formula>AND($M59=1,$S59&lt;&gt;"")</formula>
    </cfRule>
  </conditionalFormatting>
  <conditionalFormatting sqref="U51:BD51 U54:BD54 U57:BD57">
    <cfRule type="expression" priority="171" aboveAverage="0" equalAverage="0" bottom="0" percent="0" rank="0" text="" dxfId="508">
      <formula>AND(_xlfn.single(ACOMPANHAMENTO)="BM",U51&gt;ROUND(U51,4))</formula>
    </cfRule>
  </conditionalFormatting>
  <conditionalFormatting sqref="U50:BD50 U53:BD53 U56:BD56">
    <cfRule type="expression" priority="172" aboveAverage="0" equalAverage="0" bottom="0" percent="0" rank="0" text="" dxfId="509">
      <formula>U50&lt;&gt;0</formula>
    </cfRule>
  </conditionalFormatting>
  <conditionalFormatting sqref="E51 E54 E57">
    <cfRule type="expression" priority="173" aboveAverage="0" equalAverage="0" bottom="0" percent="0" rank="0" text="" dxfId="510">
      <formula>AND(_xlfn.single(ACOMPANHAMENTO)="BM",E51&gt;ROUND(E51,4))</formula>
    </cfRule>
  </conditionalFormatting>
  <conditionalFormatting sqref="E50 E53 E56">
    <cfRule type="expression" priority="174" aboveAverage="0" equalAverage="0" bottom="0" percent="0" rank="0" text="" dxfId="511">
      <formula>E50&lt;&gt;0</formula>
    </cfRule>
  </conditionalFormatting>
  <conditionalFormatting sqref="H50 H53 H56">
    <cfRule type="expression" priority="175" aboveAverage="0" equalAverage="0" bottom="0" percent="0" rank="0" text="" dxfId="512">
      <formula>AND(H50&lt;&gt;0,ISNUMBER(H50))</formula>
    </cfRule>
  </conditionalFormatting>
  <conditionalFormatting sqref="H51 H54 H57">
    <cfRule type="expression" priority="176" aboveAverage="0" equalAverage="0" bottom="0" percent="0" rank="0" text="" dxfId="513">
      <formula>AND(H50&lt;&gt;0,ISNUMBER(H50))</formula>
    </cfRule>
  </conditionalFormatting>
  <conditionalFormatting sqref="E51 E54 E57 U51:BD51 U54:BD54 U57:BD57">
    <cfRule type="expression" priority="177" aboveAverage="0" equalAverage="0" bottom="0" percent="0" rank="0" text="" dxfId="514">
      <formula>AND(ISNUMBER($H50),$H50&lt;&gt;0)</formula>
    </cfRule>
  </conditionalFormatting>
  <conditionalFormatting sqref="I51:S51 I54:S54 I57:S57">
    <cfRule type="expression" priority="178" aboveAverage="0" equalAverage="0" bottom="0" percent="0" rank="0" text="" dxfId="515">
      <formula>$M50=2</formula>
    </cfRule>
    <cfRule type="expression" priority="179" aboveAverage="0" equalAverage="0" bottom="0" percent="0" rank="0" text="" dxfId="516">
      <formula>AND($M50=1,$S50&lt;&gt;"")</formula>
    </cfRule>
  </conditionalFormatting>
  <conditionalFormatting sqref="I50:S50 I53:S53 I56:S56">
    <cfRule type="expression" priority="180" aboveAverage="0" equalAverage="0" bottom="0" percent="0" rank="0" text="" dxfId="517">
      <formula>$M50=2</formula>
    </cfRule>
    <cfRule type="expression" priority="181" aboveAverage="0" equalAverage="0" bottom="0" percent="0" rank="0" text="" dxfId="518">
      <formula>AND($M50=1,$S50&lt;&gt;"")</formula>
    </cfRule>
  </conditionalFormatting>
  <conditionalFormatting sqref="U42:BD42 U45:BD45 U48:BD48">
    <cfRule type="expression" priority="182" aboveAverage="0" equalAverage="0" bottom="0" percent="0" rank="0" text="" dxfId="519">
      <formula>AND(_xlfn.single(ACOMPANHAMENTO)="BM",U42&gt;ROUND(U42,4))</formula>
    </cfRule>
  </conditionalFormatting>
  <conditionalFormatting sqref="U41:BD41 U44:BD44 U47:BD47">
    <cfRule type="expression" priority="183" aboveAverage="0" equalAverage="0" bottom="0" percent="0" rank="0" text="" dxfId="520">
      <formula>U41&lt;&gt;0</formula>
    </cfRule>
  </conditionalFormatting>
  <conditionalFormatting sqref="E42 E45 E48">
    <cfRule type="expression" priority="184" aboveAverage="0" equalAverage="0" bottom="0" percent="0" rank="0" text="" dxfId="521">
      <formula>AND(_xlfn.single(ACOMPANHAMENTO)="BM",E42&gt;ROUND(E42,4))</formula>
    </cfRule>
  </conditionalFormatting>
  <conditionalFormatting sqref="E41 E44 E47">
    <cfRule type="expression" priority="185" aboveAverage="0" equalAverage="0" bottom="0" percent="0" rank="0" text="" dxfId="522">
      <formula>E41&lt;&gt;0</formula>
    </cfRule>
  </conditionalFormatting>
  <conditionalFormatting sqref="H41 H44 H47">
    <cfRule type="expression" priority="186" aboveAverage="0" equalAverage="0" bottom="0" percent="0" rank="0" text="" dxfId="523">
      <formula>AND(H41&lt;&gt;0,ISNUMBER(H41))</formula>
    </cfRule>
  </conditionalFormatting>
  <conditionalFormatting sqref="H42 H45 H48">
    <cfRule type="expression" priority="187" aboveAverage="0" equalAverage="0" bottom="0" percent="0" rank="0" text="" dxfId="524">
      <formula>AND(H41&lt;&gt;0,ISNUMBER(H41))</formula>
    </cfRule>
  </conditionalFormatting>
  <conditionalFormatting sqref="E42 E45 E48 U42:BD42 U45:BD45 U48:BD48">
    <cfRule type="expression" priority="188" aboveAverage="0" equalAverage="0" bottom="0" percent="0" rank="0" text="" dxfId="525">
      <formula>AND(ISNUMBER($H41),$H41&lt;&gt;0)</formula>
    </cfRule>
  </conditionalFormatting>
  <conditionalFormatting sqref="I42:S42 I45:S45 I48:S48">
    <cfRule type="expression" priority="189" aboveAverage="0" equalAverage="0" bottom="0" percent="0" rank="0" text="" dxfId="526">
      <formula>$M41=2</formula>
    </cfRule>
    <cfRule type="expression" priority="190" aboveAverage="0" equalAverage="0" bottom="0" percent="0" rank="0" text="" dxfId="527">
      <formula>AND($M41=1,$S41&lt;&gt;"")</formula>
    </cfRule>
  </conditionalFormatting>
  <conditionalFormatting sqref="I41:S41 I44:S44 I47:S47">
    <cfRule type="expression" priority="191" aboveAverage="0" equalAverage="0" bottom="0" percent="0" rank="0" text="" dxfId="528">
      <formula>$M41=2</formula>
    </cfRule>
    <cfRule type="expression" priority="192" aboveAverage="0" equalAverage="0" bottom="0" percent="0" rank="0" text="" dxfId="529">
      <formula>AND($M41=1,$S41&lt;&gt;"")</formula>
    </cfRule>
  </conditionalFormatting>
  <conditionalFormatting sqref="U33:BD33 U36:BD36 U39:BD39">
    <cfRule type="expression" priority="193" aboveAverage="0" equalAverage="0" bottom="0" percent="0" rank="0" text="" dxfId="530">
      <formula>AND(_xlfn.single(ACOMPANHAMENTO)="BM",U33&gt;ROUND(U33,4))</formula>
    </cfRule>
  </conditionalFormatting>
  <conditionalFormatting sqref="U32:BD32 U35:BD35 U38:BD38">
    <cfRule type="expression" priority="194" aboveAverage="0" equalAverage="0" bottom="0" percent="0" rank="0" text="" dxfId="531">
      <formula>U32&lt;&gt;0</formula>
    </cfRule>
  </conditionalFormatting>
  <conditionalFormatting sqref="E33 E36 E39">
    <cfRule type="expression" priority="195" aboveAverage="0" equalAverage="0" bottom="0" percent="0" rank="0" text="" dxfId="532">
      <formula>AND(_xlfn.single(ACOMPANHAMENTO)="BM",E33&gt;ROUND(E33,4))</formula>
    </cfRule>
  </conditionalFormatting>
  <conditionalFormatting sqref="E32 E35 E38">
    <cfRule type="expression" priority="196" aboveAverage="0" equalAverage="0" bottom="0" percent="0" rank="0" text="" dxfId="533">
      <formula>E32&lt;&gt;0</formula>
    </cfRule>
  </conditionalFormatting>
  <conditionalFormatting sqref="H32 H35 H38">
    <cfRule type="expression" priority="197" aboveAverage="0" equalAverage="0" bottom="0" percent="0" rank="0" text="" dxfId="534">
      <formula>AND(H32&lt;&gt;0,ISNUMBER(H32))</formula>
    </cfRule>
  </conditionalFormatting>
  <conditionalFormatting sqref="H33 H36 H39">
    <cfRule type="expression" priority="198" aboveAverage="0" equalAverage="0" bottom="0" percent="0" rank="0" text="" dxfId="535">
      <formula>AND(H32&lt;&gt;0,ISNUMBER(H32))</formula>
    </cfRule>
  </conditionalFormatting>
  <conditionalFormatting sqref="E33 E36 E39 U33:BD33 U36:BD36 U39:BD39">
    <cfRule type="expression" priority="199" aboveAverage="0" equalAverage="0" bottom="0" percent="0" rank="0" text="" dxfId="536">
      <formula>AND(ISNUMBER($H32),$H32&lt;&gt;0)</formula>
    </cfRule>
  </conditionalFormatting>
  <conditionalFormatting sqref="I33:S33 I36:S36 I39:S39">
    <cfRule type="expression" priority="200" aboveAverage="0" equalAverage="0" bottom="0" percent="0" rank="0" text="" dxfId="537">
      <formula>$M32=2</formula>
    </cfRule>
    <cfRule type="expression" priority="201" aboveAverage="0" equalAverage="0" bottom="0" percent="0" rank="0" text="" dxfId="538">
      <formula>AND($M32=1,$S32&lt;&gt;"")</formula>
    </cfRule>
  </conditionalFormatting>
  <conditionalFormatting sqref="I32:S32 I35:S35 I38:S38">
    <cfRule type="expression" priority="202" aboveAverage="0" equalAverage="0" bottom="0" percent="0" rank="0" text="" dxfId="539">
      <formula>$M32=2</formula>
    </cfRule>
    <cfRule type="expression" priority="203" aboveAverage="0" equalAverage="0" bottom="0" percent="0" rank="0" text="" dxfId="540">
      <formula>AND($M32=1,$S32&lt;&gt;"")</formula>
    </cfRule>
  </conditionalFormatting>
  <conditionalFormatting sqref="U24:BD24 U27:BD27 U30:BD30">
    <cfRule type="expression" priority="204" aboveAverage="0" equalAverage="0" bottom="0" percent="0" rank="0" text="" dxfId="541">
      <formula>AND(_xlfn.single(ACOMPANHAMENTO)="BM",U24&gt;ROUND(U24,4))</formula>
    </cfRule>
  </conditionalFormatting>
  <conditionalFormatting sqref="U23:BD23 U26:BD26 U29:BD29">
    <cfRule type="expression" priority="205" aboveAverage="0" equalAverage="0" bottom="0" percent="0" rank="0" text="" dxfId="542">
      <formula>U23&lt;&gt;0</formula>
    </cfRule>
  </conditionalFormatting>
  <conditionalFormatting sqref="E24 E27 E30">
    <cfRule type="expression" priority="206" aboveAverage="0" equalAverage="0" bottom="0" percent="0" rank="0" text="" dxfId="543">
      <formula>AND(_xlfn.single(ACOMPANHAMENTO)="BM",E24&gt;ROUND(E24,4))</formula>
    </cfRule>
  </conditionalFormatting>
  <conditionalFormatting sqref="E23 E26 E29">
    <cfRule type="expression" priority="207" aboveAverage="0" equalAverage="0" bottom="0" percent="0" rank="0" text="" dxfId="544">
      <formula>E23&lt;&gt;0</formula>
    </cfRule>
  </conditionalFormatting>
  <conditionalFormatting sqref="H23 H26 H29">
    <cfRule type="expression" priority="208" aboveAverage="0" equalAverage="0" bottom="0" percent="0" rank="0" text="" dxfId="545">
      <formula>AND(H23&lt;&gt;0,ISNUMBER(H23))</formula>
    </cfRule>
  </conditionalFormatting>
  <conditionalFormatting sqref="H24 H27 H30">
    <cfRule type="expression" priority="209" aboveAverage="0" equalAverage="0" bottom="0" percent="0" rank="0" text="" dxfId="546">
      <formula>AND(H23&lt;&gt;0,ISNUMBER(H23))</formula>
    </cfRule>
  </conditionalFormatting>
  <conditionalFormatting sqref="E24 E27 E30 U24:BD24 U27:BD27 U30:BD30">
    <cfRule type="expression" priority="210" aboveAverage="0" equalAverage="0" bottom="0" percent="0" rank="0" text="" dxfId="547">
      <formula>AND(ISNUMBER($H23),$H23&lt;&gt;0)</formula>
    </cfRule>
  </conditionalFormatting>
  <conditionalFormatting sqref="I24:S24 I27:S27 I30:S30">
    <cfRule type="expression" priority="211" aboveAverage="0" equalAverage="0" bottom="0" percent="0" rank="0" text="" dxfId="548">
      <formula>$M23=2</formula>
    </cfRule>
    <cfRule type="expression" priority="212" aboveAverage="0" equalAverage="0" bottom="0" percent="0" rank="0" text="" dxfId="549">
      <formula>AND($M23=1,$S23&lt;&gt;"")</formula>
    </cfRule>
  </conditionalFormatting>
  <conditionalFormatting sqref="I23:S23 I26:S26 I29:S29">
    <cfRule type="expression" priority="213" aboveAverage="0" equalAverage="0" bottom="0" percent="0" rank="0" text="" dxfId="550">
      <formula>$M23=2</formula>
    </cfRule>
    <cfRule type="expression" priority="214" aboveAverage="0" equalAverage="0" bottom="0" percent="0" rank="0" text="" dxfId="551">
      <formula>AND($M23=1,$S23&lt;&gt;"")</formula>
    </cfRule>
  </conditionalFormatting>
  <conditionalFormatting sqref="U15:BD15 U18:BD18 U21:BD21">
    <cfRule type="expression" priority="215" aboveAverage="0" equalAverage="0" bottom="0" percent="0" rank="0" text="" dxfId="552">
      <formula>AND(_xlfn.single(ACOMPANHAMENTO)="BM",U15&gt;ROUND(U15,4))</formula>
    </cfRule>
  </conditionalFormatting>
  <conditionalFormatting sqref="U14:BD14 U17:BD17 U20:BD20">
    <cfRule type="expression" priority="216" aboveAverage="0" equalAverage="0" bottom="0" percent="0" rank="0" text="" dxfId="553">
      <formula>U14&lt;&gt;0</formula>
    </cfRule>
  </conditionalFormatting>
  <conditionalFormatting sqref="E15 E18 E21">
    <cfRule type="expression" priority="217" aboveAverage="0" equalAverage="0" bottom="0" percent="0" rank="0" text="" dxfId="554">
      <formula>AND(_xlfn.single(ACOMPANHAMENTO)="BM",E15&gt;ROUND(E15,4))</formula>
    </cfRule>
  </conditionalFormatting>
  <conditionalFormatting sqref="E14 E17 E20">
    <cfRule type="expression" priority="218" aboveAverage="0" equalAverage="0" bottom="0" percent="0" rank="0" text="" dxfId="555">
      <formula>E14&lt;&gt;0</formula>
    </cfRule>
  </conditionalFormatting>
  <conditionalFormatting sqref="H14 H17 H20">
    <cfRule type="expression" priority="219" aboveAverage="0" equalAverage="0" bottom="0" percent="0" rank="0" text="" dxfId="556">
      <formula>AND(H14&lt;&gt;0,ISNUMBER(H14))</formula>
    </cfRule>
  </conditionalFormatting>
  <conditionalFormatting sqref="H15 H18 H21">
    <cfRule type="expression" priority="220" aboveAverage="0" equalAverage="0" bottom="0" percent="0" rank="0" text="" dxfId="557">
      <formula>AND(H14&lt;&gt;0,ISNUMBER(H14))</formula>
    </cfRule>
  </conditionalFormatting>
  <conditionalFormatting sqref="E15 E18 E21 U15:BD15 U18:BD18 U21:BD21">
    <cfRule type="expression" priority="221" aboveAverage="0" equalAverage="0" bottom="0" percent="0" rank="0" text="" dxfId="558">
      <formula>AND(ISNUMBER($H14),$H14&lt;&gt;0)</formula>
    </cfRule>
  </conditionalFormatting>
  <conditionalFormatting sqref="I15:S15 I18:S18 I21:S21">
    <cfRule type="expression" priority="222" aboveAverage="0" equalAverage="0" bottom="0" percent="0" rank="0" text="" dxfId="559">
      <formula>$M14=2</formula>
    </cfRule>
    <cfRule type="expression" priority="223" aboveAverage="0" equalAverage="0" bottom="0" percent="0" rank="0" text="" dxfId="560">
      <formula>AND($M14=1,$S14&lt;&gt;"")</formula>
    </cfRule>
  </conditionalFormatting>
  <conditionalFormatting sqref="I14:S14 I17:S17 I20:S20">
    <cfRule type="expression" priority="224" aboveAverage="0" equalAverage="0" bottom="0" percent="0" rank="0" text="" dxfId="561">
      <formula>$M14=2</formula>
    </cfRule>
    <cfRule type="expression" priority="225" aboveAverage="0" equalAverage="0" bottom="0" percent="0" rank="0" text="" dxfId="562">
      <formula>AND($M14=1,$S14&lt;&gt;"")</formula>
    </cfRule>
  </conditionalFormatting>
  <conditionalFormatting sqref="U2:BD2">
    <cfRule type="expression" priority="226" aboveAverage="0" equalAverage="0" bottom="0" percent="0" rank="0" text="" dxfId="563">
      <formula>AND(_xlfn.single(ACOMPANHAMENTO)="BM",U2&gt;ROUND(U2,4))</formula>
    </cfRule>
  </conditionalFormatting>
  <conditionalFormatting sqref="U1:BD1">
    <cfRule type="expression" priority="227" aboveAverage="0" equalAverage="0" bottom="0" percent="0" rank="0" text="" dxfId="564">
      <formula>U1&lt;&gt;0</formula>
    </cfRule>
  </conditionalFormatting>
  <conditionalFormatting sqref="E193">
    <cfRule type="expression" priority="228" aboveAverage="0" equalAverage="0" bottom="0" percent="0" rank="0" text="" dxfId="565">
      <formula>D$188=1</formula>
    </cfRule>
  </conditionalFormatting>
  <conditionalFormatting sqref="E2">
    <cfRule type="expression" priority="229" aboveAverage="0" equalAverage="0" bottom="0" percent="0" rank="0" text="" dxfId="566">
      <formula>AND(_xlfn.single(ACOMPANHAMENTO)="BM",E2&gt;ROUND(E2,4))</formula>
    </cfRule>
  </conditionalFormatting>
  <conditionalFormatting sqref="E1">
    <cfRule type="expression" priority="230" aboveAverage="0" equalAverage="0" bottom="0" percent="0" rank="0" text="" dxfId="567">
      <formula>E1&lt;&gt;0</formula>
    </cfRule>
  </conditionalFormatting>
  <conditionalFormatting sqref="E193">
    <cfRule type="expression" priority="231" aboveAverage="0" equalAverage="0" bottom="0" percent="0" rank="0" text="" dxfId="568">
      <formula>D$188=1</formula>
    </cfRule>
  </conditionalFormatting>
  <conditionalFormatting sqref="H193:J193">
    <cfRule type="expression" priority="232" aboveAverage="0" equalAverage="0" bottom="0" percent="0" rank="0" text="" dxfId="569">
      <formula>$H$192=""</formula>
    </cfRule>
  </conditionalFormatting>
  <conditionalFormatting sqref="H1">
    <cfRule type="expression" priority="233" aboveAverage="0" equalAverage="0" bottom="0" percent="0" rank="0" text="" dxfId="570">
      <formula>AND(H1&lt;&gt;0,ISNUMBER(H1))</formula>
    </cfRule>
  </conditionalFormatting>
  <conditionalFormatting sqref="E193 U193:BD193">
    <cfRule type="expression" priority="234" aboveAverage="0" equalAverage="0" bottom="0" percent="0" rank="0" text="" dxfId="571">
      <formula>ROUND(E193,4)&gt;ROUND(E188,4)</formula>
    </cfRule>
  </conditionalFormatting>
  <conditionalFormatting sqref="H2">
    <cfRule type="expression" priority="235" aboveAverage="0" equalAverage="0" bottom="0" percent="0" rank="0" text="" dxfId="572">
      <formula>AND(H1&lt;&gt;0,ISNUMBER(H1))</formula>
    </cfRule>
  </conditionalFormatting>
  <conditionalFormatting sqref="Z7:AE8">
    <cfRule type="expression" priority="236" aboveAverage="0" equalAverage="0" bottom="0" percent="0" rank="0" text="" dxfId="573">
      <formula>QCI.ExisteManual</formula>
    </cfRule>
  </conditionalFormatting>
  <conditionalFormatting sqref="U12:U13">
    <cfRule type="expression" priority="237" aboveAverage="0" equalAverage="0" bottom="0" percent="0" rank="0" text="" dxfId="574">
      <formula>NOT(ISNUMBER(T$12))</formula>
    </cfRule>
  </conditionalFormatting>
  <conditionalFormatting sqref="E2 U2:BD2">
    <cfRule type="expression" priority="238" aboveAverage="0" equalAverage="0" bottom="0" percent="0" rank="0" text="" dxfId="575">
      <formula>AND(ISNUMBER($H1),$H1&lt;&gt;0)</formula>
    </cfRule>
  </conditionalFormatting>
  <conditionalFormatting sqref="I2:S2">
    <cfRule type="expression" priority="239" aboveAverage="0" equalAverage="0" bottom="0" percent="0" rank="0" text="" dxfId="576">
      <formula>$M1=2</formula>
    </cfRule>
    <cfRule type="expression" priority="240" aboveAverage="0" equalAverage="0" bottom="0" percent="0" rank="0" text="" dxfId="577">
      <formula>AND($M1=1,$S1&lt;&gt;"")</formula>
    </cfRule>
  </conditionalFormatting>
  <conditionalFormatting sqref="I1:S1">
    <cfRule type="expression" priority="241" aboveAverage="0" equalAverage="0" bottom="0" percent="0" rank="0" text="" dxfId="578">
      <formula>$M1=2</formula>
    </cfRule>
    <cfRule type="expression" priority="242" aboveAverage="0" equalAverage="0" bottom="0" percent="0" rank="0" text="" dxfId="579">
      <formula>AND($M1=1,$S1&lt;&gt;"")</formula>
    </cfRule>
  </conditionalFormatting>
  <conditionalFormatting sqref="E183 E185 E187:E188 E190 E192 U192:BD192 U183:BD183 U185:BD185 U187:BD188 U190:BD190">
    <cfRule type="expression" priority="243" aboveAverage="0" equalAverage="0" bottom="0" percent="0" rank="0" text="" dxfId="580">
      <formula>D$188=1</formula>
    </cfRule>
  </conditionalFormatting>
  <conditionalFormatting sqref="E184 E186 E189 E191 E193 U184:BD184 U186:BD186 U189:BD189 U191:BD191 U193:BD193">
    <cfRule type="expression" priority="244" aboveAverage="0" equalAverage="0" bottom="0" percent="0" rank="0" text="" dxfId="581">
      <formula>D$188=1</formula>
    </cfRule>
  </conditionalFormatting>
  <conditionalFormatting sqref="AF7:AF8 AR7:AR8 BD7:BD8">
    <cfRule type="expression" priority="245" aboveAverage="0" equalAverage="0" bottom="0" percent="0" rank="0" text="" dxfId="582">
      <formula>OR(TIPOORCAMENTO&lt;&gt;"Licitado",QCI.ExisteManual)</formula>
    </cfRule>
  </conditionalFormatting>
  <dataValidations count="6">
    <dataValidation allowBlank="true" errorStyle="stop" operator="greaterThan" showDropDown="false" showErrorMessage="true" showInputMessage="false" sqref="U12 AG12 AS12" type="whole">
      <formula1>0</formula1>
      <formula2>0</formula2>
    </dataValidation>
    <dataValidation allowBlank="true" error="Selecione o nível (2, 3 ou 4) do agrupador a exibir no cronograma." errorStyle="stop" errorTitle="Obrigatório:" operator="between" showDropDown="false" showErrorMessage="true" showInputMessage="false" sqref="H10" type="list">
      <formula1>"2,3,4"</formula1>
      <formula2>0</formula2>
    </dataValidation>
    <dataValidation allowBlank="true" errorStyle="stop" operator="between" prompt="Preencha na célula de baixo. Se o acompanhamento for PLE, preencha no botão PREENCHIMENTO POR EVENTOS, acima." showDropDown="false" showErrorMessage="true" showInputMessage="true" sqref="E1 U1:BD1 E14 U14:BD14 E17 U17:BD17 E20 U20:BD20 E23 U23:BD23 E26 U26:BD26 E29 U29:BD29 E32 U32:BD32 E35 U35:BD35 E38 U38:BD38 E41 U41:BD41 E44 U44:BD44 E47 U47:BD47 E50 U50:BD50 E53 U53:BD53 E56 U56:BD56 E59 U59:BD59 E62 U62:BD62 E65 U65:BD65 E68 U68:BD68 E71 U71:BD71 E74 U74:BD74 E77 U77:BD77 E80 U80:BD80 E83 U83:BD83 E86 U86:BD86 E89 U89:BD89 E92 U92:BD92 E95 U95:BD95 E98 U98:BD98 E101 U101:BD101 E104 U104:BD104 E107 U107:BD107 E110 U110:BD110 E113 U113:BD113 E116 U116:BD116 E119 U119:BD119 E122 U122:BD122 E125 U125:BD125 E128 U128:BD128 E131 U131:BD131 E134 U134:BD134 E137 U137:BD137 E140 U140:BD140 E143 U143:BD143 E146 U146:BD146 E149 U149:BD149 E152 U152:BD152 E155 U155:BD155 E158 U158:BD158 E161 U161:BD161 E164 U164:BD164 E167 U167:BD167 E170 U170:BD170 E173 U173:BD173 E176 U176:BD176 E179 U179:BD179" type="none">
      <formula1>0</formula1>
      <formula2>0</formula2>
    </dataValidation>
    <dataValidation allowBlank="true" error="Porcentagem Acumulada &gt; 100%." errorStyle="stop" operator="between" showDropDown="false" showErrorMessage="true" showInputMessage="false" sqref="E2 U2:BE2 E15 U15:BE15 E18 U18:BE18 E21 U21:BE21 E24 U24:BE24 E27 U27:BE27 E30 U30:BE30 E33 U33:BE33 E36 U36:BE36 E39 U39:BE39 E42 U42:BE42 E45 U45:BE45 E48 U48:BE48 E51 U51:BE51 E54 U54:BE54 E57 U57:BE57 E60 U60:BE60 E63 U63:BE63 E66 U66:BE66 E69 U69:BE69 E72 U72:BE72 E75 U75:BE75 E78 U78:BE78 E81 U81:BE81 E84 U84:BE84 E87 U87:BE87 E90 U90:BE90 E93 U93:BE93 E96 U96:BE96 E99 U99:BE99 E102 U102:BE102 E105 U105:BE105 E108 U108:BE108 E111 U111:BE111 E114 U114:BE114 E117 U117:BE117 E120 U120:BE120 E123 U123:BE123 E126 U126:BE126 E129 U129:BE129 E132 U132:BE132 E135 U135:BE135 E138 U138:BE138 E141 U141:BE141 E144 U144:BE144 E147 U147:BE147 E150 U150:BE150 E153 U153:BE153 E156 U156:BE156 E159 U159:BE159 E162 U162:BE162 E165 U165:BE165 E168 U168:BE168 E171 U171:BE171 E174 U174:BE174 E177 U177:BE177 E180 U180:BE180" type="decimal">
      <formula1>0</formula1>
      <formula2>CRONO.MaxParc</formula2>
    </dataValidation>
    <dataValidation allowBlank="true" error="Digite somente datas." errorStyle="stop" errorTitle="Erro" operator="greaterThan" showDropDown="false" showErrorMessage="true" showInputMessage="true" sqref="U13 AG13 AS13" type="date">
      <formula1>36526</formula1>
      <formula2>0</formula2>
    </dataValidation>
    <dataValidation allowBlank="true" error="Selecione uma opção da lista." errorStyle="stop" errorTitle="Atenção" operator="between" showDropDown="false" showErrorMessage="true" showInputMessage="false" sqref="H193:J193" type="list">
      <formula1>$A$13:$A$182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66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&amp;LPMv3.12&amp;R&amp;P /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7" ySplit="13" topLeftCell="L14" activePane="bottomRight" state="frozen"/>
      <selection pane="topLeft" activeCell="A1" activeCellId="0" sqref="A1"/>
      <selection pane="topRight" activeCell="L1" activeCellId="0" sqref="L1"/>
      <selection pane="bottomLeft" activeCell="A14" activeCellId="0" sqref="A14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true" outlineLevel="0" max="1" min="1" style="1" width="15.85"/>
    <col collapsed="false" customWidth="true" hidden="true" outlineLevel="0" max="2" min="2" style="1" width="10.42"/>
    <col collapsed="false" customWidth="true" hidden="false" outlineLevel="0" max="3" min="3" style="1" width="3.57"/>
    <col collapsed="false" customWidth="true" hidden="false" outlineLevel="0" max="4" min="4" style="1" width="6.57"/>
    <col collapsed="false" customWidth="true" hidden="false" outlineLevel="0" max="5" min="5" style="1" width="18.57"/>
    <col collapsed="false" customWidth="true" hidden="false" outlineLevel="0" max="6" min="6" style="1" width="28.57"/>
    <col collapsed="false" customWidth="true" hidden="false" outlineLevel="0" max="7" min="7" style="1" width="35.57"/>
    <col collapsed="false" customWidth="true" hidden="false" outlineLevel="0" max="8" min="8" style="1" width="15.57"/>
    <col collapsed="false" customWidth="true" hidden="false" outlineLevel="0" max="9" min="9" style="1" width="12.57"/>
    <col collapsed="false" customWidth="true" hidden="false" outlineLevel="0" max="10" min="10" style="1" width="7.57"/>
    <col collapsed="false" customWidth="true" hidden="false" outlineLevel="0" max="15" min="11" style="1" width="16.57"/>
    <col collapsed="false" customWidth="true" hidden="false" outlineLevel="0" max="17" min="16" style="1" width="5.57"/>
    <col collapsed="false" customWidth="true" hidden="false" outlineLevel="0" max="18" min="18" style="1" width="35.57"/>
    <col collapsed="false" customWidth="true" hidden="false" outlineLevel="0" max="19" min="19" style="1" width="1.57"/>
    <col collapsed="false" customWidth="true" hidden="false" outlineLevel="0" max="21" min="20" style="1" width="16.57"/>
    <col collapsed="false" customWidth="true" hidden="false" outlineLevel="0" max="22" min="22" style="1" width="13.57"/>
    <col collapsed="false" customWidth="true" hidden="false" outlineLevel="0" max="24" min="23" style="1" width="16.57"/>
    <col collapsed="false" customWidth="true" hidden="false" outlineLevel="0" max="25" min="25" style="1" width="1.57"/>
    <col collapsed="false" customWidth="true" hidden="true" outlineLevel="0" max="28" min="26" style="1" width="9.14"/>
    <col collapsed="false" customWidth="true" hidden="true" outlineLevel="0" max="29" min="29" style="1" width="3.57"/>
    <col collapsed="false" customWidth="true" hidden="true" outlineLevel="0" max="30" min="30" style="1" width="13.42"/>
    <col collapsed="false" customWidth="true" hidden="true" outlineLevel="0" max="31" min="31" style="1" width="9.14"/>
  </cols>
  <sheetData>
    <row r="1" customFormat="false" ht="30" hidden="false" customHeight="true" outlineLevel="0" collapsed="false">
      <c r="F1" s="512" t="s">
        <v>1016</v>
      </c>
      <c r="I1" s="51"/>
      <c r="J1" s="51"/>
      <c r="O1" s="379" t="s">
        <v>865</v>
      </c>
      <c r="P1" s="16"/>
    </row>
    <row r="2" customFormat="false" ht="12.75" hidden="false" customHeight="false" outlineLevel="0" collapsed="false">
      <c r="Z2" s="1" t="s">
        <v>1017</v>
      </c>
      <c r="AA2" s="170" t="s">
        <v>1018</v>
      </c>
      <c r="AB2" s="150"/>
    </row>
    <row r="3" customFormat="false" ht="12.75" hidden="false" customHeight="false" outlineLevel="0" collapsed="false">
      <c r="D3" s="103" t="s">
        <v>677</v>
      </c>
      <c r="E3" s="103"/>
      <c r="F3" s="162" t="s">
        <v>737</v>
      </c>
      <c r="G3" s="103" t="s">
        <v>679</v>
      </c>
      <c r="H3" s="103"/>
      <c r="I3" s="103"/>
      <c r="J3" s="513" t="s">
        <v>1019</v>
      </c>
      <c r="K3" s="513"/>
      <c r="L3" s="513"/>
      <c r="M3" s="514" t="s">
        <v>1020</v>
      </c>
      <c r="N3" s="514"/>
      <c r="O3" s="514"/>
      <c r="Z3" s="182" t="n">
        <f aca="false">MAX(Z7:AB7)</f>
        <v>0.110981526562671</v>
      </c>
      <c r="AA3" s="515" t="n">
        <f aca="false">IF(OR($O$15=ORÇAMENTO.SumINVMANUAL+QCI.SumINVMANUAL,$O$15=0),0,MIN(MAX(0,($Z$3*$O$15-ORÇAMENTO.SumCPMANUAL-QCI.SumCPMANUAL)/($O$15-ORÇAMENTO.SumINVMANUAL-QCI.SumINVMANUAL)),1))</f>
        <v>0.110981526562671</v>
      </c>
      <c r="AB3" s="165"/>
    </row>
    <row r="4" customFormat="false" ht="12.75" hidden="false" customHeight="false" outlineLevel="0" collapsed="false">
      <c r="D4" s="104" t="str">
        <f aca="false">Import.CR</f>
        <v>1100251-88</v>
      </c>
      <c r="E4" s="104"/>
      <c r="F4" s="104" t="str">
        <f aca="false">Import.TransfereGOV</f>
        <v>974240/2024</v>
      </c>
      <c r="G4" s="104" t="str">
        <f aca="false">Import.Proponente</f>
        <v>PREFEITURA MUNICIPAL DE SALINAS</v>
      </c>
      <c r="H4" s="104"/>
      <c r="I4" s="104"/>
      <c r="J4" s="516" t="str">
        <f aca="false">Import.Município</f>
        <v>SALINAS</v>
      </c>
      <c r="K4" s="516"/>
      <c r="L4" s="516"/>
      <c r="M4" s="514"/>
      <c r="N4" s="514"/>
      <c r="O4" s="514"/>
      <c r="R4" s="111"/>
      <c r="Z4" s="165"/>
      <c r="AA4" s="165"/>
      <c r="AB4" s="165"/>
    </row>
    <row r="5" customFormat="false" ht="4.5" hidden="false" customHeight="true" outlineLevel="0" collapsed="false">
      <c r="M5" s="36"/>
      <c r="O5" s="9"/>
    </row>
    <row r="6" customFormat="false" ht="12.75" hidden="false" customHeight="false" outlineLevel="0" collapsed="false">
      <c r="D6" s="103" t="s">
        <v>738</v>
      </c>
      <c r="E6" s="103"/>
      <c r="F6" s="103"/>
      <c r="G6" s="103"/>
      <c r="H6" s="103"/>
      <c r="I6" s="103"/>
      <c r="J6" s="103"/>
      <c r="K6" s="103"/>
      <c r="L6" s="517" t="s">
        <v>745</v>
      </c>
      <c r="M6" s="162" t="str">
        <f aca="false">IF(import.recurso="FGTS","FINANCIAMENTO","REPASSE")</f>
        <v>REPASSE</v>
      </c>
      <c r="N6" s="162" t="s">
        <v>1021</v>
      </c>
      <c r="O6" s="162" t="s">
        <v>1022</v>
      </c>
      <c r="Z6" s="38" t="s">
        <v>1023</v>
      </c>
      <c r="AA6" s="38" t="s">
        <v>1024</v>
      </c>
      <c r="AB6" s="38" t="s">
        <v>1025</v>
      </c>
    </row>
    <row r="7" customFormat="false" ht="12.75" hidden="false" customHeight="true" outlineLevel="0" collapsed="false">
      <c r="C7" s="105" t="s">
        <v>682</v>
      </c>
      <c r="D7" s="104" t="str">
        <f aca="false">Import.Apelido</f>
        <v>CONSTRUÇÃO DE UNIDADES HABITACIONAIS EM ÁREAS URBANAS</v>
      </c>
      <c r="E7" s="104"/>
      <c r="F7" s="104"/>
      <c r="G7" s="104"/>
      <c r="H7" s="104"/>
      <c r="I7" s="104"/>
      <c r="J7" s="104"/>
      <c r="K7" s="104"/>
      <c r="L7" s="518" t="str">
        <f aca="false">import.recurso</f>
        <v>OGU</v>
      </c>
      <c r="M7" s="519" t="n">
        <f aca="false">Import.Repasse</f>
        <v>3250000</v>
      </c>
      <c r="N7" s="519" t="n">
        <f aca="false">Import.Contrapartida</f>
        <v>405717.06</v>
      </c>
      <c r="O7" s="519" t="n">
        <f aca="false">M7+N7</f>
        <v>3655717.06</v>
      </c>
      <c r="Z7" s="182" t="n">
        <f aca="false">ROUND(Import.CPMinPerc,4)</f>
        <v>0</v>
      </c>
      <c r="AA7" s="182" t="n">
        <f aca="false">IF($O$15=0,0,Import.CPMinAbsoluta/$O$15)</f>
        <v>0</v>
      </c>
      <c r="AB7" s="182" t="n">
        <f aca="false">IF($O$15=0,0,($O$15-$AB$15-Import.Repasse)/($O$15))</f>
        <v>0.110981526562671</v>
      </c>
    </row>
    <row r="8" customFormat="false" ht="12.75" hidden="false" customHeight="false" outlineLevel="0" collapsed="false">
      <c r="C8" s="105"/>
      <c r="D8" s="165"/>
      <c r="E8" s="165"/>
      <c r="F8" s="520"/>
      <c r="G8" s="165"/>
      <c r="H8" s="165"/>
      <c r="I8" s="165"/>
      <c r="J8" s="165"/>
      <c r="K8" s="165"/>
      <c r="L8" s="165"/>
      <c r="M8" s="165"/>
      <c r="N8" s="165"/>
      <c r="O8" s="165"/>
    </row>
    <row r="9" customFormat="false" ht="12.75" hidden="false" customHeight="true" outlineLevel="0" collapsed="false">
      <c r="C9" s="105"/>
      <c r="G9" s="521" t="str">
        <f aca="true">IF($T$11&lt;&gt;"","PREENCHIMENTO INCOMPLETO DA TABELA AUXILIAR DO QCI",
  IF($G$11&lt;&gt;"","PREENCHIMENTO INCOMPLETO DA TABELA PRINCIPAL DO QCI",
  IF(AND($O$15&gt;0,$M$16&gt;Import.CPMaxPerc,Import.CPMaxPerc&gt;0),"ERRO: CONTRAPARTIDA MAIOR QUE A MÁXIMA",
  IF(OR(AND($O$15&gt;0,$M$16&lt;QCI!$Z$7),$M$15&lt;ROUND(Import.CPMinAbsoluta,2)),"ERRO: CONTRAPARTIDA MENOR QUE A MÍNIMA",
  IF(OR($L$10&lt;0,$M$10&lt;0),"ERRO: SALDO NEGATIVO",
  IF(COUNTIF($L$13:$L$15,"&lt;0")&gt;0,"ERRO: VALORES DE REPASSE NEGATIVOS",
  IF(OFFSET($A$15,-1,0)&lt;OFFSET(ORÇAMENTO!$E$205,-1,0),"ERRO: NÚMERO DE LINHAS DO QCI INSUFICIENTE. CLIQUE NO BOTÃO ADICIONAR LINHAS",
  "")))))))</f>
        <v/>
      </c>
      <c r="H9" s="521"/>
      <c r="I9" s="522"/>
      <c r="J9" s="523"/>
      <c r="K9" s="524" t="s">
        <v>1026</v>
      </c>
      <c r="L9" s="525" t="str">
        <f aca="false">$L$13</f>
        <v>Repasse (R$)</v>
      </c>
      <c r="M9" s="525" t="s">
        <v>771</v>
      </c>
      <c r="AD9" s="526"/>
      <c r="AE9" s="526"/>
    </row>
    <row r="10" customFormat="false" ht="12.75" hidden="false" customHeight="true" outlineLevel="0" collapsed="false">
      <c r="A10" s="527" t="s">
        <v>1027</v>
      </c>
      <c r="C10" s="105"/>
      <c r="G10" s="521"/>
      <c r="H10" s="521"/>
      <c r="I10" s="522"/>
      <c r="J10" s="523"/>
      <c r="K10" s="524"/>
      <c r="L10" s="528" t="n">
        <f aca="false">Import.Repasse-L15</f>
        <v>0</v>
      </c>
      <c r="M10" s="529" t="n">
        <f aca="false">Import.Contrapartida-M15</f>
        <v>0</v>
      </c>
      <c r="Z10" s="187" t="s">
        <v>751</v>
      </c>
      <c r="AA10" s="187"/>
      <c r="AB10" s="187"/>
      <c r="AD10" s="526" t="s">
        <v>1028</v>
      </c>
      <c r="AE10" s="526"/>
    </row>
    <row r="11" customFormat="false" ht="19.5" hidden="false" customHeight="true" outlineLevel="0" collapsed="false">
      <c r="A11" s="527"/>
      <c r="C11" s="105"/>
      <c r="G11" s="530" t="str">
        <f aca="false">IF(COUNTIF($P$13:$P$15,"ITEM")&gt;0,"Falta definir o ITEM de Investimento da Meta "&amp;INDEX($D$13:$D$15,MATCH("ITEM",$P$13:$P$15,0)),
  IF(COUNTIF($P$13:$P$15,"SUBITEM")&gt;0,"Falta definir o SUBITEM de Investimento da Meta "&amp;INDEX($D$13:$D$15,MATCH("SUBITEM",$P$13:$P$15,0)),
  IF(COUNTIF($P$13:$P$15,"SITUAÇÃO")&gt;0,"Falta definir a SITUAÇÃO do Investimento da Meta "&amp;INDEX($D$13:$D$15,MATCH("SITUAÇÃO",$P$13:$P$15,0)),
  IF(COUNTIF($P$13:$P$15,"QUANT.")&gt;0,"Falta preencher a QUANTIDADE da Meta "&amp;INDEX($D$13:$D$15,MATCH("QUANT.",$P$13:$P$15,0)),
  ""))))</f>
        <v/>
      </c>
      <c r="T11" s="53" t="str">
        <f aca="false">IF(COUNTIF($S$13:$S$15,"► LOTE")&gt;0,"Falta preencher o LOTE/CTEF da Meta "&amp;INDEX($D$13:$D$15,MATCH("► LOTE",$S$13:$S$15,0)),
  IF(COUNTIF($S$13:$S$15,"► INVEST")&gt;0,"Falta preencher o valor do INVESTIMENTO da Meta "&amp;INDEX($D$13:$D$15,MATCH("► INVEST",$S$13:$S$15,0)),
  IF(COUNTIF($S$13:$S$15,"► DIV")&gt;0,"Falta definir a DIVISÃO do Investimento da Meta "&amp;INDEX($D$13:$D$15,MATCH("► DIV",$S$13:$S$15,0)),
  IF(COUNTIF($S$13:$S$15,"► CP")&gt;0,"Falta preencher o valor da CONTRAPARTIDA da Meta "&amp;INDEX($D$13:$D$15,MATCH("► CP",$S$13:$S$15,0)),
  IF(COUNTIF($S$13:$S$15,"► OU")&gt;0,"Falta preencher o valor de OUTROS recursos da Meta "&amp;INDEX($D$13:$D$15,MATCH("► OU",$S$13:$S$15,0)),
  "")))))</f>
        <v/>
      </c>
      <c r="Z11" s="192" t="s">
        <v>1029</v>
      </c>
      <c r="AA11" s="192" t="s">
        <v>771</v>
      </c>
      <c r="AB11" s="193" t="s">
        <v>772</v>
      </c>
    </row>
    <row r="12" customFormat="false" ht="30" hidden="true" customHeight="true" outlineLevel="0" collapsed="false">
      <c r="A12" s="531" t="n">
        <f aca="true">IF(NOT(ISBLANK(QCI.DescManual)),OFFSET(A12,-1,0),D12)</f>
        <v>-1</v>
      </c>
      <c r="B12" s="1" t="str">
        <f aca="false">IF(NOT(ISBLANK(QCI.DescManual)),IF(QCI.Divisao="Calculado","Manual","SemiAuto"),IF(ISERROR(MATCH($A12,ORÇAMENTO!$E$15:$E$205,0)),"Branco","Automático"))</f>
        <v>Branco</v>
      </c>
      <c r="C12" s="1" t="str">
        <f aca="false">IF(O12&gt;0,"F","")</f>
        <v/>
      </c>
      <c r="D12" s="532" t="n">
        <f aca="false">ROW()-ROW($D$13)</f>
        <v>-1</v>
      </c>
      <c r="E12" s="533"/>
      <c r="F12" s="533"/>
      <c r="G12" s="341" t="str">
        <f aca="false">IF(OR($B12="Manual",$B12="SemiAuto"),QCI.DescManual,IF($B12="Automático",INDEX(ORÇAMENTO!$R$15:$R$205,MATCH($A12,ORÇAMENTO!$E$15:$E$205,0)),""))</f>
        <v/>
      </c>
      <c r="H12" s="533"/>
      <c r="I12" s="534"/>
      <c r="J12" s="535" t="str">
        <f aca="true">IF(AND(ISBLANK(E12),ISBLANK(F12)),"",VLOOKUP($F12,OFFSET(DADOS!$A$2,1,MATCH(QCI!$E12,DADOS!$2:$2,0)-1,100,50),2,FALSE()))</f>
        <v/>
      </c>
      <c r="K12" s="536" t="str">
        <f aca="false">IF(OR($B12="Manual",$B12="SemiAuto"),QCI.LoteManual,IF($B12="Automático",IF(TIPOORCAMENTO="Licitado",Import.CTEF,"LOTE 1"),""))</f>
        <v/>
      </c>
      <c r="L12" s="537" t="n">
        <f aca="false">ROUND($O12,2)-ROUND($M12,2)-ROUND($N12,2)</f>
        <v>0</v>
      </c>
      <c r="M12" s="538" t="n">
        <f aca="false">ROUND($AA12,2)-ROUND($AE12,2)</f>
        <v>0</v>
      </c>
      <c r="N12" s="539" t="n">
        <f aca="false">ROUND($AB12,2)</f>
        <v>0</v>
      </c>
      <c r="O12" s="540" t="n">
        <f aca="false">IF($B12="Branco",0,IF(OR($B12="Manual",$B12="SemiAuto"),QCI.InvManual,INDEX(ORÇAMENTO!X$15:X$205,MATCH($A12,ORÇAMENTO!$E$15:$E$205,0))))</f>
        <v>0</v>
      </c>
      <c r="P12" s="541" t="str">
        <f aca="false">IF(O12=0,"",
  IF(E12="","ITEM",
  IF(F12="","SUBITEM",
  IF(H12="","SITUAÇÃO",
  IF(I12=0,"QUANT.","")))))</f>
        <v/>
      </c>
      <c r="R12" s="542"/>
      <c r="S12" s="543" t="str">
        <f aca="false">IF(R12="","",
  IF(T12=0,"► LOTE",
  IF(U12=0,"► INVEST",
  IF(V12=0,"► DIV",
  IF(AND(V12="Calculado",W12=""),"► CP",
  IF(AND(V12="Calculado",X12=""),"► OU",""))))))</f>
        <v/>
      </c>
      <c r="T12" s="544"/>
      <c r="U12" s="545"/>
      <c r="V12" s="546" t="s">
        <v>1030</v>
      </c>
      <c r="W12" s="547"/>
      <c r="X12" s="548"/>
      <c r="Z12" s="38" t="n">
        <f aca="false">$O12-$AA12-$AB12</f>
        <v>0</v>
      </c>
      <c r="AA12" s="38" t="n">
        <f aca="false">IF($B12="Branco",0,IF($B12="Manual",QCI.CPManual,IF($B12="SemiAuto",ROUND(QCI!$AA$3*QCI.InvManual,2),INDEX(ORÇAMENTO!$AA$15:$AA$205,MATCH($A12,ORÇAMENTO!$E$15:$E$205,0)))))</f>
        <v>0</v>
      </c>
      <c r="AB12" s="38" t="n">
        <f aca="false">IF($B12="Branco",0,IF($B12="Manual",QCI.OutrosManual,IF($B12="SemiAuto",0,INDEX(ORÇAMENTO!$AB$15:$AB$205,MATCH($A12,ORÇAMENTO!$E$15:$E$205,0)))))</f>
        <v>0</v>
      </c>
      <c r="AD12" s="549" t="n">
        <f aca="false">AND($AA$3&gt;0,$AA$3&lt;1,$O12&gt;0,OR($B12="Automático",$B12="SemiAuto"),OR(QCI!$Z$3=QCI!$Z$7,QCI!$Z$3=QCI!$AA$7,QCI!$Z$3=QCI!$AB$7))</f>
        <v>0</v>
      </c>
      <c r="AE12" s="549" t="n">
        <f aca="true">IF(AND($AD12,$O12&gt;0,COUNTIF(OFFSET($AD12,1,0):$AD$15,TRUE())=0),CHOOSE(1+LOG(1+2*(QCI!$Z$3=QCI!$Z$7)+4*(QCI!$Z$3=QCI!$AA$7)+8*(QCI!$Z$3=QCI!$AB$7),2),0,$AA$15-ROUND(Import.CPMinPerc*$O$15,2),$AA$15-Import.CPMinAbsoluta,Import.Repasse-$Z$15),0)</f>
        <v>0</v>
      </c>
    </row>
    <row r="13" customFormat="false" ht="25.5" hidden="false" customHeight="true" outlineLevel="0" collapsed="false">
      <c r="A13" s="16" t="n">
        <v>0</v>
      </c>
      <c r="B13" s="550" t="s">
        <v>1031</v>
      </c>
      <c r="C13" s="112" t="s">
        <v>687</v>
      </c>
      <c r="D13" s="189" t="s">
        <v>731</v>
      </c>
      <c r="E13" s="189" t="s">
        <v>1032</v>
      </c>
      <c r="F13" s="189" t="s">
        <v>1033</v>
      </c>
      <c r="G13" s="189" t="s">
        <v>1034</v>
      </c>
      <c r="H13" s="189" t="s">
        <v>695</v>
      </c>
      <c r="I13" s="189" t="s">
        <v>742</v>
      </c>
      <c r="J13" s="189" t="s">
        <v>1035</v>
      </c>
      <c r="K13" s="189" t="s">
        <v>1036</v>
      </c>
      <c r="L13" s="551" t="str">
        <f aca="false">IF(import.recurso="FGTS","Financiamento (R$)","Repasse (R$)")</f>
        <v>Repasse (R$)</v>
      </c>
      <c r="M13" s="552" t="s">
        <v>1037</v>
      </c>
      <c r="N13" s="553" t="s">
        <v>772</v>
      </c>
      <c r="O13" s="189" t="s">
        <v>1038</v>
      </c>
      <c r="R13" s="197" t="s">
        <v>1034</v>
      </c>
      <c r="T13" s="197" t="s">
        <v>1036</v>
      </c>
      <c r="U13" s="195" t="s">
        <v>1038</v>
      </c>
      <c r="V13" s="554" t="s">
        <v>1039</v>
      </c>
      <c r="W13" s="337" t="s">
        <v>1037</v>
      </c>
      <c r="X13" s="198" t="s">
        <v>772</v>
      </c>
    </row>
    <row r="14" customFormat="false" ht="30" hidden="false" customHeight="true" outlineLevel="0" collapsed="false">
      <c r="A14" s="531" t="n">
        <f aca="true">IF(NOT(ISBLANK(QCI.DescManual)),OFFSET(A14,-1,0),D14)</f>
        <v>1</v>
      </c>
      <c r="B14" s="1" t="str">
        <f aca="false">IF(NOT(ISBLANK(QCI.DescManual)),IF(QCI.Divisao="Calculado","Manual","SemiAuto"),IF(ISERROR(MATCH($A14,ORÇAMENTO!$E$15:$E$205,0)),"Branco","Automático"))</f>
        <v>Automático</v>
      </c>
      <c r="C14" s="1" t="str">
        <f aca="false">IF(O14&gt;0,"F","")</f>
        <v>F</v>
      </c>
      <c r="D14" s="532" t="n">
        <f aca="false">ROW()-ROW($D$13)</f>
        <v>1</v>
      </c>
      <c r="E14" s="533" t="s">
        <v>114</v>
      </c>
      <c r="F14" s="533" t="s">
        <v>154</v>
      </c>
      <c r="G14" s="341" t="str">
        <f aca="false">IF(OR($B14="Manual",$B14="SemiAuto"),QCI.DescManual,IF($B14="Automático",INDEX(ORÇAMENTO!$R$15:$R$205,MATCH($A14,ORÇAMENTO!$E$15:$E$205,0)),""))</f>
        <v>CONSTRUÇÃO DE CASAS POPULARES</v>
      </c>
      <c r="H14" s="533" t="s">
        <v>1040</v>
      </c>
      <c r="I14" s="534" t="n">
        <v>25</v>
      </c>
      <c r="J14" s="535" t="str">
        <f aca="true">IF(AND(ISBLANK(E14),ISBLANK(F14)),"",VLOOKUP($F14,OFFSET(DADOS!$A$2,1,MATCH(QCI!$E14,DADOS!$2:$2,0)-1,100,50),2,FALSE()))</f>
        <v>un</v>
      </c>
      <c r="K14" s="536" t="str">
        <f aca="false">IF(OR($B14="Manual",$B14="SemiAuto"),QCI.LoteManual,IF($B14="Automático",IF(TIPOORCAMENTO="Licitado",Import.CTEF,"LOTE 1"),""))</f>
        <v>LOTE 1</v>
      </c>
      <c r="L14" s="537" t="n">
        <f aca="false">ROUND($O14,2)-ROUND($M14,2)-ROUND($N14,2)</f>
        <v>3250000</v>
      </c>
      <c r="M14" s="538" t="n">
        <f aca="false">ROUND($AA14,2)-ROUND($AE14,2)</f>
        <v>405717.06</v>
      </c>
      <c r="N14" s="539" t="n">
        <f aca="false">ROUND($AB14,2)</f>
        <v>0</v>
      </c>
      <c r="O14" s="540" t="n">
        <f aca="false">IF($B14="Branco",0,IF(OR($B14="Manual",$B14="SemiAuto"),QCI.InvManual,INDEX(ORÇAMENTO!X$15:X$205,MATCH($A14,ORÇAMENTO!$E$15:$E$205,0))))</f>
        <v>3655717.06</v>
      </c>
      <c r="P14" s="541" t="str">
        <f aca="false">IF(O14=0,"",
  IF(E14="","ITEM",
  IF(F14="","SUBITEM",
  IF(H14="","SITUAÇÃO",
  IF(I14=0,"QUANT.","")))))</f>
        <v/>
      </c>
      <c r="R14" s="542"/>
      <c r="S14" s="543" t="str">
        <f aca="false">IF(R14="","",
  IF(T14=0,"► LOTE",
  IF(U14=0,"► INVEST",
  IF(V14=0,"► DIV",
  IF(AND(V14="Calculado",W14=""),"► CP",
  IF(AND(V14="Calculado",X14=""),"► OU",""))))))</f>
        <v/>
      </c>
      <c r="T14" s="544"/>
      <c r="U14" s="545"/>
      <c r="V14" s="546" t="s">
        <v>1030</v>
      </c>
      <c r="W14" s="547"/>
      <c r="X14" s="548"/>
      <c r="Z14" s="38" t="n">
        <f aca="false">$O14-$AA14-$AB14</f>
        <v>3250000</v>
      </c>
      <c r="AA14" s="38" t="n">
        <f aca="false">IF($B14="Branco",0,IF($B14="Manual",QCI.CPManual,IF($B14="SemiAuto",ROUND(QCI!$AA$3*QCI.InvManual,2),INDEX(ORÇAMENTO!$AA$15:$AA$205,MATCH($A14,ORÇAMENTO!$E$15:$E$205,0)))))</f>
        <v>405717.06</v>
      </c>
      <c r="AB14" s="38" t="n">
        <f aca="false">IF($B14="Branco",0,IF($B14="Manual",QCI.OutrosManual,IF($B14="SemiAuto",0,INDEX(ORÇAMENTO!$AB$15:$AB$205,MATCH($A14,ORÇAMENTO!$E$15:$E$205,0)))))</f>
        <v>0</v>
      </c>
      <c r="AD14" s="549" t="n">
        <f aca="false">AND($AA$3&gt;0,$AA$3&lt;1,$O14&gt;0,OR($B14="Automático",$B14="SemiAuto"),OR(QCI!$Z$3=QCI!$Z$7,QCI!$Z$3=QCI!$AA$7,QCI!$Z$3=QCI!$AB$7))</f>
        <v>1</v>
      </c>
      <c r="AE14" s="549" t="n">
        <f aca="true">IF(AND($AD14,$O14&gt;0,COUNTIF(OFFSET($AD14,1,0):$AD$15,TRUE())=0),CHOOSE(1+LOG(1+2*(QCI!$Z$3=QCI!$Z$7)+4*(QCI!$Z$3=QCI!$AA$7)+8*(QCI!$Z$3=QCI!$AB$7),2),0,$AA$15-ROUND(Import.CPMinPerc*$O$15,2),$AA$15-Import.CPMinAbsoluta,Import.Repasse-$Z$15),0)</f>
        <v>0</v>
      </c>
    </row>
    <row r="15" customFormat="false" ht="14.15" hidden="false" customHeight="false" outlineLevel="0" collapsed="false">
      <c r="B15" s="1" t="s">
        <v>1041</v>
      </c>
      <c r="C15" s="1" t="s">
        <v>563</v>
      </c>
      <c r="D15" s="555"/>
      <c r="E15" s="556"/>
      <c r="F15" s="556"/>
      <c r="G15" s="556"/>
      <c r="H15" s="556"/>
      <c r="I15" s="556"/>
      <c r="J15" s="556"/>
      <c r="K15" s="557" t="s">
        <v>1042</v>
      </c>
      <c r="L15" s="558" t="n">
        <f aca="true">SUM(L13:OFFSET(L15,-1,0))</f>
        <v>3250000</v>
      </c>
      <c r="M15" s="559" t="n">
        <f aca="true">SUM(M13:OFFSET(M15,-1,0))</f>
        <v>405717.06</v>
      </c>
      <c r="N15" s="560" t="n">
        <f aca="true">SUM(N13:OFFSET(N15,-1,0))</f>
        <v>0</v>
      </c>
      <c r="O15" s="561" t="n">
        <f aca="true">SUM(O13:OFFSET(O15,-1,0))</f>
        <v>3655717.06</v>
      </c>
      <c r="R15" s="562"/>
      <c r="T15" s="563"/>
      <c r="U15" s="564"/>
      <c r="V15" s="565"/>
      <c r="W15" s="566"/>
      <c r="X15" s="567"/>
      <c r="Z15" s="170" t="n">
        <f aca="true">SUMPRODUCT(ROUND(Z13:OFFSET(Z15,-1,0),2))</f>
        <v>3250000</v>
      </c>
      <c r="AA15" s="170" t="n">
        <f aca="true">SUMPRODUCT(ROUND(AA13:OFFSET(AA15,-1,0),2))</f>
        <v>405717.06</v>
      </c>
      <c r="AB15" s="170" t="n">
        <f aca="true">SUM(AB13:OFFSET(AB15,-1,0))</f>
        <v>0</v>
      </c>
    </row>
    <row r="16" customFormat="false" ht="12.75" hidden="false" customHeight="false" outlineLevel="0" collapsed="false">
      <c r="B16" s="1" t="s">
        <v>1043</v>
      </c>
      <c r="C16" s="1" t="s">
        <v>563</v>
      </c>
      <c r="D16" s="568"/>
      <c r="E16" s="569"/>
      <c r="F16" s="569"/>
      <c r="G16" s="569"/>
      <c r="H16" s="569"/>
      <c r="I16" s="569"/>
      <c r="J16" s="569"/>
      <c r="K16" s="557"/>
      <c r="L16" s="570" t="n">
        <f aca="false">IF(ISERROR(L15/$O15),0,ROUND(L15/$O15,4))</f>
        <v>0.889</v>
      </c>
      <c r="M16" s="571" t="n">
        <f aca="false">IF(ISERROR(M15/$O15),0,ROUND(M15/$O15,4))</f>
        <v>0.111</v>
      </c>
      <c r="N16" s="572" t="n">
        <f aca="false">IF(ISERROR(N15/$O15),0,ROUND(N15/$O15,4))</f>
        <v>0</v>
      </c>
      <c r="O16" s="573" t="n">
        <f aca="false">IF(ISERROR(O15/$O15),0,ROUND(O15/$O15,4))</f>
        <v>1</v>
      </c>
      <c r="R16" s="574"/>
      <c r="T16" s="575"/>
      <c r="U16" s="576"/>
      <c r="V16" s="577"/>
      <c r="W16" s="578"/>
      <c r="X16" s="579"/>
    </row>
    <row r="18" customFormat="false" ht="13.8" hidden="false" customHeight="false" outlineLevel="0" collapsed="false">
      <c r="D18" s="247" t="s">
        <v>718</v>
      </c>
    </row>
    <row r="19" customFormat="false" ht="12.75" hidden="false" customHeight="true" outlineLevel="0" collapsed="false">
      <c r="D19" s="248"/>
      <c r="E19" s="248"/>
      <c r="F19" s="248"/>
      <c r="G19" s="248"/>
      <c r="H19" s="248"/>
      <c r="I19" s="248"/>
      <c r="J19" s="248"/>
      <c r="K19" s="248"/>
      <c r="L19" s="248"/>
      <c r="M19" s="248"/>
      <c r="N19" s="248"/>
      <c r="O19" s="248"/>
    </row>
    <row r="20" customFormat="false" ht="12.75" hidden="false" customHeight="true" outlineLevel="0" collapsed="false">
      <c r="D20" s="248"/>
      <c r="E20" s="248"/>
      <c r="F20" s="248"/>
      <c r="G20" s="248"/>
      <c r="H20" s="248"/>
      <c r="I20" s="248"/>
      <c r="J20" s="248"/>
      <c r="K20" s="248"/>
      <c r="L20" s="248"/>
      <c r="M20" s="248"/>
      <c r="N20" s="248"/>
      <c r="O20" s="248"/>
    </row>
    <row r="21" customFormat="false" ht="12.75" hidden="false" customHeight="true" outlineLevel="0" collapsed="false">
      <c r="D21" s="248"/>
      <c r="E21" s="248"/>
      <c r="F21" s="248"/>
      <c r="G21" s="248"/>
      <c r="H21" s="248"/>
      <c r="I21" s="248"/>
      <c r="J21" s="248"/>
      <c r="K21" s="248"/>
      <c r="L21" s="248"/>
      <c r="M21" s="248"/>
      <c r="N21" s="248"/>
      <c r="O21" s="248"/>
    </row>
    <row r="24" customFormat="false" ht="13.8" hidden="false" customHeight="false" outlineLevel="0" collapsed="false">
      <c r="D24" s="254" t="str">
        <f aca="false">Import.Município</f>
        <v>SALINAS</v>
      </c>
      <c r="E24" s="254"/>
      <c r="F24" s="254"/>
      <c r="I24" s="255"/>
      <c r="J24" s="255"/>
      <c r="K24" s="48"/>
      <c r="L24" s="48"/>
    </row>
    <row r="25" customFormat="false" ht="12.75" hidden="false" customHeight="false" outlineLevel="0" collapsed="false">
      <c r="D25" s="58" t="s">
        <v>722</v>
      </c>
      <c r="I25" s="256" t="s">
        <v>1044</v>
      </c>
      <c r="J25" s="256"/>
    </row>
    <row r="26" customFormat="false" ht="12.75" hidden="false" customHeight="false" outlineLevel="0" collapsed="false">
      <c r="I26" s="150" t="str">
        <f aca="false">"Nome:" &amp;  " " &amp; DADOS!C28</f>
        <v>Nome: JOAQIMNERES XAVIER DIAS</v>
      </c>
    </row>
    <row r="27" customFormat="false" ht="12.75" hidden="false" customHeight="false" outlineLevel="0" collapsed="false">
      <c r="D27" s="257" t="n">
        <f aca="false">DADOS!$C$25</f>
        <v>45845</v>
      </c>
      <c r="E27" s="257"/>
      <c r="F27" s="257"/>
      <c r="I27" s="150" t="str">
        <f aca="false">"Cargo:"  &amp; " " &amp; DADOS!C29</f>
        <v>Cargo: PREFEITO MUNICIPAL</v>
      </c>
    </row>
    <row r="28" customFormat="false" ht="12.75" hidden="false" customHeight="false" outlineLevel="0" collapsed="false">
      <c r="D28" s="258" t="s">
        <v>723</v>
      </c>
      <c r="E28" s="33"/>
      <c r="F28" s="33"/>
      <c r="K28" s="150"/>
      <c r="L28" s="151"/>
    </row>
  </sheetData>
  <sheetProtection algorithmName="SHA-512" hashValue="FLBRZxAJFGXaCU2f3XT+xUvYVtFiEY1dUfb+9KlwWZSa4yL9kNSsNEutpyRL08pLYC1ATsmDduk6pXQRm42NOw==" saltValue="LHlcQla0uTZFarNSwFDKtw==" spinCount="100000" sheet="true" objects="true" scenarios="true" autoFilter="false"/>
  <autoFilter ref="C13:C16"/>
  <mergeCells count="20">
    <mergeCell ref="D3:E3"/>
    <mergeCell ref="G3:I3"/>
    <mergeCell ref="J3:L3"/>
    <mergeCell ref="M3:O4"/>
    <mergeCell ref="D4:E4"/>
    <mergeCell ref="G4:I4"/>
    <mergeCell ref="J4:L4"/>
    <mergeCell ref="D6:K6"/>
    <mergeCell ref="C7:C11"/>
    <mergeCell ref="D7:K7"/>
    <mergeCell ref="G9:H10"/>
    <mergeCell ref="K9:K10"/>
    <mergeCell ref="AD9:AE9"/>
    <mergeCell ref="A10:A11"/>
    <mergeCell ref="Z10:AB10"/>
    <mergeCell ref="AD10:AE10"/>
    <mergeCell ref="K15:K16"/>
    <mergeCell ref="D19:O21"/>
    <mergeCell ref="D24:F24"/>
    <mergeCell ref="D27:F27"/>
  </mergeCells>
  <conditionalFormatting sqref="G14">
    <cfRule type="cellIs" priority="2" operator="equal" aboveAverage="0" equalAverage="0" bottom="0" percent="0" rank="0" text="" dxfId="583">
      <formula>"(digite a descrição aqui)"</formula>
    </cfRule>
  </conditionalFormatting>
  <conditionalFormatting sqref="T12:V12 T14:V14">
    <cfRule type="expression" priority="3" aboveAverage="0" equalAverage="0" bottom="0" percent="0" rank="0" text="" dxfId="584">
      <formula>OR($B12="Automático",$B12="Branco")</formula>
    </cfRule>
  </conditionalFormatting>
  <conditionalFormatting sqref="L12 L14">
    <cfRule type="expression" priority="4" aboveAverage="0" equalAverage="0" bottom="0" percent="0" rank="0" text="" dxfId="585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 W14:X14">
    <cfRule type="expression" priority="5" aboveAverage="0" equalAverage="0" bottom="0" percent="0" rank="0" text="" dxfId="586">
      <formula>OR($B12="Automático",$B12="Branco",$V12&lt;&gt;"Calculado")</formula>
    </cfRule>
  </conditionalFormatting>
  <conditionalFormatting sqref="M16">
    <cfRule type="expression" priority="6" aboveAverage="0" equalAverage="0" bottom="0" percent="0" rank="0" text="" dxfId="587">
      <formula>AND($G$9&lt;&gt;"",OR($M$16&lt;Import.CPMinPerc,$M$16&gt;Import.CPMaxPerc))</formula>
    </cfRule>
  </conditionalFormatting>
  <conditionalFormatting sqref="M15">
    <cfRule type="expression" priority="7" aboveAverage="0" equalAverage="0" bottom="0" percent="0" rank="0" text="" dxfId="588">
      <formula>AND($G$9&lt;&gt;"",$M$15&lt;Import.CPMinAbsoluta)</formula>
    </cfRule>
  </conditionalFormatting>
  <conditionalFormatting sqref="L10:M10">
    <cfRule type="cellIs" priority="8" operator="lessThan" aboveAverage="0" equalAverage="0" bottom="0" percent="0" rank="0" text="" dxfId="589">
      <formula>0</formula>
    </cfRule>
  </conditionalFormatting>
  <conditionalFormatting sqref="G12">
    <cfRule type="cellIs" priority="9" operator="equal" aboveAverage="0" equalAverage="0" bottom="0" percent="0" rank="0" text="" dxfId="590">
      <formula>"(digite a descrição aqui)"</formula>
    </cfRule>
  </conditionalFormatting>
  <dataValidations count="9">
    <dataValidation allowBlank="true" error="Digite apenas números decimais maiores do que 0." errorStyle="stop" operator="greaterThan" showDropDown="false" showErrorMessage="true" showInputMessage="false" sqref="U12 U14" type="decimal">
      <formula1>0</formula1>
      <formula2>0</formula2>
    </dataValidation>
    <dataValidation allowBlank="true" errorStyle="stop" operator="between" showDropDown="false" showErrorMessage="false" showInputMessage="false" sqref="E12 E14" type="list">
      <formula1>QCI.ItemInvestimento</formula1>
      <formula2>0</formula2>
    </dataValidation>
    <dataValidation allowBlank="true" errorStyle="stop" operator="between" showDropDown="false" showErrorMessage="false" showInputMessage="false" sqref="F12 F14" type="list">
      <formula1>QCI.SubItemInvestimento</formula1>
      <formula2>0</formula2>
    </dataValidation>
    <dataValidation allowBlank="true" errorStyle="stop" operator="between" showDropDown="false" showErrorMessage="false" showInputMessage="false" sqref="H12 H14" type="list">
      <formula1>"Sem Projeto,Em Análise,Análise Concluída / A Licitar,Licitado / Em Execução,Concluído"</formula1>
      <formula2>0</formula2>
    </dataValidation>
    <dataValidation allowBlank="true" error="Digite valores maiores do que 0." errorStyle="stop" errorTitle="Erro" operator="greaterThan" showDropDown="false" showErrorMessage="true" showInputMessage="false" sqref="I12 I14" type="decimal">
      <formula1>0</formula1>
      <formula2>0</formula2>
    </dataValidation>
    <dataValidation allowBlank="true" errorStyle="stop" operator="between" showDropDown="false" showErrorMessage="true" showInputMessage="false" sqref="V12 V14" type="list">
      <formula1>"Proporcional,Calculado"</formula1>
      <formula2>0</formula2>
    </dataValidation>
    <dataValidation allowBlank="true" error="Digite somente valor de 0,00 ao valor do Investimento. A Somatória dos valores não deve ultrapassar o valor de Investimento." errorStyle="stop" errorTitle="Erro de valor" operator="between" prompt="Digite o valor de Contrapartida Financeira para esta Meta." promptTitle="Contrapartida Financeira:" showDropDown="false" showErrorMessage="true" showInputMessage="true" sqref="W12 W14" type="decimal">
      <formula1>0</formula1>
      <formula2>QCI.MaxCPManual</formula2>
    </dataValidation>
    <dataValidation allowBlank="true" error="Digite somente valor de 0,00 ao valor do Investimento. A Somatória dos valores não deve ultrapassar o valor de Investimento." errorStyle="stop" errorTitle="Erro de valor" operator="between" prompt="Digite o valor de Contrapartida Física / Outros para esta Meta." promptTitle="Contrapartida Física / Outros:" showDropDown="false" showErrorMessage="true" showInputMessage="true" sqref="X12 X14" type="decimal">
      <formula1>0</formula1>
      <formula2>QCI.MaxOUManual</formula2>
    </dataValidation>
    <dataValidation allowBlank="true" errorStyle="stop" operator="between" prompt="Preencha somente se a meta não fizer parte do Orçamento desta Plan. Mult." showDropDown="false" showErrorMessage="true" showInputMessage="true" sqref="R12 R14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&amp;LPMv3.12&amp;R&amp;P / &amp;N</oddFooter>
  </headerFooter>
  <colBreaks count="1" manualBreakCount="1">
    <brk id="15" man="true" max="65535" min="0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F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13" topLeftCell="E14" activePane="bottomRight" state="frozen"/>
      <selection pane="topLeft" activeCell="A1" activeCellId="0" sqref="A1"/>
      <selection pane="topRight" activeCell="E1" activeCellId="0" sqref="E1"/>
      <selection pane="bottomLeft" activeCell="A14" activeCellId="0" sqref="A14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1" width="3.57"/>
    <col collapsed="false" customWidth="true" hidden="false" outlineLevel="0" max="2" min="2" style="1" width="8.15"/>
    <col collapsed="false" customWidth="true" hidden="false" outlineLevel="0" max="3" min="3" style="1" width="17"/>
    <col collapsed="false" customWidth="true" hidden="false" outlineLevel="0" max="4" min="4" style="1" width="19.86"/>
    <col collapsed="false" customWidth="true" hidden="false" outlineLevel="0" max="5" min="5" style="1" width="0.86"/>
    <col collapsed="false" customWidth="true" hidden="true" outlineLevel="0" max="6" min="6" style="1" width="5.57"/>
    <col collapsed="false" customWidth="true" hidden="true" outlineLevel="0" max="7" min="7" style="1" width="9.14"/>
    <col collapsed="false" customWidth="true" hidden="false" outlineLevel="0" max="57" min="8" style="1" width="5.57"/>
    <col collapsed="false" customWidth="true" hidden="true" outlineLevel="0" max="58" min="58" style="1" width="8.57"/>
    <col collapsed="false" customWidth="true" hidden="false" outlineLevel="0" max="59" min="59" style="1" width="8.57"/>
  </cols>
  <sheetData>
    <row r="1" customFormat="false" ht="12.75" hidden="true" customHeight="false" outlineLevel="0" collapsed="false">
      <c r="A1" s="50" t="e">
        <f aca="true">IF(AUTOEVENTO="Manual",IF(OFFSET(EVENTOS!$F$14,PLE!$B1,0)&gt;0,"F",""),IF(PLE!B1&lt;=MAX(CÁLCULO!$M$15:$M$205),"F",""))</f>
        <v>#VALUE!</v>
      </c>
      <c r="B1" s="374" t="e">
        <f aca="true">OFFSET(B1,-1,0)+1</f>
        <v>#VALUE!</v>
      </c>
      <c r="C1" s="375" t="e">
        <f aca="true">IF(AUTOEVENTO="Manual",OFFSET(EVENTOS!$D$15,$B1-$B$15,0),IF(B1&lt;=MAX(CÁLCULO!$M$15:$M$205),VLOOKUP($B1,CÁLCULO!$M$15:$N$205,2,FALSE()),0))</f>
        <v>#VALUE!</v>
      </c>
      <c r="D1" s="375"/>
      <c r="F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7"/>
      <c r="AD1" s="377"/>
      <c r="AE1" s="377"/>
      <c r="AF1" s="377"/>
      <c r="AG1" s="377"/>
      <c r="AH1" s="377"/>
      <c r="AI1" s="377"/>
      <c r="AJ1" s="377"/>
      <c r="AK1" s="377"/>
      <c r="AL1" s="377"/>
      <c r="AM1" s="377"/>
      <c r="AN1" s="377"/>
      <c r="AO1" s="377"/>
      <c r="AP1" s="377"/>
      <c r="AQ1" s="377"/>
      <c r="AR1" s="377"/>
      <c r="AS1" s="377"/>
      <c r="AT1" s="377"/>
      <c r="AU1" s="377"/>
      <c r="AV1" s="377"/>
      <c r="AW1" s="377"/>
      <c r="AX1" s="377"/>
      <c r="AY1" s="377"/>
      <c r="AZ1" s="377"/>
      <c r="BA1" s="377"/>
      <c r="BB1" s="377"/>
      <c r="BC1" s="377"/>
      <c r="BD1" s="377"/>
      <c r="BE1" s="377"/>
    </row>
    <row r="2" customFormat="false" ht="12.75" hidden="true" customHeight="false" outlineLevel="0" collapsed="false">
      <c r="A2" s="50"/>
      <c r="B2" s="50"/>
      <c r="C2" s="65"/>
      <c r="D2" s="65"/>
      <c r="F2" s="580"/>
    </row>
    <row r="3" customFormat="false" ht="15" hidden="false" customHeight="false" outlineLevel="0" collapsed="false">
      <c r="H3" s="443" t="s">
        <v>1045</v>
      </c>
      <c r="AD3" s="100" t="s">
        <v>671</v>
      </c>
      <c r="AE3" s="100"/>
      <c r="AF3" s="100"/>
      <c r="AG3" s="443" t="s">
        <v>1045</v>
      </c>
      <c r="BC3" s="100" t="s">
        <v>671</v>
      </c>
      <c r="BD3" s="100"/>
      <c r="BE3" s="100"/>
    </row>
    <row r="4" customFormat="false" ht="15" hidden="false" customHeight="false" outlineLevel="0" collapsed="false">
      <c r="B4" s="158"/>
      <c r="C4" s="158"/>
      <c r="H4" s="159" t="str">
        <f aca="false">import.recurso</f>
        <v>OGU</v>
      </c>
      <c r="AD4" s="60" t="s">
        <v>674</v>
      </c>
      <c r="AE4" s="60"/>
      <c r="AF4" s="60"/>
      <c r="AG4" s="159" t="str">
        <f aca="false">import.recurso</f>
        <v>OGU</v>
      </c>
      <c r="BC4" s="60" t="s">
        <v>674</v>
      </c>
      <c r="BD4" s="60"/>
      <c r="BE4" s="60"/>
    </row>
    <row r="6" customFormat="false" ht="12.75" hidden="false" customHeight="false" outlineLevel="0" collapsed="false">
      <c r="B6" s="266" t="s">
        <v>677</v>
      </c>
      <c r="C6" s="581"/>
      <c r="D6" s="447" t="s">
        <v>737</v>
      </c>
      <c r="E6" s="9"/>
      <c r="H6" s="448" t="s">
        <v>999</v>
      </c>
      <c r="I6" s="382"/>
      <c r="J6" s="382"/>
      <c r="K6" s="382"/>
      <c r="L6" s="419"/>
      <c r="M6" s="419"/>
      <c r="N6" s="582"/>
      <c r="O6" s="266" t="s">
        <v>866</v>
      </c>
      <c r="P6" s="381"/>
      <c r="R6" s="382"/>
      <c r="S6" s="382"/>
      <c r="T6" s="382"/>
      <c r="U6" s="446"/>
      <c r="V6" s="266" t="str">
        <f aca="false">IF(TIPOORCAMENTO="Licitado","NOME DA EMPRESA","DESCRIÇÃO DO LOTE")</f>
        <v>DESCRIÇÃO DO LOTE</v>
      </c>
      <c r="W6" s="382"/>
      <c r="X6" s="382"/>
      <c r="Y6" s="382"/>
      <c r="AD6" s="9"/>
      <c r="AE6" s="449" t="str">
        <f aca="false">IF(TIPOORCAMENTO="Licitado","Nº CTEF","")</f>
        <v/>
      </c>
      <c r="AF6" s="449"/>
      <c r="AG6" s="448" t="s">
        <v>999</v>
      </c>
      <c r="AH6" s="382"/>
      <c r="AI6" s="382"/>
      <c r="AJ6" s="382"/>
      <c r="AK6" s="419"/>
      <c r="AL6" s="419"/>
      <c r="AM6" s="582"/>
      <c r="AN6" s="266" t="s">
        <v>866</v>
      </c>
      <c r="AO6" s="381"/>
      <c r="AQ6" s="382"/>
      <c r="AR6" s="382"/>
      <c r="AS6" s="382"/>
      <c r="AT6" s="446"/>
      <c r="AU6" s="266" t="str">
        <f aca="false">IF(TIPOORCAMENTO="Licitado","NOME DA EMPRESA","DESCRIÇÃO DO LOTE")</f>
        <v>DESCRIÇÃO DO LOTE</v>
      </c>
      <c r="AV6" s="382"/>
      <c r="AW6" s="382"/>
      <c r="AX6" s="382"/>
      <c r="BC6" s="9"/>
      <c r="BD6" s="449" t="str">
        <f aca="false">IF(TIPOORCAMENTO="Licitado","Nº CTEF","")</f>
        <v/>
      </c>
      <c r="BE6" s="449"/>
    </row>
    <row r="7" customFormat="false" ht="12.75" hidden="false" customHeight="false" outlineLevel="0" collapsed="false">
      <c r="B7" s="271" t="str">
        <f aca="false">Import.CR</f>
        <v>1100251-88</v>
      </c>
      <c r="C7" s="271"/>
      <c r="D7" s="450" t="str">
        <f aca="false">Import.TransfereGOV</f>
        <v>974240/2024</v>
      </c>
      <c r="E7" s="3"/>
      <c r="H7" s="451" t="str">
        <f aca="false">Import.Proponente</f>
        <v>PREFEITURA MUNICIPAL DE SALINAS</v>
      </c>
      <c r="I7" s="451"/>
      <c r="J7" s="451"/>
      <c r="K7" s="451"/>
      <c r="L7" s="451"/>
      <c r="M7" s="451"/>
      <c r="N7" s="451"/>
      <c r="O7" s="271" t="str">
        <f aca="false">Import.Apelido</f>
        <v>CONSTRUÇÃO DE UNIDADES HABITACIONAIS EM ÁREAS URBANAS</v>
      </c>
      <c r="P7" s="271"/>
      <c r="Q7" s="271"/>
      <c r="R7" s="271"/>
      <c r="S7" s="271"/>
      <c r="T7" s="271"/>
      <c r="U7" s="271"/>
      <c r="V7" s="271" t="str">
        <f aca="false">IF(TIPOORCAMENTO="Licitado",Import.empresa,Import.DescLote)</f>
        <v>CONSTRUÇÃO DE UNIDADES HABITACIONAIS EM ÁREAS URBANAS, NO MUNICIPIO DE SALINAS/MG, UTILIZANDO RECURSOS DO FNHIS, PELO PROGRAMA MINHA CASA MINHA VIDA</v>
      </c>
      <c r="W7" s="271"/>
      <c r="X7" s="271"/>
      <c r="Y7" s="271"/>
      <c r="Z7" s="271"/>
      <c r="AA7" s="271"/>
      <c r="AB7" s="271"/>
      <c r="AC7" s="271"/>
      <c r="AD7" s="271"/>
      <c r="AE7" s="440" t="str">
        <f aca="false">IF(TIPOORCAMENTO="Licitado",Import.CTEF,"")</f>
        <v/>
      </c>
      <c r="AF7" s="440"/>
      <c r="AG7" s="451" t="str">
        <f aca="false">Import.Proponente</f>
        <v>PREFEITURA MUNICIPAL DE SALINAS</v>
      </c>
      <c r="AH7" s="451"/>
      <c r="AI7" s="451"/>
      <c r="AJ7" s="451"/>
      <c r="AK7" s="451"/>
      <c r="AL7" s="451"/>
      <c r="AM7" s="451"/>
      <c r="AN7" s="271" t="str">
        <f aca="false">Import.Apelido</f>
        <v>CONSTRUÇÃO DE UNIDADES HABITACIONAIS EM ÁREAS URBANAS</v>
      </c>
      <c r="AO7" s="271"/>
      <c r="AP7" s="271"/>
      <c r="AQ7" s="271"/>
      <c r="AR7" s="271"/>
      <c r="AS7" s="271"/>
      <c r="AT7" s="271"/>
      <c r="AU7" s="271" t="str">
        <f aca="false">IF(TIPOORCAMENTO="Licitado",Import.empresa,Import.DescLote)</f>
        <v>CONSTRUÇÃO DE UNIDADES HABITACIONAIS EM ÁREAS URBANAS, NO MUNICIPIO DE SALINAS/MG, UTILIZANDO RECURSOS DO FNHIS, PELO PROGRAMA MINHA CASA MINHA VIDA</v>
      </c>
      <c r="AV7" s="271"/>
      <c r="AW7" s="271"/>
      <c r="AX7" s="271"/>
      <c r="AY7" s="271"/>
      <c r="AZ7" s="271"/>
      <c r="BA7" s="271"/>
      <c r="BB7" s="271"/>
      <c r="BC7" s="271"/>
      <c r="BD7" s="440" t="str">
        <f aca="false">IF(TIPOORCAMENTO="Licitado",Import.CTEF,"")</f>
        <v/>
      </c>
      <c r="BE7" s="440"/>
      <c r="BF7" s="36"/>
    </row>
    <row r="9" customFormat="false" ht="15" hidden="false" customHeight="false" outlineLevel="0" collapsed="false">
      <c r="A9" s="346" t="n">
        <v>0</v>
      </c>
      <c r="B9" s="583"/>
      <c r="C9" s="583"/>
      <c r="I9" s="584" t="s">
        <v>1046</v>
      </c>
      <c r="J9" s="585" t="n">
        <v>1</v>
      </c>
      <c r="K9" s="585"/>
      <c r="M9" s="584" t="s">
        <v>1010</v>
      </c>
      <c r="N9" s="586" t="str">
        <f aca="true">TEXT(IF(PLE.Medicao=1,Import.DataInicioObra,OFFSET($H$50,0,1+(PLE.Medicao-$I$51)*2-2)+1),"dd/mm/aaaa")&amp;" a "&amp;TEXT(OFFSET($H$50,0,1+(PLE.Medicao-$I$51)*2),"dd/mm/aaaa")</f>
        <v>30/12/1899 a 30/12/1899</v>
      </c>
      <c r="O9" s="586"/>
      <c r="P9" s="586"/>
      <c r="Q9" s="586"/>
      <c r="R9" s="586"/>
      <c r="S9" s="586"/>
      <c r="T9" s="586"/>
      <c r="U9" s="587"/>
      <c r="X9" s="584" t="s">
        <v>1047</v>
      </c>
      <c r="Y9" s="588" t="n">
        <f aca="true">OFFSET($I$51,1+8*(ROUNDUP(($J$9-0)/((COLUMN($BF$14)-COLUMN($G$14)-1)/25*12),0)-1),ROUNDDOWN((($J$9-0)-OFFSET($I$51,8*(ROUNDUP(($J$9-0)/((COLUMN($BF$14)-COLUMN($G$14)-1)/25*12),0)-1),0))*(2+1/12),0))</f>
        <v>0</v>
      </c>
      <c r="Z9" s="588"/>
      <c r="AD9" s="584" t="s">
        <v>1048</v>
      </c>
      <c r="AE9" s="588" t="n">
        <f aca="true">OFFSET($I$51,3+8*(ROUNDUP(($J$9-0)/((COLUMN($BF$14)-COLUMN($G$14)-1)/25*12),0)-1),ROUNDDOWN((($J$9-0)-OFFSET($I$51,8*(ROUNDUP(($J$9-0)/((COLUMN($BF$14)-COLUMN($G$14)-1)/25*12),0)-1),0))*(2+1/12),0))</f>
        <v>0</v>
      </c>
      <c r="AF9" s="588"/>
      <c r="AH9" s="584" t="s">
        <v>1046</v>
      </c>
      <c r="AI9" s="585" t="n">
        <v>1</v>
      </c>
      <c r="AJ9" s="585"/>
      <c r="AL9" s="584" t="s">
        <v>1010</v>
      </c>
      <c r="AM9" s="586" t="str">
        <f aca="true">TEXT(IF(PLE.Medicao=1,Import.DataInicioObra,OFFSET($H$50,0,1+(PLE.Medicao-$I$51)*2-2)+1),"dd/mm/aaaa")&amp;" a "&amp;TEXT(OFFSET($H$50,0,1+(PLE.Medicao-$I$51)*2),"dd/mm/aaaa")</f>
        <v>30/12/1899 a 30/12/1899</v>
      </c>
      <c r="AN9" s="586"/>
      <c r="AO9" s="586"/>
      <c r="AP9" s="586"/>
      <c r="AQ9" s="586"/>
      <c r="AR9" s="586"/>
      <c r="AS9" s="586"/>
      <c r="AT9" s="587"/>
      <c r="AW9" s="584" t="s">
        <v>1047</v>
      </c>
      <c r="AX9" s="588" t="n">
        <f aca="true">OFFSET($I$51,1+8*(ROUNDUP(($J$9-0)/((COLUMN($BF$14)-COLUMN($G$14)-1)/25*12),0)-1),ROUNDDOWN((($J$9-0)-OFFSET($I$51,8*(ROUNDUP(($J$9-0)/((COLUMN($BF$14)-COLUMN($G$14)-1)/25*12),0)-1),0))*(2+1/12),0))</f>
        <v>0</v>
      </c>
      <c r="AY9" s="588"/>
      <c r="BC9" s="584" t="s">
        <v>1048</v>
      </c>
      <c r="BD9" s="588" t="n">
        <f aca="true">OFFSET($I$51,3+8*(ROUNDUP(($J$9-0)/((COLUMN($BF$14)-COLUMN($G$14)-1)/25*12),0)-1),ROUNDDOWN((($J$9-0)-OFFSET($I$51,8*(ROUNDUP(($J$9-0)/((COLUMN($BF$14)-COLUMN($G$14)-1)/25*12),0)-1),0))*(2+1/12),0))</f>
        <v>0</v>
      </c>
      <c r="BE9" s="588"/>
    </row>
    <row r="11" customFormat="false" ht="65.25" hidden="false" customHeight="true" outlineLevel="0" collapsed="false">
      <c r="A11" s="589" t="s">
        <v>1049</v>
      </c>
      <c r="C11" s="590" t="e">
        <f aca="false">IF(_xlfn.single(TIPOORCAMENTO)="proposto","ALTERE O TIPO DE ORÇAMENTO NA ABA 'MENU' PARA LICITADO.",
 IF(_xlfn.single(ACOMPANHAMENTO)="BM","FOI SELECIONADO NA ABA 'MENU' O ACOMPANHAMENTO POR BM.",
 IF(AND(PLE.Medicao=1,DADOS!$C$47=0),"PREENCHER A DATA DE INÍCIO DA OBRA, NA ABA DADOS",
 IF($Y$9=0,"PREENCHER A MEDIÇÃO "&amp;PLE.Medicao,
 IF($H$50&lt;&gt;"",UPPER($H$50),
 IF($S$59&lt;&gt;"",UPPER($S$59),""))))))</f>
        <v>#NAME?</v>
      </c>
      <c r="D11" s="590"/>
      <c r="F11" s="386" t="str">
        <f aca="true">IF(F$12&gt;CÁLCULO.NúmeroDeFrentes,"",OFFSET(CÁLCULO!$P$12,0,F$12))</f>
        <v>CASA 01</v>
      </c>
      <c r="H11" s="386" t="str">
        <f aca="true">IF(H$12&gt;CÁLCULO.NúmeroDeFrentes,"",OFFSET(CÁLCULO!$P$12,0,H$12))</f>
        <v>CASA 01</v>
      </c>
      <c r="I11" s="386" t="str">
        <f aca="true">IF(I$12&gt;CÁLCULO.NúmeroDeFrentes,"",OFFSET(CÁLCULO!$P$12,0,I$12))</f>
        <v>CASA 02</v>
      </c>
      <c r="J11" s="386" t="str">
        <f aca="true">IF(J$12&gt;CÁLCULO.NúmeroDeFrentes,"",OFFSET(CÁLCULO!$P$12,0,J$12))</f>
        <v>CASA 03</v>
      </c>
      <c r="K11" s="386" t="str">
        <f aca="true">IF(K$12&gt;CÁLCULO.NúmeroDeFrentes,"",OFFSET(CÁLCULO!$P$12,0,K$12))</f>
        <v>CASA 04</v>
      </c>
      <c r="L11" s="386" t="str">
        <f aca="true">IF(L$12&gt;CÁLCULO.NúmeroDeFrentes,"",OFFSET(CÁLCULO!$P$12,0,L$12))</f>
        <v>CASA 05</v>
      </c>
      <c r="M11" s="386" t="str">
        <f aca="true">IF(M$12&gt;CÁLCULO.NúmeroDeFrentes,"",OFFSET(CÁLCULO!$P$12,0,M$12))</f>
        <v>CASA 06</v>
      </c>
      <c r="N11" s="386" t="str">
        <f aca="true">IF(N$12&gt;CÁLCULO.NúmeroDeFrentes,"",OFFSET(CÁLCULO!$P$12,0,N$12))</f>
        <v>CASA 07</v>
      </c>
      <c r="O11" s="386" t="str">
        <f aca="true">IF(O$12&gt;CÁLCULO.NúmeroDeFrentes,"",OFFSET(CÁLCULO!$P$12,0,O$12))</f>
        <v>CASA 08</v>
      </c>
      <c r="P11" s="386" t="str">
        <f aca="true">IF(P$12&gt;CÁLCULO.NúmeroDeFrentes,"",OFFSET(CÁLCULO!$P$12,0,P$12))</f>
        <v>CASA 09</v>
      </c>
      <c r="Q11" s="386" t="str">
        <f aca="true">IF(Q$12&gt;CÁLCULO.NúmeroDeFrentes,"",OFFSET(CÁLCULO!$P$12,0,Q$12))</f>
        <v>CASA 10</v>
      </c>
      <c r="R11" s="386" t="str">
        <f aca="true">IF(R$12&gt;CÁLCULO.NúmeroDeFrentes,"",OFFSET(CÁLCULO!$P$12,0,R$12))</f>
        <v>CASA 11</v>
      </c>
      <c r="S11" s="386" t="str">
        <f aca="true">IF(S$12&gt;CÁLCULO.NúmeroDeFrentes,"",OFFSET(CÁLCULO!$P$12,0,S$12))</f>
        <v>CASA 12</v>
      </c>
      <c r="T11" s="386" t="str">
        <f aca="true">IF(T$12&gt;CÁLCULO.NúmeroDeFrentes,"",OFFSET(CÁLCULO!$P$12,0,T$12))</f>
        <v>CASA 13</v>
      </c>
      <c r="U11" s="386" t="str">
        <f aca="true">IF(U$12&gt;CÁLCULO.NúmeroDeFrentes,"",OFFSET(CÁLCULO!$P$12,0,U$12))</f>
        <v>CASA 14</v>
      </c>
      <c r="V11" s="386" t="str">
        <f aca="true">IF(V$12&gt;CÁLCULO.NúmeroDeFrentes,"",OFFSET(CÁLCULO!$P$12,0,V$12))</f>
        <v>CASA 15</v>
      </c>
      <c r="W11" s="386" t="str">
        <f aca="true">IF(W$12&gt;CÁLCULO.NúmeroDeFrentes,"",OFFSET(CÁLCULO!$P$12,0,W$12))</f>
        <v>CASA 16</v>
      </c>
      <c r="X11" s="386" t="str">
        <f aca="true">IF(X$12&gt;CÁLCULO.NúmeroDeFrentes,"",OFFSET(CÁLCULO!$P$12,0,X$12))</f>
        <v>CASA 17</v>
      </c>
      <c r="Y11" s="386" t="str">
        <f aca="true">IF(Y$12&gt;CÁLCULO.NúmeroDeFrentes,"",OFFSET(CÁLCULO!$P$12,0,Y$12))</f>
        <v>CASA 18</v>
      </c>
      <c r="Z11" s="386" t="str">
        <f aca="true">IF(Z$12&gt;CÁLCULO.NúmeroDeFrentes,"",OFFSET(CÁLCULO!$P$12,0,Z$12))</f>
        <v>CASA 19</v>
      </c>
      <c r="AA11" s="386" t="str">
        <f aca="true">IF(AA$12&gt;CÁLCULO.NúmeroDeFrentes,"",OFFSET(CÁLCULO!$P$12,0,AA$12))</f>
        <v>CASA 20</v>
      </c>
      <c r="AB11" s="386" t="str">
        <f aca="true">IF(AB$12&gt;CÁLCULO.NúmeroDeFrentes,"",OFFSET(CÁLCULO!$P$12,0,AB$12))</f>
        <v>CASA 21</v>
      </c>
      <c r="AC11" s="386" t="str">
        <f aca="true">IF(AC$12&gt;CÁLCULO.NúmeroDeFrentes,"",OFFSET(CÁLCULO!$P$12,0,AC$12))</f>
        <v>CASA 22</v>
      </c>
      <c r="AD11" s="386" t="str">
        <f aca="true">IF(AD$12&gt;CÁLCULO.NúmeroDeFrentes,"",OFFSET(CÁLCULO!$P$12,0,AD$12))</f>
        <v>CASA 23</v>
      </c>
      <c r="AE11" s="386" t="str">
        <f aca="true">IF(AE$12&gt;CÁLCULO.NúmeroDeFrentes,"",OFFSET(CÁLCULO!$P$12,0,AE$12))</f>
        <v>CASA 24</v>
      </c>
      <c r="AF11" s="386" t="str">
        <f aca="true">IF(AF$12&gt;CÁLCULO.NúmeroDeFrentes,"",OFFSET(CÁLCULO!$P$12,0,AF$12))</f>
        <v>CASA 25</v>
      </c>
      <c r="AG11" s="386" t="n">
        <f aca="true">IF(AG$12&gt;CÁLCULO.NúmeroDeFrentes,"",OFFSET(CÁLCULO!$P$12,0,AG$12))</f>
        <v>0</v>
      </c>
      <c r="AH11" s="386" t="str">
        <f aca="true">IF(AH$12&gt;CÁLCULO.NúmeroDeFrentes,"",OFFSET(CÁLCULO!$P$12,0,AH$12))</f>
        <v/>
      </c>
      <c r="AI11" s="386" t="str">
        <f aca="true">IF(AI$12&gt;CÁLCULO.NúmeroDeFrentes,"",OFFSET(CÁLCULO!$P$12,0,AI$12))</f>
        <v/>
      </c>
      <c r="AJ11" s="386" t="str">
        <f aca="true">IF(AJ$12&gt;CÁLCULO.NúmeroDeFrentes,"",OFFSET(CÁLCULO!$P$12,0,AJ$12))</f>
        <v/>
      </c>
      <c r="AK11" s="386" t="str">
        <f aca="true">IF(AK$12&gt;CÁLCULO.NúmeroDeFrentes,"",OFFSET(CÁLCULO!$P$12,0,AK$12))</f>
        <v/>
      </c>
      <c r="AL11" s="386" t="str">
        <f aca="true">IF(AL$12&gt;CÁLCULO.NúmeroDeFrentes,"",OFFSET(CÁLCULO!$P$12,0,AL$12))</f>
        <v/>
      </c>
      <c r="AM11" s="386" t="str">
        <f aca="true">IF(AM$12&gt;CÁLCULO.NúmeroDeFrentes,"",OFFSET(CÁLCULO!$P$12,0,AM$12))</f>
        <v/>
      </c>
      <c r="AN11" s="386" t="str">
        <f aca="true">IF(AN$12&gt;CÁLCULO.NúmeroDeFrentes,"",OFFSET(CÁLCULO!$P$12,0,AN$12))</f>
        <v/>
      </c>
      <c r="AO11" s="386" t="str">
        <f aca="true">IF(AO$12&gt;CÁLCULO.NúmeroDeFrentes,"",OFFSET(CÁLCULO!$P$12,0,AO$12))</f>
        <v/>
      </c>
      <c r="AP11" s="386" t="str">
        <f aca="true">IF(AP$12&gt;CÁLCULO.NúmeroDeFrentes,"",OFFSET(CÁLCULO!$P$12,0,AP$12))</f>
        <v/>
      </c>
      <c r="AQ11" s="386" t="str">
        <f aca="true">IF(AQ$12&gt;CÁLCULO.NúmeroDeFrentes,"",OFFSET(CÁLCULO!$P$12,0,AQ$12))</f>
        <v/>
      </c>
      <c r="AR11" s="386" t="str">
        <f aca="true">IF(AR$12&gt;CÁLCULO.NúmeroDeFrentes,"",OFFSET(CÁLCULO!$P$12,0,AR$12))</f>
        <v/>
      </c>
      <c r="AS11" s="386" t="str">
        <f aca="true">IF(AS$12&gt;CÁLCULO.NúmeroDeFrentes,"",OFFSET(CÁLCULO!$P$12,0,AS$12))</f>
        <v/>
      </c>
      <c r="AT11" s="386" t="str">
        <f aca="true">IF(AT$12&gt;CÁLCULO.NúmeroDeFrentes,"",OFFSET(CÁLCULO!$P$12,0,AT$12))</f>
        <v/>
      </c>
      <c r="AU11" s="386" t="str">
        <f aca="true">IF(AU$12&gt;CÁLCULO.NúmeroDeFrentes,"",OFFSET(CÁLCULO!$P$12,0,AU$12))</f>
        <v/>
      </c>
      <c r="AV11" s="386" t="str">
        <f aca="true">IF(AV$12&gt;CÁLCULO.NúmeroDeFrentes,"",OFFSET(CÁLCULO!$P$12,0,AV$12))</f>
        <v/>
      </c>
      <c r="AW11" s="386" t="str">
        <f aca="true">IF(AW$12&gt;CÁLCULO.NúmeroDeFrentes,"",OFFSET(CÁLCULO!$P$12,0,AW$12))</f>
        <v/>
      </c>
      <c r="AX11" s="386" t="str">
        <f aca="true">IF(AX$12&gt;CÁLCULO.NúmeroDeFrentes,"",OFFSET(CÁLCULO!$P$12,0,AX$12))</f>
        <v/>
      </c>
      <c r="AY11" s="386" t="str">
        <f aca="true">IF(AY$12&gt;CÁLCULO.NúmeroDeFrentes,"",OFFSET(CÁLCULO!$P$12,0,AY$12))</f>
        <v/>
      </c>
      <c r="AZ11" s="386" t="str">
        <f aca="true">IF(AZ$12&gt;CÁLCULO.NúmeroDeFrentes,"",OFFSET(CÁLCULO!$P$12,0,AZ$12))</f>
        <v/>
      </c>
      <c r="BA11" s="386" t="str">
        <f aca="true">IF(BA$12&gt;CÁLCULO.NúmeroDeFrentes,"",OFFSET(CÁLCULO!$P$12,0,BA$12))</f>
        <v/>
      </c>
      <c r="BB11" s="386" t="str">
        <f aca="true">IF(BB$12&gt;CÁLCULO.NúmeroDeFrentes,"",OFFSET(CÁLCULO!$P$12,0,BB$12))</f>
        <v/>
      </c>
      <c r="BC11" s="386" t="str">
        <f aca="true">IF(BC$12&gt;CÁLCULO.NúmeroDeFrentes,"",OFFSET(CÁLCULO!$P$12,0,BC$12))</f>
        <v/>
      </c>
      <c r="BD11" s="386" t="str">
        <f aca="true">IF(BD$12&gt;CÁLCULO.NúmeroDeFrentes,"",OFFSET(CÁLCULO!$P$12,0,BD$12))</f>
        <v/>
      </c>
      <c r="BE11" s="386" t="str">
        <f aca="true">IF(BE$12&gt;CÁLCULO.NúmeroDeFrentes,"",OFFSET(CÁLCULO!$P$12,0,BE$12))</f>
        <v/>
      </c>
    </row>
    <row r="12" customFormat="false" ht="12.75" hidden="false" customHeight="true" outlineLevel="0" collapsed="false">
      <c r="A12" s="112" t="s">
        <v>687</v>
      </c>
      <c r="B12" s="387" t="s">
        <v>872</v>
      </c>
      <c r="C12" s="387" t="s">
        <v>989</v>
      </c>
      <c r="D12" s="387"/>
      <c r="F12" s="388" t="n">
        <f aca="true">OFFSET(F12,0,-1)+1</f>
        <v>1</v>
      </c>
      <c r="H12" s="388" t="n">
        <f aca="true">OFFSET(H12,0,-1)+1</f>
        <v>1</v>
      </c>
      <c r="I12" s="388" t="n">
        <f aca="true">OFFSET(I12,0,-1)+1</f>
        <v>2</v>
      </c>
      <c r="J12" s="388" t="n">
        <f aca="true">OFFSET(J12,0,-1)+1</f>
        <v>3</v>
      </c>
      <c r="K12" s="388" t="n">
        <f aca="true">OFFSET(K12,0,-1)+1</f>
        <v>4</v>
      </c>
      <c r="L12" s="388" t="n">
        <f aca="true">OFFSET(L12,0,-1)+1</f>
        <v>5</v>
      </c>
      <c r="M12" s="388" t="n">
        <f aca="true">OFFSET(M12,0,-1)+1</f>
        <v>6</v>
      </c>
      <c r="N12" s="388" t="n">
        <f aca="true">OFFSET(N12,0,-1)+1</f>
        <v>7</v>
      </c>
      <c r="O12" s="388" t="n">
        <f aca="true">OFFSET(O12,0,-1)+1</f>
        <v>8</v>
      </c>
      <c r="P12" s="388" t="n">
        <f aca="true">OFFSET(P12,0,-1)+1</f>
        <v>9</v>
      </c>
      <c r="Q12" s="388" t="n">
        <f aca="true">OFFSET(Q12,0,-1)+1</f>
        <v>10</v>
      </c>
      <c r="R12" s="388" t="n">
        <f aca="true">OFFSET(R12,0,-1)+1</f>
        <v>11</v>
      </c>
      <c r="S12" s="388" t="n">
        <f aca="true">OFFSET(S12,0,-1)+1</f>
        <v>12</v>
      </c>
      <c r="T12" s="388" t="n">
        <f aca="true">OFFSET(T12,0,-1)+1</f>
        <v>13</v>
      </c>
      <c r="U12" s="388" t="n">
        <f aca="true">OFFSET(U12,0,-1)+1</f>
        <v>14</v>
      </c>
      <c r="V12" s="388" t="n">
        <f aca="true">OFFSET(V12,0,-1)+1</f>
        <v>15</v>
      </c>
      <c r="W12" s="388" t="n">
        <f aca="true">OFFSET(W12,0,-1)+1</f>
        <v>16</v>
      </c>
      <c r="X12" s="388" t="n">
        <f aca="true">OFFSET(X12,0,-1)+1</f>
        <v>17</v>
      </c>
      <c r="Y12" s="388" t="n">
        <f aca="true">OFFSET(Y12,0,-1)+1</f>
        <v>18</v>
      </c>
      <c r="Z12" s="388" t="n">
        <f aca="true">OFFSET(Z12,0,-1)+1</f>
        <v>19</v>
      </c>
      <c r="AA12" s="388" t="n">
        <f aca="true">OFFSET(AA12,0,-1)+1</f>
        <v>20</v>
      </c>
      <c r="AB12" s="388" t="n">
        <f aca="true">OFFSET(AB12,0,-1)+1</f>
        <v>21</v>
      </c>
      <c r="AC12" s="388" t="n">
        <f aca="true">OFFSET(AC12,0,-1)+1</f>
        <v>22</v>
      </c>
      <c r="AD12" s="388" t="n">
        <f aca="true">OFFSET(AD12,0,-1)+1</f>
        <v>23</v>
      </c>
      <c r="AE12" s="388" t="n">
        <f aca="true">OFFSET(AE12,0,-1)+1</f>
        <v>24</v>
      </c>
      <c r="AF12" s="388" t="n">
        <f aca="true">OFFSET(AF12,0,-1)+1</f>
        <v>25</v>
      </c>
      <c r="AG12" s="388" t="n">
        <f aca="true">OFFSET(AG12,0,-1)+1</f>
        <v>26</v>
      </c>
      <c r="AH12" s="388" t="n">
        <f aca="true">OFFSET(AH12,0,-1)+1</f>
        <v>27</v>
      </c>
      <c r="AI12" s="388" t="n">
        <f aca="true">OFFSET(AI12,0,-1)+1</f>
        <v>28</v>
      </c>
      <c r="AJ12" s="388" t="n">
        <f aca="true">OFFSET(AJ12,0,-1)+1</f>
        <v>29</v>
      </c>
      <c r="AK12" s="388" t="n">
        <f aca="true">OFFSET(AK12,0,-1)+1</f>
        <v>30</v>
      </c>
      <c r="AL12" s="388" t="n">
        <f aca="true">OFFSET(AL12,0,-1)+1</f>
        <v>31</v>
      </c>
      <c r="AM12" s="388" t="n">
        <f aca="true">OFFSET(AM12,0,-1)+1</f>
        <v>32</v>
      </c>
      <c r="AN12" s="388" t="n">
        <f aca="true">OFFSET(AN12,0,-1)+1</f>
        <v>33</v>
      </c>
      <c r="AO12" s="388" t="n">
        <f aca="true">OFFSET(AO12,0,-1)+1</f>
        <v>34</v>
      </c>
      <c r="AP12" s="388" t="n">
        <f aca="true">OFFSET(AP12,0,-1)+1</f>
        <v>35</v>
      </c>
      <c r="AQ12" s="388" t="n">
        <f aca="true">OFFSET(AQ12,0,-1)+1</f>
        <v>36</v>
      </c>
      <c r="AR12" s="388" t="n">
        <f aca="true">OFFSET(AR12,0,-1)+1</f>
        <v>37</v>
      </c>
      <c r="AS12" s="388" t="n">
        <f aca="true">OFFSET(AS12,0,-1)+1</f>
        <v>38</v>
      </c>
      <c r="AT12" s="388" t="n">
        <f aca="true">OFFSET(AT12,0,-1)+1</f>
        <v>39</v>
      </c>
      <c r="AU12" s="388" t="n">
        <f aca="true">OFFSET(AU12,0,-1)+1</f>
        <v>40</v>
      </c>
      <c r="AV12" s="388" t="n">
        <f aca="true">OFFSET(AV12,0,-1)+1</f>
        <v>41</v>
      </c>
      <c r="AW12" s="388" t="n">
        <f aca="true">OFFSET(AW12,0,-1)+1</f>
        <v>42</v>
      </c>
      <c r="AX12" s="388" t="n">
        <f aca="true">OFFSET(AX12,0,-1)+1</f>
        <v>43</v>
      </c>
      <c r="AY12" s="388" t="n">
        <f aca="true">OFFSET(AY12,0,-1)+1</f>
        <v>44</v>
      </c>
      <c r="AZ12" s="388" t="n">
        <f aca="true">OFFSET(AZ12,0,-1)+1</f>
        <v>45</v>
      </c>
      <c r="BA12" s="388" t="n">
        <f aca="true">OFFSET(BA12,0,-1)+1</f>
        <v>46</v>
      </c>
      <c r="BB12" s="388" t="n">
        <f aca="true">OFFSET(BB12,0,-1)+1</f>
        <v>47</v>
      </c>
      <c r="BC12" s="388" t="n">
        <f aca="true">OFFSET(BC12,0,-1)+1</f>
        <v>48</v>
      </c>
      <c r="BD12" s="388" t="n">
        <f aca="true">OFFSET(BD12,0,-1)+1</f>
        <v>49</v>
      </c>
      <c r="BE12" s="388" t="n">
        <f aca="true">OFFSET(BE12,0,-1)+1</f>
        <v>50</v>
      </c>
    </row>
    <row r="13" customFormat="false" ht="12.75" hidden="false" customHeight="false" outlineLevel="0" collapsed="false">
      <c r="A13" s="38"/>
      <c r="B13" s="387"/>
      <c r="C13" s="387"/>
      <c r="D13" s="387"/>
      <c r="F13" s="390"/>
      <c r="H13" s="390"/>
      <c r="I13" s="389"/>
      <c r="J13" s="389"/>
      <c r="K13" s="389"/>
      <c r="L13" s="389"/>
      <c r="M13" s="389"/>
      <c r="N13" s="389" t="s">
        <v>1050</v>
      </c>
      <c r="O13" s="389"/>
      <c r="P13" s="389"/>
      <c r="Q13" s="389"/>
      <c r="R13" s="389"/>
      <c r="S13" s="389"/>
      <c r="T13" s="389"/>
      <c r="U13" s="389"/>
      <c r="V13" s="389"/>
      <c r="W13" s="389"/>
      <c r="X13" s="389"/>
      <c r="Y13" s="389"/>
      <c r="Z13" s="389"/>
      <c r="AA13" s="389"/>
      <c r="AB13" s="389"/>
      <c r="AC13" s="389"/>
      <c r="AD13" s="389"/>
      <c r="AE13" s="389"/>
      <c r="AF13" s="392"/>
      <c r="AG13" s="390"/>
      <c r="AH13" s="389"/>
      <c r="AI13" s="389"/>
      <c r="AJ13" s="389"/>
      <c r="AK13" s="389"/>
      <c r="AL13" s="389"/>
      <c r="AM13" s="389"/>
      <c r="AN13" s="389"/>
      <c r="AO13" s="389"/>
      <c r="AP13" s="389"/>
      <c r="AQ13" s="389"/>
      <c r="AR13" s="389"/>
      <c r="AS13" s="389"/>
      <c r="AT13" s="389"/>
      <c r="AU13" s="389"/>
      <c r="AV13" s="389"/>
      <c r="AW13" s="389"/>
      <c r="AX13" s="389"/>
      <c r="AY13" s="389"/>
      <c r="AZ13" s="389"/>
      <c r="BA13" s="389"/>
      <c r="BB13" s="389"/>
      <c r="BC13" s="389"/>
      <c r="BD13" s="389"/>
      <c r="BE13" s="392"/>
    </row>
    <row r="14" customFormat="false" ht="3.75" hidden="false" customHeight="true" outlineLevel="0" collapsed="false">
      <c r="A14" s="50" t="s">
        <v>563</v>
      </c>
    </row>
    <row r="15" customFormat="false" ht="12.75" hidden="false" customHeight="false" outlineLevel="0" collapsed="false">
      <c r="A15" s="50" t="str">
        <f aca="true">IF(AND(AUTOEVENTO="Manual",OFFSET(EVENTOS!$F$1,1,0)&gt;0),"F","")</f>
        <v/>
      </c>
      <c r="B15" s="393" t="n">
        <f aca="false">EVENTOS!$C$15</f>
        <v>0</v>
      </c>
      <c r="C15" s="394" t="str">
        <f aca="false">EVENTOS!$D$15</f>
        <v/>
      </c>
      <c r="D15" s="394"/>
      <c r="F15" s="396"/>
      <c r="H15" s="396" t="str">
        <f aca="false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95"/>
      <c r="J15" s="395"/>
      <c r="K15" s="395"/>
      <c r="L15" s="395"/>
      <c r="M15" s="395"/>
      <c r="N15" s="395"/>
      <c r="O15" s="395"/>
      <c r="P15" s="395"/>
      <c r="Q15" s="395"/>
      <c r="R15" s="395"/>
      <c r="S15" s="395"/>
      <c r="T15" s="395"/>
      <c r="U15" s="395"/>
      <c r="V15" s="395"/>
      <c r="W15" s="395"/>
      <c r="X15" s="395"/>
      <c r="Y15" s="395"/>
      <c r="Z15" s="395"/>
      <c r="AA15" s="395"/>
      <c r="AB15" s="395"/>
      <c r="AC15" s="395"/>
      <c r="AD15" s="395"/>
      <c r="AE15" s="395"/>
      <c r="AF15" s="397"/>
      <c r="AG15" s="396"/>
      <c r="AH15" s="395"/>
      <c r="AI15" s="395"/>
      <c r="AJ15" s="395"/>
      <c r="AK15" s="395"/>
      <c r="AL15" s="395"/>
      <c r="AM15" s="395"/>
      <c r="AN15" s="395"/>
      <c r="AO15" s="395"/>
      <c r="AP15" s="395"/>
      <c r="AQ15" s="395"/>
      <c r="AR15" s="395"/>
      <c r="AS15" s="395"/>
      <c r="AT15" s="395"/>
      <c r="AU15" s="395"/>
      <c r="AV15" s="395"/>
      <c r="AW15" s="395"/>
      <c r="AX15" s="395"/>
      <c r="AY15" s="395"/>
      <c r="AZ15" s="395"/>
      <c r="BA15" s="395"/>
      <c r="BB15" s="395"/>
      <c r="BC15" s="395"/>
      <c r="BD15" s="395"/>
      <c r="BE15" s="397"/>
    </row>
    <row r="16" customFormat="false" ht="12.75" hidden="false" customHeight="false" outlineLevel="0" collapsed="false">
      <c r="A16" s="50" t="str">
        <f aca="true">IF(AUTOEVENTO="Manual",IF(OFFSET(EVENTOS!$F$14,PLE!$B16,0)&gt;0,"F",""),IF(PLE!B16&lt;=MAX(CÁLCULO!$M$15:$M$205),"F",""))</f>
        <v>F</v>
      </c>
      <c r="B16" s="374" t="n">
        <f aca="true">OFFSET(B16,-1,0)+1</f>
        <v>1</v>
      </c>
      <c r="C16" s="375" t="str">
        <f aca="true">IF(AUTOEVENTO="Manual",OFFSET(EVENTOS!$D$15,$B16-$B$15,0),IF(B16&lt;=MAX(CÁLCULO!$M$15:$M$205),VLOOKUP($B16,CÁLCULO!$M$15:$N$205,2,FALSE()),0))</f>
        <v>SERVIÇOS PRELIMINARES</v>
      </c>
      <c r="D16" s="375"/>
      <c r="F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7"/>
      <c r="T16" s="377"/>
      <c r="U16" s="377"/>
      <c r="V16" s="377"/>
      <c r="W16" s="377"/>
      <c r="X16" s="377"/>
      <c r="Y16" s="377"/>
      <c r="Z16" s="377"/>
      <c r="AA16" s="377"/>
      <c r="AB16" s="377"/>
      <c r="AC16" s="377"/>
      <c r="AD16" s="377"/>
      <c r="AE16" s="377"/>
      <c r="AF16" s="377"/>
      <c r="AG16" s="377"/>
      <c r="AH16" s="377"/>
      <c r="AI16" s="377"/>
      <c r="AJ16" s="377"/>
      <c r="AK16" s="377"/>
      <c r="AL16" s="377"/>
      <c r="AM16" s="377"/>
      <c r="AN16" s="377"/>
      <c r="AO16" s="377"/>
      <c r="AP16" s="377"/>
      <c r="AQ16" s="377"/>
      <c r="AR16" s="377"/>
      <c r="AS16" s="377"/>
      <c r="AT16" s="377"/>
      <c r="AU16" s="377"/>
      <c r="AV16" s="377"/>
      <c r="AW16" s="377"/>
      <c r="AX16" s="377"/>
      <c r="AY16" s="377"/>
      <c r="AZ16" s="377"/>
      <c r="BA16" s="377"/>
      <c r="BB16" s="377"/>
      <c r="BC16" s="377"/>
      <c r="BD16" s="377"/>
      <c r="BE16" s="377"/>
    </row>
    <row r="17" customFormat="false" ht="12.75" hidden="false" customHeight="false" outlineLevel="0" collapsed="false">
      <c r="A17" s="50" t="str">
        <f aca="true">IF(AUTOEVENTO="Manual",IF(OFFSET(EVENTOS!$F$14,PLE!$B17,0)&gt;0,"F",""),IF(PLE!B17&lt;=MAX(CÁLCULO!$M$15:$M$205),"F",""))</f>
        <v>F</v>
      </c>
      <c r="B17" s="374" t="n">
        <f aca="true">OFFSET(B17,-1,0)+1</f>
        <v>2</v>
      </c>
      <c r="C17" s="375" t="str">
        <f aca="true">IF(AUTOEVENTO="Manual",OFFSET(EVENTOS!$D$15,$B17-$B$15,0),IF(B17&lt;=MAX(CÁLCULO!$M$15:$M$205),VLOOKUP($B17,CÁLCULO!$M$15:$N$205,2,FALSE()),0))</f>
        <v>ADMINISRAÇÃO LOCAL</v>
      </c>
      <c r="D17" s="375"/>
      <c r="F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7"/>
      <c r="T17" s="377"/>
      <c r="U17" s="377"/>
      <c r="V17" s="377"/>
      <c r="W17" s="377"/>
      <c r="X17" s="377"/>
      <c r="Y17" s="377"/>
      <c r="Z17" s="377"/>
      <c r="AA17" s="377"/>
      <c r="AB17" s="377"/>
      <c r="AC17" s="377"/>
      <c r="AD17" s="377"/>
      <c r="AE17" s="377"/>
      <c r="AF17" s="377"/>
      <c r="AG17" s="377"/>
      <c r="AH17" s="377"/>
      <c r="AI17" s="377"/>
      <c r="AJ17" s="377"/>
      <c r="AK17" s="377"/>
      <c r="AL17" s="377"/>
      <c r="AM17" s="377"/>
      <c r="AN17" s="377"/>
      <c r="AO17" s="377"/>
      <c r="AP17" s="377"/>
      <c r="AQ17" s="377"/>
      <c r="AR17" s="377"/>
      <c r="AS17" s="377"/>
      <c r="AT17" s="377"/>
      <c r="AU17" s="377"/>
      <c r="AV17" s="377"/>
      <c r="AW17" s="377"/>
      <c r="AX17" s="377"/>
      <c r="AY17" s="377"/>
      <c r="AZ17" s="377"/>
      <c r="BA17" s="377"/>
      <c r="BB17" s="377"/>
      <c r="BC17" s="377"/>
      <c r="BD17" s="377"/>
      <c r="BE17" s="377"/>
    </row>
    <row r="18" customFormat="false" ht="12.75" hidden="false" customHeight="false" outlineLevel="0" collapsed="false">
      <c r="A18" s="50" t="str">
        <f aca="true">IF(AUTOEVENTO="Manual",IF(OFFSET(EVENTOS!$F$14,PLE!$B18,0)&gt;0,"F",""),IF(PLE!B18&lt;=MAX(CÁLCULO!$M$15:$M$205),"F",""))</f>
        <v>F</v>
      </c>
      <c r="B18" s="374" t="n">
        <f aca="true">OFFSET(B18,-1,0)+1</f>
        <v>3</v>
      </c>
      <c r="C18" s="375" t="str">
        <f aca="true">IF(AUTOEVENTO="Manual",OFFSET(EVENTOS!$D$15,$B18-$B$15,0),IF(B18&lt;=MAX(CÁLCULO!$M$15:$M$205),VLOOKUP($B18,CÁLCULO!$M$15:$N$205,2,FALSE()),0))</f>
        <v>SAPATA</v>
      </c>
      <c r="D18" s="375"/>
      <c r="F18" s="377"/>
      <c r="H18" s="377"/>
      <c r="I18" s="377"/>
      <c r="J18" s="377"/>
      <c r="K18" s="377"/>
      <c r="L18" s="377"/>
      <c r="M18" s="377"/>
      <c r="N18" s="377"/>
      <c r="O18" s="377"/>
      <c r="P18" s="377"/>
      <c r="Q18" s="377"/>
      <c r="R18" s="377"/>
      <c r="S18" s="377"/>
      <c r="T18" s="377"/>
      <c r="U18" s="377"/>
      <c r="V18" s="377"/>
      <c r="W18" s="377"/>
      <c r="X18" s="377"/>
      <c r="Y18" s="377"/>
      <c r="Z18" s="377"/>
      <c r="AA18" s="377"/>
      <c r="AB18" s="377"/>
      <c r="AC18" s="377"/>
      <c r="AD18" s="377"/>
      <c r="AE18" s="377"/>
      <c r="AF18" s="377"/>
      <c r="AG18" s="377"/>
      <c r="AH18" s="377"/>
      <c r="AI18" s="377"/>
      <c r="AJ18" s="377"/>
      <c r="AK18" s="377"/>
      <c r="AL18" s="377"/>
      <c r="AM18" s="377"/>
      <c r="AN18" s="377"/>
      <c r="AO18" s="377"/>
      <c r="AP18" s="377"/>
      <c r="AQ18" s="377"/>
      <c r="AR18" s="377"/>
      <c r="AS18" s="377"/>
      <c r="AT18" s="377"/>
      <c r="AU18" s="377"/>
      <c r="AV18" s="377"/>
      <c r="AW18" s="377"/>
      <c r="AX18" s="377"/>
      <c r="AY18" s="377"/>
      <c r="AZ18" s="377"/>
      <c r="BA18" s="377"/>
      <c r="BB18" s="377"/>
      <c r="BC18" s="377"/>
      <c r="BD18" s="377"/>
      <c r="BE18" s="377"/>
    </row>
    <row r="19" customFormat="false" ht="12.75" hidden="false" customHeight="false" outlineLevel="0" collapsed="false">
      <c r="A19" s="50" t="str">
        <f aca="true">IF(AUTOEVENTO="Manual",IF(OFFSET(EVENTOS!$F$14,PLE!$B19,0)&gt;0,"F",""),IF(PLE!B19&lt;=MAX(CÁLCULO!$M$15:$M$205),"F",""))</f>
        <v>F</v>
      </c>
      <c r="B19" s="374" t="n">
        <f aca="true">OFFSET(B19,-1,0)+1</f>
        <v>4</v>
      </c>
      <c r="C19" s="375" t="str">
        <f aca="true">IF(AUTOEVENTO="Manual",OFFSET(EVENTOS!$D$15,$B19-$B$15,0),IF(B19&lt;=MAX(CÁLCULO!$M$15:$M$205),VLOOKUP($B19,CÁLCULO!$M$15:$N$205,2,FALSE()),0))</f>
        <v>BALDRAMES</v>
      </c>
      <c r="D19" s="375"/>
      <c r="F19" s="377"/>
      <c r="H19" s="377"/>
      <c r="I19" s="377"/>
      <c r="J19" s="377"/>
      <c r="K19" s="377"/>
      <c r="L19" s="377"/>
      <c r="M19" s="377"/>
      <c r="N19" s="377"/>
      <c r="O19" s="377"/>
      <c r="P19" s="377"/>
      <c r="Q19" s="377"/>
      <c r="R19" s="377"/>
      <c r="S19" s="377"/>
      <c r="T19" s="377"/>
      <c r="U19" s="377"/>
      <c r="V19" s="377"/>
      <c r="W19" s="377"/>
      <c r="X19" s="377"/>
      <c r="Y19" s="377"/>
      <c r="Z19" s="377"/>
      <c r="AA19" s="377"/>
      <c r="AB19" s="377"/>
      <c r="AC19" s="377"/>
      <c r="AD19" s="377"/>
      <c r="AE19" s="377"/>
      <c r="AF19" s="377"/>
      <c r="AG19" s="377"/>
      <c r="AH19" s="377"/>
      <c r="AI19" s="377"/>
      <c r="AJ19" s="377"/>
      <c r="AK19" s="377"/>
      <c r="AL19" s="377"/>
      <c r="AM19" s="377"/>
      <c r="AN19" s="377"/>
      <c r="AO19" s="377"/>
      <c r="AP19" s="377"/>
      <c r="AQ19" s="377"/>
      <c r="AR19" s="377"/>
      <c r="AS19" s="377"/>
      <c r="AT19" s="377"/>
      <c r="AU19" s="377"/>
      <c r="AV19" s="377"/>
      <c r="AW19" s="377"/>
      <c r="AX19" s="377"/>
      <c r="AY19" s="377"/>
      <c r="AZ19" s="377"/>
      <c r="BA19" s="377"/>
      <c r="BB19" s="377"/>
      <c r="BC19" s="377"/>
      <c r="BD19" s="377"/>
      <c r="BE19" s="377"/>
    </row>
    <row r="20" customFormat="false" ht="12.75" hidden="false" customHeight="false" outlineLevel="0" collapsed="false">
      <c r="A20" s="50" t="str">
        <f aca="true">IF(AUTOEVENTO="Manual",IF(OFFSET(EVENTOS!$F$14,PLE!$B20,0)&gt;0,"F",""),IF(PLE!B20&lt;=MAX(CÁLCULO!$M$15:$M$205),"F",""))</f>
        <v>F</v>
      </c>
      <c r="B20" s="374" t="n">
        <f aca="true">OFFSET(B20,-1,0)+1</f>
        <v>5</v>
      </c>
      <c r="C20" s="375" t="str">
        <f aca="true">IF(AUTOEVENTO="Manual",OFFSET(EVENTOS!$D$15,$B20-$B$15,0),IF(B20&lt;=MAX(CÁLCULO!$M$15:$M$205),VLOOKUP($B20,CÁLCULO!$M$15:$N$205,2,FALSE()),0))</f>
        <v>IMPERMEABILIZAÇÃO</v>
      </c>
      <c r="D20" s="375"/>
      <c r="F20" s="377"/>
      <c r="H20" s="377"/>
      <c r="I20" s="377"/>
      <c r="J20" s="377"/>
      <c r="K20" s="377"/>
      <c r="L20" s="377"/>
      <c r="M20" s="377"/>
      <c r="N20" s="377"/>
      <c r="O20" s="377"/>
      <c r="P20" s="377"/>
      <c r="Q20" s="377"/>
      <c r="R20" s="377"/>
      <c r="S20" s="377"/>
      <c r="T20" s="377"/>
      <c r="U20" s="377"/>
      <c r="V20" s="377"/>
      <c r="W20" s="377"/>
      <c r="X20" s="377"/>
      <c r="Y20" s="377"/>
      <c r="Z20" s="377"/>
      <c r="AA20" s="377"/>
      <c r="AB20" s="377"/>
      <c r="AC20" s="377"/>
      <c r="AD20" s="377"/>
      <c r="AE20" s="377"/>
      <c r="AF20" s="377"/>
      <c r="AG20" s="377"/>
      <c r="AH20" s="377"/>
      <c r="AI20" s="377"/>
      <c r="AJ20" s="377"/>
      <c r="AK20" s="377"/>
      <c r="AL20" s="377"/>
      <c r="AM20" s="377"/>
      <c r="AN20" s="377"/>
      <c r="AO20" s="377"/>
      <c r="AP20" s="377"/>
      <c r="AQ20" s="377"/>
      <c r="AR20" s="377"/>
      <c r="AS20" s="377"/>
      <c r="AT20" s="377"/>
      <c r="AU20" s="377"/>
      <c r="AV20" s="377"/>
      <c r="AW20" s="377"/>
      <c r="AX20" s="377"/>
      <c r="AY20" s="377"/>
      <c r="AZ20" s="377"/>
      <c r="BA20" s="377"/>
      <c r="BB20" s="377"/>
      <c r="BC20" s="377"/>
      <c r="BD20" s="377"/>
      <c r="BE20" s="377"/>
    </row>
    <row r="21" customFormat="false" ht="12.75" hidden="false" customHeight="false" outlineLevel="0" collapsed="false">
      <c r="A21" s="50" t="str">
        <f aca="true">IF(AUTOEVENTO="Manual",IF(OFFSET(EVENTOS!$F$14,PLE!$B21,0)&gt;0,"F",""),IF(PLE!B21&lt;=MAX(CÁLCULO!$M$15:$M$205),"F",""))</f>
        <v>F</v>
      </c>
      <c r="B21" s="374" t="n">
        <f aca="true">OFFSET(B21,-1,0)+1</f>
        <v>6</v>
      </c>
      <c r="C21" s="375" t="str">
        <f aca="true">IF(AUTOEVENTO="Manual",OFFSET(EVENTOS!$D$15,$B21-$B$15,0),IF(B21&lt;=MAX(CÁLCULO!$M$15:$M$205),VLOOKUP($B21,CÁLCULO!$M$15:$N$205,2,FALSE()),0))</f>
        <v>PILARES, VIGAS E LAJES</v>
      </c>
      <c r="D21" s="375"/>
      <c r="F21" s="377"/>
      <c r="H21" s="377"/>
      <c r="I21" s="377"/>
      <c r="J21" s="377"/>
      <c r="K21" s="377"/>
      <c r="L21" s="377"/>
      <c r="M21" s="377"/>
      <c r="N21" s="377"/>
      <c r="O21" s="377"/>
      <c r="P21" s="377"/>
      <c r="Q21" s="377"/>
      <c r="R21" s="377"/>
      <c r="S21" s="377"/>
      <c r="T21" s="377"/>
      <c r="U21" s="377"/>
      <c r="V21" s="377"/>
      <c r="W21" s="377"/>
      <c r="X21" s="377"/>
      <c r="Y21" s="377"/>
      <c r="Z21" s="377"/>
      <c r="AA21" s="377"/>
      <c r="AB21" s="377"/>
      <c r="AC21" s="377"/>
      <c r="AD21" s="377"/>
      <c r="AE21" s="377"/>
      <c r="AF21" s="377"/>
      <c r="AG21" s="377"/>
      <c r="AH21" s="377"/>
      <c r="AI21" s="377"/>
      <c r="AJ21" s="377"/>
      <c r="AK21" s="377"/>
      <c r="AL21" s="377"/>
      <c r="AM21" s="377"/>
      <c r="AN21" s="377"/>
      <c r="AO21" s="377"/>
      <c r="AP21" s="377"/>
      <c r="AQ21" s="377"/>
      <c r="AR21" s="377"/>
      <c r="AS21" s="377"/>
      <c r="AT21" s="377"/>
      <c r="AU21" s="377"/>
      <c r="AV21" s="377"/>
      <c r="AW21" s="377"/>
      <c r="AX21" s="377"/>
      <c r="AY21" s="377"/>
      <c r="AZ21" s="377"/>
      <c r="BA21" s="377"/>
      <c r="BB21" s="377"/>
      <c r="BC21" s="377"/>
      <c r="BD21" s="377"/>
      <c r="BE21" s="377"/>
    </row>
    <row r="22" customFormat="false" ht="12.75" hidden="false" customHeight="false" outlineLevel="0" collapsed="false">
      <c r="A22" s="50" t="str">
        <f aca="true">IF(AUTOEVENTO="Manual",IF(OFFSET(EVENTOS!$F$14,PLE!$B22,0)&gt;0,"F",""),IF(PLE!B22&lt;=MAX(CÁLCULO!$M$15:$M$205),"F",""))</f>
        <v>F</v>
      </c>
      <c r="B22" s="374" t="n">
        <f aca="true">OFFSET(B22,-1,0)+1</f>
        <v>7</v>
      </c>
      <c r="C22" s="375" t="str">
        <f aca="true">IF(AUTOEVENTO="Manual",OFFSET(EVENTOS!$D$15,$B22-$B$15,0),IF(B22&lt;=MAX(CÁLCULO!$M$15:$M$205),VLOOKUP($B22,CÁLCULO!$M$15:$N$205,2,FALSE()),0))</f>
        <v>ALVENARIA/FECHAMENTOS</v>
      </c>
      <c r="D22" s="375"/>
      <c r="F22" s="377"/>
      <c r="H22" s="377"/>
      <c r="I22" s="377"/>
      <c r="J22" s="377"/>
      <c r="K22" s="377"/>
      <c r="L22" s="377"/>
      <c r="M22" s="377"/>
      <c r="N22" s="377"/>
      <c r="O22" s="377"/>
      <c r="P22" s="377"/>
      <c r="Q22" s="377"/>
      <c r="R22" s="377"/>
      <c r="S22" s="377"/>
      <c r="T22" s="377"/>
      <c r="U22" s="377"/>
      <c r="V22" s="377"/>
      <c r="W22" s="377"/>
      <c r="X22" s="377"/>
      <c r="Y22" s="377"/>
      <c r="Z22" s="377"/>
      <c r="AA22" s="377"/>
      <c r="AB22" s="377"/>
      <c r="AC22" s="377"/>
      <c r="AD22" s="377"/>
      <c r="AE22" s="377"/>
      <c r="AF22" s="377"/>
      <c r="AG22" s="377"/>
      <c r="AH22" s="377"/>
      <c r="AI22" s="377"/>
      <c r="AJ22" s="377"/>
      <c r="AK22" s="377"/>
      <c r="AL22" s="377"/>
      <c r="AM22" s="377"/>
      <c r="AN22" s="377"/>
      <c r="AO22" s="377"/>
      <c r="AP22" s="377"/>
      <c r="AQ22" s="377"/>
      <c r="AR22" s="377"/>
      <c r="AS22" s="377"/>
      <c r="AT22" s="377"/>
      <c r="AU22" s="377"/>
      <c r="AV22" s="377"/>
      <c r="AW22" s="377"/>
      <c r="AX22" s="377"/>
      <c r="AY22" s="377"/>
      <c r="AZ22" s="377"/>
      <c r="BA22" s="377"/>
      <c r="BB22" s="377"/>
      <c r="BC22" s="377"/>
      <c r="BD22" s="377"/>
      <c r="BE22" s="377"/>
    </row>
    <row r="23" customFormat="false" ht="12.75" hidden="false" customHeight="false" outlineLevel="0" collapsed="false">
      <c r="A23" s="50" t="str">
        <f aca="true">IF(AUTOEVENTO="Manual",IF(OFFSET(EVENTOS!$F$14,PLE!$B23,0)&gt;0,"F",""),IF(PLE!B23&lt;=MAX(CÁLCULO!$M$15:$M$205),"F",""))</f>
        <v>F</v>
      </c>
      <c r="B23" s="374" t="n">
        <f aca="true">OFFSET(B23,-1,0)+1</f>
        <v>8</v>
      </c>
      <c r="C23" s="375" t="str">
        <f aca="true">IF(AUTOEVENTO="Manual",OFFSET(EVENTOS!$D$15,$B23-$B$15,0),IF(B23&lt;=MAX(CÁLCULO!$M$15:$M$205),VLOOKUP($B23,CÁLCULO!$M$15:$N$205,2,FALSE()),0))</f>
        <v>ESQUADRIAS METÁLICAS</v>
      </c>
      <c r="D23" s="375"/>
      <c r="F23" s="377"/>
      <c r="H23" s="377"/>
      <c r="I23" s="377"/>
      <c r="J23" s="377"/>
      <c r="K23" s="377"/>
      <c r="L23" s="377"/>
      <c r="M23" s="377"/>
      <c r="N23" s="377"/>
      <c r="O23" s="377"/>
      <c r="P23" s="377"/>
      <c r="Q23" s="377"/>
      <c r="R23" s="377"/>
      <c r="S23" s="377"/>
      <c r="T23" s="377"/>
      <c r="U23" s="377"/>
      <c r="V23" s="377"/>
      <c r="W23" s="377"/>
      <c r="X23" s="377"/>
      <c r="Y23" s="377"/>
      <c r="Z23" s="377"/>
      <c r="AA23" s="377"/>
      <c r="AB23" s="377"/>
      <c r="AC23" s="377"/>
      <c r="AD23" s="377"/>
      <c r="AE23" s="377"/>
      <c r="AF23" s="377"/>
      <c r="AG23" s="377"/>
      <c r="AH23" s="377"/>
      <c r="AI23" s="377"/>
      <c r="AJ23" s="377"/>
      <c r="AK23" s="377"/>
      <c r="AL23" s="377"/>
      <c r="AM23" s="377"/>
      <c r="AN23" s="377"/>
      <c r="AO23" s="377"/>
      <c r="AP23" s="377"/>
      <c r="AQ23" s="377"/>
      <c r="AR23" s="377"/>
      <c r="AS23" s="377"/>
      <c r="AT23" s="377"/>
      <c r="AU23" s="377"/>
      <c r="AV23" s="377"/>
      <c r="AW23" s="377"/>
      <c r="AX23" s="377"/>
      <c r="AY23" s="377"/>
      <c r="AZ23" s="377"/>
      <c r="BA23" s="377"/>
      <c r="BB23" s="377"/>
      <c r="BC23" s="377"/>
      <c r="BD23" s="377"/>
      <c r="BE23" s="377"/>
    </row>
    <row r="24" customFormat="false" ht="12.75" hidden="false" customHeight="false" outlineLevel="0" collapsed="false">
      <c r="A24" s="50" t="str">
        <f aca="true">IF(AUTOEVENTO="Manual",IF(OFFSET(EVENTOS!$F$14,PLE!$B24,0)&gt;0,"F",""),IF(PLE!B24&lt;=MAX(CÁLCULO!$M$15:$M$205),"F",""))</f>
        <v>F</v>
      </c>
      <c r="B24" s="374" t="n">
        <f aca="true">OFFSET(B24,-1,0)+1</f>
        <v>9</v>
      </c>
      <c r="C24" s="375" t="str">
        <f aca="true">IF(AUTOEVENTO="Manual",OFFSET(EVENTOS!$D$15,$B24-$B$15,0),IF(B24&lt;=MAX(CÁLCULO!$M$15:$M$205),VLOOKUP($B24,CÁLCULO!$M$15:$N$205,2,FALSE()),0))</f>
        <v>ESQUADRIAS DE MADEIRAS</v>
      </c>
      <c r="D24" s="375"/>
      <c r="F24" s="377"/>
      <c r="H24" s="377"/>
      <c r="I24" s="377"/>
      <c r="J24" s="377"/>
      <c r="K24" s="377"/>
      <c r="L24" s="377"/>
      <c r="M24" s="377"/>
      <c r="N24" s="377"/>
      <c r="O24" s="377"/>
      <c r="P24" s="377"/>
      <c r="Q24" s="377"/>
      <c r="R24" s="377"/>
      <c r="S24" s="377"/>
      <c r="T24" s="377"/>
      <c r="U24" s="377"/>
      <c r="V24" s="377"/>
      <c r="W24" s="377"/>
      <c r="X24" s="377"/>
      <c r="Y24" s="377"/>
      <c r="Z24" s="377"/>
      <c r="AA24" s="377"/>
      <c r="AB24" s="377"/>
      <c r="AC24" s="377"/>
      <c r="AD24" s="377"/>
      <c r="AE24" s="377"/>
      <c r="AF24" s="377"/>
      <c r="AG24" s="377"/>
      <c r="AH24" s="377"/>
      <c r="AI24" s="377"/>
      <c r="AJ24" s="377"/>
      <c r="AK24" s="377"/>
      <c r="AL24" s="377"/>
      <c r="AM24" s="377"/>
      <c r="AN24" s="377"/>
      <c r="AO24" s="377"/>
      <c r="AP24" s="377"/>
      <c r="AQ24" s="377"/>
      <c r="AR24" s="377"/>
      <c r="AS24" s="377"/>
      <c r="AT24" s="377"/>
      <c r="AU24" s="377"/>
      <c r="AV24" s="377"/>
      <c r="AW24" s="377"/>
      <c r="AX24" s="377"/>
      <c r="AY24" s="377"/>
      <c r="AZ24" s="377"/>
      <c r="BA24" s="377"/>
      <c r="BB24" s="377"/>
      <c r="BC24" s="377"/>
      <c r="BD24" s="377"/>
      <c r="BE24" s="377"/>
    </row>
    <row r="25" customFormat="false" ht="12.75" hidden="false" customHeight="false" outlineLevel="0" collapsed="false">
      <c r="A25" s="50" t="str">
        <f aca="true">IF(AUTOEVENTO="Manual",IF(OFFSET(EVENTOS!$F$14,PLE!$B25,0)&gt;0,"F",""),IF(PLE!B25&lt;=MAX(CÁLCULO!$M$15:$M$205),"F",""))</f>
        <v>F</v>
      </c>
      <c r="B25" s="374" t="n">
        <f aca="true">OFFSET(B25,-1,0)+1</f>
        <v>10</v>
      </c>
      <c r="C25" s="375" t="str">
        <f aca="true">IF(AUTOEVENTO="Manual",OFFSET(EVENTOS!$D$15,$B25-$B$15,0),IF(B25&lt;=MAX(CÁLCULO!$M$15:$M$205),VLOOKUP($B25,CÁLCULO!$M$15:$N$205,2,FALSE()),0))</f>
        <v>VIDROS E ESQUADRIAS ESPECIAIS</v>
      </c>
      <c r="D25" s="375"/>
      <c r="F25" s="377"/>
      <c r="H25" s="377"/>
      <c r="I25" s="377"/>
      <c r="J25" s="377"/>
      <c r="K25" s="377"/>
      <c r="L25" s="377"/>
      <c r="M25" s="377"/>
      <c r="N25" s="377"/>
      <c r="O25" s="377"/>
      <c r="P25" s="377"/>
      <c r="Q25" s="377"/>
      <c r="R25" s="377"/>
      <c r="S25" s="377"/>
      <c r="T25" s="377"/>
      <c r="U25" s="377"/>
      <c r="V25" s="377"/>
      <c r="W25" s="377"/>
      <c r="X25" s="377"/>
      <c r="Y25" s="377"/>
      <c r="Z25" s="377"/>
      <c r="AA25" s="377"/>
      <c r="AB25" s="377"/>
      <c r="AC25" s="377"/>
      <c r="AD25" s="377"/>
      <c r="AE25" s="377"/>
      <c r="AF25" s="377"/>
      <c r="AG25" s="377"/>
      <c r="AH25" s="377"/>
      <c r="AI25" s="377"/>
      <c r="AJ25" s="377"/>
      <c r="AK25" s="377"/>
      <c r="AL25" s="377"/>
      <c r="AM25" s="377"/>
      <c r="AN25" s="377"/>
      <c r="AO25" s="377"/>
      <c r="AP25" s="377"/>
      <c r="AQ25" s="377"/>
      <c r="AR25" s="377"/>
      <c r="AS25" s="377"/>
      <c r="AT25" s="377"/>
      <c r="AU25" s="377"/>
      <c r="AV25" s="377"/>
      <c r="AW25" s="377"/>
      <c r="AX25" s="377"/>
      <c r="AY25" s="377"/>
      <c r="AZ25" s="377"/>
      <c r="BA25" s="377"/>
      <c r="BB25" s="377"/>
      <c r="BC25" s="377"/>
      <c r="BD25" s="377"/>
      <c r="BE25" s="377"/>
    </row>
    <row r="26" customFormat="false" ht="12.75" hidden="false" customHeight="false" outlineLevel="0" collapsed="false">
      <c r="A26" s="50" t="str">
        <f aca="true">IF(AUTOEVENTO="Manual",IF(OFFSET(EVENTOS!$F$14,PLE!$B26,0)&gt;0,"F",""),IF(PLE!B26&lt;=MAX(CÁLCULO!$M$15:$M$205),"F",""))</f>
        <v>F</v>
      </c>
      <c r="B26" s="374" t="n">
        <f aca="true">OFFSET(B26,-1,0)+1</f>
        <v>11</v>
      </c>
      <c r="C26" s="375" t="str">
        <f aca="true">IF(AUTOEVENTO="Manual",OFFSET(EVENTOS!$D$15,$B26-$B$15,0),IF(B26&lt;=MAX(CÁLCULO!$M$15:$M$205),VLOOKUP($B26,CÁLCULO!$M$15:$N$205,2,FALSE()),0))</f>
        <v>COBERTURA E PROTEÇÕES</v>
      </c>
      <c r="D26" s="375"/>
      <c r="F26" s="377"/>
      <c r="H26" s="377"/>
      <c r="I26" s="377"/>
      <c r="J26" s="377"/>
      <c r="K26" s="377"/>
      <c r="L26" s="377"/>
      <c r="M26" s="377"/>
      <c r="N26" s="377"/>
      <c r="O26" s="377"/>
      <c r="P26" s="377"/>
      <c r="Q26" s="377"/>
      <c r="R26" s="377"/>
      <c r="S26" s="377"/>
      <c r="T26" s="377"/>
      <c r="U26" s="377"/>
      <c r="V26" s="377"/>
      <c r="W26" s="377"/>
      <c r="X26" s="377"/>
      <c r="Y26" s="377"/>
      <c r="Z26" s="377"/>
      <c r="AA26" s="377"/>
      <c r="AB26" s="377"/>
      <c r="AC26" s="377"/>
      <c r="AD26" s="377"/>
      <c r="AE26" s="377"/>
      <c r="AF26" s="377"/>
      <c r="AG26" s="377"/>
      <c r="AH26" s="377"/>
      <c r="AI26" s="377"/>
      <c r="AJ26" s="377"/>
      <c r="AK26" s="377"/>
      <c r="AL26" s="377"/>
      <c r="AM26" s="377"/>
      <c r="AN26" s="377"/>
      <c r="AO26" s="377"/>
      <c r="AP26" s="377"/>
      <c r="AQ26" s="377"/>
      <c r="AR26" s="377"/>
      <c r="AS26" s="377"/>
      <c r="AT26" s="377"/>
      <c r="AU26" s="377"/>
      <c r="AV26" s="377"/>
      <c r="AW26" s="377"/>
      <c r="AX26" s="377"/>
      <c r="AY26" s="377"/>
      <c r="AZ26" s="377"/>
      <c r="BA26" s="377"/>
      <c r="BB26" s="377"/>
      <c r="BC26" s="377"/>
      <c r="BD26" s="377"/>
      <c r="BE26" s="377"/>
    </row>
    <row r="27" customFormat="false" ht="12.75" hidden="false" customHeight="false" outlineLevel="0" collapsed="false">
      <c r="A27" s="50" t="str">
        <f aca="true">IF(AUTOEVENTO="Manual",IF(OFFSET(EVENTOS!$F$14,PLE!$B27,0)&gt;0,"F",""),IF(PLE!B27&lt;=MAX(CÁLCULO!$M$15:$M$205),"F",""))</f>
        <v>F</v>
      </c>
      <c r="B27" s="374" t="n">
        <f aca="true">OFFSET(B27,-1,0)+1</f>
        <v>12</v>
      </c>
      <c r="C27" s="375" t="str">
        <f aca="true">IF(AUTOEVENTO="Manual",OFFSET(EVENTOS!$D$15,$B27-$B$15,0),IF(B27&lt;=MAX(CÁLCULO!$M$15:$M$205),VLOOKUP($B27,CÁLCULO!$M$15:$N$205,2,FALSE()),0))</f>
        <v>REVESTIMENTOS INTERNOS</v>
      </c>
      <c r="D27" s="375"/>
      <c r="F27" s="377"/>
      <c r="H27" s="377"/>
      <c r="I27" s="377"/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377"/>
      <c r="AA27" s="377"/>
      <c r="AB27" s="377"/>
      <c r="AC27" s="377"/>
      <c r="AD27" s="377"/>
      <c r="AE27" s="377"/>
      <c r="AF27" s="377"/>
      <c r="AG27" s="377"/>
      <c r="AH27" s="377"/>
      <c r="AI27" s="377"/>
      <c r="AJ27" s="377"/>
      <c r="AK27" s="377"/>
      <c r="AL27" s="377"/>
      <c r="AM27" s="377"/>
      <c r="AN27" s="377"/>
      <c r="AO27" s="377"/>
      <c r="AP27" s="377"/>
      <c r="AQ27" s="377"/>
      <c r="AR27" s="377"/>
      <c r="AS27" s="377"/>
      <c r="AT27" s="377"/>
      <c r="AU27" s="377"/>
      <c r="AV27" s="377"/>
      <c r="AW27" s="377"/>
      <c r="AX27" s="377"/>
      <c r="AY27" s="377"/>
      <c r="AZ27" s="377"/>
      <c r="BA27" s="377"/>
      <c r="BB27" s="377"/>
      <c r="BC27" s="377"/>
      <c r="BD27" s="377"/>
      <c r="BE27" s="377"/>
    </row>
    <row r="28" customFormat="false" ht="12.75" hidden="false" customHeight="false" outlineLevel="0" collapsed="false">
      <c r="A28" s="50" t="str">
        <f aca="true">IF(AUTOEVENTO="Manual",IF(OFFSET(EVENTOS!$F$14,PLE!$B28,0)&gt;0,"F",""),IF(PLE!B28&lt;=MAX(CÁLCULO!$M$15:$M$205),"F",""))</f>
        <v>F</v>
      </c>
      <c r="B28" s="374" t="n">
        <f aca="true">OFFSET(B28,-1,0)+1</f>
        <v>13</v>
      </c>
      <c r="C28" s="375" t="str">
        <f aca="true">IF(AUTOEVENTO="Manual",OFFSET(EVENTOS!$D$15,$B28-$B$15,0),IF(B28&lt;=MAX(CÁLCULO!$M$15:$M$205),VLOOKUP($B28,CÁLCULO!$M$15:$N$205,2,FALSE()),0))</f>
        <v>REVESTIMENTOS CERÂMICOS</v>
      </c>
      <c r="D28" s="375"/>
      <c r="F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7"/>
      <c r="T28" s="377"/>
      <c r="U28" s="377"/>
      <c r="V28" s="377"/>
      <c r="W28" s="377"/>
      <c r="X28" s="377"/>
      <c r="Y28" s="377"/>
      <c r="Z28" s="377"/>
      <c r="AA28" s="377"/>
      <c r="AB28" s="377"/>
      <c r="AC28" s="377"/>
      <c r="AD28" s="377"/>
      <c r="AE28" s="377"/>
      <c r="AF28" s="377"/>
      <c r="AG28" s="377"/>
      <c r="AH28" s="377"/>
      <c r="AI28" s="377"/>
      <c r="AJ28" s="377"/>
      <c r="AK28" s="377"/>
      <c r="AL28" s="377"/>
      <c r="AM28" s="377"/>
      <c r="AN28" s="377"/>
      <c r="AO28" s="377"/>
      <c r="AP28" s="377"/>
      <c r="AQ28" s="377"/>
      <c r="AR28" s="377"/>
      <c r="AS28" s="377"/>
      <c r="AT28" s="377"/>
      <c r="AU28" s="377"/>
      <c r="AV28" s="377"/>
      <c r="AW28" s="377"/>
      <c r="AX28" s="377"/>
      <c r="AY28" s="377"/>
      <c r="AZ28" s="377"/>
      <c r="BA28" s="377"/>
      <c r="BB28" s="377"/>
      <c r="BC28" s="377"/>
      <c r="BD28" s="377"/>
      <c r="BE28" s="377"/>
    </row>
    <row r="29" customFormat="false" ht="12.75" hidden="false" customHeight="false" outlineLevel="0" collapsed="false">
      <c r="A29" s="50" t="str">
        <f aca="true">IF(AUTOEVENTO="Manual",IF(OFFSET(EVENTOS!$F$14,PLE!$B29,0)&gt;0,"F",""),IF(PLE!B29&lt;=MAX(CÁLCULO!$M$15:$M$205),"F",""))</f>
        <v>F</v>
      </c>
      <c r="B29" s="374" t="n">
        <f aca="true">OFFSET(B29,-1,0)+1</f>
        <v>14</v>
      </c>
      <c r="C29" s="375" t="str">
        <f aca="true">IF(AUTOEVENTO="Manual",OFFSET(EVENTOS!$D$15,$B29-$B$15,0),IF(B29&lt;=MAX(CÁLCULO!$M$15:$M$205),VLOOKUP($B29,CÁLCULO!$M$15:$N$205,2,FALSE()),0))</f>
        <v>REVESTIMENTOS EXTERNOS</v>
      </c>
      <c r="D29" s="375"/>
      <c r="F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7"/>
      <c r="T29" s="377"/>
      <c r="U29" s="377"/>
      <c r="V29" s="377"/>
      <c r="W29" s="377"/>
      <c r="X29" s="377"/>
      <c r="Y29" s="377"/>
      <c r="Z29" s="377"/>
      <c r="AA29" s="377"/>
      <c r="AB29" s="377"/>
      <c r="AC29" s="377"/>
      <c r="AD29" s="377"/>
      <c r="AE29" s="377"/>
      <c r="AF29" s="377"/>
      <c r="AG29" s="377"/>
      <c r="AH29" s="377"/>
      <c r="AI29" s="377"/>
      <c r="AJ29" s="377"/>
      <c r="AK29" s="377"/>
      <c r="AL29" s="377"/>
      <c r="AM29" s="377"/>
      <c r="AN29" s="377"/>
      <c r="AO29" s="377"/>
      <c r="AP29" s="377"/>
      <c r="AQ29" s="377"/>
      <c r="AR29" s="377"/>
      <c r="AS29" s="377"/>
      <c r="AT29" s="377"/>
      <c r="AU29" s="377"/>
      <c r="AV29" s="377"/>
      <c r="AW29" s="377"/>
      <c r="AX29" s="377"/>
      <c r="AY29" s="377"/>
      <c r="AZ29" s="377"/>
      <c r="BA29" s="377"/>
      <c r="BB29" s="377"/>
      <c r="BC29" s="377"/>
      <c r="BD29" s="377"/>
      <c r="BE29" s="377"/>
    </row>
    <row r="30" customFormat="false" ht="12.75" hidden="false" customHeight="false" outlineLevel="0" collapsed="false">
      <c r="A30" s="50" t="str">
        <f aca="true">IF(AUTOEVENTO="Manual",IF(OFFSET(EVENTOS!$F$14,PLE!$B30,0)&gt;0,"F",""),IF(PLE!B30&lt;=MAX(CÁLCULO!$M$15:$M$205),"F",""))</f>
        <v>F</v>
      </c>
      <c r="B30" s="374" t="n">
        <f aca="true">OFFSET(B30,-1,0)+1</f>
        <v>15</v>
      </c>
      <c r="C30" s="375" t="str">
        <f aca="true">IF(AUTOEVENTO="Manual",OFFSET(EVENTOS!$D$15,$B30-$B$15,0),IF(B30&lt;=MAX(CÁLCULO!$M$15:$M$205),VLOOKUP($B30,CÁLCULO!$M$15:$N$205,2,FALSE()),0))</f>
        <v>PINTURAS INTERNAS</v>
      </c>
      <c r="D30" s="375"/>
      <c r="F30" s="377"/>
      <c r="H30" s="377"/>
      <c r="I30" s="377"/>
      <c r="J30" s="377"/>
      <c r="K30" s="377"/>
      <c r="L30" s="377"/>
      <c r="M30" s="377"/>
      <c r="N30" s="377"/>
      <c r="O30" s="377"/>
      <c r="P30" s="377"/>
      <c r="Q30" s="377"/>
      <c r="R30" s="377"/>
      <c r="S30" s="377"/>
      <c r="T30" s="377"/>
      <c r="U30" s="377"/>
      <c r="V30" s="377"/>
      <c r="W30" s="377"/>
      <c r="X30" s="377"/>
      <c r="Y30" s="377"/>
      <c r="Z30" s="377"/>
      <c r="AA30" s="377"/>
      <c r="AB30" s="377"/>
      <c r="AC30" s="377"/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7"/>
      <c r="AO30" s="377"/>
      <c r="AP30" s="377"/>
      <c r="AQ30" s="377"/>
      <c r="AR30" s="377"/>
      <c r="AS30" s="377"/>
      <c r="AT30" s="377"/>
      <c r="AU30" s="377"/>
      <c r="AV30" s="377"/>
      <c r="AW30" s="377"/>
      <c r="AX30" s="377"/>
      <c r="AY30" s="377"/>
      <c r="AZ30" s="377"/>
      <c r="BA30" s="377"/>
      <c r="BB30" s="377"/>
      <c r="BC30" s="377"/>
      <c r="BD30" s="377"/>
      <c r="BE30" s="377"/>
    </row>
    <row r="31" customFormat="false" ht="12.75" hidden="false" customHeight="false" outlineLevel="0" collapsed="false">
      <c r="A31" s="50" t="str">
        <f aca="true">IF(AUTOEVENTO="Manual",IF(OFFSET(EVENTOS!$F$14,PLE!$B31,0)&gt;0,"F",""),IF(PLE!B31&lt;=MAX(CÁLCULO!$M$15:$M$205),"F",""))</f>
        <v>F</v>
      </c>
      <c r="B31" s="374" t="n">
        <f aca="true">OFFSET(B31,-1,0)+1</f>
        <v>16</v>
      </c>
      <c r="C31" s="375" t="str">
        <f aca="true">IF(AUTOEVENTO="Manual",OFFSET(EVENTOS!$D$15,$B31-$B$15,0),IF(B31&lt;=MAX(CÁLCULO!$M$15:$M$205),VLOOKUP($B31,CÁLCULO!$M$15:$N$205,2,FALSE()),0))</f>
        <v>PINTURAS EXTERNAS</v>
      </c>
      <c r="D31" s="375"/>
      <c r="F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7"/>
      <c r="T31" s="377"/>
      <c r="U31" s="377"/>
      <c r="V31" s="377"/>
      <c r="W31" s="377"/>
      <c r="X31" s="377"/>
      <c r="Y31" s="377"/>
      <c r="Z31" s="377"/>
      <c r="AA31" s="377"/>
      <c r="AB31" s="377"/>
      <c r="AC31" s="377"/>
      <c r="AD31" s="377"/>
      <c r="AE31" s="377"/>
      <c r="AF31" s="377"/>
      <c r="AG31" s="377"/>
      <c r="AH31" s="377"/>
      <c r="AI31" s="377"/>
      <c r="AJ31" s="377"/>
      <c r="AK31" s="377"/>
      <c r="AL31" s="377"/>
      <c r="AM31" s="377"/>
      <c r="AN31" s="377"/>
      <c r="AO31" s="377"/>
      <c r="AP31" s="377"/>
      <c r="AQ31" s="377"/>
      <c r="AR31" s="377"/>
      <c r="AS31" s="377"/>
      <c r="AT31" s="377"/>
      <c r="AU31" s="377"/>
      <c r="AV31" s="377"/>
      <c r="AW31" s="377"/>
      <c r="AX31" s="377"/>
      <c r="AY31" s="377"/>
      <c r="AZ31" s="377"/>
      <c r="BA31" s="377"/>
      <c r="BB31" s="377"/>
      <c r="BC31" s="377"/>
      <c r="BD31" s="377"/>
      <c r="BE31" s="377"/>
    </row>
    <row r="32" customFormat="false" ht="12.75" hidden="false" customHeight="false" outlineLevel="0" collapsed="false">
      <c r="A32" s="50" t="str">
        <f aca="true">IF(AUTOEVENTO="Manual",IF(OFFSET(EVENTOS!$F$14,PLE!$B32,0)&gt;0,"F",""),IF(PLE!B32&lt;=MAX(CÁLCULO!$M$15:$M$205),"F",""))</f>
        <v>F</v>
      </c>
      <c r="B32" s="374" t="n">
        <f aca="true">OFFSET(B32,-1,0)+1</f>
        <v>17</v>
      </c>
      <c r="C32" s="375" t="str">
        <f aca="true">IF(AUTOEVENTO="Manual",OFFSET(EVENTOS!$D$15,$B32-$B$15,0),IF(B32&lt;=MAX(CÁLCULO!$M$15:$M$205),VLOOKUP($B32,CÁLCULO!$M$15:$N$205,2,FALSE()),0))</f>
        <v>PINTURA ESQUADRIAS</v>
      </c>
      <c r="D32" s="375"/>
      <c r="F32" s="377"/>
      <c r="H32" s="377"/>
      <c r="I32" s="377"/>
      <c r="J32" s="377"/>
      <c r="K32" s="377"/>
      <c r="L32" s="377"/>
      <c r="M32" s="377"/>
      <c r="N32" s="377"/>
      <c r="O32" s="377"/>
      <c r="P32" s="377"/>
      <c r="Q32" s="377"/>
      <c r="R32" s="377"/>
      <c r="S32" s="377"/>
      <c r="T32" s="377"/>
      <c r="U32" s="377"/>
      <c r="V32" s="377"/>
      <c r="W32" s="377"/>
      <c r="X32" s="377"/>
      <c r="Y32" s="377"/>
      <c r="Z32" s="377"/>
      <c r="AA32" s="377"/>
      <c r="AB32" s="377"/>
      <c r="AC32" s="377"/>
      <c r="AD32" s="377"/>
      <c r="AE32" s="377"/>
      <c r="AF32" s="377"/>
      <c r="AG32" s="377"/>
      <c r="AH32" s="377"/>
      <c r="AI32" s="377"/>
      <c r="AJ32" s="377"/>
      <c r="AK32" s="377"/>
      <c r="AL32" s="377"/>
      <c r="AM32" s="377"/>
      <c r="AN32" s="377"/>
      <c r="AO32" s="377"/>
      <c r="AP32" s="377"/>
      <c r="AQ32" s="377"/>
      <c r="AR32" s="377"/>
      <c r="AS32" s="377"/>
      <c r="AT32" s="377"/>
      <c r="AU32" s="377"/>
      <c r="AV32" s="377"/>
      <c r="AW32" s="377"/>
      <c r="AX32" s="377"/>
      <c r="AY32" s="377"/>
      <c r="AZ32" s="377"/>
      <c r="BA32" s="377"/>
      <c r="BB32" s="377"/>
      <c r="BC32" s="377"/>
      <c r="BD32" s="377"/>
      <c r="BE32" s="377"/>
    </row>
    <row r="33" customFormat="false" ht="12.75" hidden="false" customHeight="false" outlineLevel="0" collapsed="false">
      <c r="A33" s="50" t="str">
        <f aca="true">IF(AUTOEVENTO="Manual",IF(OFFSET(EVENTOS!$F$14,PLE!$B33,0)&gt;0,"F",""),IF(PLE!B33&lt;=MAX(CÁLCULO!$M$15:$M$205),"F",""))</f>
        <v>F</v>
      </c>
      <c r="B33" s="374" t="n">
        <f aca="true">OFFSET(B33,-1,0)+1</f>
        <v>18</v>
      </c>
      <c r="C33" s="375" t="str">
        <f aca="true">IF(AUTOEVENTO="Manual",OFFSET(EVENTOS!$D$15,$B33-$B$15,0),IF(B33&lt;=MAX(CÁLCULO!$M$15:$M$205),VLOOKUP($B33,CÁLCULO!$M$15:$N$205,2,FALSE()),0))</f>
        <v>CERÂMICA</v>
      </c>
      <c r="D33" s="375"/>
      <c r="F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7"/>
      <c r="T33" s="377"/>
      <c r="U33" s="377"/>
      <c r="V33" s="377"/>
      <c r="W33" s="377"/>
      <c r="X33" s="377"/>
      <c r="Y33" s="377"/>
      <c r="Z33" s="377"/>
      <c r="AA33" s="377"/>
      <c r="AB33" s="377"/>
      <c r="AC33" s="377"/>
      <c r="AD33" s="377"/>
      <c r="AE33" s="377"/>
      <c r="AF33" s="377"/>
      <c r="AG33" s="377"/>
      <c r="AH33" s="377"/>
      <c r="AI33" s="377"/>
      <c r="AJ33" s="377"/>
      <c r="AK33" s="377"/>
      <c r="AL33" s="377"/>
      <c r="AM33" s="377"/>
      <c r="AN33" s="377"/>
      <c r="AO33" s="377"/>
      <c r="AP33" s="377"/>
      <c r="AQ33" s="377"/>
      <c r="AR33" s="377"/>
      <c r="AS33" s="377"/>
      <c r="AT33" s="377"/>
      <c r="AU33" s="377"/>
      <c r="AV33" s="377"/>
      <c r="AW33" s="377"/>
      <c r="AX33" s="377"/>
      <c r="AY33" s="377"/>
      <c r="AZ33" s="377"/>
      <c r="BA33" s="377"/>
      <c r="BB33" s="377"/>
      <c r="BC33" s="377"/>
      <c r="BD33" s="377"/>
      <c r="BE33" s="377"/>
    </row>
    <row r="34" customFormat="false" ht="12.75" hidden="false" customHeight="false" outlineLevel="0" collapsed="false">
      <c r="A34" s="50" t="str">
        <f aca="true">IF(AUTOEVENTO="Manual",IF(OFFSET(EVENTOS!$F$14,PLE!$B34,0)&gt;0,"F",""),IF(PLE!B34&lt;=MAX(CÁLCULO!$M$15:$M$205),"F",""))</f>
        <v>F</v>
      </c>
      <c r="B34" s="374" t="n">
        <f aca="true">OFFSET(B34,-1,0)+1</f>
        <v>19</v>
      </c>
      <c r="C34" s="375" t="str">
        <f aca="true">IF(AUTOEVENTO="Manual",OFFSET(EVENTOS!$D$15,$B34-$B$15,0),IF(B34&lt;=MAX(CÁLCULO!$M$15:$M$205),VLOOKUP($B34,CÁLCULO!$M$15:$N$205,2,FALSE()),0))</f>
        <v>CIMENTADOS</v>
      </c>
      <c r="D34" s="375"/>
      <c r="F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7"/>
      <c r="T34" s="377"/>
      <c r="U34" s="377"/>
      <c r="V34" s="377"/>
      <c r="W34" s="377"/>
      <c r="X34" s="377"/>
      <c r="Y34" s="377"/>
      <c r="Z34" s="377"/>
      <c r="AA34" s="377"/>
      <c r="AB34" s="377"/>
      <c r="AC34" s="377"/>
      <c r="AD34" s="377"/>
      <c r="AE34" s="377"/>
      <c r="AF34" s="377"/>
      <c r="AG34" s="377"/>
      <c r="AH34" s="377"/>
      <c r="AI34" s="377"/>
      <c r="AJ34" s="377"/>
      <c r="AK34" s="377"/>
      <c r="AL34" s="377"/>
      <c r="AM34" s="377"/>
      <c r="AN34" s="377"/>
      <c r="AO34" s="377"/>
      <c r="AP34" s="377"/>
      <c r="AQ34" s="377"/>
      <c r="AR34" s="377"/>
      <c r="AS34" s="377"/>
      <c r="AT34" s="377"/>
      <c r="AU34" s="377"/>
      <c r="AV34" s="377"/>
      <c r="AW34" s="377"/>
      <c r="AX34" s="377"/>
      <c r="AY34" s="377"/>
      <c r="AZ34" s="377"/>
      <c r="BA34" s="377"/>
      <c r="BB34" s="377"/>
      <c r="BC34" s="377"/>
      <c r="BD34" s="377"/>
      <c r="BE34" s="377"/>
    </row>
    <row r="35" customFormat="false" ht="12.75" hidden="false" customHeight="false" outlineLevel="0" collapsed="false">
      <c r="A35" s="50" t="str">
        <f aca="true">IF(AUTOEVENTO="Manual",IF(OFFSET(EVENTOS!$F$14,PLE!$B35,0)&gt;0,"F",""),IF(PLE!B35&lt;=MAX(CÁLCULO!$M$15:$M$205),"F",""))</f>
        <v>F</v>
      </c>
      <c r="B35" s="374" t="n">
        <f aca="true">OFFSET(B35,-1,0)+1</f>
        <v>20</v>
      </c>
      <c r="C35" s="375" t="str">
        <f aca="true">IF(AUTOEVENTO="Manual",OFFSET(EVENTOS!$D$15,$B35-$B$15,0),IF(B35&lt;=MAX(CÁLCULO!$M$15:$M$205),VLOOKUP($B35,CÁLCULO!$M$15:$N$205,2,FALSE()),0))</f>
        <v>RODAPÉS, SOLEIRAS E PEITORIS</v>
      </c>
      <c r="D35" s="375"/>
      <c r="F35" s="377"/>
      <c r="H35" s="377"/>
      <c r="I35" s="377"/>
      <c r="J35" s="377"/>
      <c r="K35" s="377"/>
      <c r="L35" s="377"/>
      <c r="M35" s="377"/>
      <c r="N35" s="377"/>
      <c r="O35" s="377"/>
      <c r="P35" s="377"/>
      <c r="Q35" s="377"/>
      <c r="R35" s="377"/>
      <c r="S35" s="377"/>
      <c r="T35" s="377"/>
      <c r="U35" s="377"/>
      <c r="V35" s="377"/>
      <c r="W35" s="377"/>
      <c r="X35" s="377"/>
      <c r="Y35" s="377"/>
      <c r="Z35" s="377"/>
      <c r="AA35" s="377"/>
      <c r="AB35" s="377"/>
      <c r="AC35" s="377"/>
      <c r="AD35" s="377"/>
      <c r="AE35" s="377"/>
      <c r="AF35" s="377"/>
      <c r="AG35" s="377"/>
      <c r="AH35" s="377"/>
      <c r="AI35" s="377"/>
      <c r="AJ35" s="377"/>
      <c r="AK35" s="377"/>
      <c r="AL35" s="377"/>
      <c r="AM35" s="377"/>
      <c r="AN35" s="377"/>
      <c r="AO35" s="377"/>
      <c r="AP35" s="377"/>
      <c r="AQ35" s="377"/>
      <c r="AR35" s="377"/>
      <c r="AS35" s="377"/>
      <c r="AT35" s="377"/>
      <c r="AU35" s="377"/>
      <c r="AV35" s="377"/>
      <c r="AW35" s="377"/>
      <c r="AX35" s="377"/>
      <c r="AY35" s="377"/>
      <c r="AZ35" s="377"/>
      <c r="BA35" s="377"/>
      <c r="BB35" s="377"/>
      <c r="BC35" s="377"/>
      <c r="BD35" s="377"/>
      <c r="BE35" s="377"/>
    </row>
    <row r="36" customFormat="false" ht="12.75" hidden="false" customHeight="false" outlineLevel="0" collapsed="false">
      <c r="A36" s="50" t="str">
        <f aca="true">IF(AUTOEVENTO="Manual",IF(OFFSET(EVENTOS!$F$14,PLE!$B36,0)&gt;0,"F",""),IF(PLE!B36&lt;=MAX(CÁLCULO!$M$15:$M$205),"F",""))</f>
        <v>F</v>
      </c>
      <c r="B36" s="374" t="n">
        <f aca="true">OFFSET(B36,-1,0)+1</f>
        <v>21</v>
      </c>
      <c r="C36" s="375" t="str">
        <f aca="true">IF(AUTOEVENTO="Manual",OFFSET(EVENTOS!$D$15,$B36-$B$15,0),IF(B36&lt;=MAX(CÁLCULO!$M$15:$M$205),VLOOKUP($B36,CÁLCULO!$M$15:$N$205,2,FALSE()),0))</f>
        <v>CENTRO DE DISTRIBUIÇÃO</v>
      </c>
      <c r="D36" s="375"/>
      <c r="F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7"/>
      <c r="T36" s="377"/>
      <c r="U36" s="377"/>
      <c r="V36" s="377"/>
      <c r="W36" s="377"/>
      <c r="X36" s="377"/>
      <c r="Y36" s="377"/>
      <c r="Z36" s="377"/>
      <c r="AA36" s="377"/>
      <c r="AB36" s="377"/>
      <c r="AC36" s="377"/>
      <c r="AD36" s="377"/>
      <c r="AE36" s="377"/>
      <c r="AF36" s="377"/>
      <c r="AG36" s="377"/>
      <c r="AH36" s="377"/>
      <c r="AI36" s="377"/>
      <c r="AJ36" s="377"/>
      <c r="AK36" s="377"/>
      <c r="AL36" s="377"/>
      <c r="AM36" s="377"/>
      <c r="AN36" s="377"/>
      <c r="AO36" s="377"/>
      <c r="AP36" s="377"/>
      <c r="AQ36" s="377"/>
      <c r="AR36" s="377"/>
      <c r="AS36" s="377"/>
      <c r="AT36" s="377"/>
      <c r="AU36" s="377"/>
      <c r="AV36" s="377"/>
      <c r="AW36" s="377"/>
      <c r="AX36" s="377"/>
      <c r="AY36" s="377"/>
      <c r="AZ36" s="377"/>
      <c r="BA36" s="377"/>
      <c r="BB36" s="377"/>
      <c r="BC36" s="377"/>
      <c r="BD36" s="377"/>
      <c r="BE36" s="377"/>
    </row>
    <row r="37" customFormat="false" ht="12.75" hidden="false" customHeight="false" outlineLevel="0" collapsed="false">
      <c r="A37" s="50" t="str">
        <f aca="true">IF(AUTOEVENTO="Manual",IF(OFFSET(EVENTOS!$F$14,PLE!$B37,0)&gt;0,"F",""),IF(PLE!B37&lt;=MAX(CÁLCULO!$M$15:$M$205),"F",""))</f>
        <v>F</v>
      </c>
      <c r="B37" s="374" t="n">
        <f aca="true">OFFSET(B37,-1,0)+1</f>
        <v>22</v>
      </c>
      <c r="C37" s="375" t="str">
        <f aca="true">IF(AUTOEVENTO="Manual",OFFSET(EVENTOS!$D$15,$B37-$B$15,0),IF(B37&lt;=MAX(CÁLCULO!$M$15:$M$205),VLOOKUP($B37,CÁLCULO!$M$15:$N$205,2,FALSE()),0))</f>
        <v>ILUMINAÇÃO, TOMADAS E INTERRUPTORES</v>
      </c>
      <c r="D37" s="375"/>
      <c r="F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7"/>
      <c r="T37" s="377"/>
      <c r="U37" s="377"/>
      <c r="V37" s="377"/>
      <c r="W37" s="377"/>
      <c r="X37" s="377"/>
      <c r="Y37" s="377"/>
      <c r="Z37" s="377"/>
      <c r="AA37" s="377"/>
      <c r="AB37" s="377"/>
      <c r="AC37" s="377"/>
      <c r="AD37" s="377"/>
      <c r="AE37" s="377"/>
      <c r="AF37" s="377"/>
      <c r="AG37" s="377"/>
      <c r="AH37" s="377"/>
      <c r="AI37" s="377"/>
      <c r="AJ37" s="377"/>
      <c r="AK37" s="377"/>
      <c r="AL37" s="377"/>
      <c r="AM37" s="377"/>
      <c r="AN37" s="377"/>
      <c r="AO37" s="377"/>
      <c r="AP37" s="377"/>
      <c r="AQ37" s="377"/>
      <c r="AR37" s="377"/>
      <c r="AS37" s="377"/>
      <c r="AT37" s="377"/>
      <c r="AU37" s="377"/>
      <c r="AV37" s="377"/>
      <c r="AW37" s="377"/>
      <c r="AX37" s="377"/>
      <c r="AY37" s="377"/>
      <c r="AZ37" s="377"/>
      <c r="BA37" s="377"/>
      <c r="BB37" s="377"/>
      <c r="BC37" s="377"/>
      <c r="BD37" s="377"/>
      <c r="BE37" s="377"/>
    </row>
    <row r="38" customFormat="false" ht="12.75" hidden="false" customHeight="false" outlineLevel="0" collapsed="false">
      <c r="A38" s="50" t="str">
        <f aca="true">IF(AUTOEVENTO="Manual",IF(OFFSET(EVENTOS!$F$14,PLE!$B38,0)&gt;0,"F",""),IF(PLE!B38&lt;=MAX(CÁLCULO!$M$15:$M$205),"F",""))</f>
        <v>F</v>
      </c>
      <c r="B38" s="374" t="n">
        <f aca="true">OFFSET(B38,-1,0)+1</f>
        <v>23</v>
      </c>
      <c r="C38" s="375" t="str">
        <f aca="true">IF(AUTOEVENTO="Manual",OFFSET(EVENTOS!$D$15,$B38-$B$15,0),IF(B38&lt;=MAX(CÁLCULO!$M$15:$M$205),VLOOKUP($B38,CÁLCULO!$M$15:$N$205,2,FALSE()),0))</f>
        <v>FIOS E CABOS</v>
      </c>
      <c r="D38" s="375"/>
      <c r="F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7"/>
      <c r="T38" s="377"/>
      <c r="U38" s="377"/>
      <c r="V38" s="377"/>
      <c r="W38" s="377"/>
      <c r="X38" s="377"/>
      <c r="Y38" s="377"/>
      <c r="Z38" s="377"/>
      <c r="AA38" s="377"/>
      <c r="AB38" s="377"/>
      <c r="AC38" s="377"/>
      <c r="AD38" s="377"/>
      <c r="AE38" s="377"/>
      <c r="AF38" s="377"/>
      <c r="AG38" s="377"/>
      <c r="AH38" s="377"/>
      <c r="AI38" s="377"/>
      <c r="AJ38" s="377"/>
      <c r="AK38" s="377"/>
      <c r="AL38" s="377"/>
      <c r="AM38" s="377"/>
      <c r="AN38" s="377"/>
      <c r="AO38" s="377"/>
      <c r="AP38" s="377"/>
      <c r="AQ38" s="377"/>
      <c r="AR38" s="377"/>
      <c r="AS38" s="377"/>
      <c r="AT38" s="377"/>
      <c r="AU38" s="377"/>
      <c r="AV38" s="377"/>
      <c r="AW38" s="377"/>
      <c r="AX38" s="377"/>
      <c r="AY38" s="377"/>
      <c r="AZ38" s="377"/>
      <c r="BA38" s="377"/>
      <c r="BB38" s="377"/>
      <c r="BC38" s="377"/>
      <c r="BD38" s="377"/>
      <c r="BE38" s="377"/>
    </row>
    <row r="39" customFormat="false" ht="12.75" hidden="false" customHeight="false" outlineLevel="0" collapsed="false">
      <c r="A39" s="50" t="str">
        <f aca="true">IF(AUTOEVENTO="Manual",IF(OFFSET(EVENTOS!$F$14,PLE!$B39,0)&gt;0,"F",""),IF(PLE!B39&lt;=MAX(CÁLCULO!$M$15:$M$205),"F",""))</f>
        <v>F</v>
      </c>
      <c r="B39" s="374" t="n">
        <f aca="true">OFFSET(B39,-1,0)+1</f>
        <v>24</v>
      </c>
      <c r="C39" s="375" t="str">
        <f aca="true">IF(AUTOEVENTO="Manual",OFFSET(EVENTOS!$D$15,$B39-$B$15,0),IF(B39&lt;=MAX(CÁLCULO!$M$15:$M$205),VLOOKUP($B39,CÁLCULO!$M$15:$N$205,2,FALSE()),0))</f>
        <v>TUBULAÇÕES E CONEXÕES</v>
      </c>
      <c r="D39" s="375"/>
      <c r="F39" s="377"/>
      <c r="H39" s="377"/>
      <c r="I39" s="377"/>
      <c r="J39" s="377"/>
      <c r="K39" s="377"/>
      <c r="L39" s="377"/>
      <c r="M39" s="377"/>
      <c r="N39" s="377"/>
      <c r="O39" s="377"/>
      <c r="P39" s="377"/>
      <c r="Q39" s="377"/>
      <c r="R39" s="377"/>
      <c r="S39" s="377"/>
      <c r="T39" s="377"/>
      <c r="U39" s="377"/>
      <c r="V39" s="377"/>
      <c r="W39" s="377"/>
      <c r="X39" s="377"/>
      <c r="Y39" s="377"/>
      <c r="Z39" s="377"/>
      <c r="AA39" s="377"/>
      <c r="AB39" s="377"/>
      <c r="AC39" s="377"/>
      <c r="AD39" s="377"/>
      <c r="AE39" s="377"/>
      <c r="AF39" s="377"/>
      <c r="AG39" s="377"/>
      <c r="AH39" s="377"/>
      <c r="AI39" s="377"/>
      <c r="AJ39" s="377"/>
      <c r="AK39" s="377"/>
      <c r="AL39" s="377"/>
      <c r="AM39" s="377"/>
      <c r="AN39" s="377"/>
      <c r="AO39" s="377"/>
      <c r="AP39" s="377"/>
      <c r="AQ39" s="377"/>
      <c r="AR39" s="377"/>
      <c r="AS39" s="377"/>
      <c r="AT39" s="377"/>
      <c r="AU39" s="377"/>
      <c r="AV39" s="377"/>
      <c r="AW39" s="377"/>
      <c r="AX39" s="377"/>
      <c r="AY39" s="377"/>
      <c r="AZ39" s="377"/>
      <c r="BA39" s="377"/>
      <c r="BB39" s="377"/>
      <c r="BC39" s="377"/>
      <c r="BD39" s="377"/>
      <c r="BE39" s="377"/>
    </row>
    <row r="40" customFormat="false" ht="12.75" hidden="false" customHeight="false" outlineLevel="0" collapsed="false">
      <c r="A40" s="50" t="str">
        <f aca="true">IF(AUTOEVENTO="Manual",IF(OFFSET(EVENTOS!$F$14,PLE!$B40,0)&gt;0,"F",""),IF(PLE!B40&lt;=MAX(CÁLCULO!$M$15:$M$205),"F",""))</f>
        <v>F</v>
      </c>
      <c r="B40" s="374" t="n">
        <f aca="true">OFFSET(B40,-1,0)+1</f>
        <v>25</v>
      </c>
      <c r="C40" s="375" t="str">
        <f aca="true">IF(AUTOEVENTO="Manual",OFFSET(EVENTOS!$D$15,$B40-$B$15,0),IF(B40&lt;=MAX(CÁLCULO!$M$15:$M$205),VLOOKUP($B40,CÁLCULO!$M$15:$N$205,2,FALSE()),0))</f>
        <v>REGISTROS </v>
      </c>
      <c r="D40" s="375"/>
      <c r="F40" s="377"/>
      <c r="H40" s="377"/>
      <c r="I40" s="377"/>
      <c r="J40" s="377"/>
      <c r="K40" s="377"/>
      <c r="L40" s="377"/>
      <c r="M40" s="377"/>
      <c r="N40" s="377"/>
      <c r="O40" s="377"/>
      <c r="P40" s="377"/>
      <c r="Q40" s="377"/>
      <c r="R40" s="377"/>
      <c r="S40" s="377"/>
      <c r="T40" s="377"/>
      <c r="U40" s="377"/>
      <c r="V40" s="377"/>
      <c r="W40" s="377"/>
      <c r="X40" s="377"/>
      <c r="Y40" s="377"/>
      <c r="Z40" s="377"/>
      <c r="AA40" s="377"/>
      <c r="AB40" s="377"/>
      <c r="AC40" s="377"/>
      <c r="AD40" s="377"/>
      <c r="AE40" s="377"/>
      <c r="AF40" s="377"/>
      <c r="AG40" s="377"/>
      <c r="AH40" s="377"/>
      <c r="AI40" s="377"/>
      <c r="AJ40" s="377"/>
      <c r="AK40" s="377"/>
      <c r="AL40" s="377"/>
      <c r="AM40" s="377"/>
      <c r="AN40" s="377"/>
      <c r="AO40" s="377"/>
      <c r="AP40" s="377"/>
      <c r="AQ40" s="377"/>
      <c r="AR40" s="377"/>
      <c r="AS40" s="377"/>
      <c r="AT40" s="377"/>
      <c r="AU40" s="377"/>
      <c r="AV40" s="377"/>
      <c r="AW40" s="377"/>
      <c r="AX40" s="377"/>
      <c r="AY40" s="377"/>
      <c r="AZ40" s="377"/>
      <c r="BA40" s="377"/>
      <c r="BB40" s="377"/>
      <c r="BC40" s="377"/>
      <c r="BD40" s="377"/>
      <c r="BE40" s="377"/>
    </row>
    <row r="41" customFormat="false" ht="12.75" hidden="false" customHeight="false" outlineLevel="0" collapsed="false">
      <c r="A41" s="50" t="str">
        <f aca="true">IF(AUTOEVENTO="Manual",IF(OFFSET(EVENTOS!$F$14,PLE!$B41,0)&gt;0,"F",""),IF(PLE!B41&lt;=MAX(CÁLCULO!$M$15:$M$205),"F",""))</f>
        <v>F</v>
      </c>
      <c r="B41" s="374" t="n">
        <f aca="true">OFFSET(B41,-1,0)+1</f>
        <v>26</v>
      </c>
      <c r="C41" s="375" t="str">
        <f aca="true">IF(AUTOEVENTO="Manual",OFFSET(EVENTOS!$D$15,$B41-$B$15,0),IF(B41&lt;=MAX(CÁLCULO!$M$15:$M$205),VLOOKUP($B41,CÁLCULO!$M$15:$N$205,2,FALSE()),0))</f>
        <v>ENTRADA / ALIMENTAÇÃO</v>
      </c>
      <c r="D41" s="375"/>
      <c r="F41" s="377"/>
      <c r="H41" s="377"/>
      <c r="I41" s="377"/>
      <c r="J41" s="377"/>
      <c r="K41" s="377"/>
      <c r="L41" s="377"/>
      <c r="M41" s="377"/>
      <c r="N41" s="377"/>
      <c r="O41" s="377"/>
      <c r="P41" s="377"/>
      <c r="Q41" s="377"/>
      <c r="R41" s="377"/>
      <c r="S41" s="377"/>
      <c r="T41" s="377"/>
      <c r="U41" s="377"/>
      <c r="V41" s="377"/>
      <c r="W41" s="377"/>
      <c r="X41" s="377"/>
      <c r="Y41" s="377"/>
      <c r="Z41" s="377"/>
      <c r="AA41" s="377"/>
      <c r="AB41" s="377"/>
      <c r="AC41" s="377"/>
      <c r="AD41" s="377"/>
      <c r="AE41" s="377"/>
      <c r="AF41" s="377"/>
      <c r="AG41" s="377"/>
      <c r="AH41" s="377"/>
      <c r="AI41" s="377"/>
      <c r="AJ41" s="377"/>
      <c r="AK41" s="377"/>
      <c r="AL41" s="377"/>
      <c r="AM41" s="377"/>
      <c r="AN41" s="377"/>
      <c r="AO41" s="377"/>
      <c r="AP41" s="377"/>
      <c r="AQ41" s="377"/>
      <c r="AR41" s="377"/>
      <c r="AS41" s="377"/>
      <c r="AT41" s="377"/>
      <c r="AU41" s="377"/>
      <c r="AV41" s="377"/>
      <c r="AW41" s="377"/>
      <c r="AX41" s="377"/>
      <c r="AY41" s="377"/>
      <c r="AZ41" s="377"/>
      <c r="BA41" s="377"/>
      <c r="BB41" s="377"/>
      <c r="BC41" s="377"/>
      <c r="BD41" s="377"/>
      <c r="BE41" s="377"/>
    </row>
    <row r="42" customFormat="false" ht="12.75" hidden="false" customHeight="false" outlineLevel="0" collapsed="false">
      <c r="A42" s="50" t="str">
        <f aca="true">IF(AUTOEVENTO="Manual",IF(OFFSET(EVENTOS!$F$14,PLE!$B42,0)&gt;0,"F",""),IF(PLE!B42&lt;=MAX(CÁLCULO!$M$15:$M$205),"F",""))</f>
        <v>F</v>
      </c>
      <c r="B42" s="374" t="n">
        <f aca="true">OFFSET(B42,-1,0)+1</f>
        <v>27</v>
      </c>
      <c r="C42" s="375" t="str">
        <f aca="true">IF(AUTOEVENTO="Manual",OFFSET(EVENTOS!$D$15,$B42-$B$15,0),IF(B42&lt;=MAX(CÁLCULO!$M$15:$M$205),VLOOKUP($B42,CÁLCULO!$M$15:$N$205,2,FALSE()),0))</f>
        <v>CAIXA D'ÁGUA E BARRILETE</v>
      </c>
      <c r="D42" s="375"/>
      <c r="F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  <c r="AH42" s="377"/>
      <c r="AI42" s="377"/>
      <c r="AJ42" s="377"/>
      <c r="AK42" s="377"/>
      <c r="AL42" s="377"/>
      <c r="AM42" s="377"/>
      <c r="AN42" s="377"/>
      <c r="AO42" s="377"/>
      <c r="AP42" s="377"/>
      <c r="AQ42" s="377"/>
      <c r="AR42" s="377"/>
      <c r="AS42" s="377"/>
      <c r="AT42" s="377"/>
      <c r="AU42" s="377"/>
      <c r="AV42" s="377"/>
      <c r="AW42" s="377"/>
      <c r="AX42" s="377"/>
      <c r="AY42" s="377"/>
      <c r="AZ42" s="377"/>
      <c r="BA42" s="377"/>
      <c r="BB42" s="377"/>
      <c r="BC42" s="377"/>
      <c r="BD42" s="377"/>
      <c r="BE42" s="377"/>
    </row>
    <row r="43" customFormat="false" ht="12.75" hidden="false" customHeight="false" outlineLevel="0" collapsed="false">
      <c r="A43" s="50" t="str">
        <f aca="true">IF(AUTOEVENTO="Manual",IF(OFFSET(EVENTOS!$F$14,PLE!$B43,0)&gt;0,"F",""),IF(PLE!B43&lt;=MAX(CÁLCULO!$M$15:$M$205),"F",""))</f>
        <v>F</v>
      </c>
      <c r="B43" s="374" t="n">
        <f aca="true">OFFSET(B43,-1,0)+1</f>
        <v>28</v>
      </c>
      <c r="C43" s="375" t="str">
        <f aca="true">IF(AUTOEVENTO="Manual",OFFSET(EVENTOS!$D$15,$B43-$B$15,0),IF(B43&lt;=MAX(CÁLCULO!$M$15:$M$205),VLOOKUP($B43,CÁLCULO!$M$15:$N$205,2,FALSE()),0))</f>
        <v>TUBULAÇÕES E CONEXÕES</v>
      </c>
      <c r="D43" s="375"/>
      <c r="F43" s="377"/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377"/>
      <c r="S43" s="377"/>
      <c r="T43" s="377"/>
      <c r="U43" s="377"/>
      <c r="V43" s="377"/>
      <c r="W43" s="377"/>
      <c r="X43" s="377"/>
      <c r="Y43" s="377"/>
      <c r="Z43" s="377"/>
      <c r="AA43" s="377"/>
      <c r="AB43" s="377"/>
      <c r="AC43" s="377"/>
      <c r="AD43" s="377"/>
      <c r="AE43" s="377"/>
      <c r="AF43" s="377"/>
      <c r="AG43" s="377"/>
      <c r="AH43" s="377"/>
      <c r="AI43" s="377"/>
      <c r="AJ43" s="377"/>
      <c r="AK43" s="377"/>
      <c r="AL43" s="377"/>
      <c r="AM43" s="377"/>
      <c r="AN43" s="377"/>
      <c r="AO43" s="377"/>
      <c r="AP43" s="377"/>
      <c r="AQ43" s="377"/>
      <c r="AR43" s="377"/>
      <c r="AS43" s="377"/>
      <c r="AT43" s="377"/>
      <c r="AU43" s="377"/>
      <c r="AV43" s="377"/>
      <c r="AW43" s="377"/>
      <c r="AX43" s="377"/>
      <c r="AY43" s="377"/>
      <c r="AZ43" s="377"/>
      <c r="BA43" s="377"/>
      <c r="BB43" s="377"/>
      <c r="BC43" s="377"/>
      <c r="BD43" s="377"/>
      <c r="BE43" s="377"/>
    </row>
    <row r="44" customFormat="false" ht="12.75" hidden="false" customHeight="false" outlineLevel="0" collapsed="false">
      <c r="A44" s="50" t="str">
        <f aca="true">IF(AUTOEVENTO="Manual",IF(OFFSET(EVENTOS!$F$14,PLE!$B44,0)&gt;0,"F",""),IF(PLE!B44&lt;=MAX(CÁLCULO!$M$15:$M$205),"F",""))</f>
        <v>F</v>
      </c>
      <c r="B44" s="374" t="n">
        <f aca="true">OFFSET(B44,-1,0)+1</f>
        <v>29</v>
      </c>
      <c r="C44" s="375" t="str">
        <f aca="true">IF(AUTOEVENTO="Manual",OFFSET(EVENTOS!$D$15,$B44-$B$15,0),IF(B44&lt;=MAX(CÁLCULO!$M$15:$M$205),VLOOKUP($B44,CÁLCULO!$M$15:$N$205,2,FALSE()),0))</f>
        <v>ACESSÓRIOS/CAIXAS</v>
      </c>
      <c r="D44" s="375"/>
      <c r="F44" s="377"/>
      <c r="H44" s="377"/>
      <c r="I44" s="377"/>
      <c r="J44" s="377"/>
      <c r="K44" s="377"/>
      <c r="L44" s="377"/>
      <c r="M44" s="377"/>
      <c r="N44" s="377"/>
      <c r="O44" s="377"/>
      <c r="P44" s="377"/>
      <c r="Q44" s="377"/>
      <c r="R44" s="377"/>
      <c r="S44" s="377"/>
      <c r="T44" s="377"/>
      <c r="U44" s="377"/>
      <c r="V44" s="377"/>
      <c r="W44" s="377"/>
      <c r="X44" s="377"/>
      <c r="Y44" s="377"/>
      <c r="Z44" s="377"/>
      <c r="AA44" s="377"/>
      <c r="AB44" s="377"/>
      <c r="AC44" s="377"/>
      <c r="AD44" s="377"/>
      <c r="AE44" s="377"/>
      <c r="AF44" s="377"/>
      <c r="AG44" s="377"/>
      <c r="AH44" s="377"/>
      <c r="AI44" s="377"/>
      <c r="AJ44" s="377"/>
      <c r="AK44" s="377"/>
      <c r="AL44" s="377"/>
      <c r="AM44" s="377"/>
      <c r="AN44" s="377"/>
      <c r="AO44" s="377"/>
      <c r="AP44" s="377"/>
      <c r="AQ44" s="377"/>
      <c r="AR44" s="377"/>
      <c r="AS44" s="377"/>
      <c r="AT44" s="377"/>
      <c r="AU44" s="377"/>
      <c r="AV44" s="377"/>
      <c r="AW44" s="377"/>
      <c r="AX44" s="377"/>
      <c r="AY44" s="377"/>
      <c r="AZ44" s="377"/>
      <c r="BA44" s="377"/>
      <c r="BB44" s="377"/>
      <c r="BC44" s="377"/>
      <c r="BD44" s="377"/>
      <c r="BE44" s="377"/>
    </row>
    <row r="45" customFormat="false" ht="12.75" hidden="false" customHeight="false" outlineLevel="0" collapsed="false">
      <c r="A45" s="50" t="str">
        <f aca="true">IF(AUTOEVENTO="Manual",IF(OFFSET(EVENTOS!$F$14,PLE!$B45,0)&gt;0,"F",""),IF(PLE!B45&lt;=MAX(CÁLCULO!$M$15:$M$205),"F",""))</f>
        <v>F</v>
      </c>
      <c r="B45" s="374" t="n">
        <f aca="true">OFFSET(B45,-1,0)+1</f>
        <v>30</v>
      </c>
      <c r="C45" s="375" t="str">
        <f aca="true">IF(AUTOEVENTO="Manual",OFFSET(EVENTOS!$D$15,$B45-$B$15,0),IF(B45&lt;=MAX(CÁLCULO!$M$15:$M$205),VLOOKUP($B45,CÁLCULO!$M$15:$N$205,2,FALSE()),0))</f>
        <v>APARELHOS, METAIS E BANCADAS</v>
      </c>
      <c r="D45" s="375"/>
      <c r="F45" s="377"/>
      <c r="H45" s="377"/>
      <c r="I45" s="377"/>
      <c r="J45" s="377"/>
      <c r="K45" s="377"/>
      <c r="L45" s="377"/>
      <c r="M45" s="377"/>
      <c r="N45" s="377"/>
      <c r="O45" s="377"/>
      <c r="P45" s="377"/>
      <c r="Q45" s="377"/>
      <c r="R45" s="377"/>
      <c r="S45" s="377"/>
      <c r="T45" s="377"/>
      <c r="U45" s="377"/>
      <c r="V45" s="377"/>
      <c r="W45" s="377"/>
      <c r="X45" s="377"/>
      <c r="Y45" s="377"/>
      <c r="Z45" s="377"/>
      <c r="AA45" s="377"/>
      <c r="AB45" s="377"/>
      <c r="AC45" s="377"/>
      <c r="AD45" s="377"/>
      <c r="AE45" s="377"/>
      <c r="AF45" s="377"/>
      <c r="AG45" s="377"/>
      <c r="AH45" s="377"/>
      <c r="AI45" s="377"/>
      <c r="AJ45" s="377"/>
      <c r="AK45" s="377"/>
      <c r="AL45" s="377"/>
      <c r="AM45" s="377"/>
      <c r="AN45" s="377"/>
      <c r="AO45" s="377"/>
      <c r="AP45" s="377"/>
      <c r="AQ45" s="377"/>
      <c r="AR45" s="377"/>
      <c r="AS45" s="377"/>
      <c r="AT45" s="377"/>
      <c r="AU45" s="377"/>
      <c r="AV45" s="377"/>
      <c r="AW45" s="377"/>
      <c r="AX45" s="377"/>
      <c r="AY45" s="377"/>
      <c r="AZ45" s="377"/>
      <c r="BA45" s="377"/>
      <c r="BB45" s="377"/>
      <c r="BC45" s="377"/>
      <c r="BD45" s="377"/>
      <c r="BE45" s="377"/>
    </row>
    <row r="46" customFormat="false" ht="12.75" hidden="false" customHeight="false" outlineLevel="0" collapsed="false">
      <c r="A46" s="50" t="str">
        <f aca="true">IF(AUTOEVENTO="Manual",IF(OFFSET(EVENTOS!$F$14,PLE!$B46,0)&gt;0,"F",""),IF(PLE!B46&lt;=MAX(CÁLCULO!$M$15:$M$205),"F",""))</f>
        <v>F</v>
      </c>
      <c r="B46" s="374" t="n">
        <f aca="true">OFFSET(B46,-1,0)+1</f>
        <v>31</v>
      </c>
      <c r="C46" s="375" t="str">
        <f aca="true">IF(AUTOEVENTO="Manual",OFFSET(EVENTOS!$D$15,$B46-$B$15,0),IF(B46&lt;=MAX(CÁLCULO!$M$15:$M$205),VLOOKUP($B46,CÁLCULO!$M$15:$N$205,2,FALSE()),0))</f>
        <v>CALAFETE / LIMPEZA</v>
      </c>
      <c r="D46" s="375"/>
      <c r="F46" s="377"/>
      <c r="H46" s="377"/>
      <c r="I46" s="377"/>
      <c r="J46" s="377"/>
      <c r="K46" s="377"/>
      <c r="L46" s="377"/>
      <c r="M46" s="377"/>
      <c r="N46" s="377"/>
      <c r="O46" s="377"/>
      <c r="P46" s="377"/>
      <c r="Q46" s="377"/>
      <c r="R46" s="377"/>
      <c r="S46" s="377"/>
      <c r="T46" s="377"/>
      <c r="U46" s="377"/>
      <c r="V46" s="377"/>
      <c r="W46" s="377"/>
      <c r="X46" s="377"/>
      <c r="Y46" s="377"/>
      <c r="Z46" s="377"/>
      <c r="AA46" s="377"/>
      <c r="AB46" s="377"/>
      <c r="AC46" s="377"/>
      <c r="AD46" s="377"/>
      <c r="AE46" s="377"/>
      <c r="AF46" s="377"/>
      <c r="AG46" s="377"/>
      <c r="AH46" s="377"/>
      <c r="AI46" s="377"/>
      <c r="AJ46" s="377"/>
      <c r="AK46" s="377"/>
      <c r="AL46" s="377"/>
      <c r="AM46" s="377"/>
      <c r="AN46" s="377"/>
      <c r="AO46" s="377"/>
      <c r="AP46" s="377"/>
      <c r="AQ46" s="377"/>
      <c r="AR46" s="377"/>
      <c r="AS46" s="377"/>
      <c r="AT46" s="377"/>
      <c r="AU46" s="377"/>
      <c r="AV46" s="377"/>
      <c r="AW46" s="377"/>
      <c r="AX46" s="377"/>
      <c r="AY46" s="377"/>
      <c r="AZ46" s="377"/>
      <c r="BA46" s="377"/>
      <c r="BB46" s="377"/>
      <c r="BC46" s="377"/>
      <c r="BD46" s="377"/>
      <c r="BE46" s="377"/>
    </row>
    <row r="47" customFormat="false" ht="4.5" hidden="false" customHeight="true" outlineLevel="0" collapsed="false">
      <c r="A47" s="50" t="s">
        <v>563</v>
      </c>
      <c r="B47" s="241"/>
      <c r="C47" s="244"/>
      <c r="D47" s="242"/>
      <c r="F47" s="370"/>
      <c r="H47" s="241"/>
      <c r="I47" s="244"/>
      <c r="J47" s="244"/>
      <c r="K47" s="244"/>
      <c r="L47" s="244"/>
      <c r="M47" s="244"/>
      <c r="N47" s="244"/>
      <c r="O47" s="244"/>
      <c r="P47" s="244"/>
      <c r="Q47" s="244"/>
      <c r="R47" s="244"/>
      <c r="S47" s="244"/>
      <c r="T47" s="244"/>
      <c r="U47" s="244"/>
      <c r="V47" s="244"/>
      <c r="W47" s="244"/>
      <c r="X47" s="244"/>
      <c r="Y47" s="244"/>
      <c r="Z47" s="244"/>
      <c r="AA47" s="244"/>
      <c r="AB47" s="244"/>
      <c r="AC47" s="244"/>
      <c r="AD47" s="244"/>
      <c r="AE47" s="244"/>
      <c r="AF47" s="242"/>
      <c r="AG47" s="241"/>
      <c r="AH47" s="244"/>
      <c r="AI47" s="244"/>
      <c r="AJ47" s="244"/>
      <c r="AK47" s="244"/>
      <c r="AL47" s="244"/>
      <c r="AM47" s="244"/>
      <c r="AN47" s="244"/>
      <c r="AO47" s="244"/>
      <c r="AP47" s="244"/>
      <c r="AQ47" s="244"/>
      <c r="AR47" s="244"/>
      <c r="AS47" s="244"/>
      <c r="AT47" s="244"/>
      <c r="AU47" s="244"/>
      <c r="AV47" s="244"/>
      <c r="AW47" s="244"/>
      <c r="AX47" s="244"/>
      <c r="AY47" s="244"/>
      <c r="AZ47" s="244"/>
      <c r="BA47" s="244"/>
      <c r="BB47" s="244"/>
      <c r="BC47" s="244"/>
      <c r="BD47" s="244"/>
      <c r="BE47" s="242"/>
    </row>
    <row r="48" customFormat="false" ht="12.75" hidden="false" customHeight="false" outlineLevel="0" collapsed="false">
      <c r="A48" s="50" t="s">
        <v>563</v>
      </c>
    </row>
    <row r="49" customFormat="false" ht="12.75" hidden="false" customHeight="false" outlineLevel="0" collapsed="false">
      <c r="A49" s="50" t="s">
        <v>563</v>
      </c>
      <c r="I49" s="591" t="s">
        <v>1051</v>
      </c>
      <c r="J49" s="591"/>
      <c r="K49" s="591"/>
      <c r="L49" s="591"/>
      <c r="M49" s="591"/>
      <c r="N49" s="591"/>
      <c r="O49" s="591"/>
      <c r="P49" s="591"/>
      <c r="Q49" s="591"/>
      <c r="R49" s="591"/>
      <c r="S49" s="591"/>
      <c r="T49" s="591"/>
      <c r="U49" s="591"/>
      <c r="V49" s="591"/>
      <c r="W49" s="591"/>
      <c r="X49" s="591"/>
      <c r="Y49" s="591"/>
      <c r="Z49" s="591"/>
      <c r="AA49" s="591"/>
      <c r="AB49" s="591"/>
      <c r="AC49" s="591"/>
      <c r="AD49" s="591"/>
      <c r="AE49" s="591"/>
      <c r="AF49" s="591"/>
      <c r="AH49" s="591" t="s">
        <v>1051</v>
      </c>
      <c r="AI49" s="591"/>
      <c r="AJ49" s="591"/>
      <c r="AK49" s="591"/>
      <c r="AL49" s="591"/>
      <c r="AM49" s="591"/>
      <c r="AN49" s="591"/>
      <c r="AO49" s="591"/>
      <c r="AP49" s="591"/>
      <c r="AQ49" s="591"/>
      <c r="AR49" s="591"/>
      <c r="AS49" s="591"/>
      <c r="AT49" s="591"/>
      <c r="AU49" s="591"/>
      <c r="AV49" s="591"/>
      <c r="AW49" s="591"/>
      <c r="AX49" s="591"/>
      <c r="AY49" s="591"/>
      <c r="AZ49" s="591"/>
      <c r="BA49" s="591"/>
      <c r="BB49" s="591"/>
      <c r="BC49" s="591"/>
      <c r="BD49" s="591"/>
      <c r="BE49" s="591"/>
    </row>
    <row r="50" customFormat="false" ht="12.75" hidden="false" customHeight="false" outlineLevel="0" collapsed="false">
      <c r="A50" s="50" t="s">
        <v>563</v>
      </c>
      <c r="H50" s="416" t="str">
        <f aca="false">IF(INDEX($I$50:$BF$50,MATCH(PLE.Medicao,$I$51:$BF$51,0))="","Preencher a data da medição "&amp;PLE.Medicao,"")</f>
        <v>Preencher a data da medição 1</v>
      </c>
      <c r="I50" s="592"/>
      <c r="J50" s="592"/>
      <c r="K50" s="593"/>
      <c r="L50" s="593"/>
      <c r="M50" s="593"/>
      <c r="N50" s="593"/>
      <c r="O50" s="593"/>
      <c r="P50" s="593"/>
      <c r="Q50" s="593"/>
      <c r="R50" s="593"/>
      <c r="S50" s="593"/>
      <c r="T50" s="593"/>
      <c r="U50" s="593"/>
      <c r="V50" s="593"/>
      <c r="W50" s="593"/>
      <c r="X50" s="593"/>
      <c r="Y50" s="593"/>
      <c r="Z50" s="593"/>
      <c r="AA50" s="593"/>
      <c r="AB50" s="593"/>
      <c r="AC50" s="593"/>
      <c r="AD50" s="593"/>
      <c r="AE50" s="594"/>
      <c r="AF50" s="594"/>
      <c r="AG50" s="416" t="str">
        <f aca="false">IF(INDEX($I$50:$BF$50,MATCH(PLE.Medicao,$I$51:$BF$51,0))="","Preencher a data da medição "&amp;PLE.Medicao,"")</f>
        <v>Preencher a data da medição 1</v>
      </c>
      <c r="AH50" s="592"/>
      <c r="AI50" s="592"/>
      <c r="AJ50" s="593"/>
      <c r="AK50" s="593"/>
      <c r="AL50" s="593"/>
      <c r="AM50" s="593"/>
      <c r="AN50" s="593"/>
      <c r="AO50" s="593"/>
      <c r="AP50" s="593"/>
      <c r="AQ50" s="593"/>
      <c r="AR50" s="593"/>
      <c r="AS50" s="593"/>
      <c r="AT50" s="593"/>
      <c r="AU50" s="593"/>
      <c r="AV50" s="593"/>
      <c r="AW50" s="593"/>
      <c r="AX50" s="593"/>
      <c r="AY50" s="593"/>
      <c r="AZ50" s="593"/>
      <c r="BA50" s="593"/>
      <c r="BB50" s="593"/>
      <c r="BC50" s="593"/>
      <c r="BD50" s="594"/>
      <c r="BE50" s="594"/>
    </row>
    <row r="51" customFormat="false" ht="12.75" hidden="false" customHeight="false" outlineLevel="0" collapsed="false">
      <c r="A51" s="50" t="s">
        <v>563</v>
      </c>
      <c r="D51" s="591" t="s">
        <v>1052</v>
      </c>
      <c r="I51" s="595" t="n">
        <f aca="false">IF(PLE.Medicao&lt;=12,1,TRUNC((PLE.Medicao - 2)/11,0) * 11 + 1)</f>
        <v>1</v>
      </c>
      <c r="J51" s="595"/>
      <c r="K51" s="595" t="n">
        <f aca="false">I51+1</f>
        <v>2</v>
      </c>
      <c r="L51" s="595"/>
      <c r="M51" s="595" t="n">
        <f aca="false">K51+1</f>
        <v>3</v>
      </c>
      <c r="N51" s="595"/>
      <c r="O51" s="595" t="n">
        <f aca="false">M51+1</f>
        <v>4</v>
      </c>
      <c r="P51" s="595"/>
      <c r="Q51" s="595" t="n">
        <f aca="false">O51+1</f>
        <v>5</v>
      </c>
      <c r="R51" s="595"/>
      <c r="S51" s="595" t="n">
        <f aca="false">Q51+1</f>
        <v>6</v>
      </c>
      <c r="T51" s="595"/>
      <c r="U51" s="595" t="n">
        <f aca="false">S51+1</f>
        <v>7</v>
      </c>
      <c r="V51" s="595"/>
      <c r="W51" s="595" t="n">
        <f aca="false">U51+1</f>
        <v>8</v>
      </c>
      <c r="X51" s="595"/>
      <c r="Y51" s="595" t="n">
        <f aca="false">W51+1</f>
        <v>9</v>
      </c>
      <c r="Z51" s="595"/>
      <c r="AA51" s="595" t="n">
        <f aca="false">Y51+1</f>
        <v>10</v>
      </c>
      <c r="AB51" s="595"/>
      <c r="AC51" s="595" t="n">
        <f aca="false">AA51+1</f>
        <v>11</v>
      </c>
      <c r="AD51" s="595"/>
      <c r="AE51" s="595" t="n">
        <f aca="false">AC51+1</f>
        <v>12</v>
      </c>
      <c r="AF51" s="595"/>
      <c r="AH51" s="595" t="n">
        <f aca="false">IF(PLE.Medicao&lt;=12,1,TRUNC((PLE.Medicao - 2)/11,0) * 11 + 1)</f>
        <v>1</v>
      </c>
      <c r="AI51" s="595"/>
      <c r="AJ51" s="595" t="n">
        <f aca="false">AH51+1</f>
        <v>2</v>
      </c>
      <c r="AK51" s="595"/>
      <c r="AL51" s="595" t="n">
        <f aca="false">AJ51+1</f>
        <v>3</v>
      </c>
      <c r="AM51" s="595"/>
      <c r="AN51" s="595" t="n">
        <f aca="false">AL51+1</f>
        <v>4</v>
      </c>
      <c r="AO51" s="595"/>
      <c r="AP51" s="595" t="n">
        <f aca="false">AN51+1</f>
        <v>5</v>
      </c>
      <c r="AQ51" s="595"/>
      <c r="AR51" s="595" t="n">
        <f aca="false">AP51+1</f>
        <v>6</v>
      </c>
      <c r="AS51" s="595"/>
      <c r="AT51" s="595" t="n">
        <f aca="false">AR51+1</f>
        <v>7</v>
      </c>
      <c r="AU51" s="595"/>
      <c r="AV51" s="595" t="n">
        <f aca="false">AT51+1</f>
        <v>8</v>
      </c>
      <c r="AW51" s="595"/>
      <c r="AX51" s="595" t="n">
        <f aca="false">AV51+1</f>
        <v>9</v>
      </c>
      <c r="AY51" s="595"/>
      <c r="AZ51" s="595" t="n">
        <f aca="false">AX51+1</f>
        <v>10</v>
      </c>
      <c r="BA51" s="595"/>
      <c r="BB51" s="595" t="n">
        <f aca="false">AZ51+1</f>
        <v>11</v>
      </c>
      <c r="BC51" s="595"/>
      <c r="BD51" s="595" t="n">
        <f aca="false">BB51+1</f>
        <v>12</v>
      </c>
      <c r="BE51" s="595"/>
    </row>
    <row r="52" customFormat="false" ht="12.75" hidden="false" customHeight="false" outlineLevel="0" collapsed="false">
      <c r="A52" s="50" t="s">
        <v>563</v>
      </c>
      <c r="D52" s="596" t="s">
        <v>1010</v>
      </c>
      <c r="H52" s="314" t="s">
        <v>992</v>
      </c>
      <c r="I52" s="597" t="n">
        <f aca="false">ROUND(I53,2)/ORÇAMENTO!$X$15</f>
        <v>0</v>
      </c>
      <c r="J52" s="597"/>
      <c r="K52" s="598" t="n">
        <f aca="false">ROUND(K53,2)/ORÇAMENTO!$X$15</f>
        <v>0</v>
      </c>
      <c r="L52" s="598"/>
      <c r="M52" s="599" t="n">
        <f aca="false">ROUND(M53,2)/ORÇAMENTO!$X$15</f>
        <v>0</v>
      </c>
      <c r="N52" s="599"/>
      <c r="O52" s="598" t="n">
        <f aca="false">ROUND(O53,2)/ORÇAMENTO!$X$15</f>
        <v>0</v>
      </c>
      <c r="P52" s="598"/>
      <c r="Q52" s="599" t="n">
        <f aca="false">ROUND(Q53,2)/ORÇAMENTO!$X$15</f>
        <v>0</v>
      </c>
      <c r="R52" s="599"/>
      <c r="S52" s="598" t="n">
        <f aca="false">ROUND(S53,2)/ORÇAMENTO!$X$15</f>
        <v>0</v>
      </c>
      <c r="T52" s="598"/>
      <c r="U52" s="599" t="n">
        <f aca="false">ROUND(U53,2)/ORÇAMENTO!$X$15</f>
        <v>0</v>
      </c>
      <c r="V52" s="599"/>
      <c r="W52" s="598" t="n">
        <f aca="false">ROUND(W53,2)/ORÇAMENTO!$X$15</f>
        <v>0</v>
      </c>
      <c r="X52" s="598"/>
      <c r="Y52" s="599" t="n">
        <f aca="false">ROUND(Y53,2)/ORÇAMENTO!$X$15</f>
        <v>0</v>
      </c>
      <c r="Z52" s="599"/>
      <c r="AA52" s="598" t="n">
        <f aca="false">ROUND(AA53,2)/ORÇAMENTO!$X$15</f>
        <v>0</v>
      </c>
      <c r="AB52" s="598"/>
      <c r="AC52" s="599" t="n">
        <f aca="false">ROUND(AC53,2)/ORÇAMENTO!$X$15</f>
        <v>0</v>
      </c>
      <c r="AD52" s="599"/>
      <c r="AE52" s="598" t="n">
        <f aca="false">ROUND(AE53,2)/ORÇAMENTO!$X$15</f>
        <v>0</v>
      </c>
      <c r="AF52" s="598"/>
      <c r="AG52" s="314" t="s">
        <v>992</v>
      </c>
      <c r="AH52" s="597" t="n">
        <f aca="false">ROUND(AH53,2)/ORÇAMENTO!$X$15</f>
        <v>0</v>
      </c>
      <c r="AI52" s="597"/>
      <c r="AJ52" s="598" t="n">
        <f aca="false">ROUND(AJ53,2)/ORÇAMENTO!$X$15</f>
        <v>0</v>
      </c>
      <c r="AK52" s="598"/>
      <c r="AL52" s="599" t="n">
        <f aca="false">ROUND(AL53,2)/ORÇAMENTO!$X$15</f>
        <v>0</v>
      </c>
      <c r="AM52" s="599"/>
      <c r="AN52" s="598" t="n">
        <f aca="false">ROUND(AN53,2)/ORÇAMENTO!$X$15</f>
        <v>0</v>
      </c>
      <c r="AO52" s="598"/>
      <c r="AP52" s="599" t="n">
        <f aca="false">ROUND(AP53,2)/ORÇAMENTO!$X$15</f>
        <v>0</v>
      </c>
      <c r="AQ52" s="599"/>
      <c r="AR52" s="598" t="n">
        <f aca="false">ROUND(AR53,2)/ORÇAMENTO!$X$15</f>
        <v>0</v>
      </c>
      <c r="AS52" s="598"/>
      <c r="AT52" s="599" t="n">
        <f aca="false">ROUND(AT53,2)/ORÇAMENTO!$X$15</f>
        <v>0</v>
      </c>
      <c r="AU52" s="599"/>
      <c r="AV52" s="598" t="n">
        <f aca="false">ROUND(AV53,2)/ORÇAMENTO!$X$15</f>
        <v>0</v>
      </c>
      <c r="AW52" s="598"/>
      <c r="AX52" s="599" t="n">
        <f aca="false">ROUND(AX53,2)/ORÇAMENTO!$X$15</f>
        <v>0</v>
      </c>
      <c r="AY52" s="599"/>
      <c r="AZ52" s="598" t="n">
        <f aca="false">ROUND(AZ53,2)/ORÇAMENTO!$X$15</f>
        <v>0</v>
      </c>
      <c r="BA52" s="598"/>
      <c r="BB52" s="599" t="n">
        <f aca="false">ROUND(BB53,2)/ORÇAMENTO!$X$15</f>
        <v>0</v>
      </c>
      <c r="BC52" s="599"/>
      <c r="BD52" s="598" t="n">
        <f aca="false">ROUND(BD53,2)/ORÇAMENTO!$X$15</f>
        <v>0</v>
      </c>
      <c r="BE52" s="598"/>
    </row>
    <row r="53" customFormat="false" ht="12.75" hidden="false" customHeight="false" outlineLevel="0" collapsed="false">
      <c r="A53" s="50" t="s">
        <v>563</v>
      </c>
      <c r="D53" s="596"/>
      <c r="H53" s="60" t="s">
        <v>993</v>
      </c>
      <c r="I53" s="600" t="n">
        <f aca="false" t="array" ref="I53:I53">IF(I51=1,I55,_xlfn.single(ah11arred(I55,2))-ROUND(SUMIF(CÁLCULO!$CT$15:$DT$205,"&lt;="&amp;PLE!I51-1,CÁLCULO!$AR$15:$BR$205)*IF(AdmLocal="Automática",(1+_xlfn.single(CÁLCULO.TotalAdmLocal)/(ORÇAMENTO!$X$15-_xlfn.single(CÁLCULO.TotalAdmLocal))),1),2))</f>
        <v>0</v>
      </c>
      <c r="J53" s="600"/>
      <c r="K53" s="600" t="n">
        <f aca="false">ROUND(K55,2)-ROUND(I55,2)</f>
        <v>0</v>
      </c>
      <c r="L53" s="600"/>
      <c r="M53" s="601" t="n">
        <f aca="false">ROUND(M55,2)-ROUND(K55,2)</f>
        <v>0</v>
      </c>
      <c r="N53" s="601"/>
      <c r="O53" s="600" t="n">
        <f aca="false">ROUND(O55,2)-ROUND(M55,2)</f>
        <v>0</v>
      </c>
      <c r="P53" s="600"/>
      <c r="Q53" s="601" t="n">
        <f aca="false">ROUND(Q55,2)-ROUND(O55,2)</f>
        <v>0</v>
      </c>
      <c r="R53" s="601"/>
      <c r="S53" s="600" t="n">
        <f aca="false">ROUND(S55,2)-ROUND(Q55,2)</f>
        <v>0</v>
      </c>
      <c r="T53" s="600"/>
      <c r="U53" s="601" t="n">
        <f aca="false">ROUND(U55,2)-ROUND(S55,2)</f>
        <v>0</v>
      </c>
      <c r="V53" s="601"/>
      <c r="W53" s="600" t="n">
        <f aca="false">ROUND(W55,2)-ROUND(U55,2)</f>
        <v>0</v>
      </c>
      <c r="X53" s="600"/>
      <c r="Y53" s="601" t="n">
        <f aca="false">ROUND(Y55,2)-ROUND(W55,2)</f>
        <v>0</v>
      </c>
      <c r="Z53" s="601"/>
      <c r="AA53" s="600" t="n">
        <f aca="false">ROUND(AA55,2)-ROUND(Y55,2)</f>
        <v>0</v>
      </c>
      <c r="AB53" s="600"/>
      <c r="AC53" s="601" t="n">
        <f aca="false">ROUND(AC55,2)-ROUND(AA55,2)</f>
        <v>0</v>
      </c>
      <c r="AD53" s="601"/>
      <c r="AE53" s="600" t="n">
        <f aca="false">ROUND(AE55,2)-ROUND(AC55,2)</f>
        <v>0</v>
      </c>
      <c r="AF53" s="600"/>
      <c r="AG53" s="60" t="s">
        <v>993</v>
      </c>
      <c r="AH53" s="600" t="n">
        <f aca="false" t="array" ref="AH53:AH53">IF(AH51=1,AH55,_xlfn.single(ah11arred(AH55,2))-ROUND(SUMIF(CÁLCULO!$CT$15:$DT$205,"&lt;="&amp;PLE!AH51-1,CÁLCULO!$AR$15:$BR$205)*IF(AdmLocal="Automática",(1+_xlfn.single(CÁLCULO.TotalAdmLocal)/(ORÇAMENTO!$X$15-_xlfn.single(CÁLCULO.TotalAdmLocal))),1),2))</f>
        <v>0</v>
      </c>
      <c r="AI53" s="600"/>
      <c r="AJ53" s="600" t="n">
        <f aca="false">ROUND(AJ55,2)-ROUND(AH55,2)</f>
        <v>0</v>
      </c>
      <c r="AK53" s="600"/>
      <c r="AL53" s="601" t="n">
        <f aca="false">ROUND(AL55,2)-ROUND(AJ55,2)</f>
        <v>0</v>
      </c>
      <c r="AM53" s="601"/>
      <c r="AN53" s="600" t="n">
        <f aca="false">ROUND(AN55,2)-ROUND(AL55,2)</f>
        <v>0</v>
      </c>
      <c r="AO53" s="600"/>
      <c r="AP53" s="601" t="n">
        <f aca="false">ROUND(AP55,2)-ROUND(AN55,2)</f>
        <v>0</v>
      </c>
      <c r="AQ53" s="601"/>
      <c r="AR53" s="600" t="n">
        <f aca="false">ROUND(AR55,2)-ROUND(AP55,2)</f>
        <v>0</v>
      </c>
      <c r="AS53" s="600"/>
      <c r="AT53" s="601" t="n">
        <f aca="false">ROUND(AT55,2)-ROUND(AR55,2)</f>
        <v>0</v>
      </c>
      <c r="AU53" s="601"/>
      <c r="AV53" s="600" t="n">
        <f aca="false">ROUND(AV55,2)-ROUND(AT55,2)</f>
        <v>0</v>
      </c>
      <c r="AW53" s="600"/>
      <c r="AX53" s="601" t="n">
        <f aca="false">ROUND(AX55,2)-ROUND(AV55,2)</f>
        <v>0</v>
      </c>
      <c r="AY53" s="601"/>
      <c r="AZ53" s="600" t="n">
        <f aca="false">ROUND(AZ55,2)-ROUND(AX55,2)</f>
        <v>0</v>
      </c>
      <c r="BA53" s="600"/>
      <c r="BB53" s="601" t="n">
        <f aca="false">ROUND(BB55,2)-ROUND(AZ55,2)</f>
        <v>0</v>
      </c>
      <c r="BC53" s="601"/>
      <c r="BD53" s="600" t="n">
        <f aca="false">ROUND(BD55,2)-ROUND(BB55,2)</f>
        <v>0</v>
      </c>
      <c r="BE53" s="600"/>
    </row>
    <row r="54" customFormat="false" ht="12.75" hidden="false" customHeight="false" outlineLevel="0" collapsed="false">
      <c r="A54" s="50" t="s">
        <v>563</v>
      </c>
      <c r="D54" s="596" t="s">
        <v>1014</v>
      </c>
      <c r="H54" s="314" t="s">
        <v>992</v>
      </c>
      <c r="I54" s="602" t="n">
        <f aca="false">ROUND(I55,2)/ORÇAMENTO!$X$15</f>
        <v>0</v>
      </c>
      <c r="J54" s="602"/>
      <c r="K54" s="603" t="n">
        <f aca="false">ROUND(K55,2)/ORÇAMENTO!$X$15</f>
        <v>0</v>
      </c>
      <c r="L54" s="603"/>
      <c r="M54" s="604" t="n">
        <f aca="false">ROUND(M55,2)/ORÇAMENTO!$X$15</f>
        <v>0</v>
      </c>
      <c r="N54" s="604"/>
      <c r="O54" s="603" t="n">
        <f aca="false">ROUND(O55,2)/ORÇAMENTO!$X$15</f>
        <v>0</v>
      </c>
      <c r="P54" s="603"/>
      <c r="Q54" s="604" t="n">
        <f aca="false">ROUND(Q55,2)/ORÇAMENTO!$X$15</f>
        <v>0</v>
      </c>
      <c r="R54" s="604"/>
      <c r="S54" s="603" t="n">
        <f aca="false">ROUND(S55,2)/ORÇAMENTO!$X$15</f>
        <v>0</v>
      </c>
      <c r="T54" s="603"/>
      <c r="U54" s="604" t="n">
        <f aca="false">ROUND(U55,2)/ORÇAMENTO!$X$15</f>
        <v>0</v>
      </c>
      <c r="V54" s="604"/>
      <c r="W54" s="603" t="n">
        <f aca="false">ROUND(W55,2)/ORÇAMENTO!$X$15</f>
        <v>0</v>
      </c>
      <c r="X54" s="603"/>
      <c r="Y54" s="604" t="n">
        <f aca="false">ROUND(Y55,2)/ORÇAMENTO!$X$15</f>
        <v>0</v>
      </c>
      <c r="Z54" s="604"/>
      <c r="AA54" s="603" t="n">
        <f aca="false">ROUND(AA55,2)/ORÇAMENTO!$X$15</f>
        <v>0</v>
      </c>
      <c r="AB54" s="603"/>
      <c r="AC54" s="604" t="n">
        <f aca="false">ROUND(AC55,2)/ORÇAMENTO!$X$15</f>
        <v>0</v>
      </c>
      <c r="AD54" s="604"/>
      <c r="AE54" s="603" t="n">
        <f aca="false">ROUND(AE55,2)/ORÇAMENTO!$X$15</f>
        <v>0</v>
      </c>
      <c r="AF54" s="603"/>
      <c r="AG54" s="314" t="s">
        <v>992</v>
      </c>
      <c r="AH54" s="602" t="n">
        <f aca="false">ROUND(AH55,2)/ORÇAMENTO!$X$15</f>
        <v>0</v>
      </c>
      <c r="AI54" s="602"/>
      <c r="AJ54" s="603" t="n">
        <f aca="false">ROUND(AJ55,2)/ORÇAMENTO!$X$15</f>
        <v>0</v>
      </c>
      <c r="AK54" s="603"/>
      <c r="AL54" s="604" t="n">
        <f aca="false">ROUND(AL55,2)/ORÇAMENTO!$X$15</f>
        <v>0</v>
      </c>
      <c r="AM54" s="604"/>
      <c r="AN54" s="603" t="n">
        <f aca="false">ROUND(AN55,2)/ORÇAMENTO!$X$15</f>
        <v>0</v>
      </c>
      <c r="AO54" s="603"/>
      <c r="AP54" s="604" t="n">
        <f aca="false">ROUND(AP55,2)/ORÇAMENTO!$X$15</f>
        <v>0</v>
      </c>
      <c r="AQ54" s="604"/>
      <c r="AR54" s="603" t="n">
        <f aca="false">ROUND(AR55,2)/ORÇAMENTO!$X$15</f>
        <v>0</v>
      </c>
      <c r="AS54" s="603"/>
      <c r="AT54" s="604" t="n">
        <f aca="false">ROUND(AT55,2)/ORÇAMENTO!$X$15</f>
        <v>0</v>
      </c>
      <c r="AU54" s="604"/>
      <c r="AV54" s="603" t="n">
        <f aca="false">ROUND(AV55,2)/ORÇAMENTO!$X$15</f>
        <v>0</v>
      </c>
      <c r="AW54" s="603"/>
      <c r="AX54" s="604" t="n">
        <f aca="false">ROUND(AX55,2)/ORÇAMENTO!$X$15</f>
        <v>0</v>
      </c>
      <c r="AY54" s="604"/>
      <c r="AZ54" s="603" t="n">
        <f aca="false">ROUND(AZ55,2)/ORÇAMENTO!$X$15</f>
        <v>0</v>
      </c>
      <c r="BA54" s="603"/>
      <c r="BB54" s="604" t="n">
        <f aca="false">ROUND(BB55,2)/ORÇAMENTO!$X$15</f>
        <v>0</v>
      </c>
      <c r="BC54" s="604"/>
      <c r="BD54" s="603" t="n">
        <f aca="false">ROUND(BD55,2)/ORÇAMENTO!$X$15</f>
        <v>0</v>
      </c>
      <c r="BE54" s="603"/>
    </row>
    <row r="55" customFormat="false" ht="12.75" hidden="false" customHeight="false" outlineLevel="0" collapsed="false">
      <c r="A55" s="50" t="s">
        <v>563</v>
      </c>
      <c r="D55" s="596"/>
      <c r="H55" s="60" t="s">
        <v>993</v>
      </c>
      <c r="I55" s="605" t="n">
        <f aca="false" t="array" ref="I55:I55">SUMIF(CÁLCULO!$CT$15:$DT$205,"&lt;="&amp;PLE!I51,CÁLCULO!$AR$15:$BR$205)*IF(AdmLocal="Automática",(1+_xlfn.single(CÁLCULO.TotalAdmLocal)/(ORÇAMENTO!$X$15-_xlfn.single(CÁLCULO.TotalAdmLocal))),1)</f>
        <v>0</v>
      </c>
      <c r="J55" s="605"/>
      <c r="K55" s="600" t="n">
        <f aca="false" t="array" ref="K55:K55">SUMIF(CÁLCULO!$CT$15:$DT$205,"&lt;="&amp;PLE!K51,CÁLCULO!$AR$15:$BR$205)*IF(AdmLocal="Automática",(1+_xlfn.single(CÁLCULO.TotalAdmLocal)/(ORÇAMENTO!$X$15-_xlfn.single(CÁLCULO.TotalAdmLocal))),1)</f>
        <v>0</v>
      </c>
      <c r="L55" s="600"/>
      <c r="M55" s="601" t="n">
        <f aca="false" t="array" ref="M55:M55">SUMIF(CÁLCULO!$CT$15:$DT$205,"&lt;="&amp;PLE!M51,CÁLCULO!$AR$15:$BR$205)*IF(AdmLocal="Automática",(1+_xlfn.single(CÁLCULO.TotalAdmLocal)/(ORÇAMENTO!$X$15-_xlfn.single(CÁLCULO.TotalAdmLocal))),1)</f>
        <v>0</v>
      </c>
      <c r="N55" s="601"/>
      <c r="O55" s="600" t="n">
        <f aca="false" t="array" ref="O55:O55">SUMIF(CÁLCULO!$CT$15:$DT$205,"&lt;="&amp;PLE!O51,CÁLCULO!$AR$15:$BR$205)*IF(AdmLocal="Automática",(1+_xlfn.single(CÁLCULO.TotalAdmLocal)/(ORÇAMENTO!$X$15-_xlfn.single(CÁLCULO.TotalAdmLocal))),1)</f>
        <v>0</v>
      </c>
      <c r="P55" s="600"/>
      <c r="Q55" s="601" t="n">
        <f aca="false" t="array" ref="Q55:Q55">SUMIF(CÁLCULO!$CT$15:$DT$205,"&lt;="&amp;PLE!Q51,CÁLCULO!$AR$15:$BR$205)*IF(AdmLocal="Automática",(1+_xlfn.single(CÁLCULO.TotalAdmLocal)/(ORÇAMENTO!$X$15-_xlfn.single(CÁLCULO.TotalAdmLocal))),1)</f>
        <v>0</v>
      </c>
      <c r="R55" s="601"/>
      <c r="S55" s="600" t="n">
        <f aca="false" t="array" ref="S55:S55">SUMIF(CÁLCULO!$CT$15:$DT$205,"&lt;="&amp;PLE!S51,CÁLCULO!$AR$15:$BR$205)*IF(AdmLocal="Automática",(1+_xlfn.single(CÁLCULO.TotalAdmLocal)/(ORÇAMENTO!$X$15-_xlfn.single(CÁLCULO.TotalAdmLocal))),1)</f>
        <v>0</v>
      </c>
      <c r="T55" s="600"/>
      <c r="U55" s="601" t="n">
        <f aca="false" t="array" ref="U55:U55">SUMIF(CÁLCULO!$CT$15:$DT$205,"&lt;="&amp;PLE!U51,CÁLCULO!$AR$15:$BR$205)*IF(AdmLocal="Automática",(1+_xlfn.single(CÁLCULO.TotalAdmLocal)/(ORÇAMENTO!$X$15-_xlfn.single(CÁLCULO.TotalAdmLocal))),1)</f>
        <v>0</v>
      </c>
      <c r="V55" s="601"/>
      <c r="W55" s="600" t="n">
        <f aca="false" t="array" ref="W55:W55">SUMIF(CÁLCULO!$CT$15:$DT$205,"&lt;="&amp;PLE!W51,CÁLCULO!$AR$15:$BR$205)*IF(AdmLocal="Automática",(1+_xlfn.single(CÁLCULO.TotalAdmLocal)/(ORÇAMENTO!$X$15-_xlfn.single(CÁLCULO.TotalAdmLocal))),1)</f>
        <v>0</v>
      </c>
      <c r="X55" s="600"/>
      <c r="Y55" s="601" t="n">
        <f aca="false" t="array" ref="Y55:Y55">SUMIF(CÁLCULO!$CT$15:$DT$205,"&lt;="&amp;PLE!Y51,CÁLCULO!$AR$15:$BR$205)*IF(AdmLocal="Automática",(1+_xlfn.single(CÁLCULO.TotalAdmLocal)/(ORÇAMENTO!$X$15-_xlfn.single(CÁLCULO.TotalAdmLocal))),1)</f>
        <v>0</v>
      </c>
      <c r="Z55" s="601"/>
      <c r="AA55" s="600" t="n">
        <f aca="false" t="array" ref="AA55:AA55">SUMIF(CÁLCULO!$CT$15:$DT$205,"&lt;="&amp;PLE!AA51,CÁLCULO!$AR$15:$BR$205)*IF(AdmLocal="Automática",(1+_xlfn.single(CÁLCULO.TotalAdmLocal)/(ORÇAMENTO!$X$15-_xlfn.single(CÁLCULO.TotalAdmLocal))),1)</f>
        <v>0</v>
      </c>
      <c r="AB55" s="600"/>
      <c r="AC55" s="601" t="n">
        <f aca="false" t="array" ref="AC55:AC55">SUMIF(CÁLCULO!$CT$15:$DT$205,"&lt;="&amp;PLE!AC51,CÁLCULO!$AR$15:$BR$205)*IF(AdmLocal="Automática",(1+_xlfn.single(CÁLCULO.TotalAdmLocal)/(ORÇAMENTO!$X$15-_xlfn.single(CÁLCULO.TotalAdmLocal))),1)</f>
        <v>0</v>
      </c>
      <c r="AD55" s="601"/>
      <c r="AE55" s="600" t="n">
        <f aca="false" t="array" ref="AE55:AE55">SUMIF(CÁLCULO!$CT$15:$DT$205,"&lt;="&amp;PLE!AE51,CÁLCULO!$AR$15:$BR$205)*IF(AdmLocal="Automática",(1+_xlfn.single(CÁLCULO.TotalAdmLocal)/(ORÇAMENTO!$X$15-_xlfn.single(CÁLCULO.TotalAdmLocal))),1)</f>
        <v>0</v>
      </c>
      <c r="AF55" s="600"/>
      <c r="AG55" s="60" t="s">
        <v>993</v>
      </c>
      <c r="AH55" s="605" t="n">
        <f aca="false" t="array" ref="AH55:AH55">SUMIF(CÁLCULO!$CT$15:$DT$205,"&lt;="&amp;PLE!AH51,CÁLCULO!$AR$15:$BR$205)*IF(AdmLocal="Automática",(1+_xlfn.single(CÁLCULO.TotalAdmLocal)/(ORÇAMENTO!$X$15-_xlfn.single(CÁLCULO.TotalAdmLocal))),1)</f>
        <v>0</v>
      </c>
      <c r="AI55" s="605"/>
      <c r="AJ55" s="600" t="n">
        <f aca="false" t="array" ref="AJ55:AJ55">SUMIF(CÁLCULO!$CT$15:$DT$205,"&lt;="&amp;PLE!AJ51,CÁLCULO!$AR$15:$BR$205)*IF(AdmLocal="Automática",(1+_xlfn.single(CÁLCULO.TotalAdmLocal)/(ORÇAMENTO!$X$15-_xlfn.single(CÁLCULO.TotalAdmLocal))),1)</f>
        <v>0</v>
      </c>
      <c r="AK55" s="600"/>
      <c r="AL55" s="601" t="n">
        <f aca="false" t="array" ref="AL55:AL55">SUMIF(CÁLCULO!$CT$15:$DT$205,"&lt;="&amp;PLE!AL51,CÁLCULO!$AR$15:$BR$205)*IF(AdmLocal="Automática",(1+_xlfn.single(CÁLCULO.TotalAdmLocal)/(ORÇAMENTO!$X$15-_xlfn.single(CÁLCULO.TotalAdmLocal))),1)</f>
        <v>0</v>
      </c>
      <c r="AM55" s="601"/>
      <c r="AN55" s="600" t="n">
        <f aca="false" t="array" ref="AN55:AN55">SUMIF(CÁLCULO!$CT$15:$DT$205,"&lt;="&amp;PLE!AN51,CÁLCULO!$AR$15:$BR$205)*IF(AdmLocal="Automática",(1+_xlfn.single(CÁLCULO.TotalAdmLocal)/(ORÇAMENTO!$X$15-_xlfn.single(CÁLCULO.TotalAdmLocal))),1)</f>
        <v>0</v>
      </c>
      <c r="AO55" s="600"/>
      <c r="AP55" s="601" t="n">
        <f aca="false" t="array" ref="AP55:AP55">SUMIF(CÁLCULO!$CT$15:$DT$205,"&lt;="&amp;PLE!AP51,CÁLCULO!$AR$15:$BR$205)*IF(AdmLocal="Automática",(1+_xlfn.single(CÁLCULO.TotalAdmLocal)/(ORÇAMENTO!$X$15-_xlfn.single(CÁLCULO.TotalAdmLocal))),1)</f>
        <v>0</v>
      </c>
      <c r="AQ55" s="601"/>
      <c r="AR55" s="600" t="n">
        <f aca="false" t="array" ref="AR55:AR55">SUMIF(CÁLCULO!$CT$15:$DT$205,"&lt;="&amp;PLE!AR51,CÁLCULO!$AR$15:$BR$205)*IF(AdmLocal="Automática",(1+_xlfn.single(CÁLCULO.TotalAdmLocal)/(ORÇAMENTO!$X$15-_xlfn.single(CÁLCULO.TotalAdmLocal))),1)</f>
        <v>0</v>
      </c>
      <c r="AS55" s="600"/>
      <c r="AT55" s="601" t="n">
        <f aca="false" t="array" ref="AT55:AT55">SUMIF(CÁLCULO!$CT$15:$DT$205,"&lt;="&amp;PLE!AT51,CÁLCULO!$AR$15:$BR$205)*IF(AdmLocal="Automática",(1+_xlfn.single(CÁLCULO.TotalAdmLocal)/(ORÇAMENTO!$X$15-_xlfn.single(CÁLCULO.TotalAdmLocal))),1)</f>
        <v>0</v>
      </c>
      <c r="AU55" s="601"/>
      <c r="AV55" s="600" t="n">
        <f aca="false" t="array" ref="AV55:AV55">SUMIF(CÁLCULO!$CT$15:$DT$205,"&lt;="&amp;PLE!AV51,CÁLCULO!$AR$15:$BR$205)*IF(AdmLocal="Automática",(1+_xlfn.single(CÁLCULO.TotalAdmLocal)/(ORÇAMENTO!$X$15-_xlfn.single(CÁLCULO.TotalAdmLocal))),1)</f>
        <v>0</v>
      </c>
      <c r="AW55" s="600"/>
      <c r="AX55" s="601" t="n">
        <f aca="false" t="array" ref="AX55:AX55">SUMIF(CÁLCULO!$CT$15:$DT$205,"&lt;="&amp;PLE!AX51,CÁLCULO!$AR$15:$BR$205)*IF(AdmLocal="Automática",(1+_xlfn.single(CÁLCULO.TotalAdmLocal)/(ORÇAMENTO!$X$15-_xlfn.single(CÁLCULO.TotalAdmLocal))),1)</f>
        <v>0</v>
      </c>
      <c r="AY55" s="601"/>
      <c r="AZ55" s="600" t="n">
        <f aca="false" t="array" ref="AZ55:AZ55">SUMIF(CÁLCULO!$CT$15:$DT$205,"&lt;="&amp;PLE!AZ51,CÁLCULO!$AR$15:$BR$205)*IF(AdmLocal="Automática",(1+_xlfn.single(CÁLCULO.TotalAdmLocal)/(ORÇAMENTO!$X$15-_xlfn.single(CÁLCULO.TotalAdmLocal))),1)</f>
        <v>0</v>
      </c>
      <c r="BA55" s="600"/>
      <c r="BB55" s="601" t="n">
        <f aca="false" t="array" ref="BB55:BB55">SUMIF(CÁLCULO!$CT$15:$DT$205,"&lt;="&amp;PLE!BB51,CÁLCULO!$AR$15:$BR$205)*IF(AdmLocal="Automática",(1+_xlfn.single(CÁLCULO.TotalAdmLocal)/(ORÇAMENTO!$X$15-_xlfn.single(CÁLCULO.TotalAdmLocal))),1)</f>
        <v>0</v>
      </c>
      <c r="BC55" s="601"/>
      <c r="BD55" s="600" t="n">
        <f aca="false" t="array" ref="BD55:BD55">SUMIF(CÁLCULO!$CT$15:$DT$205,"&lt;="&amp;PLE!BD51,CÁLCULO!$AR$15:$BR$205)*IF(AdmLocal="Automática",(1+_xlfn.single(CÁLCULO.TotalAdmLocal)/(ORÇAMENTO!$X$15-_xlfn.single(CÁLCULO.TotalAdmLocal))),1)</f>
        <v>0</v>
      </c>
      <c r="BE55" s="600"/>
    </row>
    <row r="56" customFormat="false" ht="12.75" hidden="false" customHeight="true" outlineLevel="0" collapsed="false">
      <c r="A56" s="50"/>
      <c r="D56" s="412" t="s">
        <v>995</v>
      </c>
      <c r="H56" s="406" t="s">
        <v>992</v>
      </c>
      <c r="I56" s="407" t="e">
        <f aca="false" t="array" ref="I56:I56">IF(OR(_xlfn.single(ACOMPANHAMENTO)&lt;&gt;"PLE",I51&gt;PLE.Medicao),0,
   IF(AUTOEVENTO="Manual",
      IF(AdmLocal="Automática",I54,
         IF(Import.EventoAdmLocal="","",SUMIF(OFFSET($G$14,CRONOPLE!$A$8+1,1,1,OFFSET($BF$12,0,-1)),"&lt;="&amp;I51,OFFSET(EVENTOS!$G$14,CRONOPLE!$A$8+1,1,1,OFFSET($BF$12,0,-1)))/OFFSET(EVENTOS!$G$14,CRONOPLE!$A$8+1,-1))),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I51,OFFSET(CÁLCULO!$AQ$15,CRONOPLE!$A$10,1,OFFSET(ORÇAMENTO!$D$15,CRONOPLE!$A$10,0),COLUMN(CÁLCULO!$BR$15)-COLUMN(CÁLCULO!$AQ$15)-1))/OFFSET(ORÇAMENTO!$X$15,CRONOPLE!$A$10,0))))</f>
        <v>#NAME?</v>
      </c>
      <c r="J56" s="407"/>
      <c r="K56" s="407" t="e">
        <f aca="false" t="array" ref="K56:K56">IF(OR(_xlfn.single(ACOMPANHAMENTO)&lt;&gt;"PLE",K51&gt;PLE.Medicao),0,
   IF(AUTOEVENTO="Manual",
      IF(AdmLocal="Automática",K54,
         IF(Import.EventoAdmLocal="","",SUMIF(OFFSET($G$14,CRONOPLE!$A$8+1,1,1,OFFSET($BF$12,0,-1)),"&lt;="&amp;K51,OFFSET(EVENTOS!$G$14,CRONOPLE!$A$8+1,1,1,OFFSET($BF$12,0,-1)))/OFFSET(EVENTOS!$G$14,CRONOPLE!$A$8+1,-1))),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K51,OFFSET(CÁLCULO!$AQ$15,CRONOPLE!$A$10,1,OFFSET(ORÇAMENTO!$D$15,CRONOPLE!$A$10,0),COLUMN(CÁLCULO!$BR$15)-COLUMN(CÁLCULO!$AQ$15)-1))/OFFSET(ORÇAMENTO!$X$15,CRONOPLE!$A$10,0))))</f>
        <v>#NAME?</v>
      </c>
      <c r="L56" s="407"/>
      <c r="M56" s="407" t="e">
        <f aca="false" t="array" ref="M56:M56">IF(OR(_xlfn.single(ACOMPANHAMENTO)&lt;&gt;"PLE",M51&gt;PLE.Medicao),0,
   IF(AUTOEVENTO="Manual",
      IF(AdmLocal="Automática",M54,
         IF(Import.EventoAdmLocal="","",SUMIF(OFFSET($G$14,CRONOPLE!$A$8+1,1,1,OFFSET($BF$12,0,-1)),"&lt;="&amp;M51,OFFSET(EVENTOS!$G$14,CRONOPLE!$A$8+1,1,1,OFFSET($BF$12,0,-1)))/OFFSET(EVENTOS!$G$14,CRONOPLE!$A$8+1,-1))),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M51,OFFSET(CÁLCULO!$AQ$15,CRONOPLE!$A$10,1,OFFSET(ORÇAMENTO!$D$15,CRONOPLE!$A$10,0),COLUMN(CÁLCULO!$BR$15)-COLUMN(CÁLCULO!$AQ$15)-1))/OFFSET(ORÇAMENTO!$X$15,CRONOPLE!$A$10,0))))</f>
        <v>#NAME?</v>
      </c>
      <c r="N56" s="407"/>
      <c r="O56" s="407" t="e">
        <f aca="false" t="array" ref="O56:O56">IF(OR(_xlfn.single(ACOMPANHAMENTO)&lt;&gt;"PLE",O51&gt;PLE.Medicao),0,
   IF(AUTOEVENTO="Manual",
      IF(AdmLocal="Automática",O54,
         IF(Import.EventoAdmLocal="","",SUMIF(OFFSET($G$14,CRONOPLE!$A$8+1,1,1,OFFSET($BF$12,0,-1)),"&lt;="&amp;O51,OFFSET(EVENTOS!$G$14,CRONOPLE!$A$8+1,1,1,OFFSET($BF$12,0,-1)))/OFFSET(EVENTOS!$G$14,CRONOPLE!$A$8+1,-1))),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O51,OFFSET(CÁLCULO!$AQ$15,CRONOPLE!$A$10,1,OFFSET(ORÇAMENTO!$D$15,CRONOPLE!$A$10,0),COLUMN(CÁLCULO!$BR$15)-COLUMN(CÁLCULO!$AQ$15)-1))/OFFSET(ORÇAMENTO!$X$15,CRONOPLE!$A$10,0))))</f>
        <v>#NAME?</v>
      </c>
      <c r="P56" s="407"/>
      <c r="Q56" s="407" t="e">
        <f aca="false" t="array" ref="Q56:Q56">IF(OR(_xlfn.single(ACOMPANHAMENTO)&lt;&gt;"PLE",Q51&gt;PLE.Medicao),0,
   IF(AUTOEVENTO="Manual",
      IF(AdmLocal="Automática",Q54,
         IF(Import.EventoAdmLocal="","",SUMIF(OFFSET($G$14,CRONOPLE!$A$8+1,1,1,OFFSET($BF$12,0,-1)),"&lt;="&amp;Q51,OFFSET(EVENTOS!$G$14,CRONOPLE!$A$8+1,1,1,OFFSET($BF$12,0,-1)))/OFFSET(EVENTOS!$G$14,CRONOPLE!$A$8+1,-1))),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Q51,OFFSET(CÁLCULO!$AQ$15,CRONOPLE!$A$10,1,OFFSET(ORÇAMENTO!$D$15,CRONOPLE!$A$10,0),COLUMN(CÁLCULO!$BR$15)-COLUMN(CÁLCULO!$AQ$15)-1))/OFFSET(ORÇAMENTO!$X$15,CRONOPLE!$A$10,0))))</f>
        <v>#NAME?</v>
      </c>
      <c r="R56" s="407"/>
      <c r="S56" s="407" t="e">
        <f aca="false" t="array" ref="S56:S56">IF(OR(_xlfn.single(ACOMPANHAMENTO)&lt;&gt;"PLE",S51&gt;PLE.Medicao),0,
   IF(AUTOEVENTO="Manual",
      IF(AdmLocal="Automática",S54,
         IF(Import.EventoAdmLocal="","",SUMIF(OFFSET($G$14,CRONOPLE!$A$8+1,1,1,OFFSET($BF$12,0,-1)),"&lt;="&amp;S51,OFFSET(EVENTOS!$G$14,CRONOPLE!$A$8+1,1,1,OFFSET($BF$12,0,-1)))/OFFSET(EVENTOS!$G$14,CRONOPLE!$A$8+1,-1))),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S51,OFFSET(CÁLCULO!$AQ$15,CRONOPLE!$A$10,1,OFFSET(ORÇAMENTO!$D$15,CRONOPLE!$A$10,0),COLUMN(CÁLCULO!$BR$15)-COLUMN(CÁLCULO!$AQ$15)-1))/OFFSET(ORÇAMENTO!$X$15,CRONOPLE!$A$10,0))))</f>
        <v>#NAME?</v>
      </c>
      <c r="T56" s="407"/>
      <c r="U56" s="407" t="e">
        <f aca="false" t="array" ref="U56:U56">IF(OR(_xlfn.single(ACOMPANHAMENTO)&lt;&gt;"PLE",U51&gt;PLE.Medicao),0,
   IF(AUTOEVENTO="Manual",
      IF(AdmLocal="Automática",U54,
         IF(Import.EventoAdmLocal="","",SUMIF(OFFSET($G$14,CRONOPLE!$A$8+1,1,1,OFFSET($BF$12,0,-1)),"&lt;="&amp;U51,OFFSET(EVENTOS!$G$14,CRONOPLE!$A$8+1,1,1,OFFSET($BF$12,0,-1)))/OFFSET(EVENTOS!$G$14,CRONOPLE!$A$8+1,-1))),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U51,OFFSET(CÁLCULO!$AQ$15,CRONOPLE!$A$10,1,OFFSET(ORÇAMENTO!$D$15,CRONOPLE!$A$10,0),COLUMN(CÁLCULO!$BR$15)-COLUMN(CÁLCULO!$AQ$15)-1))/OFFSET(ORÇAMENTO!$X$15,CRONOPLE!$A$10,0))))</f>
        <v>#NAME?</v>
      </c>
      <c r="V56" s="407"/>
      <c r="W56" s="407" t="e">
        <f aca="false" t="array" ref="W56:W56">IF(OR(_xlfn.single(ACOMPANHAMENTO)&lt;&gt;"PLE",W51&gt;PLE.Medicao),0,
   IF(AUTOEVENTO="Manual",
      IF(AdmLocal="Automática",W54,
         IF(Import.EventoAdmLocal="","",SUMIF(OFFSET($G$14,CRONOPLE!$A$8+1,1,1,OFFSET($BF$12,0,-1)),"&lt;="&amp;W51,OFFSET(EVENTOS!$G$14,CRONOPLE!$A$8+1,1,1,OFFSET($BF$12,0,-1)))/OFFSET(EVENTOS!$G$14,CRONOPLE!$A$8+1,-1))),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W51,OFFSET(CÁLCULO!$AQ$15,CRONOPLE!$A$10,1,OFFSET(ORÇAMENTO!$D$15,CRONOPLE!$A$10,0),COLUMN(CÁLCULO!$BR$15)-COLUMN(CÁLCULO!$AQ$15)-1))/OFFSET(ORÇAMENTO!$X$15,CRONOPLE!$A$10,0))))</f>
        <v>#NAME?</v>
      </c>
      <c r="X56" s="407"/>
      <c r="Y56" s="407" t="e">
        <f aca="false" t="array" ref="Y56:Y56">IF(OR(_xlfn.single(ACOMPANHAMENTO)&lt;&gt;"PLE",Y51&gt;PLE.Medicao),0,
   IF(AUTOEVENTO="Manual",
      IF(AdmLocal="Automática",Y54,
         IF(Import.EventoAdmLocal="","",SUMIF(OFFSET($G$14,CRONOPLE!$A$8+1,1,1,OFFSET($BF$12,0,-1)),"&lt;="&amp;Y51,OFFSET(EVENTOS!$G$14,CRONOPLE!$A$8+1,1,1,OFFSET($BF$12,0,-1)))/OFFSET(EVENTOS!$G$14,CRONOPLE!$A$8+1,-1))),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Y51,OFFSET(CÁLCULO!$AQ$15,CRONOPLE!$A$10,1,OFFSET(ORÇAMENTO!$D$15,CRONOPLE!$A$10,0),COLUMN(CÁLCULO!$BR$15)-COLUMN(CÁLCULO!$AQ$15)-1))/OFFSET(ORÇAMENTO!$X$15,CRONOPLE!$A$10,0))))</f>
        <v>#NAME?</v>
      </c>
      <c r="Z56" s="407"/>
      <c r="AA56" s="407" t="e">
        <f aca="false" t="array" ref="AA56:AA56">IF(OR(_xlfn.single(ACOMPANHAMENTO)&lt;&gt;"PLE",AA51&gt;PLE.Medicao),0,
   IF(AUTOEVENTO="Manual",
      IF(AdmLocal="Automática",AA54,
         IF(Import.EventoAdmLocal="","",SUMIF(OFFSET($G$14,CRONOPLE!$A$8+1,1,1,OFFSET($BF$12,0,-1)),"&lt;="&amp;AA51,OFFSET(EVENTOS!$G$14,CRONOPLE!$A$8+1,1,1,OFFSET($BF$12,0,-1)))/OFFSET(EVENTOS!$G$14,CRONOPLE!$A$8+1,-1))),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A51,OFFSET(CÁLCULO!$AQ$15,CRONOPLE!$A$10,1,OFFSET(ORÇAMENTO!$D$15,CRONOPLE!$A$10,0),COLUMN(CÁLCULO!$BR$15)-COLUMN(CÁLCULO!$AQ$15)-1))/OFFSET(ORÇAMENTO!$X$15,CRONOPLE!$A$10,0))))</f>
        <v>#NAME?</v>
      </c>
      <c r="AB56" s="407"/>
      <c r="AC56" s="407" t="e">
        <f aca="false" t="array" ref="AC56:AC56">IF(OR(_xlfn.single(ACOMPANHAMENTO)&lt;&gt;"PLE",AC51&gt;PLE.Medicao),0,
   IF(AUTOEVENTO="Manual",
      IF(AdmLocal="Automática",AC54,
         IF(Import.EventoAdmLocal="","",SUMIF(OFFSET($G$14,CRONOPLE!$A$8+1,1,1,OFFSET($BF$12,0,-1)),"&lt;="&amp;AC51,OFFSET(EVENTOS!$G$14,CRONOPLE!$A$8+1,1,1,OFFSET($BF$12,0,-1)))/OFFSET(EVENTOS!$G$14,CRONOPLE!$A$8+1,-1))),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C51,OFFSET(CÁLCULO!$AQ$15,CRONOPLE!$A$10,1,OFFSET(ORÇAMENTO!$D$15,CRONOPLE!$A$10,0),COLUMN(CÁLCULO!$BR$15)-COLUMN(CÁLCULO!$AQ$15)-1))/OFFSET(ORÇAMENTO!$X$15,CRONOPLE!$A$10,0))))</f>
        <v>#NAME?</v>
      </c>
      <c r="AD56" s="407"/>
      <c r="AE56" s="407" t="e">
        <f aca="false" t="array" ref="AE56:AE56">IF(OR(_xlfn.single(ACOMPANHAMENTO)&lt;&gt;"PLE",AE51&gt;PLE.Medicao),0,
   IF(AUTOEVENTO="Manual",
      IF(AdmLocal="Automática",AE54,
         IF(Import.EventoAdmLocal="","",SUMIF(OFFSET($G$14,CRONOPLE!$A$8+1,1,1,OFFSET($BF$12,0,-1)),"&lt;="&amp;AE51,OFFSET(EVENTOS!$G$14,CRONOPLE!$A$8+1,1,1,OFFSET($BF$12,0,-1)))/OFFSET(EVENTOS!$G$14,CRONOPLE!$A$8+1,-1))),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E51,OFFSET(CÁLCULO!$AQ$15,CRONOPLE!$A$10,1,OFFSET(ORÇAMENTO!$D$15,CRONOPLE!$A$10,0),COLUMN(CÁLCULO!$BR$15)-COLUMN(CÁLCULO!$AQ$15)-1))/OFFSET(ORÇAMENTO!$X$15,CRONOPLE!$A$10,0))))</f>
        <v>#NAME?</v>
      </c>
      <c r="AF56" s="407"/>
      <c r="AG56" s="406" t="s">
        <v>992</v>
      </c>
      <c r="AH56" s="407" t="e">
        <f aca="false" t="array" ref="AH56:AH56">IF(OR(_xlfn.single(ACOMPANHAMENTO)&lt;&gt;"PLE",AH51&gt;PLE.Medicao),0,
   IF(AUTOEVENTO="Manual",
      IF(AdmLocal="Automática",AH54,
         IF(Import.EventoAdmLocal="","",SUMIF(OFFSET($G$14,CRONOPLE!$A$8+1,1,1,OFFSET($BF$12,0,-1)),"&lt;="&amp;AH51,OFFSET(EVENTOS!$G$14,CRONOPLE!$A$8+1,1,1,OFFSET($BF$12,0,-1)))/OFFSET(EVENTOS!$G$14,CRONOPLE!$A$8+1,-1))),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H51,OFFSET(CÁLCULO!$AQ$15,CRONOPLE!$A$10,1,OFFSET(ORÇAMENTO!$D$15,CRONOPLE!$A$10,0),COLUMN(CÁLCULO!$BR$15)-COLUMN(CÁLCULO!$AQ$15)-1))/OFFSET(ORÇAMENTO!$X$15,CRONOPLE!$A$10,0))))</f>
        <v>#NAME?</v>
      </c>
      <c r="AI56" s="407"/>
      <c r="AJ56" s="407" t="e">
        <f aca="false" t="array" ref="AJ56:AJ56">IF(OR(_xlfn.single(ACOMPANHAMENTO)&lt;&gt;"PLE",AJ51&gt;PLE.Medicao),0,
   IF(AUTOEVENTO="Manual",
      IF(AdmLocal="Automática",AJ54,
         IF(Import.EventoAdmLocal="","",SUMIF(OFFSET($G$14,CRONOPLE!$A$8+1,1,1,OFFSET($BF$12,0,-1)),"&lt;="&amp;AJ51,OFFSET(EVENTOS!$G$14,CRONOPLE!$A$8+1,1,1,OFFSET($BF$12,0,-1)))/OFFSET(EVENTOS!$G$14,CRONOPLE!$A$8+1,-1))),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J51,OFFSET(CÁLCULO!$AQ$15,CRONOPLE!$A$10,1,OFFSET(ORÇAMENTO!$D$15,CRONOPLE!$A$10,0),COLUMN(CÁLCULO!$BR$15)-COLUMN(CÁLCULO!$AQ$15)-1))/OFFSET(ORÇAMENTO!$X$15,CRONOPLE!$A$10,0))))</f>
        <v>#NAME?</v>
      </c>
      <c r="AK56" s="407"/>
      <c r="AL56" s="407" t="e">
        <f aca="false" t="array" ref="AL56:AL56">IF(OR(_xlfn.single(ACOMPANHAMENTO)&lt;&gt;"PLE",AL51&gt;PLE.Medicao),0,
   IF(AUTOEVENTO="Manual",
      IF(AdmLocal="Automática",AL54,
         IF(Import.EventoAdmLocal="","",SUMIF(OFFSET($G$14,CRONOPLE!$A$8+1,1,1,OFFSET($BF$12,0,-1)),"&lt;="&amp;AL51,OFFSET(EVENTOS!$G$14,CRONOPLE!$A$8+1,1,1,OFFSET($BF$12,0,-1)))/OFFSET(EVENTOS!$G$14,CRONOPLE!$A$8+1,-1))),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L51,OFFSET(CÁLCULO!$AQ$15,CRONOPLE!$A$10,1,OFFSET(ORÇAMENTO!$D$15,CRONOPLE!$A$10,0),COLUMN(CÁLCULO!$BR$15)-COLUMN(CÁLCULO!$AQ$15)-1))/OFFSET(ORÇAMENTO!$X$15,CRONOPLE!$A$10,0))))</f>
        <v>#NAME?</v>
      </c>
      <c r="AM56" s="407"/>
      <c r="AN56" s="407" t="e">
        <f aca="false" t="array" ref="AN56:AN56">IF(OR(_xlfn.single(ACOMPANHAMENTO)&lt;&gt;"PLE",AN51&gt;PLE.Medicao),0,
   IF(AUTOEVENTO="Manual",
      IF(AdmLocal="Automática",AN54,
         IF(Import.EventoAdmLocal="","",SUMIF(OFFSET($G$14,CRONOPLE!$A$8+1,1,1,OFFSET($BF$12,0,-1)),"&lt;="&amp;AN51,OFFSET(EVENTOS!$G$14,CRONOPLE!$A$8+1,1,1,OFFSET($BF$12,0,-1)))/OFFSET(EVENTOS!$G$14,CRONOPLE!$A$8+1,-1))),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N51,OFFSET(CÁLCULO!$AQ$15,CRONOPLE!$A$10,1,OFFSET(ORÇAMENTO!$D$15,CRONOPLE!$A$10,0),COLUMN(CÁLCULO!$BR$15)-COLUMN(CÁLCULO!$AQ$15)-1))/OFFSET(ORÇAMENTO!$X$15,CRONOPLE!$A$10,0))))</f>
        <v>#NAME?</v>
      </c>
      <c r="AO56" s="407"/>
      <c r="AP56" s="407" t="e">
        <f aca="false" t="array" ref="AP56:AP56">IF(OR(_xlfn.single(ACOMPANHAMENTO)&lt;&gt;"PLE",AP51&gt;PLE.Medicao),0,
   IF(AUTOEVENTO="Manual",
      IF(AdmLocal="Automática",AP54,
         IF(Import.EventoAdmLocal="","",SUMIF(OFFSET($G$14,CRONOPLE!$A$8+1,1,1,OFFSET($BF$12,0,-1)),"&lt;="&amp;AP51,OFFSET(EVENTOS!$G$14,CRONOPLE!$A$8+1,1,1,OFFSET($BF$12,0,-1)))/OFFSET(EVENTOS!$G$14,CRONOPLE!$A$8+1,-1))),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P51,OFFSET(CÁLCULO!$AQ$15,CRONOPLE!$A$10,1,OFFSET(ORÇAMENTO!$D$15,CRONOPLE!$A$10,0),COLUMN(CÁLCULO!$BR$15)-COLUMN(CÁLCULO!$AQ$15)-1))/OFFSET(ORÇAMENTO!$X$15,CRONOPLE!$A$10,0))))</f>
        <v>#NAME?</v>
      </c>
      <c r="AQ56" s="407"/>
      <c r="AR56" s="407" t="e">
        <f aca="false" t="array" ref="AR56:AR56">IF(OR(_xlfn.single(ACOMPANHAMENTO)&lt;&gt;"PLE",AR51&gt;PLE.Medicao),0,
   IF(AUTOEVENTO="Manual",
      IF(AdmLocal="Automática",AR54,
         IF(Import.EventoAdmLocal="","",SUMIF(OFFSET($G$14,CRONOPLE!$A$8+1,1,1,OFFSET($BF$12,0,-1)),"&lt;="&amp;AR51,OFFSET(EVENTOS!$G$14,CRONOPLE!$A$8+1,1,1,OFFSET($BF$12,0,-1)))/OFFSET(EVENTOS!$G$14,CRONOPLE!$A$8+1,-1))),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R51,OFFSET(CÁLCULO!$AQ$15,CRONOPLE!$A$10,1,OFFSET(ORÇAMENTO!$D$15,CRONOPLE!$A$10,0),COLUMN(CÁLCULO!$BR$15)-COLUMN(CÁLCULO!$AQ$15)-1))/OFFSET(ORÇAMENTO!$X$15,CRONOPLE!$A$10,0))))</f>
        <v>#NAME?</v>
      </c>
      <c r="AS56" s="407"/>
      <c r="AT56" s="407" t="e">
        <f aca="false" t="array" ref="AT56:AT56">IF(OR(_xlfn.single(ACOMPANHAMENTO)&lt;&gt;"PLE",AT51&gt;PLE.Medicao),0,
   IF(AUTOEVENTO="Manual",
      IF(AdmLocal="Automática",AT54,
         IF(Import.EventoAdmLocal="","",SUMIF(OFFSET($G$14,CRONOPLE!$A$8+1,1,1,OFFSET($BF$12,0,-1)),"&lt;="&amp;AT51,OFFSET(EVENTOS!$G$14,CRONOPLE!$A$8+1,1,1,OFFSET($BF$12,0,-1)))/OFFSET(EVENTOS!$G$14,CRONOPLE!$A$8+1,-1))),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T51,OFFSET(CÁLCULO!$AQ$15,CRONOPLE!$A$10,1,OFFSET(ORÇAMENTO!$D$15,CRONOPLE!$A$10,0),COLUMN(CÁLCULO!$BR$15)-COLUMN(CÁLCULO!$AQ$15)-1))/OFFSET(ORÇAMENTO!$X$15,CRONOPLE!$A$10,0))))</f>
        <v>#NAME?</v>
      </c>
      <c r="AU56" s="407"/>
      <c r="AV56" s="407" t="e">
        <f aca="false" t="array" ref="AV56:AV56">IF(OR(_xlfn.single(ACOMPANHAMENTO)&lt;&gt;"PLE",AV51&gt;PLE.Medicao),0,
   IF(AUTOEVENTO="Manual",
      IF(AdmLocal="Automática",AV54,
         IF(Import.EventoAdmLocal="","",SUMIF(OFFSET($G$14,CRONOPLE!$A$8+1,1,1,OFFSET($BF$12,0,-1)),"&lt;="&amp;AV51,OFFSET(EVENTOS!$G$14,CRONOPLE!$A$8+1,1,1,OFFSET($BF$12,0,-1)))/OFFSET(EVENTOS!$G$14,CRONOPLE!$A$8+1,-1))),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V51,OFFSET(CÁLCULO!$AQ$15,CRONOPLE!$A$10,1,OFFSET(ORÇAMENTO!$D$15,CRONOPLE!$A$10,0),COLUMN(CÁLCULO!$BR$15)-COLUMN(CÁLCULO!$AQ$15)-1))/OFFSET(ORÇAMENTO!$X$15,CRONOPLE!$A$10,0))))</f>
        <v>#NAME?</v>
      </c>
      <c r="AW56" s="407"/>
      <c r="AX56" s="407" t="e">
        <f aca="false" t="array" ref="AX56:AX56">IF(OR(_xlfn.single(ACOMPANHAMENTO)&lt;&gt;"PLE",AX51&gt;PLE.Medicao),0,
   IF(AUTOEVENTO="Manual",
      IF(AdmLocal="Automática",AX54,
         IF(Import.EventoAdmLocal="","",SUMIF(OFFSET($G$14,CRONOPLE!$A$8+1,1,1,OFFSET($BF$12,0,-1)),"&lt;="&amp;AX51,OFFSET(EVENTOS!$G$14,CRONOPLE!$A$8+1,1,1,OFFSET($BF$12,0,-1)))/OFFSET(EVENTOS!$G$14,CRONOPLE!$A$8+1,-1))),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X51,OFFSET(CÁLCULO!$AQ$15,CRONOPLE!$A$10,1,OFFSET(ORÇAMENTO!$D$15,CRONOPLE!$A$10,0),COLUMN(CÁLCULO!$BR$15)-COLUMN(CÁLCULO!$AQ$15)-1))/OFFSET(ORÇAMENTO!$X$15,CRONOPLE!$A$10,0))))</f>
        <v>#NAME?</v>
      </c>
      <c r="AY56" s="407"/>
      <c r="AZ56" s="407" t="e">
        <f aca="false" t="array" ref="AZ56:AZ56">IF(OR(_xlfn.single(ACOMPANHAMENTO)&lt;&gt;"PLE",AZ51&gt;PLE.Medicao),0,
   IF(AUTOEVENTO="Manual",
      IF(AdmLocal="Automática",AZ54,
         IF(Import.EventoAdmLocal="","",SUMIF(OFFSET($G$14,CRONOPLE!$A$8+1,1,1,OFFSET($BF$12,0,-1)),"&lt;="&amp;AZ51,OFFSET(EVENTOS!$G$14,CRONOPLE!$A$8+1,1,1,OFFSET($BF$12,0,-1)))/OFFSET(EVENTOS!$G$14,CRONOPLE!$A$8+1,-1))),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AZ51,OFFSET(CÁLCULO!$AQ$15,CRONOPLE!$A$10,1,OFFSET(ORÇAMENTO!$D$15,CRONOPLE!$A$10,0),COLUMN(CÁLCULO!$BR$15)-COLUMN(CÁLCULO!$AQ$15)-1))/OFFSET(ORÇAMENTO!$X$15,CRONOPLE!$A$10,0))))</f>
        <v>#NAME?</v>
      </c>
      <c r="BA56" s="407"/>
      <c r="BB56" s="407" t="e">
        <f aca="false" t="array" ref="BB56:BB56">IF(OR(_xlfn.single(ACOMPANHAMENTO)&lt;&gt;"PLE",BB51&gt;PLE.Medicao),0,
   IF(AUTOEVENTO="Manual",
      IF(AdmLocal="Automática",BB54,
         IF(Import.EventoAdmLocal="","",SUMIF(OFFSET($G$14,CRONOPLE!$A$8+1,1,1,OFFSET($BF$12,0,-1)),"&lt;="&amp;BB51,OFFSET(EVENTOS!$G$14,CRONOPLE!$A$8+1,1,1,OFFSET($BF$12,0,-1)))/OFFSET(EVENTOS!$G$14,CRONOPLE!$A$8+1,-1))),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BB51,OFFSET(CÁLCULO!$AQ$15,CRONOPLE!$A$10,1,OFFSET(ORÇAMENTO!$D$15,CRONOPLE!$A$10,0),COLUMN(CÁLCULO!$BR$15)-COLUMN(CÁLCULO!$AQ$15)-1))/OFFSET(ORÇAMENTO!$X$15,CRONOPLE!$A$10,0))))</f>
        <v>#NAME?</v>
      </c>
      <c r="BC56" s="407"/>
      <c r="BD56" s="407" t="e">
        <f aca="false" t="array" ref="BD56:BD56">IF(OR(_xlfn.single(ACOMPANHAMENTO)&lt;&gt;"PLE",BD51&gt;PLE.Medicao),0,
   IF(AUTOEVENTO="Manual",
      IF(AdmLocal="Automática",BD54,
         IF(Import.EventoAdmLocal="","",SUMIF(OFFSET($G$14,CRONOPLE!$A$8+1,1,1,OFFSET($BF$12,0,-1)),"&lt;="&amp;BD51,OFFSET(EVENTOS!$G$14,CRONOPLE!$A$8+1,1,1,OFFSET($BF$12,0,-1)))/OFFSET(EVENTOS!$G$14,CRONOPLE!$A$8+1,-1))),
      IF(Import.EventoAdmLocal="","",SUMIF(OFFSET(CÁLCULO!$CS$15,CRONOPLE!$A$10,1,OFFSET(ORÇAMENTO!$D$15,CRONOPLE!$A$10,0),COLUMN(CÁLCULO!$DT$15)-COLUMN(CÁLCULO!$CS$15)-1),"&lt;="&amp;BD51,OFFSET(CÁLCULO!$AQ$15,CRONOPLE!$A$10,1,OFFSET(ORÇAMENTO!$D$15,CRONOPLE!$A$10,0),COLUMN(CÁLCULO!$BR$15)-COLUMN(CÁLCULO!$AQ$15)-1))/OFFSET(ORÇAMENTO!$X$15,CRONOPLE!$A$10,0))))</f>
        <v>#NAME?</v>
      </c>
      <c r="BE56" s="407"/>
    </row>
    <row r="57" customFormat="false" ht="12.75" hidden="false" customHeight="false" outlineLevel="0" collapsed="false">
      <c r="A57" s="50" t="s">
        <v>563</v>
      </c>
      <c r="D57" s="606"/>
      <c r="H57" s="416" t="str">
        <f aca="false">IF(COUNTIF(I57:BF57,"%Adm&gt;%Global")&gt;0,"Verificar proporcionalidade da Administração Local","")</f>
        <v/>
      </c>
      <c r="I57" s="417" t="e">
        <f aca="false">IF(I56="","",IF(ROUND(I56,4)&gt;ROUND(I54,4),"%Adm&gt;%Global",""))</f>
        <v>#NAME?</v>
      </c>
      <c r="J57" s="607"/>
      <c r="K57" s="417" t="e">
        <f aca="false">IF(K56="","",IF(ROUND(K56,4)&gt;ROUND(K54,4),"%Adm&gt;%Global",""))</f>
        <v>#NAME?</v>
      </c>
      <c r="L57" s="607"/>
      <c r="M57" s="417" t="e">
        <f aca="false">IF(M56="","",IF(ROUND(M56,4)&gt;ROUND(M54,4),"%Adm&gt;%Global",""))</f>
        <v>#NAME?</v>
      </c>
      <c r="N57" s="607"/>
      <c r="O57" s="417" t="e">
        <f aca="false">IF(O56="","",IF(ROUND(O56,4)&gt;ROUND(O54,4),"%Adm&gt;%Global",""))</f>
        <v>#NAME?</v>
      </c>
      <c r="P57" s="607"/>
      <c r="Q57" s="417" t="e">
        <f aca="false">IF(Q56="","",IF(ROUND(Q56,4)&gt;ROUND(Q54,4),"%Adm&gt;%Global",""))</f>
        <v>#NAME?</v>
      </c>
      <c r="R57" s="607"/>
      <c r="S57" s="417" t="e">
        <f aca="false">IF(S56="","",IF(ROUND(S56,4)&gt;ROUND(S54,4),"%Adm&gt;%Global",""))</f>
        <v>#NAME?</v>
      </c>
      <c r="T57" s="607"/>
      <c r="U57" s="417" t="e">
        <f aca="false">IF(U56="","",IF(ROUND(U56,4)&gt;ROUND(U54,4),"%Adm&gt;%Global",""))</f>
        <v>#NAME?</v>
      </c>
      <c r="V57" s="607"/>
      <c r="W57" s="417" t="e">
        <f aca="false">IF(W56="","",IF(ROUND(W56,4)&gt;ROUND(W54,4),"%Adm&gt;%Global",""))</f>
        <v>#NAME?</v>
      </c>
      <c r="X57" s="607"/>
      <c r="Y57" s="417" t="e">
        <f aca="false">IF(Y56="","",IF(ROUND(Y56,4)&gt;ROUND(Y54,4),"%Adm&gt;%Global",""))</f>
        <v>#NAME?</v>
      </c>
      <c r="Z57" s="607"/>
      <c r="AA57" s="417" t="e">
        <f aca="false">IF(AA56="","",IF(ROUND(AA56,4)&gt;ROUND(AA54,4),"%Adm&gt;%Global",""))</f>
        <v>#NAME?</v>
      </c>
      <c r="AB57" s="607"/>
      <c r="AC57" s="417" t="e">
        <f aca="false">IF(AC56="","",IF(ROUND(AC56,4)&gt;ROUND(AC54,4),"%Adm&gt;%Global",""))</f>
        <v>#NAME?</v>
      </c>
      <c r="AD57" s="607"/>
      <c r="AE57" s="417" t="e">
        <f aca="false">IF(AE56="","",IF(ROUND(AE56,4)&gt;ROUND(AE54,4),"%Adm&gt;%Global",""))</f>
        <v>#NAME?</v>
      </c>
      <c r="AF57" s="607"/>
      <c r="AG57" s="416" t="str">
        <f aca="false">IF(COUNTIF(AH57:CE57,"%Adm&gt;%Global")&gt;0,"Verificar proporcionalidade da Administração Local","")</f>
        <v/>
      </c>
      <c r="AH57" s="417" t="e">
        <f aca="false">IF(AH56="","",IF(ROUND(AH56,4)&gt;ROUND(AH54,4),"%Adm&gt;%Global",""))</f>
        <v>#NAME?</v>
      </c>
      <c r="AI57" s="607"/>
      <c r="AJ57" s="417" t="e">
        <f aca="false">IF(AJ56="","",IF(ROUND(AJ56,4)&gt;ROUND(AJ54,4),"%Adm&gt;%Global",""))</f>
        <v>#NAME?</v>
      </c>
      <c r="AK57" s="607"/>
      <c r="AL57" s="417" t="e">
        <f aca="false">IF(AL56="","",IF(ROUND(AL56,4)&gt;ROUND(AL54,4),"%Adm&gt;%Global",""))</f>
        <v>#NAME?</v>
      </c>
      <c r="AM57" s="607"/>
      <c r="AN57" s="417" t="e">
        <f aca="false">IF(AN56="","",IF(ROUND(AN56,4)&gt;ROUND(AN54,4),"%Adm&gt;%Global",""))</f>
        <v>#NAME?</v>
      </c>
      <c r="AO57" s="607"/>
      <c r="AP57" s="417" t="e">
        <f aca="false">IF(AP56="","",IF(ROUND(AP56,4)&gt;ROUND(AP54,4),"%Adm&gt;%Global",""))</f>
        <v>#NAME?</v>
      </c>
      <c r="AQ57" s="607"/>
      <c r="AR57" s="417" t="e">
        <f aca="false">IF(AR56="","",IF(ROUND(AR56,4)&gt;ROUND(AR54,4),"%Adm&gt;%Global",""))</f>
        <v>#NAME?</v>
      </c>
      <c r="AS57" s="607"/>
      <c r="AT57" s="417" t="e">
        <f aca="false">IF(AT56="","",IF(ROUND(AT56,4)&gt;ROUND(AT54,4),"%Adm&gt;%Global",""))</f>
        <v>#NAME?</v>
      </c>
      <c r="AU57" s="607"/>
      <c r="AV57" s="417" t="e">
        <f aca="false">IF(AV56="","",IF(ROUND(AV56,4)&gt;ROUND(AV54,4),"%Adm&gt;%Global",""))</f>
        <v>#NAME?</v>
      </c>
      <c r="AW57" s="607"/>
      <c r="AX57" s="417" t="e">
        <f aca="false">IF(AX56="","",IF(ROUND(AX56,4)&gt;ROUND(AX54,4),"%Adm&gt;%Global",""))</f>
        <v>#NAME?</v>
      </c>
      <c r="AY57" s="607"/>
      <c r="AZ57" s="417" t="e">
        <f aca="false">IF(AZ56="","",IF(ROUND(AZ56,4)&gt;ROUND(AZ54,4),"%Adm&gt;%Global",""))</f>
        <v>#NAME?</v>
      </c>
      <c r="BA57" s="607"/>
      <c r="BB57" s="417" t="e">
        <f aca="false">IF(BB56="","",IF(ROUND(BB56,4)&gt;ROUND(BB54,4),"%Adm&gt;%Global",""))</f>
        <v>#NAME?</v>
      </c>
      <c r="BC57" s="607"/>
      <c r="BD57" s="417" t="e">
        <f aca="false">IF(BD56="","",IF(ROUND(BD56,4)&gt;ROUND(BD54,4),"%Adm&gt;%Global",""))</f>
        <v>#NAME?</v>
      </c>
      <c r="BE57" s="607"/>
    </row>
    <row r="58" customFormat="false" ht="20.25" hidden="false" customHeight="true" outlineLevel="0" collapsed="false">
      <c r="A58" s="50" t="s">
        <v>563</v>
      </c>
      <c r="I58" s="608"/>
      <c r="J58" s="608"/>
      <c r="AH58" s="608"/>
      <c r="AI58" s="608"/>
    </row>
    <row r="59" customFormat="false" ht="13.8" hidden="false" customHeight="false" outlineLevel="0" collapsed="false">
      <c r="A59" s="50" t="s">
        <v>563</v>
      </c>
      <c r="B59" s="254" t="str">
        <f aca="false">Import.Município</f>
        <v>SALINAS</v>
      </c>
      <c r="C59" s="254"/>
      <c r="D59" s="254"/>
      <c r="S59" s="64" t="str">
        <f aca="false">IF(DADOS!$D$50&lt;&gt;"","Preencher os Dados do Responsável pela Fiscalização, na aba DADOS.","")</f>
        <v/>
      </c>
      <c r="U59" s="255"/>
      <c r="V59" s="255"/>
      <c r="W59" s="255"/>
      <c r="X59" s="255"/>
      <c r="Y59" s="48"/>
      <c r="Z59" s="48"/>
      <c r="AA59" s="48"/>
      <c r="AB59" s="48"/>
      <c r="AC59" s="48"/>
      <c r="AD59" s="48"/>
      <c r="AR59" s="64" t="str">
        <f aca="false">IF(DADOS!$D$50&lt;&gt;"","Preencher os Dados do Responsável pela Fiscalização, na aba DADOS.","")</f>
        <v/>
      </c>
      <c r="AT59" s="255"/>
      <c r="AU59" s="255"/>
      <c r="AV59" s="255"/>
      <c r="AW59" s="255"/>
      <c r="AX59" s="48"/>
      <c r="AY59" s="48"/>
      <c r="AZ59" s="48"/>
      <c r="BA59" s="48"/>
      <c r="BB59" s="48"/>
      <c r="BC59" s="48"/>
    </row>
    <row r="60" customFormat="false" ht="12.75" hidden="false" customHeight="false" outlineLevel="0" collapsed="false">
      <c r="A60" s="50" t="s">
        <v>563</v>
      </c>
      <c r="B60" s="58" t="s">
        <v>722</v>
      </c>
      <c r="U60" s="256" t="s">
        <v>1053</v>
      </c>
      <c r="AT60" s="256" t="s">
        <v>1053</v>
      </c>
    </row>
    <row r="61" customFormat="false" ht="12.75" hidden="false" customHeight="false" outlineLevel="0" collapsed="false">
      <c r="A61" s="50" t="s">
        <v>563</v>
      </c>
      <c r="I61" s="152"/>
      <c r="U61" s="150" t="s">
        <v>261</v>
      </c>
      <c r="W61" s="609" t="n">
        <f aca="false" t="array" ref="W61:W64">Import.RespFiscalização</f>
        <v>0</v>
      </c>
      <c r="AH61" s="152"/>
      <c r="AT61" s="150" t="s">
        <v>261</v>
      </c>
      <c r="AV61" s="609" t="n">
        <f aca="false" t="array" ref="AV61:AV64">Import.RespFiscalização</f>
        <v>0</v>
      </c>
    </row>
    <row r="62" customFormat="false" ht="12.75" hidden="false" customHeight="false" outlineLevel="0" collapsed="false">
      <c r="A62" s="50" t="s">
        <v>563</v>
      </c>
      <c r="B62" s="257" t="n">
        <f aca="false">DADOS!$C$48</f>
        <v>0</v>
      </c>
      <c r="C62" s="257"/>
      <c r="D62" s="257"/>
      <c r="I62" s="152"/>
      <c r="U62" s="150" t="s">
        <v>346</v>
      </c>
      <c r="W62" s="609" t="n">
        <v>0</v>
      </c>
      <c r="AH62" s="152"/>
      <c r="AT62" s="150" t="s">
        <v>346</v>
      </c>
      <c r="AV62" s="609" t="n">
        <v>0</v>
      </c>
    </row>
    <row r="63" customFormat="false" ht="12.75" hidden="false" customHeight="false" outlineLevel="0" collapsed="false">
      <c r="A63" s="50" t="s">
        <v>563</v>
      </c>
      <c r="B63" s="258" t="s">
        <v>723</v>
      </c>
      <c r="C63" s="33"/>
      <c r="D63" s="33"/>
      <c r="I63" s="152"/>
      <c r="U63" s="150" t="s">
        <v>265</v>
      </c>
      <c r="W63" s="609" t="n">
        <v>0</v>
      </c>
      <c r="AH63" s="152"/>
      <c r="AT63" s="150" t="s">
        <v>265</v>
      </c>
      <c r="AV63" s="609" t="n">
        <v>0</v>
      </c>
    </row>
    <row r="64" customFormat="false" ht="12.75" hidden="false" customHeight="false" outlineLevel="0" collapsed="false">
      <c r="U64" s="150" t="s">
        <v>269</v>
      </c>
      <c r="W64" s="65" t="n">
        <v>0</v>
      </c>
      <c r="AT64" s="150" t="s">
        <v>269</v>
      </c>
      <c r="AV64" s="65" t="n">
        <v>0</v>
      </c>
    </row>
  </sheetData>
  <sheetProtection algorithmName="SHA-512" hashValue="P8wHBbaF1Gkq6EkklhV6ML9RdaVluKmVY+4Tw3Nu5RoflY3pSZiD5ZZCtxE6CnUt8bTxdgCNokOh7Dxp6qQQGg==" saltValue="qe73InwaP06Z1HmjGP5Tqg==" spinCount="100000" sheet="true" objects="true" scenarios="true" autoFilter="false"/>
  <autoFilter ref="A13:A63"/>
  <mergeCells count="235">
    <mergeCell ref="C1:D1"/>
    <mergeCell ref="AD3:AF3"/>
    <mergeCell ref="BC3:BE3"/>
    <mergeCell ref="AD4:AF4"/>
    <mergeCell ref="BC4:BE4"/>
    <mergeCell ref="AE6:AF6"/>
    <mergeCell ref="BD6:BE6"/>
    <mergeCell ref="B7:C7"/>
    <mergeCell ref="H7:N7"/>
    <mergeCell ref="O7:U7"/>
    <mergeCell ref="V7:AD7"/>
    <mergeCell ref="AE7:AF7"/>
    <mergeCell ref="AG7:AM7"/>
    <mergeCell ref="AN7:AT7"/>
    <mergeCell ref="AU7:BC7"/>
    <mergeCell ref="BD7:BE7"/>
    <mergeCell ref="J9:K9"/>
    <mergeCell ref="N9:T9"/>
    <mergeCell ref="Y9:Z9"/>
    <mergeCell ref="AE9:AF9"/>
    <mergeCell ref="AI9:AJ9"/>
    <mergeCell ref="AM9:AS9"/>
    <mergeCell ref="AX9:AY9"/>
    <mergeCell ref="BD9:BE9"/>
    <mergeCell ref="C11:D11"/>
    <mergeCell ref="B12:B13"/>
    <mergeCell ref="C12:D13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I49:AF49"/>
    <mergeCell ref="AH49:BE49"/>
    <mergeCell ref="I50:J50"/>
    <mergeCell ref="K50:L50"/>
    <mergeCell ref="M50:N50"/>
    <mergeCell ref="O50:P50"/>
    <mergeCell ref="Q50:R50"/>
    <mergeCell ref="S50:T50"/>
    <mergeCell ref="U50:V50"/>
    <mergeCell ref="W50:X50"/>
    <mergeCell ref="Y50:Z50"/>
    <mergeCell ref="AA50:AB50"/>
    <mergeCell ref="AC50:AD50"/>
    <mergeCell ref="AE50:AF50"/>
    <mergeCell ref="AH50:AI50"/>
    <mergeCell ref="AJ50:AK50"/>
    <mergeCell ref="AL50:AM50"/>
    <mergeCell ref="AN50:AO50"/>
    <mergeCell ref="AP50:AQ50"/>
    <mergeCell ref="AR50:AS50"/>
    <mergeCell ref="AT50:AU50"/>
    <mergeCell ref="AV50:AW50"/>
    <mergeCell ref="AX50:AY50"/>
    <mergeCell ref="AZ50:BA50"/>
    <mergeCell ref="BB50:BC50"/>
    <mergeCell ref="BD50:BE50"/>
    <mergeCell ref="I51:J51"/>
    <mergeCell ref="K51:L51"/>
    <mergeCell ref="M51:N51"/>
    <mergeCell ref="O51:P51"/>
    <mergeCell ref="Q51:R51"/>
    <mergeCell ref="S51:T51"/>
    <mergeCell ref="U51:V51"/>
    <mergeCell ref="W51:X51"/>
    <mergeCell ref="Y51:Z51"/>
    <mergeCell ref="AA51:AB51"/>
    <mergeCell ref="AC51:AD51"/>
    <mergeCell ref="AE51:AF51"/>
    <mergeCell ref="AH51:AI51"/>
    <mergeCell ref="AJ51:AK51"/>
    <mergeCell ref="AL51:AM51"/>
    <mergeCell ref="AN51:AO51"/>
    <mergeCell ref="AP51:AQ51"/>
    <mergeCell ref="AR51:AS51"/>
    <mergeCell ref="AT51:AU51"/>
    <mergeCell ref="AV51:AW51"/>
    <mergeCell ref="AX51:AY51"/>
    <mergeCell ref="AZ51:BA51"/>
    <mergeCell ref="BB51:BC51"/>
    <mergeCell ref="BD51:BE51"/>
    <mergeCell ref="D52:D53"/>
    <mergeCell ref="I52:J52"/>
    <mergeCell ref="K52:L52"/>
    <mergeCell ref="M52:N52"/>
    <mergeCell ref="O52:P52"/>
    <mergeCell ref="Q52:R52"/>
    <mergeCell ref="S52:T52"/>
    <mergeCell ref="U52:V52"/>
    <mergeCell ref="W52:X52"/>
    <mergeCell ref="Y52:Z52"/>
    <mergeCell ref="AA52:AB52"/>
    <mergeCell ref="AC52:AD52"/>
    <mergeCell ref="AE52:AF52"/>
    <mergeCell ref="AH52:AI52"/>
    <mergeCell ref="AJ52:AK52"/>
    <mergeCell ref="AL52:AM52"/>
    <mergeCell ref="AN52:AO52"/>
    <mergeCell ref="AP52:AQ52"/>
    <mergeCell ref="AR52:AS52"/>
    <mergeCell ref="AT52:AU52"/>
    <mergeCell ref="AV52:AW52"/>
    <mergeCell ref="AX52:AY52"/>
    <mergeCell ref="AZ52:BA52"/>
    <mergeCell ref="BB52:BC52"/>
    <mergeCell ref="BD52:BE52"/>
    <mergeCell ref="I53:J53"/>
    <mergeCell ref="K53:L53"/>
    <mergeCell ref="M53:N53"/>
    <mergeCell ref="O53:P53"/>
    <mergeCell ref="Q53:R53"/>
    <mergeCell ref="S53:T53"/>
    <mergeCell ref="U53:V53"/>
    <mergeCell ref="W53:X53"/>
    <mergeCell ref="Y53:Z53"/>
    <mergeCell ref="AA53:AB53"/>
    <mergeCell ref="AC53:AD53"/>
    <mergeCell ref="AE53:AF53"/>
    <mergeCell ref="AH53:AI53"/>
    <mergeCell ref="AJ53:AK53"/>
    <mergeCell ref="AL53:AM53"/>
    <mergeCell ref="AN53:AO53"/>
    <mergeCell ref="AP53:AQ53"/>
    <mergeCell ref="AR53:AS53"/>
    <mergeCell ref="AT53:AU53"/>
    <mergeCell ref="AV53:AW53"/>
    <mergeCell ref="AX53:AY53"/>
    <mergeCell ref="AZ53:BA53"/>
    <mergeCell ref="BB53:BC53"/>
    <mergeCell ref="BD53:BE53"/>
    <mergeCell ref="D54:D55"/>
    <mergeCell ref="I54:J54"/>
    <mergeCell ref="K54:L54"/>
    <mergeCell ref="M54:N54"/>
    <mergeCell ref="O54:P54"/>
    <mergeCell ref="Q54:R54"/>
    <mergeCell ref="S54:T54"/>
    <mergeCell ref="U54:V54"/>
    <mergeCell ref="W54:X54"/>
    <mergeCell ref="Y54:Z54"/>
    <mergeCell ref="AA54:AB54"/>
    <mergeCell ref="AC54:AD54"/>
    <mergeCell ref="AE54:AF54"/>
    <mergeCell ref="AH54:AI54"/>
    <mergeCell ref="AJ54:AK54"/>
    <mergeCell ref="AL54:AM54"/>
    <mergeCell ref="AN54:AO54"/>
    <mergeCell ref="AP54:AQ54"/>
    <mergeCell ref="AR54:AS54"/>
    <mergeCell ref="AT54:AU54"/>
    <mergeCell ref="AV54:AW54"/>
    <mergeCell ref="AX54:AY54"/>
    <mergeCell ref="AZ54:BA54"/>
    <mergeCell ref="BB54:BC54"/>
    <mergeCell ref="BD54:BE54"/>
    <mergeCell ref="I55:J55"/>
    <mergeCell ref="K55:L55"/>
    <mergeCell ref="M55:N55"/>
    <mergeCell ref="O55:P55"/>
    <mergeCell ref="Q55:R55"/>
    <mergeCell ref="S55:T55"/>
    <mergeCell ref="U55:V55"/>
    <mergeCell ref="W55:X55"/>
    <mergeCell ref="Y55:Z55"/>
    <mergeCell ref="AA55:AB55"/>
    <mergeCell ref="AC55:AD55"/>
    <mergeCell ref="AE55:AF55"/>
    <mergeCell ref="AH55:AI55"/>
    <mergeCell ref="AJ55:AK55"/>
    <mergeCell ref="AL55:AM55"/>
    <mergeCell ref="AN55:AO55"/>
    <mergeCell ref="AP55:AQ55"/>
    <mergeCell ref="AR55:AS55"/>
    <mergeCell ref="AT55:AU55"/>
    <mergeCell ref="AV55:AW55"/>
    <mergeCell ref="AX55:AY55"/>
    <mergeCell ref="AZ55:BA55"/>
    <mergeCell ref="BB55:BC55"/>
    <mergeCell ref="BD55:BE55"/>
    <mergeCell ref="I56:J56"/>
    <mergeCell ref="K56:L56"/>
    <mergeCell ref="M56:N56"/>
    <mergeCell ref="O56:P56"/>
    <mergeCell ref="Q56:R56"/>
    <mergeCell ref="S56:T56"/>
    <mergeCell ref="U56:V56"/>
    <mergeCell ref="W56:X56"/>
    <mergeCell ref="Y56:Z56"/>
    <mergeCell ref="AA56:AB56"/>
    <mergeCell ref="AC56:AD56"/>
    <mergeCell ref="AE56:AF56"/>
    <mergeCell ref="AH56:AI56"/>
    <mergeCell ref="AJ56:AK56"/>
    <mergeCell ref="AL56:AM56"/>
    <mergeCell ref="AN56:AO56"/>
    <mergeCell ref="AP56:AQ56"/>
    <mergeCell ref="AR56:AS56"/>
    <mergeCell ref="AT56:AU56"/>
    <mergeCell ref="AV56:AW56"/>
    <mergeCell ref="AX56:AY56"/>
    <mergeCell ref="AZ56:BA56"/>
    <mergeCell ref="BB56:BC56"/>
    <mergeCell ref="BD56:BE56"/>
    <mergeCell ref="I58:J58"/>
    <mergeCell ref="AH58:AI58"/>
    <mergeCell ref="B59:D59"/>
    <mergeCell ref="B62:D62"/>
  </mergeCells>
  <conditionalFormatting sqref="F46">
    <cfRule type="expression" priority="2" aboveAverage="0" equalAverage="0" bottom="0" percent="0" rank="0" text="" dxfId="591">
      <formula>IF(OR(ACOMPANHAMENTO="BM",F$12&gt;CÁLCULO.NúmeroDeFrentes),1,PLE.ValorDoEvento=0)</formula>
    </cfRule>
    <cfRule type="cellIs" priority="3" operator="equal" aboveAverage="0" equalAverage="0" bottom="0" percent="0" rank="0" text="" dxfId="592">
      <formula>$J$9</formula>
    </cfRule>
  </conditionalFormatting>
  <conditionalFormatting sqref="F37:F45">
    <cfRule type="expression" priority="4" aboveAverage="0" equalAverage="0" bottom="0" percent="0" rank="0" text="" dxfId="593">
      <formula>IF(OR(ACOMPANHAMENTO="BM",F$12&gt;CÁLCULO.NúmeroDeFrentes),1,PLE.ValorDoEvento=0)</formula>
    </cfRule>
    <cfRule type="cellIs" priority="5" operator="equal" aboveAverage="0" equalAverage="0" bottom="0" percent="0" rank="0" text="" dxfId="594">
      <formula>$J$9</formula>
    </cfRule>
  </conditionalFormatting>
  <conditionalFormatting sqref="F28:F36">
    <cfRule type="expression" priority="6" aboveAverage="0" equalAverage="0" bottom="0" percent="0" rank="0" text="" dxfId="595">
      <formula>IF(OR(ACOMPANHAMENTO="BM",F$12&gt;CÁLCULO.NúmeroDeFrentes),1,PLE.ValorDoEvento=0)</formula>
    </cfRule>
    <cfRule type="cellIs" priority="7" operator="equal" aboveAverage="0" equalAverage="0" bottom="0" percent="0" rank="0" text="" dxfId="596">
      <formula>$J$9</formula>
    </cfRule>
  </conditionalFormatting>
  <conditionalFormatting sqref="F27">
    <cfRule type="expression" priority="8" aboveAverage="0" equalAverage="0" bottom="0" percent="0" rank="0" text="" dxfId="597">
      <formula>IF(OR(ACOMPANHAMENTO="BM",F$12&gt;CÁLCULO.NúmeroDeFrentes),1,PLE.ValorDoEvento=0)</formula>
    </cfRule>
    <cfRule type="cellIs" priority="9" operator="equal" aboveAverage="0" equalAverage="0" bottom="0" percent="0" rank="0" text="" dxfId="598">
      <formula>$J$9</formula>
    </cfRule>
  </conditionalFormatting>
  <conditionalFormatting sqref="AM13">
    <cfRule type="expression" priority="10" aboveAverage="0" equalAverage="0" bottom="0" percent="0" rank="0" text="" dxfId="599">
      <formula>$Y$9=0</formula>
    </cfRule>
  </conditionalFormatting>
  <conditionalFormatting sqref="AH51:AI51">
    <cfRule type="cellIs" priority="11" operator="notEqual" aboveAverage="0" equalAverage="0" bottom="0" percent="0" rank="0" text="" dxfId="600">
      <formula>1</formula>
    </cfRule>
  </conditionalFormatting>
  <conditionalFormatting sqref="BD6:BD7">
    <cfRule type="expression" priority="12" aboveAverage="0" equalAverage="0" bottom="0" percent="0" rank="0" text="" dxfId="601">
      <formula>TIPOORCAMENTO&lt;&gt;"Licitado"</formula>
    </cfRule>
  </conditionalFormatting>
  <conditionalFormatting sqref="AM9:AS9">
    <cfRule type="expression" priority="13" aboveAverage="0" equalAverage="0" bottom="0" percent="0" rank="0" text="" dxfId="602">
      <formula>COLUMN(AM9)&gt;COLUMN($AF$12)</formula>
    </cfRule>
    <cfRule type="expression" priority="14" aboveAverage="0" equalAverage="0" bottom="0" percent="0" rank="0" text="" dxfId="603">
      <formula>$N$9="DIGITE A DATA DA MEDIÇÃO"</formula>
    </cfRule>
  </conditionalFormatting>
  <conditionalFormatting sqref="F25:F26">
    <cfRule type="expression" priority="15" aboveAverage="0" equalAverage="0" bottom="0" percent="0" rank="0" text="" dxfId="604">
      <formula>IF(OR(ACOMPANHAMENTO="BM",F$12&gt;CÁLCULO.NúmeroDeFrentes),1,PLE.ValorDoEvento=0)</formula>
    </cfRule>
    <cfRule type="cellIs" priority="16" operator="equal" aboveAverage="0" equalAverage="0" bottom="0" percent="0" rank="0" text="" dxfId="605">
      <formula>$J$9</formula>
    </cfRule>
  </conditionalFormatting>
  <conditionalFormatting sqref="F16:F24">
    <cfRule type="expression" priority="17" aboveAverage="0" equalAverage="0" bottom="0" percent="0" rank="0" text="" dxfId="606">
      <formula>IF(OR(ACOMPANHAMENTO="BM",F$12&gt;CÁLCULO.NúmeroDeFrentes),1,PLE.ValorDoEvento=0)</formula>
    </cfRule>
    <cfRule type="cellIs" priority="18" operator="equal" aboveAverage="0" equalAverage="0" bottom="0" percent="0" rank="0" text="" dxfId="607">
      <formula>$J$9</formula>
    </cfRule>
  </conditionalFormatting>
  <conditionalFormatting sqref="N13">
    <cfRule type="expression" priority="19" aboveAverage="0" equalAverage="0" bottom="0" percent="0" rank="0" text="" dxfId="608">
      <formula>$Y$9=0</formula>
    </cfRule>
  </conditionalFormatting>
  <conditionalFormatting sqref="I56:AF56 AH56:BE56">
    <cfRule type="expression" priority="20" aboveAverage="0" equalAverage="0" bottom="0" percent="0" rank="0" text="" dxfId="609">
      <formula>ROUND(I56,4)&gt;ROUND(I54,4)</formula>
    </cfRule>
  </conditionalFormatting>
  <conditionalFormatting sqref="K56:AF56 AJ56:BE56">
    <cfRule type="expression" priority="21" aboveAverage="0" equalAverage="0" bottom="0" percent="0" rank="0" text="" dxfId="610">
      <formula>OFFSET(K56,-2,-2)=1</formula>
    </cfRule>
  </conditionalFormatting>
  <conditionalFormatting sqref="K52:AF55 AJ52:BE55">
    <cfRule type="expression" priority="22" aboveAverage="0" equalAverage="0" bottom="0" percent="0" rank="0" text="" dxfId="611">
      <formula>I$54=100%</formula>
    </cfRule>
  </conditionalFormatting>
  <conditionalFormatting sqref="I51:J51">
    <cfRule type="cellIs" priority="23" operator="notEqual" aboveAverage="0" equalAverage="0" bottom="0" percent="0" rank="0" text="" dxfId="612">
      <formula>1</formula>
    </cfRule>
  </conditionalFormatting>
  <conditionalFormatting sqref="F1:F2">
    <cfRule type="expression" priority="24" aboveAverage="0" equalAverage="0" bottom="0" percent="0" rank="0" text="" dxfId="613">
      <formula>IF(OR(ACOMPANHAMENTO="BM",F$12&gt;CÁLCULO.NúmeroDeFrentes),1,PLE.ValorDoEvento=0)</formula>
    </cfRule>
    <cfRule type="cellIs" priority="25" operator="equal" aboveAverage="0" equalAverage="0" bottom="0" percent="0" rank="0" text="" dxfId="614">
      <formula>$J$9</formula>
    </cfRule>
  </conditionalFormatting>
  <conditionalFormatting sqref="I52:AF52 AH52:BE52">
    <cfRule type="expression" priority="26" aboveAverage="0" equalAverage="0" bottom="0" percent="0" rank="0" text="" dxfId="615">
      <formula>I51=$J$9</formula>
    </cfRule>
  </conditionalFormatting>
  <conditionalFormatting sqref="I53:AF53 AH53:BE53">
    <cfRule type="expression" priority="27" aboveAverage="0" equalAverage="0" bottom="0" percent="0" rank="0" text="" dxfId="616">
      <formula>I51=$J$9</formula>
    </cfRule>
  </conditionalFormatting>
  <conditionalFormatting sqref="I54:AF54 AH54:BE54">
    <cfRule type="expression" priority="28" aboveAverage="0" equalAverage="0" bottom="0" percent="0" rank="0" text="" dxfId="617">
      <formula>I51=$J$9</formula>
    </cfRule>
  </conditionalFormatting>
  <conditionalFormatting sqref="I55:AF55 AH55:BE55">
    <cfRule type="expression" priority="29" aboveAverage="0" equalAverage="0" bottom="0" percent="0" rank="0" text="" dxfId="618">
      <formula>I51=$J$9</formula>
    </cfRule>
  </conditionalFormatting>
  <conditionalFormatting sqref="AE6:AE7">
    <cfRule type="expression" priority="30" aboveAverage="0" equalAverage="0" bottom="0" percent="0" rank="0" text="" dxfId="619">
      <formula>TIPOORCAMENTO&lt;&gt;"Licitado"</formula>
    </cfRule>
  </conditionalFormatting>
  <conditionalFormatting sqref="N9:T9">
    <cfRule type="expression" priority="31" aboveAverage="0" equalAverage="0" bottom="0" percent="0" rank="0" text="" dxfId="620">
      <formula>COLUMN(N9)&gt;COLUMN($AF$12)</formula>
    </cfRule>
    <cfRule type="expression" priority="32" aboveAverage="0" equalAverage="0" bottom="0" percent="0" rank="0" text="" dxfId="621">
      <formula>$N$9="DIGITE A DATA DA MEDIÇÃO"</formula>
    </cfRule>
  </conditionalFormatting>
  <conditionalFormatting sqref="I9:M9 U9:AF9 AH9:AL9 AT9:BE9">
    <cfRule type="expression" priority="33" aboveAverage="0" equalAverage="0" bottom="0" percent="0" rank="0" text="" dxfId="622">
      <formula>COLUMN(I9)&gt;COLUMN($AF$12)</formula>
    </cfRule>
  </conditionalFormatting>
  <conditionalFormatting sqref="H1:BE1 H16:BE46">
    <cfRule type="expression" priority="34" aboveAverage="0" equalAverage="0" bottom="0" percent="0" rank="0" text="" dxfId="623">
      <formula>IF(OR(ACOMPANHAMENTO="BM",TIPOORCAMENTO="Proposto",H$12&gt;CÁLCULO.NúmeroDeFrentes),1,PLE.ValorDoEvento=0)</formula>
    </cfRule>
    <cfRule type="cellIs" priority="35" operator="equal" aboveAverage="0" equalAverage="0" bottom="0" percent="0" rank="0" text="" dxfId="624">
      <formula>$J$9</formula>
    </cfRule>
  </conditionalFormatting>
  <conditionalFormatting sqref="J57 L57 N57 P57 R57 T57 V57 X57 Z57 AB57 AD57 AF57 AI57 AK57 AM57 AO57 AQ57 AS57 AU57 AW57 AY57 BA57 BC57 BE57">
    <cfRule type="expression" priority="36" aboveAverage="0" equalAverage="0" bottom="0" percent="0" rank="0" text="" dxfId="625">
      <formula>J52=$J$9</formula>
    </cfRule>
  </conditionalFormatting>
  <dataValidations count="3">
    <dataValidation allowBlank="true" errorStyle="stop" operator="greaterThan" showDropDown="false" showErrorMessage="true" showInputMessage="false" sqref="F1:F4 I3:AC4 AH3:BB4 J9:K9 AI9:AJ9 F16:F46" type="whole">
      <formula1>0</formula1>
      <formula2>0</formula2>
    </dataValidation>
    <dataValidation allowBlank="true" errorStyle="stop" operator="between" prompt="Digite a data de medição abaixo dos eventos." showDropDown="false" showErrorMessage="true" showInputMessage="true" sqref="N9:T9 AM9:AS9" type="none">
      <formula1>0</formula1>
      <formula2>0</formula2>
    </dataValidation>
    <dataValidation allowBlank="true" error="Preencha somente com o número da medição atual." errorStyle="stop" errorTitle="Errp de entrada" operator="equal" showDropDown="false" showErrorMessage="true" showInputMessage="false" sqref="H1:BE1 H16:BE46" type="whole">
      <formula1>PLE.Medicao</formula1>
      <formula2>0</formula2>
    </dataValidation>
  </dataValidations>
  <printOptions headings="false" gridLines="false" gridLinesSet="true" horizontalCentered="true" verticalCentered="false"/>
  <pageMargins left="0.7875" right="0.7875" top="0.786805555555556" bottom="0.786805555555556" header="0.590277777777778" footer="0.590277777777778"/>
  <pageSetup paperSize="9" scale="69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&amp;LPMv3.12&amp;R&amp;P / 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O2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7" ySplit="15" topLeftCell="H16" activePane="bottomRight" state="frozen"/>
      <selection pane="topLeft" activeCell="A1" activeCellId="0" sqref="A1"/>
      <selection pane="topRight" activeCell="H1" activeCellId="0" sqref="H1"/>
      <selection pane="bottomLeft" activeCell="A16" activeCellId="0" sqref="A16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true" outlineLevel="0" max="2" min="1" style="1" width="6.57"/>
    <col collapsed="false" customWidth="true" hidden="false" outlineLevel="0" max="3" min="3" style="1" width="3.57"/>
    <col collapsed="false" customWidth="true" hidden="false" outlineLevel="0" max="4" min="4" style="1" width="10.57"/>
    <col collapsed="false" customWidth="true" hidden="false" outlineLevel="0" max="5" min="5" style="1" width="65.57"/>
    <col collapsed="false" customWidth="true" hidden="false" outlineLevel="0" max="6" min="6" style="1" width="7.57"/>
    <col collapsed="false" customWidth="true" hidden="false" outlineLevel="0" max="7" min="7" style="1" width="11.57"/>
    <col collapsed="false" customWidth="true" hidden="false" outlineLevel="0" max="8" min="8" style="1" width="14.57"/>
    <col collapsed="false" customWidth="true" hidden="false" outlineLevel="0" max="9" min="9" style="1" width="18.57"/>
    <col collapsed="false" customWidth="true" hidden="false" outlineLevel="0" max="12" min="10" style="1" width="11.57"/>
    <col collapsed="false" customWidth="true" hidden="false" outlineLevel="0" max="15" min="13" style="1" width="18.57"/>
    <col collapsed="false" customWidth="true" hidden="true" outlineLevel="0" max="18" min="17" style="1" width="11.57"/>
    <col collapsed="false" customWidth="true" hidden="true" outlineLevel="0" max="19" min="19" style="1" width="9.14"/>
    <col collapsed="false" customWidth="true" hidden="true" outlineLevel="0" max="20" min="20" style="1" width="10.57"/>
    <col collapsed="false" customWidth="true" hidden="true" outlineLevel="0" max="21" min="21" style="1" width="65.57"/>
    <col collapsed="false" customWidth="true" hidden="true" outlineLevel="0" max="22" min="22" style="1" width="7.57"/>
    <col collapsed="false" customWidth="true" hidden="true" outlineLevel="0" max="23" min="23" style="1" width="11.57"/>
    <col collapsed="false" customWidth="true" hidden="true" outlineLevel="0" max="24" min="24" style="1" width="14.57"/>
    <col collapsed="false" customWidth="true" hidden="true" outlineLevel="0" max="25" min="25" style="1" width="18.57"/>
    <col collapsed="false" customWidth="true" hidden="true" outlineLevel="0" max="26" min="26" style="1" width="25.57"/>
    <col collapsed="false" customWidth="true" hidden="true" outlineLevel="0" max="27" min="27" style="1" width="9.14"/>
    <col collapsed="false" customWidth="true" hidden="false" outlineLevel="0" max="39" min="28" style="1" width="11.57"/>
    <col collapsed="false" customWidth="true" hidden="false" outlineLevel="0" max="40" min="40" style="1" width="10.42"/>
    <col collapsed="false" customWidth="true" hidden="true" outlineLevel="0" max="41" min="41" style="1" width="9.14"/>
  </cols>
  <sheetData>
    <row r="1" customFormat="false" ht="15" hidden="false" customHeight="false" outlineLevel="0" collapsed="false">
      <c r="E1" s="610" t="str">
        <f aca="false">IF(CAIXA.Modo,"BA - Boletim de Aferição","BM - Boletim de Medição")</f>
        <v>BM - Boletim de Medição</v>
      </c>
      <c r="G1" s="611"/>
      <c r="J1" s="611"/>
      <c r="K1" s="611"/>
      <c r="L1" s="611"/>
      <c r="M1" s="611"/>
      <c r="N1" s="611"/>
      <c r="O1" s="100" t="s">
        <v>671</v>
      </c>
    </row>
    <row r="2" customFormat="false" ht="15" hidden="false" customHeight="false" outlineLevel="0" collapsed="false">
      <c r="A2" s="32" t="s">
        <v>1054</v>
      </c>
      <c r="B2" s="34"/>
      <c r="E2" s="612" t="str">
        <f aca="true">IF(Import.RegimeExecução="(SELECIONAR)","Selecione o Regime de Execução na Aba Dados",Import.RegimeExecução&amp;" - "&amp;import.recurso)</f>
        <v>EMPREITADA POR PREÇO GLOBAL - OGU</v>
      </c>
      <c r="O2" s="60" t="s">
        <v>674</v>
      </c>
    </row>
    <row r="3" customFormat="false" ht="12.75" hidden="false" customHeight="false" outlineLevel="0" collapsed="false">
      <c r="A3" s="317" t="b">
        <f aca="false">FALSE()</f>
        <v>0</v>
      </c>
      <c r="B3" s="317"/>
      <c r="E3" s="16"/>
    </row>
    <row r="4" customFormat="false" ht="12.75" hidden="false" customHeight="false" outlineLevel="0" collapsed="false">
      <c r="D4" s="103" t="s">
        <v>679</v>
      </c>
      <c r="E4" s="103"/>
      <c r="F4" s="172" t="s">
        <v>677</v>
      </c>
      <c r="G4" s="172"/>
      <c r="H4" s="172"/>
      <c r="I4" s="311" t="s">
        <v>737</v>
      </c>
      <c r="J4" s="103" t="s">
        <v>738</v>
      </c>
      <c r="K4" s="103"/>
      <c r="L4" s="103"/>
      <c r="M4" s="103"/>
      <c r="N4" s="103"/>
      <c r="O4" s="313" t="s">
        <v>1055</v>
      </c>
    </row>
    <row r="5" customFormat="false" ht="12.75" hidden="false" customHeight="true" outlineLevel="0" collapsed="false">
      <c r="A5" s="1" t="s">
        <v>1056</v>
      </c>
      <c r="D5" s="104" t="str">
        <f aca="false">Import.Proponente</f>
        <v>PREFEITURA MUNICIPAL DE SALINAS</v>
      </c>
      <c r="E5" s="104"/>
      <c r="F5" s="179" t="str">
        <f aca="false">Import.CR</f>
        <v>1100251-88</v>
      </c>
      <c r="G5" s="179"/>
      <c r="H5" s="179"/>
      <c r="I5" s="613" t="str">
        <f aca="false">Import.TransfereGOV</f>
        <v>974240/2024</v>
      </c>
      <c r="J5" s="104" t="str">
        <f aca="false">Import.Apelido</f>
        <v>CONSTRUÇÃO DE UNIDADES HABITACIONAIS EM ÁREAS URBANAS</v>
      </c>
      <c r="K5" s="104"/>
      <c r="L5" s="104"/>
      <c r="M5" s="104"/>
      <c r="N5" s="104"/>
      <c r="O5" s="614" t="n">
        <f aca="false">Import.DataInicioObra</f>
        <v>0</v>
      </c>
      <c r="AO5" s="615" t="s">
        <v>1057</v>
      </c>
    </row>
    <row r="6" customFormat="false" ht="4.5" hidden="false" customHeight="true" outlineLevel="0" collapsed="false">
      <c r="D6" s="167"/>
      <c r="E6" s="168"/>
      <c r="F6" s="167"/>
      <c r="G6" s="167"/>
      <c r="H6" s="167"/>
      <c r="I6" s="167"/>
      <c r="J6" s="167"/>
      <c r="K6" s="167"/>
      <c r="L6" s="167"/>
      <c r="M6" s="167"/>
      <c r="N6" s="167"/>
      <c r="O6" s="167"/>
      <c r="AO6" s="616"/>
    </row>
    <row r="7" customFormat="false" ht="12.75" hidden="false" customHeight="true" outlineLevel="0" collapsed="false">
      <c r="A7" s="1" t="str">
        <f aca="true">RegimeExecucao</f>
        <v>Global</v>
      </c>
      <c r="D7" s="162" t="s">
        <v>1058</v>
      </c>
      <c r="E7" s="162" t="s">
        <v>1059</v>
      </c>
      <c r="F7" s="103" t="s">
        <v>1060</v>
      </c>
      <c r="G7" s="103"/>
      <c r="H7" s="103"/>
      <c r="I7" s="103" t="str">
        <f aca="false">IF(TIPOORCAMENTO="Licitado","REGIME DE EXECUÇÃO","MUNICÍPIO / UF")</f>
        <v>MUNICÍPIO / UF</v>
      </c>
      <c r="J7" s="103"/>
      <c r="K7" s="103"/>
      <c r="L7" s="103"/>
      <c r="M7" s="103" t="s">
        <v>1061</v>
      </c>
      <c r="N7" s="103"/>
      <c r="O7" s="162" t="s">
        <v>1062</v>
      </c>
      <c r="AO7" s="518" t="n">
        <f aca="true">BM.MEDAcumulado</f>
        <v>0</v>
      </c>
    </row>
    <row r="8" customFormat="false" ht="12.75" hidden="false" customHeight="true" outlineLevel="0" collapsed="false">
      <c r="A8" s="32" t="s">
        <v>1063</v>
      </c>
      <c r="B8" s="34"/>
      <c r="C8" s="105" t="s">
        <v>682</v>
      </c>
      <c r="D8" s="617" t="n">
        <f aca="false">Import.CTEF</f>
        <v>0</v>
      </c>
      <c r="E8" s="104" t="n">
        <f aca="false">Import.empresa</f>
        <v>0</v>
      </c>
      <c r="F8" s="104" t="n">
        <f aca="false">Import.CNPJ</f>
        <v>0</v>
      </c>
      <c r="G8" s="104"/>
      <c r="H8" s="104"/>
      <c r="I8" s="104" t="str">
        <f aca="true">IF(TIPOORCAMENTO="Licitado",Import.RegimeExecução,Import.Município)</f>
        <v>SALINAS</v>
      </c>
      <c r="J8" s="104"/>
      <c r="K8" s="104"/>
      <c r="L8" s="104"/>
      <c r="M8" s="104" t="str">
        <f aca="true" t="array" ref="M8:M8">TEXT(IF(BM.medicao=1,Import.DataInicioObra,OFFSET($AB$12,0,BM.medicao-1-$AB$13)+1),"dd/mm/aaaa")&amp;" a "&amp;TEXT(OFFSET($AB$12,0,BM.medicao-$AB$13),"dd/mm/aaaa")</f>
        <v>30/12/1899 a 30/12/1899</v>
      </c>
      <c r="N8" s="104"/>
      <c r="O8" s="618" t="n">
        <v>1</v>
      </c>
    </row>
    <row r="9" customFormat="false" ht="12.75" hidden="false" customHeight="true" outlineLevel="0" collapsed="false">
      <c r="A9" s="619" t="b">
        <f aca="false">TRUE()</f>
        <v>1</v>
      </c>
      <c r="B9" s="9"/>
      <c r="C9" s="105"/>
    </row>
    <row r="10" customFormat="false" ht="12.75" hidden="false" customHeight="true" outlineLevel="0" collapsed="false">
      <c r="A10" s="32" t="s">
        <v>1064</v>
      </c>
      <c r="B10" s="34"/>
      <c r="C10" s="105"/>
      <c r="E10" s="620"/>
      <c r="F10" s="621" t="e">
        <f aca="false" t="array" ref="F10:F10">IF(_xlfn.single(ACOMPANHAMENTO)="PLE","Foi selecionado na aba 'MENU' o acompanhamento por PLE.",
  IF(_xlfn.single(TIPOORCAMENTO)="Proposto","Altere na aba 'MENU' o tipo de orçamento para 'Licitado'.",
  IF(_xlfn.single(Import.RegimeExecução)="(SELECIONAR)",UPPER($E$2),
  IF(AND(BM.medicao=1,DADOS!$C$47=0),"PREENCHER A DATA DE INÍCIO DA OBRA, NA ABA DADOS",
  IF($N$15=0,"PREENCHER A MEDIÇÃO "&amp;BM.medicao,
  IF($AB$10&lt;&gt;"",UPPER($AB$10),
  IF($J$215&lt;&gt;"",UPPER($J$215),
 "")))))))</f>
        <v>#NAME?</v>
      </c>
      <c r="G10" s="621"/>
      <c r="H10" s="621"/>
      <c r="I10" s="621"/>
      <c r="O10" s="622" t="e">
        <f aca="false">"Realizado Acumulado: "&amp;TEXT(P10,"0,00%")</f>
        <v>#NAME?</v>
      </c>
      <c r="P10" s="623" t="e">
        <f aca="false">ROUND($O$15/($I$15+10^-12),4)</f>
        <v>#NAME?</v>
      </c>
      <c r="AB10" s="111" t="str">
        <f aca="false">IF(INDEX($AB$12:$AN$12,MATCH($O$8,$AB$13:$AN$13,0))=0,"Preencher a data da medição "&amp;$O$8,"")</f>
        <v>Preencher a data da medição 1</v>
      </c>
    </row>
    <row r="11" customFormat="false" ht="15" hidden="false" customHeight="true" outlineLevel="0" collapsed="false">
      <c r="A11" s="624" t="n">
        <f aca="true">OFFSET(CRONO!$F$13,CRONO!$F$193,0)</f>
        <v>0</v>
      </c>
      <c r="B11" s="3"/>
      <c r="C11" s="105"/>
      <c r="E11" s="620"/>
      <c r="F11" s="621"/>
      <c r="G11" s="621"/>
      <c r="H11" s="621"/>
      <c r="I11" s="621"/>
      <c r="N11" s="625"/>
      <c r="O11" s="622" t="str">
        <f aca="false">IF(ISERROR(P11),"","Administração Local Acumulada: "&amp;TEXT(P11,"0,00%"))</f>
        <v/>
      </c>
      <c r="P11" s="623" t="e">
        <f aca="true">OFFSET($O$15,$A$11,0)/OFFSET($I$15,$A$11,0)</f>
        <v>#NAME?</v>
      </c>
      <c r="T11" s="626" t="s">
        <v>1065</v>
      </c>
      <c r="U11" s="626"/>
      <c r="Z11" s="9"/>
      <c r="AB11" s="591" t="s">
        <v>1066</v>
      </c>
      <c r="AC11" s="591"/>
      <c r="AD11" s="591"/>
      <c r="AE11" s="591"/>
      <c r="AF11" s="591"/>
      <c r="AG11" s="591"/>
      <c r="AH11" s="591"/>
      <c r="AI11" s="591"/>
      <c r="AJ11" s="591"/>
      <c r="AK11" s="591"/>
      <c r="AL11" s="591"/>
      <c r="AM11" s="591"/>
    </row>
    <row r="12" customFormat="false" ht="15" hidden="false" customHeight="true" outlineLevel="0" collapsed="false">
      <c r="C12" s="105"/>
      <c r="E12" s="62" t="s">
        <v>1067</v>
      </c>
      <c r="J12" s="60" t="str">
        <f aca="true">"Evolução Física "&amp;CHOOSE(MATCH(RegimeExecucao,{"Unitário","Global"},0),"(Qtde.)","(%)")</f>
        <v>Evolução Física (%)</v>
      </c>
      <c r="K12" s="60"/>
      <c r="L12" s="60"/>
      <c r="M12" s="60" t="s">
        <v>1068</v>
      </c>
      <c r="N12" s="60"/>
      <c r="O12" s="60"/>
      <c r="Q12" s="60" t="str">
        <f aca="true">"Aferido (CAIXA) "&amp;CHOOSE(MATCH(RegimeExecucao,{"Unitário","Global"},0),"(Qtde.)","(%)")</f>
        <v>Aferido (CAIXA) (%)</v>
      </c>
      <c r="R12" s="60"/>
      <c r="T12" s="627" t="s">
        <v>1069</v>
      </c>
      <c r="U12" s="48"/>
      <c r="V12" s="48"/>
      <c r="W12" s="48"/>
      <c r="X12" s="48"/>
      <c r="Y12" s="48"/>
      <c r="Z12" s="3"/>
      <c r="AB12" s="628"/>
      <c r="AC12" s="629"/>
      <c r="AD12" s="629"/>
      <c r="AE12" s="629"/>
      <c r="AF12" s="629"/>
      <c r="AG12" s="629"/>
      <c r="AH12" s="629"/>
      <c r="AI12" s="629"/>
      <c r="AJ12" s="629"/>
      <c r="AK12" s="629"/>
      <c r="AL12" s="629"/>
      <c r="AM12" s="630"/>
    </row>
    <row r="13" customFormat="false" ht="45" hidden="false" customHeight="true" outlineLevel="0" collapsed="false">
      <c r="A13" s="189" t="s">
        <v>756</v>
      </c>
      <c r="B13" s="189" t="s">
        <v>755</v>
      </c>
      <c r="C13" s="112" t="s">
        <v>687</v>
      </c>
      <c r="D13" s="197" t="s">
        <v>765</v>
      </c>
      <c r="E13" s="197" t="s">
        <v>132</v>
      </c>
      <c r="F13" s="631" t="s">
        <v>768</v>
      </c>
      <c r="G13" s="197" t="s">
        <v>742</v>
      </c>
      <c r="H13" s="197" t="s">
        <v>769</v>
      </c>
      <c r="I13" s="197" t="s">
        <v>770</v>
      </c>
      <c r="J13" s="197" t="s">
        <v>1070</v>
      </c>
      <c r="K13" s="197" t="s">
        <v>1071</v>
      </c>
      <c r="L13" s="197" t="s">
        <v>1072</v>
      </c>
      <c r="M13" s="197" t="s">
        <v>1070</v>
      </c>
      <c r="N13" s="197" t="s">
        <v>1071</v>
      </c>
      <c r="O13" s="197" t="s">
        <v>1072</v>
      </c>
      <c r="Q13" s="197" t="s">
        <v>1070</v>
      </c>
      <c r="R13" s="197" t="s">
        <v>1072</v>
      </c>
      <c r="T13" s="197" t="s">
        <v>765</v>
      </c>
      <c r="U13" s="197" t="s">
        <v>132</v>
      </c>
      <c r="V13" s="631" t="str">
        <f aca="true">IF(RegimeExecucao="Unitário","Unidade","")</f>
        <v/>
      </c>
      <c r="W13" s="197" t="str">
        <f aca="true">CHOOSE(MATCH(RegimeExecucao,{"Unitário","Global"},0),"Quant. Glosada (unid)","Percentual Glosado (%)")</f>
        <v>Percentual Glosado (%)</v>
      </c>
      <c r="X13" s="197" t="str">
        <f aca="true">CHOOSE(MATCH(RegimeExecucao,{"Unitário","Global"},0),"Preço Unitário (R$)","Valor Total do Item (R$)")</f>
        <v>Valor Total do Item (R$)</v>
      </c>
      <c r="Y13" s="197" t="s">
        <v>1073</v>
      </c>
      <c r="Z13" s="197" t="s">
        <v>1074</v>
      </c>
      <c r="AA13" s="194"/>
      <c r="AB13" s="632" t="n">
        <f aca="true" t="array" ref="AB13:AB13">IF(BM.medicao&lt;=12,1,TRUNC((BM.medicao - 2)/11,0) * 11 + 1)</f>
        <v>1</v>
      </c>
      <c r="AC13" s="632" t="n">
        <f aca="true">OFFSET(AC13,0,-1)+1</f>
        <v>2</v>
      </c>
      <c r="AD13" s="632" t="n">
        <f aca="true">OFFSET(AD13,0,-1)+1</f>
        <v>3</v>
      </c>
      <c r="AE13" s="632" t="n">
        <f aca="true">OFFSET(AE13,0,-1)+1</f>
        <v>4</v>
      </c>
      <c r="AF13" s="632" t="n">
        <f aca="true">OFFSET(AF13,0,-1)+1</f>
        <v>5</v>
      </c>
      <c r="AG13" s="632" t="n">
        <f aca="true">OFFSET(AG13,0,-1)+1</f>
        <v>6</v>
      </c>
      <c r="AH13" s="632" t="n">
        <f aca="true">OFFSET(AH13,0,-1)+1</f>
        <v>7</v>
      </c>
      <c r="AI13" s="632" t="n">
        <f aca="true">OFFSET(AI13,0,-1)+1</f>
        <v>8</v>
      </c>
      <c r="AJ13" s="632" t="n">
        <f aca="true">OFFSET(AJ13,0,-1)+1</f>
        <v>9</v>
      </c>
      <c r="AK13" s="632" t="n">
        <f aca="true">OFFSET(AK13,0,-1)+1</f>
        <v>10</v>
      </c>
      <c r="AL13" s="632" t="n">
        <f aca="true">OFFSET(AL13,0,-1)+1</f>
        <v>11</v>
      </c>
      <c r="AM13" s="632" t="n">
        <f aca="true">OFFSET(AM13,0,-1)+1</f>
        <v>12</v>
      </c>
      <c r="AO13" s="189" t="s">
        <v>1075</v>
      </c>
    </row>
    <row r="14" customFormat="false" ht="12.75" hidden="true" customHeight="false" outlineLevel="0" collapsed="false">
      <c r="A14" s="1" t="str">
        <f aca="false">ORÇAMENTO!C14</f>
        <v>S</v>
      </c>
      <c r="B14" s="1" t="n">
        <f aca="false">ORÇAMENTO!D14</f>
        <v>0</v>
      </c>
      <c r="C14" s="199" t="str">
        <f aca="false">IF(OR($I14&gt;0,$A14=1,$A14=2,$A14=3,$A14=4),"F","")</f>
        <v/>
      </c>
      <c r="D14" s="202" t="str">
        <f aca="false">ORÇAMENTO!O14</f>
        <v>-</v>
      </c>
      <c r="E14" s="341" t="str">
        <f aca="false">ORÇAMENTO.Descricao</f>
        <v>(abra o arquivo 'Referência 07-2025.xlsm)</v>
      </c>
      <c r="F14" s="342" t="str">
        <f aca="true">IF(RegimeExecucao="Global","",ORÇAMENTO.Unidade)</f>
        <v/>
      </c>
      <c r="G14" s="207" t="str">
        <f aca="true">IF(RegimeExecucao="Global","",ORÇAMENTO!T14)</f>
        <v/>
      </c>
      <c r="H14" s="207" t="str">
        <f aca="true">IF(RegimeExecucao="Global","",ORÇAMENTO!W14)</f>
        <v/>
      </c>
      <c r="I14" s="210" t="n">
        <f aca="false">ORÇAMENTO!X14</f>
        <v>0</v>
      </c>
      <c r="J14" s="633" t="e">
        <f aca="false" t="array" ref="J14:J14">_xlfn.single(IF($A14="S",IF(CAIXA.Modo,BM.AFAnterior,BM.MEDAnterior),IF(AND(_xlfn.single(RegimeExecucao)="Global",$I14&gt;0,COUNTIF($AB$13:$AM$13,BM.medicao-1)&gt;0),M14/$I14*100,0)))</f>
        <v>#NAME?</v>
      </c>
      <c r="K14" s="207" t="e">
        <f aca="false">L14-J14</f>
        <v>#NAME?</v>
      </c>
      <c r="L14" s="634" t="e">
        <f aca="false" t="array" ref="L14:L14">_xlfn.single(IF($A14="S",IF(CAIXA.Modo,BM.AFAcumulado,BM.MEDAcumulado),IF(AND(_xlfn.single(RegimeExecucao)="Global",$I14&gt;0,COUNTIF($AB$13:$AM$13,BM.medicao)&gt;0),O14/$I14*100,0)))</f>
        <v>#NAME?</v>
      </c>
      <c r="M14" s="635" t="n">
        <f aca="true">IF($A14="S",VTOTALBM,IF($A14=0,0,ROUND(SomaAgrupBM,15-13*ORÇAMENTO!$AF$11)))</f>
        <v>0</v>
      </c>
      <c r="N14" s="219" t="n">
        <f aca="false">O14-M14</f>
        <v>0</v>
      </c>
      <c r="O14" s="210" t="n">
        <f aca="true">IF($A14="S",VTOTALBM,IF($A14=0,0,ROUND(SomaAgrupBM,15-13*ORÇAMENTO!$AF$11)))</f>
        <v>0</v>
      </c>
      <c r="Q14" s="636"/>
      <c r="R14" s="637"/>
      <c r="T14" s="202" t="str">
        <f aca="false">IF($W14&gt;0,$D14,"")</f>
        <v/>
      </c>
      <c r="U14" s="341" t="str">
        <f aca="false">IF($W14&gt;0,$E14,"")</f>
        <v/>
      </c>
      <c r="V14" s="342" t="str">
        <f aca="true">IF(AND($W14&gt;0,RegimeExecucao="Unitário"),$F14,"")</f>
        <v/>
      </c>
      <c r="W14" s="638" t="n">
        <f aca="true">IF($Y14&gt;0,CHOOSE(MATCH(RegimeExecucao,{"Unitário","Global"},0),IF($A14="S",$Y14/$X14,""),($Y14/$X14)*100),0)</f>
        <v>0</v>
      </c>
      <c r="X14" s="639" t="str">
        <f aca="true">IF($Y14&gt;0,CHOOSE(MATCH(RegimeExecucao,{"Unitário","Global"},0),IF($A14="S",ROUND($H14,ORÇAMENTO!$AF$10),""),ROUND($I14,ORÇAMENTO!$AF$11)),"")</f>
        <v/>
      </c>
      <c r="Y14" s="639" t="n">
        <f aca="false">AO14-O14</f>
        <v>0</v>
      </c>
      <c r="Z14" s="640"/>
      <c r="AB14" s="636"/>
      <c r="AC14" s="641"/>
      <c r="AD14" s="641"/>
      <c r="AE14" s="641"/>
      <c r="AF14" s="641"/>
      <c r="AG14" s="641"/>
      <c r="AH14" s="641"/>
      <c r="AI14" s="641"/>
      <c r="AJ14" s="641"/>
      <c r="AK14" s="641"/>
      <c r="AL14" s="641"/>
      <c r="AM14" s="637"/>
      <c r="AO14" s="38" t="n">
        <f aca="true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customFormat="false" ht="35.05" hidden="false" customHeight="false" outlineLevel="0" collapsed="false">
      <c r="C15" s="199" t="s">
        <v>563</v>
      </c>
      <c r="D15" s="642" t="str">
        <f aca="false">"Objeto do CTEF: "&amp;Import.DescLote</f>
        <v>Objeto do CTEF: CONSTRUÇÃO DE UNIDADES HABITACIONAIS EM ÁREAS URBANAS, NO MUNICIPIO DE SALINAS/MG, UTILIZANDO RECURSOS DO FNHIS, PELO PROGRAMA MINHA CASA MINHA VIDA</v>
      </c>
      <c r="E15" s="642"/>
      <c r="F15" s="643"/>
      <c r="G15" s="644"/>
      <c r="H15" s="644" t="s">
        <v>1076</v>
      </c>
      <c r="I15" s="645" t="e">
        <f aca="false">IF(OR(_xlfn.single(ACOMPANHAMENTO)="PLE",_xlfn.single(TIPOORCAMENTO)="Proposto"),0,ORÇAMENTO!$X$15)</f>
        <v>#NAME?</v>
      </c>
      <c r="J15" s="646" t="e">
        <f aca="true">IF(M$15=0,0,IF(RegimeExecucao="Global",M$15/$I$15*100,0))</f>
        <v>#NAME?</v>
      </c>
      <c r="K15" s="646" t="e">
        <f aca="false">L15-J15</f>
        <v>#NAME?</v>
      </c>
      <c r="L15" s="646" t="e">
        <f aca="true">IF(O$15=0,0,IF(RegimeExecucao="Global",O$15/$I$15*100,0))</f>
        <v>#NAME?</v>
      </c>
      <c r="M15" s="647" t="e">
        <f aca="false">IF(OR(_xlfn.single(ACOMPANHAMENTO)="PLE",_xlfn.single(TIPOORCAMENTO)="Proposto"),0,SUMIF(OFFSET($A15,1,0):$A$205,"S",OFFSET(M15,1,0):M$205))</f>
        <v>#NAME?</v>
      </c>
      <c r="N15" s="647" t="e">
        <f aca="false">O15-M15</f>
        <v>#NAME?</v>
      </c>
      <c r="O15" s="647" t="e">
        <f aca="false">IF(OR(_xlfn.single(ACOMPANHAMENTO)="PLE",_xlfn.single(TIPOORCAMENTO)="Proposto"),0,SUMIF(OFFSET($A15,1,0):$A$205,"S",OFFSET(O15,1,0):O$205))</f>
        <v>#NAME?</v>
      </c>
      <c r="Q15" s="648"/>
      <c r="R15" s="648"/>
      <c r="T15" s="649"/>
      <c r="U15" s="650"/>
      <c r="V15" s="650"/>
      <c r="W15" s="650"/>
      <c r="X15" s="650"/>
      <c r="Y15" s="650"/>
      <c r="Z15" s="651"/>
      <c r="AB15" s="652" t="str">
        <f aca="true">"Preencher abaixo com a "&amp;CHOOSE(MATCH(RegimeExecucao,{"Unitário","Global"},0),"QUANTIDADE","PORCENTAGEM")&amp;" executada no PERÍODO"</f>
        <v>Preencher abaixo com a PORCENTAGEM executada no PERÍODO</v>
      </c>
      <c r="AC15" s="652"/>
      <c r="AD15" s="652"/>
      <c r="AE15" s="652"/>
      <c r="AF15" s="652"/>
      <c r="AG15" s="652"/>
      <c r="AH15" s="652"/>
      <c r="AI15" s="652"/>
      <c r="AJ15" s="652"/>
      <c r="AK15" s="652"/>
      <c r="AL15" s="652"/>
      <c r="AM15" s="652"/>
    </row>
    <row r="16" customFormat="false" ht="12.75" hidden="false" customHeight="false" outlineLevel="0" collapsed="false">
      <c r="A16" s="1" t="n">
        <f aca="false">ORÇAMENTO!C16</f>
        <v>1</v>
      </c>
      <c r="B16" s="1" t="n">
        <f aca="false">ORÇAMENTO!D16</f>
        <v>189</v>
      </c>
      <c r="C16" s="199" t="str">
        <f aca="false">IF(OR($I16&gt;0,$A16=1,$A16=2,$A16=3,$A16=4),"F","")</f>
        <v>F</v>
      </c>
      <c r="D16" s="202" t="str">
        <f aca="false">ORÇAMENTO!O16</f>
        <v>1.</v>
      </c>
      <c r="E16" s="341" t="str">
        <f aca="false">ORÇAMENTO.Descricao</f>
        <v>CONSTRUÇÃO DE CASAS POPULARES</v>
      </c>
      <c r="F16" s="342" t="str">
        <f aca="true">IF(RegimeExecucao="Global","",ORÇAMENTO.Unidade)</f>
        <v/>
      </c>
      <c r="G16" s="207" t="str">
        <f aca="true">IF(RegimeExecucao="Global","",ORÇAMENTO!T16)</f>
        <v/>
      </c>
      <c r="H16" s="207" t="str">
        <f aca="true">IF(RegimeExecucao="Global","",ORÇAMENTO!W16)</f>
        <v/>
      </c>
      <c r="I16" s="210" t="n">
        <f aca="false">ORÇAMENTO!X16</f>
        <v>3655717.06</v>
      </c>
      <c r="J16" s="633" t="e">
        <f aca="false" t="array" ref="J16:J16">_xlfn.single(IF($A16="S",IF(CAIXA.Modo,BM.AFAnterior,BM.MEDAnterior),IF(AND(_xlfn.single(RegimeExecucao)="Global",$I16&gt;0,COUNTIF($AB$13:$AM$13,BM.medicao-1)&gt;0),M16/$I16*100,0)))</f>
        <v>#NAME?</v>
      </c>
      <c r="K16" s="207" t="e">
        <f aca="false">L16-J16</f>
        <v>#NAME?</v>
      </c>
      <c r="L16" s="634" t="e">
        <f aca="false" t="array" ref="L16:L16">_xlfn.single(IF($A16="S",IF(CAIXA.Modo,BM.AFAcumulado,BM.MEDAcumulado),IF(AND(_xlfn.single(RegimeExecucao)="Global",$I16&gt;0,COUNTIF($AB$13:$AM$13,BM.medicao)&gt;0),O16/$I16*100,0)))</f>
        <v>#NAME?</v>
      </c>
      <c r="M16" s="635" t="n">
        <f aca="true">IF($A16="S",VTOTALBM,IF($A16=0,0,ROUND(SomaAgrupBM,15-13*ORÇAMENTO!$AF$11)))</f>
        <v>0</v>
      </c>
      <c r="N16" s="219" t="n">
        <f aca="false">O16-M16</f>
        <v>0</v>
      </c>
      <c r="O16" s="210" t="n">
        <f aca="true">IF($A16="S",VTOTALBM,IF($A16=0,0,ROUND(SomaAgrupBM,15-13*ORÇAMENTO!$AF$11)))</f>
        <v>0</v>
      </c>
      <c r="Q16" s="636"/>
      <c r="R16" s="637"/>
      <c r="T16" s="202" t="str">
        <f aca="false">IF($W16&gt;0,$D16,"")</f>
        <v/>
      </c>
      <c r="U16" s="341" t="str">
        <f aca="false">IF($W16&gt;0,$E16,"")</f>
        <v/>
      </c>
      <c r="V16" s="342" t="str">
        <f aca="true">IF(AND($W16&gt;0,RegimeExecucao="Unitário"),$F16,"")</f>
        <v/>
      </c>
      <c r="W16" s="638" t="n">
        <f aca="true">IF($Y16&gt;0,CHOOSE(MATCH(RegimeExecucao,{"Unitário","Global"},0),IF($A16="S",$Y16/$X16,""),($Y16/$X16)*100),0)</f>
        <v>0</v>
      </c>
      <c r="X16" s="639" t="str">
        <f aca="true">IF($Y16&gt;0,CHOOSE(MATCH(RegimeExecucao,{"Unitário","Global"},0),IF($A16="S",ROUND($H16,ORÇAMENTO!$AF$10),""),ROUND($I16,ORÇAMENTO!$AF$11)),"")</f>
        <v/>
      </c>
      <c r="Y16" s="639" t="n">
        <f aca="false">AO16-O16</f>
        <v>0</v>
      </c>
      <c r="Z16" s="640"/>
      <c r="AB16" s="636"/>
      <c r="AC16" s="641"/>
      <c r="AD16" s="641"/>
      <c r="AE16" s="641"/>
      <c r="AF16" s="641"/>
      <c r="AG16" s="641"/>
      <c r="AH16" s="641"/>
      <c r="AI16" s="641"/>
      <c r="AJ16" s="641"/>
      <c r="AK16" s="641"/>
      <c r="AL16" s="641"/>
      <c r="AM16" s="637"/>
      <c r="AO16" s="38" t="n">
        <f aca="true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customFormat="false" ht="12.75" hidden="false" customHeight="false" outlineLevel="0" collapsed="false">
      <c r="A17" s="1" t="n">
        <f aca="false">ORÇAMENTO!C17</f>
        <v>2</v>
      </c>
      <c r="B17" s="1" t="n">
        <f aca="false">ORÇAMENTO!D17</f>
        <v>6</v>
      </c>
      <c r="C17" s="199" t="str">
        <f aca="false">IF(OR($I17&gt;0,$A17=1,$A17=2,$A17=3,$A17=4),"F","")</f>
        <v>F</v>
      </c>
      <c r="D17" s="202" t="str">
        <f aca="false">ORÇAMENTO!O17</f>
        <v>1.1.</v>
      </c>
      <c r="E17" s="341" t="str">
        <f aca="false">ORÇAMENTO.Descricao</f>
        <v>SERVIÇOS PRELIMINARES</v>
      </c>
      <c r="F17" s="342" t="str">
        <f aca="true">IF(RegimeExecucao="Global","",ORÇAMENTO.Unidade)</f>
        <v/>
      </c>
      <c r="G17" s="207" t="str">
        <f aca="true">IF(RegimeExecucao="Global","",ORÇAMENTO!T17)</f>
        <v/>
      </c>
      <c r="H17" s="207" t="str">
        <f aca="true">IF(RegimeExecucao="Global","",ORÇAMENTO!W17)</f>
        <v/>
      </c>
      <c r="I17" s="210" t="n">
        <f aca="false">ORÇAMENTO!X17</f>
        <v>36530.06</v>
      </c>
      <c r="J17" s="633" t="e">
        <f aca="false" t="array" ref="J17:J17">_xlfn.single(IF($A17="S",IF(CAIXA.Modo,BM.AFAnterior,BM.MEDAnterior),IF(AND(_xlfn.single(RegimeExecucao)="Global",$I17&gt;0,COUNTIF($AB$13:$AM$13,BM.medicao-1)&gt;0),M17/$I17*100,0)))</f>
        <v>#NAME?</v>
      </c>
      <c r="K17" s="207" t="e">
        <f aca="false">L17-J17</f>
        <v>#NAME?</v>
      </c>
      <c r="L17" s="634" t="e">
        <f aca="false" t="array" ref="L17:L17">_xlfn.single(IF($A17="S",IF(CAIXA.Modo,BM.AFAcumulado,BM.MEDAcumulado),IF(AND(_xlfn.single(RegimeExecucao)="Global",$I17&gt;0,COUNTIF($AB$13:$AM$13,BM.medicao)&gt;0),O17/$I17*100,0)))</f>
        <v>#NAME?</v>
      </c>
      <c r="M17" s="635" t="n">
        <f aca="true">IF($A17="S",VTOTALBM,IF($A17=0,0,ROUND(SomaAgrupBM,15-13*ORÇAMENTO!$AF$11)))</f>
        <v>0</v>
      </c>
      <c r="N17" s="219" t="n">
        <f aca="false">O17-M17</f>
        <v>0</v>
      </c>
      <c r="O17" s="210" t="n">
        <f aca="true">IF($A17="S",VTOTALBM,IF($A17=0,0,ROUND(SomaAgrupBM,15-13*ORÇAMENTO!$AF$11)))</f>
        <v>0</v>
      </c>
      <c r="Q17" s="636"/>
      <c r="R17" s="637"/>
      <c r="T17" s="202" t="str">
        <f aca="false">IF($W17&gt;0,$D17,"")</f>
        <v/>
      </c>
      <c r="U17" s="341" t="str">
        <f aca="false">IF($W17&gt;0,$E17,"")</f>
        <v/>
      </c>
      <c r="V17" s="342" t="str">
        <f aca="true">IF(AND($W17&gt;0,RegimeExecucao="Unitário"),$F17,"")</f>
        <v/>
      </c>
      <c r="W17" s="638" t="n">
        <f aca="true">IF($Y17&gt;0,CHOOSE(MATCH(RegimeExecucao,{"Unitário","Global"},0),IF($A17="S",$Y17/$X17,""),($Y17/$X17)*100),0)</f>
        <v>0</v>
      </c>
      <c r="X17" s="639" t="str">
        <f aca="true">IF($Y17&gt;0,CHOOSE(MATCH(RegimeExecucao,{"Unitário","Global"},0),IF($A17="S",ROUND($H17,ORÇAMENTO!$AF$10),""),ROUND($I17,ORÇAMENTO!$AF$11)),"")</f>
        <v/>
      </c>
      <c r="Y17" s="639" t="n">
        <f aca="false">AO17-O17</f>
        <v>0</v>
      </c>
      <c r="Z17" s="640"/>
      <c r="AB17" s="636"/>
      <c r="AC17" s="641"/>
      <c r="AD17" s="641"/>
      <c r="AE17" s="641"/>
      <c r="AF17" s="641"/>
      <c r="AG17" s="641"/>
      <c r="AH17" s="641"/>
      <c r="AI17" s="641"/>
      <c r="AJ17" s="641"/>
      <c r="AK17" s="641"/>
      <c r="AL17" s="641"/>
      <c r="AM17" s="637"/>
      <c r="AO17" s="38" t="n">
        <f aca="true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customFormat="false" ht="23.85" hidden="false" customHeight="false" outlineLevel="0" collapsed="false">
      <c r="A18" s="1" t="str">
        <f aca="false">ORÇAMENTO!C18</f>
        <v>S</v>
      </c>
      <c r="B18" s="1" t="n">
        <f aca="false">ORÇAMENTO!D18</f>
        <v>0</v>
      </c>
      <c r="C18" s="199" t="str">
        <f aca="false">IF(OR($I18&gt;0,$A18=1,$A18=2,$A18=3,$A18=4),"F","")</f>
        <v>F</v>
      </c>
      <c r="D18" s="202" t="str">
        <f aca="false">ORÇAMENTO!O18</f>
        <v>1.1.1.</v>
      </c>
      <c r="E18" s="341" t="str">
        <f aca="false">ORÇAMENTO.Descricao</f>
        <v>FORNECIMENTO E INSTALAÇÃO DE PLACA DE OBRA COM CHAPA GALVANIZADA E ESTRUTURA DE MADEIRA. AF_03/2022_PS </v>
      </c>
      <c r="F18" s="342" t="str">
        <f aca="true">IF(RegimeExecucao="Global","",ORÇAMENTO.Unidade)</f>
        <v/>
      </c>
      <c r="G18" s="207" t="str">
        <f aca="true">IF(RegimeExecucao="Global","",ORÇAMENTO!T18)</f>
        <v/>
      </c>
      <c r="H18" s="207" t="str">
        <f aca="true">IF(RegimeExecucao="Global","",ORÇAMENTO!W18)</f>
        <v/>
      </c>
      <c r="I18" s="210" t="n">
        <f aca="false">ORÇAMENTO!X18</f>
        <v>4181.65</v>
      </c>
      <c r="J18" s="633" t="e">
        <f aca="false" t="array" ref="J18:J18">_xlfn.single(IF($A18="S",IF(CAIXA.Modo,BM.AFAnterior,BM.MEDAnterior),IF(AND(_xlfn.single(RegimeExecucao)="Global",$I18&gt;0,COUNTIF($AB$13:$AM$13,BM.medicao-1)&gt;0),M18/$I18*100,0)))</f>
        <v>#NAME?</v>
      </c>
      <c r="K18" s="207" t="e">
        <f aca="false">L18-J18</f>
        <v>#NAME?</v>
      </c>
      <c r="L18" s="634" t="e">
        <f aca="false" t="array" ref="L18:L18">_xlfn.single(IF($A18="S",IF(CAIXA.Modo,BM.AFAcumulado,BM.MEDAcumulado),IF(AND(_xlfn.single(RegimeExecucao)="Global",$I18&gt;0,COUNTIF($AB$13:$AM$13,BM.medicao)&gt;0),O18/$I18*100,0)))</f>
        <v>#NAME?</v>
      </c>
      <c r="M18" s="635" t="n">
        <f aca="true">IF($A18="S",VTOTALBM,IF($A18=0,0,ROUND(SomaAgrupBM,15-13*ORÇAMENTO!$AF$11)))</f>
        <v>0</v>
      </c>
      <c r="N18" s="219" t="n">
        <f aca="false">O18-M18</f>
        <v>0</v>
      </c>
      <c r="O18" s="210" t="n">
        <f aca="true">IF($A18="S",VTOTALBM,IF($A18=0,0,ROUND(SomaAgrupBM,15-13*ORÇAMENTO!$AF$11)))</f>
        <v>0</v>
      </c>
      <c r="Q18" s="636"/>
      <c r="R18" s="637"/>
      <c r="T18" s="202" t="str">
        <f aca="false">IF($W18&gt;0,$D18,"")</f>
        <v/>
      </c>
      <c r="U18" s="341" t="str">
        <f aca="false">IF($W18&gt;0,$E18,"")</f>
        <v/>
      </c>
      <c r="V18" s="342" t="str">
        <f aca="true">IF(AND($W18&gt;0,RegimeExecucao="Unitário"),$F18,"")</f>
        <v/>
      </c>
      <c r="W18" s="638" t="n">
        <f aca="true">IF($Y18&gt;0,CHOOSE(MATCH(RegimeExecucao,{"Unitário","Global"},0),IF($A18="S",$Y18/$X18,""),($Y18/$X18)*100),0)</f>
        <v>0</v>
      </c>
      <c r="X18" s="639" t="str">
        <f aca="true">IF($Y18&gt;0,CHOOSE(MATCH(RegimeExecucao,{"Unitário","Global"},0),IF($A18="S",ROUND($H18,ORÇAMENTO!$AF$10),""),ROUND($I18,ORÇAMENTO!$AF$11)),"")</f>
        <v/>
      </c>
      <c r="Y18" s="639" t="n">
        <f aca="false">AO18-O18</f>
        <v>0</v>
      </c>
      <c r="Z18" s="640"/>
      <c r="AB18" s="636"/>
      <c r="AC18" s="641"/>
      <c r="AD18" s="641"/>
      <c r="AE18" s="641"/>
      <c r="AF18" s="641"/>
      <c r="AG18" s="641"/>
      <c r="AH18" s="641"/>
      <c r="AI18" s="641"/>
      <c r="AJ18" s="641"/>
      <c r="AK18" s="641"/>
      <c r="AL18" s="641"/>
      <c r="AM18" s="637"/>
      <c r="AO18" s="38" t="n">
        <f aca="true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customFormat="false" ht="23.85" hidden="false" customHeight="false" outlineLevel="0" collapsed="false">
      <c r="A19" s="1" t="str">
        <f aca="false">ORÇAMENTO!C19</f>
        <v>S</v>
      </c>
      <c r="B19" s="1" t="n">
        <f aca="false">ORÇAMENTO!D19</f>
        <v>0</v>
      </c>
      <c r="C19" s="199" t="str">
        <f aca="false">IF(OR($I19&gt;0,$A19=1,$A19=2,$A19=3,$A19=4),"F","")</f>
        <v>F</v>
      </c>
      <c r="D19" s="202" t="str">
        <f aca="false">ORÇAMENTO!O19</f>
        <v>1.1.2.</v>
      </c>
      <c r="E19" s="341" t="str">
        <f aca="false">ORÇAMENTO.Descricao</f>
        <v>LOCAÇÃO CONVENCIONAL DE OBRA, UTILIZANDO GABARITO DE TÁBUAS CORRIDAS PONTALETADAS A CADA 2,00M - 2 UTILIZAÇÕES. AF_03/2024</v>
      </c>
      <c r="F19" s="342" t="str">
        <f aca="true">IF(RegimeExecucao="Global","",ORÇAMENTO.Unidade)</f>
        <v/>
      </c>
      <c r="G19" s="207" t="str">
        <f aca="true">IF(RegimeExecucao="Global","",ORÇAMENTO!T19)</f>
        <v/>
      </c>
      <c r="H19" s="207" t="str">
        <f aca="true">IF(RegimeExecucao="Global","",ORÇAMENTO!W19)</f>
        <v/>
      </c>
      <c r="I19" s="210" t="n">
        <f aca="false">ORÇAMENTO!X19</f>
        <v>25992</v>
      </c>
      <c r="J19" s="633" t="e">
        <f aca="false" t="array" ref="J19:J19">_xlfn.single(IF($A19="S",IF(CAIXA.Modo,BM.AFAnterior,BM.MEDAnterior),IF(AND(_xlfn.single(RegimeExecucao)="Global",$I19&gt;0,COUNTIF($AB$13:$AM$13,BM.medicao-1)&gt;0),M19/$I19*100,0)))</f>
        <v>#NAME?</v>
      </c>
      <c r="K19" s="207" t="e">
        <f aca="false">L19-J19</f>
        <v>#NAME?</v>
      </c>
      <c r="L19" s="634" t="e">
        <f aca="false" t="array" ref="L19:L19">_xlfn.single(IF($A19="S",IF(CAIXA.Modo,BM.AFAcumulado,BM.MEDAcumulado),IF(AND(_xlfn.single(RegimeExecucao)="Global",$I19&gt;0,COUNTIF($AB$13:$AM$13,BM.medicao)&gt;0),O19/$I19*100,0)))</f>
        <v>#NAME?</v>
      </c>
      <c r="M19" s="635" t="n">
        <f aca="true">IF($A19="S",VTOTALBM,IF($A19=0,0,ROUND(SomaAgrupBM,15-13*ORÇAMENTO!$AF$11)))</f>
        <v>0</v>
      </c>
      <c r="N19" s="219" t="n">
        <f aca="false">O19-M19</f>
        <v>0</v>
      </c>
      <c r="O19" s="210" t="n">
        <f aca="true">IF($A19="S",VTOTALBM,IF($A19=0,0,ROUND(SomaAgrupBM,15-13*ORÇAMENTO!$AF$11)))</f>
        <v>0</v>
      </c>
      <c r="Q19" s="636"/>
      <c r="R19" s="637"/>
      <c r="T19" s="202" t="str">
        <f aca="false">IF($W19&gt;0,$D19,"")</f>
        <v/>
      </c>
      <c r="U19" s="341" t="str">
        <f aca="false">IF($W19&gt;0,$E19,"")</f>
        <v/>
      </c>
      <c r="V19" s="342" t="str">
        <f aca="true">IF(AND($W19&gt;0,RegimeExecucao="Unitário"),$F19,"")</f>
        <v/>
      </c>
      <c r="W19" s="638" t="n">
        <f aca="true">IF($Y19&gt;0,CHOOSE(MATCH(RegimeExecucao,{"Unitário","Global"},0),IF($A19="S",$Y19/$X19,""),($Y19/$X19)*100),0)</f>
        <v>0</v>
      </c>
      <c r="X19" s="639" t="str">
        <f aca="true">IF($Y19&gt;0,CHOOSE(MATCH(RegimeExecucao,{"Unitário","Global"},0),IF($A19="S",ROUND($H19,ORÇAMENTO!$AF$10),""),ROUND($I19,ORÇAMENTO!$AF$11)),"")</f>
        <v/>
      </c>
      <c r="Y19" s="639" t="n">
        <f aca="false">AO19-O19</f>
        <v>0</v>
      </c>
      <c r="Z19" s="640"/>
      <c r="AB19" s="636"/>
      <c r="AC19" s="641"/>
      <c r="AD19" s="641"/>
      <c r="AE19" s="641"/>
      <c r="AF19" s="641"/>
      <c r="AG19" s="641"/>
      <c r="AH19" s="641"/>
      <c r="AI19" s="641"/>
      <c r="AJ19" s="641"/>
      <c r="AK19" s="641"/>
      <c r="AL19" s="641"/>
      <c r="AM19" s="637"/>
      <c r="AO19" s="38" t="n">
        <f aca="true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customFormat="false" ht="46.25" hidden="false" customHeight="false" outlineLevel="0" collapsed="false">
      <c r="A20" s="1" t="str">
        <f aca="false">ORÇAMENTO!C20</f>
        <v>S</v>
      </c>
      <c r="B20" s="1" t="n">
        <f aca="false">ORÇAMENTO!D20</f>
        <v>0</v>
      </c>
      <c r="C20" s="199" t="str">
        <f aca="false">IF(OR($I20&gt;0,$A20=1,$A20=2,$A20=3,$A20=4),"F","")</f>
        <v>F</v>
      </c>
      <c r="D20" s="202" t="str">
        <f aca="false">ORÇAMENTO!O20</f>
        <v>1.1.3.</v>
      </c>
      <c r="E20" s="341" t="str">
        <f aca="false">ORÇAMENTO.Descricao</f>
        <v>LIGAÇÃO DE ÁGUA PROVISÓRIA PARA CANTEIRO, INCLUSIVE
HIDRÔMETRO E CAVALETE PARA MEDIÇÃO DE ÁGUA - ENTRADA
PRINCIPAL,EM AÇO GALVANIZADO DN 20MM (1/2") - PADRÃO
CONCESSIONÁRIA</v>
      </c>
      <c r="F20" s="342" t="str">
        <f aca="true">IF(RegimeExecucao="Global","",ORÇAMENTO.Unidade)</f>
        <v/>
      </c>
      <c r="G20" s="207" t="str">
        <f aca="true">IF(RegimeExecucao="Global","",ORÇAMENTO!T20)</f>
        <v/>
      </c>
      <c r="H20" s="207" t="str">
        <f aca="true">IF(RegimeExecucao="Global","",ORÇAMENTO!W20)</f>
        <v/>
      </c>
      <c r="I20" s="210" t="n">
        <f aca="false">ORÇAMENTO!X20</f>
        <v>714.29</v>
      </c>
      <c r="J20" s="633" t="e">
        <f aca="false" t="array" ref="J20:J20">_xlfn.single(IF($A20="S",IF(CAIXA.Modo,BM.AFAnterior,BM.MEDAnterior),IF(AND(_xlfn.single(RegimeExecucao)="Global",$I20&gt;0,COUNTIF($AB$13:$AM$13,BM.medicao-1)&gt;0),M20/$I20*100,0)))</f>
        <v>#NAME?</v>
      </c>
      <c r="K20" s="207" t="e">
        <f aca="false">L20-J20</f>
        <v>#NAME?</v>
      </c>
      <c r="L20" s="634" t="e">
        <f aca="false" t="array" ref="L20:L20">_xlfn.single(IF($A20="S",IF(CAIXA.Modo,BM.AFAcumulado,BM.MEDAcumulado),IF(AND(_xlfn.single(RegimeExecucao)="Global",$I20&gt;0,COUNTIF($AB$13:$AM$13,BM.medicao)&gt;0),O20/$I20*100,0)))</f>
        <v>#NAME?</v>
      </c>
      <c r="M20" s="635" t="n">
        <f aca="true">IF($A20="S",VTOTALBM,IF($A20=0,0,ROUND(SomaAgrupBM,15-13*ORÇAMENTO!$AF$11)))</f>
        <v>0</v>
      </c>
      <c r="N20" s="219" t="n">
        <f aca="false">O20-M20</f>
        <v>0</v>
      </c>
      <c r="O20" s="210" t="n">
        <f aca="true">IF($A20="S",VTOTALBM,IF($A20=0,0,ROUND(SomaAgrupBM,15-13*ORÇAMENTO!$AF$11)))</f>
        <v>0</v>
      </c>
      <c r="Q20" s="636"/>
      <c r="R20" s="637"/>
      <c r="T20" s="202" t="str">
        <f aca="false">IF($W20&gt;0,$D20,"")</f>
        <v/>
      </c>
      <c r="U20" s="341" t="str">
        <f aca="false">IF($W20&gt;0,$E20,"")</f>
        <v/>
      </c>
      <c r="V20" s="342" t="str">
        <f aca="true">IF(AND($W20&gt;0,RegimeExecucao="Unitário"),$F20,"")</f>
        <v/>
      </c>
      <c r="W20" s="638" t="n">
        <f aca="true">IF($Y20&gt;0,CHOOSE(MATCH(RegimeExecucao,{"Unitário","Global"},0),IF($A20="S",$Y20/$X20,""),($Y20/$X20)*100),0)</f>
        <v>0</v>
      </c>
      <c r="X20" s="639" t="str">
        <f aca="true">IF($Y20&gt;0,CHOOSE(MATCH(RegimeExecucao,{"Unitário","Global"},0),IF($A20="S",ROUND($H20,ORÇAMENTO!$AF$10),""),ROUND($I20,ORÇAMENTO!$AF$11)),"")</f>
        <v/>
      </c>
      <c r="Y20" s="639" t="n">
        <f aca="false">AO20-O20</f>
        <v>0</v>
      </c>
      <c r="Z20" s="640"/>
      <c r="AB20" s="636"/>
      <c r="AC20" s="641"/>
      <c r="AD20" s="641"/>
      <c r="AE20" s="641"/>
      <c r="AF20" s="641"/>
      <c r="AG20" s="641"/>
      <c r="AH20" s="641"/>
      <c r="AI20" s="641"/>
      <c r="AJ20" s="641"/>
      <c r="AK20" s="641"/>
      <c r="AL20" s="641"/>
      <c r="AM20" s="637"/>
      <c r="AO20" s="38" t="n">
        <f aca="true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customFormat="false" ht="57.45" hidden="false" customHeight="false" outlineLevel="0" collapsed="false">
      <c r="A21" s="1" t="str">
        <f aca="false">ORÇAMENTO!C21</f>
        <v>S</v>
      </c>
      <c r="B21" s="1" t="n">
        <f aca="false">ORÇAMENTO!D21</f>
        <v>0</v>
      </c>
      <c r="C21" s="199" t="str">
        <f aca="false">IF(OR($I21&gt;0,$A21=1,$A21=2,$A21=3,$A21=4),"F","")</f>
        <v>F</v>
      </c>
      <c r="D21" s="202" t="str">
        <f aca="false">ORÇAMENTO!O21</f>
        <v>1.1.4.</v>
      </c>
      <c r="E21" s="341" t="str">
        <f aca="false">ORÇAMENTO.Descricao</f>
        <v>LIGAÇÃO PROVISÓRIA COM ENTRADA DE ENERGIA AÉREA,
PADRÃO CEMIG, CARGA INSTALADA DE 15,1KVA ATÉ 30KVA,
TRIFÁSICO, COM SAÍDA SUBTERRÂNEA, INCLUSIVE POSTE, CAIXA
PARA MEDIDOR, DISJUNTOR, BARRAMENTO, ATERRAMENTO E
ACESSÓRIOS</v>
      </c>
      <c r="F21" s="342" t="str">
        <f aca="true">IF(RegimeExecucao="Global","",ORÇAMENTO.Unidade)</f>
        <v/>
      </c>
      <c r="G21" s="207" t="str">
        <f aca="true">IF(RegimeExecucao="Global","",ORÇAMENTO!T21)</f>
        <v/>
      </c>
      <c r="H21" s="207" t="str">
        <f aca="true">IF(RegimeExecucao="Global","",ORÇAMENTO!W21)</f>
        <v/>
      </c>
      <c r="I21" s="210" t="n">
        <f aca="false">ORÇAMENTO!X21</f>
        <v>1206.92</v>
      </c>
      <c r="J21" s="633" t="e">
        <f aca="false" t="array" ref="J21:J21">_xlfn.single(IF($A21="S",IF(CAIXA.Modo,BM.AFAnterior,BM.MEDAnterior),IF(AND(_xlfn.single(RegimeExecucao)="Global",$I21&gt;0,COUNTIF($AB$13:$AM$13,BM.medicao-1)&gt;0),M21/$I21*100,0)))</f>
        <v>#NAME?</v>
      </c>
      <c r="K21" s="207" t="e">
        <f aca="false">L21-J21</f>
        <v>#NAME?</v>
      </c>
      <c r="L21" s="634" t="e">
        <f aca="false" t="array" ref="L21:L21">_xlfn.single(IF($A21="S",IF(CAIXA.Modo,BM.AFAcumulado,BM.MEDAcumulado),IF(AND(_xlfn.single(RegimeExecucao)="Global",$I21&gt;0,COUNTIF($AB$13:$AM$13,BM.medicao)&gt;0),O21/$I21*100,0)))</f>
        <v>#NAME?</v>
      </c>
      <c r="M21" s="635" t="n">
        <f aca="true">IF($A21="S",VTOTALBM,IF($A21=0,0,ROUND(SomaAgrupBM,15-13*ORÇAMENTO!$AF$11)))</f>
        <v>0</v>
      </c>
      <c r="N21" s="219" t="n">
        <f aca="false">O21-M21</f>
        <v>0</v>
      </c>
      <c r="O21" s="210" t="n">
        <f aca="true">IF($A21="S",VTOTALBM,IF($A21=0,0,ROUND(SomaAgrupBM,15-13*ORÇAMENTO!$AF$11)))</f>
        <v>0</v>
      </c>
      <c r="Q21" s="636"/>
      <c r="R21" s="637"/>
      <c r="T21" s="202" t="str">
        <f aca="false">IF($W21&gt;0,$D21,"")</f>
        <v/>
      </c>
      <c r="U21" s="341" t="str">
        <f aca="false">IF($W21&gt;0,$E21,"")</f>
        <v/>
      </c>
      <c r="V21" s="342" t="str">
        <f aca="true">IF(AND($W21&gt;0,RegimeExecucao="Unitário"),$F21,"")</f>
        <v/>
      </c>
      <c r="W21" s="638" t="n">
        <f aca="true">IF($Y21&gt;0,CHOOSE(MATCH(RegimeExecucao,{"Unitário","Global"},0),IF($A21="S",$Y21/$X21,""),($Y21/$X21)*100),0)</f>
        <v>0</v>
      </c>
      <c r="X21" s="639" t="str">
        <f aca="true">IF($Y21&gt;0,CHOOSE(MATCH(RegimeExecucao,{"Unitário","Global"},0),IF($A21="S",ROUND($H21,ORÇAMENTO!$AF$10),""),ROUND($I21,ORÇAMENTO!$AF$11)),"")</f>
        <v/>
      </c>
      <c r="Y21" s="639" t="n">
        <f aca="false">AO21-O21</f>
        <v>0</v>
      </c>
      <c r="Z21" s="640"/>
      <c r="AB21" s="636"/>
      <c r="AC21" s="641"/>
      <c r="AD21" s="641"/>
      <c r="AE21" s="641"/>
      <c r="AF21" s="641"/>
      <c r="AG21" s="641"/>
      <c r="AH21" s="641"/>
      <c r="AI21" s="641"/>
      <c r="AJ21" s="641"/>
      <c r="AK21" s="641"/>
      <c r="AL21" s="641"/>
      <c r="AM21" s="637"/>
      <c r="AO21" s="38" t="n">
        <f aca="true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customFormat="false" ht="35.05" hidden="false" customHeight="false" outlineLevel="0" collapsed="false">
      <c r="A22" s="1" t="str">
        <f aca="false">ORÇAMENTO!C22</f>
        <v>S</v>
      </c>
      <c r="B22" s="1" t="n">
        <f aca="false">ORÇAMENTO!D22</f>
        <v>0</v>
      </c>
      <c r="C22" s="199" t="str">
        <f aca="false">IF(OR($I22&gt;0,$A22=1,$A22=2,$A22=3,$A22=4),"F","")</f>
        <v>F</v>
      </c>
      <c r="D22" s="202" t="str">
        <f aca="false">ORÇAMENTO!O22</f>
        <v>1.1.5.</v>
      </c>
      <c r="E22" s="341" t="str">
        <f aca="false">ORÇAMENTO.Descricao</f>
        <v>LIMPEZA MECANIZADA DE CAMADA VEGETAL, VEGETAÇÃO E PEQUENAS ÁRVORES DIÂMETRO DE TRONCO MENOR QUE 0,20 M), COM TRATOR DE ESTEIRAS. AF_03/2024</v>
      </c>
      <c r="F22" s="342" t="str">
        <f aca="true">IF(RegimeExecucao="Global","",ORÇAMENTO.Unidade)</f>
        <v/>
      </c>
      <c r="G22" s="207" t="str">
        <f aca="true">IF(RegimeExecucao="Global","",ORÇAMENTO!T22)</f>
        <v/>
      </c>
      <c r="H22" s="207" t="str">
        <f aca="true">IF(RegimeExecucao="Global","",ORÇAMENTO!W22)</f>
        <v/>
      </c>
      <c r="I22" s="210" t="n">
        <f aca="false">ORÇAMENTO!X22</f>
        <v>4435.2</v>
      </c>
      <c r="J22" s="633" t="e">
        <f aca="false" t="array" ref="J22:J22">_xlfn.single(IF($A22="S",IF(CAIXA.Modo,BM.AFAnterior,BM.MEDAnterior),IF(AND(_xlfn.single(RegimeExecucao)="Global",$I22&gt;0,COUNTIF($AB$13:$AM$13,BM.medicao-1)&gt;0),M22/$I22*100,0)))</f>
        <v>#NAME?</v>
      </c>
      <c r="K22" s="207" t="e">
        <f aca="false">L22-J22</f>
        <v>#NAME?</v>
      </c>
      <c r="L22" s="634" t="e">
        <f aca="false" t="array" ref="L22:L22">_xlfn.single(IF($A22="S",IF(CAIXA.Modo,BM.AFAcumulado,BM.MEDAcumulado),IF(AND(_xlfn.single(RegimeExecucao)="Global",$I22&gt;0,COUNTIF($AB$13:$AM$13,BM.medicao)&gt;0),O22/$I22*100,0)))</f>
        <v>#NAME?</v>
      </c>
      <c r="M22" s="635" t="n">
        <f aca="true">IF($A22="S",VTOTALBM,IF($A22=0,0,ROUND(SomaAgrupBM,15-13*ORÇAMENTO!$AF$11)))</f>
        <v>0</v>
      </c>
      <c r="N22" s="219" t="n">
        <f aca="false">O22-M22</f>
        <v>0</v>
      </c>
      <c r="O22" s="210" t="n">
        <f aca="true">IF($A22="S",VTOTALBM,IF($A22=0,0,ROUND(SomaAgrupBM,15-13*ORÇAMENTO!$AF$11)))</f>
        <v>0</v>
      </c>
      <c r="Q22" s="636"/>
      <c r="R22" s="637"/>
      <c r="T22" s="202" t="str">
        <f aca="false">IF($W22&gt;0,$D22,"")</f>
        <v/>
      </c>
      <c r="U22" s="341" t="str">
        <f aca="false">IF($W22&gt;0,$E22,"")</f>
        <v/>
      </c>
      <c r="V22" s="342" t="str">
        <f aca="true">IF(AND($W22&gt;0,RegimeExecucao="Unitário"),$F22,"")</f>
        <v/>
      </c>
      <c r="W22" s="638" t="n">
        <f aca="true">IF($Y22&gt;0,CHOOSE(MATCH(RegimeExecucao,{"Unitário","Global"},0),IF($A22="S",$Y22/$X22,""),($Y22/$X22)*100),0)</f>
        <v>0</v>
      </c>
      <c r="X22" s="639" t="str">
        <f aca="true">IF($Y22&gt;0,CHOOSE(MATCH(RegimeExecucao,{"Unitário","Global"},0),IF($A22="S",ROUND($H22,ORÇAMENTO!$AF$10),""),ROUND($I22,ORÇAMENTO!$AF$11)),"")</f>
        <v/>
      </c>
      <c r="Y22" s="639" t="n">
        <f aca="false">AO22-O22</f>
        <v>0</v>
      </c>
      <c r="Z22" s="640"/>
      <c r="AB22" s="636"/>
      <c r="AC22" s="641"/>
      <c r="AD22" s="641"/>
      <c r="AE22" s="641"/>
      <c r="AF22" s="641"/>
      <c r="AG22" s="641"/>
      <c r="AH22" s="641"/>
      <c r="AI22" s="641"/>
      <c r="AJ22" s="641"/>
      <c r="AK22" s="641"/>
      <c r="AL22" s="641"/>
      <c r="AM22" s="637"/>
      <c r="AO22" s="38" t="n">
        <f aca="true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customFormat="false" ht="12.75" hidden="false" customHeight="false" outlineLevel="0" collapsed="false">
      <c r="A23" s="1" t="n">
        <f aca="false">ORÇAMENTO!C23</f>
        <v>2</v>
      </c>
      <c r="B23" s="1" t="n">
        <f aca="false">ORÇAMENTO!D23</f>
        <v>4</v>
      </c>
      <c r="C23" s="199" t="str">
        <f aca="false">IF(OR($I23&gt;0,$A23=1,$A23=2,$A23=3,$A23=4),"F","")</f>
        <v>F</v>
      </c>
      <c r="D23" s="202" t="str">
        <f aca="false">ORÇAMENTO!O23</f>
        <v>1.2.</v>
      </c>
      <c r="E23" s="341" t="str">
        <f aca="false">ORÇAMENTO.Descricao</f>
        <v>ADMINISRAÇÃO LOCAL</v>
      </c>
      <c r="F23" s="342" t="str">
        <f aca="true">IF(RegimeExecucao="Global","",ORÇAMENTO.Unidade)</f>
        <v/>
      </c>
      <c r="G23" s="207" t="str">
        <f aca="true">IF(RegimeExecucao="Global","",ORÇAMENTO!T23)</f>
        <v/>
      </c>
      <c r="H23" s="207" t="str">
        <f aca="true">IF(RegimeExecucao="Global","",ORÇAMENTO!W23)</f>
        <v/>
      </c>
      <c r="I23" s="210" t="n">
        <f aca="false">ORÇAMENTO!X23</f>
        <v>31489</v>
      </c>
      <c r="J23" s="633" t="e">
        <f aca="false" t="array" ref="J23:J23">_xlfn.single(IF($A23="S",IF(CAIXA.Modo,BM.AFAnterior,BM.MEDAnterior),IF(AND(_xlfn.single(RegimeExecucao)="Global",$I23&gt;0,COUNTIF($AB$13:$AM$13,BM.medicao-1)&gt;0),M23/$I23*100,0)))</f>
        <v>#NAME?</v>
      </c>
      <c r="K23" s="207" t="e">
        <f aca="false">L23-J23</f>
        <v>#NAME?</v>
      </c>
      <c r="L23" s="634" t="e">
        <f aca="false" t="array" ref="L23:L23">_xlfn.single(IF($A23="S",IF(CAIXA.Modo,BM.AFAcumulado,BM.MEDAcumulado),IF(AND(_xlfn.single(RegimeExecucao)="Global",$I23&gt;0,COUNTIF($AB$13:$AM$13,BM.medicao)&gt;0),O23/$I23*100,0)))</f>
        <v>#NAME?</v>
      </c>
      <c r="M23" s="635" t="n">
        <f aca="true">IF($A23="S",VTOTALBM,IF($A23=0,0,ROUND(SomaAgrupBM,15-13*ORÇAMENTO!$AF$11)))</f>
        <v>0</v>
      </c>
      <c r="N23" s="219" t="n">
        <f aca="false">O23-M23</f>
        <v>0</v>
      </c>
      <c r="O23" s="210" t="n">
        <f aca="true">IF($A23="S",VTOTALBM,IF($A23=0,0,ROUND(SomaAgrupBM,15-13*ORÇAMENTO!$AF$11)))</f>
        <v>0</v>
      </c>
      <c r="Q23" s="636"/>
      <c r="R23" s="637"/>
      <c r="T23" s="202" t="str">
        <f aca="false">IF($W23&gt;0,$D23,"")</f>
        <v/>
      </c>
      <c r="U23" s="341" t="str">
        <f aca="false">IF($W23&gt;0,$E23,"")</f>
        <v/>
      </c>
      <c r="V23" s="342" t="str">
        <f aca="true">IF(AND($W23&gt;0,RegimeExecucao="Unitário"),$F23,"")</f>
        <v/>
      </c>
      <c r="W23" s="638" t="n">
        <f aca="true">IF($Y23&gt;0,CHOOSE(MATCH(RegimeExecucao,{"Unitário","Global"},0),IF($A23="S",$Y23/$X23,""),($Y23/$X23)*100),0)</f>
        <v>0</v>
      </c>
      <c r="X23" s="639" t="str">
        <f aca="true">IF($Y23&gt;0,CHOOSE(MATCH(RegimeExecucao,{"Unitário","Global"},0),IF($A23="S",ROUND($H23,ORÇAMENTO!$AF$10),""),ROUND($I23,ORÇAMENTO!$AF$11)),"")</f>
        <v/>
      </c>
      <c r="Y23" s="639" t="n">
        <f aca="false">AO23-O23</f>
        <v>0</v>
      </c>
      <c r="Z23" s="640"/>
      <c r="AB23" s="636"/>
      <c r="AC23" s="641"/>
      <c r="AD23" s="641"/>
      <c r="AE23" s="641"/>
      <c r="AF23" s="641"/>
      <c r="AG23" s="641"/>
      <c r="AH23" s="641"/>
      <c r="AI23" s="641"/>
      <c r="AJ23" s="641"/>
      <c r="AK23" s="641"/>
      <c r="AL23" s="641"/>
      <c r="AM23" s="637"/>
      <c r="AO23" s="38" t="n">
        <f aca="true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customFormat="false" ht="23.85" hidden="false" customHeight="false" outlineLevel="0" collapsed="false">
      <c r="A24" s="1" t="str">
        <f aca="false">ORÇAMENTO!C24</f>
        <v>S</v>
      </c>
      <c r="B24" s="1" t="n">
        <f aca="false">ORÇAMENTO!D24</f>
        <v>0</v>
      </c>
      <c r="C24" s="199" t="str">
        <f aca="false">IF(OR($I24&gt;0,$A24=1,$A24=2,$A24=3,$A24=4),"F","")</f>
        <v>F</v>
      </c>
      <c r="D24" s="202" t="str">
        <f aca="false">ORÇAMENTO!O24</f>
        <v>1.2.1.</v>
      </c>
      <c r="E24" s="341" t="str">
        <f aca="false">ORÇAMENTO.Descricao</f>
        <v>ENGENHEIRO CIVIL DE OBRA PLENO COM ENCARGOS COMPLEMENTARES </v>
      </c>
      <c r="F24" s="342" t="str">
        <f aca="true">IF(RegimeExecucao="Global","",ORÇAMENTO.Unidade)</f>
        <v/>
      </c>
      <c r="G24" s="207" t="str">
        <f aca="true">IF(RegimeExecucao="Global","",ORÇAMENTO!T24)</f>
        <v/>
      </c>
      <c r="H24" s="207" t="str">
        <f aca="true">IF(RegimeExecucao="Global","",ORÇAMENTO!W24)</f>
        <v/>
      </c>
      <c r="I24" s="210" t="n">
        <f aca="false">ORÇAMENTO!X24</f>
        <v>7846.5</v>
      </c>
      <c r="J24" s="633" t="e">
        <f aca="false" t="array" ref="J24:J24">_xlfn.single(IF($A24="S",IF(CAIXA.Modo,BM.AFAnterior,BM.MEDAnterior),IF(AND(_xlfn.single(RegimeExecucao)="Global",$I24&gt;0,COUNTIF($AB$13:$AM$13,BM.medicao-1)&gt;0),M24/$I24*100,0)))</f>
        <v>#NAME?</v>
      </c>
      <c r="K24" s="207" t="e">
        <f aca="false">L24-J24</f>
        <v>#NAME?</v>
      </c>
      <c r="L24" s="634" t="e">
        <f aca="false" t="array" ref="L24:L24">_xlfn.single(IF($A24="S",IF(CAIXA.Modo,BM.AFAcumulado,BM.MEDAcumulado),IF(AND(_xlfn.single(RegimeExecucao)="Global",$I24&gt;0,COUNTIF($AB$13:$AM$13,BM.medicao)&gt;0),O24/$I24*100,0)))</f>
        <v>#NAME?</v>
      </c>
      <c r="M24" s="635" t="n">
        <f aca="true">IF($A24="S",VTOTALBM,IF($A24=0,0,ROUND(SomaAgrupBM,15-13*ORÇAMENTO!$AF$11)))</f>
        <v>0</v>
      </c>
      <c r="N24" s="219" t="n">
        <f aca="false">O24-M24</f>
        <v>0</v>
      </c>
      <c r="O24" s="210" t="n">
        <f aca="true">IF($A24="S",VTOTALBM,IF($A24=0,0,ROUND(SomaAgrupBM,15-13*ORÇAMENTO!$AF$11)))</f>
        <v>0</v>
      </c>
      <c r="Q24" s="636"/>
      <c r="R24" s="637"/>
      <c r="T24" s="202" t="str">
        <f aca="false">IF($W24&gt;0,$D24,"")</f>
        <v/>
      </c>
      <c r="U24" s="341" t="str">
        <f aca="false">IF($W24&gt;0,$E24,"")</f>
        <v/>
      </c>
      <c r="V24" s="342" t="str">
        <f aca="true">IF(AND($W24&gt;0,RegimeExecucao="Unitário"),$F24,"")</f>
        <v/>
      </c>
      <c r="W24" s="638" t="n">
        <f aca="true">IF($Y24&gt;0,CHOOSE(MATCH(RegimeExecucao,{"Unitário","Global"},0),IF($A24="S",$Y24/$X24,""),($Y24/$X24)*100),0)</f>
        <v>0</v>
      </c>
      <c r="X24" s="639" t="str">
        <f aca="true">IF($Y24&gt;0,CHOOSE(MATCH(RegimeExecucao,{"Unitário","Global"},0),IF($A24="S",ROUND($H24,ORÇAMENTO!$AF$10),""),ROUND($I24,ORÇAMENTO!$AF$11)),"")</f>
        <v/>
      </c>
      <c r="Y24" s="639" t="n">
        <f aca="false">AO24-O24</f>
        <v>0</v>
      </c>
      <c r="Z24" s="640"/>
      <c r="AB24" s="636"/>
      <c r="AC24" s="641"/>
      <c r="AD24" s="641"/>
      <c r="AE24" s="641"/>
      <c r="AF24" s="641"/>
      <c r="AG24" s="641"/>
      <c r="AH24" s="641"/>
      <c r="AI24" s="641"/>
      <c r="AJ24" s="641"/>
      <c r="AK24" s="641"/>
      <c r="AL24" s="641"/>
      <c r="AM24" s="637"/>
      <c r="AO24" s="38" t="n">
        <f aca="true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customFormat="false" ht="12.75" hidden="false" customHeight="false" outlineLevel="0" collapsed="false">
      <c r="A25" s="1" t="str">
        <f aca="false">ORÇAMENTO!C25</f>
        <v>S</v>
      </c>
      <c r="B25" s="1" t="n">
        <f aca="false">ORÇAMENTO!D25</f>
        <v>0</v>
      </c>
      <c r="C25" s="199" t="str">
        <f aca="false">IF(OR($I25&gt;0,$A25=1,$A25=2,$A25=3,$A25=4),"F","")</f>
        <v>F</v>
      </c>
      <c r="D25" s="202" t="str">
        <f aca="false">ORÇAMENTO!O25</f>
        <v>1.2.2.</v>
      </c>
      <c r="E25" s="341" t="str">
        <f aca="false">ORÇAMENTO.Descricao</f>
        <v>ENCARREGADO GERAL COM ENCARGOS COMPLEMENTARES</v>
      </c>
      <c r="F25" s="342" t="str">
        <f aca="true">IF(RegimeExecucao="Global","",ORÇAMENTO.Unidade)</f>
        <v/>
      </c>
      <c r="G25" s="207" t="str">
        <f aca="true">IF(RegimeExecucao="Global","",ORÇAMENTO!T25)</f>
        <v/>
      </c>
      <c r="H25" s="207" t="str">
        <f aca="true">IF(RegimeExecucao="Global","",ORÇAMENTO!W25)</f>
        <v/>
      </c>
      <c r="I25" s="210" t="n">
        <f aca="false">ORÇAMENTO!X25</f>
        <v>7875</v>
      </c>
      <c r="J25" s="633" t="e">
        <f aca="false" t="array" ref="J25:J25">_xlfn.single(IF($A25="S",IF(CAIXA.Modo,BM.AFAnterior,BM.MEDAnterior),IF(AND(_xlfn.single(RegimeExecucao)="Global",$I25&gt;0,COUNTIF($AB$13:$AM$13,BM.medicao-1)&gt;0),M25/$I25*100,0)))</f>
        <v>#NAME?</v>
      </c>
      <c r="K25" s="207" t="e">
        <f aca="false">L25-J25</f>
        <v>#NAME?</v>
      </c>
      <c r="L25" s="634" t="e">
        <f aca="false" t="array" ref="L25:L25">_xlfn.single(IF($A25="S",IF(CAIXA.Modo,BM.AFAcumulado,BM.MEDAcumulado),IF(AND(_xlfn.single(RegimeExecucao)="Global",$I25&gt;0,COUNTIF($AB$13:$AM$13,BM.medicao)&gt;0),O25/$I25*100,0)))</f>
        <v>#NAME?</v>
      </c>
      <c r="M25" s="635" t="n">
        <f aca="true">IF($A25="S",VTOTALBM,IF($A25=0,0,ROUND(SomaAgrupBM,15-13*ORÇAMENTO!$AF$11)))</f>
        <v>0</v>
      </c>
      <c r="N25" s="219" t="n">
        <f aca="false">O25-M25</f>
        <v>0</v>
      </c>
      <c r="O25" s="210" t="n">
        <f aca="true">IF($A25="S",VTOTALBM,IF($A25=0,0,ROUND(SomaAgrupBM,15-13*ORÇAMENTO!$AF$11)))</f>
        <v>0</v>
      </c>
      <c r="Q25" s="636"/>
      <c r="R25" s="637"/>
      <c r="T25" s="202" t="str">
        <f aca="false">IF($W25&gt;0,$D25,"")</f>
        <v/>
      </c>
      <c r="U25" s="341" t="str">
        <f aca="false">IF($W25&gt;0,$E25,"")</f>
        <v/>
      </c>
      <c r="V25" s="342" t="str">
        <f aca="true">IF(AND($W25&gt;0,RegimeExecucao="Unitário"),$F25,"")</f>
        <v/>
      </c>
      <c r="W25" s="638" t="n">
        <f aca="true">IF($Y25&gt;0,CHOOSE(MATCH(RegimeExecucao,{"Unitário","Global"},0),IF($A25="S",$Y25/$X25,""),($Y25/$X25)*100),0)</f>
        <v>0</v>
      </c>
      <c r="X25" s="639" t="str">
        <f aca="true">IF($Y25&gt;0,CHOOSE(MATCH(RegimeExecucao,{"Unitário","Global"},0),IF($A25="S",ROUND($H25,ORÇAMENTO!$AF$10),""),ROUND($I25,ORÇAMENTO!$AF$11)),"")</f>
        <v/>
      </c>
      <c r="Y25" s="639" t="n">
        <f aca="false">AO25-O25</f>
        <v>0</v>
      </c>
      <c r="Z25" s="640"/>
      <c r="AB25" s="636"/>
      <c r="AC25" s="641"/>
      <c r="AD25" s="641"/>
      <c r="AE25" s="641"/>
      <c r="AF25" s="641"/>
      <c r="AG25" s="641"/>
      <c r="AH25" s="641"/>
      <c r="AI25" s="641"/>
      <c r="AJ25" s="641"/>
      <c r="AK25" s="641"/>
      <c r="AL25" s="641"/>
      <c r="AM25" s="637"/>
      <c r="AO25" s="38" t="n">
        <f aca="true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customFormat="false" ht="12.75" hidden="false" customHeight="false" outlineLevel="0" collapsed="false">
      <c r="A26" s="1" t="str">
        <f aca="false">ORÇAMENTO!C26</f>
        <v>S</v>
      </c>
      <c r="B26" s="1" t="n">
        <f aca="false">ORÇAMENTO!D26</f>
        <v>0</v>
      </c>
      <c r="C26" s="199" t="str">
        <f aca="false">IF(OR($I26&gt;0,$A26=1,$A26=2,$A26=3,$A26=4),"F","")</f>
        <v>F</v>
      </c>
      <c r="D26" s="202" t="str">
        <f aca="false">ORÇAMENTO!O26</f>
        <v>1.2.3.</v>
      </c>
      <c r="E26" s="341" t="str">
        <f aca="false">ORÇAMENTO.Descricao</f>
        <v>MESTRE DE OBRAS COM ENCARGOS COMPLEMENTARES</v>
      </c>
      <c r="F26" s="342" t="str">
        <f aca="true">IF(RegimeExecucao="Global","",ORÇAMENTO.Unidade)</f>
        <v/>
      </c>
      <c r="G26" s="207" t="str">
        <f aca="true">IF(RegimeExecucao="Global","",ORÇAMENTO!T26)</f>
        <v/>
      </c>
      <c r="H26" s="207" t="str">
        <f aca="true">IF(RegimeExecucao="Global","",ORÇAMENTO!W26)</f>
        <v/>
      </c>
      <c r="I26" s="210" t="n">
        <f aca="false">ORÇAMENTO!X26</f>
        <v>15767.5</v>
      </c>
      <c r="J26" s="633" t="e">
        <f aca="false" t="array" ref="J26:J26">_xlfn.single(IF($A26="S",IF(CAIXA.Modo,BM.AFAnterior,BM.MEDAnterior),IF(AND(_xlfn.single(RegimeExecucao)="Global",$I26&gt;0,COUNTIF($AB$13:$AM$13,BM.medicao-1)&gt;0),M26/$I26*100,0)))</f>
        <v>#NAME?</v>
      </c>
      <c r="K26" s="207" t="e">
        <f aca="false">L26-J26</f>
        <v>#NAME?</v>
      </c>
      <c r="L26" s="634" t="e">
        <f aca="false" t="array" ref="L26:L26">_xlfn.single(IF($A26="S",IF(CAIXA.Modo,BM.AFAcumulado,BM.MEDAcumulado),IF(AND(_xlfn.single(RegimeExecucao)="Global",$I26&gt;0,COUNTIF($AB$13:$AM$13,BM.medicao)&gt;0),O26/$I26*100,0)))</f>
        <v>#NAME?</v>
      </c>
      <c r="M26" s="635" t="n">
        <f aca="true">IF($A26="S",VTOTALBM,IF($A26=0,0,ROUND(SomaAgrupBM,15-13*ORÇAMENTO!$AF$11)))</f>
        <v>0</v>
      </c>
      <c r="N26" s="219" t="n">
        <f aca="false">O26-M26</f>
        <v>0</v>
      </c>
      <c r="O26" s="210" t="n">
        <f aca="true">IF($A26="S",VTOTALBM,IF($A26=0,0,ROUND(SomaAgrupBM,15-13*ORÇAMENTO!$AF$11)))</f>
        <v>0</v>
      </c>
      <c r="Q26" s="636"/>
      <c r="R26" s="637"/>
      <c r="T26" s="202" t="str">
        <f aca="false">IF($W26&gt;0,$D26,"")</f>
        <v/>
      </c>
      <c r="U26" s="341" t="str">
        <f aca="false">IF($W26&gt;0,$E26,"")</f>
        <v/>
      </c>
      <c r="V26" s="342" t="str">
        <f aca="true">IF(AND($W26&gt;0,RegimeExecucao="Unitário"),$F26,"")</f>
        <v/>
      </c>
      <c r="W26" s="638" t="n">
        <f aca="true">IF($Y26&gt;0,CHOOSE(MATCH(RegimeExecucao,{"Unitário","Global"},0),IF($A26="S",$Y26/$X26,""),($Y26/$X26)*100),0)</f>
        <v>0</v>
      </c>
      <c r="X26" s="639" t="str">
        <f aca="true">IF($Y26&gt;0,CHOOSE(MATCH(RegimeExecucao,{"Unitário","Global"},0),IF($A26="S",ROUND($H26,ORÇAMENTO!$AF$10),""),ROUND($I26,ORÇAMENTO!$AF$11)),"")</f>
        <v/>
      </c>
      <c r="Y26" s="639" t="n">
        <f aca="false">AO26-O26</f>
        <v>0</v>
      </c>
      <c r="Z26" s="640"/>
      <c r="AB26" s="636"/>
      <c r="AC26" s="641"/>
      <c r="AD26" s="641"/>
      <c r="AE26" s="641"/>
      <c r="AF26" s="641"/>
      <c r="AG26" s="641"/>
      <c r="AH26" s="641"/>
      <c r="AI26" s="641"/>
      <c r="AJ26" s="641"/>
      <c r="AK26" s="641"/>
      <c r="AL26" s="641"/>
      <c r="AM26" s="637"/>
      <c r="AO26" s="38" t="n">
        <f aca="true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customFormat="false" ht="12.75" hidden="false" customHeight="false" outlineLevel="0" collapsed="false">
      <c r="A27" s="1" t="n">
        <f aca="false">ORÇAMENTO!C27</f>
        <v>2</v>
      </c>
      <c r="B27" s="1" t="n">
        <f aca="false">ORÇAMENTO!D27</f>
        <v>1</v>
      </c>
      <c r="C27" s="199" t="str">
        <f aca="false">IF(OR($I27&gt;0,$A27=1,$A27=2,$A27=3,$A27=4),"F","")</f>
        <v>F</v>
      </c>
      <c r="D27" s="202" t="str">
        <f aca="false">ORÇAMENTO!O27</f>
        <v>1.3.</v>
      </c>
      <c r="E27" s="341" t="str">
        <f aca="false">ORÇAMENTO.Descricao</f>
        <v>FUNDAÇÕES E CONTENÇÕES</v>
      </c>
      <c r="F27" s="342" t="str">
        <f aca="true">IF(RegimeExecucao="Global","",ORÇAMENTO.Unidade)</f>
        <v/>
      </c>
      <c r="G27" s="207" t="str">
        <f aca="true">IF(RegimeExecucao="Global","",ORÇAMENTO!T27)</f>
        <v/>
      </c>
      <c r="H27" s="207" t="str">
        <f aca="true">IF(RegimeExecucao="Global","",ORÇAMENTO!W27)</f>
        <v/>
      </c>
      <c r="I27" s="210" t="n">
        <f aca="false">ORÇAMENTO!X27</f>
        <v>0</v>
      </c>
      <c r="J27" s="633" t="e">
        <f aca="false" t="array" ref="J27:J27">_xlfn.single(IF($A27="S",IF(CAIXA.Modo,BM.AFAnterior,BM.MEDAnterior),IF(AND(_xlfn.single(RegimeExecucao)="Global",$I27&gt;0,COUNTIF($AB$13:$AM$13,BM.medicao-1)&gt;0),M27/$I27*100,0)))</f>
        <v>#NAME?</v>
      </c>
      <c r="K27" s="207" t="e">
        <f aca="false">L27-J27</f>
        <v>#NAME?</v>
      </c>
      <c r="L27" s="634" t="e">
        <f aca="false" t="array" ref="L27:L27">_xlfn.single(IF($A27="S",IF(CAIXA.Modo,BM.AFAcumulado,BM.MEDAcumulado),IF(AND(_xlfn.single(RegimeExecucao)="Global",$I27&gt;0,COUNTIF($AB$13:$AM$13,BM.medicao)&gt;0),O27/$I27*100,0)))</f>
        <v>#NAME?</v>
      </c>
      <c r="M27" s="635" t="n">
        <f aca="true">IF($A27="S",VTOTALBM,IF($A27=0,0,ROUND(SomaAgrupBM,15-13*ORÇAMENTO!$AF$11)))</f>
        <v>0</v>
      </c>
      <c r="N27" s="219" t="n">
        <f aca="false">O27-M27</f>
        <v>0</v>
      </c>
      <c r="O27" s="210" t="n">
        <f aca="true">IF($A27="S",VTOTALBM,IF($A27=0,0,ROUND(SomaAgrupBM,15-13*ORÇAMENTO!$AF$11)))</f>
        <v>0</v>
      </c>
      <c r="Q27" s="636"/>
      <c r="R27" s="637"/>
      <c r="T27" s="202" t="str">
        <f aca="false">IF($W27&gt;0,$D27,"")</f>
        <v/>
      </c>
      <c r="U27" s="341" t="str">
        <f aca="false">IF($W27&gt;0,$E27,"")</f>
        <v/>
      </c>
      <c r="V27" s="342" t="str">
        <f aca="true">IF(AND($W27&gt;0,RegimeExecucao="Unitário"),$F27,"")</f>
        <v/>
      </c>
      <c r="W27" s="638" t="n">
        <f aca="true">IF($Y27&gt;0,CHOOSE(MATCH(RegimeExecucao,{"Unitário","Global"},0),IF($A27="S",$Y27/$X27,""),($Y27/$X27)*100),0)</f>
        <v>0</v>
      </c>
      <c r="X27" s="639" t="str">
        <f aca="true">IF($Y27&gt;0,CHOOSE(MATCH(RegimeExecucao,{"Unitário","Global"},0),IF($A27="S",ROUND($H27,ORÇAMENTO!$AF$10),""),ROUND($I27,ORÇAMENTO!$AF$11)),"")</f>
        <v/>
      </c>
      <c r="Y27" s="639" t="n">
        <f aca="false">AO27-O27</f>
        <v>0</v>
      </c>
      <c r="Z27" s="640"/>
      <c r="AB27" s="636"/>
      <c r="AC27" s="641"/>
      <c r="AD27" s="641"/>
      <c r="AE27" s="641"/>
      <c r="AF27" s="641"/>
      <c r="AG27" s="641"/>
      <c r="AH27" s="641"/>
      <c r="AI27" s="641"/>
      <c r="AJ27" s="641"/>
      <c r="AK27" s="641"/>
      <c r="AL27" s="641"/>
      <c r="AM27" s="637"/>
      <c r="AO27" s="38" t="n">
        <f aca="true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customFormat="false" ht="12.75" hidden="false" customHeight="false" outlineLevel="0" collapsed="false">
      <c r="A28" s="1" t="n">
        <f aca="false">ORÇAMENTO!C28</f>
        <v>2</v>
      </c>
      <c r="B28" s="1" t="n">
        <f aca="false">ORÇAMENTO!D28</f>
        <v>1</v>
      </c>
      <c r="C28" s="199" t="str">
        <f aca="false">IF(OR($I28&gt;0,$A28=1,$A28=2,$A28=3,$A28=4),"F","")</f>
        <v>F</v>
      </c>
      <c r="D28" s="202" t="str">
        <f aca="false">ORÇAMENTO!O28</f>
        <v>1.4.</v>
      </c>
      <c r="E28" s="341" t="str">
        <f aca="false">ORÇAMENTO.Descricao</f>
        <v>FUNDAÇÕES</v>
      </c>
      <c r="F28" s="342" t="str">
        <f aca="true">IF(RegimeExecucao="Global","",ORÇAMENTO.Unidade)</f>
        <v/>
      </c>
      <c r="G28" s="207" t="str">
        <f aca="true">IF(RegimeExecucao="Global","",ORÇAMENTO!T28)</f>
        <v/>
      </c>
      <c r="H28" s="207" t="str">
        <f aca="true">IF(RegimeExecucao="Global","",ORÇAMENTO!W28)</f>
        <v/>
      </c>
      <c r="I28" s="210" t="n">
        <f aca="false">ORÇAMENTO!X28</f>
        <v>0</v>
      </c>
      <c r="J28" s="633" t="e">
        <f aca="false" t="array" ref="J28:J28">_xlfn.single(IF($A28="S",IF(CAIXA.Modo,BM.AFAnterior,BM.MEDAnterior),IF(AND(_xlfn.single(RegimeExecucao)="Global",$I28&gt;0,COUNTIF($AB$13:$AM$13,BM.medicao-1)&gt;0),M28/$I28*100,0)))</f>
        <v>#NAME?</v>
      </c>
      <c r="K28" s="207" t="e">
        <f aca="false">L28-J28</f>
        <v>#NAME?</v>
      </c>
      <c r="L28" s="634" t="e">
        <f aca="false" t="array" ref="L28:L28">_xlfn.single(IF($A28="S",IF(CAIXA.Modo,BM.AFAcumulado,BM.MEDAcumulado),IF(AND(_xlfn.single(RegimeExecucao)="Global",$I28&gt;0,COUNTIF($AB$13:$AM$13,BM.medicao)&gt;0),O28/$I28*100,0)))</f>
        <v>#NAME?</v>
      </c>
      <c r="M28" s="635" t="n">
        <f aca="true">IF($A28="S",VTOTALBM,IF($A28=0,0,ROUND(SomaAgrupBM,15-13*ORÇAMENTO!$AF$11)))</f>
        <v>0</v>
      </c>
      <c r="N28" s="219" t="n">
        <f aca="false">O28-M28</f>
        <v>0</v>
      </c>
      <c r="O28" s="210" t="n">
        <f aca="true">IF($A28="S",VTOTALBM,IF($A28=0,0,ROUND(SomaAgrupBM,15-13*ORÇAMENTO!$AF$11)))</f>
        <v>0</v>
      </c>
      <c r="Q28" s="636"/>
      <c r="R28" s="637"/>
      <c r="T28" s="202" t="str">
        <f aca="false">IF($W28&gt;0,$D28,"")</f>
        <v/>
      </c>
      <c r="U28" s="341" t="str">
        <f aca="false">IF($W28&gt;0,$E28,"")</f>
        <v/>
      </c>
      <c r="V28" s="342" t="str">
        <f aca="true">IF(AND($W28&gt;0,RegimeExecucao="Unitário"),$F28,"")</f>
        <v/>
      </c>
      <c r="W28" s="638" t="n">
        <f aca="true">IF($Y28&gt;0,CHOOSE(MATCH(RegimeExecucao,{"Unitário","Global"},0),IF($A28="S",$Y28/$X28,""),($Y28/$X28)*100),0)</f>
        <v>0</v>
      </c>
      <c r="X28" s="639" t="str">
        <f aca="true">IF($Y28&gt;0,CHOOSE(MATCH(RegimeExecucao,{"Unitário","Global"},0),IF($A28="S",ROUND($H28,ORÇAMENTO!$AF$10),""),ROUND($I28,ORÇAMENTO!$AF$11)),"")</f>
        <v/>
      </c>
      <c r="Y28" s="639" t="n">
        <f aca="false">AO28-O28</f>
        <v>0</v>
      </c>
      <c r="Z28" s="640"/>
      <c r="AB28" s="636"/>
      <c r="AC28" s="641"/>
      <c r="AD28" s="641"/>
      <c r="AE28" s="641"/>
      <c r="AF28" s="641"/>
      <c r="AG28" s="641"/>
      <c r="AH28" s="641"/>
      <c r="AI28" s="641"/>
      <c r="AJ28" s="641"/>
      <c r="AK28" s="641"/>
      <c r="AL28" s="641"/>
      <c r="AM28" s="637"/>
      <c r="AO28" s="38" t="n">
        <f aca="true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customFormat="false" ht="12.75" hidden="false" customHeight="false" outlineLevel="0" collapsed="false">
      <c r="A29" s="1" t="n">
        <f aca="false">ORÇAMENTO!C29</f>
        <v>2</v>
      </c>
      <c r="B29" s="1" t="n">
        <f aca="false">ORÇAMENTO!D29</f>
        <v>10</v>
      </c>
      <c r="C29" s="199" t="str">
        <f aca="false">IF(OR($I29&gt;0,$A29=1,$A29=2,$A29=3,$A29=4),"F","")</f>
        <v>F</v>
      </c>
      <c r="D29" s="202" t="str">
        <f aca="false">ORÇAMENTO!O29</f>
        <v>1.5.</v>
      </c>
      <c r="E29" s="341" t="str">
        <f aca="false">ORÇAMENTO.Descricao</f>
        <v>SAPATA</v>
      </c>
      <c r="F29" s="342" t="str">
        <f aca="true">IF(RegimeExecucao="Global","",ORÇAMENTO.Unidade)</f>
        <v/>
      </c>
      <c r="G29" s="207" t="str">
        <f aca="true">IF(RegimeExecucao="Global","",ORÇAMENTO!T29)</f>
        <v/>
      </c>
      <c r="H29" s="207" t="str">
        <f aca="true">IF(RegimeExecucao="Global","",ORÇAMENTO!W29)</f>
        <v/>
      </c>
      <c r="I29" s="210" t="n">
        <f aca="false">ORÇAMENTO!X29</f>
        <v>297963.25</v>
      </c>
      <c r="J29" s="633" t="e">
        <f aca="false" t="array" ref="J29:J29">_xlfn.single(IF($A29="S",IF(CAIXA.Modo,BM.AFAnterior,BM.MEDAnterior),IF(AND(_xlfn.single(RegimeExecucao)="Global",$I29&gt;0,COUNTIF($AB$13:$AM$13,BM.medicao-1)&gt;0),M29/$I29*100,0)))</f>
        <v>#NAME?</v>
      </c>
      <c r="K29" s="207" t="e">
        <f aca="false">L29-J29</f>
        <v>#NAME?</v>
      </c>
      <c r="L29" s="634" t="e">
        <f aca="false" t="array" ref="L29:L29">_xlfn.single(IF($A29="S",IF(CAIXA.Modo,BM.AFAcumulado,BM.MEDAcumulado),IF(AND(_xlfn.single(RegimeExecucao)="Global",$I29&gt;0,COUNTIF($AB$13:$AM$13,BM.medicao)&gt;0),O29/$I29*100,0)))</f>
        <v>#NAME?</v>
      </c>
      <c r="M29" s="635" t="n">
        <f aca="true">IF($A29="S",VTOTALBM,IF($A29=0,0,ROUND(SomaAgrupBM,15-13*ORÇAMENTO!$AF$11)))</f>
        <v>0</v>
      </c>
      <c r="N29" s="219" t="n">
        <f aca="false">O29-M29</f>
        <v>0</v>
      </c>
      <c r="O29" s="210" t="n">
        <f aca="true">IF($A29="S",VTOTALBM,IF($A29=0,0,ROUND(SomaAgrupBM,15-13*ORÇAMENTO!$AF$11)))</f>
        <v>0</v>
      </c>
      <c r="Q29" s="636"/>
      <c r="R29" s="637"/>
      <c r="T29" s="202" t="str">
        <f aca="false">IF($W29&gt;0,$D29,"")</f>
        <v/>
      </c>
      <c r="U29" s="341" t="str">
        <f aca="false">IF($W29&gt;0,$E29,"")</f>
        <v/>
      </c>
      <c r="V29" s="342" t="str">
        <f aca="true">IF(AND($W29&gt;0,RegimeExecucao="Unitário"),$F29,"")</f>
        <v/>
      </c>
      <c r="W29" s="638" t="n">
        <f aca="true">IF($Y29&gt;0,CHOOSE(MATCH(RegimeExecucao,{"Unitário","Global"},0),IF($A29="S",$Y29/$X29,""),($Y29/$X29)*100),0)</f>
        <v>0</v>
      </c>
      <c r="X29" s="639" t="str">
        <f aca="true">IF($Y29&gt;0,CHOOSE(MATCH(RegimeExecucao,{"Unitário","Global"},0),IF($A29="S",ROUND($H29,ORÇAMENTO!$AF$10),""),ROUND($I29,ORÇAMENTO!$AF$11)),"")</f>
        <v/>
      </c>
      <c r="Y29" s="639" t="n">
        <f aca="false">AO29-O29</f>
        <v>0</v>
      </c>
      <c r="Z29" s="640"/>
      <c r="AB29" s="636"/>
      <c r="AC29" s="641"/>
      <c r="AD29" s="641"/>
      <c r="AE29" s="641"/>
      <c r="AF29" s="641"/>
      <c r="AG29" s="641"/>
      <c r="AH29" s="641"/>
      <c r="AI29" s="641"/>
      <c r="AJ29" s="641"/>
      <c r="AK29" s="641"/>
      <c r="AL29" s="641"/>
      <c r="AM29" s="637"/>
      <c r="AO29" s="38" t="n">
        <f aca="true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customFormat="false" ht="35.05" hidden="false" customHeight="false" outlineLevel="0" collapsed="false">
      <c r="A30" s="1" t="str">
        <f aca="false">ORÇAMENTO!C30</f>
        <v>S</v>
      </c>
      <c r="B30" s="1" t="n">
        <f aca="false">ORÇAMENTO!D30</f>
        <v>0</v>
      </c>
      <c r="C30" s="199" t="str">
        <f aca="false">IF(OR($I30&gt;0,$A30=1,$A30=2,$A30=3,$A30=4),"F","")</f>
        <v>F</v>
      </c>
      <c r="D30" s="202" t="str">
        <f aca="false">ORÇAMENTO!O30</f>
        <v>1.5.1.</v>
      </c>
      <c r="E30" s="341" t="str">
        <f aca="false">ORÇAMENTO.Descricao</f>
        <v>ESCAVAÇÃO MECANIZADA PARA BLOCO DE COROAMENTO OU SAPATA COM RETROESCAVADEIRA (INCLUINDO ESCAVAÇÃO PARA COLOCAÇÃO DE FÔRMAS). AF_01/2024</v>
      </c>
      <c r="F30" s="342" t="str">
        <f aca="true">IF(RegimeExecucao="Global","",ORÇAMENTO.Unidade)</f>
        <v/>
      </c>
      <c r="G30" s="207" t="str">
        <f aca="true">IF(RegimeExecucao="Global","",ORÇAMENTO!T30)</f>
        <v/>
      </c>
      <c r="H30" s="207" t="str">
        <f aca="true">IF(RegimeExecucao="Global","",ORÇAMENTO!W30)</f>
        <v/>
      </c>
      <c r="I30" s="210" t="n">
        <f aca="false">ORÇAMENTO!X30</f>
        <v>21024</v>
      </c>
      <c r="J30" s="633" t="e">
        <f aca="false" t="array" ref="J30:J30">_xlfn.single(IF($A30="S",IF(CAIXA.Modo,BM.AFAnterior,BM.MEDAnterior),IF(AND(_xlfn.single(RegimeExecucao)="Global",$I30&gt;0,COUNTIF($AB$13:$AM$13,BM.medicao-1)&gt;0),M30/$I30*100,0)))</f>
        <v>#NAME?</v>
      </c>
      <c r="K30" s="207" t="e">
        <f aca="false">L30-J30</f>
        <v>#NAME?</v>
      </c>
      <c r="L30" s="634" t="e">
        <f aca="false" t="array" ref="L30:L30">_xlfn.single(IF($A30="S",IF(CAIXA.Modo,BM.AFAcumulado,BM.MEDAcumulado),IF(AND(_xlfn.single(RegimeExecucao)="Global",$I30&gt;0,COUNTIF($AB$13:$AM$13,BM.medicao)&gt;0),O30/$I30*100,0)))</f>
        <v>#NAME?</v>
      </c>
      <c r="M30" s="635" t="n">
        <f aca="true">IF($A30="S",VTOTALBM,IF($A30=0,0,ROUND(SomaAgrupBM,15-13*ORÇAMENTO!$AF$11)))</f>
        <v>0</v>
      </c>
      <c r="N30" s="219" t="n">
        <f aca="false">O30-M30</f>
        <v>0</v>
      </c>
      <c r="O30" s="210" t="n">
        <f aca="true">IF($A30="S",VTOTALBM,IF($A30=0,0,ROUND(SomaAgrupBM,15-13*ORÇAMENTO!$AF$11)))</f>
        <v>0</v>
      </c>
      <c r="Q30" s="636"/>
      <c r="R30" s="637"/>
      <c r="T30" s="202" t="str">
        <f aca="false">IF($W30&gt;0,$D30,"")</f>
        <v/>
      </c>
      <c r="U30" s="341" t="str">
        <f aca="false">IF($W30&gt;0,$E30,"")</f>
        <v/>
      </c>
      <c r="V30" s="342" t="str">
        <f aca="true">IF(AND($W30&gt;0,RegimeExecucao="Unitário"),$F30,"")</f>
        <v/>
      </c>
      <c r="W30" s="638" t="n">
        <f aca="true">IF($Y30&gt;0,CHOOSE(MATCH(RegimeExecucao,{"Unitário","Global"},0),IF($A30="S",$Y30/$X30,""),($Y30/$X30)*100),0)</f>
        <v>0</v>
      </c>
      <c r="X30" s="639" t="str">
        <f aca="true">IF($Y30&gt;0,CHOOSE(MATCH(RegimeExecucao,{"Unitário","Global"},0),IF($A30="S",ROUND($H30,ORÇAMENTO!$AF$10),""),ROUND($I30,ORÇAMENTO!$AF$11)),"")</f>
        <v/>
      </c>
      <c r="Y30" s="639" t="n">
        <f aca="false">AO30-O30</f>
        <v>0</v>
      </c>
      <c r="Z30" s="640"/>
      <c r="AB30" s="636"/>
      <c r="AC30" s="641"/>
      <c r="AD30" s="641"/>
      <c r="AE30" s="641"/>
      <c r="AF30" s="641"/>
      <c r="AG30" s="641"/>
      <c r="AH30" s="641"/>
      <c r="AI30" s="641"/>
      <c r="AJ30" s="641"/>
      <c r="AK30" s="641"/>
      <c r="AL30" s="641"/>
      <c r="AM30" s="637"/>
      <c r="AO30" s="38" t="n">
        <f aca="true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customFormat="false" ht="23.85" hidden="false" customHeight="false" outlineLevel="0" collapsed="false">
      <c r="A31" s="1" t="str">
        <f aca="false">ORÇAMENTO!C31</f>
        <v>S</v>
      </c>
      <c r="B31" s="1" t="n">
        <f aca="false">ORÇAMENTO!D31</f>
        <v>0</v>
      </c>
      <c r="C31" s="199" t="str">
        <f aca="false">IF(OR($I31&gt;0,$A31=1,$A31=2,$A31=3,$A31=4),"F","")</f>
        <v>F</v>
      </c>
      <c r="D31" s="202" t="str">
        <f aca="false">ORÇAMENTO!O31</f>
        <v>1.5.2.</v>
      </c>
      <c r="E31" s="341" t="str">
        <f aca="false">ORÇAMENTO.Descricao</f>
        <v>PREPARO DE FUNDO DE VALA COM LARGURA MENOR QUE 1,5 M (ACERTO DO SOLO NATURAL). AF_08/2020</v>
      </c>
      <c r="F31" s="342" t="str">
        <f aca="true">IF(RegimeExecucao="Global","",ORÇAMENTO.Unidade)</f>
        <v/>
      </c>
      <c r="G31" s="207" t="str">
        <f aca="true">IF(RegimeExecucao="Global","",ORÇAMENTO!T31)</f>
        <v/>
      </c>
      <c r="H31" s="207" t="str">
        <f aca="true">IF(RegimeExecucao="Global","",ORÇAMENTO!W31)</f>
        <v/>
      </c>
      <c r="I31" s="210" t="n">
        <f aca="false">ORÇAMENTO!X31</f>
        <v>1578.25</v>
      </c>
      <c r="J31" s="633" t="e">
        <f aca="false" t="array" ref="J31:J31">_xlfn.single(IF($A31="S",IF(CAIXA.Modo,BM.AFAnterior,BM.MEDAnterior),IF(AND(_xlfn.single(RegimeExecucao)="Global",$I31&gt;0,COUNTIF($AB$13:$AM$13,BM.medicao-1)&gt;0),M31/$I31*100,0)))</f>
        <v>#NAME?</v>
      </c>
      <c r="K31" s="207" t="e">
        <f aca="false">L31-J31</f>
        <v>#NAME?</v>
      </c>
      <c r="L31" s="634" t="e">
        <f aca="false" t="array" ref="L31:L31">_xlfn.single(IF($A31="S",IF(CAIXA.Modo,BM.AFAcumulado,BM.MEDAcumulado),IF(AND(_xlfn.single(RegimeExecucao)="Global",$I31&gt;0,COUNTIF($AB$13:$AM$13,BM.medicao)&gt;0),O31/$I31*100,0)))</f>
        <v>#NAME?</v>
      </c>
      <c r="M31" s="635" t="n">
        <f aca="true">IF($A31="S",VTOTALBM,IF($A31=0,0,ROUND(SomaAgrupBM,15-13*ORÇAMENTO!$AF$11)))</f>
        <v>0</v>
      </c>
      <c r="N31" s="219" t="n">
        <f aca="false">O31-M31</f>
        <v>0</v>
      </c>
      <c r="O31" s="210" t="n">
        <f aca="true">IF($A31="S",VTOTALBM,IF($A31=0,0,ROUND(SomaAgrupBM,15-13*ORÇAMENTO!$AF$11)))</f>
        <v>0</v>
      </c>
      <c r="Q31" s="636"/>
      <c r="R31" s="637"/>
      <c r="T31" s="202" t="str">
        <f aca="false">IF($W31&gt;0,$D31,"")</f>
        <v/>
      </c>
      <c r="U31" s="341" t="str">
        <f aca="false">IF($W31&gt;0,$E31,"")</f>
        <v/>
      </c>
      <c r="V31" s="342" t="str">
        <f aca="true">IF(AND($W31&gt;0,RegimeExecucao="Unitário"),$F31,"")</f>
        <v/>
      </c>
      <c r="W31" s="638" t="n">
        <f aca="true">IF($Y31&gt;0,CHOOSE(MATCH(RegimeExecucao,{"Unitário","Global"},0),IF($A31="S",$Y31/$X31,""),($Y31/$X31)*100),0)</f>
        <v>0</v>
      </c>
      <c r="X31" s="639" t="str">
        <f aca="true">IF($Y31&gt;0,CHOOSE(MATCH(RegimeExecucao,{"Unitário","Global"},0),IF($A31="S",ROUND($H31,ORÇAMENTO!$AF$10),""),ROUND($I31,ORÇAMENTO!$AF$11)),"")</f>
        <v/>
      </c>
      <c r="Y31" s="639" t="n">
        <f aca="false">AO31-O31</f>
        <v>0</v>
      </c>
      <c r="Z31" s="640"/>
      <c r="AB31" s="636"/>
      <c r="AC31" s="641"/>
      <c r="AD31" s="641"/>
      <c r="AE31" s="641"/>
      <c r="AF31" s="641"/>
      <c r="AG31" s="641"/>
      <c r="AH31" s="641"/>
      <c r="AI31" s="641"/>
      <c r="AJ31" s="641"/>
      <c r="AK31" s="641"/>
      <c r="AL31" s="641"/>
      <c r="AM31" s="637"/>
      <c r="AO31" s="38" t="n">
        <f aca="true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customFormat="false" ht="23.85" hidden="false" customHeight="false" outlineLevel="0" collapsed="false">
      <c r="A32" s="1" t="str">
        <f aca="false">ORÇAMENTO!C32</f>
        <v>S</v>
      </c>
      <c r="B32" s="1" t="n">
        <f aca="false">ORÇAMENTO!D32</f>
        <v>0</v>
      </c>
      <c r="C32" s="199" t="str">
        <f aca="false">IF(OR($I32&gt;0,$A32=1,$A32=2,$A32=3,$A32=4),"F","")</f>
        <v>F</v>
      </c>
      <c r="D32" s="202" t="str">
        <f aca="false">ORÇAMENTO!O32</f>
        <v>1.5.3.</v>
      </c>
      <c r="E32" s="341" t="str">
        <f aca="false">ORÇAMENTO.Descricao</f>
        <v>LASTRO DE CONCRETO MAGRO, APLICADO EM BLOCOS DE COROAMENTO OU SAPATAS, ESPESSURA DE 5 CM. AF_01/2024</v>
      </c>
      <c r="F32" s="342" t="str">
        <f aca="true">IF(RegimeExecucao="Global","",ORÇAMENTO.Unidade)</f>
        <v/>
      </c>
      <c r="G32" s="207" t="str">
        <f aca="true">IF(RegimeExecucao="Global","",ORÇAMENTO!T32)</f>
        <v/>
      </c>
      <c r="H32" s="207" t="str">
        <f aca="true">IF(RegimeExecucao="Global","",ORÇAMENTO!W32)</f>
        <v/>
      </c>
      <c r="I32" s="210" t="n">
        <f aca="false">ORÇAMENTO!X32</f>
        <v>536.25</v>
      </c>
      <c r="J32" s="633" t="e">
        <f aca="false" t="array" ref="J32:J32">_xlfn.single(IF($A32="S",IF(CAIXA.Modo,BM.AFAnterior,BM.MEDAnterior),IF(AND(_xlfn.single(RegimeExecucao)="Global",$I32&gt;0,COUNTIF($AB$13:$AM$13,BM.medicao-1)&gt;0),M32/$I32*100,0)))</f>
        <v>#NAME?</v>
      </c>
      <c r="K32" s="207" t="e">
        <f aca="false">L32-J32</f>
        <v>#NAME?</v>
      </c>
      <c r="L32" s="634" t="e">
        <f aca="false" t="array" ref="L32:L32">_xlfn.single(IF($A32="S",IF(CAIXA.Modo,BM.AFAcumulado,BM.MEDAcumulado),IF(AND(_xlfn.single(RegimeExecucao)="Global",$I32&gt;0,COUNTIF($AB$13:$AM$13,BM.medicao)&gt;0),O32/$I32*100,0)))</f>
        <v>#NAME?</v>
      </c>
      <c r="M32" s="635" t="n">
        <f aca="true">IF($A32="S",VTOTALBM,IF($A32=0,0,ROUND(SomaAgrupBM,15-13*ORÇAMENTO!$AF$11)))</f>
        <v>0</v>
      </c>
      <c r="N32" s="219" t="n">
        <f aca="false">O32-M32</f>
        <v>0</v>
      </c>
      <c r="O32" s="210" t="n">
        <f aca="true">IF($A32="S",VTOTALBM,IF($A32=0,0,ROUND(SomaAgrupBM,15-13*ORÇAMENTO!$AF$11)))</f>
        <v>0</v>
      </c>
      <c r="Q32" s="636"/>
      <c r="R32" s="637"/>
      <c r="T32" s="202" t="str">
        <f aca="false">IF($W32&gt;0,$D32,"")</f>
        <v/>
      </c>
      <c r="U32" s="341" t="str">
        <f aca="false">IF($W32&gt;0,$E32,"")</f>
        <v/>
      </c>
      <c r="V32" s="342" t="str">
        <f aca="true">IF(AND($W32&gt;0,RegimeExecucao="Unitário"),$F32,"")</f>
        <v/>
      </c>
      <c r="W32" s="638" t="n">
        <f aca="true">IF($Y32&gt;0,CHOOSE(MATCH(RegimeExecucao,{"Unitário","Global"},0),IF($A32="S",$Y32/$X32,""),($Y32/$X32)*100),0)</f>
        <v>0</v>
      </c>
      <c r="X32" s="639" t="str">
        <f aca="true">IF($Y32&gt;0,CHOOSE(MATCH(RegimeExecucao,{"Unitário","Global"},0),IF($A32="S",ROUND($H32,ORÇAMENTO!$AF$10),""),ROUND($I32,ORÇAMENTO!$AF$11)),"")</f>
        <v/>
      </c>
      <c r="Y32" s="639" t="n">
        <f aca="false">AO32-O32</f>
        <v>0</v>
      </c>
      <c r="Z32" s="640"/>
      <c r="AB32" s="636"/>
      <c r="AC32" s="641"/>
      <c r="AD32" s="641"/>
      <c r="AE32" s="641"/>
      <c r="AF32" s="641"/>
      <c r="AG32" s="641"/>
      <c r="AH32" s="641"/>
      <c r="AI32" s="641"/>
      <c r="AJ32" s="641"/>
      <c r="AK32" s="641"/>
      <c r="AL32" s="641"/>
      <c r="AM32" s="637"/>
      <c r="AO32" s="38" t="n">
        <f aca="true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customFormat="false" ht="35.05" hidden="false" customHeight="false" outlineLevel="0" collapsed="false">
      <c r="A33" s="1" t="str">
        <f aca="false">ORÇAMENTO!C33</f>
        <v>S</v>
      </c>
      <c r="B33" s="1" t="n">
        <f aca="false">ORÇAMENTO!D33</f>
        <v>0</v>
      </c>
      <c r="C33" s="199" t="str">
        <f aca="false">IF(OR($I33&gt;0,$A33=1,$A33=2,$A33=3,$A33=4),"F","")</f>
        <v>F</v>
      </c>
      <c r="D33" s="202" t="str">
        <f aca="false">ORÇAMENTO!O33</f>
        <v>1.5.4.</v>
      </c>
      <c r="E33" s="341" t="str">
        <f aca="false">ORÇAMENTO.Descricao</f>
        <v>FABRICAÇÃO, MONTAGEM E DESMONTAGEM DE FÔRMA PARA SAPATA, EM CHAPA DE MADEIRA COMPENSADA RESINADA, E=17 MM, 4 UTILIZAÇÕES. AF_01/2024</v>
      </c>
      <c r="F33" s="342" t="str">
        <f aca="true">IF(RegimeExecucao="Global","",ORÇAMENTO.Unidade)</f>
        <v/>
      </c>
      <c r="G33" s="207" t="str">
        <f aca="true">IF(RegimeExecucao="Global","",ORÇAMENTO!T33)</f>
        <v/>
      </c>
      <c r="H33" s="207" t="str">
        <f aca="true">IF(RegimeExecucao="Global","",ORÇAMENTO!W33)</f>
        <v/>
      </c>
      <c r="I33" s="210" t="n">
        <f aca="false">ORÇAMENTO!X33</f>
        <v>138670.25</v>
      </c>
      <c r="J33" s="633" t="e">
        <f aca="false" t="array" ref="J33:J33">_xlfn.single(IF($A33="S",IF(CAIXA.Modo,BM.AFAnterior,BM.MEDAnterior),IF(AND(_xlfn.single(RegimeExecucao)="Global",$I33&gt;0,COUNTIF($AB$13:$AM$13,BM.medicao-1)&gt;0),M33/$I33*100,0)))</f>
        <v>#NAME?</v>
      </c>
      <c r="K33" s="207" t="e">
        <f aca="false">L33-J33</f>
        <v>#NAME?</v>
      </c>
      <c r="L33" s="634" t="e">
        <f aca="false" t="array" ref="L33:L33">_xlfn.single(IF($A33="S",IF(CAIXA.Modo,BM.AFAcumulado,BM.MEDAcumulado),IF(AND(_xlfn.single(RegimeExecucao)="Global",$I33&gt;0,COUNTIF($AB$13:$AM$13,BM.medicao)&gt;0),O33/$I33*100,0)))</f>
        <v>#NAME?</v>
      </c>
      <c r="M33" s="635" t="n">
        <f aca="true">IF($A33="S",VTOTALBM,IF($A33=0,0,ROUND(SomaAgrupBM,15-13*ORÇAMENTO!$AF$11)))</f>
        <v>0</v>
      </c>
      <c r="N33" s="219" t="n">
        <f aca="false">O33-M33</f>
        <v>0</v>
      </c>
      <c r="O33" s="210" t="n">
        <f aca="true">IF($A33="S",VTOTALBM,IF($A33=0,0,ROUND(SomaAgrupBM,15-13*ORÇAMENTO!$AF$11)))</f>
        <v>0</v>
      </c>
      <c r="Q33" s="636"/>
      <c r="R33" s="637"/>
      <c r="T33" s="202" t="str">
        <f aca="false">IF($W33&gt;0,$D33,"")</f>
        <v/>
      </c>
      <c r="U33" s="341" t="str">
        <f aca="false">IF($W33&gt;0,$E33,"")</f>
        <v/>
      </c>
      <c r="V33" s="342" t="str">
        <f aca="true">IF(AND($W33&gt;0,RegimeExecucao="Unitário"),$F33,"")</f>
        <v/>
      </c>
      <c r="W33" s="638" t="n">
        <f aca="true">IF($Y33&gt;0,CHOOSE(MATCH(RegimeExecucao,{"Unitário","Global"},0),IF($A33="S",$Y33/$X33,""),($Y33/$X33)*100),0)</f>
        <v>0</v>
      </c>
      <c r="X33" s="639" t="str">
        <f aca="true">IF($Y33&gt;0,CHOOSE(MATCH(RegimeExecucao,{"Unitário","Global"},0),IF($A33="S",ROUND($H33,ORÇAMENTO!$AF$10),""),ROUND($I33,ORÇAMENTO!$AF$11)),"")</f>
        <v/>
      </c>
      <c r="Y33" s="639" t="n">
        <f aca="false">AO33-O33</f>
        <v>0</v>
      </c>
      <c r="Z33" s="640"/>
      <c r="AB33" s="636"/>
      <c r="AC33" s="641"/>
      <c r="AD33" s="641"/>
      <c r="AE33" s="641"/>
      <c r="AF33" s="641"/>
      <c r="AG33" s="641"/>
      <c r="AH33" s="641"/>
      <c r="AI33" s="641"/>
      <c r="AJ33" s="641"/>
      <c r="AK33" s="641"/>
      <c r="AL33" s="641"/>
      <c r="AM33" s="637"/>
      <c r="AO33" s="38" t="n">
        <f aca="true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customFormat="false" ht="23.85" hidden="false" customHeight="false" outlineLevel="0" collapsed="false">
      <c r="A34" s="1" t="str">
        <f aca="false">ORÇAMENTO!C34</f>
        <v>S</v>
      </c>
      <c r="B34" s="1" t="n">
        <f aca="false">ORÇAMENTO!D34</f>
        <v>0</v>
      </c>
      <c r="C34" s="199" t="str">
        <f aca="false">IF(OR($I34&gt;0,$A34=1,$A34=2,$A34=3,$A34=4),"F","")</f>
        <v>F</v>
      </c>
      <c r="D34" s="202" t="str">
        <f aca="false">ORÇAMENTO!O34</f>
        <v>1.5.5.</v>
      </c>
      <c r="E34" s="341" t="str">
        <f aca="false">ORÇAMENTO.Descricao</f>
        <v>ARMAÇÃO DE SAPATA ISOLADA, VIGA BALDRAME E SAPATA CORRIDA UTILIZANDO AÇO CA-60 DE 5 MM -MONTAGEM. AF_01/2024</v>
      </c>
      <c r="F34" s="342" t="str">
        <f aca="true">IF(RegimeExecucao="Global","",ORÇAMENTO.Unidade)</f>
        <v/>
      </c>
      <c r="G34" s="207" t="str">
        <f aca="true">IF(RegimeExecucao="Global","",ORÇAMENTO!T34)</f>
        <v/>
      </c>
      <c r="H34" s="207" t="str">
        <f aca="true">IF(RegimeExecucao="Global","",ORÇAMENTO!W34)</f>
        <v/>
      </c>
      <c r="I34" s="210" t="n">
        <f aca="false">ORÇAMENTO!X34</f>
        <v>10970</v>
      </c>
      <c r="J34" s="633" t="e">
        <f aca="false" t="array" ref="J34:J34">_xlfn.single(IF($A34="S",IF(CAIXA.Modo,BM.AFAnterior,BM.MEDAnterior),IF(AND(_xlfn.single(RegimeExecucao)="Global",$I34&gt;0,COUNTIF($AB$13:$AM$13,BM.medicao-1)&gt;0),M34/$I34*100,0)))</f>
        <v>#NAME?</v>
      </c>
      <c r="K34" s="207" t="e">
        <f aca="false">L34-J34</f>
        <v>#NAME?</v>
      </c>
      <c r="L34" s="634" t="e">
        <f aca="false" t="array" ref="L34:L34">_xlfn.single(IF($A34="S",IF(CAIXA.Modo,BM.AFAcumulado,BM.MEDAcumulado),IF(AND(_xlfn.single(RegimeExecucao)="Global",$I34&gt;0,COUNTIF($AB$13:$AM$13,BM.medicao)&gt;0),O34/$I34*100,0)))</f>
        <v>#NAME?</v>
      </c>
      <c r="M34" s="635" t="n">
        <f aca="true">IF($A34="S",VTOTALBM,IF($A34=0,0,ROUND(SomaAgrupBM,15-13*ORÇAMENTO!$AF$11)))</f>
        <v>0</v>
      </c>
      <c r="N34" s="219" t="n">
        <f aca="false">O34-M34</f>
        <v>0</v>
      </c>
      <c r="O34" s="210" t="n">
        <f aca="true">IF($A34="S",VTOTALBM,IF($A34=0,0,ROUND(SomaAgrupBM,15-13*ORÇAMENTO!$AF$11)))</f>
        <v>0</v>
      </c>
      <c r="Q34" s="636"/>
      <c r="R34" s="637"/>
      <c r="T34" s="202" t="str">
        <f aca="false">IF($W34&gt;0,$D34,"")</f>
        <v/>
      </c>
      <c r="U34" s="341" t="str">
        <f aca="false">IF($W34&gt;0,$E34,"")</f>
        <v/>
      </c>
      <c r="V34" s="342" t="str">
        <f aca="true">IF(AND($W34&gt;0,RegimeExecucao="Unitário"),$F34,"")</f>
        <v/>
      </c>
      <c r="W34" s="638" t="n">
        <f aca="true">IF($Y34&gt;0,CHOOSE(MATCH(RegimeExecucao,{"Unitário","Global"},0),IF($A34="S",$Y34/$X34,""),($Y34/$X34)*100),0)</f>
        <v>0</v>
      </c>
      <c r="X34" s="639" t="str">
        <f aca="true">IF($Y34&gt;0,CHOOSE(MATCH(RegimeExecucao,{"Unitário","Global"},0),IF($A34="S",ROUND($H34,ORÇAMENTO!$AF$10),""),ROUND($I34,ORÇAMENTO!$AF$11)),"")</f>
        <v/>
      </c>
      <c r="Y34" s="639" t="n">
        <f aca="false">AO34-O34</f>
        <v>0</v>
      </c>
      <c r="Z34" s="640"/>
      <c r="AB34" s="636"/>
      <c r="AC34" s="641"/>
      <c r="AD34" s="641"/>
      <c r="AE34" s="641"/>
      <c r="AF34" s="641"/>
      <c r="AG34" s="641"/>
      <c r="AH34" s="641"/>
      <c r="AI34" s="641"/>
      <c r="AJ34" s="641"/>
      <c r="AK34" s="641"/>
      <c r="AL34" s="641"/>
      <c r="AM34" s="637"/>
      <c r="AO34" s="38" t="n">
        <f aca="true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customFormat="false" ht="23.85" hidden="false" customHeight="false" outlineLevel="0" collapsed="false">
      <c r="A35" s="1" t="str">
        <f aca="false">ORÇAMENTO!C35</f>
        <v>S</v>
      </c>
      <c r="B35" s="1" t="n">
        <f aca="false">ORÇAMENTO!D35</f>
        <v>0</v>
      </c>
      <c r="C35" s="199" t="str">
        <f aca="false">IF(OR($I35&gt;0,$A35=1,$A35=2,$A35=3,$A35=4),"F","")</f>
        <v>F</v>
      </c>
      <c r="D35" s="202" t="str">
        <f aca="false">ORÇAMENTO!O35</f>
        <v>1.5.6.</v>
      </c>
      <c r="E35" s="341" t="str">
        <f aca="false">ORÇAMENTO.Descricao</f>
        <v>ARMAÇÃO DE SAPATA ISOLADA, VIGA BALDRAME E SAPATA CORRIDA UTILIZANDO AÇO CA-50 DE 8 MM -MONTAGEM. AF_01/2024</v>
      </c>
      <c r="F35" s="342" t="str">
        <f aca="true">IF(RegimeExecucao="Global","",ORÇAMENTO.Unidade)</f>
        <v/>
      </c>
      <c r="G35" s="207" t="str">
        <f aca="true">IF(RegimeExecucao="Global","",ORÇAMENTO!T35)</f>
        <v/>
      </c>
      <c r="H35" s="207" t="str">
        <f aca="true">IF(RegimeExecucao="Global","",ORÇAMENTO!W35)</f>
        <v/>
      </c>
      <c r="I35" s="210" t="n">
        <f aca="false">ORÇAMENTO!X35</f>
        <v>25641.25</v>
      </c>
      <c r="J35" s="633" t="e">
        <f aca="false" t="array" ref="J35:J35">_xlfn.single(IF($A35="S",IF(CAIXA.Modo,BM.AFAnterior,BM.MEDAnterior),IF(AND(_xlfn.single(RegimeExecucao)="Global",$I35&gt;0,COUNTIF($AB$13:$AM$13,BM.medicao-1)&gt;0),M35/$I35*100,0)))</f>
        <v>#NAME?</v>
      </c>
      <c r="K35" s="207" t="e">
        <f aca="false">L35-J35</f>
        <v>#NAME?</v>
      </c>
      <c r="L35" s="634" t="e">
        <f aca="false" t="array" ref="L35:L35">_xlfn.single(IF($A35="S",IF(CAIXA.Modo,BM.AFAcumulado,BM.MEDAcumulado),IF(AND(_xlfn.single(RegimeExecucao)="Global",$I35&gt;0,COUNTIF($AB$13:$AM$13,BM.medicao)&gt;0),O35/$I35*100,0)))</f>
        <v>#NAME?</v>
      </c>
      <c r="M35" s="635" t="n">
        <f aca="true">IF($A35="S",VTOTALBM,IF($A35=0,0,ROUND(SomaAgrupBM,15-13*ORÇAMENTO!$AF$11)))</f>
        <v>0</v>
      </c>
      <c r="N35" s="219" t="n">
        <f aca="false">O35-M35</f>
        <v>0</v>
      </c>
      <c r="O35" s="210" t="n">
        <f aca="true">IF($A35="S",VTOTALBM,IF($A35=0,0,ROUND(SomaAgrupBM,15-13*ORÇAMENTO!$AF$11)))</f>
        <v>0</v>
      </c>
      <c r="Q35" s="636"/>
      <c r="R35" s="637"/>
      <c r="T35" s="202" t="str">
        <f aca="false">IF($W35&gt;0,$D35,"")</f>
        <v/>
      </c>
      <c r="U35" s="341" t="str">
        <f aca="false">IF($W35&gt;0,$E35,"")</f>
        <v/>
      </c>
      <c r="V35" s="342" t="str">
        <f aca="true">IF(AND($W35&gt;0,RegimeExecucao="Unitário"),$F35,"")</f>
        <v/>
      </c>
      <c r="W35" s="638" t="n">
        <f aca="true">IF($Y35&gt;0,CHOOSE(MATCH(RegimeExecucao,{"Unitário","Global"},0),IF($A35="S",$Y35/$X35,""),($Y35/$X35)*100),0)</f>
        <v>0</v>
      </c>
      <c r="X35" s="639" t="str">
        <f aca="true">IF($Y35&gt;0,CHOOSE(MATCH(RegimeExecucao,{"Unitário","Global"},0),IF($A35="S",ROUND($H35,ORÇAMENTO!$AF$10),""),ROUND($I35,ORÇAMENTO!$AF$11)),"")</f>
        <v/>
      </c>
      <c r="Y35" s="639" t="n">
        <f aca="false">AO35-O35</f>
        <v>0</v>
      </c>
      <c r="Z35" s="640"/>
      <c r="AB35" s="636"/>
      <c r="AC35" s="641"/>
      <c r="AD35" s="641"/>
      <c r="AE35" s="641"/>
      <c r="AF35" s="641"/>
      <c r="AG35" s="641"/>
      <c r="AH35" s="641"/>
      <c r="AI35" s="641"/>
      <c r="AJ35" s="641"/>
      <c r="AK35" s="641"/>
      <c r="AL35" s="641"/>
      <c r="AM35" s="637"/>
      <c r="AO35" s="38" t="n">
        <f aca="true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customFormat="false" ht="35.05" hidden="false" customHeight="false" outlineLevel="0" collapsed="false">
      <c r="A36" s="1" t="str">
        <f aca="false">ORÇAMENTO!C36</f>
        <v>S</v>
      </c>
      <c r="B36" s="1" t="n">
        <f aca="false">ORÇAMENTO!D36</f>
        <v>0</v>
      </c>
      <c r="C36" s="199" t="str">
        <f aca="false">IF(OR($I36&gt;0,$A36=1,$A36=2,$A36=3,$A36=4),"F","")</f>
        <v>F</v>
      </c>
      <c r="D36" s="202" t="str">
        <f aca="false">ORÇAMENTO!O36</f>
        <v>1.5.7.</v>
      </c>
      <c r="E36" s="341" t="str">
        <f aca="false">ORÇAMENTO.Descricao</f>
        <v>ARMAÇÃO DE SAPATA ISOLADA, VIGA BALDRAME E SAPATA CORRIDA UTILIZANDO AÇO CA-50 DE 10 MM -
MONTAGEM. AF_01/2024</v>
      </c>
      <c r="F36" s="342" t="str">
        <f aca="true">IF(RegimeExecucao="Global","",ORÇAMENTO.Unidade)</f>
        <v/>
      </c>
      <c r="G36" s="207" t="str">
        <f aca="true">IF(RegimeExecucao="Global","",ORÇAMENTO!T36)</f>
        <v/>
      </c>
      <c r="H36" s="207" t="str">
        <f aca="true">IF(RegimeExecucao="Global","",ORÇAMENTO!W36)</f>
        <v/>
      </c>
      <c r="I36" s="210" t="n">
        <f aca="false">ORÇAMENTO!X36</f>
        <v>30512.5</v>
      </c>
      <c r="J36" s="633" t="e">
        <f aca="false" t="array" ref="J36:J36">_xlfn.single(IF($A36="S",IF(CAIXA.Modo,BM.AFAnterior,BM.MEDAnterior),IF(AND(_xlfn.single(RegimeExecucao)="Global",$I36&gt;0,COUNTIF($AB$13:$AM$13,BM.medicao-1)&gt;0),M36/$I36*100,0)))</f>
        <v>#NAME?</v>
      </c>
      <c r="K36" s="207" t="e">
        <f aca="false">L36-J36</f>
        <v>#NAME?</v>
      </c>
      <c r="L36" s="634" t="e">
        <f aca="false" t="array" ref="L36:L36">_xlfn.single(IF($A36="S",IF(CAIXA.Modo,BM.AFAcumulado,BM.MEDAcumulado),IF(AND(_xlfn.single(RegimeExecucao)="Global",$I36&gt;0,COUNTIF($AB$13:$AM$13,BM.medicao)&gt;0),O36/$I36*100,0)))</f>
        <v>#NAME?</v>
      </c>
      <c r="M36" s="635" t="n">
        <f aca="true">IF($A36="S",VTOTALBM,IF($A36=0,0,ROUND(SomaAgrupBM,15-13*ORÇAMENTO!$AF$11)))</f>
        <v>0</v>
      </c>
      <c r="N36" s="219" t="n">
        <f aca="false">O36-M36</f>
        <v>0</v>
      </c>
      <c r="O36" s="210" t="n">
        <f aca="true">IF($A36="S",VTOTALBM,IF($A36=0,0,ROUND(SomaAgrupBM,15-13*ORÇAMENTO!$AF$11)))</f>
        <v>0</v>
      </c>
      <c r="Q36" s="636"/>
      <c r="R36" s="637"/>
      <c r="T36" s="202" t="str">
        <f aca="false">IF($W36&gt;0,$D36,"")</f>
        <v/>
      </c>
      <c r="U36" s="341" t="str">
        <f aca="false">IF($W36&gt;0,$E36,"")</f>
        <v/>
      </c>
      <c r="V36" s="342" t="str">
        <f aca="true">IF(AND($W36&gt;0,RegimeExecucao="Unitário"),$F36,"")</f>
        <v/>
      </c>
      <c r="W36" s="638" t="n">
        <f aca="true">IF($Y36&gt;0,CHOOSE(MATCH(RegimeExecucao,{"Unitário","Global"},0),IF($A36="S",$Y36/$X36,""),($Y36/$X36)*100),0)</f>
        <v>0</v>
      </c>
      <c r="X36" s="639" t="str">
        <f aca="true">IF($Y36&gt;0,CHOOSE(MATCH(RegimeExecucao,{"Unitário","Global"},0),IF($A36="S",ROUND($H36,ORÇAMENTO!$AF$10),""),ROUND($I36,ORÇAMENTO!$AF$11)),"")</f>
        <v/>
      </c>
      <c r="Y36" s="639" t="n">
        <f aca="false">AO36-O36</f>
        <v>0</v>
      </c>
      <c r="Z36" s="640"/>
      <c r="AB36" s="636"/>
      <c r="AC36" s="641"/>
      <c r="AD36" s="641"/>
      <c r="AE36" s="641"/>
      <c r="AF36" s="641"/>
      <c r="AG36" s="641"/>
      <c r="AH36" s="641"/>
      <c r="AI36" s="641"/>
      <c r="AJ36" s="641"/>
      <c r="AK36" s="641"/>
      <c r="AL36" s="641"/>
      <c r="AM36" s="637"/>
      <c r="AO36" s="38" t="n">
        <f aca="true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customFormat="false" ht="35.05" hidden="false" customHeight="false" outlineLevel="0" collapsed="false">
      <c r="A37" s="1" t="str">
        <f aca="false">ORÇAMENTO!C37</f>
        <v>S</v>
      </c>
      <c r="B37" s="1" t="n">
        <f aca="false">ORÇAMENTO!D37</f>
        <v>0</v>
      </c>
      <c r="C37" s="199" t="str">
        <f aca="false">IF(OR($I37&gt;0,$A37=1,$A37=2,$A37=3,$A37=4),"F","")</f>
        <v>F</v>
      </c>
      <c r="D37" s="202" t="str">
        <f aca="false">ORÇAMENTO!O37</f>
        <v>1.5.8.</v>
      </c>
      <c r="E37" s="341" t="str">
        <f aca="false">ORÇAMENTO.Descricao</f>
        <v>CONCRETAGEM DE SAPATA, FCK 30 MPA, COM USO DE BOMBA - LANÇAMENTO, ADENSAMENTO E ACABAMENTO.
AF_01/2024</v>
      </c>
      <c r="F37" s="342" t="str">
        <f aca="true">IF(RegimeExecucao="Global","",ORÇAMENTO.Unidade)</f>
        <v/>
      </c>
      <c r="G37" s="207" t="str">
        <f aca="true">IF(RegimeExecucao="Global","",ORÇAMENTO!T37)</f>
        <v/>
      </c>
      <c r="H37" s="207" t="str">
        <f aca="true">IF(RegimeExecucao="Global","",ORÇAMENTO!W37)</f>
        <v/>
      </c>
      <c r="I37" s="210" t="n">
        <f aca="false">ORÇAMENTO!X37</f>
        <v>57942.25</v>
      </c>
      <c r="J37" s="633" t="e">
        <f aca="false" t="array" ref="J37:J37">_xlfn.single(IF($A37="S",IF(CAIXA.Modo,BM.AFAnterior,BM.MEDAnterior),IF(AND(_xlfn.single(RegimeExecucao)="Global",$I37&gt;0,COUNTIF($AB$13:$AM$13,BM.medicao-1)&gt;0),M37/$I37*100,0)))</f>
        <v>#NAME?</v>
      </c>
      <c r="K37" s="207" t="e">
        <f aca="false">L37-J37</f>
        <v>#NAME?</v>
      </c>
      <c r="L37" s="634" t="e">
        <f aca="false" t="array" ref="L37:L37">_xlfn.single(IF($A37="S",IF(CAIXA.Modo,BM.AFAcumulado,BM.MEDAcumulado),IF(AND(_xlfn.single(RegimeExecucao)="Global",$I37&gt;0,COUNTIF($AB$13:$AM$13,BM.medicao)&gt;0),O37/$I37*100,0)))</f>
        <v>#NAME?</v>
      </c>
      <c r="M37" s="635" t="n">
        <f aca="true">IF($A37="S",VTOTALBM,IF($A37=0,0,ROUND(SomaAgrupBM,15-13*ORÇAMENTO!$AF$11)))</f>
        <v>0</v>
      </c>
      <c r="N37" s="219" t="n">
        <f aca="false">O37-M37</f>
        <v>0</v>
      </c>
      <c r="O37" s="210" t="n">
        <f aca="true">IF($A37="S",VTOTALBM,IF($A37=0,0,ROUND(SomaAgrupBM,15-13*ORÇAMENTO!$AF$11)))</f>
        <v>0</v>
      </c>
      <c r="Q37" s="636"/>
      <c r="R37" s="637"/>
      <c r="T37" s="202" t="str">
        <f aca="false">IF($W37&gt;0,$D37,"")</f>
        <v/>
      </c>
      <c r="U37" s="341" t="str">
        <f aca="false">IF($W37&gt;0,$E37,"")</f>
        <v/>
      </c>
      <c r="V37" s="342" t="str">
        <f aca="true">IF(AND($W37&gt;0,RegimeExecucao="Unitário"),$F37,"")</f>
        <v/>
      </c>
      <c r="W37" s="638" t="n">
        <f aca="true">IF($Y37&gt;0,CHOOSE(MATCH(RegimeExecucao,{"Unitário","Global"},0),IF($A37="S",$Y37/$X37,""),($Y37/$X37)*100),0)</f>
        <v>0</v>
      </c>
      <c r="X37" s="639" t="str">
        <f aca="true">IF($Y37&gt;0,CHOOSE(MATCH(RegimeExecucao,{"Unitário","Global"},0),IF($A37="S",ROUND($H37,ORÇAMENTO!$AF$10),""),ROUND($I37,ORÇAMENTO!$AF$11)),"")</f>
        <v/>
      </c>
      <c r="Y37" s="639" t="n">
        <f aca="false">AO37-O37</f>
        <v>0</v>
      </c>
      <c r="Z37" s="640"/>
      <c r="AB37" s="636"/>
      <c r="AC37" s="641"/>
      <c r="AD37" s="641"/>
      <c r="AE37" s="641"/>
      <c r="AF37" s="641"/>
      <c r="AG37" s="641"/>
      <c r="AH37" s="641"/>
      <c r="AI37" s="641"/>
      <c r="AJ37" s="641"/>
      <c r="AK37" s="641"/>
      <c r="AL37" s="641"/>
      <c r="AM37" s="637"/>
      <c r="AO37" s="38" t="n">
        <f aca="true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customFormat="false" ht="23.85" hidden="false" customHeight="false" outlineLevel="0" collapsed="false">
      <c r="A38" s="1" t="str">
        <f aca="false">ORÇAMENTO!C38</f>
        <v>S</v>
      </c>
      <c r="B38" s="1" t="n">
        <f aca="false">ORÇAMENTO!D38</f>
        <v>0</v>
      </c>
      <c r="C38" s="199" t="str">
        <f aca="false">IF(OR($I38&gt;0,$A38=1,$A38=2,$A38=3,$A38=4),"F","")</f>
        <v>F</v>
      </c>
      <c r="D38" s="202" t="str">
        <f aca="false">ORÇAMENTO!O38</f>
        <v>1.5.9.</v>
      </c>
      <c r="E38" s="341" t="str">
        <f aca="false">ORÇAMENTO.Descricao</f>
        <v>REATERRO MANUAL DE VALAS, COM COMPACTADOR DE SOLOS DE PERCUSSÃO. AF_08/2023</v>
      </c>
      <c r="F38" s="342" t="str">
        <f aca="true">IF(RegimeExecucao="Global","",ORÇAMENTO.Unidade)</f>
        <v/>
      </c>
      <c r="G38" s="207" t="str">
        <f aca="true">IF(RegimeExecucao="Global","",ORÇAMENTO!T38)</f>
        <v/>
      </c>
      <c r="H38" s="207" t="str">
        <f aca="true">IF(RegimeExecucao="Global","",ORÇAMENTO!W38)</f>
        <v/>
      </c>
      <c r="I38" s="210" t="n">
        <f aca="false">ORÇAMENTO!X38</f>
        <v>11088.5</v>
      </c>
      <c r="J38" s="633" t="e">
        <f aca="false" t="array" ref="J38:J38">_xlfn.single(IF($A38="S",IF(CAIXA.Modo,BM.AFAnterior,BM.MEDAnterior),IF(AND(_xlfn.single(RegimeExecucao)="Global",$I38&gt;0,COUNTIF($AB$13:$AM$13,BM.medicao-1)&gt;0),M38/$I38*100,0)))</f>
        <v>#NAME?</v>
      </c>
      <c r="K38" s="207" t="e">
        <f aca="false">L38-J38</f>
        <v>#NAME?</v>
      </c>
      <c r="L38" s="634" t="e">
        <f aca="false" t="array" ref="L38:L38">_xlfn.single(IF($A38="S",IF(CAIXA.Modo,BM.AFAcumulado,BM.MEDAcumulado),IF(AND(_xlfn.single(RegimeExecucao)="Global",$I38&gt;0,COUNTIF($AB$13:$AM$13,BM.medicao)&gt;0),O38/$I38*100,0)))</f>
        <v>#NAME?</v>
      </c>
      <c r="M38" s="635" t="n">
        <f aca="true">IF($A38="S",VTOTALBM,IF($A38=0,0,ROUND(SomaAgrupBM,15-13*ORÇAMENTO!$AF$11)))</f>
        <v>0</v>
      </c>
      <c r="N38" s="219" t="n">
        <f aca="false">O38-M38</f>
        <v>0</v>
      </c>
      <c r="O38" s="210" t="n">
        <f aca="true">IF($A38="S",VTOTALBM,IF($A38=0,0,ROUND(SomaAgrupBM,15-13*ORÇAMENTO!$AF$11)))</f>
        <v>0</v>
      </c>
      <c r="Q38" s="636"/>
      <c r="R38" s="637"/>
      <c r="T38" s="202" t="str">
        <f aca="false">IF($W38&gt;0,$D38,"")</f>
        <v/>
      </c>
      <c r="U38" s="341" t="str">
        <f aca="false">IF($W38&gt;0,$E38,"")</f>
        <v/>
      </c>
      <c r="V38" s="342" t="str">
        <f aca="true">IF(AND($W38&gt;0,RegimeExecucao="Unitário"),$F38,"")</f>
        <v/>
      </c>
      <c r="W38" s="638" t="n">
        <f aca="true">IF($Y38&gt;0,CHOOSE(MATCH(RegimeExecucao,{"Unitário","Global"},0),IF($A38="S",$Y38/$X38,""),($Y38/$X38)*100),0)</f>
        <v>0</v>
      </c>
      <c r="X38" s="639" t="str">
        <f aca="true">IF($Y38&gt;0,CHOOSE(MATCH(RegimeExecucao,{"Unitário","Global"},0),IF($A38="S",ROUND($H38,ORÇAMENTO!$AF$10),""),ROUND($I38,ORÇAMENTO!$AF$11)),"")</f>
        <v/>
      </c>
      <c r="Y38" s="639" t="n">
        <f aca="false">AO38-O38</f>
        <v>0</v>
      </c>
      <c r="Z38" s="640"/>
      <c r="AB38" s="636"/>
      <c r="AC38" s="641"/>
      <c r="AD38" s="641"/>
      <c r="AE38" s="641"/>
      <c r="AF38" s="641"/>
      <c r="AG38" s="641"/>
      <c r="AH38" s="641"/>
      <c r="AI38" s="641"/>
      <c r="AJ38" s="641"/>
      <c r="AK38" s="641"/>
      <c r="AL38" s="641"/>
      <c r="AM38" s="637"/>
      <c r="AO38" s="38" t="n">
        <f aca="true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customFormat="false" ht="12.75" hidden="false" customHeight="false" outlineLevel="0" collapsed="false">
      <c r="A39" s="1" t="n">
        <f aca="false">ORÇAMENTO!C39</f>
        <v>2</v>
      </c>
      <c r="B39" s="1" t="n">
        <f aca="false">ORÇAMENTO!D39</f>
        <v>7</v>
      </c>
      <c r="C39" s="199" t="str">
        <f aca="false">IF(OR($I39&gt;0,$A39=1,$A39=2,$A39=3,$A39=4),"F","")</f>
        <v>F</v>
      </c>
      <c r="D39" s="202" t="str">
        <f aca="false">ORÇAMENTO!O39</f>
        <v>1.6.</v>
      </c>
      <c r="E39" s="341" t="str">
        <f aca="false">ORÇAMENTO.Descricao</f>
        <v>BALDRAMES</v>
      </c>
      <c r="F39" s="342" t="str">
        <f aca="true">IF(RegimeExecucao="Global","",ORÇAMENTO.Unidade)</f>
        <v/>
      </c>
      <c r="G39" s="207" t="str">
        <f aca="true">IF(RegimeExecucao="Global","",ORÇAMENTO!T39)</f>
        <v/>
      </c>
      <c r="H39" s="207" t="str">
        <f aca="true">IF(RegimeExecucao="Global","",ORÇAMENTO!W39)</f>
        <v/>
      </c>
      <c r="I39" s="210" t="n">
        <f aca="false">ORÇAMENTO!X39</f>
        <v>191847.5</v>
      </c>
      <c r="J39" s="633" t="e">
        <f aca="false" t="array" ref="J39:J39">_xlfn.single(IF($A39="S",IF(CAIXA.Modo,BM.AFAnterior,BM.MEDAnterior),IF(AND(_xlfn.single(RegimeExecucao)="Global",$I39&gt;0,COUNTIF($AB$13:$AM$13,BM.medicao-1)&gt;0),M39/$I39*100,0)))</f>
        <v>#NAME?</v>
      </c>
      <c r="K39" s="207" t="e">
        <f aca="false">L39-J39</f>
        <v>#NAME?</v>
      </c>
      <c r="L39" s="634" t="e">
        <f aca="false" t="array" ref="L39:L39">_xlfn.single(IF($A39="S",IF(CAIXA.Modo,BM.AFAcumulado,BM.MEDAcumulado),IF(AND(_xlfn.single(RegimeExecucao)="Global",$I39&gt;0,COUNTIF($AB$13:$AM$13,BM.medicao)&gt;0),O39/$I39*100,0)))</f>
        <v>#NAME?</v>
      </c>
      <c r="M39" s="635" t="n">
        <f aca="true">IF($A39="S",VTOTALBM,IF($A39=0,0,ROUND(SomaAgrupBM,15-13*ORÇAMENTO!$AF$11)))</f>
        <v>0</v>
      </c>
      <c r="N39" s="219" t="n">
        <f aca="false">O39-M39</f>
        <v>0</v>
      </c>
      <c r="O39" s="210" t="n">
        <f aca="true">IF($A39="S",VTOTALBM,IF($A39=0,0,ROUND(SomaAgrupBM,15-13*ORÇAMENTO!$AF$11)))</f>
        <v>0</v>
      </c>
      <c r="Q39" s="636"/>
      <c r="R39" s="637"/>
      <c r="T39" s="202" t="str">
        <f aca="false">IF($W39&gt;0,$D39,"")</f>
        <v/>
      </c>
      <c r="U39" s="341" t="str">
        <f aca="false">IF($W39&gt;0,$E39,"")</f>
        <v/>
      </c>
      <c r="V39" s="342" t="str">
        <f aca="true">IF(AND($W39&gt;0,RegimeExecucao="Unitário"),$F39,"")</f>
        <v/>
      </c>
      <c r="W39" s="638" t="n">
        <f aca="true">IF($Y39&gt;0,CHOOSE(MATCH(RegimeExecucao,{"Unitário","Global"},0),IF($A39="S",$Y39/$X39,""),($Y39/$X39)*100),0)</f>
        <v>0</v>
      </c>
      <c r="X39" s="639" t="str">
        <f aca="true">IF($Y39&gt;0,CHOOSE(MATCH(RegimeExecucao,{"Unitário","Global"},0),IF($A39="S",ROUND($H39,ORÇAMENTO!$AF$10),""),ROUND($I39,ORÇAMENTO!$AF$11)),"")</f>
        <v/>
      </c>
      <c r="Y39" s="639" t="n">
        <f aca="false">AO39-O39</f>
        <v>0</v>
      </c>
      <c r="Z39" s="640"/>
      <c r="AB39" s="636"/>
      <c r="AC39" s="641"/>
      <c r="AD39" s="641"/>
      <c r="AE39" s="641"/>
      <c r="AF39" s="641"/>
      <c r="AG39" s="641"/>
      <c r="AH39" s="641"/>
      <c r="AI39" s="641"/>
      <c r="AJ39" s="641"/>
      <c r="AK39" s="641"/>
      <c r="AL39" s="641"/>
      <c r="AM39" s="637"/>
      <c r="AO39" s="38" t="n">
        <f aca="true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customFormat="false" ht="23.85" hidden="false" customHeight="false" outlineLevel="0" collapsed="false">
      <c r="A40" s="1" t="str">
        <f aca="false">ORÇAMENTO!C40</f>
        <v>S</v>
      </c>
      <c r="B40" s="1" t="n">
        <f aca="false">ORÇAMENTO!D40</f>
        <v>0</v>
      </c>
      <c r="C40" s="199" t="str">
        <f aca="false">IF(OR($I40&gt;0,$A40=1,$A40=2,$A40=3,$A40=4),"F","")</f>
        <v>F</v>
      </c>
      <c r="D40" s="202" t="str">
        <f aca="false">ORÇAMENTO!O40</f>
        <v>1.6.1.</v>
      </c>
      <c r="E40" s="341" t="str">
        <f aca="false">ORÇAMENTO.Descricao</f>
        <v>ESCAVAÇÃO MANUAL PARA VIGA BALDRAME OU SAPATA CORRIDA (INCLUINDO ESCAVAÇÃO PARA COLOCAÇÃO DE FÔRMAS)</v>
      </c>
      <c r="F40" s="342" t="str">
        <f aca="true">IF(RegimeExecucao="Global","",ORÇAMENTO.Unidade)</f>
        <v/>
      </c>
      <c r="G40" s="207" t="str">
        <f aca="true">IF(RegimeExecucao="Global","",ORÇAMENTO!T40)</f>
        <v/>
      </c>
      <c r="H40" s="207" t="str">
        <f aca="true">IF(RegimeExecucao="Global","",ORÇAMENTO!W40)</f>
        <v/>
      </c>
      <c r="I40" s="210" t="n">
        <f aca="false">ORÇAMENTO!X40</f>
        <v>6035.75</v>
      </c>
      <c r="J40" s="633" t="e">
        <f aca="false" t="array" ref="J40:J40">_xlfn.single(IF($A40="S",IF(CAIXA.Modo,BM.AFAnterior,BM.MEDAnterior),IF(AND(_xlfn.single(RegimeExecucao)="Global",$I40&gt;0,COUNTIF($AB$13:$AM$13,BM.medicao-1)&gt;0),M40/$I40*100,0)))</f>
        <v>#NAME?</v>
      </c>
      <c r="K40" s="207" t="e">
        <f aca="false">L40-J40</f>
        <v>#NAME?</v>
      </c>
      <c r="L40" s="634" t="e">
        <f aca="false" t="array" ref="L40:L40">_xlfn.single(IF($A40="S",IF(CAIXA.Modo,BM.AFAcumulado,BM.MEDAcumulado),IF(AND(_xlfn.single(RegimeExecucao)="Global",$I40&gt;0,COUNTIF($AB$13:$AM$13,BM.medicao)&gt;0),O40/$I40*100,0)))</f>
        <v>#NAME?</v>
      </c>
      <c r="M40" s="635" t="n">
        <f aca="true">IF($A40="S",VTOTALBM,IF($A40=0,0,ROUND(SomaAgrupBM,15-13*ORÇAMENTO!$AF$11)))</f>
        <v>0</v>
      </c>
      <c r="N40" s="219" t="n">
        <f aca="false">O40-M40</f>
        <v>0</v>
      </c>
      <c r="O40" s="210" t="n">
        <f aca="true">IF($A40="S",VTOTALBM,IF($A40=0,0,ROUND(SomaAgrupBM,15-13*ORÇAMENTO!$AF$11)))</f>
        <v>0</v>
      </c>
      <c r="Q40" s="636"/>
      <c r="R40" s="637"/>
      <c r="T40" s="202" t="str">
        <f aca="false">IF($W40&gt;0,$D40,"")</f>
        <v/>
      </c>
      <c r="U40" s="341" t="str">
        <f aca="false">IF($W40&gt;0,$E40,"")</f>
        <v/>
      </c>
      <c r="V40" s="342" t="str">
        <f aca="true">IF(AND($W40&gt;0,RegimeExecucao="Unitário"),$F40,"")</f>
        <v/>
      </c>
      <c r="W40" s="638" t="n">
        <f aca="true">IF($Y40&gt;0,CHOOSE(MATCH(RegimeExecucao,{"Unitário","Global"},0),IF($A40="S",$Y40/$X40,""),($Y40/$X40)*100),0)</f>
        <v>0</v>
      </c>
      <c r="X40" s="639" t="str">
        <f aca="true">IF($Y40&gt;0,CHOOSE(MATCH(RegimeExecucao,{"Unitário","Global"},0),IF($A40="S",ROUND($H40,ORÇAMENTO!$AF$10),""),ROUND($I40,ORÇAMENTO!$AF$11)),"")</f>
        <v/>
      </c>
      <c r="Y40" s="639" t="n">
        <f aca="false">AO40-O40</f>
        <v>0</v>
      </c>
      <c r="Z40" s="640"/>
      <c r="AB40" s="636"/>
      <c r="AC40" s="641"/>
      <c r="AD40" s="641"/>
      <c r="AE40" s="641"/>
      <c r="AF40" s="641"/>
      <c r="AG40" s="641"/>
      <c r="AH40" s="641"/>
      <c r="AI40" s="641"/>
      <c r="AJ40" s="641"/>
      <c r="AK40" s="641"/>
      <c r="AL40" s="641"/>
      <c r="AM40" s="637"/>
      <c r="AO40" s="38" t="n">
        <f aca="true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customFormat="false" ht="23.85" hidden="false" customHeight="false" outlineLevel="0" collapsed="false">
      <c r="A41" s="1" t="str">
        <f aca="false">ORÇAMENTO!C41</f>
        <v>S</v>
      </c>
      <c r="B41" s="1" t="n">
        <f aca="false">ORÇAMENTO!D41</f>
        <v>0</v>
      </c>
      <c r="C41" s="199" t="str">
        <f aca="false">IF(OR($I41&gt;0,$A41=1,$A41=2,$A41=3,$A41=4),"F","")</f>
        <v>F</v>
      </c>
      <c r="D41" s="202" t="str">
        <f aca="false">ORÇAMENTO!O41</f>
        <v>1.6.2.</v>
      </c>
      <c r="E41" s="341" t="str">
        <f aca="false">ORÇAMENTO.Descricao</f>
        <v>LASTRO DE CONCRETO MAGRO, APLICADO EM BLOCOS DE COROAMENTO OU SAPATAS, ESPESSURA DE 5 CM.AF_01/2024</v>
      </c>
      <c r="F41" s="342" t="str">
        <f aca="true">IF(RegimeExecucao="Global","",ORÇAMENTO.Unidade)</f>
        <v/>
      </c>
      <c r="G41" s="207" t="str">
        <f aca="true">IF(RegimeExecucao="Global","",ORÇAMENTO!T41)</f>
        <v/>
      </c>
      <c r="H41" s="207" t="str">
        <f aca="true">IF(RegimeExecucao="Global","",ORÇAMENTO!W41)</f>
        <v/>
      </c>
      <c r="I41" s="210" t="n">
        <f aca="false">ORÇAMENTO!X41</f>
        <v>11654.75</v>
      </c>
      <c r="J41" s="633" t="e">
        <f aca="false" t="array" ref="J41:J41">_xlfn.single(IF($A41="S",IF(CAIXA.Modo,BM.AFAnterior,BM.MEDAnterior),IF(AND(_xlfn.single(RegimeExecucao)="Global",$I41&gt;0,COUNTIF($AB$13:$AM$13,BM.medicao-1)&gt;0),M41/$I41*100,0)))</f>
        <v>#NAME?</v>
      </c>
      <c r="K41" s="207" t="e">
        <f aca="false">L41-J41</f>
        <v>#NAME?</v>
      </c>
      <c r="L41" s="634" t="e">
        <f aca="false" t="array" ref="L41:L41">_xlfn.single(IF($A41="S",IF(CAIXA.Modo,BM.AFAcumulado,BM.MEDAcumulado),IF(AND(_xlfn.single(RegimeExecucao)="Global",$I41&gt;0,COUNTIF($AB$13:$AM$13,BM.medicao)&gt;0),O41/$I41*100,0)))</f>
        <v>#NAME?</v>
      </c>
      <c r="M41" s="635" t="n">
        <f aca="true">IF($A41="S",VTOTALBM,IF($A41=0,0,ROUND(SomaAgrupBM,15-13*ORÇAMENTO!$AF$11)))</f>
        <v>0</v>
      </c>
      <c r="N41" s="219" t="n">
        <f aca="false">O41-M41</f>
        <v>0</v>
      </c>
      <c r="O41" s="210" t="n">
        <f aca="true">IF($A41="S",VTOTALBM,IF($A41=0,0,ROUND(SomaAgrupBM,15-13*ORÇAMENTO!$AF$11)))</f>
        <v>0</v>
      </c>
      <c r="Q41" s="636"/>
      <c r="R41" s="637"/>
      <c r="T41" s="202" t="str">
        <f aca="false">IF($W41&gt;0,$D41,"")</f>
        <v/>
      </c>
      <c r="U41" s="341" t="str">
        <f aca="false">IF($W41&gt;0,$E41,"")</f>
        <v/>
      </c>
      <c r="V41" s="342" t="str">
        <f aca="true">IF(AND($W41&gt;0,RegimeExecucao="Unitário"),$F41,"")</f>
        <v/>
      </c>
      <c r="W41" s="638" t="n">
        <f aca="true">IF($Y41&gt;0,CHOOSE(MATCH(RegimeExecucao,{"Unitário","Global"},0),IF($A41="S",$Y41/$X41,""),($Y41/$X41)*100),0)</f>
        <v>0</v>
      </c>
      <c r="X41" s="639" t="str">
        <f aca="true">IF($Y41&gt;0,CHOOSE(MATCH(RegimeExecucao,{"Unitário","Global"},0),IF($A41="S",ROUND($H41,ORÇAMENTO!$AF$10),""),ROUND($I41,ORÇAMENTO!$AF$11)),"")</f>
        <v/>
      </c>
      <c r="Y41" s="639" t="n">
        <f aca="false">AO41-O41</f>
        <v>0</v>
      </c>
      <c r="Z41" s="640"/>
      <c r="AB41" s="636"/>
      <c r="AC41" s="641"/>
      <c r="AD41" s="641"/>
      <c r="AE41" s="641"/>
      <c r="AF41" s="641"/>
      <c r="AG41" s="641"/>
      <c r="AH41" s="641"/>
      <c r="AI41" s="641"/>
      <c r="AJ41" s="641"/>
      <c r="AK41" s="641"/>
      <c r="AL41" s="641"/>
      <c r="AM41" s="637"/>
      <c r="AO41" s="38" t="n">
        <f aca="true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customFormat="false" ht="23.85" hidden="false" customHeight="false" outlineLevel="0" collapsed="false">
      <c r="A42" s="1" t="str">
        <f aca="false">ORÇAMENTO!C42</f>
        <v>S</v>
      </c>
      <c r="B42" s="1" t="n">
        <f aca="false">ORÇAMENTO!D42</f>
        <v>0</v>
      </c>
      <c r="C42" s="199" t="str">
        <f aca="false">IF(OR($I42&gt;0,$A42=1,$A42=2,$A42=3,$A42=4),"F","")</f>
        <v>F</v>
      </c>
      <c r="D42" s="202" t="str">
        <f aca="false">ORÇAMENTO!O42</f>
        <v>1.6.3.</v>
      </c>
      <c r="E42" s="341" t="str">
        <f aca="false">ORÇAMENTO.Descricao</f>
        <v>ARMAÇÃO DE SAPATA ISOLADA, VIGA BALDRAME E SAPATA CORRIDA UTILIZANDO AÇO CA-60 DE 5 MM -MONTAGEM. AF_01/2024</v>
      </c>
      <c r="F42" s="342" t="str">
        <f aca="true">IF(RegimeExecucao="Global","",ORÇAMENTO.Unidade)</f>
        <v/>
      </c>
      <c r="G42" s="207" t="str">
        <f aca="true">IF(RegimeExecucao="Global","",ORÇAMENTO!T42)</f>
        <v/>
      </c>
      <c r="H42" s="207" t="str">
        <f aca="true">IF(RegimeExecucao="Global","",ORÇAMENTO!W42)</f>
        <v/>
      </c>
      <c r="I42" s="210" t="n">
        <f aca="false">ORÇAMENTO!X42</f>
        <v>25220.5</v>
      </c>
      <c r="J42" s="633" t="e">
        <f aca="false" t="array" ref="J42:J42">_xlfn.single(IF($A42="S",IF(CAIXA.Modo,BM.AFAnterior,BM.MEDAnterior),IF(AND(_xlfn.single(RegimeExecucao)="Global",$I42&gt;0,COUNTIF($AB$13:$AM$13,BM.medicao-1)&gt;0),M42/$I42*100,0)))</f>
        <v>#NAME?</v>
      </c>
      <c r="K42" s="207" t="e">
        <f aca="false">L42-J42</f>
        <v>#NAME?</v>
      </c>
      <c r="L42" s="634" t="e">
        <f aca="false" t="array" ref="L42:L42">_xlfn.single(IF($A42="S",IF(CAIXA.Modo,BM.AFAcumulado,BM.MEDAcumulado),IF(AND(_xlfn.single(RegimeExecucao)="Global",$I42&gt;0,COUNTIF($AB$13:$AM$13,BM.medicao)&gt;0),O42/$I42*100,0)))</f>
        <v>#NAME?</v>
      </c>
      <c r="M42" s="635" t="n">
        <f aca="true">IF($A42="S",VTOTALBM,IF($A42=0,0,ROUND(SomaAgrupBM,15-13*ORÇAMENTO!$AF$11)))</f>
        <v>0</v>
      </c>
      <c r="N42" s="219" t="n">
        <f aca="false">O42-M42</f>
        <v>0</v>
      </c>
      <c r="O42" s="210" t="n">
        <f aca="true">IF($A42="S",VTOTALBM,IF($A42=0,0,ROUND(SomaAgrupBM,15-13*ORÇAMENTO!$AF$11)))</f>
        <v>0</v>
      </c>
      <c r="Q42" s="636"/>
      <c r="R42" s="637"/>
      <c r="T42" s="202" t="str">
        <f aca="false">IF($W42&gt;0,$D42,"")</f>
        <v/>
      </c>
      <c r="U42" s="341" t="str">
        <f aca="false">IF($W42&gt;0,$E42,"")</f>
        <v/>
      </c>
      <c r="V42" s="342" t="str">
        <f aca="true">IF(AND($W42&gt;0,RegimeExecucao="Unitário"),$F42,"")</f>
        <v/>
      </c>
      <c r="W42" s="638" t="n">
        <f aca="true">IF($Y42&gt;0,CHOOSE(MATCH(RegimeExecucao,{"Unitário","Global"},0),IF($A42="S",$Y42/$X42,""),($Y42/$X42)*100),0)</f>
        <v>0</v>
      </c>
      <c r="X42" s="639" t="str">
        <f aca="true">IF($Y42&gt;0,CHOOSE(MATCH(RegimeExecucao,{"Unitário","Global"},0),IF($A42="S",ROUND($H42,ORÇAMENTO!$AF$10),""),ROUND($I42,ORÇAMENTO!$AF$11)),"")</f>
        <v/>
      </c>
      <c r="Y42" s="639" t="n">
        <f aca="false">AO42-O42</f>
        <v>0</v>
      </c>
      <c r="Z42" s="640"/>
      <c r="AB42" s="636"/>
      <c r="AC42" s="641"/>
      <c r="AD42" s="641"/>
      <c r="AE42" s="641"/>
      <c r="AF42" s="641"/>
      <c r="AG42" s="641"/>
      <c r="AH42" s="641"/>
      <c r="AI42" s="641"/>
      <c r="AJ42" s="641"/>
      <c r="AK42" s="641"/>
      <c r="AL42" s="641"/>
      <c r="AM42" s="637"/>
      <c r="AO42" s="38" t="n">
        <f aca="true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customFormat="false" ht="23.85" hidden="false" customHeight="false" outlineLevel="0" collapsed="false">
      <c r="A43" s="1" t="str">
        <f aca="false">ORÇAMENTO!C43</f>
        <v>S</v>
      </c>
      <c r="B43" s="1" t="n">
        <f aca="false">ORÇAMENTO!D43</f>
        <v>0</v>
      </c>
      <c r="C43" s="199" t="str">
        <f aca="false">IF(OR($I43&gt;0,$A43=1,$A43=2,$A43=3,$A43=4),"F","")</f>
        <v>F</v>
      </c>
      <c r="D43" s="202" t="str">
        <f aca="false">ORÇAMENTO!O43</f>
        <v>1.6.4.</v>
      </c>
      <c r="E43" s="341" t="str">
        <f aca="false">ORÇAMENTO.Descricao</f>
        <v>ARMAÇÃO DE SAPATA ISOLADA, VIGA BALDRAME E SAPATA CORRIDA UTILIZANDO AÇO CA-50 DE 10 MM -MONTAGEM. AF_01/2024</v>
      </c>
      <c r="F43" s="342" t="str">
        <f aca="true">IF(RegimeExecucao="Global","",ORÇAMENTO.Unidade)</f>
        <v/>
      </c>
      <c r="G43" s="207" t="str">
        <f aca="true">IF(RegimeExecucao="Global","",ORÇAMENTO!T43)</f>
        <v/>
      </c>
      <c r="H43" s="207" t="str">
        <f aca="true">IF(RegimeExecucao="Global","",ORÇAMENTO!W43)</f>
        <v/>
      </c>
      <c r="I43" s="210" t="n">
        <f aca="false">ORÇAMENTO!X43</f>
        <v>58671.5</v>
      </c>
      <c r="J43" s="633" t="e">
        <f aca="false" t="array" ref="J43:J43">_xlfn.single(IF($A43="S",IF(CAIXA.Modo,BM.AFAnterior,BM.MEDAnterior),IF(AND(_xlfn.single(RegimeExecucao)="Global",$I43&gt;0,COUNTIF($AB$13:$AM$13,BM.medicao-1)&gt;0),M43/$I43*100,0)))</f>
        <v>#NAME?</v>
      </c>
      <c r="K43" s="207" t="e">
        <f aca="false">L43-J43</f>
        <v>#NAME?</v>
      </c>
      <c r="L43" s="634" t="e">
        <f aca="false" t="array" ref="L43:L43">_xlfn.single(IF($A43="S",IF(CAIXA.Modo,BM.AFAcumulado,BM.MEDAcumulado),IF(AND(_xlfn.single(RegimeExecucao)="Global",$I43&gt;0,COUNTIF($AB$13:$AM$13,BM.medicao)&gt;0),O43/$I43*100,0)))</f>
        <v>#NAME?</v>
      </c>
      <c r="M43" s="635" t="n">
        <f aca="true">IF($A43="S",VTOTALBM,IF($A43=0,0,ROUND(SomaAgrupBM,15-13*ORÇAMENTO!$AF$11)))</f>
        <v>0</v>
      </c>
      <c r="N43" s="219" t="n">
        <f aca="false">O43-M43</f>
        <v>0</v>
      </c>
      <c r="O43" s="210" t="n">
        <f aca="true">IF($A43="S",VTOTALBM,IF($A43=0,0,ROUND(SomaAgrupBM,15-13*ORÇAMENTO!$AF$11)))</f>
        <v>0</v>
      </c>
      <c r="Q43" s="636"/>
      <c r="R43" s="637"/>
      <c r="T43" s="202" t="str">
        <f aca="false">IF($W43&gt;0,$D43,"")</f>
        <v/>
      </c>
      <c r="U43" s="341" t="str">
        <f aca="false">IF($W43&gt;0,$E43,"")</f>
        <v/>
      </c>
      <c r="V43" s="342" t="str">
        <f aca="true">IF(AND($W43&gt;0,RegimeExecucao="Unitário"),$F43,"")</f>
        <v/>
      </c>
      <c r="W43" s="638" t="n">
        <f aca="true">IF($Y43&gt;0,CHOOSE(MATCH(RegimeExecucao,{"Unitário","Global"},0),IF($A43="S",$Y43/$X43,""),($Y43/$X43)*100),0)</f>
        <v>0</v>
      </c>
      <c r="X43" s="639" t="str">
        <f aca="true">IF($Y43&gt;0,CHOOSE(MATCH(RegimeExecucao,{"Unitário","Global"},0),IF($A43="S",ROUND($H43,ORÇAMENTO!$AF$10),""),ROUND($I43,ORÇAMENTO!$AF$11)),"")</f>
        <v/>
      </c>
      <c r="Y43" s="639" t="n">
        <f aca="false">AO43-O43</f>
        <v>0</v>
      </c>
      <c r="Z43" s="640"/>
      <c r="AB43" s="636"/>
      <c r="AC43" s="641"/>
      <c r="AD43" s="641"/>
      <c r="AE43" s="641"/>
      <c r="AF43" s="641"/>
      <c r="AG43" s="641"/>
      <c r="AH43" s="641"/>
      <c r="AI43" s="641"/>
      <c r="AJ43" s="641"/>
      <c r="AK43" s="641"/>
      <c r="AL43" s="641"/>
      <c r="AM43" s="637"/>
      <c r="AO43" s="38" t="n">
        <f aca="true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customFormat="false" ht="35.05" hidden="false" customHeight="false" outlineLevel="0" collapsed="false">
      <c r="A44" s="1" t="str">
        <f aca="false">ORÇAMENTO!C44</f>
        <v>S</v>
      </c>
      <c r="B44" s="1" t="n">
        <f aca="false">ORÇAMENTO!D44</f>
        <v>0</v>
      </c>
      <c r="C44" s="199" t="str">
        <f aca="false">IF(OR($I44&gt;0,$A44=1,$A44=2,$A44=3,$A44=4),"F","")</f>
        <v>F</v>
      </c>
      <c r="D44" s="202" t="str">
        <f aca="false">ORÇAMENTO!O44</f>
        <v>1.6.5.</v>
      </c>
      <c r="E44" s="341" t="str">
        <f aca="false">ORÇAMENTO.Descricao</f>
        <v>CONCRETO FCK = 25MPA, TRAÇO 1:2,3:2,7 (EM MASSA SECA DE CIMENTO/ AREIAMÉDIA/ BRITA 1) - PREPARO MECÂNICO COM BETONEIRA 400 L</v>
      </c>
      <c r="F44" s="342" t="str">
        <f aca="true">IF(RegimeExecucao="Global","",ORÇAMENTO.Unidade)</f>
        <v/>
      </c>
      <c r="G44" s="207" t="str">
        <f aca="true">IF(RegimeExecucao="Global","",ORÇAMENTO!T44)</f>
        <v/>
      </c>
      <c r="H44" s="207" t="str">
        <f aca="true">IF(RegimeExecucao="Global","",ORÇAMENTO!W44)</f>
        <v/>
      </c>
      <c r="I44" s="210" t="n">
        <f aca="false">ORÇAMENTO!X44</f>
        <v>32894.75</v>
      </c>
      <c r="J44" s="633" t="e">
        <f aca="false" t="array" ref="J44:J44">_xlfn.single(IF($A44="S",IF(CAIXA.Modo,BM.AFAnterior,BM.MEDAnterior),IF(AND(_xlfn.single(RegimeExecucao)="Global",$I44&gt;0,COUNTIF($AB$13:$AM$13,BM.medicao-1)&gt;0),M44/$I44*100,0)))</f>
        <v>#NAME?</v>
      </c>
      <c r="K44" s="207" t="e">
        <f aca="false">L44-J44</f>
        <v>#NAME?</v>
      </c>
      <c r="L44" s="634" t="e">
        <f aca="false" t="array" ref="L44:L44">_xlfn.single(IF($A44="S",IF(CAIXA.Modo,BM.AFAcumulado,BM.MEDAcumulado),IF(AND(_xlfn.single(RegimeExecucao)="Global",$I44&gt;0,COUNTIF($AB$13:$AM$13,BM.medicao)&gt;0),O44/$I44*100,0)))</f>
        <v>#NAME?</v>
      </c>
      <c r="M44" s="635" t="n">
        <f aca="true">IF($A44="S",VTOTALBM,IF($A44=0,0,ROUND(SomaAgrupBM,15-13*ORÇAMENTO!$AF$11)))</f>
        <v>0</v>
      </c>
      <c r="N44" s="219" t="n">
        <f aca="false">O44-M44</f>
        <v>0</v>
      </c>
      <c r="O44" s="210" t="n">
        <f aca="true">IF($A44="S",VTOTALBM,IF($A44=0,0,ROUND(SomaAgrupBM,15-13*ORÇAMENTO!$AF$11)))</f>
        <v>0</v>
      </c>
      <c r="Q44" s="636"/>
      <c r="R44" s="637"/>
      <c r="T44" s="202" t="str">
        <f aca="false">IF($W44&gt;0,$D44,"")</f>
        <v/>
      </c>
      <c r="U44" s="341" t="str">
        <f aca="false">IF($W44&gt;0,$E44,"")</f>
        <v/>
      </c>
      <c r="V44" s="342" t="str">
        <f aca="true">IF(AND($W44&gt;0,RegimeExecucao="Unitário"),$F44,"")</f>
        <v/>
      </c>
      <c r="W44" s="638" t="n">
        <f aca="true">IF($Y44&gt;0,CHOOSE(MATCH(RegimeExecucao,{"Unitário","Global"},0),IF($A44="S",$Y44/$X44,""),($Y44/$X44)*100),0)</f>
        <v>0</v>
      </c>
      <c r="X44" s="639" t="str">
        <f aca="true">IF($Y44&gt;0,CHOOSE(MATCH(RegimeExecucao,{"Unitário","Global"},0),IF($A44="S",ROUND($H44,ORÇAMENTO!$AF$10),""),ROUND($I44,ORÇAMENTO!$AF$11)),"")</f>
        <v/>
      </c>
      <c r="Y44" s="639" t="n">
        <f aca="false">AO44-O44</f>
        <v>0</v>
      </c>
      <c r="Z44" s="640"/>
      <c r="AB44" s="636"/>
      <c r="AC44" s="641"/>
      <c r="AD44" s="641"/>
      <c r="AE44" s="641"/>
      <c r="AF44" s="641"/>
      <c r="AG44" s="641"/>
      <c r="AH44" s="641"/>
      <c r="AI44" s="641"/>
      <c r="AJ44" s="641"/>
      <c r="AK44" s="641"/>
      <c r="AL44" s="641"/>
      <c r="AM44" s="637"/>
      <c r="AO44" s="38" t="n">
        <f aca="true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customFormat="false" ht="23.85" hidden="false" customHeight="false" outlineLevel="0" collapsed="false">
      <c r="A45" s="1" t="str">
        <f aca="false">ORÇAMENTO!C45</f>
        <v>S</v>
      </c>
      <c r="B45" s="1" t="n">
        <f aca="false">ORÇAMENTO!D45</f>
        <v>0</v>
      </c>
      <c r="C45" s="199" t="str">
        <f aca="false">IF(OR($I45&gt;0,$A45=1,$A45=2,$A45=3,$A45=4),"F","")</f>
        <v>F</v>
      </c>
      <c r="D45" s="202" t="str">
        <f aca="false">ORÇAMENTO!O45</f>
        <v>1.6.6.</v>
      </c>
      <c r="E45" s="341" t="str">
        <f aca="false">ORÇAMENTO.Descricao</f>
        <v>FÔRMA E DESFORMA DE TÁBUA E SARRAFO,
REAPROVEITAMENTO (5X), EXCLUSIVE ESCORAMENTO</v>
      </c>
      <c r="F45" s="342" t="str">
        <f aca="true">IF(RegimeExecucao="Global","",ORÇAMENTO.Unidade)</f>
        <v/>
      </c>
      <c r="G45" s="207" t="str">
        <f aca="true">IF(RegimeExecucao="Global","",ORÇAMENTO!T45)</f>
        <v/>
      </c>
      <c r="H45" s="207" t="str">
        <f aca="true">IF(RegimeExecucao="Global","",ORÇAMENTO!W45)</f>
        <v/>
      </c>
      <c r="I45" s="210" t="n">
        <f aca="false">ORÇAMENTO!X45</f>
        <v>57370.25</v>
      </c>
      <c r="J45" s="633" t="e">
        <f aca="false" t="array" ref="J45:J45">_xlfn.single(IF($A45="S",IF(CAIXA.Modo,BM.AFAnterior,BM.MEDAnterior),IF(AND(_xlfn.single(RegimeExecucao)="Global",$I45&gt;0,COUNTIF($AB$13:$AM$13,BM.medicao-1)&gt;0),M45/$I45*100,0)))</f>
        <v>#NAME?</v>
      </c>
      <c r="K45" s="207" t="e">
        <f aca="false">L45-J45</f>
        <v>#NAME?</v>
      </c>
      <c r="L45" s="634" t="e">
        <f aca="false" t="array" ref="L45:L45">_xlfn.single(IF($A45="S",IF(CAIXA.Modo,BM.AFAcumulado,BM.MEDAcumulado),IF(AND(_xlfn.single(RegimeExecucao)="Global",$I45&gt;0,COUNTIF($AB$13:$AM$13,BM.medicao)&gt;0),O45/$I45*100,0)))</f>
        <v>#NAME?</v>
      </c>
      <c r="M45" s="635" t="n">
        <f aca="true">IF($A45="S",VTOTALBM,IF($A45=0,0,ROUND(SomaAgrupBM,15-13*ORÇAMENTO!$AF$11)))</f>
        <v>0</v>
      </c>
      <c r="N45" s="219" t="n">
        <f aca="false">O45-M45</f>
        <v>0</v>
      </c>
      <c r="O45" s="210" t="n">
        <f aca="true">IF($A45="S",VTOTALBM,IF($A45=0,0,ROUND(SomaAgrupBM,15-13*ORÇAMENTO!$AF$11)))</f>
        <v>0</v>
      </c>
      <c r="Q45" s="636"/>
      <c r="R45" s="637"/>
      <c r="T45" s="202" t="str">
        <f aca="false">IF($W45&gt;0,$D45,"")</f>
        <v/>
      </c>
      <c r="U45" s="341" t="str">
        <f aca="false">IF($W45&gt;0,$E45,"")</f>
        <v/>
      </c>
      <c r="V45" s="342" t="str">
        <f aca="true">IF(AND($W45&gt;0,RegimeExecucao="Unitário"),$F45,"")</f>
        <v/>
      </c>
      <c r="W45" s="638" t="n">
        <f aca="true">IF($Y45&gt;0,CHOOSE(MATCH(RegimeExecucao,{"Unitário","Global"},0),IF($A45="S",$Y45/$X45,""),($Y45/$X45)*100),0)</f>
        <v>0</v>
      </c>
      <c r="X45" s="639" t="str">
        <f aca="true">IF($Y45&gt;0,CHOOSE(MATCH(RegimeExecucao,{"Unitário","Global"},0),IF($A45="S",ROUND($H45,ORÇAMENTO!$AF$10),""),ROUND($I45,ORÇAMENTO!$AF$11)),"")</f>
        <v/>
      </c>
      <c r="Y45" s="639" t="n">
        <f aca="false">AO45-O45</f>
        <v>0</v>
      </c>
      <c r="Z45" s="640"/>
      <c r="AB45" s="636"/>
      <c r="AC45" s="641"/>
      <c r="AD45" s="641"/>
      <c r="AE45" s="641"/>
      <c r="AF45" s="641"/>
      <c r="AG45" s="641"/>
      <c r="AH45" s="641"/>
      <c r="AI45" s="641"/>
      <c r="AJ45" s="641"/>
      <c r="AK45" s="641"/>
      <c r="AL45" s="641"/>
      <c r="AM45" s="637"/>
      <c r="AO45" s="38" t="n">
        <f aca="true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customFormat="false" ht="12.75" hidden="false" customHeight="false" outlineLevel="0" collapsed="false">
      <c r="A46" s="1" t="n">
        <f aca="false">ORÇAMENTO!C46</f>
        <v>2</v>
      </c>
      <c r="B46" s="1" t="n">
        <f aca="false">ORÇAMENTO!D46</f>
        <v>2</v>
      </c>
      <c r="C46" s="199" t="str">
        <f aca="false">IF(OR($I46&gt;0,$A46=1,$A46=2,$A46=3,$A46=4),"F","")</f>
        <v>F</v>
      </c>
      <c r="D46" s="202" t="str">
        <f aca="false">ORÇAMENTO!O46</f>
        <v>1.7.</v>
      </c>
      <c r="E46" s="341" t="str">
        <f aca="false">ORÇAMENTO.Descricao</f>
        <v>IMPERMEABILIZAÇÃO</v>
      </c>
      <c r="F46" s="342" t="str">
        <f aca="true">IF(RegimeExecucao="Global","",ORÇAMENTO.Unidade)</f>
        <v/>
      </c>
      <c r="G46" s="207" t="str">
        <f aca="true">IF(RegimeExecucao="Global","",ORÇAMENTO!T46)</f>
        <v/>
      </c>
      <c r="H46" s="207" t="str">
        <f aca="true">IF(RegimeExecucao="Global","",ORÇAMENTO!W46)</f>
        <v/>
      </c>
      <c r="I46" s="210" t="n">
        <f aca="false">ORÇAMENTO!X46</f>
        <v>43443.5</v>
      </c>
      <c r="J46" s="633" t="e">
        <f aca="false" t="array" ref="J46:J46">_xlfn.single(IF($A46="S",IF(CAIXA.Modo,BM.AFAnterior,BM.MEDAnterior),IF(AND(_xlfn.single(RegimeExecucao)="Global",$I46&gt;0,COUNTIF($AB$13:$AM$13,BM.medicao-1)&gt;0),M46/$I46*100,0)))</f>
        <v>#NAME?</v>
      </c>
      <c r="K46" s="207" t="e">
        <f aca="false">L46-J46</f>
        <v>#NAME?</v>
      </c>
      <c r="L46" s="634" t="e">
        <f aca="false" t="array" ref="L46:L46">_xlfn.single(IF($A46="S",IF(CAIXA.Modo,BM.AFAcumulado,BM.MEDAcumulado),IF(AND(_xlfn.single(RegimeExecucao)="Global",$I46&gt;0,COUNTIF($AB$13:$AM$13,BM.medicao)&gt;0),O46/$I46*100,0)))</f>
        <v>#NAME?</v>
      </c>
      <c r="M46" s="635" t="n">
        <f aca="true">IF($A46="S",VTOTALBM,IF($A46=0,0,ROUND(SomaAgrupBM,15-13*ORÇAMENTO!$AF$11)))</f>
        <v>0</v>
      </c>
      <c r="N46" s="219" t="n">
        <f aca="false">O46-M46</f>
        <v>0</v>
      </c>
      <c r="O46" s="210" t="n">
        <f aca="true">IF($A46="S",VTOTALBM,IF($A46=0,0,ROUND(SomaAgrupBM,15-13*ORÇAMENTO!$AF$11)))</f>
        <v>0</v>
      </c>
      <c r="Q46" s="636"/>
      <c r="R46" s="637"/>
      <c r="T46" s="202" t="str">
        <f aca="false">IF($W46&gt;0,$D46,"")</f>
        <v/>
      </c>
      <c r="U46" s="341" t="str">
        <f aca="false">IF($W46&gt;0,$E46,"")</f>
        <v/>
      </c>
      <c r="V46" s="342" t="str">
        <f aca="true">IF(AND($W46&gt;0,RegimeExecucao="Unitário"),$F46,"")</f>
        <v/>
      </c>
      <c r="W46" s="638" t="n">
        <f aca="true">IF($Y46&gt;0,CHOOSE(MATCH(RegimeExecucao,{"Unitário","Global"},0),IF($A46="S",$Y46/$X46,""),($Y46/$X46)*100),0)</f>
        <v>0</v>
      </c>
      <c r="X46" s="639" t="str">
        <f aca="true">IF($Y46&gt;0,CHOOSE(MATCH(RegimeExecucao,{"Unitário","Global"},0),IF($A46="S",ROUND($H46,ORÇAMENTO!$AF$10),""),ROUND($I46,ORÇAMENTO!$AF$11)),"")</f>
        <v/>
      </c>
      <c r="Y46" s="639" t="n">
        <f aca="false">AO46-O46</f>
        <v>0</v>
      </c>
      <c r="Z46" s="640"/>
      <c r="AB46" s="636"/>
      <c r="AC46" s="641"/>
      <c r="AD46" s="641"/>
      <c r="AE46" s="641"/>
      <c r="AF46" s="641"/>
      <c r="AG46" s="641"/>
      <c r="AH46" s="641"/>
      <c r="AI46" s="641"/>
      <c r="AJ46" s="641"/>
      <c r="AK46" s="641"/>
      <c r="AL46" s="641"/>
      <c r="AM46" s="637"/>
      <c r="AO46" s="38" t="n">
        <f aca="true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customFormat="false" ht="23.85" hidden="false" customHeight="false" outlineLevel="0" collapsed="false">
      <c r="A47" s="1" t="str">
        <f aca="false">ORÇAMENTO!C47</f>
        <v>S</v>
      </c>
      <c r="B47" s="1" t="n">
        <f aca="false">ORÇAMENTO!D47</f>
        <v>0</v>
      </c>
      <c r="C47" s="199" t="str">
        <f aca="false">IF(OR($I47&gt;0,$A47=1,$A47=2,$A47=3,$A47=4),"F","")</f>
        <v>F</v>
      </c>
      <c r="D47" s="202" t="str">
        <f aca="false">ORÇAMENTO!O47</f>
        <v>1.7.1.</v>
      </c>
      <c r="E47" s="341" t="str">
        <f aca="false">ORÇAMENTO.Descricao</f>
        <v>IMPERMEABILIZAÇÃO DE SUPERFÍCIE COM EMULSÃO ASFÁLTICA, 2 DEMÃOS. AF_09/2023</v>
      </c>
      <c r="F47" s="342" t="str">
        <f aca="true">IF(RegimeExecucao="Global","",ORÇAMENTO.Unidade)</f>
        <v/>
      </c>
      <c r="G47" s="207" t="str">
        <f aca="true">IF(RegimeExecucao="Global","",ORÇAMENTO!T47)</f>
        <v/>
      </c>
      <c r="H47" s="207" t="str">
        <f aca="true">IF(RegimeExecucao="Global","",ORÇAMENTO!W47)</f>
        <v/>
      </c>
      <c r="I47" s="210" t="n">
        <f aca="false">ORÇAMENTO!X47</f>
        <v>43443.5</v>
      </c>
      <c r="J47" s="633" t="e">
        <f aca="false" t="array" ref="J47:J47">_xlfn.single(IF($A47="S",IF(CAIXA.Modo,BM.AFAnterior,BM.MEDAnterior),IF(AND(_xlfn.single(RegimeExecucao)="Global",$I47&gt;0,COUNTIF($AB$13:$AM$13,BM.medicao-1)&gt;0),M47/$I47*100,0)))</f>
        <v>#NAME?</v>
      </c>
      <c r="K47" s="207" t="e">
        <f aca="false">L47-J47</f>
        <v>#NAME?</v>
      </c>
      <c r="L47" s="634" t="e">
        <f aca="false" t="array" ref="L47:L47">_xlfn.single(IF($A47="S",IF(CAIXA.Modo,BM.AFAcumulado,BM.MEDAcumulado),IF(AND(_xlfn.single(RegimeExecucao)="Global",$I47&gt;0,COUNTIF($AB$13:$AM$13,BM.medicao)&gt;0),O47/$I47*100,0)))</f>
        <v>#NAME?</v>
      </c>
      <c r="M47" s="635" t="n">
        <f aca="true">IF($A47="S",VTOTALBM,IF($A47=0,0,ROUND(SomaAgrupBM,15-13*ORÇAMENTO!$AF$11)))</f>
        <v>0</v>
      </c>
      <c r="N47" s="219" t="n">
        <f aca="false">O47-M47</f>
        <v>0</v>
      </c>
      <c r="O47" s="210" t="n">
        <f aca="true">IF($A47="S",VTOTALBM,IF($A47=0,0,ROUND(SomaAgrupBM,15-13*ORÇAMENTO!$AF$11)))</f>
        <v>0</v>
      </c>
      <c r="Q47" s="636"/>
      <c r="R47" s="637"/>
      <c r="T47" s="202" t="str">
        <f aca="false">IF($W47&gt;0,$D47,"")</f>
        <v/>
      </c>
      <c r="U47" s="341" t="str">
        <f aca="false">IF($W47&gt;0,$E47,"")</f>
        <v/>
      </c>
      <c r="V47" s="342" t="str">
        <f aca="true">IF(AND($W47&gt;0,RegimeExecucao="Unitário"),$F47,"")</f>
        <v/>
      </c>
      <c r="W47" s="638" t="n">
        <f aca="true">IF($Y47&gt;0,CHOOSE(MATCH(RegimeExecucao,{"Unitário","Global"},0),IF($A47="S",$Y47/$X47,""),($Y47/$X47)*100),0)</f>
        <v>0</v>
      </c>
      <c r="X47" s="639" t="str">
        <f aca="true">IF($Y47&gt;0,CHOOSE(MATCH(RegimeExecucao,{"Unitário","Global"},0),IF($A47="S",ROUND($H47,ORÇAMENTO!$AF$10),""),ROUND($I47,ORÇAMENTO!$AF$11)),"")</f>
        <v/>
      </c>
      <c r="Y47" s="639" t="n">
        <f aca="false">AO47-O47</f>
        <v>0</v>
      </c>
      <c r="Z47" s="640"/>
      <c r="AB47" s="636"/>
      <c r="AC47" s="641"/>
      <c r="AD47" s="641"/>
      <c r="AE47" s="641"/>
      <c r="AF47" s="641"/>
      <c r="AG47" s="641"/>
      <c r="AH47" s="641"/>
      <c r="AI47" s="641"/>
      <c r="AJ47" s="641"/>
      <c r="AK47" s="641"/>
      <c r="AL47" s="641"/>
      <c r="AM47" s="637"/>
      <c r="AO47" s="38" t="n">
        <f aca="true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customFormat="false" ht="12.75" hidden="false" customHeight="false" outlineLevel="0" collapsed="false">
      <c r="A48" s="1" t="n">
        <f aca="false">ORÇAMENTO!C48</f>
        <v>2</v>
      </c>
      <c r="B48" s="1" t="n">
        <f aca="false">ORÇAMENTO!D48</f>
        <v>1</v>
      </c>
      <c r="C48" s="199" t="str">
        <f aca="false">IF(OR($I48&gt;0,$A48=1,$A48=2,$A48=3,$A48=4),"F","")</f>
        <v>F</v>
      </c>
      <c r="D48" s="202" t="str">
        <f aca="false">ORÇAMENTO!O48</f>
        <v>1.8.</v>
      </c>
      <c r="E48" s="341" t="str">
        <f aca="false">ORÇAMENTO.Descricao</f>
        <v>SUPRAESTRUTURA</v>
      </c>
      <c r="F48" s="342" t="str">
        <f aca="true">IF(RegimeExecucao="Global","",ORÇAMENTO.Unidade)</f>
        <v/>
      </c>
      <c r="G48" s="207" t="str">
        <f aca="true">IF(RegimeExecucao="Global","",ORÇAMENTO!T48)</f>
        <v/>
      </c>
      <c r="H48" s="207" t="str">
        <f aca="true">IF(RegimeExecucao="Global","",ORÇAMENTO!W48)</f>
        <v/>
      </c>
      <c r="I48" s="210" t="n">
        <f aca="false">ORÇAMENTO!X48</f>
        <v>0</v>
      </c>
      <c r="J48" s="633" t="e">
        <f aca="false" t="array" ref="J48:J48">_xlfn.single(IF($A48="S",IF(CAIXA.Modo,BM.AFAnterior,BM.MEDAnterior),IF(AND(_xlfn.single(RegimeExecucao)="Global",$I48&gt;0,COUNTIF($AB$13:$AM$13,BM.medicao-1)&gt;0),M48/$I48*100,0)))</f>
        <v>#NAME?</v>
      </c>
      <c r="K48" s="207" t="e">
        <f aca="false">L48-J48</f>
        <v>#NAME?</v>
      </c>
      <c r="L48" s="634" t="e">
        <f aca="false" t="array" ref="L48:L48">_xlfn.single(IF($A48="S",IF(CAIXA.Modo,BM.AFAcumulado,BM.MEDAcumulado),IF(AND(_xlfn.single(RegimeExecucao)="Global",$I48&gt;0,COUNTIF($AB$13:$AM$13,BM.medicao)&gt;0),O48/$I48*100,0)))</f>
        <v>#NAME?</v>
      </c>
      <c r="M48" s="635" t="n">
        <f aca="true">IF($A48="S",VTOTALBM,IF($A48=0,0,ROUND(SomaAgrupBM,15-13*ORÇAMENTO!$AF$11)))</f>
        <v>0</v>
      </c>
      <c r="N48" s="219" t="n">
        <f aca="false">O48-M48</f>
        <v>0</v>
      </c>
      <c r="O48" s="210" t="n">
        <f aca="true">IF($A48="S",VTOTALBM,IF($A48=0,0,ROUND(SomaAgrupBM,15-13*ORÇAMENTO!$AF$11)))</f>
        <v>0</v>
      </c>
      <c r="Q48" s="636"/>
      <c r="R48" s="637"/>
      <c r="T48" s="202" t="str">
        <f aca="false">IF($W48&gt;0,$D48,"")</f>
        <v/>
      </c>
      <c r="U48" s="341" t="str">
        <f aca="false">IF($W48&gt;0,$E48,"")</f>
        <v/>
      </c>
      <c r="V48" s="342" t="str">
        <f aca="true">IF(AND($W48&gt;0,RegimeExecucao="Unitário"),$F48,"")</f>
        <v/>
      </c>
      <c r="W48" s="638" t="n">
        <f aca="true">IF($Y48&gt;0,CHOOSE(MATCH(RegimeExecucao,{"Unitário","Global"},0),IF($A48="S",$Y48/$X48,""),($Y48/$X48)*100),0)</f>
        <v>0</v>
      </c>
      <c r="X48" s="639" t="str">
        <f aca="true">IF($Y48&gt;0,CHOOSE(MATCH(RegimeExecucao,{"Unitário","Global"},0),IF($A48="S",ROUND($H48,ORÇAMENTO!$AF$10),""),ROUND($I48,ORÇAMENTO!$AF$11)),"")</f>
        <v/>
      </c>
      <c r="Y48" s="639" t="n">
        <f aca="false">AO48-O48</f>
        <v>0</v>
      </c>
      <c r="Z48" s="640"/>
      <c r="AB48" s="636"/>
      <c r="AC48" s="641"/>
      <c r="AD48" s="641"/>
      <c r="AE48" s="641"/>
      <c r="AF48" s="641"/>
      <c r="AG48" s="641"/>
      <c r="AH48" s="641"/>
      <c r="AI48" s="641"/>
      <c r="AJ48" s="641"/>
      <c r="AK48" s="641"/>
      <c r="AL48" s="641"/>
      <c r="AM48" s="637"/>
      <c r="AO48" s="38" t="n">
        <f aca="true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customFormat="false" ht="12.75" hidden="false" customHeight="false" outlineLevel="0" collapsed="false">
      <c r="A49" s="1" t="n">
        <f aca="false">ORÇAMENTO!C49</f>
        <v>2</v>
      </c>
      <c r="B49" s="1" t="n">
        <f aca="false">ORÇAMENTO!D49</f>
        <v>7</v>
      </c>
      <c r="C49" s="199" t="str">
        <f aca="false">IF(OR($I49&gt;0,$A49=1,$A49=2,$A49=3,$A49=4),"F","")</f>
        <v>F</v>
      </c>
      <c r="D49" s="202" t="str">
        <f aca="false">ORÇAMENTO!O49</f>
        <v>1.9.</v>
      </c>
      <c r="E49" s="341" t="str">
        <f aca="false">ORÇAMENTO.Descricao</f>
        <v>PILARES, VIGAS E LAJES</v>
      </c>
      <c r="F49" s="342" t="str">
        <f aca="true">IF(RegimeExecucao="Global","",ORÇAMENTO.Unidade)</f>
        <v/>
      </c>
      <c r="G49" s="207" t="str">
        <f aca="true">IF(RegimeExecucao="Global","",ORÇAMENTO!T49)</f>
        <v/>
      </c>
      <c r="H49" s="207" t="str">
        <f aca="true">IF(RegimeExecucao="Global","",ORÇAMENTO!W49)</f>
        <v/>
      </c>
      <c r="I49" s="210" t="n">
        <f aca="false">ORÇAMENTO!X49</f>
        <v>560771.75</v>
      </c>
      <c r="J49" s="633" t="e">
        <f aca="false" t="array" ref="J49:J49">_xlfn.single(IF($A49="S",IF(CAIXA.Modo,BM.AFAnterior,BM.MEDAnterior),IF(AND(_xlfn.single(RegimeExecucao)="Global",$I49&gt;0,COUNTIF($AB$13:$AM$13,BM.medicao-1)&gt;0),M49/$I49*100,0)))</f>
        <v>#NAME?</v>
      </c>
      <c r="K49" s="207" t="e">
        <f aca="false">L49-J49</f>
        <v>#NAME?</v>
      </c>
      <c r="L49" s="634" t="e">
        <f aca="false" t="array" ref="L49:L49">_xlfn.single(IF($A49="S",IF(CAIXA.Modo,BM.AFAcumulado,BM.MEDAcumulado),IF(AND(_xlfn.single(RegimeExecucao)="Global",$I49&gt;0,COUNTIF($AB$13:$AM$13,BM.medicao)&gt;0),O49/$I49*100,0)))</f>
        <v>#NAME?</v>
      </c>
      <c r="M49" s="635" t="n">
        <f aca="true">IF($A49="S",VTOTALBM,IF($A49=0,0,ROUND(SomaAgrupBM,15-13*ORÇAMENTO!$AF$11)))</f>
        <v>0</v>
      </c>
      <c r="N49" s="219" t="n">
        <f aca="false">O49-M49</f>
        <v>0</v>
      </c>
      <c r="O49" s="210" t="n">
        <f aca="true">IF($A49="S",VTOTALBM,IF($A49=0,0,ROUND(SomaAgrupBM,15-13*ORÇAMENTO!$AF$11)))</f>
        <v>0</v>
      </c>
      <c r="Q49" s="636"/>
      <c r="R49" s="637"/>
      <c r="T49" s="202" t="str">
        <f aca="false">IF($W49&gt;0,$D49,"")</f>
        <v/>
      </c>
      <c r="U49" s="341" t="str">
        <f aca="false">IF($W49&gt;0,$E49,"")</f>
        <v/>
      </c>
      <c r="V49" s="342" t="str">
        <f aca="true">IF(AND($W49&gt;0,RegimeExecucao="Unitário"),$F49,"")</f>
        <v/>
      </c>
      <c r="W49" s="638" t="n">
        <f aca="true">IF($Y49&gt;0,CHOOSE(MATCH(RegimeExecucao,{"Unitário","Global"},0),IF($A49="S",$Y49/$X49,""),($Y49/$X49)*100),0)</f>
        <v>0</v>
      </c>
      <c r="X49" s="639" t="str">
        <f aca="true">IF($Y49&gt;0,CHOOSE(MATCH(RegimeExecucao,{"Unitário","Global"},0),IF($A49="S",ROUND($H49,ORÇAMENTO!$AF$10),""),ROUND($I49,ORÇAMENTO!$AF$11)),"")</f>
        <v/>
      </c>
      <c r="Y49" s="639" t="n">
        <f aca="false">AO49-O49</f>
        <v>0</v>
      </c>
      <c r="Z49" s="640"/>
      <c r="AB49" s="636"/>
      <c r="AC49" s="641"/>
      <c r="AD49" s="641"/>
      <c r="AE49" s="641"/>
      <c r="AF49" s="641"/>
      <c r="AG49" s="641"/>
      <c r="AH49" s="641"/>
      <c r="AI49" s="641"/>
      <c r="AJ49" s="641"/>
      <c r="AK49" s="641"/>
      <c r="AL49" s="641"/>
      <c r="AM49" s="637"/>
      <c r="AO49" s="38" t="n">
        <f aca="true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customFormat="false" ht="35.05" hidden="false" customHeight="false" outlineLevel="0" collapsed="false">
      <c r="A50" s="1" t="str">
        <f aca="false">ORÇAMENTO!C50</f>
        <v>S</v>
      </c>
      <c r="B50" s="1" t="n">
        <f aca="false">ORÇAMENTO!D50</f>
        <v>0</v>
      </c>
      <c r="C50" s="199" t="str">
        <f aca="false">IF(OR($I50&gt;0,$A50=1,$A50=2,$A50=3,$A50=4),"F","")</f>
        <v>F</v>
      </c>
      <c r="D50" s="202" t="str">
        <f aca="false">ORÇAMENTO!O50</f>
        <v>1.9.1.</v>
      </c>
      <c r="E50" s="341" t="str">
        <f aca="false">ORÇAMENTO.Descricao</f>
        <v>ARMAÇÃO DE PILAR OU VIGA DE ESTRUTURA CONVENCIONAL DE CONCRETO ARMADO UTILIZANDO AÇO CA-60
DE 5,0 MM - MONTAGEM. AF_06/2022</v>
      </c>
      <c r="F50" s="342" t="str">
        <f aca="true">IF(RegimeExecucao="Global","",ORÇAMENTO.Unidade)</f>
        <v/>
      </c>
      <c r="G50" s="207" t="str">
        <f aca="true">IF(RegimeExecucao="Global","",ORÇAMENTO!T50)</f>
        <v/>
      </c>
      <c r="H50" s="207" t="str">
        <f aca="true">IF(RegimeExecucao="Global","",ORÇAMENTO!W50)</f>
        <v/>
      </c>
      <c r="I50" s="210" t="n">
        <f aca="false">ORÇAMENTO!X50</f>
        <v>39394.25</v>
      </c>
      <c r="J50" s="633" t="e">
        <f aca="false" t="array" ref="J50:J50">_xlfn.single(IF($A50="S",IF(CAIXA.Modo,BM.AFAnterior,BM.MEDAnterior),IF(AND(_xlfn.single(RegimeExecucao)="Global",$I50&gt;0,COUNTIF($AB$13:$AM$13,BM.medicao-1)&gt;0),M50/$I50*100,0)))</f>
        <v>#NAME?</v>
      </c>
      <c r="K50" s="207" t="e">
        <f aca="false">L50-J50</f>
        <v>#NAME?</v>
      </c>
      <c r="L50" s="634" t="e">
        <f aca="false" t="array" ref="L50:L50">_xlfn.single(IF($A50="S",IF(CAIXA.Modo,BM.AFAcumulado,BM.MEDAcumulado),IF(AND(_xlfn.single(RegimeExecucao)="Global",$I50&gt;0,COUNTIF($AB$13:$AM$13,BM.medicao)&gt;0),O50/$I50*100,0)))</f>
        <v>#NAME?</v>
      </c>
      <c r="M50" s="635" t="n">
        <f aca="true">IF($A50="S",VTOTALBM,IF($A50=0,0,ROUND(SomaAgrupBM,15-13*ORÇAMENTO!$AF$11)))</f>
        <v>0</v>
      </c>
      <c r="N50" s="219" t="n">
        <f aca="false">O50-M50</f>
        <v>0</v>
      </c>
      <c r="O50" s="210" t="n">
        <f aca="true">IF($A50="S",VTOTALBM,IF($A50=0,0,ROUND(SomaAgrupBM,15-13*ORÇAMENTO!$AF$11)))</f>
        <v>0</v>
      </c>
      <c r="Q50" s="636"/>
      <c r="R50" s="637"/>
      <c r="T50" s="202" t="str">
        <f aca="false">IF($W50&gt;0,$D50,"")</f>
        <v/>
      </c>
      <c r="U50" s="341" t="str">
        <f aca="false">IF($W50&gt;0,$E50,"")</f>
        <v/>
      </c>
      <c r="V50" s="342" t="str">
        <f aca="true">IF(AND($W50&gt;0,RegimeExecucao="Unitário"),$F50,"")</f>
        <v/>
      </c>
      <c r="W50" s="638" t="n">
        <f aca="true">IF($Y50&gt;0,CHOOSE(MATCH(RegimeExecucao,{"Unitário","Global"},0),IF($A50="S",$Y50/$X50,""),($Y50/$X50)*100),0)</f>
        <v>0</v>
      </c>
      <c r="X50" s="639" t="str">
        <f aca="true">IF($Y50&gt;0,CHOOSE(MATCH(RegimeExecucao,{"Unitário","Global"},0),IF($A50="S",ROUND($H50,ORÇAMENTO!$AF$10),""),ROUND($I50,ORÇAMENTO!$AF$11)),"")</f>
        <v/>
      </c>
      <c r="Y50" s="639" t="n">
        <f aca="false">AO50-O50</f>
        <v>0</v>
      </c>
      <c r="Z50" s="640"/>
      <c r="AB50" s="636"/>
      <c r="AC50" s="641"/>
      <c r="AD50" s="641"/>
      <c r="AE50" s="641"/>
      <c r="AF50" s="641"/>
      <c r="AG50" s="641"/>
      <c r="AH50" s="641"/>
      <c r="AI50" s="641"/>
      <c r="AJ50" s="641"/>
      <c r="AK50" s="641"/>
      <c r="AL50" s="641"/>
      <c r="AM50" s="637"/>
      <c r="AO50" s="38" t="n">
        <f aca="true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customFormat="false" ht="35.05" hidden="false" customHeight="false" outlineLevel="0" collapsed="false">
      <c r="A51" s="1" t="str">
        <f aca="false">ORÇAMENTO!C51</f>
        <v>S</v>
      </c>
      <c r="B51" s="1" t="n">
        <f aca="false">ORÇAMENTO!D51</f>
        <v>0</v>
      </c>
      <c r="C51" s="199" t="str">
        <f aca="false">IF(OR($I51&gt;0,$A51=1,$A51=2,$A51=3,$A51=4),"F","")</f>
        <v>F</v>
      </c>
      <c r="D51" s="202" t="str">
        <f aca="false">ORÇAMENTO!O51</f>
        <v>1.9.2.</v>
      </c>
      <c r="E51" s="341" t="str">
        <f aca="false">ORÇAMENTO.Descricao</f>
        <v>ARMAÇÃO DE PILAR OU VIGA DE ESTRUTURA CONVENCIONAL DE CONCRETO ARMADO UTILIZANDO AÇO CA-50
DE 10,0 MM - MONTAGEM. AF_06/2022</v>
      </c>
      <c r="F51" s="342" t="str">
        <f aca="true">IF(RegimeExecucao="Global","",ORÇAMENTO.Unidade)</f>
        <v/>
      </c>
      <c r="G51" s="207" t="str">
        <f aca="true">IF(RegimeExecucao="Global","",ORÇAMENTO!T51)</f>
        <v/>
      </c>
      <c r="H51" s="207" t="str">
        <f aca="true">IF(RegimeExecucao="Global","",ORÇAMENTO!W51)</f>
        <v/>
      </c>
      <c r="I51" s="210" t="n">
        <f aca="false">ORÇAMENTO!X51</f>
        <v>88263</v>
      </c>
      <c r="J51" s="633" t="e">
        <f aca="false" t="array" ref="J51:J51">_xlfn.single(IF($A51="S",IF(CAIXA.Modo,BM.AFAnterior,BM.MEDAnterior),IF(AND(_xlfn.single(RegimeExecucao)="Global",$I51&gt;0,COUNTIF($AB$13:$AM$13,BM.medicao-1)&gt;0),M51/$I51*100,0)))</f>
        <v>#NAME?</v>
      </c>
      <c r="K51" s="207" t="e">
        <f aca="false">L51-J51</f>
        <v>#NAME?</v>
      </c>
      <c r="L51" s="634" t="e">
        <f aca="false" t="array" ref="L51:L51">_xlfn.single(IF($A51="S",IF(CAIXA.Modo,BM.AFAcumulado,BM.MEDAcumulado),IF(AND(_xlfn.single(RegimeExecucao)="Global",$I51&gt;0,COUNTIF($AB$13:$AM$13,BM.medicao)&gt;0),O51/$I51*100,0)))</f>
        <v>#NAME?</v>
      </c>
      <c r="M51" s="635" t="n">
        <f aca="true">IF($A51="S",VTOTALBM,IF($A51=0,0,ROUND(SomaAgrupBM,15-13*ORÇAMENTO!$AF$11)))</f>
        <v>0</v>
      </c>
      <c r="N51" s="219" t="n">
        <f aca="false">O51-M51</f>
        <v>0</v>
      </c>
      <c r="O51" s="210" t="n">
        <f aca="true">IF($A51="S",VTOTALBM,IF($A51=0,0,ROUND(SomaAgrupBM,15-13*ORÇAMENTO!$AF$11)))</f>
        <v>0</v>
      </c>
      <c r="Q51" s="636"/>
      <c r="R51" s="637"/>
      <c r="T51" s="202" t="str">
        <f aca="false">IF($W51&gt;0,$D51,"")</f>
        <v/>
      </c>
      <c r="U51" s="341" t="str">
        <f aca="false">IF($W51&gt;0,$E51,"")</f>
        <v/>
      </c>
      <c r="V51" s="342" t="str">
        <f aca="true">IF(AND($W51&gt;0,RegimeExecucao="Unitário"),$F51,"")</f>
        <v/>
      </c>
      <c r="W51" s="638" t="n">
        <f aca="true">IF($Y51&gt;0,CHOOSE(MATCH(RegimeExecucao,{"Unitário","Global"},0),IF($A51="S",$Y51/$X51,""),($Y51/$X51)*100),0)</f>
        <v>0</v>
      </c>
      <c r="X51" s="639" t="str">
        <f aca="true">IF($Y51&gt;0,CHOOSE(MATCH(RegimeExecucao,{"Unitário","Global"},0),IF($A51="S",ROUND($H51,ORÇAMENTO!$AF$10),""),ROUND($I51,ORÇAMENTO!$AF$11)),"")</f>
        <v/>
      </c>
      <c r="Y51" s="639" t="n">
        <f aca="false">AO51-O51</f>
        <v>0</v>
      </c>
      <c r="Z51" s="640"/>
      <c r="AB51" s="636"/>
      <c r="AC51" s="641"/>
      <c r="AD51" s="641"/>
      <c r="AE51" s="641"/>
      <c r="AF51" s="641"/>
      <c r="AG51" s="641"/>
      <c r="AH51" s="641"/>
      <c r="AI51" s="641"/>
      <c r="AJ51" s="641"/>
      <c r="AK51" s="641"/>
      <c r="AL51" s="641"/>
      <c r="AM51" s="637"/>
      <c r="AO51" s="38" t="n">
        <f aca="true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customFormat="false" ht="35.05" hidden="false" customHeight="false" outlineLevel="0" collapsed="false">
      <c r="A52" s="1" t="str">
        <f aca="false">ORÇAMENTO!C52</f>
        <v>S</v>
      </c>
      <c r="B52" s="1" t="n">
        <f aca="false">ORÇAMENTO!D52</f>
        <v>0</v>
      </c>
      <c r="C52" s="199" t="str">
        <f aca="false">IF(OR($I52&gt;0,$A52=1,$A52=2,$A52=3,$A52=4),"F","")</f>
        <v>F</v>
      </c>
      <c r="D52" s="202" t="str">
        <f aca="false">ORÇAMENTO!O52</f>
        <v>1.9.3.</v>
      </c>
      <c r="E52" s="341" t="str">
        <f aca="false">ORÇAMENTO.Descricao</f>
        <v>CONCRETO FCK = 25MPA, TRAÇO 1:2,3:2,7 (EM MASSA SECA DE CIMENTO/ AREIAMÉDIA/ BRITA 1) - PREPARO MECÂNICO COM BETONEIRA 400 L</v>
      </c>
      <c r="F52" s="342" t="str">
        <f aca="true">IF(RegimeExecucao="Global","",ORÇAMENTO.Unidade)</f>
        <v/>
      </c>
      <c r="G52" s="207" t="str">
        <f aca="true">IF(RegimeExecucao="Global","",ORÇAMENTO!T52)</f>
        <v/>
      </c>
      <c r="H52" s="207" t="str">
        <f aca="true">IF(RegimeExecucao="Global","",ORÇAMENTO!W52)</f>
        <v/>
      </c>
      <c r="I52" s="210" t="n">
        <f aca="false">ORÇAMENTO!X52</f>
        <v>74237.75</v>
      </c>
      <c r="J52" s="633" t="e">
        <f aca="false" t="array" ref="J52:J52">_xlfn.single(IF($A52="S",IF(CAIXA.Modo,BM.AFAnterior,BM.MEDAnterior),IF(AND(_xlfn.single(RegimeExecucao)="Global",$I52&gt;0,COUNTIF($AB$13:$AM$13,BM.medicao-1)&gt;0),M52/$I52*100,0)))</f>
        <v>#NAME?</v>
      </c>
      <c r="K52" s="207" t="e">
        <f aca="false">L52-J52</f>
        <v>#NAME?</v>
      </c>
      <c r="L52" s="634" t="e">
        <f aca="false" t="array" ref="L52:L52">_xlfn.single(IF($A52="S",IF(CAIXA.Modo,BM.AFAcumulado,BM.MEDAcumulado),IF(AND(_xlfn.single(RegimeExecucao)="Global",$I52&gt;0,COUNTIF($AB$13:$AM$13,BM.medicao)&gt;0),O52/$I52*100,0)))</f>
        <v>#NAME?</v>
      </c>
      <c r="M52" s="635" t="n">
        <f aca="true">IF($A52="S",VTOTALBM,IF($A52=0,0,ROUND(SomaAgrupBM,15-13*ORÇAMENTO!$AF$11)))</f>
        <v>0</v>
      </c>
      <c r="N52" s="219" t="n">
        <f aca="false">O52-M52</f>
        <v>0</v>
      </c>
      <c r="O52" s="210" t="n">
        <f aca="true">IF($A52="S",VTOTALBM,IF($A52=0,0,ROUND(SomaAgrupBM,15-13*ORÇAMENTO!$AF$11)))</f>
        <v>0</v>
      </c>
      <c r="Q52" s="636"/>
      <c r="R52" s="637"/>
      <c r="T52" s="202" t="str">
        <f aca="false">IF($W52&gt;0,$D52,"")</f>
        <v/>
      </c>
      <c r="U52" s="341" t="str">
        <f aca="false">IF($W52&gt;0,$E52,"")</f>
        <v/>
      </c>
      <c r="V52" s="342" t="str">
        <f aca="true">IF(AND($W52&gt;0,RegimeExecucao="Unitário"),$F52,"")</f>
        <v/>
      </c>
      <c r="W52" s="638" t="n">
        <f aca="true">IF($Y52&gt;0,CHOOSE(MATCH(RegimeExecucao,{"Unitário","Global"},0),IF($A52="S",$Y52/$X52,""),($Y52/$X52)*100),0)</f>
        <v>0</v>
      </c>
      <c r="X52" s="639" t="str">
        <f aca="true">IF($Y52&gt;0,CHOOSE(MATCH(RegimeExecucao,{"Unitário","Global"},0),IF($A52="S",ROUND($H52,ORÇAMENTO!$AF$10),""),ROUND($I52,ORÇAMENTO!$AF$11)),"")</f>
        <v/>
      </c>
      <c r="Y52" s="639" t="n">
        <f aca="false">AO52-O52</f>
        <v>0</v>
      </c>
      <c r="Z52" s="640"/>
      <c r="AB52" s="636"/>
      <c r="AC52" s="641"/>
      <c r="AD52" s="641"/>
      <c r="AE52" s="641"/>
      <c r="AF52" s="641"/>
      <c r="AG52" s="641"/>
      <c r="AH52" s="641"/>
      <c r="AI52" s="641"/>
      <c r="AJ52" s="641"/>
      <c r="AK52" s="641"/>
      <c r="AL52" s="641"/>
      <c r="AM52" s="637"/>
      <c r="AO52" s="38" t="n">
        <f aca="true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customFormat="false" ht="23.85" hidden="false" customHeight="false" outlineLevel="0" collapsed="false">
      <c r="A53" s="1" t="str">
        <f aca="false">ORÇAMENTO!C53</f>
        <v>S</v>
      </c>
      <c r="B53" s="1" t="n">
        <f aca="false">ORÇAMENTO!D53</f>
        <v>0</v>
      </c>
      <c r="C53" s="199" t="str">
        <f aca="false">IF(OR($I53&gt;0,$A53=1,$A53=2,$A53=3,$A53=4),"F","")</f>
        <v>F</v>
      </c>
      <c r="D53" s="202" t="str">
        <f aca="false">ORÇAMENTO!O53</f>
        <v>1.9.4.</v>
      </c>
      <c r="E53" s="341" t="str">
        <f aca="false">ORÇAMENTO.Descricao</f>
        <v>FÔRMA E DESFORMA DE TÁBUA E SARRAFO,
REAPROVEITAMENTO (5X), EXCLUSIVE ESCORAMENTO</v>
      </c>
      <c r="F53" s="342" t="str">
        <f aca="true">IF(RegimeExecucao="Global","",ORÇAMENTO.Unidade)</f>
        <v/>
      </c>
      <c r="G53" s="207" t="str">
        <f aca="true">IF(RegimeExecucao="Global","",ORÇAMENTO!T53)</f>
        <v/>
      </c>
      <c r="H53" s="207" t="str">
        <f aca="true">IF(RegimeExecucao="Global","",ORÇAMENTO!W53)</f>
        <v/>
      </c>
      <c r="I53" s="210" t="n">
        <f aca="false">ORÇAMENTO!X53</f>
        <v>110891.75</v>
      </c>
      <c r="J53" s="633" t="e">
        <f aca="false" t="array" ref="J53:J53">_xlfn.single(IF($A53="S",IF(CAIXA.Modo,BM.AFAnterior,BM.MEDAnterior),IF(AND(_xlfn.single(RegimeExecucao)="Global",$I53&gt;0,COUNTIF($AB$13:$AM$13,BM.medicao-1)&gt;0),M53/$I53*100,0)))</f>
        <v>#NAME?</v>
      </c>
      <c r="K53" s="207" t="e">
        <f aca="false">L53-J53</f>
        <v>#NAME?</v>
      </c>
      <c r="L53" s="634" t="e">
        <f aca="false" t="array" ref="L53:L53">_xlfn.single(IF($A53="S",IF(CAIXA.Modo,BM.AFAcumulado,BM.MEDAcumulado),IF(AND(_xlfn.single(RegimeExecucao)="Global",$I53&gt;0,COUNTIF($AB$13:$AM$13,BM.medicao)&gt;0),O53/$I53*100,0)))</f>
        <v>#NAME?</v>
      </c>
      <c r="M53" s="635" t="n">
        <f aca="true">IF($A53="S",VTOTALBM,IF($A53=0,0,ROUND(SomaAgrupBM,15-13*ORÇAMENTO!$AF$11)))</f>
        <v>0</v>
      </c>
      <c r="N53" s="219" t="n">
        <f aca="false">O53-M53</f>
        <v>0</v>
      </c>
      <c r="O53" s="210" t="n">
        <f aca="true">IF($A53="S",VTOTALBM,IF($A53=0,0,ROUND(SomaAgrupBM,15-13*ORÇAMENTO!$AF$11)))</f>
        <v>0</v>
      </c>
      <c r="Q53" s="636"/>
      <c r="R53" s="637"/>
      <c r="T53" s="202" t="str">
        <f aca="false">IF($W53&gt;0,$D53,"")</f>
        <v/>
      </c>
      <c r="U53" s="341" t="str">
        <f aca="false">IF($W53&gt;0,$E53,"")</f>
        <v/>
      </c>
      <c r="V53" s="342" t="str">
        <f aca="true">IF(AND($W53&gt;0,RegimeExecucao="Unitário"),$F53,"")</f>
        <v/>
      </c>
      <c r="W53" s="638" t="n">
        <f aca="true">IF($Y53&gt;0,CHOOSE(MATCH(RegimeExecucao,{"Unitário","Global"},0),IF($A53="S",$Y53/$X53,""),($Y53/$X53)*100),0)</f>
        <v>0</v>
      </c>
      <c r="X53" s="639" t="str">
        <f aca="true">IF($Y53&gt;0,CHOOSE(MATCH(RegimeExecucao,{"Unitário","Global"},0),IF($A53="S",ROUND($H53,ORÇAMENTO!$AF$10),""),ROUND($I53,ORÇAMENTO!$AF$11)),"")</f>
        <v/>
      </c>
      <c r="Y53" s="639" t="n">
        <f aca="false">AO53-O53</f>
        <v>0</v>
      </c>
      <c r="Z53" s="640"/>
      <c r="AB53" s="636"/>
      <c r="AC53" s="641"/>
      <c r="AD53" s="641"/>
      <c r="AE53" s="641"/>
      <c r="AF53" s="641"/>
      <c r="AG53" s="641"/>
      <c r="AH53" s="641"/>
      <c r="AI53" s="641"/>
      <c r="AJ53" s="641"/>
      <c r="AK53" s="641"/>
      <c r="AL53" s="641"/>
      <c r="AM53" s="637"/>
      <c r="AO53" s="38" t="n">
        <f aca="true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customFormat="false" ht="68.65" hidden="false" customHeight="false" outlineLevel="0" collapsed="false">
      <c r="A54" s="1" t="str">
        <f aca="false">ORÇAMENTO!C54</f>
        <v>S</v>
      </c>
      <c r="B54" s="1" t="n">
        <f aca="false">ORÇAMENTO!D54</f>
        <v>0</v>
      </c>
      <c r="C54" s="199" t="str">
        <f aca="false">IF(OR($I54&gt;0,$A54=1,$A54=2,$A54=3,$A54=4),"F","")</f>
        <v>F</v>
      </c>
      <c r="D54" s="202" t="str">
        <f aca="false">ORÇAMENTO!O54</f>
        <v>1.9.5.</v>
      </c>
      <c r="E54" s="341" t="str">
        <f aca="false">ORÇAMENTO.Descricao</f>
        <v>LAJE PRÉ-MOLDADA UNIDIRECIONAL COM ENCHIMENTO EM
POLIESTIRENO EXPANDIDO (EPS), CAPEAMENTO DE 4CM,
SOBRECARGA DE 100KG/M2, ALTURA TOTAL DE 11CM E VÃO
LIVRE MÁXIMO DE 3M, INCLUSIVE CONCRETO ESTRUTURAL,
USINADO BOMBEADO COM FCK DE 20MPA, EXCLUSIVE TELA
ARMADA E CIMBRAMENTO</v>
      </c>
      <c r="F54" s="342" t="str">
        <f aca="true">IF(RegimeExecucao="Global","",ORÇAMENTO.Unidade)</f>
        <v/>
      </c>
      <c r="G54" s="207" t="str">
        <f aca="true">IF(RegimeExecucao="Global","",ORÇAMENTO!T54)</f>
        <v/>
      </c>
      <c r="H54" s="207" t="str">
        <f aca="true">IF(RegimeExecucao="Global","",ORÇAMENTO!W54)</f>
        <v/>
      </c>
      <c r="I54" s="210" t="n">
        <f aca="false">ORÇAMENTO!X54</f>
        <v>209475</v>
      </c>
      <c r="J54" s="633" t="e">
        <f aca="false" t="array" ref="J54:J54">_xlfn.single(IF($A54="S",IF(CAIXA.Modo,BM.AFAnterior,BM.MEDAnterior),IF(AND(_xlfn.single(RegimeExecucao)="Global",$I54&gt;0,COUNTIF($AB$13:$AM$13,BM.medicao-1)&gt;0),M54/$I54*100,0)))</f>
        <v>#NAME?</v>
      </c>
      <c r="K54" s="207" t="e">
        <f aca="false">L54-J54</f>
        <v>#NAME?</v>
      </c>
      <c r="L54" s="634" t="e">
        <f aca="false" t="array" ref="L54:L54">_xlfn.single(IF($A54="S",IF(CAIXA.Modo,BM.AFAcumulado,BM.MEDAcumulado),IF(AND(_xlfn.single(RegimeExecucao)="Global",$I54&gt;0,COUNTIF($AB$13:$AM$13,BM.medicao)&gt;0),O54/$I54*100,0)))</f>
        <v>#NAME?</v>
      </c>
      <c r="M54" s="635" t="n">
        <f aca="true">IF($A54="S",VTOTALBM,IF($A54=0,0,ROUND(SomaAgrupBM,15-13*ORÇAMENTO!$AF$11)))</f>
        <v>0</v>
      </c>
      <c r="N54" s="219" t="n">
        <f aca="false">O54-M54</f>
        <v>0</v>
      </c>
      <c r="O54" s="210" t="n">
        <f aca="true">IF($A54="S",VTOTALBM,IF($A54=0,0,ROUND(SomaAgrupBM,15-13*ORÇAMENTO!$AF$11)))</f>
        <v>0</v>
      </c>
      <c r="Q54" s="636"/>
      <c r="R54" s="637"/>
      <c r="T54" s="202" t="str">
        <f aca="false">IF($W54&gt;0,$D54,"")</f>
        <v/>
      </c>
      <c r="U54" s="341" t="str">
        <f aca="false">IF($W54&gt;0,$E54,"")</f>
        <v/>
      </c>
      <c r="V54" s="342" t="str">
        <f aca="true">IF(AND($W54&gt;0,RegimeExecucao="Unitário"),$F54,"")</f>
        <v/>
      </c>
      <c r="W54" s="638" t="n">
        <f aca="true">IF($Y54&gt;0,CHOOSE(MATCH(RegimeExecucao,{"Unitário","Global"},0),IF($A54="S",$Y54/$X54,""),($Y54/$X54)*100),0)</f>
        <v>0</v>
      </c>
      <c r="X54" s="639" t="str">
        <f aca="true">IF($Y54&gt;0,CHOOSE(MATCH(RegimeExecucao,{"Unitário","Global"},0),IF($A54="S",ROUND($H54,ORÇAMENTO!$AF$10),""),ROUND($I54,ORÇAMENTO!$AF$11)),"")</f>
        <v/>
      </c>
      <c r="Y54" s="639" t="n">
        <f aca="false">AO54-O54</f>
        <v>0</v>
      </c>
      <c r="Z54" s="640"/>
      <c r="AB54" s="636"/>
      <c r="AC54" s="641"/>
      <c r="AD54" s="641"/>
      <c r="AE54" s="641"/>
      <c r="AF54" s="641"/>
      <c r="AG54" s="641"/>
      <c r="AH54" s="641"/>
      <c r="AI54" s="641"/>
      <c r="AJ54" s="641"/>
      <c r="AK54" s="641"/>
      <c r="AL54" s="641"/>
      <c r="AM54" s="637"/>
      <c r="AO54" s="38" t="n">
        <f aca="true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customFormat="false" ht="35.05" hidden="false" customHeight="false" outlineLevel="0" collapsed="false">
      <c r="A55" s="1" t="str">
        <f aca="false">ORÇAMENTO!C55</f>
        <v>S</v>
      </c>
      <c r="B55" s="1" t="n">
        <f aca="false">ORÇAMENTO!D55</f>
        <v>0</v>
      </c>
      <c r="C55" s="199" t="str">
        <f aca="false">IF(OR($I55&gt;0,$A55=1,$A55=2,$A55=3,$A55=4),"F","")</f>
        <v>F</v>
      </c>
      <c r="D55" s="202" t="str">
        <f aca="false">ORÇAMENTO!O55</f>
        <v>1.9.6.</v>
      </c>
      <c r="E55" s="341" t="str">
        <f aca="false">ORÇAMENTO.Descricao</f>
        <v>CIMBRAMENTO PARA LAJE PRÉ-MOLDADA COM ESCORAMENTO
METÁLICO, TIPO "A", ALTURA DE (200 ATÉ 310)CM, INCLUSIVE
DESCARGA, MONTAGEM, DESMONTAGEM E CARGA</v>
      </c>
      <c r="F55" s="342" t="str">
        <f aca="true">IF(RegimeExecucao="Global","",ORÇAMENTO.Unidade)</f>
        <v/>
      </c>
      <c r="G55" s="207" t="str">
        <f aca="true">IF(RegimeExecucao="Global","",ORÇAMENTO!T55)</f>
        <v/>
      </c>
      <c r="H55" s="207" t="str">
        <f aca="true">IF(RegimeExecucao="Global","",ORÇAMENTO!W55)</f>
        <v/>
      </c>
      <c r="I55" s="210" t="n">
        <f aca="false">ORÇAMENTO!X55</f>
        <v>38510</v>
      </c>
      <c r="J55" s="633" t="e">
        <f aca="false" t="array" ref="J55:J55">_xlfn.single(IF($A55="S",IF(CAIXA.Modo,BM.AFAnterior,BM.MEDAnterior),IF(AND(_xlfn.single(RegimeExecucao)="Global",$I55&gt;0,COUNTIF($AB$13:$AM$13,BM.medicao-1)&gt;0),M55/$I55*100,0)))</f>
        <v>#NAME?</v>
      </c>
      <c r="K55" s="207" t="e">
        <f aca="false">L55-J55</f>
        <v>#NAME?</v>
      </c>
      <c r="L55" s="634" t="e">
        <f aca="false" t="array" ref="L55:L55">_xlfn.single(IF($A55="S",IF(CAIXA.Modo,BM.AFAcumulado,BM.MEDAcumulado),IF(AND(_xlfn.single(RegimeExecucao)="Global",$I55&gt;0,COUNTIF($AB$13:$AM$13,BM.medicao)&gt;0),O55/$I55*100,0)))</f>
        <v>#NAME?</v>
      </c>
      <c r="M55" s="635" t="n">
        <f aca="true">IF($A55="S",VTOTALBM,IF($A55=0,0,ROUND(SomaAgrupBM,15-13*ORÇAMENTO!$AF$11)))</f>
        <v>0</v>
      </c>
      <c r="N55" s="219" t="n">
        <f aca="false">O55-M55</f>
        <v>0</v>
      </c>
      <c r="O55" s="210" t="n">
        <f aca="true">IF($A55="S",VTOTALBM,IF($A55=0,0,ROUND(SomaAgrupBM,15-13*ORÇAMENTO!$AF$11)))</f>
        <v>0</v>
      </c>
      <c r="Q55" s="636"/>
      <c r="R55" s="637"/>
      <c r="T55" s="202" t="str">
        <f aca="false">IF($W55&gt;0,$D55,"")</f>
        <v/>
      </c>
      <c r="U55" s="341" t="str">
        <f aca="false">IF($W55&gt;0,$E55,"")</f>
        <v/>
      </c>
      <c r="V55" s="342" t="str">
        <f aca="true">IF(AND($W55&gt;0,RegimeExecucao="Unitário"),$F55,"")</f>
        <v/>
      </c>
      <c r="W55" s="638" t="n">
        <f aca="true">IF($Y55&gt;0,CHOOSE(MATCH(RegimeExecucao,{"Unitário","Global"},0),IF($A55="S",$Y55/$X55,""),($Y55/$X55)*100),0)</f>
        <v>0</v>
      </c>
      <c r="X55" s="639" t="str">
        <f aca="true">IF($Y55&gt;0,CHOOSE(MATCH(RegimeExecucao,{"Unitário","Global"},0),IF($A55="S",ROUND($H55,ORÇAMENTO!$AF$10),""),ROUND($I55,ORÇAMENTO!$AF$11)),"")</f>
        <v/>
      </c>
      <c r="Y55" s="639" t="n">
        <f aca="false">AO55-O55</f>
        <v>0</v>
      </c>
      <c r="Z55" s="640"/>
      <c r="AB55" s="636"/>
      <c r="AC55" s="641"/>
      <c r="AD55" s="641"/>
      <c r="AE55" s="641"/>
      <c r="AF55" s="641"/>
      <c r="AG55" s="641"/>
      <c r="AH55" s="641"/>
      <c r="AI55" s="641"/>
      <c r="AJ55" s="641"/>
      <c r="AK55" s="641"/>
      <c r="AL55" s="641"/>
      <c r="AM55" s="637"/>
      <c r="AO55" s="38" t="n">
        <f aca="true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customFormat="false" ht="12.75" hidden="false" customHeight="false" outlineLevel="0" collapsed="false">
      <c r="A56" s="1" t="n">
        <f aca="false">ORÇAMENTO!C56</f>
        <v>2</v>
      </c>
      <c r="B56" s="1" t="n">
        <f aca="false">ORÇAMENTO!D56</f>
        <v>1</v>
      </c>
      <c r="C56" s="199" t="str">
        <f aca="false">IF(OR($I56&gt;0,$A56=1,$A56=2,$A56=3,$A56=4),"F","")</f>
        <v>F</v>
      </c>
      <c r="D56" s="202" t="str">
        <f aca="false">ORÇAMENTO!O56</f>
        <v>1.10.</v>
      </c>
      <c r="E56" s="341" t="str">
        <f aca="false">ORÇAMENTO.Descricao</f>
        <v>PAREDES E PAINÉIS</v>
      </c>
      <c r="F56" s="342" t="str">
        <f aca="true">IF(RegimeExecucao="Global","",ORÇAMENTO.Unidade)</f>
        <v/>
      </c>
      <c r="G56" s="207" t="str">
        <f aca="true">IF(RegimeExecucao="Global","",ORÇAMENTO!T56)</f>
        <v/>
      </c>
      <c r="H56" s="207" t="str">
        <f aca="true">IF(RegimeExecucao="Global","",ORÇAMENTO!W56)</f>
        <v/>
      </c>
      <c r="I56" s="210" t="n">
        <f aca="false">ORÇAMENTO!X56</f>
        <v>0</v>
      </c>
      <c r="J56" s="633" t="e">
        <f aca="false" t="array" ref="J56:J56">_xlfn.single(IF($A56="S",IF(CAIXA.Modo,BM.AFAnterior,BM.MEDAnterior),IF(AND(_xlfn.single(RegimeExecucao)="Global",$I56&gt;0,COUNTIF($AB$13:$AM$13,BM.medicao-1)&gt;0),M56/$I56*100,0)))</f>
        <v>#NAME?</v>
      </c>
      <c r="K56" s="207" t="e">
        <f aca="false">L56-J56</f>
        <v>#NAME?</v>
      </c>
      <c r="L56" s="634" t="e">
        <f aca="false" t="array" ref="L56:L56">_xlfn.single(IF($A56="S",IF(CAIXA.Modo,BM.AFAcumulado,BM.MEDAcumulado),IF(AND(_xlfn.single(RegimeExecucao)="Global",$I56&gt;0,COUNTIF($AB$13:$AM$13,BM.medicao)&gt;0),O56/$I56*100,0)))</f>
        <v>#NAME?</v>
      </c>
      <c r="M56" s="635" t="n">
        <f aca="true">IF($A56="S",VTOTALBM,IF($A56=0,0,ROUND(SomaAgrupBM,15-13*ORÇAMENTO!$AF$11)))</f>
        <v>0</v>
      </c>
      <c r="N56" s="219" t="n">
        <f aca="false">O56-M56</f>
        <v>0</v>
      </c>
      <c r="O56" s="210" t="n">
        <f aca="true">IF($A56="S",VTOTALBM,IF($A56=0,0,ROUND(SomaAgrupBM,15-13*ORÇAMENTO!$AF$11)))</f>
        <v>0</v>
      </c>
      <c r="Q56" s="636"/>
      <c r="R56" s="637"/>
      <c r="T56" s="202" t="str">
        <f aca="false">IF($W56&gt;0,$D56,"")</f>
        <v/>
      </c>
      <c r="U56" s="341" t="str">
        <f aca="false">IF($W56&gt;0,$E56,"")</f>
        <v/>
      </c>
      <c r="V56" s="342" t="str">
        <f aca="true">IF(AND($W56&gt;0,RegimeExecucao="Unitário"),$F56,"")</f>
        <v/>
      </c>
      <c r="W56" s="638" t="n">
        <f aca="true">IF($Y56&gt;0,CHOOSE(MATCH(RegimeExecucao,{"Unitário","Global"},0),IF($A56="S",$Y56/$X56,""),($Y56/$X56)*100),0)</f>
        <v>0</v>
      </c>
      <c r="X56" s="639" t="str">
        <f aca="true">IF($Y56&gt;0,CHOOSE(MATCH(RegimeExecucao,{"Unitário","Global"},0),IF($A56="S",ROUND($H56,ORÇAMENTO!$AF$10),""),ROUND($I56,ORÇAMENTO!$AF$11)),"")</f>
        <v/>
      </c>
      <c r="Y56" s="639" t="n">
        <f aca="false">AO56-O56</f>
        <v>0</v>
      </c>
      <c r="Z56" s="640"/>
      <c r="AB56" s="636"/>
      <c r="AC56" s="641"/>
      <c r="AD56" s="641"/>
      <c r="AE56" s="641"/>
      <c r="AF56" s="641"/>
      <c r="AG56" s="641"/>
      <c r="AH56" s="641"/>
      <c r="AI56" s="641"/>
      <c r="AJ56" s="641"/>
      <c r="AK56" s="641"/>
      <c r="AL56" s="641"/>
      <c r="AM56" s="637"/>
      <c r="AO56" s="38" t="n">
        <f aca="true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customFormat="false" ht="12.75" hidden="false" customHeight="false" outlineLevel="0" collapsed="false">
      <c r="A57" s="1" t="n">
        <f aca="false">ORÇAMENTO!C57</f>
        <v>2</v>
      </c>
      <c r="B57" s="1" t="n">
        <f aca="false">ORÇAMENTO!D57</f>
        <v>3</v>
      </c>
      <c r="C57" s="199" t="str">
        <f aca="false">IF(OR($I57&gt;0,$A57=1,$A57=2,$A57=3,$A57=4),"F","")</f>
        <v>F</v>
      </c>
      <c r="D57" s="202" t="str">
        <f aca="false">ORÇAMENTO!O57</f>
        <v>1.11.</v>
      </c>
      <c r="E57" s="341" t="str">
        <f aca="false">ORÇAMENTO.Descricao</f>
        <v>ALVENARIA/FECHAMENTOS</v>
      </c>
      <c r="F57" s="342" t="str">
        <f aca="true">IF(RegimeExecucao="Global","",ORÇAMENTO.Unidade)</f>
        <v/>
      </c>
      <c r="G57" s="207" t="str">
        <f aca="true">IF(RegimeExecucao="Global","",ORÇAMENTO!T57)</f>
        <v/>
      </c>
      <c r="H57" s="207" t="str">
        <f aca="true">IF(RegimeExecucao="Global","",ORÇAMENTO!W57)</f>
        <v/>
      </c>
      <c r="I57" s="210" t="n">
        <f aca="false">ORÇAMENTO!X57</f>
        <v>426720.5</v>
      </c>
      <c r="J57" s="633" t="e">
        <f aca="false" t="array" ref="J57:J57">_xlfn.single(IF($A57="S",IF(CAIXA.Modo,BM.AFAnterior,BM.MEDAnterior),IF(AND(_xlfn.single(RegimeExecucao)="Global",$I57&gt;0,COUNTIF($AB$13:$AM$13,BM.medicao-1)&gt;0),M57/$I57*100,0)))</f>
        <v>#NAME?</v>
      </c>
      <c r="K57" s="207" t="e">
        <f aca="false">L57-J57</f>
        <v>#NAME?</v>
      </c>
      <c r="L57" s="634" t="e">
        <f aca="false" t="array" ref="L57:L57">_xlfn.single(IF($A57="S",IF(CAIXA.Modo,BM.AFAcumulado,BM.MEDAcumulado),IF(AND(_xlfn.single(RegimeExecucao)="Global",$I57&gt;0,COUNTIF($AB$13:$AM$13,BM.medicao)&gt;0),O57/$I57*100,0)))</f>
        <v>#NAME?</v>
      </c>
      <c r="M57" s="635" t="n">
        <f aca="true">IF($A57="S",VTOTALBM,IF($A57=0,0,ROUND(SomaAgrupBM,15-13*ORÇAMENTO!$AF$11)))</f>
        <v>0</v>
      </c>
      <c r="N57" s="219" t="n">
        <f aca="false">O57-M57</f>
        <v>0</v>
      </c>
      <c r="O57" s="210" t="n">
        <f aca="true">IF($A57="S",VTOTALBM,IF($A57=0,0,ROUND(SomaAgrupBM,15-13*ORÇAMENTO!$AF$11)))</f>
        <v>0</v>
      </c>
      <c r="Q57" s="636"/>
      <c r="R57" s="637"/>
      <c r="T57" s="202" t="str">
        <f aca="false">IF($W57&gt;0,$D57,"")</f>
        <v/>
      </c>
      <c r="U57" s="341" t="str">
        <f aca="false">IF($W57&gt;0,$E57,"")</f>
        <v/>
      </c>
      <c r="V57" s="342" t="str">
        <f aca="true">IF(AND($W57&gt;0,RegimeExecucao="Unitário"),$F57,"")</f>
        <v/>
      </c>
      <c r="W57" s="638" t="n">
        <f aca="true">IF($Y57&gt;0,CHOOSE(MATCH(RegimeExecucao,{"Unitário","Global"},0),IF($A57="S",$Y57/$X57,""),($Y57/$X57)*100),0)</f>
        <v>0</v>
      </c>
      <c r="X57" s="639" t="str">
        <f aca="true">IF($Y57&gt;0,CHOOSE(MATCH(RegimeExecucao,{"Unitário","Global"},0),IF($A57="S",ROUND($H57,ORÇAMENTO!$AF$10),""),ROUND($I57,ORÇAMENTO!$AF$11)),"")</f>
        <v/>
      </c>
      <c r="Y57" s="639" t="n">
        <f aca="false">AO57-O57</f>
        <v>0</v>
      </c>
      <c r="Z57" s="640"/>
      <c r="AB57" s="636"/>
      <c r="AC57" s="641"/>
      <c r="AD57" s="641"/>
      <c r="AE57" s="641"/>
      <c r="AF57" s="641"/>
      <c r="AG57" s="641"/>
      <c r="AH57" s="641"/>
      <c r="AI57" s="641"/>
      <c r="AJ57" s="641"/>
      <c r="AK57" s="641"/>
      <c r="AL57" s="641"/>
      <c r="AM57" s="637"/>
      <c r="AO57" s="38" t="n">
        <f aca="true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customFormat="false" ht="46.25" hidden="false" customHeight="false" outlineLevel="0" collapsed="false">
      <c r="A58" s="1" t="str">
        <f aca="false">ORÇAMENTO!C58</f>
        <v>S</v>
      </c>
      <c r="B58" s="1" t="n">
        <f aca="false">ORÇAMENTO!D58</f>
        <v>0</v>
      </c>
      <c r="C58" s="199" t="str">
        <f aca="false">IF(OR($I58&gt;0,$A58=1,$A58=2,$A58=3,$A58=4),"F","")</f>
        <v>F</v>
      </c>
      <c r="D58" s="202" t="str">
        <f aca="false">ORÇAMENTO!O58</f>
        <v>1.11.1.</v>
      </c>
      <c r="E58" s="341" t="str">
        <f aca="false">ORÇAMENTO.Descricao</f>
        <v>ALVENARIA DE VEDAÇÃO DE BLOCOS CERÂMICOS FURADOS NA HORIZONTAL DE 9X19X19 CM (ESPESSURA 9 CM)
E ARGAMASSA DE ASSENTAMENTO COM PREPARO EM BETONEIRA. AF_12/2021</v>
      </c>
      <c r="F58" s="342" t="str">
        <f aca="true">IF(RegimeExecucao="Global","",ORÇAMENTO.Unidade)</f>
        <v/>
      </c>
      <c r="G58" s="207" t="str">
        <f aca="true">IF(RegimeExecucao="Global","",ORÇAMENTO!T58)</f>
        <v/>
      </c>
      <c r="H58" s="207" t="str">
        <f aca="true">IF(RegimeExecucao="Global","",ORÇAMENTO!W58)</f>
        <v/>
      </c>
      <c r="I58" s="210" t="n">
        <f aca="false">ORÇAMENTO!X58</f>
        <v>394290.25</v>
      </c>
      <c r="J58" s="633" t="e">
        <f aca="false" t="array" ref="J58:J58">_xlfn.single(IF($A58="S",IF(CAIXA.Modo,BM.AFAnterior,BM.MEDAnterior),IF(AND(_xlfn.single(RegimeExecucao)="Global",$I58&gt;0,COUNTIF($AB$13:$AM$13,BM.medicao-1)&gt;0),M58/$I58*100,0)))</f>
        <v>#NAME?</v>
      </c>
      <c r="K58" s="207" t="e">
        <f aca="false">L58-J58</f>
        <v>#NAME?</v>
      </c>
      <c r="L58" s="634" t="e">
        <f aca="false" t="array" ref="L58:L58">_xlfn.single(IF($A58="S",IF(CAIXA.Modo,BM.AFAcumulado,BM.MEDAcumulado),IF(AND(_xlfn.single(RegimeExecucao)="Global",$I58&gt;0,COUNTIF($AB$13:$AM$13,BM.medicao)&gt;0),O58/$I58*100,0)))</f>
        <v>#NAME?</v>
      </c>
      <c r="M58" s="635" t="n">
        <f aca="true">IF($A58="S",VTOTALBM,IF($A58=0,0,ROUND(SomaAgrupBM,15-13*ORÇAMENTO!$AF$11)))</f>
        <v>0</v>
      </c>
      <c r="N58" s="219" t="n">
        <f aca="false">O58-M58</f>
        <v>0</v>
      </c>
      <c r="O58" s="210" t="n">
        <f aca="true">IF($A58="S",VTOTALBM,IF($A58=0,0,ROUND(SomaAgrupBM,15-13*ORÇAMENTO!$AF$11)))</f>
        <v>0</v>
      </c>
      <c r="Q58" s="636"/>
      <c r="R58" s="637"/>
      <c r="T58" s="202" t="str">
        <f aca="false">IF($W58&gt;0,$D58,"")</f>
        <v/>
      </c>
      <c r="U58" s="341" t="str">
        <f aca="false">IF($W58&gt;0,$E58,"")</f>
        <v/>
      </c>
      <c r="V58" s="342" t="str">
        <f aca="true">IF(AND($W58&gt;0,RegimeExecucao="Unitário"),$F58,"")</f>
        <v/>
      </c>
      <c r="W58" s="638" t="n">
        <f aca="true">IF($Y58&gt;0,CHOOSE(MATCH(RegimeExecucao,{"Unitário","Global"},0),IF($A58="S",$Y58/$X58,""),($Y58/$X58)*100),0)</f>
        <v>0</v>
      </c>
      <c r="X58" s="639" t="str">
        <f aca="true">IF($Y58&gt;0,CHOOSE(MATCH(RegimeExecucao,{"Unitário","Global"},0),IF($A58="S",ROUND($H58,ORÇAMENTO!$AF$10),""),ROUND($I58,ORÇAMENTO!$AF$11)),"")</f>
        <v/>
      </c>
      <c r="Y58" s="639" t="n">
        <f aca="false">AO58-O58</f>
        <v>0</v>
      </c>
      <c r="Z58" s="640"/>
      <c r="AB58" s="636"/>
      <c r="AC58" s="641"/>
      <c r="AD58" s="641"/>
      <c r="AE58" s="641"/>
      <c r="AF58" s="641"/>
      <c r="AG58" s="641"/>
      <c r="AH58" s="641"/>
      <c r="AI58" s="641"/>
      <c r="AJ58" s="641"/>
      <c r="AK58" s="641"/>
      <c r="AL58" s="641"/>
      <c r="AM58" s="637"/>
      <c r="AO58" s="38" t="n">
        <f aca="true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customFormat="false" ht="46.25" hidden="false" customHeight="false" outlineLevel="0" collapsed="false">
      <c r="A59" s="1" t="str">
        <f aca="false">ORÇAMENTO!C59</f>
        <v>S</v>
      </c>
      <c r="B59" s="1" t="n">
        <f aca="false">ORÇAMENTO!D59</f>
        <v>0</v>
      </c>
      <c r="C59" s="199" t="str">
        <f aca="false">IF(OR($I59&gt;0,$A59=1,$A59=2,$A59=3,$A59=4),"F","")</f>
        <v>F</v>
      </c>
      <c r="D59" s="202" t="str">
        <f aca="false">ORÇAMENTO!O59</f>
        <v>1.11.2.</v>
      </c>
      <c r="E59" s="341" t="str">
        <f aca="false">ORÇAMENTO.Descricao</f>
        <v>VERGA OU CONTRAVERGA EM CONCRETO ESTRUTURAL PARA
VÃOS DE ATÉ 150CM, PREPARADO EM OBRA COM BETONEIRA,
CONTROLE "A", COM FCK 20 MPA, MOLDADA IN LOCO, INCLUSIVE
ARMAÇÃO </v>
      </c>
      <c r="F59" s="342" t="str">
        <f aca="true">IF(RegimeExecucao="Global","",ORÇAMENTO.Unidade)</f>
        <v/>
      </c>
      <c r="G59" s="207" t="str">
        <f aca="true">IF(RegimeExecucao="Global","",ORÇAMENTO!T59)</f>
        <v/>
      </c>
      <c r="H59" s="207" t="str">
        <f aca="true">IF(RegimeExecucao="Global","",ORÇAMENTO!W59)</f>
        <v/>
      </c>
      <c r="I59" s="210" t="n">
        <f aca="false">ORÇAMENTO!X59</f>
        <v>32430.25</v>
      </c>
      <c r="J59" s="633" t="e">
        <f aca="false" t="array" ref="J59:J59">_xlfn.single(IF($A59="S",IF(CAIXA.Modo,BM.AFAnterior,BM.MEDAnterior),IF(AND(_xlfn.single(RegimeExecucao)="Global",$I59&gt;0,COUNTIF($AB$13:$AM$13,BM.medicao-1)&gt;0),M59/$I59*100,0)))</f>
        <v>#NAME?</v>
      </c>
      <c r="K59" s="207" t="e">
        <f aca="false">L59-J59</f>
        <v>#NAME?</v>
      </c>
      <c r="L59" s="634" t="e">
        <f aca="false" t="array" ref="L59:L59">_xlfn.single(IF($A59="S",IF(CAIXA.Modo,BM.AFAcumulado,BM.MEDAcumulado),IF(AND(_xlfn.single(RegimeExecucao)="Global",$I59&gt;0,COUNTIF($AB$13:$AM$13,BM.medicao)&gt;0),O59/$I59*100,0)))</f>
        <v>#NAME?</v>
      </c>
      <c r="M59" s="635" t="n">
        <f aca="true">IF($A59="S",VTOTALBM,IF($A59=0,0,ROUND(SomaAgrupBM,15-13*ORÇAMENTO!$AF$11)))</f>
        <v>0</v>
      </c>
      <c r="N59" s="219" t="n">
        <f aca="false">O59-M59</f>
        <v>0</v>
      </c>
      <c r="O59" s="210" t="n">
        <f aca="true">IF($A59="S",VTOTALBM,IF($A59=0,0,ROUND(SomaAgrupBM,15-13*ORÇAMENTO!$AF$11)))</f>
        <v>0</v>
      </c>
      <c r="Q59" s="636"/>
      <c r="R59" s="637"/>
      <c r="T59" s="202" t="str">
        <f aca="false">IF($W59&gt;0,$D59,"")</f>
        <v/>
      </c>
      <c r="U59" s="341" t="str">
        <f aca="false">IF($W59&gt;0,$E59,"")</f>
        <v/>
      </c>
      <c r="V59" s="342" t="str">
        <f aca="true">IF(AND($W59&gt;0,RegimeExecucao="Unitário"),$F59,"")</f>
        <v/>
      </c>
      <c r="W59" s="638" t="n">
        <f aca="true">IF($Y59&gt;0,CHOOSE(MATCH(RegimeExecucao,{"Unitário","Global"},0),IF($A59="S",$Y59/$X59,""),($Y59/$X59)*100),0)</f>
        <v>0</v>
      </c>
      <c r="X59" s="639" t="str">
        <f aca="true">IF($Y59&gt;0,CHOOSE(MATCH(RegimeExecucao,{"Unitário","Global"},0),IF($A59="S",ROUND($H59,ORÇAMENTO!$AF$10),""),ROUND($I59,ORÇAMENTO!$AF$11)),"")</f>
        <v/>
      </c>
      <c r="Y59" s="639" t="n">
        <f aca="false">AO59-O59</f>
        <v>0</v>
      </c>
      <c r="Z59" s="640"/>
      <c r="AB59" s="636"/>
      <c r="AC59" s="641"/>
      <c r="AD59" s="641"/>
      <c r="AE59" s="641"/>
      <c r="AF59" s="641"/>
      <c r="AG59" s="641"/>
      <c r="AH59" s="641"/>
      <c r="AI59" s="641"/>
      <c r="AJ59" s="641"/>
      <c r="AK59" s="641"/>
      <c r="AL59" s="641"/>
      <c r="AM59" s="637"/>
      <c r="AO59" s="38" t="n">
        <f aca="true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customFormat="false" ht="12.75" hidden="false" customHeight="false" outlineLevel="0" collapsed="false">
      <c r="A60" s="1" t="n">
        <f aca="false">ORÇAMENTO!C60</f>
        <v>2</v>
      </c>
      <c r="B60" s="1" t="n">
        <f aca="false">ORÇAMENTO!D60</f>
        <v>3</v>
      </c>
      <c r="C60" s="199" t="str">
        <f aca="false">IF(OR($I60&gt;0,$A60=1,$A60=2,$A60=3,$A60=4),"F","")</f>
        <v>F</v>
      </c>
      <c r="D60" s="202" t="str">
        <f aca="false">ORÇAMENTO!O60</f>
        <v>1.12.</v>
      </c>
      <c r="E60" s="341" t="str">
        <f aca="false">ORÇAMENTO.Descricao</f>
        <v>ESQUADRIAS METÁLICAS</v>
      </c>
      <c r="F60" s="342" t="str">
        <f aca="true">IF(RegimeExecucao="Global","",ORÇAMENTO.Unidade)</f>
        <v/>
      </c>
      <c r="G60" s="207" t="str">
        <f aca="true">IF(RegimeExecucao="Global","",ORÇAMENTO!T60)</f>
        <v/>
      </c>
      <c r="H60" s="207" t="str">
        <f aca="true">IF(RegimeExecucao="Global","",ORÇAMENTO!W60)</f>
        <v/>
      </c>
      <c r="I60" s="210" t="n">
        <f aca="false">ORÇAMENTO!X60</f>
        <v>65420.5</v>
      </c>
      <c r="J60" s="633" t="e">
        <f aca="false" t="array" ref="J60:J60">_xlfn.single(IF($A60="S",IF(CAIXA.Modo,BM.AFAnterior,BM.MEDAnterior),IF(AND(_xlfn.single(RegimeExecucao)="Global",$I60&gt;0,COUNTIF($AB$13:$AM$13,BM.medicao-1)&gt;0),M60/$I60*100,0)))</f>
        <v>#NAME?</v>
      </c>
      <c r="K60" s="207" t="e">
        <f aca="false">L60-J60</f>
        <v>#NAME?</v>
      </c>
      <c r="L60" s="634" t="e">
        <f aca="false" t="array" ref="L60:L60">_xlfn.single(IF($A60="S",IF(CAIXA.Modo,BM.AFAcumulado,BM.MEDAcumulado),IF(AND(_xlfn.single(RegimeExecucao)="Global",$I60&gt;0,COUNTIF($AB$13:$AM$13,BM.medicao)&gt;0),O60/$I60*100,0)))</f>
        <v>#NAME?</v>
      </c>
      <c r="M60" s="635" t="n">
        <f aca="true">IF($A60="S",VTOTALBM,IF($A60=0,0,ROUND(SomaAgrupBM,15-13*ORÇAMENTO!$AF$11)))</f>
        <v>0</v>
      </c>
      <c r="N60" s="219" t="n">
        <f aca="false">O60-M60</f>
        <v>0</v>
      </c>
      <c r="O60" s="210" t="n">
        <f aca="true">IF($A60="S",VTOTALBM,IF($A60=0,0,ROUND(SomaAgrupBM,15-13*ORÇAMENTO!$AF$11)))</f>
        <v>0</v>
      </c>
      <c r="Q60" s="636"/>
      <c r="R60" s="637"/>
      <c r="T60" s="202" t="str">
        <f aca="false">IF($W60&gt;0,$D60,"")</f>
        <v/>
      </c>
      <c r="U60" s="341" t="str">
        <f aca="false">IF($W60&gt;0,$E60,"")</f>
        <v/>
      </c>
      <c r="V60" s="342" t="str">
        <f aca="true">IF(AND($W60&gt;0,RegimeExecucao="Unitário"),$F60,"")</f>
        <v/>
      </c>
      <c r="W60" s="638" t="n">
        <f aca="true">IF($Y60&gt;0,CHOOSE(MATCH(RegimeExecucao,{"Unitário","Global"},0),IF($A60="S",$Y60/$X60,""),($Y60/$X60)*100),0)</f>
        <v>0</v>
      </c>
      <c r="X60" s="639" t="str">
        <f aca="true">IF($Y60&gt;0,CHOOSE(MATCH(RegimeExecucao,{"Unitário","Global"},0),IF($A60="S",ROUND($H60,ORÇAMENTO!$AF$10),""),ROUND($I60,ORÇAMENTO!$AF$11)),"")</f>
        <v/>
      </c>
      <c r="Y60" s="639" t="n">
        <f aca="false">AO60-O60</f>
        <v>0</v>
      </c>
      <c r="Z60" s="640"/>
      <c r="AB60" s="636"/>
      <c r="AC60" s="641"/>
      <c r="AD60" s="641"/>
      <c r="AE60" s="641"/>
      <c r="AF60" s="641"/>
      <c r="AG60" s="641"/>
      <c r="AH60" s="641"/>
      <c r="AI60" s="641"/>
      <c r="AJ60" s="641"/>
      <c r="AK60" s="641"/>
      <c r="AL60" s="641"/>
      <c r="AM60" s="637"/>
      <c r="AO60" s="38" t="n">
        <f aca="true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customFormat="false" ht="79.85" hidden="false" customHeight="false" outlineLevel="0" collapsed="false">
      <c r="A61" s="1" t="str">
        <f aca="false">ORÇAMENTO!C61</f>
        <v>S</v>
      </c>
      <c r="B61" s="1" t="n">
        <f aca="false">ORÇAMENTO!D61</f>
        <v>0</v>
      </c>
      <c r="C61" s="199" t="str">
        <f aca="false">IF(OR($I61&gt;0,$A61=1,$A61=2,$A61=3,$A61=4),"F","")</f>
        <v>F</v>
      </c>
      <c r="D61" s="202" t="str">
        <f aca="false">ORÇAMENTO!O61</f>
        <v>1.12.1.</v>
      </c>
      <c r="E61" s="341" t="str">
        <f aca="false">ORÇAMENTO.Descricao</f>
        <v>JANELA DE ALUMÍNIO DE CORRER COM 2 FOLHAS PARA VIDROS (VIDROS INCLUSOS), BATENTE/ REQUADRO 6 A 14
CM, ACABAMENTO COM ACETATO OU BRILHANTE, FIXAÇÃO COM PARAFUSO, SEM GUARNIÇÃO/ ALIZAR,
DIMENSÕES 100X120 CM, VEDAÇÃO COM SILICONE, EXCLUSIVE CONTRAMARCO - FORNECIMENTO E
INSTALAÇÃO. AF_11/2024</v>
      </c>
      <c r="F61" s="342" t="str">
        <f aca="true">IF(RegimeExecucao="Global","",ORÇAMENTO.Unidade)</f>
        <v/>
      </c>
      <c r="G61" s="207" t="str">
        <f aca="true">IF(RegimeExecucao="Global","",ORÇAMENTO!T61)</f>
        <v/>
      </c>
      <c r="H61" s="207" t="str">
        <f aca="true">IF(RegimeExecucao="Global","",ORÇAMENTO!W61)</f>
        <v/>
      </c>
      <c r="I61" s="210" t="n">
        <f aca="false">ORÇAMENTO!X61</f>
        <v>58816</v>
      </c>
      <c r="J61" s="633" t="e">
        <f aca="false" t="array" ref="J61:J61">_xlfn.single(IF($A61="S",IF(CAIXA.Modo,BM.AFAnterior,BM.MEDAnterior),IF(AND(_xlfn.single(RegimeExecucao)="Global",$I61&gt;0,COUNTIF($AB$13:$AM$13,BM.medicao-1)&gt;0),M61/$I61*100,0)))</f>
        <v>#NAME?</v>
      </c>
      <c r="K61" s="207" t="e">
        <f aca="false">L61-J61</f>
        <v>#NAME?</v>
      </c>
      <c r="L61" s="634" t="e">
        <f aca="false" t="array" ref="L61:L61">_xlfn.single(IF($A61="S",IF(CAIXA.Modo,BM.AFAcumulado,BM.MEDAcumulado),IF(AND(_xlfn.single(RegimeExecucao)="Global",$I61&gt;0,COUNTIF($AB$13:$AM$13,BM.medicao)&gt;0),O61/$I61*100,0)))</f>
        <v>#NAME?</v>
      </c>
      <c r="M61" s="635" t="n">
        <f aca="true">IF($A61="S",VTOTALBM,IF($A61=0,0,ROUND(SomaAgrupBM,15-13*ORÇAMENTO!$AF$11)))</f>
        <v>0</v>
      </c>
      <c r="N61" s="219" t="n">
        <f aca="false">O61-M61</f>
        <v>0</v>
      </c>
      <c r="O61" s="210" t="n">
        <f aca="true">IF($A61="S",VTOTALBM,IF($A61=0,0,ROUND(SomaAgrupBM,15-13*ORÇAMENTO!$AF$11)))</f>
        <v>0</v>
      </c>
      <c r="Q61" s="636"/>
      <c r="R61" s="637"/>
      <c r="T61" s="202" t="str">
        <f aca="false">IF($W61&gt;0,$D61,"")</f>
        <v/>
      </c>
      <c r="U61" s="341" t="str">
        <f aca="false">IF($W61&gt;0,$E61,"")</f>
        <v/>
      </c>
      <c r="V61" s="342" t="str">
        <f aca="true">IF(AND($W61&gt;0,RegimeExecucao="Unitário"),$F61,"")</f>
        <v/>
      </c>
      <c r="W61" s="638" t="n">
        <f aca="true">IF($Y61&gt;0,CHOOSE(MATCH(RegimeExecucao,{"Unitário","Global"},0),IF($A61="S",$Y61/$X61,""),($Y61/$X61)*100),0)</f>
        <v>0</v>
      </c>
      <c r="X61" s="639" t="str">
        <f aca="true">IF($Y61&gt;0,CHOOSE(MATCH(RegimeExecucao,{"Unitário","Global"},0),IF($A61="S",ROUND($H61,ORÇAMENTO!$AF$10),""),ROUND($I61,ORÇAMENTO!$AF$11)),"")</f>
        <v/>
      </c>
      <c r="Y61" s="639" t="n">
        <f aca="false">AO61-O61</f>
        <v>0</v>
      </c>
      <c r="Z61" s="640"/>
      <c r="AB61" s="636"/>
      <c r="AC61" s="641"/>
      <c r="AD61" s="641"/>
      <c r="AE61" s="641"/>
      <c r="AF61" s="641"/>
      <c r="AG61" s="641"/>
      <c r="AH61" s="641"/>
      <c r="AI61" s="641"/>
      <c r="AJ61" s="641"/>
      <c r="AK61" s="641"/>
      <c r="AL61" s="641"/>
      <c r="AM61" s="637"/>
      <c r="AO61" s="38" t="n">
        <f aca="true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customFormat="false" ht="46.25" hidden="false" customHeight="false" outlineLevel="0" collapsed="false">
      <c r="A62" s="1" t="str">
        <f aca="false">ORÇAMENTO!C62</f>
        <v>S</v>
      </c>
      <c r="B62" s="1" t="n">
        <f aca="false">ORÇAMENTO!D62</f>
        <v>0</v>
      </c>
      <c r="C62" s="199" t="str">
        <f aca="false">IF(OR($I62&gt;0,$A62=1,$A62=2,$A62=3,$A62=4),"F","")</f>
        <v>F</v>
      </c>
      <c r="D62" s="202" t="str">
        <f aca="false">ORÇAMENTO!O62</f>
        <v>1.12.2.</v>
      </c>
      <c r="E62" s="341" t="str">
        <f aca="false">ORÇAMENTO.Descricao</f>
        <v>JANELA EM ALUMÍNIO MÁXIM-AR COM ALTURA DE 60CM, LINHA 25/
SUPREMA, ACABAMENTO ANODIZADO NATURAL, INCLUSIVE
PERFIS, VIDRO LISO 4MM E INSTALAÇÃO, EXCLUSIVE FERRAGENS
PARA MÓDULO DE JANELA DE ALUMÍNIO MÁXIM-AR</v>
      </c>
      <c r="F62" s="342" t="str">
        <f aca="true">IF(RegimeExecucao="Global","",ORÇAMENTO.Unidade)</f>
        <v/>
      </c>
      <c r="G62" s="207" t="str">
        <f aca="true">IF(RegimeExecucao="Global","",ORÇAMENTO!T62)</f>
        <v/>
      </c>
      <c r="H62" s="207" t="str">
        <f aca="true">IF(RegimeExecucao="Global","",ORÇAMENTO!W62)</f>
        <v/>
      </c>
      <c r="I62" s="210" t="n">
        <f aca="false">ORÇAMENTO!X62</f>
        <v>6604.5</v>
      </c>
      <c r="J62" s="633" t="e">
        <f aca="false" t="array" ref="J62:J62">_xlfn.single(IF($A62="S",IF(CAIXA.Modo,BM.AFAnterior,BM.MEDAnterior),IF(AND(_xlfn.single(RegimeExecucao)="Global",$I62&gt;0,COUNTIF($AB$13:$AM$13,BM.medicao-1)&gt;0),M62/$I62*100,0)))</f>
        <v>#NAME?</v>
      </c>
      <c r="K62" s="207" t="e">
        <f aca="false">L62-J62</f>
        <v>#NAME?</v>
      </c>
      <c r="L62" s="634" t="e">
        <f aca="false" t="array" ref="L62:L62">_xlfn.single(IF($A62="S",IF(CAIXA.Modo,BM.AFAcumulado,BM.MEDAcumulado),IF(AND(_xlfn.single(RegimeExecucao)="Global",$I62&gt;0,COUNTIF($AB$13:$AM$13,BM.medicao)&gt;0),O62/$I62*100,0)))</f>
        <v>#NAME?</v>
      </c>
      <c r="M62" s="635" t="n">
        <f aca="true">IF($A62="S",VTOTALBM,IF($A62=0,0,ROUND(SomaAgrupBM,15-13*ORÇAMENTO!$AF$11)))</f>
        <v>0</v>
      </c>
      <c r="N62" s="219" t="n">
        <f aca="false">O62-M62</f>
        <v>0</v>
      </c>
      <c r="O62" s="210" t="n">
        <f aca="true">IF($A62="S",VTOTALBM,IF($A62=0,0,ROUND(SomaAgrupBM,15-13*ORÇAMENTO!$AF$11)))</f>
        <v>0</v>
      </c>
      <c r="Q62" s="636"/>
      <c r="R62" s="637"/>
      <c r="T62" s="202" t="str">
        <f aca="false">IF($W62&gt;0,$D62,"")</f>
        <v/>
      </c>
      <c r="U62" s="341" t="str">
        <f aca="false">IF($W62&gt;0,$E62,"")</f>
        <v/>
      </c>
      <c r="V62" s="342" t="str">
        <f aca="true">IF(AND($W62&gt;0,RegimeExecucao="Unitário"),$F62,"")</f>
        <v/>
      </c>
      <c r="W62" s="638" t="n">
        <f aca="true">IF($Y62&gt;0,CHOOSE(MATCH(RegimeExecucao,{"Unitário","Global"},0),IF($A62="S",$Y62/$X62,""),($Y62/$X62)*100),0)</f>
        <v>0</v>
      </c>
      <c r="X62" s="639" t="str">
        <f aca="true">IF($Y62&gt;0,CHOOSE(MATCH(RegimeExecucao,{"Unitário","Global"},0),IF($A62="S",ROUND($H62,ORÇAMENTO!$AF$10),""),ROUND($I62,ORÇAMENTO!$AF$11)),"")</f>
        <v/>
      </c>
      <c r="Y62" s="639" t="n">
        <f aca="false">AO62-O62</f>
        <v>0</v>
      </c>
      <c r="Z62" s="640"/>
      <c r="AB62" s="636"/>
      <c r="AC62" s="641"/>
      <c r="AD62" s="641"/>
      <c r="AE62" s="641"/>
      <c r="AF62" s="641"/>
      <c r="AG62" s="641"/>
      <c r="AH62" s="641"/>
      <c r="AI62" s="641"/>
      <c r="AJ62" s="641"/>
      <c r="AK62" s="641"/>
      <c r="AL62" s="641"/>
      <c r="AM62" s="637"/>
      <c r="AO62" s="38" t="n">
        <f aca="true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customFormat="false" ht="12.75" hidden="false" customHeight="false" outlineLevel="0" collapsed="false">
      <c r="A63" s="1" t="n">
        <f aca="false">ORÇAMENTO!C63</f>
        <v>2</v>
      </c>
      <c r="B63" s="1" t="n">
        <f aca="false">ORÇAMENTO!D63</f>
        <v>2</v>
      </c>
      <c r="C63" s="199" t="str">
        <f aca="false">IF(OR($I63&gt;0,$A63=1,$A63=2,$A63=3,$A63=4),"F","")</f>
        <v>F</v>
      </c>
      <c r="D63" s="202" t="str">
        <f aca="false">ORÇAMENTO!O63</f>
        <v>1.13.</v>
      </c>
      <c r="E63" s="341" t="str">
        <f aca="false">ORÇAMENTO.Descricao</f>
        <v>ESQUADRIAS DE MADEIRAS</v>
      </c>
      <c r="F63" s="342" t="str">
        <f aca="true">IF(RegimeExecucao="Global","",ORÇAMENTO.Unidade)</f>
        <v/>
      </c>
      <c r="G63" s="207" t="str">
        <f aca="true">IF(RegimeExecucao="Global","",ORÇAMENTO!T63)</f>
        <v/>
      </c>
      <c r="H63" s="207" t="str">
        <f aca="true">IF(RegimeExecucao="Global","",ORÇAMENTO!W63)</f>
        <v/>
      </c>
      <c r="I63" s="210" t="n">
        <f aca="false">ORÇAMENTO!X63</f>
        <v>85711.5</v>
      </c>
      <c r="J63" s="633" t="e">
        <f aca="false" t="array" ref="J63:J63">_xlfn.single(IF($A63="S",IF(CAIXA.Modo,BM.AFAnterior,BM.MEDAnterior),IF(AND(_xlfn.single(RegimeExecucao)="Global",$I63&gt;0,COUNTIF($AB$13:$AM$13,BM.medicao-1)&gt;0),M63/$I63*100,0)))</f>
        <v>#NAME?</v>
      </c>
      <c r="K63" s="207" t="e">
        <f aca="false">L63-J63</f>
        <v>#NAME?</v>
      </c>
      <c r="L63" s="634" t="e">
        <f aca="false" t="array" ref="L63:L63">_xlfn.single(IF($A63="S",IF(CAIXA.Modo,BM.AFAcumulado,BM.MEDAcumulado),IF(AND(_xlfn.single(RegimeExecucao)="Global",$I63&gt;0,COUNTIF($AB$13:$AM$13,BM.medicao)&gt;0),O63/$I63*100,0)))</f>
        <v>#NAME?</v>
      </c>
      <c r="M63" s="635" t="n">
        <f aca="true">IF($A63="S",VTOTALBM,IF($A63=0,0,ROUND(SomaAgrupBM,15-13*ORÇAMENTO!$AF$11)))</f>
        <v>0</v>
      </c>
      <c r="N63" s="219" t="n">
        <f aca="false">O63-M63</f>
        <v>0</v>
      </c>
      <c r="O63" s="210" t="n">
        <f aca="true">IF($A63="S",VTOTALBM,IF($A63=0,0,ROUND(SomaAgrupBM,15-13*ORÇAMENTO!$AF$11)))</f>
        <v>0</v>
      </c>
      <c r="Q63" s="636"/>
      <c r="R63" s="637"/>
      <c r="T63" s="202" t="str">
        <f aca="false">IF($W63&gt;0,$D63,"")</f>
        <v/>
      </c>
      <c r="U63" s="341" t="str">
        <f aca="false">IF($W63&gt;0,$E63,"")</f>
        <v/>
      </c>
      <c r="V63" s="342" t="str">
        <f aca="true">IF(AND($W63&gt;0,RegimeExecucao="Unitário"),$F63,"")</f>
        <v/>
      </c>
      <c r="W63" s="638" t="n">
        <f aca="true">IF($Y63&gt;0,CHOOSE(MATCH(RegimeExecucao,{"Unitário","Global"},0),IF($A63="S",$Y63/$X63,""),($Y63/$X63)*100),0)</f>
        <v>0</v>
      </c>
      <c r="X63" s="639" t="str">
        <f aca="true">IF($Y63&gt;0,CHOOSE(MATCH(RegimeExecucao,{"Unitário","Global"},0),IF($A63="S",ROUND($H63,ORÇAMENTO!$AF$10),""),ROUND($I63,ORÇAMENTO!$AF$11)),"")</f>
        <v/>
      </c>
      <c r="Y63" s="639" t="n">
        <f aca="false">AO63-O63</f>
        <v>0</v>
      </c>
      <c r="Z63" s="640"/>
      <c r="AB63" s="636"/>
      <c r="AC63" s="641"/>
      <c r="AD63" s="641"/>
      <c r="AE63" s="641"/>
      <c r="AF63" s="641"/>
      <c r="AG63" s="641"/>
      <c r="AH63" s="641"/>
      <c r="AI63" s="641"/>
      <c r="AJ63" s="641"/>
      <c r="AK63" s="641"/>
      <c r="AL63" s="641"/>
      <c r="AM63" s="637"/>
      <c r="AO63" s="38" t="n">
        <f aca="true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customFormat="false" ht="57.45" hidden="false" customHeight="false" outlineLevel="0" collapsed="false">
      <c r="A64" s="1" t="str">
        <f aca="false">ORÇAMENTO!C64</f>
        <v>S</v>
      </c>
      <c r="B64" s="1" t="n">
        <f aca="false">ORÇAMENTO!D64</f>
        <v>0</v>
      </c>
      <c r="C64" s="199" t="str">
        <f aca="false">IF(OR($I64&gt;0,$A64=1,$A64=2,$A64=3,$A64=4),"F","")</f>
        <v>F</v>
      </c>
      <c r="D64" s="202" t="str">
        <f aca="false">ORÇAMENTO!O64</f>
        <v>1.13.1.</v>
      </c>
      <c r="E64" s="341" t="str">
        <f aca="false">ORÇAMENTO.Descricao</f>
        <v>KIT DE PORTA DE MADEIRA PARA PINTURA, SEMI-OCA (LEVE OU MÉDIA), PADRÃO POPULAR, 80X210CM, ESPESSURA
DE 3,5CM, ITENS INCLUSOS: DOBRADIÇAS, MONTAGEM E INSTALAÇÃO DO BATENTE, FECHADURA COM EXECUÇÃO
DO FURO - FORNECIMENTO E INSTALAÇÃO. AF_12/2019</v>
      </c>
      <c r="F64" s="342" t="str">
        <f aca="true">IF(RegimeExecucao="Global","",ORÇAMENTO.Unidade)</f>
        <v/>
      </c>
      <c r="G64" s="207" t="str">
        <f aca="true">IF(RegimeExecucao="Global","",ORÇAMENTO!T64)</f>
        <v/>
      </c>
      <c r="H64" s="207" t="str">
        <f aca="true">IF(RegimeExecucao="Global","",ORÇAMENTO!W64)</f>
        <v/>
      </c>
      <c r="I64" s="210" t="n">
        <f aca="false">ORÇAMENTO!X64</f>
        <v>85711.5</v>
      </c>
      <c r="J64" s="633" t="e">
        <f aca="false" t="array" ref="J64:J64">_xlfn.single(IF($A64="S",IF(CAIXA.Modo,BM.AFAnterior,BM.MEDAnterior),IF(AND(_xlfn.single(RegimeExecucao)="Global",$I64&gt;0,COUNTIF($AB$13:$AM$13,BM.medicao-1)&gt;0),M64/$I64*100,0)))</f>
        <v>#NAME?</v>
      </c>
      <c r="K64" s="207" t="e">
        <f aca="false">L64-J64</f>
        <v>#NAME?</v>
      </c>
      <c r="L64" s="634" t="e">
        <f aca="false" t="array" ref="L64:L64">_xlfn.single(IF($A64="S",IF(CAIXA.Modo,BM.AFAcumulado,BM.MEDAcumulado),IF(AND(_xlfn.single(RegimeExecucao)="Global",$I64&gt;0,COUNTIF($AB$13:$AM$13,BM.medicao)&gt;0),O64/$I64*100,0)))</f>
        <v>#NAME?</v>
      </c>
      <c r="M64" s="635" t="n">
        <f aca="true">IF($A64="S",VTOTALBM,IF($A64=0,0,ROUND(SomaAgrupBM,15-13*ORÇAMENTO!$AF$11)))</f>
        <v>0</v>
      </c>
      <c r="N64" s="219" t="n">
        <f aca="false">O64-M64</f>
        <v>0</v>
      </c>
      <c r="O64" s="210" t="n">
        <f aca="true">IF($A64="S",VTOTALBM,IF($A64=0,0,ROUND(SomaAgrupBM,15-13*ORÇAMENTO!$AF$11)))</f>
        <v>0</v>
      </c>
      <c r="Q64" s="636"/>
      <c r="R64" s="637"/>
      <c r="T64" s="202" t="str">
        <f aca="false">IF($W64&gt;0,$D64,"")</f>
        <v/>
      </c>
      <c r="U64" s="341" t="str">
        <f aca="false">IF($W64&gt;0,$E64,"")</f>
        <v/>
      </c>
      <c r="V64" s="342" t="str">
        <f aca="true">IF(AND($W64&gt;0,RegimeExecucao="Unitário"),$F64,"")</f>
        <v/>
      </c>
      <c r="W64" s="638" t="n">
        <f aca="true">IF($Y64&gt;0,CHOOSE(MATCH(RegimeExecucao,{"Unitário","Global"},0),IF($A64="S",$Y64/$X64,""),($Y64/$X64)*100),0)</f>
        <v>0</v>
      </c>
      <c r="X64" s="639" t="str">
        <f aca="true">IF($Y64&gt;0,CHOOSE(MATCH(RegimeExecucao,{"Unitário","Global"},0),IF($A64="S",ROUND($H64,ORÇAMENTO!$AF$10),""),ROUND($I64,ORÇAMENTO!$AF$11)),"")</f>
        <v/>
      </c>
      <c r="Y64" s="639" t="n">
        <f aca="false">AO64-O64</f>
        <v>0</v>
      </c>
      <c r="Z64" s="640"/>
      <c r="AB64" s="636"/>
      <c r="AC64" s="641"/>
      <c r="AD64" s="641"/>
      <c r="AE64" s="641"/>
      <c r="AF64" s="641"/>
      <c r="AG64" s="641"/>
      <c r="AH64" s="641"/>
      <c r="AI64" s="641"/>
      <c r="AJ64" s="641"/>
      <c r="AK64" s="641"/>
      <c r="AL64" s="641"/>
      <c r="AM64" s="637"/>
      <c r="AO64" s="38" t="n">
        <f aca="true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customFormat="false" ht="12.75" hidden="false" customHeight="false" outlineLevel="0" collapsed="false">
      <c r="A65" s="1" t="n">
        <f aca="false">ORÇAMENTO!C65</f>
        <v>2</v>
      </c>
      <c r="B65" s="1" t="n">
        <f aca="false">ORÇAMENTO!D65</f>
        <v>3</v>
      </c>
      <c r="C65" s="199" t="str">
        <f aca="false">IF(OR($I65&gt;0,$A65=1,$A65=2,$A65=3,$A65=4),"F","")</f>
        <v>F</v>
      </c>
      <c r="D65" s="202" t="str">
        <f aca="false">ORÇAMENTO!O65</f>
        <v>1.14.</v>
      </c>
      <c r="E65" s="341" t="str">
        <f aca="false">ORÇAMENTO.Descricao</f>
        <v>VIDROS E ESQUADRIAS ESPECIAIS</v>
      </c>
      <c r="F65" s="342" t="str">
        <f aca="true">IF(RegimeExecucao="Global","",ORÇAMENTO.Unidade)</f>
        <v/>
      </c>
      <c r="G65" s="207" t="str">
        <f aca="true">IF(RegimeExecucao="Global","",ORÇAMENTO!T65)</f>
        <v/>
      </c>
      <c r="H65" s="207" t="str">
        <f aca="true">IF(RegimeExecucao="Global","",ORÇAMENTO!W65)</f>
        <v/>
      </c>
      <c r="I65" s="210" t="n">
        <f aca="false">ORÇAMENTO!X65</f>
        <v>126828.5</v>
      </c>
      <c r="J65" s="633" t="e">
        <f aca="false" t="array" ref="J65:J65">_xlfn.single(IF($A65="S",IF(CAIXA.Modo,BM.AFAnterior,BM.MEDAnterior),IF(AND(_xlfn.single(RegimeExecucao)="Global",$I65&gt;0,COUNTIF($AB$13:$AM$13,BM.medicao-1)&gt;0),M65/$I65*100,0)))</f>
        <v>#NAME?</v>
      </c>
      <c r="K65" s="207" t="e">
        <f aca="false">L65-J65</f>
        <v>#NAME?</v>
      </c>
      <c r="L65" s="634" t="e">
        <f aca="false" t="array" ref="L65:L65">_xlfn.single(IF($A65="S",IF(CAIXA.Modo,BM.AFAcumulado,BM.MEDAcumulado),IF(AND(_xlfn.single(RegimeExecucao)="Global",$I65&gt;0,COUNTIF($AB$13:$AM$13,BM.medicao)&gt;0),O65/$I65*100,0)))</f>
        <v>#NAME?</v>
      </c>
      <c r="M65" s="635" t="n">
        <f aca="true">IF($A65="S",VTOTALBM,IF($A65=0,0,ROUND(SomaAgrupBM,15-13*ORÇAMENTO!$AF$11)))</f>
        <v>0</v>
      </c>
      <c r="N65" s="219" t="n">
        <f aca="false">O65-M65</f>
        <v>0</v>
      </c>
      <c r="O65" s="210" t="n">
        <f aca="true">IF($A65="S",VTOTALBM,IF($A65=0,0,ROUND(SomaAgrupBM,15-13*ORÇAMENTO!$AF$11)))</f>
        <v>0</v>
      </c>
      <c r="Q65" s="636"/>
      <c r="R65" s="637"/>
      <c r="T65" s="202" t="str">
        <f aca="false">IF($W65&gt;0,$D65,"")</f>
        <v/>
      </c>
      <c r="U65" s="341" t="str">
        <f aca="false">IF($W65&gt;0,$E65,"")</f>
        <v/>
      </c>
      <c r="V65" s="342" t="str">
        <f aca="true">IF(AND($W65&gt;0,RegimeExecucao="Unitário"),$F65,"")</f>
        <v/>
      </c>
      <c r="W65" s="638" t="n">
        <f aca="true">IF($Y65&gt;0,CHOOSE(MATCH(RegimeExecucao,{"Unitário","Global"},0),IF($A65="S",$Y65/$X65,""),($Y65/$X65)*100),0)</f>
        <v>0</v>
      </c>
      <c r="X65" s="639" t="str">
        <f aca="true">IF($Y65&gt;0,CHOOSE(MATCH(RegimeExecucao,{"Unitário","Global"},0),IF($A65="S",ROUND($H65,ORÇAMENTO!$AF$10),""),ROUND($I65,ORÇAMENTO!$AF$11)),"")</f>
        <v/>
      </c>
      <c r="Y65" s="639" t="n">
        <f aca="false">AO65-O65</f>
        <v>0</v>
      </c>
      <c r="Z65" s="640"/>
      <c r="AB65" s="636"/>
      <c r="AC65" s="641"/>
      <c r="AD65" s="641"/>
      <c r="AE65" s="641"/>
      <c r="AF65" s="641"/>
      <c r="AG65" s="641"/>
      <c r="AH65" s="641"/>
      <c r="AI65" s="641"/>
      <c r="AJ65" s="641"/>
      <c r="AK65" s="641"/>
      <c r="AL65" s="641"/>
      <c r="AM65" s="637"/>
      <c r="AO65" s="38" t="n">
        <f aca="true">IF($A65="S",IF(BM!$I65=0,0,CHOOSE(MATCH(RegimeExecucao,{"Global","Unitário"},0),ROUND(ROUND(BM.MEDAcumulado,15-13*BM!$A$9)/100*BM!$I65,15-13*ORÇAMENTO!$AF$11),ROUND(ROUND(BM.MEDAcumulado,15-13*BM!$A$9)*ROUND(BM!$H65,15-13*ORÇAMENTO!$AF$10),15-13*ORÇAMENTO!$AF$11))),IF($A65=0,0,ROUND(SomaAgrupBM,15-13*ORÇAMENTO!$AF$11)))</f>
        <v>0</v>
      </c>
    </row>
    <row r="66" customFormat="false" ht="23.85" hidden="false" customHeight="false" outlineLevel="0" collapsed="false">
      <c r="A66" s="1" t="str">
        <f aca="false">ORÇAMENTO!C66</f>
        <v>S</v>
      </c>
      <c r="B66" s="1" t="n">
        <f aca="false">ORÇAMENTO!D66</f>
        <v>0</v>
      </c>
      <c r="C66" s="199" t="str">
        <f aca="false">IF(OR($I66&gt;0,$A66=1,$A66=2,$A66=3,$A66=4),"F","")</f>
        <v>F</v>
      </c>
      <c r="D66" s="202" t="str">
        <f aca="false">ORÇAMENTO!O66</f>
        <v>1.14.1.</v>
      </c>
      <c r="E66" s="341" t="str">
        <f aca="false">ORÇAMENTO.Descricao</f>
        <v>PORTA DE ABRIR COM MOLA HIDRÁULICA, EM VIDRO TEMPERADO, 90X210 CM, ESPESSURA 10 MM, INCLUSIVE ACESSÓRIOS. AF_01/2021</v>
      </c>
      <c r="F66" s="342" t="str">
        <f aca="true">IF(RegimeExecucao="Global","",ORÇAMENTO.Unidade)</f>
        <v/>
      </c>
      <c r="G66" s="207" t="str">
        <f aca="true">IF(RegimeExecucao="Global","",ORÇAMENTO!T66)</f>
        <v/>
      </c>
      <c r="H66" s="207" t="str">
        <f aca="true">IF(RegimeExecucao="Global","",ORÇAMENTO!W66)</f>
        <v/>
      </c>
      <c r="I66" s="210" t="n">
        <f aca="false">ORÇAMENTO!X66</f>
        <v>104328</v>
      </c>
      <c r="J66" s="633" t="e">
        <f aca="false" t="array" ref="J66:J66">_xlfn.single(IF($A66="S",IF(CAIXA.Modo,BM.AFAnterior,BM.MEDAnterior),IF(AND(_xlfn.single(RegimeExecucao)="Global",$I66&gt;0,COUNTIF($AB$13:$AM$13,BM.medicao-1)&gt;0),M66/$I66*100,0)))</f>
        <v>#NAME?</v>
      </c>
      <c r="K66" s="207" t="e">
        <f aca="false">L66-J66</f>
        <v>#NAME?</v>
      </c>
      <c r="L66" s="634" t="e">
        <f aca="false" t="array" ref="L66:L66">_xlfn.single(IF($A66="S",IF(CAIXA.Modo,BM.AFAcumulado,BM.MEDAcumulado),IF(AND(_xlfn.single(RegimeExecucao)="Global",$I66&gt;0,COUNTIF($AB$13:$AM$13,BM.medicao)&gt;0),O66/$I66*100,0)))</f>
        <v>#NAME?</v>
      </c>
      <c r="M66" s="635" t="n">
        <f aca="true">IF($A66="S",VTOTALBM,IF($A66=0,0,ROUND(SomaAgrupBM,15-13*ORÇAMENTO!$AF$11)))</f>
        <v>0</v>
      </c>
      <c r="N66" s="219" t="n">
        <f aca="false">O66-M66</f>
        <v>0</v>
      </c>
      <c r="O66" s="210" t="n">
        <f aca="true">IF($A66="S",VTOTALBM,IF($A66=0,0,ROUND(SomaAgrupBM,15-13*ORÇAMENTO!$AF$11)))</f>
        <v>0</v>
      </c>
      <c r="Q66" s="636"/>
      <c r="R66" s="637"/>
      <c r="T66" s="202" t="str">
        <f aca="false">IF($W66&gt;0,$D66,"")</f>
        <v/>
      </c>
      <c r="U66" s="341" t="str">
        <f aca="false">IF($W66&gt;0,$E66,"")</f>
        <v/>
      </c>
      <c r="V66" s="342" t="str">
        <f aca="true">IF(AND($W66&gt;0,RegimeExecucao="Unitário"),$F66,"")</f>
        <v/>
      </c>
      <c r="W66" s="638" t="n">
        <f aca="true">IF($Y66&gt;0,CHOOSE(MATCH(RegimeExecucao,{"Unitário","Global"},0),IF($A66="S",$Y66/$X66,""),($Y66/$X66)*100),0)</f>
        <v>0</v>
      </c>
      <c r="X66" s="639" t="str">
        <f aca="true">IF($Y66&gt;0,CHOOSE(MATCH(RegimeExecucao,{"Unitário","Global"},0),IF($A66="S",ROUND($H66,ORÇAMENTO!$AF$10),""),ROUND($I66,ORÇAMENTO!$AF$11)),"")</f>
        <v/>
      </c>
      <c r="Y66" s="639" t="n">
        <f aca="false">AO66-O66</f>
        <v>0</v>
      </c>
      <c r="Z66" s="640"/>
      <c r="AB66" s="636"/>
      <c r="AC66" s="641"/>
      <c r="AD66" s="641"/>
      <c r="AE66" s="641"/>
      <c r="AF66" s="641"/>
      <c r="AG66" s="641"/>
      <c r="AH66" s="641"/>
      <c r="AI66" s="641"/>
      <c r="AJ66" s="641"/>
      <c r="AK66" s="641"/>
      <c r="AL66" s="641"/>
      <c r="AM66" s="637"/>
      <c r="AO66" s="38" t="n">
        <f aca="true">IF($A66="S",IF(BM!$I66=0,0,CHOOSE(MATCH(RegimeExecucao,{"Global","Unitário"},0),ROUND(ROUND(BM.MEDAcumulado,15-13*BM!$A$9)/100*BM!$I66,15-13*ORÇAMENTO!$AF$11),ROUND(ROUND(BM.MEDAcumulado,15-13*BM!$A$9)*ROUND(BM!$H66,15-13*ORÇAMENTO!$AF$10),15-13*ORÇAMENTO!$AF$11))),IF($A66=0,0,ROUND(SomaAgrupBM,15-13*ORÇAMENTO!$AF$11)))</f>
        <v>0</v>
      </c>
    </row>
    <row r="67" customFormat="false" ht="23.85" hidden="false" customHeight="false" outlineLevel="0" collapsed="false">
      <c r="A67" s="1" t="str">
        <f aca="false">ORÇAMENTO!C67</f>
        <v>S</v>
      </c>
      <c r="B67" s="1" t="n">
        <f aca="false">ORÇAMENTO!D67</f>
        <v>0</v>
      </c>
      <c r="C67" s="199" t="str">
        <f aca="false">IF(OR($I67&gt;0,$A67=1,$A67=2,$A67=3,$A67=4),"F","")</f>
        <v>F</v>
      </c>
      <c r="D67" s="202" t="str">
        <f aca="false">ORÇAMENTO!O67</f>
        <v>1.14.2.</v>
      </c>
      <c r="E67" s="341" t="str">
        <f aca="false">ORÇAMENTO.Descricao</f>
        <v>DIVISÓRIA FIXA EM VIDRO TEMPERADO 10 MM, SEM ABERTURA. AF_01/2021_PS</v>
      </c>
      <c r="F67" s="342" t="str">
        <f aca="true">IF(RegimeExecucao="Global","",ORÇAMENTO.Unidade)</f>
        <v/>
      </c>
      <c r="G67" s="207" t="str">
        <f aca="true">IF(RegimeExecucao="Global","",ORÇAMENTO!T67)</f>
        <v/>
      </c>
      <c r="H67" s="207" t="str">
        <f aca="true">IF(RegimeExecucao="Global","",ORÇAMENTO!W67)</f>
        <v/>
      </c>
      <c r="I67" s="210" t="n">
        <f aca="false">ORÇAMENTO!X67</f>
        <v>22500.5</v>
      </c>
      <c r="J67" s="633" t="e">
        <f aca="false" t="array" ref="J67:J67">_xlfn.single(IF($A67="S",IF(CAIXA.Modo,BM.AFAnterior,BM.MEDAnterior),IF(AND(_xlfn.single(RegimeExecucao)="Global",$I67&gt;0,COUNTIF($AB$13:$AM$13,BM.medicao-1)&gt;0),M67/$I67*100,0)))</f>
        <v>#NAME?</v>
      </c>
      <c r="K67" s="207" t="e">
        <f aca="false">L67-J67</f>
        <v>#NAME?</v>
      </c>
      <c r="L67" s="634" t="e">
        <f aca="false" t="array" ref="L67:L67">_xlfn.single(IF($A67="S",IF(CAIXA.Modo,BM.AFAcumulado,BM.MEDAcumulado),IF(AND(_xlfn.single(RegimeExecucao)="Global",$I67&gt;0,COUNTIF($AB$13:$AM$13,BM.medicao)&gt;0),O67/$I67*100,0)))</f>
        <v>#NAME?</v>
      </c>
      <c r="M67" s="635" t="n">
        <f aca="true">IF($A67="S",VTOTALBM,IF($A67=0,0,ROUND(SomaAgrupBM,15-13*ORÇAMENTO!$AF$11)))</f>
        <v>0</v>
      </c>
      <c r="N67" s="219" t="n">
        <f aca="false">O67-M67</f>
        <v>0</v>
      </c>
      <c r="O67" s="210" t="n">
        <f aca="true">IF($A67="S",VTOTALBM,IF($A67=0,0,ROUND(SomaAgrupBM,15-13*ORÇAMENTO!$AF$11)))</f>
        <v>0</v>
      </c>
      <c r="Q67" s="636"/>
      <c r="R67" s="637"/>
      <c r="T67" s="202" t="str">
        <f aca="false">IF($W67&gt;0,$D67,"")</f>
        <v/>
      </c>
      <c r="U67" s="341" t="str">
        <f aca="false">IF($W67&gt;0,$E67,"")</f>
        <v/>
      </c>
      <c r="V67" s="342" t="str">
        <f aca="true">IF(AND($W67&gt;0,RegimeExecucao="Unitário"),$F67,"")</f>
        <v/>
      </c>
      <c r="W67" s="638" t="n">
        <f aca="true">IF($Y67&gt;0,CHOOSE(MATCH(RegimeExecucao,{"Unitário","Global"},0),IF($A67="S",$Y67/$X67,""),($Y67/$X67)*100),0)</f>
        <v>0</v>
      </c>
      <c r="X67" s="639" t="str">
        <f aca="true">IF($Y67&gt;0,CHOOSE(MATCH(RegimeExecucao,{"Unitário","Global"},0),IF($A67="S",ROUND($H67,ORÇAMENTO!$AF$10),""),ROUND($I67,ORÇAMENTO!$AF$11)),"")</f>
        <v/>
      </c>
      <c r="Y67" s="639" t="n">
        <f aca="false">AO67-O67</f>
        <v>0</v>
      </c>
      <c r="Z67" s="640"/>
      <c r="AB67" s="636"/>
      <c r="AC67" s="641"/>
      <c r="AD67" s="641"/>
      <c r="AE67" s="641"/>
      <c r="AF67" s="641"/>
      <c r="AG67" s="641"/>
      <c r="AH67" s="641"/>
      <c r="AI67" s="641"/>
      <c r="AJ67" s="641"/>
      <c r="AK67" s="641"/>
      <c r="AL67" s="641"/>
      <c r="AM67" s="637"/>
      <c r="AO67" s="38" t="n">
        <f aca="true">IF($A67="S",IF(BM!$I67=0,0,CHOOSE(MATCH(RegimeExecucao,{"Global","Unitário"},0),ROUND(ROUND(BM.MEDAcumulado,15-13*BM!$A$9)/100*BM!$I67,15-13*ORÇAMENTO!$AF$11),ROUND(ROUND(BM.MEDAcumulado,15-13*BM!$A$9)*ROUND(BM!$H67,15-13*ORÇAMENTO!$AF$10),15-13*ORÇAMENTO!$AF$11))),IF($A67=0,0,ROUND(SomaAgrupBM,15-13*ORÇAMENTO!$AF$11)))</f>
        <v>0</v>
      </c>
    </row>
    <row r="68" customFormat="false" ht="12.75" hidden="false" customHeight="false" outlineLevel="0" collapsed="false">
      <c r="A68" s="1" t="n">
        <f aca="false">ORÇAMENTO!C68</f>
        <v>2</v>
      </c>
      <c r="B68" s="1" t="n">
        <f aca="false">ORÇAMENTO!D68</f>
        <v>7</v>
      </c>
      <c r="C68" s="199" t="str">
        <f aca="false">IF(OR($I68&gt;0,$A68=1,$A68=2,$A68=3,$A68=4),"F","")</f>
        <v>F</v>
      </c>
      <c r="D68" s="202" t="str">
        <f aca="false">ORÇAMENTO!O68</f>
        <v>1.15.</v>
      </c>
      <c r="E68" s="341" t="str">
        <f aca="false">ORÇAMENTO.Descricao</f>
        <v>COBERTURA E PROTEÇÕES</v>
      </c>
      <c r="F68" s="342" t="str">
        <f aca="true">IF(RegimeExecucao="Global","",ORÇAMENTO.Unidade)</f>
        <v/>
      </c>
      <c r="G68" s="207" t="str">
        <f aca="true">IF(RegimeExecucao="Global","",ORÇAMENTO!T68)</f>
        <v/>
      </c>
      <c r="H68" s="207" t="str">
        <f aca="true">IF(RegimeExecucao="Global","",ORÇAMENTO!W68)</f>
        <v/>
      </c>
      <c r="I68" s="210" t="n">
        <f aca="false">ORÇAMENTO!X68</f>
        <v>327746.5</v>
      </c>
      <c r="J68" s="633" t="e">
        <f aca="false" t="array" ref="J68:J68">_xlfn.single(IF($A68="S",IF(CAIXA.Modo,BM.AFAnterior,BM.MEDAnterior),IF(AND(_xlfn.single(RegimeExecucao)="Global",$I68&gt;0,COUNTIF($AB$13:$AM$13,BM.medicao-1)&gt;0),M68/$I68*100,0)))</f>
        <v>#NAME?</v>
      </c>
      <c r="K68" s="207" t="e">
        <f aca="false">L68-J68</f>
        <v>#NAME?</v>
      </c>
      <c r="L68" s="634" t="e">
        <f aca="false" t="array" ref="L68:L68">_xlfn.single(IF($A68="S",IF(CAIXA.Modo,BM.AFAcumulado,BM.MEDAcumulado),IF(AND(_xlfn.single(RegimeExecucao)="Global",$I68&gt;0,COUNTIF($AB$13:$AM$13,BM.medicao)&gt;0),O68/$I68*100,0)))</f>
        <v>#NAME?</v>
      </c>
      <c r="M68" s="635" t="n">
        <f aca="true">IF($A68="S",VTOTALBM,IF($A68=0,0,ROUND(SomaAgrupBM,15-13*ORÇAMENTO!$AF$11)))</f>
        <v>0</v>
      </c>
      <c r="N68" s="219" t="n">
        <f aca="false">O68-M68</f>
        <v>0</v>
      </c>
      <c r="O68" s="210" t="n">
        <f aca="true">IF($A68="S",VTOTALBM,IF($A68=0,0,ROUND(SomaAgrupBM,15-13*ORÇAMENTO!$AF$11)))</f>
        <v>0</v>
      </c>
      <c r="Q68" s="636"/>
      <c r="R68" s="637"/>
      <c r="T68" s="202" t="str">
        <f aca="false">IF($W68&gt;0,$D68,"")</f>
        <v/>
      </c>
      <c r="U68" s="341" t="str">
        <f aca="false">IF($W68&gt;0,$E68,"")</f>
        <v/>
      </c>
      <c r="V68" s="342" t="str">
        <f aca="true">IF(AND($W68&gt;0,RegimeExecucao="Unitário"),$F68,"")</f>
        <v/>
      </c>
      <c r="W68" s="638" t="n">
        <f aca="true">IF($Y68&gt;0,CHOOSE(MATCH(RegimeExecucao,{"Unitário","Global"},0),IF($A68="S",$Y68/$X68,""),($Y68/$X68)*100),0)</f>
        <v>0</v>
      </c>
      <c r="X68" s="639" t="str">
        <f aca="true">IF($Y68&gt;0,CHOOSE(MATCH(RegimeExecucao,{"Unitário","Global"},0),IF($A68="S",ROUND($H68,ORÇAMENTO!$AF$10),""),ROUND($I68,ORÇAMENTO!$AF$11)),"")</f>
        <v/>
      </c>
      <c r="Y68" s="639" t="n">
        <f aca="false">AO68-O68</f>
        <v>0</v>
      </c>
      <c r="Z68" s="640"/>
      <c r="AB68" s="636"/>
      <c r="AC68" s="641"/>
      <c r="AD68" s="641"/>
      <c r="AE68" s="641"/>
      <c r="AF68" s="641"/>
      <c r="AG68" s="641"/>
      <c r="AH68" s="641"/>
      <c r="AI68" s="641"/>
      <c r="AJ68" s="641"/>
      <c r="AK68" s="641"/>
      <c r="AL68" s="641"/>
      <c r="AM68" s="637"/>
      <c r="AO68" s="38" t="n">
        <f aca="true">IF($A68="S",IF(BM!$I68=0,0,CHOOSE(MATCH(RegimeExecucao,{"Global","Unitário"},0),ROUND(ROUND(BM.MEDAcumulado,15-13*BM!$A$9)/100*BM!$I68,15-13*ORÇAMENTO!$AF$11),ROUND(ROUND(BM.MEDAcumulado,15-13*BM!$A$9)*ROUND(BM!$H68,15-13*ORÇAMENTO!$AF$10),15-13*ORÇAMENTO!$AF$11))),IF($A68=0,0,ROUND(SomaAgrupBM,15-13*ORÇAMENTO!$AF$11)))</f>
        <v>0</v>
      </c>
    </row>
    <row r="69" customFormat="false" ht="35.05" hidden="false" customHeight="false" outlineLevel="0" collapsed="false">
      <c r="A69" s="1" t="str">
        <f aca="false">ORÇAMENTO!C69</f>
        <v>S</v>
      </c>
      <c r="B69" s="1" t="n">
        <f aca="false">ORÇAMENTO!D69</f>
        <v>0</v>
      </c>
      <c r="C69" s="199" t="str">
        <f aca="false">IF(OR($I69&gt;0,$A69=1,$A69=2,$A69=3,$A69=4),"F","")</f>
        <v>F</v>
      </c>
      <c r="D69" s="202" t="str">
        <f aca="false">ORÇAMENTO!O69</f>
        <v>1.15.1.</v>
      </c>
      <c r="E69" s="341" t="str">
        <f aca="false">ORÇAMENTO.Descricao</f>
        <v>TRAMA DE MADEIRA COMPOSTA POR TERÇAS PARA TELHADOS DE ATÉ 2 ÁGUAS PARATELHA ONDULADA DE FIBROCIMENTO, METÁLICA, PLÁSTICA OU TERMOACÚSTICA,</v>
      </c>
      <c r="F69" s="342" t="str">
        <f aca="true">IF(RegimeExecucao="Global","",ORÇAMENTO.Unidade)</f>
        <v/>
      </c>
      <c r="G69" s="207" t="str">
        <f aca="true">IF(RegimeExecucao="Global","",ORÇAMENTO!T69)</f>
        <v/>
      </c>
      <c r="H69" s="207" t="str">
        <f aca="true">IF(RegimeExecucao="Global","",ORÇAMENTO!W69)</f>
        <v/>
      </c>
      <c r="I69" s="210" t="n">
        <f aca="false">ORÇAMENTO!X69</f>
        <v>56850.5</v>
      </c>
      <c r="J69" s="633" t="e">
        <f aca="false" t="array" ref="J69:J69">_xlfn.single(IF($A69="S",IF(CAIXA.Modo,BM.AFAnterior,BM.MEDAnterior),IF(AND(_xlfn.single(RegimeExecucao)="Global",$I69&gt;0,COUNTIF($AB$13:$AM$13,BM.medicao-1)&gt;0),M69/$I69*100,0)))</f>
        <v>#NAME?</v>
      </c>
      <c r="K69" s="207" t="e">
        <f aca="false">L69-J69</f>
        <v>#NAME?</v>
      </c>
      <c r="L69" s="634" t="e">
        <f aca="false" t="array" ref="L69:L69">_xlfn.single(IF($A69="S",IF(CAIXA.Modo,BM.AFAcumulado,BM.MEDAcumulado),IF(AND(_xlfn.single(RegimeExecucao)="Global",$I69&gt;0,COUNTIF($AB$13:$AM$13,BM.medicao)&gt;0),O69/$I69*100,0)))</f>
        <v>#NAME?</v>
      </c>
      <c r="M69" s="635" t="n">
        <f aca="true">IF($A69="S",VTOTALBM,IF($A69=0,0,ROUND(SomaAgrupBM,15-13*ORÇAMENTO!$AF$11)))</f>
        <v>0</v>
      </c>
      <c r="N69" s="219" t="n">
        <f aca="false">O69-M69</f>
        <v>0</v>
      </c>
      <c r="O69" s="210" t="n">
        <f aca="true">IF($A69="S",VTOTALBM,IF($A69=0,0,ROUND(SomaAgrupBM,15-13*ORÇAMENTO!$AF$11)))</f>
        <v>0</v>
      </c>
      <c r="Q69" s="636"/>
      <c r="R69" s="637"/>
      <c r="T69" s="202" t="str">
        <f aca="false">IF($W69&gt;0,$D69,"")</f>
        <v/>
      </c>
      <c r="U69" s="341" t="str">
        <f aca="false">IF($W69&gt;0,$E69,"")</f>
        <v/>
      </c>
      <c r="V69" s="342" t="str">
        <f aca="true">IF(AND($W69&gt;0,RegimeExecucao="Unitário"),$F69,"")</f>
        <v/>
      </c>
      <c r="W69" s="638" t="n">
        <f aca="true">IF($Y69&gt;0,CHOOSE(MATCH(RegimeExecucao,{"Unitário","Global"},0),IF($A69="S",$Y69/$X69,""),($Y69/$X69)*100),0)</f>
        <v>0</v>
      </c>
      <c r="X69" s="639" t="str">
        <f aca="true">IF($Y69&gt;0,CHOOSE(MATCH(RegimeExecucao,{"Unitário","Global"},0),IF($A69="S",ROUND($H69,ORÇAMENTO!$AF$10),""),ROUND($I69,ORÇAMENTO!$AF$11)),"")</f>
        <v/>
      </c>
      <c r="Y69" s="639" t="n">
        <f aca="false">AO69-O69</f>
        <v>0</v>
      </c>
      <c r="Z69" s="640"/>
      <c r="AB69" s="636"/>
      <c r="AC69" s="641"/>
      <c r="AD69" s="641"/>
      <c r="AE69" s="641"/>
      <c r="AF69" s="641"/>
      <c r="AG69" s="641"/>
      <c r="AH69" s="641"/>
      <c r="AI69" s="641"/>
      <c r="AJ69" s="641"/>
      <c r="AK69" s="641"/>
      <c r="AL69" s="641"/>
      <c r="AM69" s="637"/>
      <c r="AO69" s="38" t="n">
        <f aca="true">IF($A69="S",IF(BM!$I69=0,0,CHOOSE(MATCH(RegimeExecucao,{"Global","Unitário"},0),ROUND(ROUND(BM.MEDAcumulado,15-13*BM!$A$9)/100*BM!$I69,15-13*ORÇAMENTO!$AF$11),ROUND(ROUND(BM.MEDAcumulado,15-13*BM!$A$9)*ROUND(BM!$H69,15-13*ORÇAMENTO!$AF$10),15-13*ORÇAMENTO!$AF$11))),IF($A69=0,0,ROUND(SomaAgrupBM,15-13*ORÇAMENTO!$AF$11)))</f>
        <v>0</v>
      </c>
    </row>
    <row r="70" customFormat="false" ht="23.85" hidden="false" customHeight="false" outlineLevel="0" collapsed="false">
      <c r="A70" s="1" t="str">
        <f aca="false">ORÇAMENTO!C70</f>
        <v>S</v>
      </c>
      <c r="B70" s="1" t="n">
        <f aca="false">ORÇAMENTO!D70</f>
        <v>0</v>
      </c>
      <c r="C70" s="199" t="str">
        <f aca="false">IF(OR($I70&gt;0,$A70=1,$A70=2,$A70=3,$A70=4),"F","")</f>
        <v>F</v>
      </c>
      <c r="D70" s="202" t="str">
        <f aca="false">ORÇAMENTO!O70</f>
        <v>1.15.2.</v>
      </c>
      <c r="E70" s="341" t="str">
        <f aca="false">ORÇAMENTO.Descricao</f>
        <v>TELHAMENTO COM TELHA DE AÇO/ALUMÍNIO E = 0,5 MM, COM ATÉ 2 ÁGUAS, INCLUSO IÇAMENTO. AF_07/2019</v>
      </c>
      <c r="F70" s="342" t="str">
        <f aca="true">IF(RegimeExecucao="Global","",ORÇAMENTO.Unidade)</f>
        <v/>
      </c>
      <c r="G70" s="207" t="str">
        <f aca="true">IF(RegimeExecucao="Global","",ORÇAMENTO!T70)</f>
        <v/>
      </c>
      <c r="H70" s="207" t="str">
        <f aca="true">IF(RegimeExecucao="Global","",ORÇAMENTO!W70)</f>
        <v/>
      </c>
      <c r="I70" s="210" t="n">
        <f aca="false">ORÇAMENTO!X70</f>
        <v>119137</v>
      </c>
      <c r="J70" s="633" t="e">
        <f aca="false" t="array" ref="J70:J70">_xlfn.single(IF($A70="S",IF(CAIXA.Modo,BM.AFAnterior,BM.MEDAnterior),IF(AND(_xlfn.single(RegimeExecucao)="Global",$I70&gt;0,COUNTIF($AB$13:$AM$13,BM.medicao-1)&gt;0),M70/$I70*100,0)))</f>
        <v>#NAME?</v>
      </c>
      <c r="K70" s="207" t="e">
        <f aca="false">L70-J70</f>
        <v>#NAME?</v>
      </c>
      <c r="L70" s="634" t="e">
        <f aca="false" t="array" ref="L70:L70">_xlfn.single(IF($A70="S",IF(CAIXA.Modo,BM.AFAcumulado,BM.MEDAcumulado),IF(AND(_xlfn.single(RegimeExecucao)="Global",$I70&gt;0,COUNTIF($AB$13:$AM$13,BM.medicao)&gt;0),O70/$I70*100,0)))</f>
        <v>#NAME?</v>
      </c>
      <c r="M70" s="635" t="n">
        <f aca="true">IF($A70="S",VTOTALBM,IF($A70=0,0,ROUND(SomaAgrupBM,15-13*ORÇAMENTO!$AF$11)))</f>
        <v>0</v>
      </c>
      <c r="N70" s="219" t="n">
        <f aca="false">O70-M70</f>
        <v>0</v>
      </c>
      <c r="O70" s="210" t="n">
        <f aca="true">IF($A70="S",VTOTALBM,IF($A70=0,0,ROUND(SomaAgrupBM,15-13*ORÇAMENTO!$AF$11)))</f>
        <v>0</v>
      </c>
      <c r="Q70" s="636"/>
      <c r="R70" s="637"/>
      <c r="T70" s="202" t="str">
        <f aca="false">IF($W70&gt;0,$D70,"")</f>
        <v/>
      </c>
      <c r="U70" s="341" t="str">
        <f aca="false">IF($W70&gt;0,$E70,"")</f>
        <v/>
      </c>
      <c r="V70" s="342" t="str">
        <f aca="true">IF(AND($W70&gt;0,RegimeExecucao="Unitário"),$F70,"")</f>
        <v/>
      </c>
      <c r="W70" s="638" t="n">
        <f aca="true">IF($Y70&gt;0,CHOOSE(MATCH(RegimeExecucao,{"Unitário","Global"},0),IF($A70="S",$Y70/$X70,""),($Y70/$X70)*100),0)</f>
        <v>0</v>
      </c>
      <c r="X70" s="639" t="str">
        <f aca="true">IF($Y70&gt;0,CHOOSE(MATCH(RegimeExecucao,{"Unitário","Global"},0),IF($A70="S",ROUND($H70,ORÇAMENTO!$AF$10),""),ROUND($I70,ORÇAMENTO!$AF$11)),"")</f>
        <v/>
      </c>
      <c r="Y70" s="639" t="n">
        <f aca="false">AO70-O70</f>
        <v>0</v>
      </c>
      <c r="Z70" s="640"/>
      <c r="AB70" s="636"/>
      <c r="AC70" s="641"/>
      <c r="AD70" s="641"/>
      <c r="AE70" s="641"/>
      <c r="AF70" s="641"/>
      <c r="AG70" s="641"/>
      <c r="AH70" s="641"/>
      <c r="AI70" s="641"/>
      <c r="AJ70" s="641"/>
      <c r="AK70" s="641"/>
      <c r="AL70" s="641"/>
      <c r="AM70" s="637"/>
      <c r="AO70" s="38" t="n">
        <f aca="true">IF($A70="S",IF(BM!$I70=0,0,CHOOSE(MATCH(RegimeExecucao,{"Global","Unitário"},0),ROUND(ROUND(BM.MEDAcumulado,15-13*BM!$A$9)/100*BM!$I70,15-13*ORÇAMENTO!$AF$11),ROUND(ROUND(BM.MEDAcumulado,15-13*BM!$A$9)*ROUND(BM!$H70,15-13*ORÇAMENTO!$AF$10),15-13*ORÇAMENTO!$AF$11))),IF($A70=0,0,ROUND(SomaAgrupBM,15-13*ORÇAMENTO!$AF$11)))</f>
        <v>0</v>
      </c>
    </row>
    <row r="71" customFormat="false" ht="23.85" hidden="false" customHeight="false" outlineLevel="0" collapsed="false">
      <c r="A71" s="1" t="str">
        <f aca="false">ORÇAMENTO!C71</f>
        <v>S</v>
      </c>
      <c r="B71" s="1" t="n">
        <f aca="false">ORÇAMENTO!D71</f>
        <v>0</v>
      </c>
      <c r="C71" s="199" t="str">
        <f aca="false">IF(OR($I71&gt;0,$A71=1,$A71=2,$A71=3,$A71=4),"F","")</f>
        <v>F</v>
      </c>
      <c r="D71" s="202" t="str">
        <f aca="false">ORÇAMENTO!O71</f>
        <v>1.15.3.</v>
      </c>
      <c r="E71" s="341" t="str">
        <f aca="false">ORÇAMENTO.Descricao</f>
        <v>CALHA EM CHAPA DE AÇO GALVANIZADO NÚMERO 24, DESENVOLVIMENTO DE 33 CM, INCLUSO TRANSPORTE VERTICAL. </v>
      </c>
      <c r="F71" s="342" t="str">
        <f aca="true">IF(RegimeExecucao="Global","",ORÇAMENTO.Unidade)</f>
        <v/>
      </c>
      <c r="G71" s="207" t="str">
        <f aca="true">IF(RegimeExecucao="Global","",ORÇAMENTO!T71)</f>
        <v/>
      </c>
      <c r="H71" s="207" t="str">
        <f aca="true">IF(RegimeExecucao="Global","",ORÇAMENTO!W71)</f>
        <v/>
      </c>
      <c r="I71" s="210" t="n">
        <f aca="false">ORÇAMENTO!X71</f>
        <v>21253</v>
      </c>
      <c r="J71" s="633" t="e">
        <f aca="false" t="array" ref="J71:J71">_xlfn.single(IF($A71="S",IF(CAIXA.Modo,BM.AFAnterior,BM.MEDAnterior),IF(AND(_xlfn.single(RegimeExecucao)="Global",$I71&gt;0,COUNTIF($AB$13:$AM$13,BM.medicao-1)&gt;0),M71/$I71*100,0)))</f>
        <v>#NAME?</v>
      </c>
      <c r="K71" s="207" t="e">
        <f aca="false">L71-J71</f>
        <v>#NAME?</v>
      </c>
      <c r="L71" s="634" t="e">
        <f aca="false" t="array" ref="L71:L71">_xlfn.single(IF($A71="S",IF(CAIXA.Modo,BM.AFAcumulado,BM.MEDAcumulado),IF(AND(_xlfn.single(RegimeExecucao)="Global",$I71&gt;0,COUNTIF($AB$13:$AM$13,BM.medicao)&gt;0),O71/$I71*100,0)))</f>
        <v>#NAME?</v>
      </c>
      <c r="M71" s="635" t="n">
        <f aca="true">IF($A71="S",VTOTALBM,IF($A71=0,0,ROUND(SomaAgrupBM,15-13*ORÇAMENTO!$AF$11)))</f>
        <v>0</v>
      </c>
      <c r="N71" s="219" t="n">
        <f aca="false">O71-M71</f>
        <v>0</v>
      </c>
      <c r="O71" s="210" t="n">
        <f aca="true">IF($A71="S",VTOTALBM,IF($A71=0,0,ROUND(SomaAgrupBM,15-13*ORÇAMENTO!$AF$11)))</f>
        <v>0</v>
      </c>
      <c r="Q71" s="636"/>
      <c r="R71" s="637"/>
      <c r="T71" s="202" t="str">
        <f aca="false">IF($W71&gt;0,$D71,"")</f>
        <v/>
      </c>
      <c r="U71" s="341" t="str">
        <f aca="false">IF($W71&gt;0,$E71,"")</f>
        <v/>
      </c>
      <c r="V71" s="342" t="str">
        <f aca="true">IF(AND($W71&gt;0,RegimeExecucao="Unitário"),$F71,"")</f>
        <v/>
      </c>
      <c r="W71" s="638" t="n">
        <f aca="true">IF($Y71&gt;0,CHOOSE(MATCH(RegimeExecucao,{"Unitário","Global"},0),IF($A71="S",$Y71/$X71,""),($Y71/$X71)*100),0)</f>
        <v>0</v>
      </c>
      <c r="X71" s="639" t="str">
        <f aca="true">IF($Y71&gt;0,CHOOSE(MATCH(RegimeExecucao,{"Unitário","Global"},0),IF($A71="S",ROUND($H71,ORÇAMENTO!$AF$10),""),ROUND($I71,ORÇAMENTO!$AF$11)),"")</f>
        <v/>
      </c>
      <c r="Y71" s="639" t="n">
        <f aca="false">AO71-O71</f>
        <v>0</v>
      </c>
      <c r="Z71" s="640"/>
      <c r="AB71" s="636"/>
      <c r="AC71" s="641"/>
      <c r="AD71" s="641"/>
      <c r="AE71" s="641"/>
      <c r="AF71" s="641"/>
      <c r="AG71" s="641"/>
      <c r="AH71" s="641"/>
      <c r="AI71" s="641"/>
      <c r="AJ71" s="641"/>
      <c r="AK71" s="641"/>
      <c r="AL71" s="641"/>
      <c r="AM71" s="637"/>
      <c r="AO71" s="38" t="n">
        <f aca="true">IF($A71="S",IF(BM!$I71=0,0,CHOOSE(MATCH(RegimeExecucao,{"Global","Unitário"},0),ROUND(ROUND(BM.MEDAcumulado,15-13*BM!$A$9)/100*BM!$I71,15-13*ORÇAMENTO!$AF$11),ROUND(ROUND(BM.MEDAcumulado,15-13*BM!$A$9)*ROUND(BM!$H71,15-13*ORÇAMENTO!$AF$10),15-13*ORÇAMENTO!$AF$11))),IF($A71=0,0,ROUND(SomaAgrupBM,15-13*ORÇAMENTO!$AF$11)))</f>
        <v>0</v>
      </c>
    </row>
    <row r="72" customFormat="false" ht="23.85" hidden="false" customHeight="false" outlineLevel="0" collapsed="false">
      <c r="A72" s="1" t="str">
        <f aca="false">ORÇAMENTO!C72</f>
        <v>S</v>
      </c>
      <c r="B72" s="1" t="n">
        <f aca="false">ORÇAMENTO!D72</f>
        <v>0</v>
      </c>
      <c r="C72" s="199" t="str">
        <f aca="false">IF(OR($I72&gt;0,$A72=1,$A72=2,$A72=3,$A72=4),"F","")</f>
        <v>F</v>
      </c>
      <c r="D72" s="202" t="str">
        <f aca="false">ORÇAMENTO!O72</f>
        <v>1.15.4.</v>
      </c>
      <c r="E72" s="341" t="str">
        <f aca="false">ORÇAMENTO.Descricao</f>
        <v>RUFO EXTERNO/INTERNO EM CHAPA DE AÇO GALVANIZADO NÚMERO 26, CORTE DE 33 CM, INCLUSO IÇAMENTO.  </v>
      </c>
      <c r="F72" s="342" t="str">
        <f aca="true">IF(RegimeExecucao="Global","",ORÇAMENTO.Unidade)</f>
        <v/>
      </c>
      <c r="G72" s="207" t="str">
        <f aca="true">IF(RegimeExecucao="Global","",ORÇAMENTO!T72)</f>
        <v/>
      </c>
      <c r="H72" s="207" t="str">
        <f aca="true">IF(RegimeExecucao="Global","",ORÇAMENTO!W72)</f>
        <v/>
      </c>
      <c r="I72" s="210" t="n">
        <f aca="false">ORÇAMENTO!X72</f>
        <v>62026.75</v>
      </c>
      <c r="J72" s="633" t="e">
        <f aca="false" t="array" ref="J72:J72">_xlfn.single(IF($A72="S",IF(CAIXA.Modo,BM.AFAnterior,BM.MEDAnterior),IF(AND(_xlfn.single(RegimeExecucao)="Global",$I72&gt;0,COUNTIF($AB$13:$AM$13,BM.medicao-1)&gt;0),M72/$I72*100,0)))</f>
        <v>#NAME?</v>
      </c>
      <c r="K72" s="207" t="e">
        <f aca="false">L72-J72</f>
        <v>#NAME?</v>
      </c>
      <c r="L72" s="634" t="e">
        <f aca="false" t="array" ref="L72:L72">_xlfn.single(IF($A72="S",IF(CAIXA.Modo,BM.AFAcumulado,BM.MEDAcumulado),IF(AND(_xlfn.single(RegimeExecucao)="Global",$I72&gt;0,COUNTIF($AB$13:$AM$13,BM.medicao)&gt;0),O72/$I72*100,0)))</f>
        <v>#NAME?</v>
      </c>
      <c r="M72" s="635" t="n">
        <f aca="true">IF($A72="S",VTOTALBM,IF($A72=0,0,ROUND(SomaAgrupBM,15-13*ORÇAMENTO!$AF$11)))</f>
        <v>0</v>
      </c>
      <c r="N72" s="219" t="n">
        <f aca="false">O72-M72</f>
        <v>0</v>
      </c>
      <c r="O72" s="210" t="n">
        <f aca="true">IF($A72="S",VTOTALBM,IF($A72=0,0,ROUND(SomaAgrupBM,15-13*ORÇAMENTO!$AF$11)))</f>
        <v>0</v>
      </c>
      <c r="Q72" s="636"/>
      <c r="R72" s="637"/>
      <c r="T72" s="202" t="str">
        <f aca="false">IF($W72&gt;0,$D72,"")</f>
        <v/>
      </c>
      <c r="U72" s="341" t="str">
        <f aca="false">IF($W72&gt;0,$E72,"")</f>
        <v/>
      </c>
      <c r="V72" s="342" t="str">
        <f aca="true">IF(AND($W72&gt;0,RegimeExecucao="Unitário"),$F72,"")</f>
        <v/>
      </c>
      <c r="W72" s="638" t="n">
        <f aca="true">IF($Y72&gt;0,CHOOSE(MATCH(RegimeExecucao,{"Unitário","Global"},0),IF($A72="S",$Y72/$X72,""),($Y72/$X72)*100),0)</f>
        <v>0</v>
      </c>
      <c r="X72" s="639" t="str">
        <f aca="true">IF($Y72&gt;0,CHOOSE(MATCH(RegimeExecucao,{"Unitário","Global"},0),IF($A72="S",ROUND($H72,ORÇAMENTO!$AF$10),""),ROUND($I72,ORÇAMENTO!$AF$11)),"")</f>
        <v/>
      </c>
      <c r="Y72" s="639" t="n">
        <f aca="false">AO72-O72</f>
        <v>0</v>
      </c>
      <c r="Z72" s="640"/>
      <c r="AB72" s="636"/>
      <c r="AC72" s="641"/>
      <c r="AD72" s="641"/>
      <c r="AE72" s="641"/>
      <c r="AF72" s="641"/>
      <c r="AG72" s="641"/>
      <c r="AH72" s="641"/>
      <c r="AI72" s="641"/>
      <c r="AJ72" s="641"/>
      <c r="AK72" s="641"/>
      <c r="AL72" s="641"/>
      <c r="AM72" s="637"/>
      <c r="AO72" s="38" t="n">
        <f aca="true">IF($A72="S",IF(BM!$I72=0,0,CHOOSE(MATCH(RegimeExecucao,{"Global","Unitário"},0),ROUND(ROUND(BM.MEDAcumulado,15-13*BM!$A$9)/100*BM!$I72,15-13*ORÇAMENTO!$AF$11),ROUND(ROUND(BM.MEDAcumulado,15-13*BM!$A$9)*ROUND(BM!$H72,15-13*ORÇAMENTO!$AF$10),15-13*ORÇAMENTO!$AF$11))),IF($A72=0,0,ROUND(SomaAgrupBM,15-13*ORÇAMENTO!$AF$11)))</f>
        <v>0</v>
      </c>
    </row>
    <row r="73" customFormat="false" ht="12.75" hidden="false" customHeight="false" outlineLevel="0" collapsed="false">
      <c r="A73" s="1" t="str">
        <f aca="false">ORÇAMENTO!C73</f>
        <v>S</v>
      </c>
      <c r="B73" s="1" t="n">
        <f aca="false">ORÇAMENTO!D73</f>
        <v>0</v>
      </c>
      <c r="C73" s="199" t="str">
        <f aca="false">IF(OR($I73&gt;0,$A73=1,$A73=2,$A73=3,$A73=4),"F","")</f>
        <v>F</v>
      </c>
      <c r="D73" s="202" t="str">
        <f aca="false">ORÇAMENTO!O73</f>
        <v>1.15.5.</v>
      </c>
      <c r="E73" s="341" t="str">
        <f aca="false">ORÇAMENTO.Descricao</f>
        <v>CHAPIM (RUFO CAPA) EM AÇO GALVANIZADO, CORTE 33</v>
      </c>
      <c r="F73" s="342" t="str">
        <f aca="true">IF(RegimeExecucao="Global","",ORÇAMENTO.Unidade)</f>
        <v/>
      </c>
      <c r="G73" s="207" t="str">
        <f aca="true">IF(RegimeExecucao="Global","",ORÇAMENTO!T73)</f>
        <v/>
      </c>
      <c r="H73" s="207" t="str">
        <f aca="true">IF(RegimeExecucao="Global","",ORÇAMENTO!W73)</f>
        <v/>
      </c>
      <c r="I73" s="210" t="n">
        <f aca="false">ORÇAMENTO!X73</f>
        <v>43594.25</v>
      </c>
      <c r="J73" s="633" t="e">
        <f aca="false" t="array" ref="J73:J73">_xlfn.single(IF($A73="S",IF(CAIXA.Modo,BM.AFAnterior,BM.MEDAnterior),IF(AND(_xlfn.single(RegimeExecucao)="Global",$I73&gt;0,COUNTIF($AB$13:$AM$13,BM.medicao-1)&gt;0),M73/$I73*100,0)))</f>
        <v>#NAME?</v>
      </c>
      <c r="K73" s="207" t="e">
        <f aca="false">L73-J73</f>
        <v>#NAME?</v>
      </c>
      <c r="L73" s="634" t="e">
        <f aca="false" t="array" ref="L73:L73">_xlfn.single(IF($A73="S",IF(CAIXA.Modo,BM.AFAcumulado,BM.MEDAcumulado),IF(AND(_xlfn.single(RegimeExecucao)="Global",$I73&gt;0,COUNTIF($AB$13:$AM$13,BM.medicao)&gt;0),O73/$I73*100,0)))</f>
        <v>#NAME?</v>
      </c>
      <c r="M73" s="635" t="n">
        <f aca="true">IF($A73="S",VTOTALBM,IF($A73=0,0,ROUND(SomaAgrupBM,15-13*ORÇAMENTO!$AF$11)))</f>
        <v>0</v>
      </c>
      <c r="N73" s="219" t="n">
        <f aca="false">O73-M73</f>
        <v>0</v>
      </c>
      <c r="O73" s="210" t="n">
        <f aca="true">IF($A73="S",VTOTALBM,IF($A73=0,0,ROUND(SomaAgrupBM,15-13*ORÇAMENTO!$AF$11)))</f>
        <v>0</v>
      </c>
      <c r="Q73" s="636"/>
      <c r="R73" s="637"/>
      <c r="T73" s="202" t="str">
        <f aca="false">IF($W73&gt;0,$D73,"")</f>
        <v/>
      </c>
      <c r="U73" s="341" t="str">
        <f aca="false">IF($W73&gt;0,$E73,"")</f>
        <v/>
      </c>
      <c r="V73" s="342" t="str">
        <f aca="true">IF(AND($W73&gt;0,RegimeExecucao="Unitário"),$F73,"")</f>
        <v/>
      </c>
      <c r="W73" s="638" t="n">
        <f aca="true">IF($Y73&gt;0,CHOOSE(MATCH(RegimeExecucao,{"Unitário","Global"},0),IF($A73="S",$Y73/$X73,""),($Y73/$X73)*100),0)</f>
        <v>0</v>
      </c>
      <c r="X73" s="639" t="str">
        <f aca="true">IF($Y73&gt;0,CHOOSE(MATCH(RegimeExecucao,{"Unitário","Global"},0),IF($A73="S",ROUND($H73,ORÇAMENTO!$AF$10),""),ROUND($I73,ORÇAMENTO!$AF$11)),"")</f>
        <v/>
      </c>
      <c r="Y73" s="639" t="n">
        <f aca="false">AO73-O73</f>
        <v>0</v>
      </c>
      <c r="Z73" s="640"/>
      <c r="AB73" s="636"/>
      <c r="AC73" s="641"/>
      <c r="AD73" s="641"/>
      <c r="AE73" s="641"/>
      <c r="AF73" s="641"/>
      <c r="AG73" s="641"/>
      <c r="AH73" s="641"/>
      <c r="AI73" s="641"/>
      <c r="AJ73" s="641"/>
      <c r="AK73" s="641"/>
      <c r="AL73" s="641"/>
      <c r="AM73" s="637"/>
      <c r="AO73" s="38" t="n">
        <f aca="true">IF($A73="S",IF(BM!$I73=0,0,CHOOSE(MATCH(RegimeExecucao,{"Global","Unitário"},0),ROUND(ROUND(BM.MEDAcumulado,15-13*BM!$A$9)/100*BM!$I73,15-13*ORÇAMENTO!$AF$11),ROUND(ROUND(BM.MEDAcumulado,15-13*BM!$A$9)*ROUND(BM!$H73,15-13*ORÇAMENTO!$AF$10),15-13*ORÇAMENTO!$AF$11))),IF($A73=0,0,ROUND(SomaAgrupBM,15-13*ORÇAMENTO!$AF$11)))</f>
        <v>0</v>
      </c>
    </row>
    <row r="74" customFormat="false" ht="35.05" hidden="false" customHeight="false" outlineLevel="0" collapsed="false">
      <c r="A74" s="1" t="str">
        <f aca="false">ORÇAMENTO!C74</f>
        <v>S</v>
      </c>
      <c r="B74" s="1" t="n">
        <f aca="false">ORÇAMENTO!D74</f>
        <v>0</v>
      </c>
      <c r="C74" s="199" t="str">
        <f aca="false">IF(OR($I74&gt;0,$A74=1,$A74=2,$A74=3,$A74=4),"F","")</f>
        <v>F</v>
      </c>
      <c r="D74" s="202" t="str">
        <f aca="false">ORÇAMENTO!O74</f>
        <v>1.15.6.</v>
      </c>
      <c r="E74" s="341" t="str">
        <f aca="false">ORÇAMENTO.Descricao</f>
        <v>CONDUTOR CIRCULAR DE ÁGUA PLUVIAL PARA DO TELHADO EM
TUBO DE PVC, DIÂMETRO DE 100MM, INCLUSIVE CONEXÕES E
SUPORTES</v>
      </c>
      <c r="F74" s="342" t="str">
        <f aca="true">IF(RegimeExecucao="Global","",ORÇAMENTO.Unidade)</f>
        <v/>
      </c>
      <c r="G74" s="207" t="str">
        <f aca="true">IF(RegimeExecucao="Global","",ORÇAMENTO!T74)</f>
        <v/>
      </c>
      <c r="H74" s="207" t="str">
        <f aca="true">IF(RegimeExecucao="Global","",ORÇAMENTO!W74)</f>
        <v/>
      </c>
      <c r="I74" s="210" t="n">
        <f aca="false">ORÇAMENTO!X74</f>
        <v>24885</v>
      </c>
      <c r="J74" s="633" t="e">
        <f aca="false" t="array" ref="J74:J74">_xlfn.single(IF($A74="S",IF(CAIXA.Modo,BM.AFAnterior,BM.MEDAnterior),IF(AND(_xlfn.single(RegimeExecucao)="Global",$I74&gt;0,COUNTIF($AB$13:$AM$13,BM.medicao-1)&gt;0),M74/$I74*100,0)))</f>
        <v>#NAME?</v>
      </c>
      <c r="K74" s="207" t="e">
        <f aca="false">L74-J74</f>
        <v>#NAME?</v>
      </c>
      <c r="L74" s="634" t="e">
        <f aca="false" t="array" ref="L74:L74">_xlfn.single(IF($A74="S",IF(CAIXA.Modo,BM.AFAcumulado,BM.MEDAcumulado),IF(AND(_xlfn.single(RegimeExecucao)="Global",$I74&gt;0,COUNTIF($AB$13:$AM$13,BM.medicao)&gt;0),O74/$I74*100,0)))</f>
        <v>#NAME?</v>
      </c>
      <c r="M74" s="635" t="n">
        <f aca="true">IF($A74="S",VTOTALBM,IF($A74=0,0,ROUND(SomaAgrupBM,15-13*ORÇAMENTO!$AF$11)))</f>
        <v>0</v>
      </c>
      <c r="N74" s="219" t="n">
        <f aca="false">O74-M74</f>
        <v>0</v>
      </c>
      <c r="O74" s="210" t="n">
        <f aca="true">IF($A74="S",VTOTALBM,IF($A74=0,0,ROUND(SomaAgrupBM,15-13*ORÇAMENTO!$AF$11)))</f>
        <v>0</v>
      </c>
      <c r="Q74" s="636"/>
      <c r="R74" s="637"/>
      <c r="T74" s="202" t="str">
        <f aca="false">IF($W74&gt;0,$D74,"")</f>
        <v/>
      </c>
      <c r="U74" s="341" t="str">
        <f aca="false">IF($W74&gt;0,$E74,"")</f>
        <v/>
      </c>
      <c r="V74" s="342" t="str">
        <f aca="true">IF(AND($W74&gt;0,RegimeExecucao="Unitário"),$F74,"")</f>
        <v/>
      </c>
      <c r="W74" s="638" t="n">
        <f aca="true">IF($Y74&gt;0,CHOOSE(MATCH(RegimeExecucao,{"Unitário","Global"},0),IF($A74="S",$Y74/$X74,""),($Y74/$X74)*100),0)</f>
        <v>0</v>
      </c>
      <c r="X74" s="639" t="str">
        <f aca="true">IF($Y74&gt;0,CHOOSE(MATCH(RegimeExecucao,{"Unitário","Global"},0),IF($A74="S",ROUND($H74,ORÇAMENTO!$AF$10),""),ROUND($I74,ORÇAMENTO!$AF$11)),"")</f>
        <v/>
      </c>
      <c r="Y74" s="639" t="n">
        <f aca="false">AO74-O74</f>
        <v>0</v>
      </c>
      <c r="Z74" s="640"/>
      <c r="AB74" s="636"/>
      <c r="AC74" s="641"/>
      <c r="AD74" s="641"/>
      <c r="AE74" s="641"/>
      <c r="AF74" s="641"/>
      <c r="AG74" s="641"/>
      <c r="AH74" s="641"/>
      <c r="AI74" s="641"/>
      <c r="AJ74" s="641"/>
      <c r="AK74" s="641"/>
      <c r="AL74" s="641"/>
      <c r="AM74" s="637"/>
      <c r="AO74" s="38" t="n">
        <f aca="true">IF($A74="S",IF(BM!$I74=0,0,CHOOSE(MATCH(RegimeExecucao,{"Global","Unitário"},0),ROUND(ROUND(BM.MEDAcumulado,15-13*BM!$A$9)/100*BM!$I74,15-13*ORÇAMENTO!$AF$11),ROUND(ROUND(BM.MEDAcumulado,15-13*BM!$A$9)*ROUND(BM!$H74,15-13*ORÇAMENTO!$AF$10),15-13*ORÇAMENTO!$AF$11))),IF($A74=0,0,ROUND(SomaAgrupBM,15-13*ORÇAMENTO!$AF$11)))</f>
        <v>0</v>
      </c>
    </row>
    <row r="75" customFormat="false" ht="12.75" hidden="false" customHeight="false" outlineLevel="0" collapsed="false">
      <c r="A75" s="1" t="n">
        <f aca="false">ORÇAMENTO!C75</f>
        <v>2</v>
      </c>
      <c r="B75" s="1" t="n">
        <f aca="false">ORÇAMENTO!D75</f>
        <v>1</v>
      </c>
      <c r="C75" s="199" t="str">
        <f aca="false">IF(OR($I75&gt;0,$A75=1,$A75=2,$A75=3,$A75=4),"F","")</f>
        <v>F</v>
      </c>
      <c r="D75" s="202" t="str">
        <f aca="false">ORÇAMENTO!O75</f>
        <v>1.16.</v>
      </c>
      <c r="E75" s="341" t="str">
        <f aca="false">ORÇAMENTO.Descricao</f>
        <v>IMPERMEBILIZAÇÕES</v>
      </c>
      <c r="F75" s="342" t="str">
        <f aca="true">IF(RegimeExecucao="Global","",ORÇAMENTO.Unidade)</f>
        <v/>
      </c>
      <c r="G75" s="207" t="str">
        <f aca="true">IF(RegimeExecucao="Global","",ORÇAMENTO!T75)</f>
        <v/>
      </c>
      <c r="H75" s="207" t="str">
        <f aca="true">IF(RegimeExecucao="Global","",ORÇAMENTO!W75)</f>
        <v/>
      </c>
      <c r="I75" s="210" t="n">
        <f aca="false">ORÇAMENTO!X75</f>
        <v>0</v>
      </c>
      <c r="J75" s="633" t="e">
        <f aca="false" t="array" ref="J75:J75">_xlfn.single(IF($A75="S",IF(CAIXA.Modo,BM.AFAnterior,BM.MEDAnterior),IF(AND(_xlfn.single(RegimeExecucao)="Global",$I75&gt;0,COUNTIF($AB$13:$AM$13,BM.medicao-1)&gt;0),M75/$I75*100,0)))</f>
        <v>#NAME?</v>
      </c>
      <c r="K75" s="207" t="e">
        <f aca="false">L75-J75</f>
        <v>#NAME?</v>
      </c>
      <c r="L75" s="634" t="e">
        <f aca="false" t="array" ref="L75:L75">_xlfn.single(IF($A75="S",IF(CAIXA.Modo,BM.AFAcumulado,BM.MEDAcumulado),IF(AND(_xlfn.single(RegimeExecucao)="Global",$I75&gt;0,COUNTIF($AB$13:$AM$13,BM.medicao)&gt;0),O75/$I75*100,0)))</f>
        <v>#NAME?</v>
      </c>
      <c r="M75" s="635" t="n">
        <f aca="true">IF($A75="S",VTOTALBM,IF($A75=0,0,ROUND(SomaAgrupBM,15-13*ORÇAMENTO!$AF$11)))</f>
        <v>0</v>
      </c>
      <c r="N75" s="219" t="n">
        <f aca="false">O75-M75</f>
        <v>0</v>
      </c>
      <c r="O75" s="210" t="n">
        <f aca="true">IF($A75="S",VTOTALBM,IF($A75=0,0,ROUND(SomaAgrupBM,15-13*ORÇAMENTO!$AF$11)))</f>
        <v>0</v>
      </c>
      <c r="Q75" s="636"/>
      <c r="R75" s="637"/>
      <c r="T75" s="202" t="str">
        <f aca="false">IF($W75&gt;0,$D75,"")</f>
        <v/>
      </c>
      <c r="U75" s="341" t="str">
        <f aca="false">IF($W75&gt;0,$E75,"")</f>
        <v/>
      </c>
      <c r="V75" s="342" t="str">
        <f aca="true">IF(AND($W75&gt;0,RegimeExecucao="Unitário"),$F75,"")</f>
        <v/>
      </c>
      <c r="W75" s="638" t="n">
        <f aca="true">IF($Y75&gt;0,CHOOSE(MATCH(RegimeExecucao,{"Unitário","Global"},0),IF($A75="S",$Y75/$X75,""),($Y75/$X75)*100),0)</f>
        <v>0</v>
      </c>
      <c r="X75" s="639" t="str">
        <f aca="true">IF($Y75&gt;0,CHOOSE(MATCH(RegimeExecucao,{"Unitário","Global"},0),IF($A75="S",ROUND($H75,ORÇAMENTO!$AF$10),""),ROUND($I75,ORÇAMENTO!$AF$11)),"")</f>
        <v/>
      </c>
      <c r="Y75" s="639" t="n">
        <f aca="false">AO75-O75</f>
        <v>0</v>
      </c>
      <c r="Z75" s="640"/>
      <c r="AB75" s="636"/>
      <c r="AC75" s="641"/>
      <c r="AD75" s="641"/>
      <c r="AE75" s="641"/>
      <c r="AF75" s="641"/>
      <c r="AG75" s="641"/>
      <c r="AH75" s="641"/>
      <c r="AI75" s="641"/>
      <c r="AJ75" s="641"/>
      <c r="AK75" s="641"/>
      <c r="AL75" s="641"/>
      <c r="AM75" s="637"/>
      <c r="AO75" s="38" t="n">
        <f aca="true">IF($A75="S",IF(BM!$I75=0,0,CHOOSE(MATCH(RegimeExecucao,{"Global","Unitário"},0),ROUND(ROUND(BM.MEDAcumulado,15-13*BM!$A$9)/100*BM!$I75,15-13*ORÇAMENTO!$AF$11),ROUND(ROUND(BM.MEDAcumulado,15-13*BM!$A$9)*ROUND(BM!$H75,15-13*ORÇAMENTO!$AF$10),15-13*ORÇAMENTO!$AF$11))),IF($A75=0,0,ROUND(SomaAgrupBM,15-13*ORÇAMENTO!$AF$11)))</f>
        <v>0</v>
      </c>
    </row>
    <row r="76" customFormat="false" ht="12.75" hidden="false" customHeight="false" outlineLevel="0" collapsed="false">
      <c r="A76" s="1" t="n">
        <f aca="false">ORÇAMENTO!C76</f>
        <v>2</v>
      </c>
      <c r="B76" s="1" t="n">
        <f aca="false">ORÇAMENTO!D76</f>
        <v>1</v>
      </c>
      <c r="C76" s="199" t="str">
        <f aca="false">IF(OR($I76&gt;0,$A76=1,$A76=2,$A76=3,$A76=4),"F","")</f>
        <v>F</v>
      </c>
      <c r="D76" s="202" t="str">
        <f aca="false">ORÇAMENTO!O76</f>
        <v>1.17.</v>
      </c>
      <c r="E76" s="341" t="str">
        <f aca="false">ORÇAMENTO.Descricao</f>
        <v>REVESTIMENTOS</v>
      </c>
      <c r="F76" s="342" t="str">
        <f aca="true">IF(RegimeExecucao="Global","",ORÇAMENTO.Unidade)</f>
        <v/>
      </c>
      <c r="G76" s="207" t="str">
        <f aca="true">IF(RegimeExecucao="Global","",ORÇAMENTO!T76)</f>
        <v/>
      </c>
      <c r="H76" s="207" t="str">
        <f aca="true">IF(RegimeExecucao="Global","",ORÇAMENTO!W76)</f>
        <v/>
      </c>
      <c r="I76" s="210" t="n">
        <f aca="false">ORÇAMENTO!X76</f>
        <v>0</v>
      </c>
      <c r="J76" s="633" t="e">
        <f aca="false" t="array" ref="J76:J76">_xlfn.single(IF($A76="S",IF(CAIXA.Modo,BM.AFAnterior,BM.MEDAnterior),IF(AND(_xlfn.single(RegimeExecucao)="Global",$I76&gt;0,COUNTIF($AB$13:$AM$13,BM.medicao-1)&gt;0),M76/$I76*100,0)))</f>
        <v>#NAME?</v>
      </c>
      <c r="K76" s="207" t="e">
        <f aca="false">L76-J76</f>
        <v>#NAME?</v>
      </c>
      <c r="L76" s="634" t="e">
        <f aca="false" t="array" ref="L76:L76">_xlfn.single(IF($A76="S",IF(CAIXA.Modo,BM.AFAcumulado,BM.MEDAcumulado),IF(AND(_xlfn.single(RegimeExecucao)="Global",$I76&gt;0,COUNTIF($AB$13:$AM$13,BM.medicao)&gt;0),O76/$I76*100,0)))</f>
        <v>#NAME?</v>
      </c>
      <c r="M76" s="635" t="n">
        <f aca="true">IF($A76="S",VTOTALBM,IF($A76=0,0,ROUND(SomaAgrupBM,15-13*ORÇAMENTO!$AF$11)))</f>
        <v>0</v>
      </c>
      <c r="N76" s="219" t="n">
        <f aca="false">O76-M76</f>
        <v>0</v>
      </c>
      <c r="O76" s="210" t="n">
        <f aca="true">IF($A76="S",VTOTALBM,IF($A76=0,0,ROUND(SomaAgrupBM,15-13*ORÇAMENTO!$AF$11)))</f>
        <v>0</v>
      </c>
      <c r="Q76" s="636"/>
      <c r="R76" s="637"/>
      <c r="T76" s="202" t="str">
        <f aca="false">IF($W76&gt;0,$D76,"")</f>
        <v/>
      </c>
      <c r="U76" s="341" t="str">
        <f aca="false">IF($W76&gt;0,$E76,"")</f>
        <v/>
      </c>
      <c r="V76" s="342" t="str">
        <f aca="true">IF(AND($W76&gt;0,RegimeExecucao="Unitário"),$F76,"")</f>
        <v/>
      </c>
      <c r="W76" s="638" t="n">
        <f aca="true">IF($Y76&gt;0,CHOOSE(MATCH(RegimeExecucao,{"Unitário","Global"},0),IF($A76="S",$Y76/$X76,""),($Y76/$X76)*100),0)</f>
        <v>0</v>
      </c>
      <c r="X76" s="639" t="str">
        <f aca="true">IF($Y76&gt;0,CHOOSE(MATCH(RegimeExecucao,{"Unitário","Global"},0),IF($A76="S",ROUND($H76,ORÇAMENTO!$AF$10),""),ROUND($I76,ORÇAMENTO!$AF$11)),"")</f>
        <v/>
      </c>
      <c r="Y76" s="639" t="n">
        <f aca="false">AO76-O76</f>
        <v>0</v>
      </c>
      <c r="Z76" s="640"/>
      <c r="AB76" s="636"/>
      <c r="AC76" s="641"/>
      <c r="AD76" s="641"/>
      <c r="AE76" s="641"/>
      <c r="AF76" s="641"/>
      <c r="AG76" s="641"/>
      <c r="AH76" s="641"/>
      <c r="AI76" s="641"/>
      <c r="AJ76" s="641"/>
      <c r="AK76" s="641"/>
      <c r="AL76" s="641"/>
      <c r="AM76" s="637"/>
      <c r="AO76" s="38" t="n">
        <f aca="true">IF($A76="S",IF(BM!$I76=0,0,CHOOSE(MATCH(RegimeExecucao,{"Global","Unitário"},0),ROUND(ROUND(BM.MEDAcumulado,15-13*BM!$A$9)/100*BM!$I76,15-13*ORÇAMENTO!$AF$11),ROUND(ROUND(BM.MEDAcumulado,15-13*BM!$A$9)*ROUND(BM!$H76,15-13*ORÇAMENTO!$AF$10),15-13*ORÇAMENTO!$AF$11))),IF($A76=0,0,ROUND(SomaAgrupBM,15-13*ORÇAMENTO!$AF$11)))</f>
        <v>0</v>
      </c>
    </row>
    <row r="77" customFormat="false" ht="12.75" hidden="false" customHeight="false" outlineLevel="0" collapsed="false">
      <c r="A77" s="1" t="n">
        <f aca="false">ORÇAMENTO!C77</f>
        <v>2</v>
      </c>
      <c r="B77" s="1" t="n">
        <f aca="false">ORÇAMENTO!D77</f>
        <v>5</v>
      </c>
      <c r="C77" s="199" t="str">
        <f aca="false">IF(OR($I77&gt;0,$A77=1,$A77=2,$A77=3,$A77=4),"F","")</f>
        <v>F</v>
      </c>
      <c r="D77" s="202" t="str">
        <f aca="false">ORÇAMENTO!O77</f>
        <v>1.18.</v>
      </c>
      <c r="E77" s="341" t="str">
        <f aca="false">ORÇAMENTO.Descricao</f>
        <v>REVESTIMENTOS INTERNOS</v>
      </c>
      <c r="F77" s="342" t="str">
        <f aca="true">IF(RegimeExecucao="Global","",ORÇAMENTO.Unidade)</f>
        <v/>
      </c>
      <c r="G77" s="207" t="str">
        <f aca="true">IF(RegimeExecucao="Global","",ORÇAMENTO!T77)</f>
        <v/>
      </c>
      <c r="H77" s="207" t="str">
        <f aca="true">IF(RegimeExecucao="Global","",ORÇAMENTO!W77)</f>
        <v/>
      </c>
      <c r="I77" s="210" t="n">
        <f aca="false">ORÇAMENTO!X77</f>
        <v>135548.25</v>
      </c>
      <c r="J77" s="633" t="e">
        <f aca="false" t="array" ref="J77:J77">_xlfn.single(IF($A77="S",IF(CAIXA.Modo,BM.AFAnterior,BM.MEDAnterior),IF(AND(_xlfn.single(RegimeExecucao)="Global",$I77&gt;0,COUNTIF($AB$13:$AM$13,BM.medicao-1)&gt;0),M77/$I77*100,0)))</f>
        <v>#NAME?</v>
      </c>
      <c r="K77" s="207" t="e">
        <f aca="false">L77-J77</f>
        <v>#NAME?</v>
      </c>
      <c r="L77" s="634" t="e">
        <f aca="false" t="array" ref="L77:L77">_xlfn.single(IF($A77="S",IF(CAIXA.Modo,BM.AFAcumulado,BM.MEDAcumulado),IF(AND(_xlfn.single(RegimeExecucao)="Global",$I77&gt;0,COUNTIF($AB$13:$AM$13,BM.medicao)&gt;0),O77/$I77*100,0)))</f>
        <v>#NAME?</v>
      </c>
      <c r="M77" s="635" t="n">
        <f aca="true">IF($A77="S",VTOTALBM,IF($A77=0,0,ROUND(SomaAgrupBM,15-13*ORÇAMENTO!$AF$11)))</f>
        <v>0</v>
      </c>
      <c r="N77" s="219" t="n">
        <f aca="false">O77-M77</f>
        <v>0</v>
      </c>
      <c r="O77" s="210" t="n">
        <f aca="true">IF($A77="S",VTOTALBM,IF($A77=0,0,ROUND(SomaAgrupBM,15-13*ORÇAMENTO!$AF$11)))</f>
        <v>0</v>
      </c>
      <c r="Q77" s="636"/>
      <c r="R77" s="637"/>
      <c r="T77" s="202" t="str">
        <f aca="false">IF($W77&gt;0,$D77,"")</f>
        <v/>
      </c>
      <c r="U77" s="341" t="str">
        <f aca="false">IF($W77&gt;0,$E77,"")</f>
        <v/>
      </c>
      <c r="V77" s="342" t="str">
        <f aca="true">IF(AND($W77&gt;0,RegimeExecucao="Unitário"),$F77,"")</f>
        <v/>
      </c>
      <c r="W77" s="638" t="n">
        <f aca="true">IF($Y77&gt;0,CHOOSE(MATCH(RegimeExecucao,{"Unitário","Global"},0),IF($A77="S",$Y77/$X77,""),($Y77/$X77)*100),0)</f>
        <v>0</v>
      </c>
      <c r="X77" s="639" t="str">
        <f aca="true">IF($Y77&gt;0,CHOOSE(MATCH(RegimeExecucao,{"Unitário","Global"},0),IF($A77="S",ROUND($H77,ORÇAMENTO!$AF$10),""),ROUND($I77,ORÇAMENTO!$AF$11)),"")</f>
        <v/>
      </c>
      <c r="Y77" s="639" t="n">
        <f aca="false">AO77-O77</f>
        <v>0</v>
      </c>
      <c r="Z77" s="640"/>
      <c r="AB77" s="636"/>
      <c r="AC77" s="641"/>
      <c r="AD77" s="641"/>
      <c r="AE77" s="641"/>
      <c r="AF77" s="641"/>
      <c r="AG77" s="641"/>
      <c r="AH77" s="641"/>
      <c r="AI77" s="641"/>
      <c r="AJ77" s="641"/>
      <c r="AK77" s="641"/>
      <c r="AL77" s="641"/>
      <c r="AM77" s="637"/>
      <c r="AO77" s="38" t="n">
        <f aca="true">IF($A77="S",IF(BM!$I77=0,0,CHOOSE(MATCH(RegimeExecucao,{"Global","Unitário"},0),ROUND(ROUND(BM.MEDAcumulado,15-13*BM!$A$9)/100*BM!$I77,15-13*ORÇAMENTO!$AF$11),ROUND(ROUND(BM.MEDAcumulado,15-13*BM!$A$9)*ROUND(BM!$H77,15-13*ORÇAMENTO!$AF$10),15-13*ORÇAMENTO!$AF$11))),IF($A77=0,0,ROUND(SomaAgrupBM,15-13*ORÇAMENTO!$AF$11)))</f>
        <v>0</v>
      </c>
    </row>
    <row r="78" customFormat="false" ht="23.85" hidden="false" customHeight="false" outlineLevel="0" collapsed="false">
      <c r="A78" s="1" t="str">
        <f aca="false">ORÇAMENTO!C78</f>
        <v>S</v>
      </c>
      <c r="B78" s="1" t="n">
        <f aca="false">ORÇAMENTO!D78</f>
        <v>0</v>
      </c>
      <c r="C78" s="199" t="str">
        <f aca="false">IF(OR($I78&gt;0,$A78=1,$A78=2,$A78=3,$A78=4),"F","")</f>
        <v>F</v>
      </c>
      <c r="D78" s="202" t="str">
        <f aca="false">ORÇAMENTO!O78</f>
        <v>1.18.1.</v>
      </c>
      <c r="E78" s="341" t="str">
        <f aca="false">ORÇAMENTO.Descricao</f>
        <v>APLICAÇÃO MANUAL DE GESSO DESEMPENADO (SEM TALISCAS) EM PAREDES, ESPESSURA DE 0,5CM. AF_03/2023</v>
      </c>
      <c r="F78" s="342" t="str">
        <f aca="true">IF(RegimeExecucao="Global","",ORÇAMENTO.Unidade)</f>
        <v/>
      </c>
      <c r="G78" s="207" t="str">
        <f aca="true">IF(RegimeExecucao="Global","",ORÇAMENTO!T78)</f>
        <v/>
      </c>
      <c r="H78" s="207" t="str">
        <f aca="true">IF(RegimeExecucao="Global","",ORÇAMENTO!W78)</f>
        <v/>
      </c>
      <c r="I78" s="210" t="n">
        <f aca="false">ORÇAMENTO!X78</f>
        <v>61574.75</v>
      </c>
      <c r="J78" s="633" t="e">
        <f aca="false" t="array" ref="J78:J78">_xlfn.single(IF($A78="S",IF(CAIXA.Modo,BM.AFAnterior,BM.MEDAnterior),IF(AND(_xlfn.single(RegimeExecucao)="Global",$I78&gt;0,COUNTIF($AB$13:$AM$13,BM.medicao-1)&gt;0),M78/$I78*100,0)))</f>
        <v>#NAME?</v>
      </c>
      <c r="K78" s="207" t="e">
        <f aca="false">L78-J78</f>
        <v>#NAME?</v>
      </c>
      <c r="L78" s="634" t="e">
        <f aca="false" t="array" ref="L78:L78">_xlfn.single(IF($A78="S",IF(CAIXA.Modo,BM.AFAcumulado,BM.MEDAcumulado),IF(AND(_xlfn.single(RegimeExecucao)="Global",$I78&gt;0,COUNTIF($AB$13:$AM$13,BM.medicao)&gt;0),O78/$I78*100,0)))</f>
        <v>#NAME?</v>
      </c>
      <c r="M78" s="635" t="n">
        <f aca="true">IF($A78="S",VTOTALBM,IF($A78=0,0,ROUND(SomaAgrupBM,15-13*ORÇAMENTO!$AF$11)))</f>
        <v>0</v>
      </c>
      <c r="N78" s="219" t="n">
        <f aca="false">O78-M78</f>
        <v>0</v>
      </c>
      <c r="O78" s="210" t="n">
        <f aca="true">IF($A78="S",VTOTALBM,IF($A78=0,0,ROUND(SomaAgrupBM,15-13*ORÇAMENTO!$AF$11)))</f>
        <v>0</v>
      </c>
      <c r="Q78" s="636"/>
      <c r="R78" s="637"/>
      <c r="T78" s="202" t="str">
        <f aca="false">IF($W78&gt;0,$D78,"")</f>
        <v/>
      </c>
      <c r="U78" s="341" t="str">
        <f aca="false">IF($W78&gt;0,$E78,"")</f>
        <v/>
      </c>
      <c r="V78" s="342" t="str">
        <f aca="true">IF(AND($W78&gt;0,RegimeExecucao="Unitário"),$F78,"")</f>
        <v/>
      </c>
      <c r="W78" s="638" t="n">
        <f aca="true">IF($Y78&gt;0,CHOOSE(MATCH(RegimeExecucao,{"Unitário","Global"},0),IF($A78="S",$Y78/$X78,""),($Y78/$X78)*100),0)</f>
        <v>0</v>
      </c>
      <c r="X78" s="639" t="str">
        <f aca="true">IF($Y78&gt;0,CHOOSE(MATCH(RegimeExecucao,{"Unitário","Global"},0),IF($A78="S",ROUND($H78,ORÇAMENTO!$AF$10),""),ROUND($I78,ORÇAMENTO!$AF$11)),"")</f>
        <v/>
      </c>
      <c r="Y78" s="639" t="n">
        <f aca="false">AO78-O78</f>
        <v>0</v>
      </c>
      <c r="Z78" s="640"/>
      <c r="AB78" s="636"/>
      <c r="AC78" s="641"/>
      <c r="AD78" s="641"/>
      <c r="AE78" s="641"/>
      <c r="AF78" s="641"/>
      <c r="AG78" s="641"/>
      <c r="AH78" s="641"/>
      <c r="AI78" s="641"/>
      <c r="AJ78" s="641"/>
      <c r="AK78" s="641"/>
      <c r="AL78" s="641"/>
      <c r="AM78" s="637"/>
      <c r="AO78" s="38" t="n">
        <f aca="true">IF($A78="S",IF(BM!$I78=0,0,CHOOSE(MATCH(RegimeExecucao,{"Global","Unitário"},0),ROUND(ROUND(BM.MEDAcumulado,15-13*BM!$A$9)/100*BM!$I78,15-13*ORÇAMENTO!$AF$11),ROUND(ROUND(BM.MEDAcumulado,15-13*BM!$A$9)*ROUND(BM!$H78,15-13*ORÇAMENTO!$AF$10),15-13*ORÇAMENTO!$AF$11))),IF($A78=0,0,ROUND(SomaAgrupBM,15-13*ORÇAMENTO!$AF$11)))</f>
        <v>0</v>
      </c>
    </row>
    <row r="79" customFormat="false" ht="35.05" hidden="false" customHeight="false" outlineLevel="0" collapsed="false">
      <c r="A79" s="1" t="str">
        <f aca="false">ORÇAMENTO!C79</f>
        <v>S</v>
      </c>
      <c r="B79" s="1" t="n">
        <f aca="false">ORÇAMENTO!D79</f>
        <v>0</v>
      </c>
      <c r="C79" s="199" t="str">
        <f aca="false">IF(OR($I79&gt;0,$A79=1,$A79=2,$A79=3,$A79=4),"F","")</f>
        <v>F</v>
      </c>
      <c r="D79" s="202" t="str">
        <f aca="false">ORÇAMENTO!O79</f>
        <v>1.18.2.</v>
      </c>
      <c r="E79" s="341" t="str">
        <f aca="false">ORÇAMENTO.Descricao</f>
        <v>APLICAÇÃO MANUAL DE GESSO DESEMPENADO (SEM TALISCAS) EM TETO DE AMBIENTES DE ÁREA MAIOR QUE 10M², ESPESSURA DE 0,5CM. AF_03/20</v>
      </c>
      <c r="F79" s="342" t="str">
        <f aca="true">IF(RegimeExecucao="Global","",ORÇAMENTO.Unidade)</f>
        <v/>
      </c>
      <c r="G79" s="207" t="str">
        <f aca="true">IF(RegimeExecucao="Global","",ORÇAMENTO!T79)</f>
        <v/>
      </c>
      <c r="H79" s="207" t="str">
        <f aca="true">IF(RegimeExecucao="Global","",ORÇAMENTO!W79)</f>
        <v/>
      </c>
      <c r="I79" s="210" t="n">
        <f aca="false">ORÇAMENTO!X79</f>
        <v>25643</v>
      </c>
      <c r="J79" s="633" t="e">
        <f aca="false" t="array" ref="J79:J79">_xlfn.single(IF($A79="S",IF(CAIXA.Modo,BM.AFAnterior,BM.MEDAnterior),IF(AND(_xlfn.single(RegimeExecucao)="Global",$I79&gt;0,COUNTIF($AB$13:$AM$13,BM.medicao-1)&gt;0),M79/$I79*100,0)))</f>
        <v>#NAME?</v>
      </c>
      <c r="K79" s="207" t="e">
        <f aca="false">L79-J79</f>
        <v>#NAME?</v>
      </c>
      <c r="L79" s="634" t="e">
        <f aca="false" t="array" ref="L79:L79">_xlfn.single(IF($A79="S",IF(CAIXA.Modo,BM.AFAcumulado,BM.MEDAcumulado),IF(AND(_xlfn.single(RegimeExecucao)="Global",$I79&gt;0,COUNTIF($AB$13:$AM$13,BM.medicao)&gt;0),O79/$I79*100,0)))</f>
        <v>#NAME?</v>
      </c>
      <c r="M79" s="635" t="n">
        <f aca="true">IF($A79="S",VTOTALBM,IF($A79=0,0,ROUND(SomaAgrupBM,15-13*ORÇAMENTO!$AF$11)))</f>
        <v>0</v>
      </c>
      <c r="N79" s="219" t="n">
        <f aca="false">O79-M79</f>
        <v>0</v>
      </c>
      <c r="O79" s="210" t="n">
        <f aca="true">IF($A79="S",VTOTALBM,IF($A79=0,0,ROUND(SomaAgrupBM,15-13*ORÇAMENTO!$AF$11)))</f>
        <v>0</v>
      </c>
      <c r="Q79" s="636"/>
      <c r="R79" s="637"/>
      <c r="T79" s="202" t="str">
        <f aca="false">IF($W79&gt;0,$D79,"")</f>
        <v/>
      </c>
      <c r="U79" s="341" t="str">
        <f aca="false">IF($W79&gt;0,$E79,"")</f>
        <v/>
      </c>
      <c r="V79" s="342" t="str">
        <f aca="true">IF(AND($W79&gt;0,RegimeExecucao="Unitário"),$F79,"")</f>
        <v/>
      </c>
      <c r="W79" s="638" t="n">
        <f aca="true">IF($Y79&gt;0,CHOOSE(MATCH(RegimeExecucao,{"Unitário","Global"},0),IF($A79="S",$Y79/$X79,""),($Y79/$X79)*100),0)</f>
        <v>0</v>
      </c>
      <c r="X79" s="639" t="str">
        <f aca="true">IF($Y79&gt;0,CHOOSE(MATCH(RegimeExecucao,{"Unitário","Global"},0),IF($A79="S",ROUND($H79,ORÇAMENTO!$AF$10),""),ROUND($I79,ORÇAMENTO!$AF$11)),"")</f>
        <v/>
      </c>
      <c r="Y79" s="639" t="n">
        <f aca="false">AO79-O79</f>
        <v>0</v>
      </c>
      <c r="Z79" s="640"/>
      <c r="AB79" s="636"/>
      <c r="AC79" s="641"/>
      <c r="AD79" s="641"/>
      <c r="AE79" s="641"/>
      <c r="AF79" s="641"/>
      <c r="AG79" s="641"/>
      <c r="AH79" s="641"/>
      <c r="AI79" s="641"/>
      <c r="AJ79" s="641"/>
      <c r="AK79" s="641"/>
      <c r="AL79" s="641"/>
      <c r="AM79" s="637"/>
      <c r="AO79" s="38" t="n">
        <f aca="true">IF($A79="S",IF(BM!$I79=0,0,CHOOSE(MATCH(RegimeExecucao,{"Global","Unitário"},0),ROUND(ROUND(BM.MEDAcumulado,15-13*BM!$A$9)/100*BM!$I79,15-13*ORÇAMENTO!$AF$11),ROUND(ROUND(BM.MEDAcumulado,15-13*BM!$A$9)*ROUND(BM!$H79,15-13*ORÇAMENTO!$AF$10),15-13*ORÇAMENTO!$AF$11))),IF($A79=0,0,ROUND(SomaAgrupBM,15-13*ORÇAMENTO!$AF$11)))</f>
        <v>0</v>
      </c>
    </row>
    <row r="80" customFormat="false" ht="35.05" hidden="false" customHeight="false" outlineLevel="0" collapsed="false">
      <c r="A80" s="1" t="str">
        <f aca="false">ORÇAMENTO!C80</f>
        <v>S</v>
      </c>
      <c r="B80" s="1" t="n">
        <f aca="false">ORÇAMENTO!D80</f>
        <v>0</v>
      </c>
      <c r="C80" s="199" t="str">
        <f aca="false">IF(OR($I80&gt;0,$A80=1,$A80=2,$A80=3,$A80=4),"F","")</f>
        <v>F</v>
      </c>
      <c r="D80" s="202" t="str">
        <f aca="false">ORÇAMENTO!O80</f>
        <v>1.18.3.</v>
      </c>
      <c r="E80" s="341" t="str">
        <f aca="false">ORÇAMENTO.Descricao</f>
        <v>CHAPISCO APLICADO EM ALVENARIAS E ESTRUTURAS DE CONCRETO INTERNAS, COM COLHER DE PEDREIRO. ARGAMASSA TRAÇO 1:3 COM PREPARO MANUAL. AF_10/20</v>
      </c>
      <c r="F80" s="342" t="str">
        <f aca="true">IF(RegimeExecucao="Global","",ORÇAMENTO.Unidade)</f>
        <v/>
      </c>
      <c r="G80" s="207" t="str">
        <f aca="true">IF(RegimeExecucao="Global","",ORÇAMENTO!T80)</f>
        <v/>
      </c>
      <c r="H80" s="207" t="str">
        <f aca="true">IF(RegimeExecucao="Global","",ORÇAMENTO!W80)</f>
        <v/>
      </c>
      <c r="I80" s="210" t="n">
        <f aca="false">ORÇAMENTO!X80</f>
        <v>6210.25</v>
      </c>
      <c r="J80" s="633" t="e">
        <f aca="false" t="array" ref="J80:J80">_xlfn.single(IF($A80="S",IF(CAIXA.Modo,BM.AFAnterior,BM.MEDAnterior),IF(AND(_xlfn.single(RegimeExecucao)="Global",$I80&gt;0,COUNTIF($AB$13:$AM$13,BM.medicao-1)&gt;0),M80/$I80*100,0)))</f>
        <v>#NAME?</v>
      </c>
      <c r="K80" s="207" t="e">
        <f aca="false">L80-J80</f>
        <v>#NAME?</v>
      </c>
      <c r="L80" s="634" t="e">
        <f aca="false" t="array" ref="L80:L80">_xlfn.single(IF($A80="S",IF(CAIXA.Modo,BM.AFAcumulado,BM.MEDAcumulado),IF(AND(_xlfn.single(RegimeExecucao)="Global",$I80&gt;0,COUNTIF($AB$13:$AM$13,BM.medicao)&gt;0),O80/$I80*100,0)))</f>
        <v>#NAME?</v>
      </c>
      <c r="M80" s="635" t="n">
        <f aca="true">IF($A80="S",VTOTALBM,IF($A80=0,0,ROUND(SomaAgrupBM,15-13*ORÇAMENTO!$AF$11)))</f>
        <v>0</v>
      </c>
      <c r="N80" s="219" t="n">
        <f aca="false">O80-M80</f>
        <v>0</v>
      </c>
      <c r="O80" s="210" t="n">
        <f aca="true">IF($A80="S",VTOTALBM,IF($A80=0,0,ROUND(SomaAgrupBM,15-13*ORÇAMENTO!$AF$11)))</f>
        <v>0</v>
      </c>
      <c r="Q80" s="636"/>
      <c r="R80" s="637"/>
      <c r="T80" s="202" t="str">
        <f aca="false">IF($W80&gt;0,$D80,"")</f>
        <v/>
      </c>
      <c r="U80" s="341" t="str">
        <f aca="false">IF($W80&gt;0,$E80,"")</f>
        <v/>
      </c>
      <c r="V80" s="342" t="str">
        <f aca="true">IF(AND($W80&gt;0,RegimeExecucao="Unitário"),$F80,"")</f>
        <v/>
      </c>
      <c r="W80" s="638" t="n">
        <f aca="true">IF($Y80&gt;0,CHOOSE(MATCH(RegimeExecucao,{"Unitário","Global"},0),IF($A80="S",$Y80/$X80,""),($Y80/$X80)*100),0)</f>
        <v>0</v>
      </c>
      <c r="X80" s="639" t="str">
        <f aca="true">IF($Y80&gt;0,CHOOSE(MATCH(RegimeExecucao,{"Unitário","Global"},0),IF($A80="S",ROUND($H80,ORÇAMENTO!$AF$10),""),ROUND($I80,ORÇAMENTO!$AF$11)),"")</f>
        <v/>
      </c>
      <c r="Y80" s="639" t="n">
        <f aca="false">AO80-O80</f>
        <v>0</v>
      </c>
      <c r="Z80" s="640"/>
      <c r="AB80" s="636"/>
      <c r="AC80" s="641"/>
      <c r="AD80" s="641"/>
      <c r="AE80" s="641"/>
      <c r="AF80" s="641"/>
      <c r="AG80" s="641"/>
      <c r="AH80" s="641"/>
      <c r="AI80" s="641"/>
      <c r="AJ80" s="641"/>
      <c r="AK80" s="641"/>
      <c r="AL80" s="641"/>
      <c r="AM80" s="637"/>
      <c r="AO80" s="38" t="n">
        <f aca="true">IF($A80="S",IF(BM!$I80=0,0,CHOOSE(MATCH(RegimeExecucao,{"Global","Unitário"},0),ROUND(ROUND(BM.MEDAcumulado,15-13*BM!$A$9)/100*BM!$I80,15-13*ORÇAMENTO!$AF$11),ROUND(ROUND(BM.MEDAcumulado,15-13*BM!$A$9)*ROUND(BM!$H80,15-13*ORÇAMENTO!$AF$10),15-13*ORÇAMENTO!$AF$11))),IF($A80=0,0,ROUND(SomaAgrupBM,15-13*ORÇAMENTO!$AF$11)))</f>
        <v>0</v>
      </c>
    </row>
    <row r="81" customFormat="false" ht="35.05" hidden="false" customHeight="false" outlineLevel="0" collapsed="false">
      <c r="A81" s="1" t="str">
        <f aca="false">ORÇAMENTO!C81</f>
        <v>S</v>
      </c>
      <c r="B81" s="1" t="n">
        <f aca="false">ORÇAMENTO!D81</f>
        <v>0</v>
      </c>
      <c r="C81" s="199" t="str">
        <f aca="false">IF(OR($I81&gt;0,$A81=1,$A81=2,$A81=3,$A81=4),"F","")</f>
        <v>F</v>
      </c>
      <c r="D81" s="202" t="str">
        <f aca="false">ORÇAMENTO!O81</f>
        <v>1.18.4.</v>
      </c>
      <c r="E81" s="341" t="str">
        <f aca="false">ORÇAMENTO.Descricao</f>
        <v>EMBOÇO COM ARGAMASSA, TRAÇO 1:6 (CIMENTO E AREIA), ESP.
20MM, APLICAÇÃO MANUAL, INCLUSIVE ARGAMASSA COM
PREPARO MECANIZADO, EXCLUSIVE CHAPISCO</v>
      </c>
      <c r="F81" s="342" t="str">
        <f aca="true">IF(RegimeExecucao="Global","",ORÇAMENTO.Unidade)</f>
        <v/>
      </c>
      <c r="G81" s="207" t="str">
        <f aca="true">IF(RegimeExecucao="Global","",ORÇAMENTO!T81)</f>
        <v/>
      </c>
      <c r="H81" s="207" t="str">
        <f aca="true">IF(RegimeExecucao="Global","",ORÇAMENTO!W81)</f>
        <v/>
      </c>
      <c r="I81" s="210" t="n">
        <f aca="false">ORÇAMENTO!X81</f>
        <v>42120.25</v>
      </c>
      <c r="J81" s="633" t="e">
        <f aca="false" t="array" ref="J81:J81">_xlfn.single(IF($A81="S",IF(CAIXA.Modo,BM.AFAnterior,BM.MEDAnterior),IF(AND(_xlfn.single(RegimeExecucao)="Global",$I81&gt;0,COUNTIF($AB$13:$AM$13,BM.medicao-1)&gt;0),M81/$I81*100,0)))</f>
        <v>#NAME?</v>
      </c>
      <c r="K81" s="207" t="e">
        <f aca="false">L81-J81</f>
        <v>#NAME?</v>
      </c>
      <c r="L81" s="634" t="e">
        <f aca="false" t="array" ref="L81:L81">_xlfn.single(IF($A81="S",IF(CAIXA.Modo,BM.AFAcumulado,BM.MEDAcumulado),IF(AND(_xlfn.single(RegimeExecucao)="Global",$I81&gt;0,COUNTIF($AB$13:$AM$13,BM.medicao)&gt;0),O81/$I81*100,0)))</f>
        <v>#NAME?</v>
      </c>
      <c r="M81" s="635" t="n">
        <f aca="true">IF($A81="S",VTOTALBM,IF($A81=0,0,ROUND(SomaAgrupBM,15-13*ORÇAMENTO!$AF$11)))</f>
        <v>0</v>
      </c>
      <c r="N81" s="219" t="n">
        <f aca="false">O81-M81</f>
        <v>0</v>
      </c>
      <c r="O81" s="210" t="n">
        <f aca="true">IF($A81="S",VTOTALBM,IF($A81=0,0,ROUND(SomaAgrupBM,15-13*ORÇAMENTO!$AF$11)))</f>
        <v>0</v>
      </c>
      <c r="Q81" s="636"/>
      <c r="R81" s="637"/>
      <c r="T81" s="202" t="str">
        <f aca="false">IF($W81&gt;0,$D81,"")</f>
        <v/>
      </c>
      <c r="U81" s="341" t="str">
        <f aca="false">IF($W81&gt;0,$E81,"")</f>
        <v/>
      </c>
      <c r="V81" s="342" t="str">
        <f aca="true">IF(AND($W81&gt;0,RegimeExecucao="Unitário"),$F81,"")</f>
        <v/>
      </c>
      <c r="W81" s="638" t="n">
        <f aca="true">IF($Y81&gt;0,CHOOSE(MATCH(RegimeExecucao,{"Unitário","Global"},0),IF($A81="S",$Y81/$X81,""),($Y81/$X81)*100),0)</f>
        <v>0</v>
      </c>
      <c r="X81" s="639" t="str">
        <f aca="true">IF($Y81&gt;0,CHOOSE(MATCH(RegimeExecucao,{"Unitário","Global"},0),IF($A81="S",ROUND($H81,ORÇAMENTO!$AF$10),""),ROUND($I81,ORÇAMENTO!$AF$11)),"")</f>
        <v/>
      </c>
      <c r="Y81" s="639" t="n">
        <f aca="false">AO81-O81</f>
        <v>0</v>
      </c>
      <c r="Z81" s="640"/>
      <c r="AB81" s="636"/>
      <c r="AC81" s="641"/>
      <c r="AD81" s="641"/>
      <c r="AE81" s="641"/>
      <c r="AF81" s="641"/>
      <c r="AG81" s="641"/>
      <c r="AH81" s="641"/>
      <c r="AI81" s="641"/>
      <c r="AJ81" s="641"/>
      <c r="AK81" s="641"/>
      <c r="AL81" s="641"/>
      <c r="AM81" s="637"/>
      <c r="AO81" s="38" t="n">
        <f aca="true">IF($A81="S",IF(BM!$I81=0,0,CHOOSE(MATCH(RegimeExecucao,{"Global","Unitário"},0),ROUND(ROUND(BM.MEDAcumulado,15-13*BM!$A$9)/100*BM!$I81,15-13*ORÇAMENTO!$AF$11),ROUND(ROUND(BM.MEDAcumulado,15-13*BM!$A$9)*ROUND(BM!$H81,15-13*ORÇAMENTO!$AF$10),15-13*ORÇAMENTO!$AF$11))),IF($A81=0,0,ROUND(SomaAgrupBM,15-13*ORÇAMENTO!$AF$11)))</f>
        <v>0</v>
      </c>
    </row>
    <row r="82" customFormat="false" ht="12.75" hidden="false" customHeight="false" outlineLevel="0" collapsed="false">
      <c r="A82" s="1" t="n">
        <f aca="false">ORÇAMENTO!C82</f>
        <v>2</v>
      </c>
      <c r="B82" s="1" t="n">
        <f aca="false">ORÇAMENTO!D82</f>
        <v>2</v>
      </c>
      <c r="C82" s="199" t="str">
        <f aca="false">IF(OR($I82&gt;0,$A82=1,$A82=2,$A82=3,$A82=4),"F","")</f>
        <v>F</v>
      </c>
      <c r="D82" s="202" t="str">
        <f aca="false">ORÇAMENTO!O82</f>
        <v>1.19.</v>
      </c>
      <c r="E82" s="341" t="str">
        <f aca="false">ORÇAMENTO.Descricao</f>
        <v>REVESTIMENTOS CERÂMICOS</v>
      </c>
      <c r="F82" s="342" t="str">
        <f aca="true">IF(RegimeExecucao="Global","",ORÇAMENTO.Unidade)</f>
        <v/>
      </c>
      <c r="G82" s="207" t="str">
        <f aca="true">IF(RegimeExecucao="Global","",ORÇAMENTO!T82)</f>
        <v/>
      </c>
      <c r="H82" s="207" t="str">
        <f aca="true">IF(RegimeExecucao="Global","",ORÇAMENTO!W82)</f>
        <v/>
      </c>
      <c r="I82" s="210" t="n">
        <f aca="false">ORÇAMENTO!X82</f>
        <v>79438.75</v>
      </c>
      <c r="J82" s="633" t="e">
        <f aca="false" t="array" ref="J82:J82">_xlfn.single(IF($A82="S",IF(CAIXA.Modo,BM.AFAnterior,BM.MEDAnterior),IF(AND(_xlfn.single(RegimeExecucao)="Global",$I82&gt;0,COUNTIF($AB$13:$AM$13,BM.medicao-1)&gt;0),M82/$I82*100,0)))</f>
        <v>#NAME?</v>
      </c>
      <c r="K82" s="207" t="e">
        <f aca="false">L82-J82</f>
        <v>#NAME?</v>
      </c>
      <c r="L82" s="634" t="e">
        <f aca="false" t="array" ref="L82:L82">_xlfn.single(IF($A82="S",IF(CAIXA.Modo,BM.AFAcumulado,BM.MEDAcumulado),IF(AND(_xlfn.single(RegimeExecucao)="Global",$I82&gt;0,COUNTIF($AB$13:$AM$13,BM.medicao)&gt;0),O82/$I82*100,0)))</f>
        <v>#NAME?</v>
      </c>
      <c r="M82" s="635" t="n">
        <f aca="true">IF($A82="S",VTOTALBM,IF($A82=0,0,ROUND(SomaAgrupBM,15-13*ORÇAMENTO!$AF$11)))</f>
        <v>0</v>
      </c>
      <c r="N82" s="219" t="n">
        <f aca="false">O82-M82</f>
        <v>0</v>
      </c>
      <c r="O82" s="210" t="n">
        <f aca="true">IF($A82="S",VTOTALBM,IF($A82=0,0,ROUND(SomaAgrupBM,15-13*ORÇAMENTO!$AF$11)))</f>
        <v>0</v>
      </c>
      <c r="Q82" s="636"/>
      <c r="R82" s="637"/>
      <c r="T82" s="202" t="str">
        <f aca="false">IF($W82&gt;0,$D82,"")</f>
        <v/>
      </c>
      <c r="U82" s="341" t="str">
        <f aca="false">IF($W82&gt;0,$E82,"")</f>
        <v/>
      </c>
      <c r="V82" s="342" t="str">
        <f aca="true">IF(AND($W82&gt;0,RegimeExecucao="Unitário"),$F82,"")</f>
        <v/>
      </c>
      <c r="W82" s="638" t="n">
        <f aca="true">IF($Y82&gt;0,CHOOSE(MATCH(RegimeExecucao,{"Unitário","Global"},0),IF($A82="S",$Y82/$X82,""),($Y82/$X82)*100),0)</f>
        <v>0</v>
      </c>
      <c r="X82" s="639" t="str">
        <f aca="true">IF($Y82&gt;0,CHOOSE(MATCH(RegimeExecucao,{"Unitário","Global"},0),IF($A82="S",ROUND($H82,ORÇAMENTO!$AF$10),""),ROUND($I82,ORÇAMENTO!$AF$11)),"")</f>
        <v/>
      </c>
      <c r="Y82" s="639" t="n">
        <f aca="false">AO82-O82</f>
        <v>0</v>
      </c>
      <c r="Z82" s="640"/>
      <c r="AB82" s="636"/>
      <c r="AC82" s="641"/>
      <c r="AD82" s="641"/>
      <c r="AE82" s="641"/>
      <c r="AF82" s="641"/>
      <c r="AG82" s="641"/>
      <c r="AH82" s="641"/>
      <c r="AI82" s="641"/>
      <c r="AJ82" s="641"/>
      <c r="AK82" s="641"/>
      <c r="AL82" s="641"/>
      <c r="AM82" s="637"/>
      <c r="AO82" s="38" t="n">
        <f aca="true">IF($A82="S",IF(BM!$I82=0,0,CHOOSE(MATCH(RegimeExecucao,{"Global","Unitário"},0),ROUND(ROUND(BM.MEDAcumulado,15-13*BM!$A$9)/100*BM!$I82,15-13*ORÇAMENTO!$AF$11),ROUND(ROUND(BM.MEDAcumulado,15-13*BM!$A$9)*ROUND(BM!$H82,15-13*ORÇAMENTO!$AF$10),15-13*ORÇAMENTO!$AF$11))),IF($A82=0,0,ROUND(SomaAgrupBM,15-13*ORÇAMENTO!$AF$11)))</f>
        <v>0</v>
      </c>
    </row>
    <row r="83" customFormat="false" ht="35.05" hidden="false" customHeight="false" outlineLevel="0" collapsed="false">
      <c r="A83" s="1" t="str">
        <f aca="false">ORÇAMENTO!C83</f>
        <v>S</v>
      </c>
      <c r="B83" s="1" t="n">
        <f aca="false">ORÇAMENTO!D83</f>
        <v>0</v>
      </c>
      <c r="C83" s="199" t="str">
        <f aca="false">IF(OR($I83&gt;0,$A83=1,$A83=2,$A83=3,$A83=4),"F","")</f>
        <v>F</v>
      </c>
      <c r="D83" s="202" t="str">
        <f aca="false">ORÇAMENTO!O83</f>
        <v>1.19.1.</v>
      </c>
      <c r="E83" s="341" t="str">
        <f aca="false">ORÇAMENTO.Descricao</f>
        <v>REVESTIMENTO CERÂMICO PARA PAREDES INTERNAS COM PLACAS TIPO ESMALTADA DE DIMENSÕES 33X45 CM APLICADAS NA ALTURA INTEIRA DAS PAREDES.</v>
      </c>
      <c r="F83" s="342" t="str">
        <f aca="true">IF(RegimeExecucao="Global","",ORÇAMENTO.Unidade)</f>
        <v/>
      </c>
      <c r="G83" s="207" t="str">
        <f aca="true">IF(RegimeExecucao="Global","",ORÇAMENTO!T83)</f>
        <v/>
      </c>
      <c r="H83" s="207" t="str">
        <f aca="true">IF(RegimeExecucao="Global","",ORÇAMENTO!W83)</f>
        <v/>
      </c>
      <c r="I83" s="210" t="n">
        <f aca="false">ORÇAMENTO!X83</f>
        <v>79438.75</v>
      </c>
      <c r="J83" s="633" t="e">
        <f aca="false" t="array" ref="J83:J83">_xlfn.single(IF($A83="S",IF(CAIXA.Modo,BM.AFAnterior,BM.MEDAnterior),IF(AND(_xlfn.single(RegimeExecucao)="Global",$I83&gt;0,COUNTIF($AB$13:$AM$13,BM.medicao-1)&gt;0),M83/$I83*100,0)))</f>
        <v>#NAME?</v>
      </c>
      <c r="K83" s="207" t="e">
        <f aca="false">L83-J83</f>
        <v>#NAME?</v>
      </c>
      <c r="L83" s="634" t="e">
        <f aca="false" t="array" ref="L83:L83">_xlfn.single(IF($A83="S",IF(CAIXA.Modo,BM.AFAcumulado,BM.MEDAcumulado),IF(AND(_xlfn.single(RegimeExecucao)="Global",$I83&gt;0,COUNTIF($AB$13:$AM$13,BM.medicao)&gt;0),O83/$I83*100,0)))</f>
        <v>#NAME?</v>
      </c>
      <c r="M83" s="635" t="n">
        <f aca="true">IF($A83="S",VTOTALBM,IF($A83=0,0,ROUND(SomaAgrupBM,15-13*ORÇAMENTO!$AF$11)))</f>
        <v>0</v>
      </c>
      <c r="N83" s="219" t="n">
        <f aca="false">O83-M83</f>
        <v>0</v>
      </c>
      <c r="O83" s="210" t="n">
        <f aca="true">IF($A83="S",VTOTALBM,IF($A83=0,0,ROUND(SomaAgrupBM,15-13*ORÇAMENTO!$AF$11)))</f>
        <v>0</v>
      </c>
      <c r="Q83" s="636"/>
      <c r="R83" s="637"/>
      <c r="T83" s="202" t="str">
        <f aca="false">IF($W83&gt;0,$D83,"")</f>
        <v/>
      </c>
      <c r="U83" s="341" t="str">
        <f aca="false">IF($W83&gt;0,$E83,"")</f>
        <v/>
      </c>
      <c r="V83" s="342" t="str">
        <f aca="true">IF(AND($W83&gt;0,RegimeExecucao="Unitário"),$F83,"")</f>
        <v/>
      </c>
      <c r="W83" s="638" t="n">
        <f aca="true">IF($Y83&gt;0,CHOOSE(MATCH(RegimeExecucao,{"Unitário","Global"},0),IF($A83="S",$Y83/$X83,""),($Y83/$X83)*100),0)</f>
        <v>0</v>
      </c>
      <c r="X83" s="639" t="str">
        <f aca="true">IF($Y83&gt;0,CHOOSE(MATCH(RegimeExecucao,{"Unitário","Global"},0),IF($A83="S",ROUND($H83,ORÇAMENTO!$AF$10),""),ROUND($I83,ORÇAMENTO!$AF$11)),"")</f>
        <v/>
      </c>
      <c r="Y83" s="639" t="n">
        <f aca="false">AO83-O83</f>
        <v>0</v>
      </c>
      <c r="Z83" s="640"/>
      <c r="AB83" s="636"/>
      <c r="AC83" s="641"/>
      <c r="AD83" s="641"/>
      <c r="AE83" s="641"/>
      <c r="AF83" s="641"/>
      <c r="AG83" s="641"/>
      <c r="AH83" s="641"/>
      <c r="AI83" s="641"/>
      <c r="AJ83" s="641"/>
      <c r="AK83" s="641"/>
      <c r="AL83" s="641"/>
      <c r="AM83" s="637"/>
      <c r="AO83" s="38" t="n">
        <f aca="true">IF($A83="S",IF(BM!$I83=0,0,CHOOSE(MATCH(RegimeExecucao,{"Global","Unitário"},0),ROUND(ROUND(BM.MEDAcumulado,15-13*BM!$A$9)/100*BM!$I83,15-13*ORÇAMENTO!$AF$11),ROUND(ROUND(BM.MEDAcumulado,15-13*BM!$A$9)*ROUND(BM!$H83,15-13*ORÇAMENTO!$AF$10),15-13*ORÇAMENTO!$AF$11))),IF($A83=0,0,ROUND(SomaAgrupBM,15-13*ORÇAMENTO!$AF$11)))</f>
        <v>0</v>
      </c>
    </row>
    <row r="84" customFormat="false" ht="12.75" hidden="false" customHeight="false" outlineLevel="0" collapsed="false">
      <c r="A84" s="1" t="n">
        <f aca="false">ORÇAMENTO!C84</f>
        <v>2</v>
      </c>
      <c r="B84" s="1" t="n">
        <f aca="false">ORÇAMENTO!D84</f>
        <v>3</v>
      </c>
      <c r="C84" s="199" t="str">
        <f aca="false">IF(OR($I84&gt;0,$A84=1,$A84=2,$A84=3,$A84=4),"F","")</f>
        <v>F</v>
      </c>
      <c r="D84" s="202" t="str">
        <f aca="false">ORÇAMENTO!O84</f>
        <v>1.20.</v>
      </c>
      <c r="E84" s="341" t="str">
        <f aca="false">ORÇAMENTO.Descricao</f>
        <v>REVESTIMENTOS EXTERNOS</v>
      </c>
      <c r="F84" s="342" t="str">
        <f aca="true">IF(RegimeExecucao="Global","",ORÇAMENTO.Unidade)</f>
        <v/>
      </c>
      <c r="G84" s="207" t="str">
        <f aca="true">IF(RegimeExecucao="Global","",ORÇAMENTO!T84)</f>
        <v/>
      </c>
      <c r="H84" s="207" t="str">
        <f aca="true">IF(RegimeExecucao="Global","",ORÇAMENTO!W84)</f>
        <v/>
      </c>
      <c r="I84" s="210" t="n">
        <f aca="false">ORÇAMENTO!X84</f>
        <v>191721.25</v>
      </c>
      <c r="J84" s="633" t="e">
        <f aca="false" t="array" ref="J84:J84">_xlfn.single(IF($A84="S",IF(CAIXA.Modo,BM.AFAnterior,BM.MEDAnterior),IF(AND(_xlfn.single(RegimeExecucao)="Global",$I84&gt;0,COUNTIF($AB$13:$AM$13,BM.medicao-1)&gt;0),M84/$I84*100,0)))</f>
        <v>#NAME?</v>
      </c>
      <c r="K84" s="207" t="e">
        <f aca="false">L84-J84</f>
        <v>#NAME?</v>
      </c>
      <c r="L84" s="634" t="e">
        <f aca="false" t="array" ref="L84:L84">_xlfn.single(IF($A84="S",IF(CAIXA.Modo,BM.AFAcumulado,BM.MEDAcumulado),IF(AND(_xlfn.single(RegimeExecucao)="Global",$I84&gt;0,COUNTIF($AB$13:$AM$13,BM.medicao)&gt;0),O84/$I84*100,0)))</f>
        <v>#NAME?</v>
      </c>
      <c r="M84" s="635" t="n">
        <f aca="true">IF($A84="S",VTOTALBM,IF($A84=0,0,ROUND(SomaAgrupBM,15-13*ORÇAMENTO!$AF$11)))</f>
        <v>0</v>
      </c>
      <c r="N84" s="219" t="n">
        <f aca="false">O84-M84</f>
        <v>0</v>
      </c>
      <c r="O84" s="210" t="n">
        <f aca="true">IF($A84="S",VTOTALBM,IF($A84=0,0,ROUND(SomaAgrupBM,15-13*ORÇAMENTO!$AF$11)))</f>
        <v>0</v>
      </c>
      <c r="Q84" s="636"/>
      <c r="R84" s="637"/>
      <c r="T84" s="202" t="str">
        <f aca="false">IF($W84&gt;0,$D84,"")</f>
        <v/>
      </c>
      <c r="U84" s="341" t="str">
        <f aca="false">IF($W84&gt;0,$E84,"")</f>
        <v/>
      </c>
      <c r="V84" s="342" t="str">
        <f aca="true">IF(AND($W84&gt;0,RegimeExecucao="Unitário"),$F84,"")</f>
        <v/>
      </c>
      <c r="W84" s="638" t="n">
        <f aca="true">IF($Y84&gt;0,CHOOSE(MATCH(RegimeExecucao,{"Unitário","Global"},0),IF($A84="S",$Y84/$X84,""),($Y84/$X84)*100),0)</f>
        <v>0</v>
      </c>
      <c r="X84" s="639" t="str">
        <f aca="true">IF($Y84&gt;0,CHOOSE(MATCH(RegimeExecucao,{"Unitário","Global"},0),IF($A84="S",ROUND($H84,ORÇAMENTO!$AF$10),""),ROUND($I84,ORÇAMENTO!$AF$11)),"")</f>
        <v/>
      </c>
      <c r="Y84" s="639" t="n">
        <f aca="false">AO84-O84</f>
        <v>0</v>
      </c>
      <c r="Z84" s="640"/>
      <c r="AB84" s="636"/>
      <c r="AC84" s="641"/>
      <c r="AD84" s="641"/>
      <c r="AE84" s="641"/>
      <c r="AF84" s="641"/>
      <c r="AG84" s="641"/>
      <c r="AH84" s="641"/>
      <c r="AI84" s="641"/>
      <c r="AJ84" s="641"/>
      <c r="AK84" s="641"/>
      <c r="AL84" s="641"/>
      <c r="AM84" s="637"/>
      <c r="AO84" s="38" t="n">
        <f aca="true">IF($A84="S",IF(BM!$I84=0,0,CHOOSE(MATCH(RegimeExecucao,{"Global","Unitário"},0),ROUND(ROUND(BM.MEDAcumulado,15-13*BM!$A$9)/100*BM!$I84,15-13*ORÇAMENTO!$AF$11),ROUND(ROUND(BM.MEDAcumulado,15-13*BM!$A$9)*ROUND(BM!$H84,15-13*ORÇAMENTO!$AF$10),15-13*ORÇAMENTO!$AF$11))),IF($A84=0,0,ROUND(SomaAgrupBM,15-13*ORÇAMENTO!$AF$11)))</f>
        <v>0</v>
      </c>
    </row>
    <row r="85" customFormat="false" ht="35.05" hidden="false" customHeight="false" outlineLevel="0" collapsed="false">
      <c r="A85" s="1" t="str">
        <f aca="false">ORÇAMENTO!C85</f>
        <v>S</v>
      </c>
      <c r="B85" s="1" t="n">
        <f aca="false">ORÇAMENTO!D85</f>
        <v>0</v>
      </c>
      <c r="C85" s="199" t="str">
        <f aca="false">IF(OR($I85&gt;0,$A85=1,$A85=2,$A85=3,$A85=4),"F","")</f>
        <v>F</v>
      </c>
      <c r="D85" s="202" t="str">
        <f aca="false">ORÇAMENTO!O85</f>
        <v>1.20.1.</v>
      </c>
      <c r="E85" s="341" t="str">
        <f aca="false">ORÇAMENTO.Descricao</f>
        <v>CHAPISCO APLICADO EM ALVENARIA (COM PRESENÇA DE VÃOS) E ESTRUTURAS DE CONCRETO DE FACHADA, COM COLHER DE PEDREIRO. ARGAMASSA TRAÇO 1:3 COM PREPARO EM BETONEIRA 400L. AF_10/2022</v>
      </c>
      <c r="F85" s="342" t="str">
        <f aca="true">IF(RegimeExecucao="Global","",ORÇAMENTO.Unidade)</f>
        <v/>
      </c>
      <c r="G85" s="207" t="str">
        <f aca="true">IF(RegimeExecucao="Global","",ORÇAMENTO!T85)</f>
        <v/>
      </c>
      <c r="H85" s="207" t="str">
        <f aca="true">IF(RegimeExecucao="Global","",ORÇAMENTO!W85)</f>
        <v/>
      </c>
      <c r="I85" s="210" t="n">
        <f aca="false">ORÇAMENTO!X85</f>
        <v>35553</v>
      </c>
      <c r="J85" s="633" t="e">
        <f aca="false" t="array" ref="J85:J85">_xlfn.single(IF($A85="S",IF(CAIXA.Modo,BM.AFAnterior,BM.MEDAnterior),IF(AND(_xlfn.single(RegimeExecucao)="Global",$I85&gt;0,COUNTIF($AB$13:$AM$13,BM.medicao-1)&gt;0),M85/$I85*100,0)))</f>
        <v>#NAME?</v>
      </c>
      <c r="K85" s="207" t="e">
        <f aca="false">L85-J85</f>
        <v>#NAME?</v>
      </c>
      <c r="L85" s="634" t="e">
        <f aca="false" t="array" ref="L85:L85">_xlfn.single(IF($A85="S",IF(CAIXA.Modo,BM.AFAcumulado,BM.MEDAcumulado),IF(AND(_xlfn.single(RegimeExecucao)="Global",$I85&gt;0,COUNTIF($AB$13:$AM$13,BM.medicao)&gt;0),O85/$I85*100,0)))</f>
        <v>#NAME?</v>
      </c>
      <c r="M85" s="635" t="n">
        <f aca="true">IF($A85="S",VTOTALBM,IF($A85=0,0,ROUND(SomaAgrupBM,15-13*ORÇAMENTO!$AF$11)))</f>
        <v>0</v>
      </c>
      <c r="N85" s="219" t="n">
        <f aca="false">O85-M85</f>
        <v>0</v>
      </c>
      <c r="O85" s="210" t="n">
        <f aca="true">IF($A85="S",VTOTALBM,IF($A85=0,0,ROUND(SomaAgrupBM,15-13*ORÇAMENTO!$AF$11)))</f>
        <v>0</v>
      </c>
      <c r="Q85" s="636"/>
      <c r="R85" s="637"/>
      <c r="T85" s="202" t="str">
        <f aca="false">IF($W85&gt;0,$D85,"")</f>
        <v/>
      </c>
      <c r="U85" s="341" t="str">
        <f aca="false">IF($W85&gt;0,$E85,"")</f>
        <v/>
      </c>
      <c r="V85" s="342" t="str">
        <f aca="true">IF(AND($W85&gt;0,RegimeExecucao="Unitário"),$F85,"")</f>
        <v/>
      </c>
      <c r="W85" s="638" t="n">
        <f aca="true">IF($Y85&gt;0,CHOOSE(MATCH(RegimeExecucao,{"Unitário","Global"},0),IF($A85="S",$Y85/$X85,""),($Y85/$X85)*100),0)</f>
        <v>0</v>
      </c>
      <c r="X85" s="639" t="str">
        <f aca="true">IF($Y85&gt;0,CHOOSE(MATCH(RegimeExecucao,{"Unitário","Global"},0),IF($A85="S",ROUND($H85,ORÇAMENTO!$AF$10),""),ROUND($I85,ORÇAMENTO!$AF$11)),"")</f>
        <v/>
      </c>
      <c r="Y85" s="639" t="n">
        <f aca="false">AO85-O85</f>
        <v>0</v>
      </c>
      <c r="Z85" s="640"/>
      <c r="AB85" s="636"/>
      <c r="AC85" s="641"/>
      <c r="AD85" s="641"/>
      <c r="AE85" s="641"/>
      <c r="AF85" s="641"/>
      <c r="AG85" s="641"/>
      <c r="AH85" s="641"/>
      <c r="AI85" s="641"/>
      <c r="AJ85" s="641"/>
      <c r="AK85" s="641"/>
      <c r="AL85" s="641"/>
      <c r="AM85" s="637"/>
      <c r="AO85" s="38" t="n">
        <f aca="true">IF($A85="S",IF(BM!$I85=0,0,CHOOSE(MATCH(RegimeExecucao,{"Global","Unitário"},0),ROUND(ROUND(BM.MEDAcumulado,15-13*BM!$A$9)/100*BM!$I85,15-13*ORÇAMENTO!$AF$11),ROUND(ROUND(BM.MEDAcumulado,15-13*BM!$A$9)*ROUND(BM!$H85,15-13*ORÇAMENTO!$AF$10),15-13*ORÇAMENTO!$AF$11))),IF($A85=0,0,ROUND(SomaAgrupBM,15-13*ORÇAMENTO!$AF$11)))</f>
        <v>0</v>
      </c>
    </row>
    <row r="86" customFormat="false" ht="35.05" hidden="false" customHeight="false" outlineLevel="0" collapsed="false">
      <c r="A86" s="1" t="str">
        <f aca="false">ORÇAMENTO!C86</f>
        <v>S</v>
      </c>
      <c r="B86" s="1" t="n">
        <f aca="false">ORÇAMENTO!D86</f>
        <v>0</v>
      </c>
      <c r="C86" s="199" t="str">
        <f aca="false">IF(OR($I86&gt;0,$A86=1,$A86=2,$A86=3,$A86=4),"F","")</f>
        <v>F</v>
      </c>
      <c r="D86" s="202" t="str">
        <f aca="false">ORÇAMENTO!O86</f>
        <v>1.20.2.</v>
      </c>
      <c r="E86" s="341" t="str">
        <f aca="false">ORÇAMENTO.Descricao</f>
        <v>REBOCO COM ARGAMASSA, TRAÇO 1:2:8 (CIMENTO, CAL E AREIA)
, ESP. 20MM, APLICAÇÃO MANUAL, INCLUSIVE ARGAMASSA COM
PREPARO MECANIZADO, EXCLUSIVE CHAPISCO</v>
      </c>
      <c r="F86" s="342" t="str">
        <f aca="true">IF(RegimeExecucao="Global","",ORÇAMENTO.Unidade)</f>
        <v/>
      </c>
      <c r="G86" s="207" t="str">
        <f aca="true">IF(RegimeExecucao="Global","",ORÇAMENTO!T86)</f>
        <v/>
      </c>
      <c r="H86" s="207" t="str">
        <f aca="true">IF(RegimeExecucao="Global","",ORÇAMENTO!W86)</f>
        <v/>
      </c>
      <c r="I86" s="210" t="n">
        <f aca="false">ORÇAMENTO!X86</f>
        <v>156168.25</v>
      </c>
      <c r="J86" s="633" t="e">
        <f aca="false" t="array" ref="J86:J86">_xlfn.single(IF($A86="S",IF(CAIXA.Modo,BM.AFAnterior,BM.MEDAnterior),IF(AND(_xlfn.single(RegimeExecucao)="Global",$I86&gt;0,COUNTIF($AB$13:$AM$13,BM.medicao-1)&gt;0),M86/$I86*100,0)))</f>
        <v>#NAME?</v>
      </c>
      <c r="K86" s="207" t="e">
        <f aca="false">L86-J86</f>
        <v>#NAME?</v>
      </c>
      <c r="L86" s="634" t="e">
        <f aca="false" t="array" ref="L86:L86">_xlfn.single(IF($A86="S",IF(CAIXA.Modo,BM.AFAcumulado,BM.MEDAcumulado),IF(AND(_xlfn.single(RegimeExecucao)="Global",$I86&gt;0,COUNTIF($AB$13:$AM$13,BM.medicao)&gt;0),O86/$I86*100,0)))</f>
        <v>#NAME?</v>
      </c>
      <c r="M86" s="635" t="n">
        <f aca="true">IF($A86="S",VTOTALBM,IF($A86=0,0,ROUND(SomaAgrupBM,15-13*ORÇAMENTO!$AF$11)))</f>
        <v>0</v>
      </c>
      <c r="N86" s="219" t="n">
        <f aca="false">O86-M86</f>
        <v>0</v>
      </c>
      <c r="O86" s="210" t="n">
        <f aca="true">IF($A86="S",VTOTALBM,IF($A86=0,0,ROUND(SomaAgrupBM,15-13*ORÇAMENTO!$AF$11)))</f>
        <v>0</v>
      </c>
      <c r="Q86" s="636"/>
      <c r="R86" s="637"/>
      <c r="T86" s="202" t="str">
        <f aca="false">IF($W86&gt;0,$D86,"")</f>
        <v/>
      </c>
      <c r="U86" s="341" t="str">
        <f aca="false">IF($W86&gt;0,$E86,"")</f>
        <v/>
      </c>
      <c r="V86" s="342" t="str">
        <f aca="true">IF(AND($W86&gt;0,RegimeExecucao="Unitário"),$F86,"")</f>
        <v/>
      </c>
      <c r="W86" s="638" t="n">
        <f aca="true">IF($Y86&gt;0,CHOOSE(MATCH(RegimeExecucao,{"Unitário","Global"},0),IF($A86="S",$Y86/$X86,""),($Y86/$X86)*100),0)</f>
        <v>0</v>
      </c>
      <c r="X86" s="639" t="str">
        <f aca="true">IF($Y86&gt;0,CHOOSE(MATCH(RegimeExecucao,{"Unitário","Global"},0),IF($A86="S",ROUND($H86,ORÇAMENTO!$AF$10),""),ROUND($I86,ORÇAMENTO!$AF$11)),"")</f>
        <v/>
      </c>
      <c r="Y86" s="639" t="n">
        <f aca="false">AO86-O86</f>
        <v>0</v>
      </c>
      <c r="Z86" s="640"/>
      <c r="AB86" s="636"/>
      <c r="AC86" s="641"/>
      <c r="AD86" s="641"/>
      <c r="AE86" s="641"/>
      <c r="AF86" s="641"/>
      <c r="AG86" s="641"/>
      <c r="AH86" s="641"/>
      <c r="AI86" s="641"/>
      <c r="AJ86" s="641"/>
      <c r="AK86" s="641"/>
      <c r="AL86" s="641"/>
      <c r="AM86" s="637"/>
      <c r="AO86" s="38" t="n">
        <f aca="true">IF($A86="S",IF(BM!$I86=0,0,CHOOSE(MATCH(RegimeExecucao,{"Global","Unitário"},0),ROUND(ROUND(BM.MEDAcumulado,15-13*BM!$A$9)/100*BM!$I86,15-13*ORÇAMENTO!$AF$11),ROUND(ROUND(BM.MEDAcumulado,15-13*BM!$A$9)*ROUND(BM!$H86,15-13*ORÇAMENTO!$AF$10),15-13*ORÇAMENTO!$AF$11))),IF($A86=0,0,ROUND(SomaAgrupBM,15-13*ORÇAMENTO!$AF$11)))</f>
        <v>0</v>
      </c>
    </row>
    <row r="87" customFormat="false" ht="12.75" hidden="false" customHeight="false" outlineLevel="0" collapsed="false">
      <c r="A87" s="1" t="n">
        <f aca="false">ORÇAMENTO!C87</f>
        <v>2</v>
      </c>
      <c r="B87" s="1" t="n">
        <f aca="false">ORÇAMENTO!D87</f>
        <v>1</v>
      </c>
      <c r="C87" s="199" t="str">
        <f aca="false">IF(OR($I87&gt;0,$A87=1,$A87=2,$A87=3,$A87=4),"F","")</f>
        <v>F</v>
      </c>
      <c r="D87" s="202" t="str">
        <f aca="false">ORÇAMENTO!O87</f>
        <v>1.21.</v>
      </c>
      <c r="E87" s="341" t="str">
        <f aca="false">ORÇAMENTO.Descricao</f>
        <v>FORROS</v>
      </c>
      <c r="F87" s="342" t="str">
        <f aca="true">IF(RegimeExecucao="Global","",ORÇAMENTO.Unidade)</f>
        <v/>
      </c>
      <c r="G87" s="207" t="str">
        <f aca="true">IF(RegimeExecucao="Global","",ORÇAMENTO!T87)</f>
        <v/>
      </c>
      <c r="H87" s="207" t="str">
        <f aca="true">IF(RegimeExecucao="Global","",ORÇAMENTO!W87)</f>
        <v/>
      </c>
      <c r="I87" s="210" t="n">
        <f aca="false">ORÇAMENTO!X87</f>
        <v>0</v>
      </c>
      <c r="J87" s="633" t="e">
        <f aca="false" t="array" ref="J87:J87">_xlfn.single(IF($A87="S",IF(CAIXA.Modo,BM.AFAnterior,BM.MEDAnterior),IF(AND(_xlfn.single(RegimeExecucao)="Global",$I87&gt;0,COUNTIF($AB$13:$AM$13,BM.medicao-1)&gt;0),M87/$I87*100,0)))</f>
        <v>#NAME?</v>
      </c>
      <c r="K87" s="207" t="e">
        <f aca="false">L87-J87</f>
        <v>#NAME?</v>
      </c>
      <c r="L87" s="634" t="e">
        <f aca="false" t="array" ref="L87:L87">_xlfn.single(IF($A87="S",IF(CAIXA.Modo,BM.AFAcumulado,BM.MEDAcumulado),IF(AND(_xlfn.single(RegimeExecucao)="Global",$I87&gt;0,COUNTIF($AB$13:$AM$13,BM.medicao)&gt;0),O87/$I87*100,0)))</f>
        <v>#NAME?</v>
      </c>
      <c r="M87" s="635" t="n">
        <f aca="true">IF($A87="S",VTOTALBM,IF($A87=0,0,ROUND(SomaAgrupBM,15-13*ORÇAMENTO!$AF$11)))</f>
        <v>0</v>
      </c>
      <c r="N87" s="219" t="n">
        <f aca="false">O87-M87</f>
        <v>0</v>
      </c>
      <c r="O87" s="210" t="n">
        <f aca="true">IF($A87="S",VTOTALBM,IF($A87=0,0,ROUND(SomaAgrupBM,15-13*ORÇAMENTO!$AF$11)))</f>
        <v>0</v>
      </c>
      <c r="Q87" s="636"/>
      <c r="R87" s="637"/>
      <c r="T87" s="202" t="str">
        <f aca="false">IF($W87&gt;0,$D87,"")</f>
        <v/>
      </c>
      <c r="U87" s="341" t="str">
        <f aca="false">IF($W87&gt;0,$E87,"")</f>
        <v/>
      </c>
      <c r="V87" s="342" t="str">
        <f aca="true">IF(AND($W87&gt;0,RegimeExecucao="Unitário"),$F87,"")</f>
        <v/>
      </c>
      <c r="W87" s="638" t="n">
        <f aca="true">IF($Y87&gt;0,CHOOSE(MATCH(RegimeExecucao,{"Unitário","Global"},0),IF($A87="S",$Y87/$X87,""),($Y87/$X87)*100),0)</f>
        <v>0</v>
      </c>
      <c r="X87" s="639" t="str">
        <f aca="true">IF($Y87&gt;0,CHOOSE(MATCH(RegimeExecucao,{"Unitário","Global"},0),IF($A87="S",ROUND($H87,ORÇAMENTO!$AF$10),""),ROUND($I87,ORÇAMENTO!$AF$11)),"")</f>
        <v/>
      </c>
      <c r="Y87" s="639" t="n">
        <f aca="false">AO87-O87</f>
        <v>0</v>
      </c>
      <c r="Z87" s="640"/>
      <c r="AB87" s="636"/>
      <c r="AC87" s="641"/>
      <c r="AD87" s="641"/>
      <c r="AE87" s="641"/>
      <c r="AF87" s="641"/>
      <c r="AG87" s="641"/>
      <c r="AH87" s="641"/>
      <c r="AI87" s="641"/>
      <c r="AJ87" s="641"/>
      <c r="AK87" s="641"/>
      <c r="AL87" s="641"/>
      <c r="AM87" s="637"/>
      <c r="AO87" s="38" t="n">
        <f aca="true">IF($A87="S",IF(BM!$I87=0,0,CHOOSE(MATCH(RegimeExecucao,{"Global","Unitário"},0),ROUND(ROUND(BM.MEDAcumulado,15-13*BM!$A$9)/100*BM!$I87,15-13*ORÇAMENTO!$AF$11),ROUND(ROUND(BM.MEDAcumulado,15-13*BM!$A$9)*ROUND(BM!$H87,15-13*ORÇAMENTO!$AF$10),15-13*ORÇAMENTO!$AF$11))),IF($A87=0,0,ROUND(SomaAgrupBM,15-13*ORÇAMENTO!$AF$11)))</f>
        <v>0</v>
      </c>
    </row>
    <row r="88" customFormat="false" ht="12.75" hidden="false" customHeight="false" outlineLevel="0" collapsed="false">
      <c r="A88" s="1" t="n">
        <f aca="false">ORÇAMENTO!C88</f>
        <v>2</v>
      </c>
      <c r="B88" s="1" t="n">
        <f aca="false">ORÇAMENTO!D88</f>
        <v>1</v>
      </c>
      <c r="C88" s="199" t="str">
        <f aca="false">IF(OR($I88&gt;0,$A88=1,$A88=2,$A88=3,$A88=4),"F","")</f>
        <v>F</v>
      </c>
      <c r="D88" s="202" t="str">
        <f aca="false">ORÇAMENTO!O88</f>
        <v>1.22.</v>
      </c>
      <c r="E88" s="341" t="str">
        <f aca="false">ORÇAMENTO.Descricao</f>
        <v>PINTURA</v>
      </c>
      <c r="F88" s="342" t="str">
        <f aca="true">IF(RegimeExecucao="Global","",ORÇAMENTO.Unidade)</f>
        <v/>
      </c>
      <c r="G88" s="207" t="str">
        <f aca="true">IF(RegimeExecucao="Global","",ORÇAMENTO!T88)</f>
        <v/>
      </c>
      <c r="H88" s="207" t="str">
        <f aca="true">IF(RegimeExecucao="Global","",ORÇAMENTO!W88)</f>
        <v/>
      </c>
      <c r="I88" s="210" t="n">
        <f aca="false">ORÇAMENTO!X88</f>
        <v>0</v>
      </c>
      <c r="J88" s="633" t="e">
        <f aca="false" t="array" ref="J88:J88">_xlfn.single(IF($A88="S",IF(CAIXA.Modo,BM.AFAnterior,BM.MEDAnterior),IF(AND(_xlfn.single(RegimeExecucao)="Global",$I88&gt;0,COUNTIF($AB$13:$AM$13,BM.medicao-1)&gt;0),M88/$I88*100,0)))</f>
        <v>#NAME?</v>
      </c>
      <c r="K88" s="207" t="e">
        <f aca="false">L88-J88</f>
        <v>#NAME?</v>
      </c>
      <c r="L88" s="634" t="e">
        <f aca="false" t="array" ref="L88:L88">_xlfn.single(IF($A88="S",IF(CAIXA.Modo,BM.AFAcumulado,BM.MEDAcumulado),IF(AND(_xlfn.single(RegimeExecucao)="Global",$I88&gt;0,COUNTIF($AB$13:$AM$13,BM.medicao)&gt;0),O88/$I88*100,0)))</f>
        <v>#NAME?</v>
      </c>
      <c r="M88" s="635" t="n">
        <f aca="true">IF($A88="S",VTOTALBM,IF($A88=0,0,ROUND(SomaAgrupBM,15-13*ORÇAMENTO!$AF$11)))</f>
        <v>0</v>
      </c>
      <c r="N88" s="219" t="n">
        <f aca="false">O88-M88</f>
        <v>0</v>
      </c>
      <c r="O88" s="210" t="n">
        <f aca="true">IF($A88="S",VTOTALBM,IF($A88=0,0,ROUND(SomaAgrupBM,15-13*ORÇAMENTO!$AF$11)))</f>
        <v>0</v>
      </c>
      <c r="Q88" s="636"/>
      <c r="R88" s="637"/>
      <c r="T88" s="202" t="str">
        <f aca="false">IF($W88&gt;0,$D88,"")</f>
        <v/>
      </c>
      <c r="U88" s="341" t="str">
        <f aca="false">IF($W88&gt;0,$E88,"")</f>
        <v/>
      </c>
      <c r="V88" s="342" t="str">
        <f aca="true">IF(AND($W88&gt;0,RegimeExecucao="Unitário"),$F88,"")</f>
        <v/>
      </c>
      <c r="W88" s="638" t="n">
        <f aca="true">IF($Y88&gt;0,CHOOSE(MATCH(RegimeExecucao,{"Unitário","Global"},0),IF($A88="S",$Y88/$X88,""),($Y88/$X88)*100),0)</f>
        <v>0</v>
      </c>
      <c r="X88" s="639" t="str">
        <f aca="true">IF($Y88&gt;0,CHOOSE(MATCH(RegimeExecucao,{"Unitário","Global"},0),IF($A88="S",ROUND($H88,ORÇAMENTO!$AF$10),""),ROUND($I88,ORÇAMENTO!$AF$11)),"")</f>
        <v/>
      </c>
      <c r="Y88" s="639" t="n">
        <f aca="false">AO88-O88</f>
        <v>0</v>
      </c>
      <c r="Z88" s="640"/>
      <c r="AB88" s="636"/>
      <c r="AC88" s="641"/>
      <c r="AD88" s="641"/>
      <c r="AE88" s="641"/>
      <c r="AF88" s="641"/>
      <c r="AG88" s="641"/>
      <c r="AH88" s="641"/>
      <c r="AI88" s="641"/>
      <c r="AJ88" s="641"/>
      <c r="AK88" s="641"/>
      <c r="AL88" s="641"/>
      <c r="AM88" s="637"/>
      <c r="AO88" s="38" t="n">
        <f aca="true">IF($A88="S",IF(BM!$I88=0,0,CHOOSE(MATCH(RegimeExecucao,{"Global","Unitário"},0),ROUND(ROUND(BM.MEDAcumulado,15-13*BM!$A$9)/100*BM!$I88,15-13*ORÇAMENTO!$AF$11),ROUND(ROUND(BM.MEDAcumulado,15-13*BM!$A$9)*ROUND(BM!$H88,15-13*ORÇAMENTO!$AF$10),15-13*ORÇAMENTO!$AF$11))),IF($A88=0,0,ROUND(SomaAgrupBM,15-13*ORÇAMENTO!$AF$11)))</f>
        <v>0</v>
      </c>
    </row>
    <row r="89" customFormat="false" ht="12.75" hidden="false" customHeight="false" outlineLevel="0" collapsed="false">
      <c r="A89" s="1" t="n">
        <f aca="false">ORÇAMENTO!C89</f>
        <v>2</v>
      </c>
      <c r="B89" s="1" t="n">
        <f aca="false">ORÇAMENTO!D89</f>
        <v>5</v>
      </c>
      <c r="C89" s="199" t="str">
        <f aca="false">IF(OR($I89&gt;0,$A89=1,$A89=2,$A89=3,$A89=4),"F","")</f>
        <v>F</v>
      </c>
      <c r="D89" s="202" t="str">
        <f aca="false">ORÇAMENTO!O89</f>
        <v>1.23.</v>
      </c>
      <c r="E89" s="341" t="str">
        <f aca="false">ORÇAMENTO.Descricao</f>
        <v>PINTURAS INTERNAS</v>
      </c>
      <c r="F89" s="342" t="str">
        <f aca="true">IF(RegimeExecucao="Global","",ORÇAMENTO.Unidade)</f>
        <v/>
      </c>
      <c r="G89" s="207" t="str">
        <f aca="true">IF(RegimeExecucao="Global","",ORÇAMENTO!T89)</f>
        <v/>
      </c>
      <c r="H89" s="207" t="str">
        <f aca="true">IF(RegimeExecucao="Global","",ORÇAMENTO!W89)</f>
        <v/>
      </c>
      <c r="I89" s="210" t="n">
        <f aca="false">ORÇAMENTO!X89</f>
        <v>75736.5</v>
      </c>
      <c r="J89" s="633" t="e">
        <f aca="false" t="array" ref="J89:J89">_xlfn.single(IF($A89="S",IF(CAIXA.Modo,BM.AFAnterior,BM.MEDAnterior),IF(AND(_xlfn.single(RegimeExecucao)="Global",$I89&gt;0,COUNTIF($AB$13:$AM$13,BM.medicao-1)&gt;0),M89/$I89*100,0)))</f>
        <v>#NAME?</v>
      </c>
      <c r="K89" s="207" t="e">
        <f aca="false">L89-J89</f>
        <v>#NAME?</v>
      </c>
      <c r="L89" s="634" t="e">
        <f aca="false" t="array" ref="L89:L89">_xlfn.single(IF($A89="S",IF(CAIXA.Modo,BM.AFAcumulado,BM.MEDAcumulado),IF(AND(_xlfn.single(RegimeExecucao)="Global",$I89&gt;0,COUNTIF($AB$13:$AM$13,BM.medicao)&gt;0),O89/$I89*100,0)))</f>
        <v>#NAME?</v>
      </c>
      <c r="M89" s="635" t="n">
        <f aca="true">IF($A89="S",VTOTALBM,IF($A89=0,0,ROUND(SomaAgrupBM,15-13*ORÇAMENTO!$AF$11)))</f>
        <v>0</v>
      </c>
      <c r="N89" s="219" t="n">
        <f aca="false">O89-M89</f>
        <v>0</v>
      </c>
      <c r="O89" s="210" t="n">
        <f aca="true">IF($A89="S",VTOTALBM,IF($A89=0,0,ROUND(SomaAgrupBM,15-13*ORÇAMENTO!$AF$11)))</f>
        <v>0</v>
      </c>
      <c r="Q89" s="636"/>
      <c r="R89" s="637"/>
      <c r="T89" s="202" t="str">
        <f aca="false">IF($W89&gt;0,$D89,"")</f>
        <v/>
      </c>
      <c r="U89" s="341" t="str">
        <f aca="false">IF($W89&gt;0,$E89,"")</f>
        <v/>
      </c>
      <c r="V89" s="342" t="str">
        <f aca="true">IF(AND($W89&gt;0,RegimeExecucao="Unitário"),$F89,"")</f>
        <v/>
      </c>
      <c r="W89" s="638" t="n">
        <f aca="true">IF($Y89&gt;0,CHOOSE(MATCH(RegimeExecucao,{"Unitário","Global"},0),IF($A89="S",$Y89/$X89,""),($Y89/$X89)*100),0)</f>
        <v>0</v>
      </c>
      <c r="X89" s="639" t="str">
        <f aca="true">IF($Y89&gt;0,CHOOSE(MATCH(RegimeExecucao,{"Unitário","Global"},0),IF($A89="S",ROUND($H89,ORÇAMENTO!$AF$10),""),ROUND($I89,ORÇAMENTO!$AF$11)),"")</f>
        <v/>
      </c>
      <c r="Y89" s="639" t="n">
        <f aca="false">AO89-O89</f>
        <v>0</v>
      </c>
      <c r="Z89" s="640"/>
      <c r="AB89" s="636"/>
      <c r="AC89" s="641"/>
      <c r="AD89" s="641"/>
      <c r="AE89" s="641"/>
      <c r="AF89" s="641"/>
      <c r="AG89" s="641"/>
      <c r="AH89" s="641"/>
      <c r="AI89" s="641"/>
      <c r="AJ89" s="641"/>
      <c r="AK89" s="641"/>
      <c r="AL89" s="641"/>
      <c r="AM89" s="637"/>
      <c r="AO89" s="38" t="n">
        <f aca="true">IF($A89="S",IF(BM!$I89=0,0,CHOOSE(MATCH(RegimeExecucao,{"Global","Unitário"},0),ROUND(ROUND(BM.MEDAcumulado,15-13*BM!$A$9)/100*BM!$I89,15-13*ORÇAMENTO!$AF$11),ROUND(ROUND(BM.MEDAcumulado,15-13*BM!$A$9)*ROUND(BM!$H89,15-13*ORÇAMENTO!$AF$10),15-13*ORÇAMENTO!$AF$11))),IF($A89=0,0,ROUND(SomaAgrupBM,15-13*ORÇAMENTO!$AF$11)))</f>
        <v>0</v>
      </c>
    </row>
    <row r="90" customFormat="false" ht="23.85" hidden="false" customHeight="false" outlineLevel="0" collapsed="false">
      <c r="A90" s="1" t="str">
        <f aca="false">ORÇAMENTO!C90</f>
        <v>S</v>
      </c>
      <c r="B90" s="1" t="n">
        <f aca="false">ORÇAMENTO!D90</f>
        <v>0</v>
      </c>
      <c r="C90" s="199" t="str">
        <f aca="false">IF(OR($I90&gt;0,$A90=1,$A90=2,$A90=3,$A90=4),"F","")</f>
        <v>F</v>
      </c>
      <c r="D90" s="202" t="str">
        <f aca="false">ORÇAMENTO!O90</f>
        <v>1.23.1.</v>
      </c>
      <c r="E90" s="341" t="str">
        <f aca="false">ORÇAMENTO.Descricao</f>
        <v>FUNDO SELADOR ACRÍLICO, APLICAÇÃO MANUAL EM PAREDE, UMA DEMÃO. AF_04/2023</v>
      </c>
      <c r="F90" s="342" t="str">
        <f aca="true">IF(RegimeExecucao="Global","",ORÇAMENTO.Unidade)</f>
        <v/>
      </c>
      <c r="G90" s="207" t="str">
        <f aca="true">IF(RegimeExecucao="Global","",ORÇAMENTO!T90)</f>
        <v/>
      </c>
      <c r="H90" s="207" t="str">
        <f aca="true">IF(RegimeExecucao="Global","",ORÇAMENTO!W90)</f>
        <v/>
      </c>
      <c r="I90" s="210" t="n">
        <f aca="false">ORÇAMENTO!X90</f>
        <v>14120.5</v>
      </c>
      <c r="J90" s="633" t="e">
        <f aca="false" t="array" ref="J90:J90">_xlfn.single(IF($A90="S",IF(CAIXA.Modo,BM.AFAnterior,BM.MEDAnterior),IF(AND(_xlfn.single(RegimeExecucao)="Global",$I90&gt;0,COUNTIF($AB$13:$AM$13,BM.medicao-1)&gt;0),M90/$I90*100,0)))</f>
        <v>#NAME?</v>
      </c>
      <c r="K90" s="207" t="e">
        <f aca="false">L90-J90</f>
        <v>#NAME?</v>
      </c>
      <c r="L90" s="634" t="e">
        <f aca="false" t="array" ref="L90:L90">_xlfn.single(IF($A90="S",IF(CAIXA.Modo,BM.AFAcumulado,BM.MEDAcumulado),IF(AND(_xlfn.single(RegimeExecucao)="Global",$I90&gt;0,COUNTIF($AB$13:$AM$13,BM.medicao)&gt;0),O90/$I90*100,0)))</f>
        <v>#NAME?</v>
      </c>
      <c r="M90" s="635" t="n">
        <f aca="true">IF($A90="S",VTOTALBM,IF($A90=0,0,ROUND(SomaAgrupBM,15-13*ORÇAMENTO!$AF$11)))</f>
        <v>0</v>
      </c>
      <c r="N90" s="219" t="n">
        <f aca="false">O90-M90</f>
        <v>0</v>
      </c>
      <c r="O90" s="210" t="n">
        <f aca="true">IF($A90="S",VTOTALBM,IF($A90=0,0,ROUND(SomaAgrupBM,15-13*ORÇAMENTO!$AF$11)))</f>
        <v>0</v>
      </c>
      <c r="Q90" s="636"/>
      <c r="R90" s="637"/>
      <c r="T90" s="202" t="str">
        <f aca="false">IF($W90&gt;0,$D90,"")</f>
        <v/>
      </c>
      <c r="U90" s="341" t="str">
        <f aca="false">IF($W90&gt;0,$E90,"")</f>
        <v/>
      </c>
      <c r="V90" s="342" t="str">
        <f aca="true">IF(AND($W90&gt;0,RegimeExecucao="Unitário"),$F90,"")</f>
        <v/>
      </c>
      <c r="W90" s="638" t="n">
        <f aca="true">IF($Y90&gt;0,CHOOSE(MATCH(RegimeExecucao,{"Unitário","Global"},0),IF($A90="S",$Y90/$X90,""),($Y90/$X90)*100),0)</f>
        <v>0</v>
      </c>
      <c r="X90" s="639" t="str">
        <f aca="true">IF($Y90&gt;0,CHOOSE(MATCH(RegimeExecucao,{"Unitário","Global"},0),IF($A90="S",ROUND($H90,ORÇAMENTO!$AF$10),""),ROUND($I90,ORÇAMENTO!$AF$11)),"")</f>
        <v/>
      </c>
      <c r="Y90" s="639" t="n">
        <f aca="false">AO90-O90</f>
        <v>0</v>
      </c>
      <c r="Z90" s="640"/>
      <c r="AB90" s="636"/>
      <c r="AC90" s="641"/>
      <c r="AD90" s="641"/>
      <c r="AE90" s="641"/>
      <c r="AF90" s="641"/>
      <c r="AG90" s="641"/>
      <c r="AH90" s="641"/>
      <c r="AI90" s="641"/>
      <c r="AJ90" s="641"/>
      <c r="AK90" s="641"/>
      <c r="AL90" s="641"/>
      <c r="AM90" s="637"/>
      <c r="AO90" s="38" t="n">
        <f aca="true">IF($A90="S",IF(BM!$I90=0,0,CHOOSE(MATCH(RegimeExecucao,{"Global","Unitário"},0),ROUND(ROUND(BM.MEDAcumulado,15-13*BM!$A$9)/100*BM!$I90,15-13*ORÇAMENTO!$AF$11),ROUND(ROUND(BM.MEDAcumulado,15-13*BM!$A$9)*ROUND(BM!$H90,15-13*ORÇAMENTO!$AF$10),15-13*ORÇAMENTO!$AF$11))),IF($A90=0,0,ROUND(SomaAgrupBM,15-13*ORÇAMENTO!$AF$11)))</f>
        <v>0</v>
      </c>
    </row>
    <row r="91" customFormat="false" ht="23.85" hidden="false" customHeight="false" outlineLevel="0" collapsed="false">
      <c r="A91" s="1" t="str">
        <f aca="false">ORÇAMENTO!C91</f>
        <v>S</v>
      </c>
      <c r="B91" s="1" t="n">
        <f aca="false">ORÇAMENTO!D91</f>
        <v>0</v>
      </c>
      <c r="C91" s="199" t="str">
        <f aca="false">IF(OR($I91&gt;0,$A91=1,$A91=2,$A91=3,$A91=4),"F","")</f>
        <v>F</v>
      </c>
      <c r="D91" s="202" t="str">
        <f aca="false">ORÇAMENTO!O91</f>
        <v>1.23.2.</v>
      </c>
      <c r="E91" s="341" t="str">
        <f aca="false">ORÇAMENTO.Descricao</f>
        <v>FUNDO SELADOR ACRÍLICO, APLICAÇÃO MANUAL EM TETO, UMA DEMÃO. AF_04/2023</v>
      </c>
      <c r="F91" s="342" t="str">
        <f aca="true">IF(RegimeExecucao="Global","",ORÇAMENTO.Unidade)</f>
        <v/>
      </c>
      <c r="G91" s="207" t="str">
        <f aca="true">IF(RegimeExecucao="Global","",ORÇAMENTO!T91)</f>
        <v/>
      </c>
      <c r="H91" s="207" t="str">
        <f aca="true">IF(RegimeExecucao="Global","",ORÇAMENTO!W91)</f>
        <v/>
      </c>
      <c r="I91" s="210" t="n">
        <f aca="false">ORÇAMENTO!X91</f>
        <v>8264.5</v>
      </c>
      <c r="J91" s="633" t="e">
        <f aca="false" t="array" ref="J91:J91">_xlfn.single(IF($A91="S",IF(CAIXA.Modo,BM.AFAnterior,BM.MEDAnterior),IF(AND(_xlfn.single(RegimeExecucao)="Global",$I91&gt;0,COUNTIF($AB$13:$AM$13,BM.medicao-1)&gt;0),M91/$I91*100,0)))</f>
        <v>#NAME?</v>
      </c>
      <c r="K91" s="207" t="e">
        <f aca="false">L91-J91</f>
        <v>#NAME?</v>
      </c>
      <c r="L91" s="634" t="e">
        <f aca="false" t="array" ref="L91:L91">_xlfn.single(IF($A91="S",IF(CAIXA.Modo,BM.AFAcumulado,BM.MEDAcumulado),IF(AND(_xlfn.single(RegimeExecucao)="Global",$I91&gt;0,COUNTIF($AB$13:$AM$13,BM.medicao)&gt;0),O91/$I91*100,0)))</f>
        <v>#NAME?</v>
      </c>
      <c r="M91" s="635" t="n">
        <f aca="true">IF($A91="S",VTOTALBM,IF($A91=0,0,ROUND(SomaAgrupBM,15-13*ORÇAMENTO!$AF$11)))</f>
        <v>0</v>
      </c>
      <c r="N91" s="219" t="n">
        <f aca="false">O91-M91</f>
        <v>0</v>
      </c>
      <c r="O91" s="210" t="n">
        <f aca="true">IF($A91="S",VTOTALBM,IF($A91=0,0,ROUND(SomaAgrupBM,15-13*ORÇAMENTO!$AF$11)))</f>
        <v>0</v>
      </c>
      <c r="Q91" s="636"/>
      <c r="R91" s="637"/>
      <c r="T91" s="202" t="str">
        <f aca="false">IF($W91&gt;0,$D91,"")</f>
        <v/>
      </c>
      <c r="U91" s="341" t="str">
        <f aca="false">IF($W91&gt;0,$E91,"")</f>
        <v/>
      </c>
      <c r="V91" s="342" t="str">
        <f aca="true">IF(AND($W91&gt;0,RegimeExecucao="Unitário"),$F91,"")</f>
        <v/>
      </c>
      <c r="W91" s="638" t="n">
        <f aca="true">IF($Y91&gt;0,CHOOSE(MATCH(RegimeExecucao,{"Unitário","Global"},0),IF($A91="S",$Y91/$X91,""),($Y91/$X91)*100),0)</f>
        <v>0</v>
      </c>
      <c r="X91" s="639" t="str">
        <f aca="true">IF($Y91&gt;0,CHOOSE(MATCH(RegimeExecucao,{"Unitário","Global"},0),IF($A91="S",ROUND($H91,ORÇAMENTO!$AF$10),""),ROUND($I91,ORÇAMENTO!$AF$11)),"")</f>
        <v/>
      </c>
      <c r="Y91" s="639" t="n">
        <f aca="false">AO91-O91</f>
        <v>0</v>
      </c>
      <c r="Z91" s="640"/>
      <c r="AB91" s="636"/>
      <c r="AC91" s="641"/>
      <c r="AD91" s="641"/>
      <c r="AE91" s="641"/>
      <c r="AF91" s="641"/>
      <c r="AG91" s="641"/>
      <c r="AH91" s="641"/>
      <c r="AI91" s="641"/>
      <c r="AJ91" s="641"/>
      <c r="AK91" s="641"/>
      <c r="AL91" s="641"/>
      <c r="AM91" s="637"/>
      <c r="AO91" s="38" t="n">
        <f aca="true">IF($A91="S",IF(BM!$I91=0,0,CHOOSE(MATCH(RegimeExecucao,{"Global","Unitário"},0),ROUND(ROUND(BM.MEDAcumulado,15-13*BM!$A$9)/100*BM!$I91,15-13*ORÇAMENTO!$AF$11),ROUND(ROUND(BM.MEDAcumulado,15-13*BM!$A$9)*ROUND(BM!$H91,15-13*ORÇAMENTO!$AF$10),15-13*ORÇAMENTO!$AF$11))),IF($A91=0,0,ROUND(SomaAgrupBM,15-13*ORÇAMENTO!$AF$11)))</f>
        <v>0</v>
      </c>
    </row>
    <row r="92" customFormat="false" ht="23.85" hidden="false" customHeight="false" outlineLevel="0" collapsed="false">
      <c r="A92" s="1" t="str">
        <f aca="false">ORÇAMENTO!C92</f>
        <v>S</v>
      </c>
      <c r="B92" s="1" t="n">
        <f aca="false">ORÇAMENTO!D92</f>
        <v>0</v>
      </c>
      <c r="C92" s="199" t="str">
        <f aca="false">IF(OR($I92&gt;0,$A92=1,$A92=2,$A92=3,$A92=4),"F","")</f>
        <v>F</v>
      </c>
      <c r="D92" s="202" t="str">
        <f aca="false">ORÇAMENTO!O92</f>
        <v>1.23.3.</v>
      </c>
      <c r="E92" s="341" t="str">
        <f aca="false">ORÇAMENTO.Descricao</f>
        <v>PINTURA LÁTEX ACRÍLICA STANDARD, APLICAÇÃO MANUAL EM TETO, DUAS DEMÃOS. AF_04/2023</v>
      </c>
      <c r="F92" s="342" t="str">
        <f aca="true">IF(RegimeExecucao="Global","",ORÇAMENTO.Unidade)</f>
        <v/>
      </c>
      <c r="G92" s="207" t="str">
        <f aca="true">IF(RegimeExecucao="Global","",ORÇAMENTO!T92)</f>
        <v/>
      </c>
      <c r="H92" s="207" t="str">
        <f aca="true">IF(RegimeExecucao="Global","",ORÇAMENTO!W92)</f>
        <v/>
      </c>
      <c r="I92" s="210" t="n">
        <f aca="false">ORÇAMENTO!X92</f>
        <v>19776.25</v>
      </c>
      <c r="J92" s="633" t="e">
        <f aca="false" t="array" ref="J92:J92">_xlfn.single(IF($A92="S",IF(CAIXA.Modo,BM.AFAnterior,BM.MEDAnterior),IF(AND(_xlfn.single(RegimeExecucao)="Global",$I92&gt;0,COUNTIF($AB$13:$AM$13,BM.medicao-1)&gt;0),M92/$I92*100,0)))</f>
        <v>#NAME?</v>
      </c>
      <c r="K92" s="207" t="e">
        <f aca="false">L92-J92</f>
        <v>#NAME?</v>
      </c>
      <c r="L92" s="634" t="e">
        <f aca="false" t="array" ref="L92:L92">_xlfn.single(IF($A92="S",IF(CAIXA.Modo,BM.AFAcumulado,BM.MEDAcumulado),IF(AND(_xlfn.single(RegimeExecucao)="Global",$I92&gt;0,COUNTIF($AB$13:$AM$13,BM.medicao)&gt;0),O92/$I92*100,0)))</f>
        <v>#NAME?</v>
      </c>
      <c r="M92" s="635" t="n">
        <f aca="true">IF($A92="S",VTOTALBM,IF($A92=0,0,ROUND(SomaAgrupBM,15-13*ORÇAMENTO!$AF$11)))</f>
        <v>0</v>
      </c>
      <c r="N92" s="219" t="n">
        <f aca="false">O92-M92</f>
        <v>0</v>
      </c>
      <c r="O92" s="210" t="n">
        <f aca="true">IF($A92="S",VTOTALBM,IF($A92=0,0,ROUND(SomaAgrupBM,15-13*ORÇAMENTO!$AF$11)))</f>
        <v>0</v>
      </c>
      <c r="Q92" s="636"/>
      <c r="R92" s="637"/>
      <c r="T92" s="202" t="str">
        <f aca="false">IF($W92&gt;0,$D92,"")</f>
        <v/>
      </c>
      <c r="U92" s="341" t="str">
        <f aca="false">IF($W92&gt;0,$E92,"")</f>
        <v/>
      </c>
      <c r="V92" s="342" t="str">
        <f aca="true">IF(AND($W92&gt;0,RegimeExecucao="Unitário"),$F92,"")</f>
        <v/>
      </c>
      <c r="W92" s="638" t="n">
        <f aca="true">IF($Y92&gt;0,CHOOSE(MATCH(RegimeExecucao,{"Unitário","Global"},0),IF($A92="S",$Y92/$X92,""),($Y92/$X92)*100),0)</f>
        <v>0</v>
      </c>
      <c r="X92" s="639" t="str">
        <f aca="true">IF($Y92&gt;0,CHOOSE(MATCH(RegimeExecucao,{"Unitário","Global"},0),IF($A92="S",ROUND($H92,ORÇAMENTO!$AF$10),""),ROUND($I92,ORÇAMENTO!$AF$11)),"")</f>
        <v/>
      </c>
      <c r="Y92" s="639" t="n">
        <f aca="false">AO92-O92</f>
        <v>0</v>
      </c>
      <c r="Z92" s="640"/>
      <c r="AB92" s="636"/>
      <c r="AC92" s="641"/>
      <c r="AD92" s="641"/>
      <c r="AE92" s="641"/>
      <c r="AF92" s="641"/>
      <c r="AG92" s="641"/>
      <c r="AH92" s="641"/>
      <c r="AI92" s="641"/>
      <c r="AJ92" s="641"/>
      <c r="AK92" s="641"/>
      <c r="AL92" s="641"/>
      <c r="AM92" s="637"/>
      <c r="AO92" s="38" t="n">
        <f aca="true">IF($A92="S",IF(BM!$I92=0,0,CHOOSE(MATCH(RegimeExecucao,{"Global","Unitário"},0),ROUND(ROUND(BM.MEDAcumulado,15-13*BM!$A$9)/100*BM!$I92,15-13*ORÇAMENTO!$AF$11),ROUND(ROUND(BM.MEDAcumulado,15-13*BM!$A$9)*ROUND(BM!$H92,15-13*ORÇAMENTO!$AF$10),15-13*ORÇAMENTO!$AF$11))),IF($A92=0,0,ROUND(SomaAgrupBM,15-13*ORÇAMENTO!$AF$11)))</f>
        <v>0</v>
      </c>
    </row>
    <row r="93" customFormat="false" ht="23.85" hidden="false" customHeight="false" outlineLevel="0" collapsed="false">
      <c r="A93" s="1" t="str">
        <f aca="false">ORÇAMENTO!C93</f>
        <v>S</v>
      </c>
      <c r="B93" s="1" t="n">
        <f aca="false">ORÇAMENTO!D93</f>
        <v>0</v>
      </c>
      <c r="C93" s="199" t="str">
        <f aca="false">IF(OR($I93&gt;0,$A93=1,$A93=2,$A93=3,$A93=4),"F","")</f>
        <v>F</v>
      </c>
      <c r="D93" s="202" t="str">
        <f aca="false">ORÇAMENTO!O93</f>
        <v>1.23.4.</v>
      </c>
      <c r="E93" s="341" t="str">
        <f aca="false">ORÇAMENTO.Descricao</f>
        <v>PINTURA LÁTEX ACRÍLICA STANDARD, APLICAÇÃO MANUAL EM PAREDES, DUAS DEMÃOS. AF_04/2023</v>
      </c>
      <c r="F93" s="342" t="str">
        <f aca="true">IF(RegimeExecucao="Global","",ORÇAMENTO.Unidade)</f>
        <v/>
      </c>
      <c r="G93" s="207" t="str">
        <f aca="true">IF(RegimeExecucao="Global","",ORÇAMENTO!T93)</f>
        <v/>
      </c>
      <c r="H93" s="207" t="str">
        <f aca="true">IF(RegimeExecucao="Global","",ORÇAMENTO!W93)</f>
        <v/>
      </c>
      <c r="I93" s="210" t="n">
        <f aca="false">ORÇAMENTO!X93</f>
        <v>33575.25</v>
      </c>
      <c r="J93" s="633" t="e">
        <f aca="false" t="array" ref="J93:J93">_xlfn.single(IF($A93="S",IF(CAIXA.Modo,BM.AFAnterior,BM.MEDAnterior),IF(AND(_xlfn.single(RegimeExecucao)="Global",$I93&gt;0,COUNTIF($AB$13:$AM$13,BM.medicao-1)&gt;0),M93/$I93*100,0)))</f>
        <v>#NAME?</v>
      </c>
      <c r="K93" s="207" t="e">
        <f aca="false">L93-J93</f>
        <v>#NAME?</v>
      </c>
      <c r="L93" s="634" t="e">
        <f aca="false" t="array" ref="L93:L93">_xlfn.single(IF($A93="S",IF(CAIXA.Modo,BM.AFAcumulado,BM.MEDAcumulado),IF(AND(_xlfn.single(RegimeExecucao)="Global",$I93&gt;0,COUNTIF($AB$13:$AM$13,BM.medicao)&gt;0),O93/$I93*100,0)))</f>
        <v>#NAME?</v>
      </c>
      <c r="M93" s="635" t="n">
        <f aca="true">IF($A93="S",VTOTALBM,IF($A93=0,0,ROUND(SomaAgrupBM,15-13*ORÇAMENTO!$AF$11)))</f>
        <v>0</v>
      </c>
      <c r="N93" s="219" t="n">
        <f aca="false">O93-M93</f>
        <v>0</v>
      </c>
      <c r="O93" s="210" t="n">
        <f aca="true">IF($A93="S",VTOTALBM,IF($A93=0,0,ROUND(SomaAgrupBM,15-13*ORÇAMENTO!$AF$11)))</f>
        <v>0</v>
      </c>
      <c r="Q93" s="636"/>
      <c r="R93" s="637"/>
      <c r="T93" s="202" t="str">
        <f aca="false">IF($W93&gt;0,$D93,"")</f>
        <v/>
      </c>
      <c r="U93" s="341" t="str">
        <f aca="false">IF($W93&gt;0,$E93,"")</f>
        <v/>
      </c>
      <c r="V93" s="342" t="str">
        <f aca="true">IF(AND($W93&gt;0,RegimeExecucao="Unitário"),$F93,"")</f>
        <v/>
      </c>
      <c r="W93" s="638" t="n">
        <f aca="true">IF($Y93&gt;0,CHOOSE(MATCH(RegimeExecucao,{"Unitário","Global"},0),IF($A93="S",$Y93/$X93,""),($Y93/$X93)*100),0)</f>
        <v>0</v>
      </c>
      <c r="X93" s="639" t="str">
        <f aca="true">IF($Y93&gt;0,CHOOSE(MATCH(RegimeExecucao,{"Unitário","Global"},0),IF($A93="S",ROUND($H93,ORÇAMENTO!$AF$10),""),ROUND($I93,ORÇAMENTO!$AF$11)),"")</f>
        <v/>
      </c>
      <c r="Y93" s="639" t="n">
        <f aca="false">AO93-O93</f>
        <v>0</v>
      </c>
      <c r="Z93" s="640"/>
      <c r="AB93" s="636"/>
      <c r="AC93" s="641"/>
      <c r="AD93" s="641"/>
      <c r="AE93" s="641"/>
      <c r="AF93" s="641"/>
      <c r="AG93" s="641"/>
      <c r="AH93" s="641"/>
      <c r="AI93" s="641"/>
      <c r="AJ93" s="641"/>
      <c r="AK93" s="641"/>
      <c r="AL93" s="641"/>
      <c r="AM93" s="637"/>
      <c r="AO93" s="38" t="n">
        <f aca="true">IF($A93="S",IF(BM!$I93=0,0,CHOOSE(MATCH(RegimeExecucao,{"Global","Unitário"},0),ROUND(ROUND(BM.MEDAcumulado,15-13*BM!$A$9)/100*BM!$I93,15-13*ORÇAMENTO!$AF$11),ROUND(ROUND(BM.MEDAcumulado,15-13*BM!$A$9)*ROUND(BM!$H93,15-13*ORÇAMENTO!$AF$10),15-13*ORÇAMENTO!$AF$11))),IF($A93=0,0,ROUND(SomaAgrupBM,15-13*ORÇAMENTO!$AF$11)))</f>
        <v>0</v>
      </c>
    </row>
    <row r="94" customFormat="false" ht="12.75" hidden="false" customHeight="false" outlineLevel="0" collapsed="false">
      <c r="A94" s="1" t="n">
        <f aca="false">ORÇAMENTO!C94</f>
        <v>2</v>
      </c>
      <c r="B94" s="1" t="n">
        <f aca="false">ORÇAMENTO!D94</f>
        <v>3</v>
      </c>
      <c r="C94" s="199" t="str">
        <f aca="false">IF(OR($I94&gt;0,$A94=1,$A94=2,$A94=3,$A94=4),"F","")</f>
        <v>F</v>
      </c>
      <c r="D94" s="202" t="str">
        <f aca="false">ORÇAMENTO!O94</f>
        <v>1.24.</v>
      </c>
      <c r="E94" s="341" t="str">
        <f aca="false">ORÇAMENTO.Descricao</f>
        <v>PINTURAS EXTERNAS</v>
      </c>
      <c r="F94" s="342" t="str">
        <f aca="true">IF(RegimeExecucao="Global","",ORÇAMENTO.Unidade)</f>
        <v/>
      </c>
      <c r="G94" s="207" t="str">
        <f aca="true">IF(RegimeExecucao="Global","",ORÇAMENTO!T94)</f>
        <v/>
      </c>
      <c r="H94" s="207" t="str">
        <f aca="true">IF(RegimeExecucao="Global","",ORÇAMENTO!W94)</f>
        <v/>
      </c>
      <c r="I94" s="210" t="n">
        <f aca="false">ORÇAMENTO!X94</f>
        <v>69716.75</v>
      </c>
      <c r="J94" s="633" t="e">
        <f aca="false" t="array" ref="J94:J94">_xlfn.single(IF($A94="S",IF(CAIXA.Modo,BM.AFAnterior,BM.MEDAnterior),IF(AND(_xlfn.single(RegimeExecucao)="Global",$I94&gt;0,COUNTIF($AB$13:$AM$13,BM.medicao-1)&gt;0),M94/$I94*100,0)))</f>
        <v>#NAME?</v>
      </c>
      <c r="K94" s="207" t="e">
        <f aca="false">L94-J94</f>
        <v>#NAME?</v>
      </c>
      <c r="L94" s="634" t="e">
        <f aca="false" t="array" ref="L94:L94">_xlfn.single(IF($A94="S",IF(CAIXA.Modo,BM.AFAcumulado,BM.MEDAcumulado),IF(AND(_xlfn.single(RegimeExecucao)="Global",$I94&gt;0,COUNTIF($AB$13:$AM$13,BM.medicao)&gt;0),O94/$I94*100,0)))</f>
        <v>#NAME?</v>
      </c>
      <c r="M94" s="635" t="n">
        <f aca="true">IF($A94="S",VTOTALBM,IF($A94=0,0,ROUND(SomaAgrupBM,15-13*ORÇAMENTO!$AF$11)))</f>
        <v>0</v>
      </c>
      <c r="N94" s="219" t="n">
        <f aca="false">O94-M94</f>
        <v>0</v>
      </c>
      <c r="O94" s="210" t="n">
        <f aca="true">IF($A94="S",VTOTALBM,IF($A94=0,0,ROUND(SomaAgrupBM,15-13*ORÇAMENTO!$AF$11)))</f>
        <v>0</v>
      </c>
      <c r="Q94" s="636"/>
      <c r="R94" s="637"/>
      <c r="T94" s="202" t="str">
        <f aca="false">IF($W94&gt;0,$D94,"")</f>
        <v/>
      </c>
      <c r="U94" s="341" t="str">
        <f aca="false">IF($W94&gt;0,$E94,"")</f>
        <v/>
      </c>
      <c r="V94" s="342" t="str">
        <f aca="true">IF(AND($W94&gt;0,RegimeExecucao="Unitário"),$F94,"")</f>
        <v/>
      </c>
      <c r="W94" s="638" t="n">
        <f aca="true">IF($Y94&gt;0,CHOOSE(MATCH(RegimeExecucao,{"Unitário","Global"},0),IF($A94="S",$Y94/$X94,""),($Y94/$X94)*100),0)</f>
        <v>0</v>
      </c>
      <c r="X94" s="639" t="str">
        <f aca="true">IF($Y94&gt;0,CHOOSE(MATCH(RegimeExecucao,{"Unitário","Global"},0),IF($A94="S",ROUND($H94,ORÇAMENTO!$AF$10),""),ROUND($I94,ORÇAMENTO!$AF$11)),"")</f>
        <v/>
      </c>
      <c r="Y94" s="639" t="n">
        <f aca="false">AO94-O94</f>
        <v>0</v>
      </c>
      <c r="Z94" s="640"/>
      <c r="AB94" s="636"/>
      <c r="AC94" s="641"/>
      <c r="AD94" s="641"/>
      <c r="AE94" s="641"/>
      <c r="AF94" s="641"/>
      <c r="AG94" s="641"/>
      <c r="AH94" s="641"/>
      <c r="AI94" s="641"/>
      <c r="AJ94" s="641"/>
      <c r="AK94" s="641"/>
      <c r="AL94" s="641"/>
      <c r="AM94" s="637"/>
      <c r="AO94" s="38" t="n">
        <f aca="true">IF($A94="S",IF(BM!$I94=0,0,CHOOSE(MATCH(RegimeExecucao,{"Global","Unitário"},0),ROUND(ROUND(BM.MEDAcumulado,15-13*BM!$A$9)/100*BM!$I94,15-13*ORÇAMENTO!$AF$11),ROUND(ROUND(BM.MEDAcumulado,15-13*BM!$A$9)*ROUND(BM!$H94,15-13*ORÇAMENTO!$AF$10),15-13*ORÇAMENTO!$AF$11))),IF($A94=0,0,ROUND(SomaAgrupBM,15-13*ORÇAMENTO!$AF$11)))</f>
        <v>0</v>
      </c>
    </row>
    <row r="95" customFormat="false" ht="23.85" hidden="false" customHeight="false" outlineLevel="0" collapsed="false">
      <c r="A95" s="1" t="str">
        <f aca="false">ORÇAMENTO!C95</f>
        <v>S</v>
      </c>
      <c r="B95" s="1" t="n">
        <f aca="false">ORÇAMENTO!D95</f>
        <v>0</v>
      </c>
      <c r="C95" s="199" t="str">
        <f aca="false">IF(OR($I95&gt;0,$A95=1,$A95=2,$A95=3,$A95=4),"F","")</f>
        <v>F</v>
      </c>
      <c r="D95" s="202" t="str">
        <f aca="false">ORÇAMENTO!O95</f>
        <v>1.24.1.</v>
      </c>
      <c r="E95" s="341" t="str">
        <f aca="false">ORÇAMENTO.Descricao</f>
        <v>APLICAÇÃO MANUAL DE FUNDO SELADOR ACRÍLICO EM PAREDES EXTERNAS DE CASAS. AF_03/2024</v>
      </c>
      <c r="F95" s="342" t="str">
        <f aca="true">IF(RegimeExecucao="Global","",ORÇAMENTO.Unidade)</f>
        <v/>
      </c>
      <c r="G95" s="207" t="str">
        <f aca="true">IF(RegimeExecucao="Global","",ORÇAMENTO!T95)</f>
        <v/>
      </c>
      <c r="H95" s="207" t="str">
        <f aca="true">IF(RegimeExecucao="Global","",ORÇAMENTO!W95)</f>
        <v/>
      </c>
      <c r="I95" s="210" t="n">
        <f aca="false">ORÇAMENTO!X95</f>
        <v>23713</v>
      </c>
      <c r="J95" s="633" t="e">
        <f aca="false" t="array" ref="J95:J95">_xlfn.single(IF($A95="S",IF(CAIXA.Modo,BM.AFAnterior,BM.MEDAnterior),IF(AND(_xlfn.single(RegimeExecucao)="Global",$I95&gt;0,COUNTIF($AB$13:$AM$13,BM.medicao-1)&gt;0),M95/$I95*100,0)))</f>
        <v>#NAME?</v>
      </c>
      <c r="K95" s="207" t="e">
        <f aca="false">L95-J95</f>
        <v>#NAME?</v>
      </c>
      <c r="L95" s="634" t="e">
        <f aca="false" t="array" ref="L95:L95">_xlfn.single(IF($A95="S",IF(CAIXA.Modo,BM.AFAcumulado,BM.MEDAcumulado),IF(AND(_xlfn.single(RegimeExecucao)="Global",$I95&gt;0,COUNTIF($AB$13:$AM$13,BM.medicao)&gt;0),O95/$I95*100,0)))</f>
        <v>#NAME?</v>
      </c>
      <c r="M95" s="635" t="n">
        <f aca="true">IF($A95="S",VTOTALBM,IF($A95=0,0,ROUND(SomaAgrupBM,15-13*ORÇAMENTO!$AF$11)))</f>
        <v>0</v>
      </c>
      <c r="N95" s="219" t="n">
        <f aca="false">O95-M95</f>
        <v>0</v>
      </c>
      <c r="O95" s="210" t="n">
        <f aca="true">IF($A95="S",VTOTALBM,IF($A95=0,0,ROUND(SomaAgrupBM,15-13*ORÇAMENTO!$AF$11)))</f>
        <v>0</v>
      </c>
      <c r="Q95" s="636"/>
      <c r="R95" s="637"/>
      <c r="T95" s="202" t="str">
        <f aca="false">IF($W95&gt;0,$D95,"")</f>
        <v/>
      </c>
      <c r="U95" s="341" t="str">
        <f aca="false">IF($W95&gt;0,$E95,"")</f>
        <v/>
      </c>
      <c r="V95" s="342" t="str">
        <f aca="true">IF(AND($W95&gt;0,RegimeExecucao="Unitário"),$F95,"")</f>
        <v/>
      </c>
      <c r="W95" s="638" t="n">
        <f aca="true">IF($Y95&gt;0,CHOOSE(MATCH(RegimeExecucao,{"Unitário","Global"},0),IF($A95="S",$Y95/$X95,""),($Y95/$X95)*100),0)</f>
        <v>0</v>
      </c>
      <c r="X95" s="639" t="str">
        <f aca="true">IF($Y95&gt;0,CHOOSE(MATCH(RegimeExecucao,{"Unitário","Global"},0),IF($A95="S",ROUND($H95,ORÇAMENTO!$AF$10),""),ROUND($I95,ORÇAMENTO!$AF$11)),"")</f>
        <v/>
      </c>
      <c r="Y95" s="639" t="n">
        <f aca="false">AO95-O95</f>
        <v>0</v>
      </c>
      <c r="Z95" s="640"/>
      <c r="AB95" s="636"/>
      <c r="AC95" s="641"/>
      <c r="AD95" s="641"/>
      <c r="AE95" s="641"/>
      <c r="AF95" s="641"/>
      <c r="AG95" s="641"/>
      <c r="AH95" s="641"/>
      <c r="AI95" s="641"/>
      <c r="AJ95" s="641"/>
      <c r="AK95" s="641"/>
      <c r="AL95" s="641"/>
      <c r="AM95" s="637"/>
      <c r="AO95" s="38" t="n">
        <f aca="true">IF($A95="S",IF(BM!$I95=0,0,CHOOSE(MATCH(RegimeExecucao,{"Global","Unitário"},0),ROUND(ROUND(BM.MEDAcumulado,15-13*BM!$A$9)/100*BM!$I95,15-13*ORÇAMENTO!$AF$11),ROUND(ROUND(BM.MEDAcumulado,15-13*BM!$A$9)*ROUND(BM!$H95,15-13*ORÇAMENTO!$AF$10),15-13*ORÇAMENTO!$AF$11))),IF($A95=0,0,ROUND(SomaAgrupBM,15-13*ORÇAMENTO!$AF$11)))</f>
        <v>0</v>
      </c>
    </row>
    <row r="96" customFormat="false" ht="23.85" hidden="false" customHeight="false" outlineLevel="0" collapsed="false">
      <c r="A96" s="1" t="str">
        <f aca="false">ORÇAMENTO!C96</f>
        <v>S</v>
      </c>
      <c r="B96" s="1" t="n">
        <f aca="false">ORÇAMENTO!D96</f>
        <v>0</v>
      </c>
      <c r="C96" s="199" t="str">
        <f aca="false">IF(OR($I96&gt;0,$A96=1,$A96=2,$A96=3,$A96=4),"F","")</f>
        <v>F</v>
      </c>
      <c r="D96" s="202" t="str">
        <f aca="false">ORÇAMENTO!O96</f>
        <v>1.24.2.</v>
      </c>
      <c r="E96" s="341" t="str">
        <f aca="false">ORÇAMENTO.Descricao</f>
        <v>PINTURA LÁTEX ACRÍLICA STANDARD, APLICAÇÃO MANUAL EM PAREDES, DUAS DEMÃOS. AF_04/2023</v>
      </c>
      <c r="F96" s="342" t="str">
        <f aca="true">IF(RegimeExecucao="Global","",ORÇAMENTO.Unidade)</f>
        <v/>
      </c>
      <c r="G96" s="207" t="str">
        <f aca="true">IF(RegimeExecucao="Global","",ORÇAMENTO!T96)</f>
        <v/>
      </c>
      <c r="H96" s="207" t="str">
        <f aca="true">IF(RegimeExecucao="Global","",ORÇAMENTO!W96)</f>
        <v/>
      </c>
      <c r="I96" s="210" t="n">
        <f aca="false">ORÇAMENTO!X96</f>
        <v>46003.75</v>
      </c>
      <c r="J96" s="633" t="e">
        <f aca="false" t="array" ref="J96:J96">_xlfn.single(IF($A96="S",IF(CAIXA.Modo,BM.AFAnterior,BM.MEDAnterior),IF(AND(_xlfn.single(RegimeExecucao)="Global",$I96&gt;0,COUNTIF($AB$13:$AM$13,BM.medicao-1)&gt;0),M96/$I96*100,0)))</f>
        <v>#NAME?</v>
      </c>
      <c r="K96" s="207" t="e">
        <f aca="false">L96-J96</f>
        <v>#NAME?</v>
      </c>
      <c r="L96" s="634" t="e">
        <f aca="false" t="array" ref="L96:L96">_xlfn.single(IF($A96="S",IF(CAIXA.Modo,BM.AFAcumulado,BM.MEDAcumulado),IF(AND(_xlfn.single(RegimeExecucao)="Global",$I96&gt;0,COUNTIF($AB$13:$AM$13,BM.medicao)&gt;0),O96/$I96*100,0)))</f>
        <v>#NAME?</v>
      </c>
      <c r="M96" s="635" t="n">
        <f aca="true">IF($A96="S",VTOTALBM,IF($A96=0,0,ROUND(SomaAgrupBM,15-13*ORÇAMENTO!$AF$11)))</f>
        <v>0</v>
      </c>
      <c r="N96" s="219" t="n">
        <f aca="false">O96-M96</f>
        <v>0</v>
      </c>
      <c r="O96" s="210" t="n">
        <f aca="true">IF($A96="S",VTOTALBM,IF($A96=0,0,ROUND(SomaAgrupBM,15-13*ORÇAMENTO!$AF$11)))</f>
        <v>0</v>
      </c>
      <c r="Q96" s="636"/>
      <c r="R96" s="637"/>
      <c r="T96" s="202" t="str">
        <f aca="false">IF($W96&gt;0,$D96,"")</f>
        <v/>
      </c>
      <c r="U96" s="341" t="str">
        <f aca="false">IF($W96&gt;0,$E96,"")</f>
        <v/>
      </c>
      <c r="V96" s="342" t="str">
        <f aca="true">IF(AND($W96&gt;0,RegimeExecucao="Unitário"),$F96,"")</f>
        <v/>
      </c>
      <c r="W96" s="638" t="n">
        <f aca="true">IF($Y96&gt;0,CHOOSE(MATCH(RegimeExecucao,{"Unitário","Global"},0),IF($A96="S",$Y96/$X96,""),($Y96/$X96)*100),0)</f>
        <v>0</v>
      </c>
      <c r="X96" s="639" t="str">
        <f aca="true">IF($Y96&gt;0,CHOOSE(MATCH(RegimeExecucao,{"Unitário","Global"},0),IF($A96="S",ROUND($H96,ORÇAMENTO!$AF$10),""),ROUND($I96,ORÇAMENTO!$AF$11)),"")</f>
        <v/>
      </c>
      <c r="Y96" s="639" t="n">
        <f aca="false">AO96-O96</f>
        <v>0</v>
      </c>
      <c r="Z96" s="640"/>
      <c r="AB96" s="636"/>
      <c r="AC96" s="641"/>
      <c r="AD96" s="641"/>
      <c r="AE96" s="641"/>
      <c r="AF96" s="641"/>
      <c r="AG96" s="641"/>
      <c r="AH96" s="641"/>
      <c r="AI96" s="641"/>
      <c r="AJ96" s="641"/>
      <c r="AK96" s="641"/>
      <c r="AL96" s="641"/>
      <c r="AM96" s="637"/>
      <c r="AO96" s="38" t="n">
        <f aca="true">IF($A96="S",IF(BM!$I96=0,0,CHOOSE(MATCH(RegimeExecucao,{"Global","Unitário"},0),ROUND(ROUND(BM.MEDAcumulado,15-13*BM!$A$9)/100*BM!$I96,15-13*ORÇAMENTO!$AF$11),ROUND(ROUND(BM.MEDAcumulado,15-13*BM!$A$9)*ROUND(BM!$H96,15-13*ORÇAMENTO!$AF$10),15-13*ORÇAMENTO!$AF$11))),IF($A96=0,0,ROUND(SomaAgrupBM,15-13*ORÇAMENTO!$AF$11)))</f>
        <v>0</v>
      </c>
    </row>
    <row r="97" customFormat="false" ht="12.75" hidden="false" customHeight="false" outlineLevel="0" collapsed="false">
      <c r="A97" s="1" t="n">
        <f aca="false">ORÇAMENTO!C97</f>
        <v>2</v>
      </c>
      <c r="B97" s="1" t="n">
        <f aca="false">ORÇAMENTO!D97</f>
        <v>4</v>
      </c>
      <c r="C97" s="199" t="str">
        <f aca="false">IF(OR($I97&gt;0,$A97=1,$A97=2,$A97=3,$A97=4),"F","")</f>
        <v>F</v>
      </c>
      <c r="D97" s="202" t="str">
        <f aca="false">ORÇAMENTO!O97</f>
        <v>1.25.</v>
      </c>
      <c r="E97" s="341" t="str">
        <f aca="false">ORÇAMENTO.Descricao</f>
        <v>PINTURA ESQUADRIAS</v>
      </c>
      <c r="F97" s="342" t="str">
        <f aca="true">IF(RegimeExecucao="Global","",ORÇAMENTO.Unidade)</f>
        <v/>
      </c>
      <c r="G97" s="207" t="str">
        <f aca="true">IF(RegimeExecucao="Global","",ORÇAMENTO!T97)</f>
        <v/>
      </c>
      <c r="H97" s="207" t="str">
        <f aca="true">IF(RegimeExecucao="Global","",ORÇAMENTO!W97)</f>
        <v/>
      </c>
      <c r="I97" s="210" t="n">
        <f aca="false">ORÇAMENTO!X97</f>
        <v>17274.5</v>
      </c>
      <c r="J97" s="633" t="e">
        <f aca="false" t="array" ref="J97:J97">_xlfn.single(IF($A97="S",IF(CAIXA.Modo,BM.AFAnterior,BM.MEDAnterior),IF(AND(_xlfn.single(RegimeExecucao)="Global",$I97&gt;0,COUNTIF($AB$13:$AM$13,BM.medicao-1)&gt;0),M97/$I97*100,0)))</f>
        <v>#NAME?</v>
      </c>
      <c r="K97" s="207" t="e">
        <f aca="false">L97-J97</f>
        <v>#NAME?</v>
      </c>
      <c r="L97" s="634" t="e">
        <f aca="false" t="array" ref="L97:L97">_xlfn.single(IF($A97="S",IF(CAIXA.Modo,BM.AFAcumulado,BM.MEDAcumulado),IF(AND(_xlfn.single(RegimeExecucao)="Global",$I97&gt;0,COUNTIF($AB$13:$AM$13,BM.medicao)&gt;0),O97/$I97*100,0)))</f>
        <v>#NAME?</v>
      </c>
      <c r="M97" s="635" t="n">
        <f aca="true">IF($A97="S",VTOTALBM,IF($A97=0,0,ROUND(SomaAgrupBM,15-13*ORÇAMENTO!$AF$11)))</f>
        <v>0</v>
      </c>
      <c r="N97" s="219" t="n">
        <f aca="false">O97-M97</f>
        <v>0</v>
      </c>
      <c r="O97" s="210" t="n">
        <f aca="true">IF($A97="S",VTOTALBM,IF($A97=0,0,ROUND(SomaAgrupBM,15-13*ORÇAMENTO!$AF$11)))</f>
        <v>0</v>
      </c>
      <c r="Q97" s="636"/>
      <c r="R97" s="637"/>
      <c r="T97" s="202" t="str">
        <f aca="false">IF($W97&gt;0,$D97,"")</f>
        <v/>
      </c>
      <c r="U97" s="341" t="str">
        <f aca="false">IF($W97&gt;0,$E97,"")</f>
        <v/>
      </c>
      <c r="V97" s="342" t="str">
        <f aca="true">IF(AND($W97&gt;0,RegimeExecucao="Unitário"),$F97,"")</f>
        <v/>
      </c>
      <c r="W97" s="638" t="n">
        <f aca="true">IF($Y97&gt;0,CHOOSE(MATCH(RegimeExecucao,{"Unitário","Global"},0),IF($A97="S",$Y97/$X97,""),($Y97/$X97)*100),0)</f>
        <v>0</v>
      </c>
      <c r="X97" s="639" t="str">
        <f aca="true">IF($Y97&gt;0,CHOOSE(MATCH(RegimeExecucao,{"Unitário","Global"},0),IF($A97="S",ROUND($H97,ORÇAMENTO!$AF$10),""),ROUND($I97,ORÇAMENTO!$AF$11)),"")</f>
        <v/>
      </c>
      <c r="Y97" s="639" t="n">
        <f aca="false">AO97-O97</f>
        <v>0</v>
      </c>
      <c r="Z97" s="640"/>
      <c r="AB97" s="636"/>
      <c r="AC97" s="641"/>
      <c r="AD97" s="641"/>
      <c r="AE97" s="641"/>
      <c r="AF97" s="641"/>
      <c r="AG97" s="641"/>
      <c r="AH97" s="641"/>
      <c r="AI97" s="641"/>
      <c r="AJ97" s="641"/>
      <c r="AK97" s="641"/>
      <c r="AL97" s="641"/>
      <c r="AM97" s="637"/>
      <c r="AO97" s="38" t="n">
        <f aca="true">IF($A97="S",IF(BM!$I97=0,0,CHOOSE(MATCH(RegimeExecucao,{"Global","Unitário"},0),ROUND(ROUND(BM.MEDAcumulado,15-13*BM!$A$9)/100*BM!$I97,15-13*ORÇAMENTO!$AF$11),ROUND(ROUND(BM.MEDAcumulado,15-13*BM!$A$9)*ROUND(BM!$H97,15-13*ORÇAMENTO!$AF$10),15-13*ORÇAMENTO!$AF$11))),IF($A97=0,0,ROUND(SomaAgrupBM,15-13*ORÇAMENTO!$AF$11)))</f>
        <v>0</v>
      </c>
    </row>
    <row r="98" customFormat="false" ht="23.85" hidden="false" customHeight="false" outlineLevel="0" collapsed="false">
      <c r="A98" s="1" t="str">
        <f aca="false">ORÇAMENTO!C98</f>
        <v>S</v>
      </c>
      <c r="B98" s="1" t="n">
        <f aca="false">ORÇAMENTO!D98</f>
        <v>0</v>
      </c>
      <c r="C98" s="199" t="str">
        <f aca="false">IF(OR($I98&gt;0,$A98=1,$A98=2,$A98=3,$A98=4),"F","")</f>
        <v>F</v>
      </c>
      <c r="D98" s="202" t="str">
        <f aca="false">ORÇAMENTO!O98</f>
        <v>1.25.1.</v>
      </c>
      <c r="E98" s="341" t="str">
        <f aca="false">ORÇAMENTO.Descricao</f>
        <v>LIXAMENTO DE MADEIRA PARA APLICAÇÃO DE FUNDO OU PINTURA. AF_01/2021</v>
      </c>
      <c r="F98" s="342" t="str">
        <f aca="true">IF(RegimeExecucao="Global","",ORÇAMENTO.Unidade)</f>
        <v/>
      </c>
      <c r="G98" s="207" t="str">
        <f aca="true">IF(RegimeExecucao="Global","",ORÇAMENTO!T98)</f>
        <v/>
      </c>
      <c r="H98" s="207" t="str">
        <f aca="true">IF(RegimeExecucao="Global","",ORÇAMENTO!W98)</f>
        <v/>
      </c>
      <c r="I98" s="210" t="n">
        <f aca="false">ORÇAMENTO!X98</f>
        <v>748</v>
      </c>
      <c r="J98" s="633" t="e">
        <f aca="false" t="array" ref="J98:J98">_xlfn.single(IF($A98="S",IF(CAIXA.Modo,BM.AFAnterior,BM.MEDAnterior),IF(AND(_xlfn.single(RegimeExecucao)="Global",$I98&gt;0,COUNTIF($AB$13:$AM$13,BM.medicao-1)&gt;0),M98/$I98*100,0)))</f>
        <v>#NAME?</v>
      </c>
      <c r="K98" s="207" t="e">
        <f aca="false">L98-J98</f>
        <v>#NAME?</v>
      </c>
      <c r="L98" s="634" t="e">
        <f aca="false" t="array" ref="L98:L98">_xlfn.single(IF($A98="S",IF(CAIXA.Modo,BM.AFAcumulado,BM.MEDAcumulado),IF(AND(_xlfn.single(RegimeExecucao)="Global",$I98&gt;0,COUNTIF($AB$13:$AM$13,BM.medicao)&gt;0),O98/$I98*100,0)))</f>
        <v>#NAME?</v>
      </c>
      <c r="M98" s="635" t="n">
        <f aca="true">IF($A98="S",VTOTALBM,IF($A98=0,0,ROUND(SomaAgrupBM,15-13*ORÇAMENTO!$AF$11)))</f>
        <v>0</v>
      </c>
      <c r="N98" s="219" t="n">
        <f aca="false">O98-M98</f>
        <v>0</v>
      </c>
      <c r="O98" s="210" t="n">
        <f aca="true">IF($A98="S",VTOTALBM,IF($A98=0,0,ROUND(SomaAgrupBM,15-13*ORÇAMENTO!$AF$11)))</f>
        <v>0</v>
      </c>
      <c r="Q98" s="636"/>
      <c r="R98" s="637"/>
      <c r="T98" s="202" t="str">
        <f aca="false">IF($W98&gt;0,$D98,"")</f>
        <v/>
      </c>
      <c r="U98" s="341" t="str">
        <f aca="false">IF($W98&gt;0,$E98,"")</f>
        <v/>
      </c>
      <c r="V98" s="342" t="str">
        <f aca="true">IF(AND($W98&gt;0,RegimeExecucao="Unitário"),$F98,"")</f>
        <v/>
      </c>
      <c r="W98" s="638" t="n">
        <f aca="true">IF($Y98&gt;0,CHOOSE(MATCH(RegimeExecucao,{"Unitário","Global"},0),IF($A98="S",$Y98/$X98,""),($Y98/$X98)*100),0)</f>
        <v>0</v>
      </c>
      <c r="X98" s="639" t="str">
        <f aca="true">IF($Y98&gt;0,CHOOSE(MATCH(RegimeExecucao,{"Unitário","Global"},0),IF($A98="S",ROUND($H98,ORÇAMENTO!$AF$10),""),ROUND($I98,ORÇAMENTO!$AF$11)),"")</f>
        <v/>
      </c>
      <c r="Y98" s="639" t="n">
        <f aca="false">AO98-O98</f>
        <v>0</v>
      </c>
      <c r="Z98" s="640"/>
      <c r="AB98" s="636"/>
      <c r="AC98" s="641"/>
      <c r="AD98" s="641"/>
      <c r="AE98" s="641"/>
      <c r="AF98" s="641"/>
      <c r="AG98" s="641"/>
      <c r="AH98" s="641"/>
      <c r="AI98" s="641"/>
      <c r="AJ98" s="641"/>
      <c r="AK98" s="641"/>
      <c r="AL98" s="641"/>
      <c r="AM98" s="637"/>
      <c r="AO98" s="38" t="n">
        <f aca="true">IF($A98="S",IF(BM!$I98=0,0,CHOOSE(MATCH(RegimeExecucao,{"Global","Unitário"},0),ROUND(ROUND(BM.MEDAcumulado,15-13*BM!$A$9)/100*BM!$I98,15-13*ORÇAMENTO!$AF$11),ROUND(ROUND(BM.MEDAcumulado,15-13*BM!$A$9)*ROUND(BM!$H98,15-13*ORÇAMENTO!$AF$10),15-13*ORÇAMENTO!$AF$11))),IF($A98=0,0,ROUND(SomaAgrupBM,15-13*ORÇAMENTO!$AF$11)))</f>
        <v>0</v>
      </c>
    </row>
    <row r="99" customFormat="false" ht="23.85" hidden="false" customHeight="false" outlineLevel="0" collapsed="false">
      <c r="A99" s="1" t="str">
        <f aca="false">ORÇAMENTO!C99</f>
        <v>S</v>
      </c>
      <c r="B99" s="1" t="n">
        <f aca="false">ORÇAMENTO!D99</f>
        <v>0</v>
      </c>
      <c r="C99" s="199" t="str">
        <f aca="false">IF(OR($I99&gt;0,$A99=1,$A99=2,$A99=3,$A99=4),"F","")</f>
        <v>F</v>
      </c>
      <c r="D99" s="202" t="str">
        <f aca="false">ORÇAMENTO!O99</f>
        <v>1.25.2.</v>
      </c>
      <c r="E99" s="341" t="str">
        <f aca="false">ORÇAMENTO.Descricao</f>
        <v>PINTURA FUNDO NIVELADOR ALQUÍDICO BRANCO EM MADEIRA. AF_01/2021</v>
      </c>
      <c r="F99" s="342" t="str">
        <f aca="true">IF(RegimeExecucao="Global","",ORÇAMENTO.Unidade)</f>
        <v/>
      </c>
      <c r="G99" s="207" t="str">
        <f aca="true">IF(RegimeExecucao="Global","",ORÇAMENTO!T99)</f>
        <v/>
      </c>
      <c r="H99" s="207" t="str">
        <f aca="true">IF(RegimeExecucao="Global","",ORÇAMENTO!W99)</f>
        <v/>
      </c>
      <c r="I99" s="210" t="n">
        <f aca="false">ORÇAMENTO!X99</f>
        <v>9930.5</v>
      </c>
      <c r="J99" s="633" t="e">
        <f aca="false" t="array" ref="J99:J99">_xlfn.single(IF($A99="S",IF(CAIXA.Modo,BM.AFAnterior,BM.MEDAnterior),IF(AND(_xlfn.single(RegimeExecucao)="Global",$I99&gt;0,COUNTIF($AB$13:$AM$13,BM.medicao-1)&gt;0),M99/$I99*100,0)))</f>
        <v>#NAME?</v>
      </c>
      <c r="K99" s="207" t="e">
        <f aca="false">L99-J99</f>
        <v>#NAME?</v>
      </c>
      <c r="L99" s="634" t="e">
        <f aca="false" t="array" ref="L99:L99">_xlfn.single(IF($A99="S",IF(CAIXA.Modo,BM.AFAcumulado,BM.MEDAcumulado),IF(AND(_xlfn.single(RegimeExecucao)="Global",$I99&gt;0,COUNTIF($AB$13:$AM$13,BM.medicao)&gt;0),O99/$I99*100,0)))</f>
        <v>#NAME?</v>
      </c>
      <c r="M99" s="635" t="n">
        <f aca="true">IF($A99="S",VTOTALBM,IF($A99=0,0,ROUND(SomaAgrupBM,15-13*ORÇAMENTO!$AF$11)))</f>
        <v>0</v>
      </c>
      <c r="N99" s="219" t="n">
        <f aca="false">O99-M99</f>
        <v>0</v>
      </c>
      <c r="O99" s="210" t="n">
        <f aca="true">IF($A99="S",VTOTALBM,IF($A99=0,0,ROUND(SomaAgrupBM,15-13*ORÇAMENTO!$AF$11)))</f>
        <v>0</v>
      </c>
      <c r="Q99" s="636"/>
      <c r="R99" s="637"/>
      <c r="T99" s="202" t="str">
        <f aca="false">IF($W99&gt;0,$D99,"")</f>
        <v/>
      </c>
      <c r="U99" s="341" t="str">
        <f aca="false">IF($W99&gt;0,$E99,"")</f>
        <v/>
      </c>
      <c r="V99" s="342" t="str">
        <f aca="true">IF(AND($W99&gt;0,RegimeExecucao="Unitário"),$F99,"")</f>
        <v/>
      </c>
      <c r="W99" s="638" t="n">
        <f aca="true">IF($Y99&gt;0,CHOOSE(MATCH(RegimeExecucao,{"Unitário","Global"},0),IF($A99="S",$Y99/$X99,""),($Y99/$X99)*100),0)</f>
        <v>0</v>
      </c>
      <c r="X99" s="639" t="str">
        <f aca="true">IF($Y99&gt;0,CHOOSE(MATCH(RegimeExecucao,{"Unitário","Global"},0),IF($A99="S",ROUND($H99,ORÇAMENTO!$AF$10),""),ROUND($I99,ORÇAMENTO!$AF$11)),"")</f>
        <v/>
      </c>
      <c r="Y99" s="639" t="n">
        <f aca="false">AO99-O99</f>
        <v>0</v>
      </c>
      <c r="Z99" s="640"/>
      <c r="AB99" s="636"/>
      <c r="AC99" s="641"/>
      <c r="AD99" s="641"/>
      <c r="AE99" s="641"/>
      <c r="AF99" s="641"/>
      <c r="AG99" s="641"/>
      <c r="AH99" s="641"/>
      <c r="AI99" s="641"/>
      <c r="AJ99" s="641"/>
      <c r="AK99" s="641"/>
      <c r="AL99" s="641"/>
      <c r="AM99" s="637"/>
      <c r="AO99" s="38" t="n">
        <f aca="true">IF($A99="S",IF(BM!$I99=0,0,CHOOSE(MATCH(RegimeExecucao,{"Global","Unitário"},0),ROUND(ROUND(BM.MEDAcumulado,15-13*BM!$A$9)/100*BM!$I99,15-13*ORÇAMENTO!$AF$11),ROUND(ROUND(BM.MEDAcumulado,15-13*BM!$A$9)*ROUND(BM!$H99,15-13*ORÇAMENTO!$AF$10),15-13*ORÇAMENTO!$AF$11))),IF($A99=0,0,ROUND(SomaAgrupBM,15-13*ORÇAMENTO!$AF$11)))</f>
        <v>0</v>
      </c>
    </row>
    <row r="100" customFormat="false" ht="23.85" hidden="false" customHeight="false" outlineLevel="0" collapsed="false">
      <c r="A100" s="1" t="str">
        <f aca="false">ORÇAMENTO!C100</f>
        <v>S</v>
      </c>
      <c r="B100" s="1" t="n">
        <f aca="false">ORÇAMENTO!D100</f>
        <v>0</v>
      </c>
      <c r="C100" s="199" t="str">
        <f aca="false">IF(OR($I100&gt;0,$A100=1,$A100=2,$A100=3,$A100=4),"F","")</f>
        <v>F</v>
      </c>
      <c r="D100" s="202" t="str">
        <f aca="false">ORÇAMENTO!O100</f>
        <v>1.25.3.</v>
      </c>
      <c r="E100" s="341" t="str">
        <f aca="false">ORÇAMENTO.Descricao</f>
        <v>PINTURA TINTA DE ACABAMENTO (PIGMENTADA) ESMALTE SINTÉTICO ACETINADO EM MADEIRA, 2 DEMÃOS. AF_01/2021</v>
      </c>
      <c r="F100" s="342" t="str">
        <f aca="true">IF(RegimeExecucao="Global","",ORÇAMENTO.Unidade)</f>
        <v/>
      </c>
      <c r="G100" s="207" t="str">
        <f aca="true">IF(RegimeExecucao="Global","",ORÇAMENTO!T100)</f>
        <v/>
      </c>
      <c r="H100" s="207" t="str">
        <f aca="true">IF(RegimeExecucao="Global","",ORÇAMENTO!W100)</f>
        <v/>
      </c>
      <c r="I100" s="210" t="n">
        <f aca="false">ORÇAMENTO!X100</f>
        <v>6596</v>
      </c>
      <c r="J100" s="633" t="e">
        <f aca="false" t="array" ref="J100:J100">_xlfn.single(IF($A100="S",IF(CAIXA.Modo,BM.AFAnterior,BM.MEDAnterior),IF(AND(_xlfn.single(RegimeExecucao)="Global",$I100&gt;0,COUNTIF($AB$13:$AM$13,BM.medicao-1)&gt;0),M100/$I100*100,0)))</f>
        <v>#NAME?</v>
      </c>
      <c r="K100" s="207" t="e">
        <f aca="false">L100-J100</f>
        <v>#NAME?</v>
      </c>
      <c r="L100" s="634" t="e">
        <f aca="false" t="array" ref="L100:L100">_xlfn.single(IF($A100="S",IF(CAIXA.Modo,BM.AFAcumulado,BM.MEDAcumulado),IF(AND(_xlfn.single(RegimeExecucao)="Global",$I100&gt;0,COUNTIF($AB$13:$AM$13,BM.medicao)&gt;0),O100/$I100*100,0)))</f>
        <v>#NAME?</v>
      </c>
      <c r="M100" s="635" t="n">
        <f aca="true">IF($A100="S",VTOTALBM,IF($A100=0,0,ROUND(SomaAgrupBM,15-13*ORÇAMENTO!$AF$11)))</f>
        <v>0</v>
      </c>
      <c r="N100" s="219" t="n">
        <f aca="false">O100-M100</f>
        <v>0</v>
      </c>
      <c r="O100" s="210" t="n">
        <f aca="true">IF($A100="S",VTOTALBM,IF($A100=0,0,ROUND(SomaAgrupBM,15-13*ORÇAMENTO!$AF$11)))</f>
        <v>0</v>
      </c>
      <c r="Q100" s="636"/>
      <c r="R100" s="637"/>
      <c r="T100" s="202" t="str">
        <f aca="false">IF($W100&gt;0,$D100,"")</f>
        <v/>
      </c>
      <c r="U100" s="341" t="str">
        <f aca="false">IF($W100&gt;0,$E100,"")</f>
        <v/>
      </c>
      <c r="V100" s="342" t="str">
        <f aca="true">IF(AND($W100&gt;0,RegimeExecucao="Unitário"),$F100,"")</f>
        <v/>
      </c>
      <c r="W100" s="638" t="n">
        <f aca="true">IF($Y100&gt;0,CHOOSE(MATCH(RegimeExecucao,{"Unitário","Global"},0),IF($A100="S",$Y100/$X100,""),($Y100/$X100)*100),0)</f>
        <v>0</v>
      </c>
      <c r="X100" s="639" t="str">
        <f aca="true">IF($Y100&gt;0,CHOOSE(MATCH(RegimeExecucao,{"Unitário","Global"},0),IF($A100="S",ROUND($H100,ORÇAMENTO!$AF$10),""),ROUND($I100,ORÇAMENTO!$AF$11)),"")</f>
        <v/>
      </c>
      <c r="Y100" s="639" t="n">
        <f aca="false">AO100-O100</f>
        <v>0</v>
      </c>
      <c r="Z100" s="640"/>
      <c r="AB100" s="636"/>
      <c r="AC100" s="641"/>
      <c r="AD100" s="641"/>
      <c r="AE100" s="641"/>
      <c r="AF100" s="641"/>
      <c r="AG100" s="641"/>
      <c r="AH100" s="641"/>
      <c r="AI100" s="641"/>
      <c r="AJ100" s="641"/>
      <c r="AK100" s="641"/>
      <c r="AL100" s="641"/>
      <c r="AM100" s="637"/>
      <c r="AO100" s="38" t="n">
        <f aca="true">IF($A100="S",IF(BM!$I100=0,0,CHOOSE(MATCH(RegimeExecucao,{"Global","Unitário"},0),ROUND(ROUND(BM.MEDAcumulado,15-13*BM!$A$9)/100*BM!$I100,15-13*ORÇAMENTO!$AF$11),ROUND(ROUND(BM.MEDAcumulado,15-13*BM!$A$9)*ROUND(BM!$H100,15-13*ORÇAMENTO!$AF$10),15-13*ORÇAMENTO!$AF$11))),IF($A100=0,0,ROUND(SomaAgrupBM,15-13*ORÇAMENTO!$AF$11)))</f>
        <v>0</v>
      </c>
    </row>
    <row r="101" customFormat="false" ht="12.75" hidden="false" customHeight="false" outlineLevel="0" collapsed="false">
      <c r="A101" s="1" t="n">
        <f aca="false">ORÇAMENTO!C101</f>
        <v>2</v>
      </c>
      <c r="B101" s="1" t="n">
        <f aca="false">ORÇAMENTO!D101</f>
        <v>1</v>
      </c>
      <c r="C101" s="199" t="str">
        <f aca="false">IF(OR($I101&gt;0,$A101=1,$A101=2,$A101=3,$A101=4),"F","")</f>
        <v>F</v>
      </c>
      <c r="D101" s="202" t="str">
        <f aca="false">ORÇAMENTO!O101</f>
        <v>1.26.</v>
      </c>
      <c r="E101" s="341" t="str">
        <f aca="false">ORÇAMENTO.Descricao</f>
        <v>ESPECIAIS / ELEMENTOS FACHADA</v>
      </c>
      <c r="F101" s="342" t="str">
        <f aca="true">IF(RegimeExecucao="Global","",ORÇAMENTO.Unidade)</f>
        <v/>
      </c>
      <c r="G101" s="207" t="str">
        <f aca="true">IF(RegimeExecucao="Global","",ORÇAMENTO!T101)</f>
        <v/>
      </c>
      <c r="H101" s="207" t="str">
        <f aca="true">IF(RegimeExecucao="Global","",ORÇAMENTO!W101)</f>
        <v/>
      </c>
      <c r="I101" s="210" t="n">
        <f aca="false">ORÇAMENTO!X101</f>
        <v>0</v>
      </c>
      <c r="J101" s="633" t="e">
        <f aca="false" t="array" ref="J101:J101">_xlfn.single(IF($A101="S",IF(CAIXA.Modo,BM.AFAnterior,BM.MEDAnterior),IF(AND(_xlfn.single(RegimeExecucao)="Global",$I101&gt;0,COUNTIF($AB$13:$AM$13,BM.medicao-1)&gt;0),M101/$I101*100,0)))</f>
        <v>#NAME?</v>
      </c>
      <c r="K101" s="207" t="e">
        <f aca="false">L101-J101</f>
        <v>#NAME?</v>
      </c>
      <c r="L101" s="634" t="e">
        <f aca="false" t="array" ref="L101:L101">_xlfn.single(IF($A101="S",IF(CAIXA.Modo,BM.AFAcumulado,BM.MEDAcumulado),IF(AND(_xlfn.single(RegimeExecucao)="Global",$I101&gt;0,COUNTIF($AB$13:$AM$13,BM.medicao)&gt;0),O101/$I101*100,0)))</f>
        <v>#NAME?</v>
      </c>
      <c r="M101" s="635" t="n">
        <f aca="true">IF($A101="S",VTOTALBM,IF($A101=0,0,ROUND(SomaAgrupBM,15-13*ORÇAMENTO!$AF$11)))</f>
        <v>0</v>
      </c>
      <c r="N101" s="219" t="n">
        <f aca="false">O101-M101</f>
        <v>0</v>
      </c>
      <c r="O101" s="210" t="n">
        <f aca="true">IF($A101="S",VTOTALBM,IF($A101=0,0,ROUND(SomaAgrupBM,15-13*ORÇAMENTO!$AF$11)))</f>
        <v>0</v>
      </c>
      <c r="Q101" s="636"/>
      <c r="R101" s="637"/>
      <c r="T101" s="202" t="str">
        <f aca="false">IF($W101&gt;0,$D101,"")</f>
        <v/>
      </c>
      <c r="U101" s="341" t="str">
        <f aca="false">IF($W101&gt;0,$E101,"")</f>
        <v/>
      </c>
      <c r="V101" s="342" t="str">
        <f aca="true">IF(AND($W101&gt;0,RegimeExecucao="Unitário"),$F101,"")</f>
        <v/>
      </c>
      <c r="W101" s="638" t="n">
        <f aca="true">IF($Y101&gt;0,CHOOSE(MATCH(RegimeExecucao,{"Unitário","Global"},0),IF($A101="S",$Y101/$X101,""),($Y101/$X101)*100),0)</f>
        <v>0</v>
      </c>
      <c r="X101" s="639" t="str">
        <f aca="true">IF($Y101&gt;0,CHOOSE(MATCH(RegimeExecucao,{"Unitário","Global"},0),IF($A101="S",ROUND($H101,ORÇAMENTO!$AF$10),""),ROUND($I101,ORÇAMENTO!$AF$11)),"")</f>
        <v/>
      </c>
      <c r="Y101" s="639" t="n">
        <f aca="false">AO101-O101</f>
        <v>0</v>
      </c>
      <c r="Z101" s="640"/>
      <c r="AB101" s="636"/>
      <c r="AC101" s="641"/>
      <c r="AD101" s="641"/>
      <c r="AE101" s="641"/>
      <c r="AF101" s="641"/>
      <c r="AG101" s="641"/>
      <c r="AH101" s="641"/>
      <c r="AI101" s="641"/>
      <c r="AJ101" s="641"/>
      <c r="AK101" s="641"/>
      <c r="AL101" s="641"/>
      <c r="AM101" s="637"/>
      <c r="AO101" s="38" t="n">
        <f aca="true">IF($A101="S",IF(BM!$I101=0,0,CHOOSE(MATCH(RegimeExecucao,{"Global","Unitário"},0),ROUND(ROUND(BM.MEDAcumulado,15-13*BM!$A$9)/100*BM!$I101,15-13*ORÇAMENTO!$AF$11),ROUND(ROUND(BM.MEDAcumulado,15-13*BM!$A$9)*ROUND(BM!$H101,15-13*ORÇAMENTO!$AF$10),15-13*ORÇAMENTO!$AF$11))),IF($A101=0,0,ROUND(SomaAgrupBM,15-13*ORÇAMENTO!$AF$11)))</f>
        <v>0</v>
      </c>
    </row>
    <row r="102" customFormat="false" ht="12.75" hidden="false" customHeight="false" outlineLevel="0" collapsed="false">
      <c r="A102" s="1" t="n">
        <f aca="false">ORÇAMENTO!C102</f>
        <v>2</v>
      </c>
      <c r="B102" s="1" t="n">
        <f aca="false">ORÇAMENTO!D102</f>
        <v>1</v>
      </c>
      <c r="C102" s="199" t="str">
        <f aca="false">IF(OR($I102&gt;0,$A102=1,$A102=2,$A102=3,$A102=4),"F","")</f>
        <v>F</v>
      </c>
      <c r="D102" s="202" t="str">
        <f aca="false">ORÇAMENTO!O102</f>
        <v>1.27.</v>
      </c>
      <c r="E102" s="341" t="str">
        <f aca="false">ORÇAMENTO.Descricao</f>
        <v>PAVIMENTAÇÕES</v>
      </c>
      <c r="F102" s="342" t="str">
        <f aca="true">IF(RegimeExecucao="Global","",ORÇAMENTO.Unidade)</f>
        <v/>
      </c>
      <c r="G102" s="207" t="str">
        <f aca="true">IF(RegimeExecucao="Global","",ORÇAMENTO!T102)</f>
        <v/>
      </c>
      <c r="H102" s="207" t="str">
        <f aca="true">IF(RegimeExecucao="Global","",ORÇAMENTO!W102)</f>
        <v/>
      </c>
      <c r="I102" s="210" t="n">
        <f aca="false">ORÇAMENTO!X102</f>
        <v>0</v>
      </c>
      <c r="J102" s="633" t="e">
        <f aca="false" t="array" ref="J102:J102">_xlfn.single(IF($A102="S",IF(CAIXA.Modo,BM.AFAnterior,BM.MEDAnterior),IF(AND(_xlfn.single(RegimeExecucao)="Global",$I102&gt;0,COUNTIF($AB$13:$AM$13,BM.medicao-1)&gt;0),M102/$I102*100,0)))</f>
        <v>#NAME?</v>
      </c>
      <c r="K102" s="207" t="e">
        <f aca="false">L102-J102</f>
        <v>#NAME?</v>
      </c>
      <c r="L102" s="634" t="e">
        <f aca="false" t="array" ref="L102:L102">_xlfn.single(IF($A102="S",IF(CAIXA.Modo,BM.AFAcumulado,BM.MEDAcumulado),IF(AND(_xlfn.single(RegimeExecucao)="Global",$I102&gt;0,COUNTIF($AB$13:$AM$13,BM.medicao)&gt;0),O102/$I102*100,0)))</f>
        <v>#NAME?</v>
      </c>
      <c r="M102" s="635" t="n">
        <f aca="true">IF($A102="S",VTOTALBM,IF($A102=0,0,ROUND(SomaAgrupBM,15-13*ORÇAMENTO!$AF$11)))</f>
        <v>0</v>
      </c>
      <c r="N102" s="219" t="n">
        <f aca="false">O102-M102</f>
        <v>0</v>
      </c>
      <c r="O102" s="210" t="n">
        <f aca="true">IF($A102="S",VTOTALBM,IF($A102=0,0,ROUND(SomaAgrupBM,15-13*ORÇAMENTO!$AF$11)))</f>
        <v>0</v>
      </c>
      <c r="Q102" s="636"/>
      <c r="R102" s="637"/>
      <c r="T102" s="202" t="str">
        <f aca="false">IF($W102&gt;0,$D102,"")</f>
        <v/>
      </c>
      <c r="U102" s="341" t="str">
        <f aca="false">IF($W102&gt;0,$E102,"")</f>
        <v/>
      </c>
      <c r="V102" s="342" t="str">
        <f aca="true">IF(AND($W102&gt;0,RegimeExecucao="Unitário"),$F102,"")</f>
        <v/>
      </c>
      <c r="W102" s="638" t="n">
        <f aca="true">IF($Y102&gt;0,CHOOSE(MATCH(RegimeExecucao,{"Unitário","Global"},0),IF($A102="S",$Y102/$X102,""),($Y102/$X102)*100),0)</f>
        <v>0</v>
      </c>
      <c r="X102" s="639" t="str">
        <f aca="true">IF($Y102&gt;0,CHOOSE(MATCH(RegimeExecucao,{"Unitário","Global"},0),IF($A102="S",ROUND($H102,ORÇAMENTO!$AF$10),""),ROUND($I102,ORÇAMENTO!$AF$11)),"")</f>
        <v/>
      </c>
      <c r="Y102" s="639" t="n">
        <f aca="false">AO102-O102</f>
        <v>0</v>
      </c>
      <c r="Z102" s="640"/>
      <c r="AB102" s="636"/>
      <c r="AC102" s="641"/>
      <c r="AD102" s="641"/>
      <c r="AE102" s="641"/>
      <c r="AF102" s="641"/>
      <c r="AG102" s="641"/>
      <c r="AH102" s="641"/>
      <c r="AI102" s="641"/>
      <c r="AJ102" s="641"/>
      <c r="AK102" s="641"/>
      <c r="AL102" s="641"/>
      <c r="AM102" s="637"/>
      <c r="AO102" s="38" t="n">
        <f aca="true">IF($A102="S",IF(BM!$I102=0,0,CHOOSE(MATCH(RegimeExecucao,{"Global","Unitário"},0),ROUND(ROUND(BM.MEDAcumulado,15-13*BM!$A$9)/100*BM!$I102,15-13*ORÇAMENTO!$AF$11),ROUND(ROUND(BM.MEDAcumulado,15-13*BM!$A$9)*ROUND(BM!$H102,15-13*ORÇAMENTO!$AF$10),15-13*ORÇAMENTO!$AF$11))),IF($A102=0,0,ROUND(SomaAgrupBM,15-13*ORÇAMENTO!$AF$11)))</f>
        <v>0</v>
      </c>
    </row>
    <row r="103" customFormat="false" ht="12.75" hidden="false" customHeight="false" outlineLevel="0" collapsed="false">
      <c r="A103" s="1" t="n">
        <f aca="false">ORÇAMENTO!C103</f>
        <v>2</v>
      </c>
      <c r="B103" s="1" t="n">
        <f aca="false">ORÇAMENTO!D103</f>
        <v>1</v>
      </c>
      <c r="C103" s="199" t="str">
        <f aca="false">IF(OR($I103&gt;0,$A103=1,$A103=2,$A103=3,$A103=4),"F","")</f>
        <v>F</v>
      </c>
      <c r="D103" s="202" t="str">
        <f aca="false">ORÇAMENTO!O103</f>
        <v>1.28.</v>
      </c>
      <c r="E103" s="341" t="str">
        <f aca="false">ORÇAMENTO.Descricao</f>
        <v>MADEIRA</v>
      </c>
      <c r="F103" s="342" t="str">
        <f aca="true">IF(RegimeExecucao="Global","",ORÇAMENTO.Unidade)</f>
        <v/>
      </c>
      <c r="G103" s="207" t="str">
        <f aca="true">IF(RegimeExecucao="Global","",ORÇAMENTO!T103)</f>
        <v/>
      </c>
      <c r="H103" s="207" t="str">
        <f aca="true">IF(RegimeExecucao="Global","",ORÇAMENTO!W103)</f>
        <v/>
      </c>
      <c r="I103" s="210" t="n">
        <f aca="false">ORÇAMENTO!X103</f>
        <v>0</v>
      </c>
      <c r="J103" s="633" t="e">
        <f aca="false" t="array" ref="J103:J103">_xlfn.single(IF($A103="S",IF(CAIXA.Modo,BM.AFAnterior,BM.MEDAnterior),IF(AND(_xlfn.single(RegimeExecucao)="Global",$I103&gt;0,COUNTIF($AB$13:$AM$13,BM.medicao-1)&gt;0),M103/$I103*100,0)))</f>
        <v>#NAME?</v>
      </c>
      <c r="K103" s="207" t="e">
        <f aca="false">L103-J103</f>
        <v>#NAME?</v>
      </c>
      <c r="L103" s="634" t="e">
        <f aca="false" t="array" ref="L103:L103">_xlfn.single(IF($A103="S",IF(CAIXA.Modo,BM.AFAcumulado,BM.MEDAcumulado),IF(AND(_xlfn.single(RegimeExecucao)="Global",$I103&gt;0,COUNTIF($AB$13:$AM$13,BM.medicao)&gt;0),O103/$I103*100,0)))</f>
        <v>#NAME?</v>
      </c>
      <c r="M103" s="635" t="n">
        <f aca="true">IF($A103="S",VTOTALBM,IF($A103=0,0,ROUND(SomaAgrupBM,15-13*ORÇAMENTO!$AF$11)))</f>
        <v>0</v>
      </c>
      <c r="N103" s="219" t="n">
        <f aca="false">O103-M103</f>
        <v>0</v>
      </c>
      <c r="O103" s="210" t="n">
        <f aca="true">IF($A103="S",VTOTALBM,IF($A103=0,0,ROUND(SomaAgrupBM,15-13*ORÇAMENTO!$AF$11)))</f>
        <v>0</v>
      </c>
      <c r="Q103" s="636"/>
      <c r="R103" s="637"/>
      <c r="T103" s="202" t="str">
        <f aca="false">IF($W103&gt;0,$D103,"")</f>
        <v/>
      </c>
      <c r="U103" s="341" t="str">
        <f aca="false">IF($W103&gt;0,$E103,"")</f>
        <v/>
      </c>
      <c r="V103" s="342" t="str">
        <f aca="true">IF(AND($W103&gt;0,RegimeExecucao="Unitário"),$F103,"")</f>
        <v/>
      </c>
      <c r="W103" s="638" t="n">
        <f aca="true">IF($Y103&gt;0,CHOOSE(MATCH(RegimeExecucao,{"Unitário","Global"},0),IF($A103="S",$Y103/$X103,""),($Y103/$X103)*100),0)</f>
        <v>0</v>
      </c>
      <c r="X103" s="639" t="str">
        <f aca="true">IF($Y103&gt;0,CHOOSE(MATCH(RegimeExecucao,{"Unitário","Global"},0),IF($A103="S",ROUND($H103,ORÇAMENTO!$AF$10),""),ROUND($I103,ORÇAMENTO!$AF$11)),"")</f>
        <v/>
      </c>
      <c r="Y103" s="639" t="n">
        <f aca="false">AO103-O103</f>
        <v>0</v>
      </c>
      <c r="Z103" s="640"/>
      <c r="AB103" s="636"/>
      <c r="AC103" s="641"/>
      <c r="AD103" s="641"/>
      <c r="AE103" s="641"/>
      <c r="AF103" s="641"/>
      <c r="AG103" s="641"/>
      <c r="AH103" s="641"/>
      <c r="AI103" s="641"/>
      <c r="AJ103" s="641"/>
      <c r="AK103" s="641"/>
      <c r="AL103" s="641"/>
      <c r="AM103" s="637"/>
      <c r="AO103" s="38" t="n">
        <f aca="true">IF($A103="S",IF(BM!$I103=0,0,CHOOSE(MATCH(RegimeExecucao,{"Global","Unitário"},0),ROUND(ROUND(BM.MEDAcumulado,15-13*BM!$A$9)/100*BM!$I103,15-13*ORÇAMENTO!$AF$11),ROUND(ROUND(BM.MEDAcumulado,15-13*BM!$A$9)*ROUND(BM!$H103,15-13*ORÇAMENTO!$AF$10),15-13*ORÇAMENTO!$AF$11))),IF($A103=0,0,ROUND(SomaAgrupBM,15-13*ORÇAMENTO!$AF$11)))</f>
        <v>0</v>
      </c>
    </row>
    <row r="104" customFormat="false" ht="12.75" hidden="false" customHeight="false" outlineLevel="0" collapsed="false">
      <c r="A104" s="1" t="n">
        <f aca="false">ORÇAMENTO!C104</f>
        <v>2</v>
      </c>
      <c r="B104" s="1" t="n">
        <f aca="false">ORÇAMENTO!D104</f>
        <v>6</v>
      </c>
      <c r="C104" s="199" t="str">
        <f aca="false">IF(OR($I104&gt;0,$A104=1,$A104=2,$A104=3,$A104=4),"F","")</f>
        <v>F</v>
      </c>
      <c r="D104" s="202" t="str">
        <f aca="false">ORÇAMENTO!O104</f>
        <v>1.29.</v>
      </c>
      <c r="E104" s="341" t="str">
        <f aca="false">ORÇAMENTO.Descricao</f>
        <v>CERÂMICA</v>
      </c>
      <c r="F104" s="342" t="str">
        <f aca="true">IF(RegimeExecucao="Global","",ORÇAMENTO.Unidade)</f>
        <v/>
      </c>
      <c r="G104" s="207" t="str">
        <f aca="true">IF(RegimeExecucao="Global","",ORÇAMENTO!T104)</f>
        <v/>
      </c>
      <c r="H104" s="207" t="str">
        <f aca="true">IF(RegimeExecucao="Global","",ORÇAMENTO!W104)</f>
        <v/>
      </c>
      <c r="I104" s="210" t="n">
        <f aca="false">ORÇAMENTO!X104</f>
        <v>227675.5</v>
      </c>
      <c r="J104" s="633" t="e">
        <f aca="false" t="array" ref="J104:J104">_xlfn.single(IF($A104="S",IF(CAIXA.Modo,BM.AFAnterior,BM.MEDAnterior),IF(AND(_xlfn.single(RegimeExecucao)="Global",$I104&gt;0,COUNTIF($AB$13:$AM$13,BM.medicao-1)&gt;0),M104/$I104*100,0)))</f>
        <v>#NAME?</v>
      </c>
      <c r="K104" s="207" t="e">
        <f aca="false">L104-J104</f>
        <v>#NAME?</v>
      </c>
      <c r="L104" s="634" t="e">
        <f aca="false" t="array" ref="L104:L104">_xlfn.single(IF($A104="S",IF(CAIXA.Modo,BM.AFAcumulado,BM.MEDAcumulado),IF(AND(_xlfn.single(RegimeExecucao)="Global",$I104&gt;0,COUNTIF($AB$13:$AM$13,BM.medicao)&gt;0),O104/$I104*100,0)))</f>
        <v>#NAME?</v>
      </c>
      <c r="M104" s="635" t="n">
        <f aca="true">IF($A104="S",VTOTALBM,IF($A104=0,0,ROUND(SomaAgrupBM,15-13*ORÇAMENTO!$AF$11)))</f>
        <v>0</v>
      </c>
      <c r="N104" s="219" t="n">
        <f aca="false">O104-M104</f>
        <v>0</v>
      </c>
      <c r="O104" s="210" t="n">
        <f aca="true">IF($A104="S",VTOTALBM,IF($A104=0,0,ROUND(SomaAgrupBM,15-13*ORÇAMENTO!$AF$11)))</f>
        <v>0</v>
      </c>
      <c r="Q104" s="636"/>
      <c r="R104" s="637"/>
      <c r="T104" s="202" t="str">
        <f aca="false">IF($W104&gt;0,$D104,"")</f>
        <v/>
      </c>
      <c r="U104" s="341" t="str">
        <f aca="false">IF($W104&gt;0,$E104,"")</f>
        <v/>
      </c>
      <c r="V104" s="342" t="str">
        <f aca="true">IF(AND($W104&gt;0,RegimeExecucao="Unitário"),$F104,"")</f>
        <v/>
      </c>
      <c r="W104" s="638" t="n">
        <f aca="true">IF($Y104&gt;0,CHOOSE(MATCH(RegimeExecucao,{"Unitário","Global"},0),IF($A104="S",$Y104/$X104,""),($Y104/$X104)*100),0)</f>
        <v>0</v>
      </c>
      <c r="X104" s="639" t="str">
        <f aca="true">IF($Y104&gt;0,CHOOSE(MATCH(RegimeExecucao,{"Unitário","Global"},0),IF($A104="S",ROUND($H104,ORÇAMENTO!$AF$10),""),ROUND($I104,ORÇAMENTO!$AF$11)),"")</f>
        <v/>
      </c>
      <c r="Y104" s="639" t="n">
        <f aca="false">AO104-O104</f>
        <v>0</v>
      </c>
      <c r="Z104" s="640"/>
      <c r="AB104" s="636"/>
      <c r="AC104" s="641"/>
      <c r="AD104" s="641"/>
      <c r="AE104" s="641"/>
      <c r="AF104" s="641"/>
      <c r="AG104" s="641"/>
      <c r="AH104" s="641"/>
      <c r="AI104" s="641"/>
      <c r="AJ104" s="641"/>
      <c r="AK104" s="641"/>
      <c r="AL104" s="641"/>
      <c r="AM104" s="637"/>
      <c r="AO104" s="38" t="n">
        <f aca="true">IF($A104="S",IF(BM!$I104=0,0,CHOOSE(MATCH(RegimeExecucao,{"Global","Unitário"},0),ROUND(ROUND(BM.MEDAcumulado,15-13*BM!$A$9)/100*BM!$I104,15-13*ORÇAMENTO!$AF$11),ROUND(ROUND(BM.MEDAcumulado,15-13*BM!$A$9)*ROUND(BM!$H104,15-13*ORÇAMENTO!$AF$10),15-13*ORÇAMENTO!$AF$11))),IF($A104=0,0,ROUND(SomaAgrupBM,15-13*ORÇAMENTO!$AF$11)))</f>
        <v>0</v>
      </c>
    </row>
    <row r="105" customFormat="false" ht="35.05" hidden="false" customHeight="false" outlineLevel="0" collapsed="false">
      <c r="A105" s="1" t="str">
        <f aca="false">ORÇAMENTO!C105</f>
        <v>S</v>
      </c>
      <c r="B105" s="1" t="n">
        <f aca="false">ORÇAMENTO!D105</f>
        <v>0</v>
      </c>
      <c r="C105" s="199" t="str">
        <f aca="false">IF(OR($I105&gt;0,$A105=1,$A105=2,$A105=3,$A105=4),"F","")</f>
        <v>F</v>
      </c>
      <c r="D105" s="202" t="str">
        <f aca="false">ORÇAMENTO!O105</f>
        <v>1.29.1.</v>
      </c>
      <c r="E105" s="341" t="str">
        <f aca="false">ORÇAMENTO.Descricao</f>
        <v>COMPACTAÇÃO MECÂNICA DE SOLO PARA EXECUÇÃO DE RADIER, PISO DE CONCRETO OU LAJE SOBRE SOLO, COM COMPACTADOR DE SOLOS TIPO PLACA VIBRATÓRIA. AF_09/2021</v>
      </c>
      <c r="F105" s="342" t="str">
        <f aca="true">IF(RegimeExecucao="Global","",ORÇAMENTO.Unidade)</f>
        <v/>
      </c>
      <c r="G105" s="207" t="str">
        <f aca="true">IF(RegimeExecucao="Global","",ORÇAMENTO!T105)</f>
        <v/>
      </c>
      <c r="H105" s="207" t="str">
        <f aca="true">IF(RegimeExecucao="Global","",ORÇAMENTO!W105)</f>
        <v/>
      </c>
      <c r="I105" s="210" t="n">
        <f aca="false">ORÇAMENTO!X105</f>
        <v>1044.75</v>
      </c>
      <c r="J105" s="633" t="e">
        <f aca="false" t="array" ref="J105:J105">_xlfn.single(IF($A105="S",IF(CAIXA.Modo,BM.AFAnterior,BM.MEDAnterior),IF(AND(_xlfn.single(RegimeExecucao)="Global",$I105&gt;0,COUNTIF($AB$13:$AM$13,BM.medicao-1)&gt;0),M105/$I105*100,0)))</f>
        <v>#NAME?</v>
      </c>
      <c r="K105" s="207" t="e">
        <f aca="false">L105-J105</f>
        <v>#NAME?</v>
      </c>
      <c r="L105" s="634" t="e">
        <f aca="false" t="array" ref="L105:L105">_xlfn.single(IF($A105="S",IF(CAIXA.Modo,BM.AFAcumulado,BM.MEDAcumulado),IF(AND(_xlfn.single(RegimeExecucao)="Global",$I105&gt;0,COUNTIF($AB$13:$AM$13,BM.medicao)&gt;0),O105/$I105*100,0)))</f>
        <v>#NAME?</v>
      </c>
      <c r="M105" s="635" t="n">
        <f aca="true">IF($A105="S",VTOTALBM,IF($A105=0,0,ROUND(SomaAgrupBM,15-13*ORÇAMENTO!$AF$11)))</f>
        <v>0</v>
      </c>
      <c r="N105" s="219" t="n">
        <f aca="false">O105-M105</f>
        <v>0</v>
      </c>
      <c r="O105" s="210" t="n">
        <f aca="true">IF($A105="S",VTOTALBM,IF($A105=0,0,ROUND(SomaAgrupBM,15-13*ORÇAMENTO!$AF$11)))</f>
        <v>0</v>
      </c>
      <c r="Q105" s="636"/>
      <c r="R105" s="637"/>
      <c r="T105" s="202" t="str">
        <f aca="false">IF($W105&gt;0,$D105,"")</f>
        <v/>
      </c>
      <c r="U105" s="341" t="str">
        <f aca="false">IF($W105&gt;0,$E105,"")</f>
        <v/>
      </c>
      <c r="V105" s="342" t="str">
        <f aca="true">IF(AND($W105&gt;0,RegimeExecucao="Unitário"),$F105,"")</f>
        <v/>
      </c>
      <c r="W105" s="638" t="n">
        <f aca="true">IF($Y105&gt;0,CHOOSE(MATCH(RegimeExecucao,{"Unitário","Global"},0),IF($A105="S",$Y105/$X105,""),($Y105/$X105)*100),0)</f>
        <v>0</v>
      </c>
      <c r="X105" s="639" t="str">
        <f aca="true">IF($Y105&gt;0,CHOOSE(MATCH(RegimeExecucao,{"Unitário","Global"},0),IF($A105="S",ROUND($H105,ORÇAMENTO!$AF$10),""),ROUND($I105,ORÇAMENTO!$AF$11)),"")</f>
        <v/>
      </c>
      <c r="Y105" s="639" t="n">
        <f aca="false">AO105-O105</f>
        <v>0</v>
      </c>
      <c r="Z105" s="640"/>
      <c r="AB105" s="636"/>
      <c r="AC105" s="641"/>
      <c r="AD105" s="641"/>
      <c r="AE105" s="641"/>
      <c r="AF105" s="641"/>
      <c r="AG105" s="641"/>
      <c r="AH105" s="641"/>
      <c r="AI105" s="641"/>
      <c r="AJ105" s="641"/>
      <c r="AK105" s="641"/>
      <c r="AL105" s="641"/>
      <c r="AM105" s="637"/>
      <c r="AO105" s="38" t="n">
        <f aca="true">IF($A105="S",IF(BM!$I105=0,0,CHOOSE(MATCH(RegimeExecucao,{"Global","Unitário"},0),ROUND(ROUND(BM.MEDAcumulado,15-13*BM!$A$9)/100*BM!$I105,15-13*ORÇAMENTO!$AF$11),ROUND(ROUND(BM.MEDAcumulado,15-13*BM!$A$9)*ROUND(BM!$H105,15-13*ORÇAMENTO!$AF$10),15-13*ORÇAMENTO!$AF$11))),IF($A105=0,0,ROUND(SomaAgrupBM,15-13*ORÇAMENTO!$AF$11)))</f>
        <v>0</v>
      </c>
    </row>
    <row r="106" customFormat="false" ht="23.85" hidden="false" customHeight="false" outlineLevel="0" collapsed="false">
      <c r="A106" s="1" t="str">
        <f aca="false">ORÇAMENTO!C106</f>
        <v>S</v>
      </c>
      <c r="B106" s="1" t="n">
        <f aca="false">ORÇAMENTO!D106</f>
        <v>0</v>
      </c>
      <c r="C106" s="199" t="str">
        <f aca="false">IF(OR($I106&gt;0,$A106=1,$A106=2,$A106=3,$A106=4),"F","")</f>
        <v>F</v>
      </c>
      <c r="D106" s="202" t="str">
        <f aca="false">ORÇAMENTO!O106</f>
        <v>1.29.2.</v>
      </c>
      <c r="E106" s="341" t="str">
        <f aca="false">ORÇAMENTO.Descricao</f>
        <v>LASTRO DE CONCRETO MAGRO, APLICADO EM PISOS, LAJES SOBRE SOLO OU RADIERS, ESPESSURA DE 5 CM. AF_01/2024</v>
      </c>
      <c r="F106" s="342" t="str">
        <f aca="true">IF(RegimeExecucao="Global","",ORÇAMENTO.Unidade)</f>
        <v/>
      </c>
      <c r="G106" s="207" t="str">
        <f aca="true">IF(RegimeExecucao="Global","",ORÇAMENTO!T106)</f>
        <v/>
      </c>
      <c r="H106" s="207" t="str">
        <f aca="true">IF(RegimeExecucao="Global","",ORÇAMENTO!W106)</f>
        <v/>
      </c>
      <c r="I106" s="210" t="n">
        <f aca="false">ORÇAMENTO!X106</f>
        <v>62307</v>
      </c>
      <c r="J106" s="633" t="e">
        <f aca="false" t="array" ref="J106:J106">_xlfn.single(IF($A106="S",IF(CAIXA.Modo,BM.AFAnterior,BM.MEDAnterior),IF(AND(_xlfn.single(RegimeExecucao)="Global",$I106&gt;0,COUNTIF($AB$13:$AM$13,BM.medicao-1)&gt;0),M106/$I106*100,0)))</f>
        <v>#NAME?</v>
      </c>
      <c r="K106" s="207" t="e">
        <f aca="false">L106-J106</f>
        <v>#NAME?</v>
      </c>
      <c r="L106" s="634" t="e">
        <f aca="false" t="array" ref="L106:L106">_xlfn.single(IF($A106="S",IF(CAIXA.Modo,BM.AFAcumulado,BM.MEDAcumulado),IF(AND(_xlfn.single(RegimeExecucao)="Global",$I106&gt;0,COUNTIF($AB$13:$AM$13,BM.medicao)&gt;0),O106/$I106*100,0)))</f>
        <v>#NAME?</v>
      </c>
      <c r="M106" s="635" t="n">
        <f aca="true">IF($A106="S",VTOTALBM,IF($A106=0,0,ROUND(SomaAgrupBM,15-13*ORÇAMENTO!$AF$11)))</f>
        <v>0</v>
      </c>
      <c r="N106" s="219" t="n">
        <f aca="false">O106-M106</f>
        <v>0</v>
      </c>
      <c r="O106" s="210" t="n">
        <f aca="true">IF($A106="S",VTOTALBM,IF($A106=0,0,ROUND(SomaAgrupBM,15-13*ORÇAMENTO!$AF$11)))</f>
        <v>0</v>
      </c>
      <c r="Q106" s="636"/>
      <c r="R106" s="637"/>
      <c r="T106" s="202" t="str">
        <f aca="false">IF($W106&gt;0,$D106,"")</f>
        <v/>
      </c>
      <c r="U106" s="341" t="str">
        <f aca="false">IF($W106&gt;0,$E106,"")</f>
        <v/>
      </c>
      <c r="V106" s="342" t="str">
        <f aca="true">IF(AND($W106&gt;0,RegimeExecucao="Unitário"),$F106,"")</f>
        <v/>
      </c>
      <c r="W106" s="638" t="n">
        <f aca="true">IF($Y106&gt;0,CHOOSE(MATCH(RegimeExecucao,{"Unitário","Global"},0),IF($A106="S",$Y106/$X106,""),($Y106/$X106)*100),0)</f>
        <v>0</v>
      </c>
      <c r="X106" s="639" t="str">
        <f aca="true">IF($Y106&gt;0,CHOOSE(MATCH(RegimeExecucao,{"Unitário","Global"},0),IF($A106="S",ROUND($H106,ORÇAMENTO!$AF$10),""),ROUND($I106,ORÇAMENTO!$AF$11)),"")</f>
        <v/>
      </c>
      <c r="Y106" s="639" t="n">
        <f aca="false">AO106-O106</f>
        <v>0</v>
      </c>
      <c r="Z106" s="640"/>
      <c r="AB106" s="636"/>
      <c r="AC106" s="641"/>
      <c r="AD106" s="641"/>
      <c r="AE106" s="641"/>
      <c r="AF106" s="641"/>
      <c r="AG106" s="641"/>
      <c r="AH106" s="641"/>
      <c r="AI106" s="641"/>
      <c r="AJ106" s="641"/>
      <c r="AK106" s="641"/>
      <c r="AL106" s="641"/>
      <c r="AM106" s="637"/>
      <c r="AO106" s="38" t="n">
        <f aca="true">IF($A106="S",IF(BM!$I106=0,0,CHOOSE(MATCH(RegimeExecucao,{"Global","Unitário"},0),ROUND(ROUND(BM.MEDAcumulado,15-13*BM!$A$9)/100*BM!$I106,15-13*ORÇAMENTO!$AF$11),ROUND(ROUND(BM.MEDAcumulado,15-13*BM!$A$9)*ROUND(BM!$H106,15-13*ORÇAMENTO!$AF$10),15-13*ORÇAMENTO!$AF$11))),IF($A106=0,0,ROUND(SomaAgrupBM,15-13*ORÇAMENTO!$AF$11)))</f>
        <v>0</v>
      </c>
    </row>
    <row r="107" customFormat="false" ht="46.25" hidden="false" customHeight="false" outlineLevel="0" collapsed="false">
      <c r="A107" s="1" t="str">
        <f aca="false">ORÇAMENTO!C107</f>
        <v>S</v>
      </c>
      <c r="B107" s="1" t="n">
        <f aca="false">ORÇAMENTO!D107</f>
        <v>0</v>
      </c>
      <c r="C107" s="199" t="str">
        <f aca="false">IF(OR($I107&gt;0,$A107=1,$A107=2,$A107=3,$A107=4),"F","")</f>
        <v>F</v>
      </c>
      <c r="D107" s="202" t="str">
        <f aca="false">ORÇAMENTO!O107</f>
        <v>1.29.3.</v>
      </c>
      <c r="E107" s="341" t="str">
        <f aca="false">ORÇAMENTO.Descricao</f>
        <v>CONTRAPISO EM ARGAMASSA TRAÇO 1:4 (CIMENTO E AREIA), PREPARO MECÂNICO COM BETONEIRA 400 L, APLICADO EM ÁREAS MOLHADAS SOBRE LAJE, ADERIDO, ACABAMENTO NÃO REFORÇADO, ESPESSURA 3CM. AF_07/2021</v>
      </c>
      <c r="F107" s="342" t="str">
        <f aca="true">IF(RegimeExecucao="Global","",ORÇAMENTO.Unidade)</f>
        <v/>
      </c>
      <c r="G107" s="207" t="str">
        <f aca="true">IF(RegimeExecucao="Global","",ORÇAMENTO!T107)</f>
        <v/>
      </c>
      <c r="H107" s="207" t="str">
        <f aca="true">IF(RegimeExecucao="Global","",ORÇAMENTO!W107)</f>
        <v/>
      </c>
      <c r="I107" s="210" t="n">
        <f aca="false">ORÇAMENTO!X107</f>
        <v>24413.5</v>
      </c>
      <c r="J107" s="633" t="e">
        <f aca="false" t="array" ref="J107:J107">_xlfn.single(IF($A107="S",IF(CAIXA.Modo,BM.AFAnterior,BM.MEDAnterior),IF(AND(_xlfn.single(RegimeExecucao)="Global",$I107&gt;0,COUNTIF($AB$13:$AM$13,BM.medicao-1)&gt;0),M107/$I107*100,0)))</f>
        <v>#NAME?</v>
      </c>
      <c r="K107" s="207" t="e">
        <f aca="false">L107-J107</f>
        <v>#NAME?</v>
      </c>
      <c r="L107" s="634" t="e">
        <f aca="false" t="array" ref="L107:L107">_xlfn.single(IF($A107="S",IF(CAIXA.Modo,BM.AFAcumulado,BM.MEDAcumulado),IF(AND(_xlfn.single(RegimeExecucao)="Global",$I107&gt;0,COUNTIF($AB$13:$AM$13,BM.medicao)&gt;0),O107/$I107*100,0)))</f>
        <v>#NAME?</v>
      </c>
      <c r="M107" s="635" t="n">
        <f aca="true">IF($A107="S",VTOTALBM,IF($A107=0,0,ROUND(SomaAgrupBM,15-13*ORÇAMENTO!$AF$11)))</f>
        <v>0</v>
      </c>
      <c r="N107" s="219" t="n">
        <f aca="false">O107-M107</f>
        <v>0</v>
      </c>
      <c r="O107" s="210" t="n">
        <f aca="true">IF($A107="S",VTOTALBM,IF($A107=0,0,ROUND(SomaAgrupBM,15-13*ORÇAMENTO!$AF$11)))</f>
        <v>0</v>
      </c>
      <c r="Q107" s="636"/>
      <c r="R107" s="637"/>
      <c r="T107" s="202" t="str">
        <f aca="false">IF($W107&gt;0,$D107,"")</f>
        <v/>
      </c>
      <c r="U107" s="341" t="str">
        <f aca="false">IF($W107&gt;0,$E107,"")</f>
        <v/>
      </c>
      <c r="V107" s="342" t="str">
        <f aca="true">IF(AND($W107&gt;0,RegimeExecucao="Unitário"),$F107,"")</f>
        <v/>
      </c>
      <c r="W107" s="638" t="n">
        <f aca="true">IF($Y107&gt;0,CHOOSE(MATCH(RegimeExecucao,{"Unitário","Global"},0),IF($A107="S",$Y107/$X107,""),($Y107/$X107)*100),0)</f>
        <v>0</v>
      </c>
      <c r="X107" s="639" t="str">
        <f aca="true">IF($Y107&gt;0,CHOOSE(MATCH(RegimeExecucao,{"Unitário","Global"},0),IF($A107="S",ROUND($H107,ORÇAMENTO!$AF$10),""),ROUND($I107,ORÇAMENTO!$AF$11)),"")</f>
        <v/>
      </c>
      <c r="Y107" s="639" t="n">
        <f aca="false">AO107-O107</f>
        <v>0</v>
      </c>
      <c r="Z107" s="640"/>
      <c r="AB107" s="636"/>
      <c r="AC107" s="641"/>
      <c r="AD107" s="641"/>
      <c r="AE107" s="641"/>
      <c r="AF107" s="641"/>
      <c r="AG107" s="641"/>
      <c r="AH107" s="641"/>
      <c r="AI107" s="641"/>
      <c r="AJ107" s="641"/>
      <c r="AK107" s="641"/>
      <c r="AL107" s="641"/>
      <c r="AM107" s="637"/>
      <c r="AO107" s="38" t="n">
        <f aca="true">IF($A107="S",IF(BM!$I107=0,0,CHOOSE(MATCH(RegimeExecucao,{"Global","Unitário"},0),ROUND(ROUND(BM.MEDAcumulado,15-13*BM!$A$9)/100*BM!$I107,15-13*ORÇAMENTO!$AF$11),ROUND(ROUND(BM.MEDAcumulado,15-13*BM!$A$9)*ROUND(BM!$H107,15-13*ORÇAMENTO!$AF$10),15-13*ORÇAMENTO!$AF$11))),IF($A107=0,0,ROUND(SomaAgrupBM,15-13*ORÇAMENTO!$AF$11)))</f>
        <v>0</v>
      </c>
    </row>
    <row r="108" customFormat="false" ht="46.25" hidden="false" customHeight="false" outlineLevel="0" collapsed="false">
      <c r="A108" s="1" t="str">
        <f aca="false">ORÇAMENTO!C108</f>
        <v>S</v>
      </c>
      <c r="B108" s="1" t="n">
        <f aca="false">ORÇAMENTO!D108</f>
        <v>0</v>
      </c>
      <c r="C108" s="199" t="str">
        <f aca="false">IF(OR($I108&gt;0,$A108=1,$A108=2,$A108=3,$A108=4),"F","")</f>
        <v>F</v>
      </c>
      <c r="D108" s="202" t="str">
        <f aca="false">ORÇAMENTO!O108</f>
        <v>1.29.4.</v>
      </c>
      <c r="E108" s="341" t="str">
        <f aca="false">ORÇAMENTO.Descricao</f>
        <v>CONTRAPISO EM ARGAMASSA TRAÇO 1:4 (CIMENTO E AREIA), PREPARO MECÂNICO COM BETONEIRA 400 L, APLICADO EM ÁREAS SECAS SOBRE LAJE, ADERIDO, ACABAMENTO NÃO REFORÇADO, ESPESSURA 3CM. AF_07/2021</v>
      </c>
      <c r="F108" s="342" t="str">
        <f aca="true">IF(RegimeExecucao="Global","",ORÇAMENTO.Unidade)</f>
        <v/>
      </c>
      <c r="G108" s="207" t="str">
        <f aca="true">IF(RegimeExecucao="Global","",ORÇAMENTO!T108)</f>
        <v/>
      </c>
      <c r="H108" s="207" t="str">
        <f aca="true">IF(RegimeExecucao="Global","",ORÇAMENTO!W108)</f>
        <v/>
      </c>
      <c r="I108" s="210" t="n">
        <f aca="false">ORÇAMENTO!X108</f>
        <v>46782.25</v>
      </c>
      <c r="J108" s="633" t="e">
        <f aca="false" t="array" ref="J108:J108">_xlfn.single(IF($A108="S",IF(CAIXA.Modo,BM.AFAnterior,BM.MEDAnterior),IF(AND(_xlfn.single(RegimeExecucao)="Global",$I108&gt;0,COUNTIF($AB$13:$AM$13,BM.medicao-1)&gt;0),M108/$I108*100,0)))</f>
        <v>#NAME?</v>
      </c>
      <c r="K108" s="207" t="e">
        <f aca="false">L108-J108</f>
        <v>#NAME?</v>
      </c>
      <c r="L108" s="634" t="e">
        <f aca="false" t="array" ref="L108:L108">_xlfn.single(IF($A108="S",IF(CAIXA.Modo,BM.AFAcumulado,BM.MEDAcumulado),IF(AND(_xlfn.single(RegimeExecucao)="Global",$I108&gt;0,COUNTIF($AB$13:$AM$13,BM.medicao)&gt;0),O108/$I108*100,0)))</f>
        <v>#NAME?</v>
      </c>
      <c r="M108" s="635" t="n">
        <f aca="true">IF($A108="S",VTOTALBM,IF($A108=0,0,ROUND(SomaAgrupBM,15-13*ORÇAMENTO!$AF$11)))</f>
        <v>0</v>
      </c>
      <c r="N108" s="219" t="n">
        <f aca="false">O108-M108</f>
        <v>0</v>
      </c>
      <c r="O108" s="210" t="n">
        <f aca="true">IF($A108="S",VTOTALBM,IF($A108=0,0,ROUND(SomaAgrupBM,15-13*ORÇAMENTO!$AF$11)))</f>
        <v>0</v>
      </c>
      <c r="Q108" s="636"/>
      <c r="R108" s="637"/>
      <c r="T108" s="202" t="str">
        <f aca="false">IF($W108&gt;0,$D108,"")</f>
        <v/>
      </c>
      <c r="U108" s="341" t="str">
        <f aca="false">IF($W108&gt;0,$E108,"")</f>
        <v/>
      </c>
      <c r="V108" s="342" t="str">
        <f aca="true">IF(AND($W108&gt;0,RegimeExecucao="Unitário"),$F108,"")</f>
        <v/>
      </c>
      <c r="W108" s="638" t="n">
        <f aca="true">IF($Y108&gt;0,CHOOSE(MATCH(RegimeExecucao,{"Unitário","Global"},0),IF($A108="S",$Y108/$X108,""),($Y108/$X108)*100),0)</f>
        <v>0</v>
      </c>
      <c r="X108" s="639" t="str">
        <f aca="true">IF($Y108&gt;0,CHOOSE(MATCH(RegimeExecucao,{"Unitário","Global"},0),IF($A108="S",ROUND($H108,ORÇAMENTO!$AF$10),""),ROUND($I108,ORÇAMENTO!$AF$11)),"")</f>
        <v/>
      </c>
      <c r="Y108" s="639" t="n">
        <f aca="false">AO108-O108</f>
        <v>0</v>
      </c>
      <c r="Z108" s="640"/>
      <c r="AB108" s="636"/>
      <c r="AC108" s="641"/>
      <c r="AD108" s="641"/>
      <c r="AE108" s="641"/>
      <c r="AF108" s="641"/>
      <c r="AG108" s="641"/>
      <c r="AH108" s="641"/>
      <c r="AI108" s="641"/>
      <c r="AJ108" s="641"/>
      <c r="AK108" s="641"/>
      <c r="AL108" s="641"/>
      <c r="AM108" s="637"/>
      <c r="AO108" s="38" t="n">
        <f aca="true">IF($A108="S",IF(BM!$I108=0,0,CHOOSE(MATCH(RegimeExecucao,{"Global","Unitário"},0),ROUND(ROUND(BM.MEDAcumulado,15-13*BM!$A$9)/100*BM!$I108,15-13*ORÇAMENTO!$AF$11),ROUND(ROUND(BM.MEDAcumulado,15-13*BM!$A$9)*ROUND(BM!$H108,15-13*ORÇAMENTO!$AF$10),15-13*ORÇAMENTO!$AF$11))),IF($A108=0,0,ROUND(SomaAgrupBM,15-13*ORÇAMENTO!$AF$11)))</f>
        <v>0</v>
      </c>
    </row>
    <row r="109" customFormat="false" ht="35.05" hidden="false" customHeight="false" outlineLevel="0" collapsed="false">
      <c r="A109" s="1" t="str">
        <f aca="false">ORÇAMENTO!C109</f>
        <v>S</v>
      </c>
      <c r="B109" s="1" t="n">
        <f aca="false">ORÇAMENTO!D109</f>
        <v>0</v>
      </c>
      <c r="C109" s="199" t="str">
        <f aca="false">IF(OR($I109&gt;0,$A109=1,$A109=2,$A109=3,$A109=4),"F","")</f>
        <v>F</v>
      </c>
      <c r="D109" s="202" t="str">
        <f aca="false">ORÇAMENTO!O109</f>
        <v>1.29.5.</v>
      </c>
      <c r="E109" s="341" t="str">
        <f aca="false">ORÇAMENTO.Descricao</f>
        <v>REVESTIMENTO CERÂMICO PARA PISO COM PLACAS TIPO ESMALTADA DE DIMENSÕES 60X60 CM APLICADA EM AMBIENTES DE ÁREA MAIOR QUE 10 M2. AF_02/2023_PE.</v>
      </c>
      <c r="F109" s="342" t="str">
        <f aca="true">IF(RegimeExecucao="Global","",ORÇAMENTO.Unidade)</f>
        <v/>
      </c>
      <c r="G109" s="207" t="str">
        <f aca="true">IF(RegimeExecucao="Global","",ORÇAMENTO!T109)</f>
        <v/>
      </c>
      <c r="H109" s="207" t="str">
        <f aca="true">IF(RegimeExecucao="Global","",ORÇAMENTO!W109)</f>
        <v/>
      </c>
      <c r="I109" s="210" t="n">
        <f aca="false">ORÇAMENTO!X109</f>
        <v>93128</v>
      </c>
      <c r="J109" s="633" t="e">
        <f aca="false" t="array" ref="J109:J109">_xlfn.single(IF($A109="S",IF(CAIXA.Modo,BM.AFAnterior,BM.MEDAnterior),IF(AND(_xlfn.single(RegimeExecucao)="Global",$I109&gt;0,COUNTIF($AB$13:$AM$13,BM.medicao-1)&gt;0),M109/$I109*100,0)))</f>
        <v>#NAME?</v>
      </c>
      <c r="K109" s="207" t="e">
        <f aca="false">L109-J109</f>
        <v>#NAME?</v>
      </c>
      <c r="L109" s="634" t="e">
        <f aca="false" t="array" ref="L109:L109">_xlfn.single(IF($A109="S",IF(CAIXA.Modo,BM.AFAcumulado,BM.MEDAcumulado),IF(AND(_xlfn.single(RegimeExecucao)="Global",$I109&gt;0,COUNTIF($AB$13:$AM$13,BM.medicao)&gt;0),O109/$I109*100,0)))</f>
        <v>#NAME?</v>
      </c>
      <c r="M109" s="635" t="n">
        <f aca="true">IF($A109="S",VTOTALBM,IF($A109=0,0,ROUND(SomaAgrupBM,15-13*ORÇAMENTO!$AF$11)))</f>
        <v>0</v>
      </c>
      <c r="N109" s="219" t="n">
        <f aca="false">O109-M109</f>
        <v>0</v>
      </c>
      <c r="O109" s="210" t="n">
        <f aca="true">IF($A109="S",VTOTALBM,IF($A109=0,0,ROUND(SomaAgrupBM,15-13*ORÇAMENTO!$AF$11)))</f>
        <v>0</v>
      </c>
      <c r="Q109" s="636"/>
      <c r="R109" s="637"/>
      <c r="T109" s="202" t="str">
        <f aca="false">IF($W109&gt;0,$D109,"")</f>
        <v/>
      </c>
      <c r="U109" s="341" t="str">
        <f aca="false">IF($W109&gt;0,$E109,"")</f>
        <v/>
      </c>
      <c r="V109" s="342" t="str">
        <f aca="true">IF(AND($W109&gt;0,RegimeExecucao="Unitário"),$F109,"")</f>
        <v/>
      </c>
      <c r="W109" s="638" t="n">
        <f aca="true">IF($Y109&gt;0,CHOOSE(MATCH(RegimeExecucao,{"Unitário","Global"},0),IF($A109="S",$Y109/$X109,""),($Y109/$X109)*100),0)</f>
        <v>0</v>
      </c>
      <c r="X109" s="639" t="str">
        <f aca="true">IF($Y109&gt;0,CHOOSE(MATCH(RegimeExecucao,{"Unitário","Global"},0),IF($A109="S",ROUND($H109,ORÇAMENTO!$AF$10),""),ROUND($I109,ORÇAMENTO!$AF$11)),"")</f>
        <v/>
      </c>
      <c r="Y109" s="639" t="n">
        <f aca="false">AO109-O109</f>
        <v>0</v>
      </c>
      <c r="Z109" s="640"/>
      <c r="AB109" s="636"/>
      <c r="AC109" s="641"/>
      <c r="AD109" s="641"/>
      <c r="AE109" s="641"/>
      <c r="AF109" s="641"/>
      <c r="AG109" s="641"/>
      <c r="AH109" s="641"/>
      <c r="AI109" s="641"/>
      <c r="AJ109" s="641"/>
      <c r="AK109" s="641"/>
      <c r="AL109" s="641"/>
      <c r="AM109" s="637"/>
      <c r="AO109" s="38" t="n">
        <f aca="true">IF($A109="S",IF(BM!$I109=0,0,CHOOSE(MATCH(RegimeExecucao,{"Global","Unitário"},0),ROUND(ROUND(BM.MEDAcumulado,15-13*BM!$A$9)/100*BM!$I109,15-13*ORÇAMENTO!$AF$11),ROUND(ROUND(BM.MEDAcumulado,15-13*BM!$A$9)*ROUND(BM!$H109,15-13*ORÇAMENTO!$AF$10),15-13*ORÇAMENTO!$AF$11))),IF($A109=0,0,ROUND(SomaAgrupBM,15-13*ORÇAMENTO!$AF$11)))</f>
        <v>0</v>
      </c>
    </row>
    <row r="110" customFormat="false" ht="12.75" hidden="false" customHeight="false" outlineLevel="0" collapsed="false">
      <c r="A110" s="1" t="n">
        <f aca="false">ORÇAMENTO!C110</f>
        <v>2</v>
      </c>
      <c r="B110" s="1" t="n">
        <f aca="false">ORÇAMENTO!D110</f>
        <v>1</v>
      </c>
      <c r="C110" s="199" t="str">
        <f aca="false">IF(OR($I110&gt;0,$A110=1,$A110=2,$A110=3,$A110=4),"F","")</f>
        <v>F</v>
      </c>
      <c r="D110" s="202" t="str">
        <f aca="false">ORÇAMENTO!O110</f>
        <v>1.30.</v>
      </c>
      <c r="E110" s="341" t="str">
        <f aca="false">ORÇAMENTO.Descricao</f>
        <v>CARPETE</v>
      </c>
      <c r="F110" s="342" t="str">
        <f aca="true">IF(RegimeExecucao="Global","",ORÇAMENTO.Unidade)</f>
        <v/>
      </c>
      <c r="G110" s="207" t="str">
        <f aca="true">IF(RegimeExecucao="Global","",ORÇAMENTO!T110)</f>
        <v/>
      </c>
      <c r="H110" s="207" t="str">
        <f aca="true">IF(RegimeExecucao="Global","",ORÇAMENTO!W110)</f>
        <v/>
      </c>
      <c r="I110" s="210" t="n">
        <f aca="false">ORÇAMENTO!X110</f>
        <v>0</v>
      </c>
      <c r="J110" s="633" t="e">
        <f aca="false" t="array" ref="J110:J110">_xlfn.single(IF($A110="S",IF(CAIXA.Modo,BM.AFAnterior,BM.MEDAnterior),IF(AND(_xlfn.single(RegimeExecucao)="Global",$I110&gt;0,COUNTIF($AB$13:$AM$13,BM.medicao-1)&gt;0),M110/$I110*100,0)))</f>
        <v>#NAME?</v>
      </c>
      <c r="K110" s="207" t="e">
        <f aca="false">L110-J110</f>
        <v>#NAME?</v>
      </c>
      <c r="L110" s="634" t="e">
        <f aca="false" t="array" ref="L110:L110">_xlfn.single(IF($A110="S",IF(CAIXA.Modo,BM.AFAcumulado,BM.MEDAcumulado),IF(AND(_xlfn.single(RegimeExecucao)="Global",$I110&gt;0,COUNTIF($AB$13:$AM$13,BM.medicao)&gt;0),O110/$I110*100,0)))</f>
        <v>#NAME?</v>
      </c>
      <c r="M110" s="635" t="n">
        <f aca="true">IF($A110="S",VTOTALBM,IF($A110=0,0,ROUND(SomaAgrupBM,15-13*ORÇAMENTO!$AF$11)))</f>
        <v>0</v>
      </c>
      <c r="N110" s="219" t="n">
        <f aca="false">O110-M110</f>
        <v>0</v>
      </c>
      <c r="O110" s="210" t="n">
        <f aca="true">IF($A110="S",VTOTALBM,IF($A110=0,0,ROUND(SomaAgrupBM,15-13*ORÇAMENTO!$AF$11)))</f>
        <v>0</v>
      </c>
      <c r="Q110" s="636"/>
      <c r="R110" s="637"/>
      <c r="T110" s="202" t="str">
        <f aca="false">IF($W110&gt;0,$D110,"")</f>
        <v/>
      </c>
      <c r="U110" s="341" t="str">
        <f aca="false">IF($W110&gt;0,$E110,"")</f>
        <v/>
      </c>
      <c r="V110" s="342" t="str">
        <f aca="true">IF(AND($W110&gt;0,RegimeExecucao="Unitário"),$F110,"")</f>
        <v/>
      </c>
      <c r="W110" s="638" t="n">
        <f aca="true">IF($Y110&gt;0,CHOOSE(MATCH(RegimeExecucao,{"Unitário","Global"},0),IF($A110="S",$Y110/$X110,""),($Y110/$X110)*100),0)</f>
        <v>0</v>
      </c>
      <c r="X110" s="639" t="str">
        <f aca="true">IF($Y110&gt;0,CHOOSE(MATCH(RegimeExecucao,{"Unitário","Global"},0),IF($A110="S",ROUND($H110,ORÇAMENTO!$AF$10),""),ROUND($I110,ORÇAMENTO!$AF$11)),"")</f>
        <v/>
      </c>
      <c r="Y110" s="639" t="n">
        <f aca="false">AO110-O110</f>
        <v>0</v>
      </c>
      <c r="Z110" s="640"/>
      <c r="AB110" s="636"/>
      <c r="AC110" s="641"/>
      <c r="AD110" s="641"/>
      <c r="AE110" s="641"/>
      <c r="AF110" s="641"/>
      <c r="AG110" s="641"/>
      <c r="AH110" s="641"/>
      <c r="AI110" s="641"/>
      <c r="AJ110" s="641"/>
      <c r="AK110" s="641"/>
      <c r="AL110" s="641"/>
      <c r="AM110" s="637"/>
      <c r="AO110" s="38" t="n">
        <f aca="true">IF($A110="S",IF(BM!$I110=0,0,CHOOSE(MATCH(RegimeExecucao,{"Global","Unitário"},0),ROUND(ROUND(BM.MEDAcumulado,15-13*BM!$A$9)/100*BM!$I110,15-13*ORÇAMENTO!$AF$11),ROUND(ROUND(BM.MEDAcumulado,15-13*BM!$A$9)*ROUND(BM!$H110,15-13*ORÇAMENTO!$AF$10),15-13*ORÇAMENTO!$AF$11))),IF($A110=0,0,ROUND(SomaAgrupBM,15-13*ORÇAMENTO!$AF$11)))</f>
        <v>0</v>
      </c>
    </row>
    <row r="111" customFormat="false" ht="12.75" hidden="false" customHeight="false" outlineLevel="0" collapsed="false">
      <c r="A111" s="1" t="n">
        <f aca="false">ORÇAMENTO!C111</f>
        <v>2</v>
      </c>
      <c r="B111" s="1" t="n">
        <f aca="false">ORÇAMENTO!D111</f>
        <v>3</v>
      </c>
      <c r="C111" s="199" t="str">
        <f aca="false">IF(OR($I111&gt;0,$A111=1,$A111=2,$A111=3,$A111=4),"F","")</f>
        <v>F</v>
      </c>
      <c r="D111" s="202" t="str">
        <f aca="false">ORÇAMENTO!O111</f>
        <v>1.31.</v>
      </c>
      <c r="E111" s="341" t="str">
        <f aca="false">ORÇAMENTO.Descricao</f>
        <v>CIMENTADOS</v>
      </c>
      <c r="F111" s="342" t="str">
        <f aca="true">IF(RegimeExecucao="Global","",ORÇAMENTO.Unidade)</f>
        <v/>
      </c>
      <c r="G111" s="207" t="str">
        <f aca="true">IF(RegimeExecucao="Global","",ORÇAMENTO!T111)</f>
        <v/>
      </c>
      <c r="H111" s="207" t="str">
        <f aca="true">IF(RegimeExecucao="Global","",ORÇAMENTO!W111)</f>
        <v/>
      </c>
      <c r="I111" s="210" t="n">
        <f aca="false">ORÇAMENTO!X111</f>
        <v>29087.5</v>
      </c>
      <c r="J111" s="633" t="e">
        <f aca="false" t="array" ref="J111:J111">_xlfn.single(IF($A111="S",IF(CAIXA.Modo,BM.AFAnterior,BM.MEDAnterior),IF(AND(_xlfn.single(RegimeExecucao)="Global",$I111&gt;0,COUNTIF($AB$13:$AM$13,BM.medicao-1)&gt;0),M111/$I111*100,0)))</f>
        <v>#NAME?</v>
      </c>
      <c r="K111" s="207" t="e">
        <f aca="false">L111-J111</f>
        <v>#NAME?</v>
      </c>
      <c r="L111" s="634" t="e">
        <f aca="false" t="array" ref="L111:L111">_xlfn.single(IF($A111="S",IF(CAIXA.Modo,BM.AFAcumulado,BM.MEDAcumulado),IF(AND(_xlfn.single(RegimeExecucao)="Global",$I111&gt;0,COUNTIF($AB$13:$AM$13,BM.medicao)&gt;0),O111/$I111*100,0)))</f>
        <v>#NAME?</v>
      </c>
      <c r="M111" s="635" t="n">
        <f aca="true">IF($A111="S",VTOTALBM,IF($A111=0,0,ROUND(SomaAgrupBM,15-13*ORÇAMENTO!$AF$11)))</f>
        <v>0</v>
      </c>
      <c r="N111" s="219" t="n">
        <f aca="false">O111-M111</f>
        <v>0</v>
      </c>
      <c r="O111" s="210" t="n">
        <f aca="true">IF($A111="S",VTOTALBM,IF($A111=0,0,ROUND(SomaAgrupBM,15-13*ORÇAMENTO!$AF$11)))</f>
        <v>0</v>
      </c>
      <c r="Q111" s="636"/>
      <c r="R111" s="637"/>
      <c r="T111" s="202" t="str">
        <f aca="false">IF($W111&gt;0,$D111,"")</f>
        <v/>
      </c>
      <c r="U111" s="341" t="str">
        <f aca="false">IF($W111&gt;0,$E111,"")</f>
        <v/>
      </c>
      <c r="V111" s="342" t="str">
        <f aca="true">IF(AND($W111&gt;0,RegimeExecucao="Unitário"),$F111,"")</f>
        <v/>
      </c>
      <c r="W111" s="638" t="n">
        <f aca="true">IF($Y111&gt;0,CHOOSE(MATCH(RegimeExecucao,{"Unitário","Global"},0),IF($A111="S",$Y111/$X111,""),($Y111/$X111)*100),0)</f>
        <v>0</v>
      </c>
      <c r="X111" s="639" t="str">
        <f aca="true">IF($Y111&gt;0,CHOOSE(MATCH(RegimeExecucao,{"Unitário","Global"},0),IF($A111="S",ROUND($H111,ORÇAMENTO!$AF$10),""),ROUND($I111,ORÇAMENTO!$AF$11)),"")</f>
        <v/>
      </c>
      <c r="Y111" s="639" t="n">
        <f aca="false">AO111-O111</f>
        <v>0</v>
      </c>
      <c r="Z111" s="640"/>
      <c r="AB111" s="636"/>
      <c r="AC111" s="641"/>
      <c r="AD111" s="641"/>
      <c r="AE111" s="641"/>
      <c r="AF111" s="641"/>
      <c r="AG111" s="641"/>
      <c r="AH111" s="641"/>
      <c r="AI111" s="641"/>
      <c r="AJ111" s="641"/>
      <c r="AK111" s="641"/>
      <c r="AL111" s="641"/>
      <c r="AM111" s="637"/>
      <c r="AO111" s="38" t="n">
        <f aca="true">IF($A111="S",IF(BM!$I111=0,0,CHOOSE(MATCH(RegimeExecucao,{"Global","Unitário"},0),ROUND(ROUND(BM.MEDAcumulado,15-13*BM!$A$9)/100*BM!$I111,15-13*ORÇAMENTO!$AF$11),ROUND(ROUND(BM.MEDAcumulado,15-13*BM!$A$9)*ROUND(BM!$H111,15-13*ORÇAMENTO!$AF$10),15-13*ORÇAMENTO!$AF$11))),IF($A111=0,0,ROUND(SomaAgrupBM,15-13*ORÇAMENTO!$AF$11)))</f>
        <v>0</v>
      </c>
    </row>
    <row r="112" customFormat="false" ht="35.05" hidden="false" customHeight="false" outlineLevel="0" collapsed="false">
      <c r="A112" s="1" t="str">
        <f aca="false">ORÇAMENTO!C112</f>
        <v>S</v>
      </c>
      <c r="B112" s="1" t="n">
        <f aca="false">ORÇAMENTO!D112</f>
        <v>0</v>
      </c>
      <c r="C112" s="199" t="str">
        <f aca="false">IF(OR($I112&gt;0,$A112=1,$A112=2,$A112=3,$A112=4),"F","")</f>
        <v>F</v>
      </c>
      <c r="D112" s="202" t="str">
        <f aca="false">ORÇAMENTO!O112</f>
        <v>1.31.1.</v>
      </c>
      <c r="E112" s="341" t="str">
        <f aca="false">ORÇAMENTO.Descricao</f>
        <v>COMPACTAÇÃO MECÂNICA DE SOLO PARA EXECUÇÃO DE RADIER, PISO DE CONCRETO OU LAJE SOBRE SOLO, COM COMPACTADOR DE SOLOS TIPO PLACA VIBRATÓRIA. AF_09/2021</v>
      </c>
      <c r="F112" s="342" t="str">
        <f aca="true">IF(RegimeExecucao="Global","",ORÇAMENTO.Unidade)</f>
        <v/>
      </c>
      <c r="G112" s="207" t="str">
        <f aca="true">IF(RegimeExecucao="Global","",ORÇAMENTO!T112)</f>
        <v/>
      </c>
      <c r="H112" s="207" t="str">
        <f aca="true">IF(RegimeExecucao="Global","",ORÇAMENTO!W112)</f>
        <v/>
      </c>
      <c r="I112" s="210" t="n">
        <f aca="false">ORÇAMENTO!X112</f>
        <v>333.25</v>
      </c>
      <c r="J112" s="633" t="e">
        <f aca="false" t="array" ref="J112:J112">_xlfn.single(IF($A112="S",IF(CAIXA.Modo,BM.AFAnterior,BM.MEDAnterior),IF(AND(_xlfn.single(RegimeExecucao)="Global",$I112&gt;0,COUNTIF($AB$13:$AM$13,BM.medicao-1)&gt;0),M112/$I112*100,0)))</f>
        <v>#NAME?</v>
      </c>
      <c r="K112" s="207" t="e">
        <f aca="false">L112-J112</f>
        <v>#NAME?</v>
      </c>
      <c r="L112" s="634" t="e">
        <f aca="false" t="array" ref="L112:L112">_xlfn.single(IF($A112="S",IF(CAIXA.Modo,BM.AFAcumulado,BM.MEDAcumulado),IF(AND(_xlfn.single(RegimeExecucao)="Global",$I112&gt;0,COUNTIF($AB$13:$AM$13,BM.medicao)&gt;0),O112/$I112*100,0)))</f>
        <v>#NAME?</v>
      </c>
      <c r="M112" s="635" t="n">
        <f aca="true">IF($A112="S",VTOTALBM,IF($A112=0,0,ROUND(SomaAgrupBM,15-13*ORÇAMENTO!$AF$11)))</f>
        <v>0</v>
      </c>
      <c r="N112" s="219" t="n">
        <f aca="false">O112-M112</f>
        <v>0</v>
      </c>
      <c r="O112" s="210" t="n">
        <f aca="true">IF($A112="S",VTOTALBM,IF($A112=0,0,ROUND(SomaAgrupBM,15-13*ORÇAMENTO!$AF$11)))</f>
        <v>0</v>
      </c>
      <c r="Q112" s="636"/>
      <c r="R112" s="637"/>
      <c r="T112" s="202" t="str">
        <f aca="false">IF($W112&gt;0,$D112,"")</f>
        <v/>
      </c>
      <c r="U112" s="341" t="str">
        <f aca="false">IF($W112&gt;0,$E112,"")</f>
        <v/>
      </c>
      <c r="V112" s="342" t="str">
        <f aca="true">IF(AND($W112&gt;0,RegimeExecucao="Unitário"),$F112,"")</f>
        <v/>
      </c>
      <c r="W112" s="638" t="n">
        <f aca="true">IF($Y112&gt;0,CHOOSE(MATCH(RegimeExecucao,{"Unitário","Global"},0),IF($A112="S",$Y112/$X112,""),($Y112/$X112)*100),0)</f>
        <v>0</v>
      </c>
      <c r="X112" s="639" t="str">
        <f aca="true">IF($Y112&gt;0,CHOOSE(MATCH(RegimeExecucao,{"Unitário","Global"},0),IF($A112="S",ROUND($H112,ORÇAMENTO!$AF$10),""),ROUND($I112,ORÇAMENTO!$AF$11)),"")</f>
        <v/>
      </c>
      <c r="Y112" s="639" t="n">
        <f aca="false">AO112-O112</f>
        <v>0</v>
      </c>
      <c r="Z112" s="640"/>
      <c r="AB112" s="636"/>
      <c r="AC112" s="641"/>
      <c r="AD112" s="641"/>
      <c r="AE112" s="641"/>
      <c r="AF112" s="641"/>
      <c r="AG112" s="641"/>
      <c r="AH112" s="641"/>
      <c r="AI112" s="641"/>
      <c r="AJ112" s="641"/>
      <c r="AK112" s="641"/>
      <c r="AL112" s="641"/>
      <c r="AM112" s="637"/>
      <c r="AO112" s="38" t="n">
        <f aca="true">IF($A112="S",IF(BM!$I112=0,0,CHOOSE(MATCH(RegimeExecucao,{"Global","Unitário"},0),ROUND(ROUND(BM.MEDAcumulado,15-13*BM!$A$9)/100*BM!$I112,15-13*ORÇAMENTO!$AF$11),ROUND(ROUND(BM.MEDAcumulado,15-13*BM!$A$9)*ROUND(BM!$H112,15-13*ORÇAMENTO!$AF$10),15-13*ORÇAMENTO!$AF$11))),IF($A112=0,0,ROUND(SomaAgrupBM,15-13*ORÇAMENTO!$AF$11)))</f>
        <v>0</v>
      </c>
    </row>
    <row r="113" customFormat="false" ht="35.05" hidden="false" customHeight="false" outlineLevel="0" collapsed="false">
      <c r="A113" s="1" t="str">
        <f aca="false">ORÇAMENTO!C113</f>
        <v>S</v>
      </c>
      <c r="B113" s="1" t="n">
        <f aca="false">ORÇAMENTO!D113</f>
        <v>0</v>
      </c>
      <c r="C113" s="199" t="str">
        <f aca="false">IF(OR($I113&gt;0,$A113=1,$A113=2,$A113=3,$A113=4),"F","")</f>
        <v>F</v>
      </c>
      <c r="D113" s="202" t="str">
        <f aca="false">ORÇAMENTO!O113</f>
        <v>1.31.2.</v>
      </c>
      <c r="E113" s="341" t="str">
        <f aca="false">ORÇAMENTO.Descricao</f>
        <v>EXECUÇÃO DE PASSEIO (CALÇADA) OU PISO DE CONCRETO COM CONCRETO MOLDADO IN LOCO, FEITO EM OBRA, ACABAMENTO CONVENCIONAL, NÃO ARMADO. AF_08/2022</v>
      </c>
      <c r="F113" s="342" t="str">
        <f aca="true">IF(RegimeExecucao="Global","",ORÇAMENTO.Unidade)</f>
        <v/>
      </c>
      <c r="G113" s="207" t="str">
        <f aca="true">IF(RegimeExecucao="Global","",ORÇAMENTO!T113)</f>
        <v/>
      </c>
      <c r="H113" s="207" t="str">
        <f aca="true">IF(RegimeExecucao="Global","",ORÇAMENTO!W113)</f>
        <v/>
      </c>
      <c r="I113" s="210" t="n">
        <f aca="false">ORÇAMENTO!X113</f>
        <v>28754.25</v>
      </c>
      <c r="J113" s="633" t="e">
        <f aca="false" t="array" ref="J113:J113">_xlfn.single(IF($A113="S",IF(CAIXA.Modo,BM.AFAnterior,BM.MEDAnterior),IF(AND(_xlfn.single(RegimeExecucao)="Global",$I113&gt;0,COUNTIF($AB$13:$AM$13,BM.medicao-1)&gt;0),M113/$I113*100,0)))</f>
        <v>#NAME?</v>
      </c>
      <c r="K113" s="207" t="e">
        <f aca="false">L113-J113</f>
        <v>#NAME?</v>
      </c>
      <c r="L113" s="634" t="e">
        <f aca="false" t="array" ref="L113:L113">_xlfn.single(IF($A113="S",IF(CAIXA.Modo,BM.AFAcumulado,BM.MEDAcumulado),IF(AND(_xlfn.single(RegimeExecucao)="Global",$I113&gt;0,COUNTIF($AB$13:$AM$13,BM.medicao)&gt;0),O113/$I113*100,0)))</f>
        <v>#NAME?</v>
      </c>
      <c r="M113" s="635" t="n">
        <f aca="true">IF($A113="S",VTOTALBM,IF($A113=0,0,ROUND(SomaAgrupBM,15-13*ORÇAMENTO!$AF$11)))</f>
        <v>0</v>
      </c>
      <c r="N113" s="219" t="n">
        <f aca="false">O113-M113</f>
        <v>0</v>
      </c>
      <c r="O113" s="210" t="n">
        <f aca="true">IF($A113="S",VTOTALBM,IF($A113=0,0,ROUND(SomaAgrupBM,15-13*ORÇAMENTO!$AF$11)))</f>
        <v>0</v>
      </c>
      <c r="Q113" s="636"/>
      <c r="R113" s="637"/>
      <c r="T113" s="202" t="str">
        <f aca="false">IF($W113&gt;0,$D113,"")</f>
        <v/>
      </c>
      <c r="U113" s="341" t="str">
        <f aca="false">IF($W113&gt;0,$E113,"")</f>
        <v/>
      </c>
      <c r="V113" s="342" t="str">
        <f aca="true">IF(AND($W113&gt;0,RegimeExecucao="Unitário"),$F113,"")</f>
        <v/>
      </c>
      <c r="W113" s="638" t="n">
        <f aca="true">IF($Y113&gt;0,CHOOSE(MATCH(RegimeExecucao,{"Unitário","Global"},0),IF($A113="S",$Y113/$X113,""),($Y113/$X113)*100),0)</f>
        <v>0</v>
      </c>
      <c r="X113" s="639" t="str">
        <f aca="true">IF($Y113&gt;0,CHOOSE(MATCH(RegimeExecucao,{"Unitário","Global"},0),IF($A113="S",ROUND($H113,ORÇAMENTO!$AF$10),""),ROUND($I113,ORÇAMENTO!$AF$11)),"")</f>
        <v/>
      </c>
      <c r="Y113" s="639" t="n">
        <f aca="false">AO113-O113</f>
        <v>0</v>
      </c>
      <c r="Z113" s="640"/>
      <c r="AB113" s="636"/>
      <c r="AC113" s="641"/>
      <c r="AD113" s="641"/>
      <c r="AE113" s="641"/>
      <c r="AF113" s="641"/>
      <c r="AG113" s="641"/>
      <c r="AH113" s="641"/>
      <c r="AI113" s="641"/>
      <c r="AJ113" s="641"/>
      <c r="AK113" s="641"/>
      <c r="AL113" s="641"/>
      <c r="AM113" s="637"/>
      <c r="AO113" s="38" t="n">
        <f aca="true">IF($A113="S",IF(BM!$I113=0,0,CHOOSE(MATCH(RegimeExecucao,{"Global","Unitário"},0),ROUND(ROUND(BM.MEDAcumulado,15-13*BM!$A$9)/100*BM!$I113,15-13*ORÇAMENTO!$AF$11),ROUND(ROUND(BM.MEDAcumulado,15-13*BM!$A$9)*ROUND(BM!$H113,15-13*ORÇAMENTO!$AF$10),15-13*ORÇAMENTO!$AF$11))),IF($A113=0,0,ROUND(SomaAgrupBM,15-13*ORÇAMENTO!$AF$11)))</f>
        <v>0</v>
      </c>
    </row>
    <row r="114" customFormat="false" ht="12.75" hidden="false" customHeight="false" outlineLevel="0" collapsed="false">
      <c r="A114" s="1" t="n">
        <f aca="false">ORÇAMENTO!C114</f>
        <v>2</v>
      </c>
      <c r="B114" s="1" t="n">
        <f aca="false">ORÇAMENTO!D114</f>
        <v>3</v>
      </c>
      <c r="C114" s="199" t="str">
        <f aca="false">IF(OR($I114&gt;0,$A114=1,$A114=2,$A114=3,$A114=4),"F","")</f>
        <v>F</v>
      </c>
      <c r="D114" s="202" t="str">
        <f aca="false">ORÇAMENTO!O114</f>
        <v>1.32.</v>
      </c>
      <c r="E114" s="341" t="str">
        <f aca="false">ORÇAMENTO.Descricao</f>
        <v>RODAPÉS, SOLEIRAS E PEITORIS</v>
      </c>
      <c r="F114" s="342" t="str">
        <f aca="true">IF(RegimeExecucao="Global","",ORÇAMENTO.Unidade)</f>
        <v/>
      </c>
      <c r="G114" s="207" t="str">
        <f aca="true">IF(RegimeExecucao="Global","",ORÇAMENTO!T114)</f>
        <v/>
      </c>
      <c r="H114" s="207" t="str">
        <f aca="true">IF(RegimeExecucao="Global","",ORÇAMENTO!W114)</f>
        <v/>
      </c>
      <c r="I114" s="210" t="n">
        <f aca="false">ORÇAMENTO!X114</f>
        <v>23182.5</v>
      </c>
      <c r="J114" s="633" t="e">
        <f aca="false" t="array" ref="J114:J114">_xlfn.single(IF($A114="S",IF(CAIXA.Modo,BM.AFAnterior,BM.MEDAnterior),IF(AND(_xlfn.single(RegimeExecucao)="Global",$I114&gt;0,COUNTIF($AB$13:$AM$13,BM.medicao-1)&gt;0),M114/$I114*100,0)))</f>
        <v>#NAME?</v>
      </c>
      <c r="K114" s="207" t="e">
        <f aca="false">L114-J114</f>
        <v>#NAME?</v>
      </c>
      <c r="L114" s="634" t="e">
        <f aca="false" t="array" ref="L114:L114">_xlfn.single(IF($A114="S",IF(CAIXA.Modo,BM.AFAcumulado,BM.MEDAcumulado),IF(AND(_xlfn.single(RegimeExecucao)="Global",$I114&gt;0,COUNTIF($AB$13:$AM$13,BM.medicao)&gt;0),O114/$I114*100,0)))</f>
        <v>#NAME?</v>
      </c>
      <c r="M114" s="635" t="n">
        <f aca="true">IF($A114="S",VTOTALBM,IF($A114=0,0,ROUND(SomaAgrupBM,15-13*ORÇAMENTO!$AF$11)))</f>
        <v>0</v>
      </c>
      <c r="N114" s="219" t="n">
        <f aca="false">O114-M114</f>
        <v>0</v>
      </c>
      <c r="O114" s="210" t="n">
        <f aca="true">IF($A114="S",VTOTALBM,IF($A114=0,0,ROUND(SomaAgrupBM,15-13*ORÇAMENTO!$AF$11)))</f>
        <v>0</v>
      </c>
      <c r="Q114" s="636"/>
      <c r="R114" s="637"/>
      <c r="T114" s="202" t="str">
        <f aca="false">IF($W114&gt;0,$D114,"")</f>
        <v/>
      </c>
      <c r="U114" s="341" t="str">
        <f aca="false">IF($W114&gt;0,$E114,"")</f>
        <v/>
      </c>
      <c r="V114" s="342" t="str">
        <f aca="true">IF(AND($W114&gt;0,RegimeExecucao="Unitário"),$F114,"")</f>
        <v/>
      </c>
      <c r="W114" s="638" t="n">
        <f aca="true">IF($Y114&gt;0,CHOOSE(MATCH(RegimeExecucao,{"Unitário","Global"},0),IF($A114="S",$Y114/$X114,""),($Y114/$X114)*100),0)</f>
        <v>0</v>
      </c>
      <c r="X114" s="639" t="str">
        <f aca="true">IF($Y114&gt;0,CHOOSE(MATCH(RegimeExecucao,{"Unitário","Global"},0),IF($A114="S",ROUND($H114,ORÇAMENTO!$AF$10),""),ROUND($I114,ORÇAMENTO!$AF$11)),"")</f>
        <v/>
      </c>
      <c r="Y114" s="639" t="n">
        <f aca="false">AO114-O114</f>
        <v>0</v>
      </c>
      <c r="Z114" s="640"/>
      <c r="AB114" s="636"/>
      <c r="AC114" s="641"/>
      <c r="AD114" s="641"/>
      <c r="AE114" s="641"/>
      <c r="AF114" s="641"/>
      <c r="AG114" s="641"/>
      <c r="AH114" s="641"/>
      <c r="AI114" s="641"/>
      <c r="AJ114" s="641"/>
      <c r="AK114" s="641"/>
      <c r="AL114" s="641"/>
      <c r="AM114" s="637"/>
      <c r="AO114" s="38" t="n">
        <f aca="true">IF($A114="S",IF(BM!$I114=0,0,CHOOSE(MATCH(RegimeExecucao,{"Global","Unitário"},0),ROUND(ROUND(BM.MEDAcumulado,15-13*BM!$A$9)/100*BM!$I114,15-13*ORÇAMENTO!$AF$11),ROUND(ROUND(BM.MEDAcumulado,15-13*BM!$A$9)*ROUND(BM!$H114,15-13*ORÇAMENTO!$AF$10),15-13*ORÇAMENTO!$AF$11))),IF($A114=0,0,ROUND(SomaAgrupBM,15-13*ORÇAMENTO!$AF$11)))</f>
        <v>0</v>
      </c>
    </row>
    <row r="115" customFormat="false" ht="23.85" hidden="false" customHeight="false" outlineLevel="0" collapsed="false">
      <c r="A115" s="1" t="str">
        <f aca="false">ORÇAMENTO!C115</f>
        <v>S</v>
      </c>
      <c r="B115" s="1" t="n">
        <f aca="false">ORÇAMENTO!D115</f>
        <v>0</v>
      </c>
      <c r="C115" s="199" t="str">
        <f aca="false">IF(OR($I115&gt;0,$A115=1,$A115=2,$A115=3,$A115=4),"F","")</f>
        <v>F</v>
      </c>
      <c r="D115" s="202" t="str">
        <f aca="false">ORÇAMENTO!O115</f>
        <v>1.32.1.</v>
      </c>
      <c r="E115" s="341" t="str">
        <f aca="false">ORÇAMENTO.Descricao</f>
        <v>RODAPÉ CERÂMICO DE 7CM DE ALTURA COM PLACAS TIPO ESMALTADA DE DIMENSÕES 35X35CM. AF_02/2023</v>
      </c>
      <c r="F115" s="342" t="str">
        <f aca="true">IF(RegimeExecucao="Global","",ORÇAMENTO.Unidade)</f>
        <v/>
      </c>
      <c r="G115" s="207" t="str">
        <f aca="true">IF(RegimeExecucao="Global","",ORÇAMENTO!T115)</f>
        <v/>
      </c>
      <c r="H115" s="207" t="str">
        <f aca="true">IF(RegimeExecucao="Global","",ORÇAMENTO!W115)</f>
        <v/>
      </c>
      <c r="I115" s="210" t="n">
        <f aca="false">ORÇAMENTO!X115</f>
        <v>1134</v>
      </c>
      <c r="J115" s="633" t="e">
        <f aca="false" t="array" ref="J115:J115">_xlfn.single(IF($A115="S",IF(CAIXA.Modo,BM.AFAnterior,BM.MEDAnterior),IF(AND(_xlfn.single(RegimeExecucao)="Global",$I115&gt;0,COUNTIF($AB$13:$AM$13,BM.medicao-1)&gt;0),M115/$I115*100,0)))</f>
        <v>#NAME?</v>
      </c>
      <c r="K115" s="207" t="e">
        <f aca="false">L115-J115</f>
        <v>#NAME?</v>
      </c>
      <c r="L115" s="634" t="e">
        <f aca="false" t="array" ref="L115:L115">_xlfn.single(IF($A115="S",IF(CAIXA.Modo,BM.AFAcumulado,BM.MEDAcumulado),IF(AND(_xlfn.single(RegimeExecucao)="Global",$I115&gt;0,COUNTIF($AB$13:$AM$13,BM.medicao)&gt;0),O115/$I115*100,0)))</f>
        <v>#NAME?</v>
      </c>
      <c r="M115" s="635" t="n">
        <f aca="true">IF($A115="S",VTOTALBM,IF($A115=0,0,ROUND(SomaAgrupBM,15-13*ORÇAMENTO!$AF$11)))</f>
        <v>0</v>
      </c>
      <c r="N115" s="219" t="n">
        <f aca="false">O115-M115</f>
        <v>0</v>
      </c>
      <c r="O115" s="210" t="n">
        <f aca="true">IF($A115="S",VTOTALBM,IF($A115=0,0,ROUND(SomaAgrupBM,15-13*ORÇAMENTO!$AF$11)))</f>
        <v>0</v>
      </c>
      <c r="Q115" s="636"/>
      <c r="R115" s="637"/>
      <c r="T115" s="202" t="str">
        <f aca="false">IF($W115&gt;0,$D115,"")</f>
        <v/>
      </c>
      <c r="U115" s="341" t="str">
        <f aca="false">IF($W115&gt;0,$E115,"")</f>
        <v/>
      </c>
      <c r="V115" s="342" t="str">
        <f aca="true">IF(AND($W115&gt;0,RegimeExecucao="Unitário"),$F115,"")</f>
        <v/>
      </c>
      <c r="W115" s="638" t="n">
        <f aca="true">IF($Y115&gt;0,CHOOSE(MATCH(RegimeExecucao,{"Unitário","Global"},0),IF($A115="S",$Y115/$X115,""),($Y115/$X115)*100),0)</f>
        <v>0</v>
      </c>
      <c r="X115" s="639" t="str">
        <f aca="true">IF($Y115&gt;0,CHOOSE(MATCH(RegimeExecucao,{"Unitário","Global"},0),IF($A115="S",ROUND($H115,ORÇAMENTO!$AF$10),""),ROUND($I115,ORÇAMENTO!$AF$11)),"")</f>
        <v/>
      </c>
      <c r="Y115" s="639" t="n">
        <f aca="false">AO115-O115</f>
        <v>0</v>
      </c>
      <c r="Z115" s="640"/>
      <c r="AB115" s="636"/>
      <c r="AC115" s="641"/>
      <c r="AD115" s="641"/>
      <c r="AE115" s="641"/>
      <c r="AF115" s="641"/>
      <c r="AG115" s="641"/>
      <c r="AH115" s="641"/>
      <c r="AI115" s="641"/>
      <c r="AJ115" s="641"/>
      <c r="AK115" s="641"/>
      <c r="AL115" s="641"/>
      <c r="AM115" s="637"/>
      <c r="AO115" s="38" t="n">
        <f aca="true">IF($A115="S",IF(BM!$I115=0,0,CHOOSE(MATCH(RegimeExecucao,{"Global","Unitário"},0),ROUND(ROUND(BM.MEDAcumulado,15-13*BM!$A$9)/100*BM!$I115,15-13*ORÇAMENTO!$AF$11),ROUND(ROUND(BM.MEDAcumulado,15-13*BM!$A$9)*ROUND(BM!$H115,15-13*ORÇAMENTO!$AF$10),15-13*ORÇAMENTO!$AF$11))),IF($A115=0,0,ROUND(SomaAgrupBM,15-13*ORÇAMENTO!$AF$11)))</f>
        <v>0</v>
      </c>
    </row>
    <row r="116" customFormat="false" ht="23.85" hidden="false" customHeight="false" outlineLevel="0" collapsed="false">
      <c r="A116" s="1" t="str">
        <f aca="false">ORÇAMENTO!C116</f>
        <v>S</v>
      </c>
      <c r="B116" s="1" t="n">
        <f aca="false">ORÇAMENTO!D116</f>
        <v>0</v>
      </c>
      <c r="C116" s="199" t="str">
        <f aca="false">IF(OR($I116&gt;0,$A116=1,$A116=2,$A116=3,$A116=4),"F","")</f>
        <v>F</v>
      </c>
      <c r="D116" s="202" t="str">
        <f aca="false">ORÇAMENTO!O116</f>
        <v>1.32.2.</v>
      </c>
      <c r="E116" s="341" t="str">
        <f aca="false">ORÇAMENTO.Descricao</f>
        <v>PEITORIL LINEAR EM GRANITO OU MÁRMORE, L = 15CM, ASSENTADO COM ARGAMASSA 1:6 COM ADITIVO. AF_11/2020</v>
      </c>
      <c r="F116" s="342" t="str">
        <f aca="true">IF(RegimeExecucao="Global","",ORÇAMENTO.Unidade)</f>
        <v/>
      </c>
      <c r="G116" s="207" t="str">
        <f aca="true">IF(RegimeExecucao="Global","",ORÇAMENTO!T116)</f>
        <v/>
      </c>
      <c r="H116" s="207" t="str">
        <f aca="true">IF(RegimeExecucao="Global","",ORÇAMENTO!W116)</f>
        <v/>
      </c>
      <c r="I116" s="210" t="n">
        <f aca="false">ORÇAMENTO!X116</f>
        <v>22048.5</v>
      </c>
      <c r="J116" s="633" t="e">
        <f aca="false" t="array" ref="J116:J116">_xlfn.single(IF($A116="S",IF(CAIXA.Modo,BM.AFAnterior,BM.MEDAnterior),IF(AND(_xlfn.single(RegimeExecucao)="Global",$I116&gt;0,COUNTIF($AB$13:$AM$13,BM.medicao-1)&gt;0),M116/$I116*100,0)))</f>
        <v>#NAME?</v>
      </c>
      <c r="K116" s="207" t="e">
        <f aca="false">L116-J116</f>
        <v>#NAME?</v>
      </c>
      <c r="L116" s="634" t="e">
        <f aca="false" t="array" ref="L116:L116">_xlfn.single(IF($A116="S",IF(CAIXA.Modo,BM.AFAcumulado,BM.MEDAcumulado),IF(AND(_xlfn.single(RegimeExecucao)="Global",$I116&gt;0,COUNTIF($AB$13:$AM$13,BM.medicao)&gt;0),O116/$I116*100,0)))</f>
        <v>#NAME?</v>
      </c>
      <c r="M116" s="635" t="n">
        <f aca="true">IF($A116="S",VTOTALBM,IF($A116=0,0,ROUND(SomaAgrupBM,15-13*ORÇAMENTO!$AF$11)))</f>
        <v>0</v>
      </c>
      <c r="N116" s="219" t="n">
        <f aca="false">O116-M116</f>
        <v>0</v>
      </c>
      <c r="O116" s="210" t="n">
        <f aca="true">IF($A116="S",VTOTALBM,IF($A116=0,0,ROUND(SomaAgrupBM,15-13*ORÇAMENTO!$AF$11)))</f>
        <v>0</v>
      </c>
      <c r="Q116" s="636"/>
      <c r="R116" s="637"/>
      <c r="T116" s="202" t="str">
        <f aca="false">IF($W116&gt;0,$D116,"")</f>
        <v/>
      </c>
      <c r="U116" s="341" t="str">
        <f aca="false">IF($W116&gt;0,$E116,"")</f>
        <v/>
      </c>
      <c r="V116" s="342" t="str">
        <f aca="true">IF(AND($W116&gt;0,RegimeExecucao="Unitário"),$F116,"")</f>
        <v/>
      </c>
      <c r="W116" s="638" t="n">
        <f aca="true">IF($Y116&gt;0,CHOOSE(MATCH(RegimeExecucao,{"Unitário","Global"},0),IF($A116="S",$Y116/$X116,""),($Y116/$X116)*100),0)</f>
        <v>0</v>
      </c>
      <c r="X116" s="639" t="str">
        <f aca="true">IF($Y116&gt;0,CHOOSE(MATCH(RegimeExecucao,{"Unitário","Global"},0),IF($A116="S",ROUND($H116,ORÇAMENTO!$AF$10),""),ROUND($I116,ORÇAMENTO!$AF$11)),"")</f>
        <v/>
      </c>
      <c r="Y116" s="639" t="n">
        <f aca="false">AO116-O116</f>
        <v>0</v>
      </c>
      <c r="Z116" s="640"/>
      <c r="AB116" s="636"/>
      <c r="AC116" s="641"/>
      <c r="AD116" s="641"/>
      <c r="AE116" s="641"/>
      <c r="AF116" s="641"/>
      <c r="AG116" s="641"/>
      <c r="AH116" s="641"/>
      <c r="AI116" s="641"/>
      <c r="AJ116" s="641"/>
      <c r="AK116" s="641"/>
      <c r="AL116" s="641"/>
      <c r="AM116" s="637"/>
      <c r="AO116" s="38" t="n">
        <f aca="true">IF($A116="S",IF(BM!$I116=0,0,CHOOSE(MATCH(RegimeExecucao,{"Global","Unitário"},0),ROUND(ROUND(BM.MEDAcumulado,15-13*BM!$A$9)/100*BM!$I116,15-13*ORÇAMENTO!$AF$11),ROUND(ROUND(BM.MEDAcumulado,15-13*BM!$A$9)*ROUND(BM!$H116,15-13*ORÇAMENTO!$AF$10),15-13*ORÇAMENTO!$AF$11))),IF($A116=0,0,ROUND(SomaAgrupBM,15-13*ORÇAMENTO!$AF$11)))</f>
        <v>0</v>
      </c>
    </row>
    <row r="117" customFormat="false" ht="12.75" hidden="false" customHeight="false" outlineLevel="0" collapsed="false">
      <c r="A117" s="1" t="n">
        <f aca="false">ORÇAMENTO!C117</f>
        <v>2</v>
      </c>
      <c r="B117" s="1" t="n">
        <f aca="false">ORÇAMENTO!D117</f>
        <v>1</v>
      </c>
      <c r="C117" s="199" t="str">
        <f aca="false">IF(OR($I117&gt;0,$A117=1,$A117=2,$A117=3,$A117=4),"F","")</f>
        <v>F</v>
      </c>
      <c r="D117" s="202" t="str">
        <f aca="false">ORÇAMENTO!O117</f>
        <v>1.33.</v>
      </c>
      <c r="E117" s="341" t="str">
        <f aca="false">ORÇAMENTO.Descricao</f>
        <v>PAVIMENTAÇÕES ESPECIAIS</v>
      </c>
      <c r="F117" s="342" t="str">
        <f aca="true">IF(RegimeExecucao="Global","",ORÇAMENTO.Unidade)</f>
        <v/>
      </c>
      <c r="G117" s="207" t="str">
        <f aca="true">IF(RegimeExecucao="Global","",ORÇAMENTO!T117)</f>
        <v/>
      </c>
      <c r="H117" s="207" t="str">
        <f aca="true">IF(RegimeExecucao="Global","",ORÇAMENTO!W117)</f>
        <v/>
      </c>
      <c r="I117" s="210" t="n">
        <f aca="false">ORÇAMENTO!X117</f>
        <v>0</v>
      </c>
      <c r="J117" s="633" t="e">
        <f aca="false" t="array" ref="J117:J117">_xlfn.single(IF($A117="S",IF(CAIXA.Modo,BM.AFAnterior,BM.MEDAnterior),IF(AND(_xlfn.single(RegimeExecucao)="Global",$I117&gt;0,COUNTIF($AB$13:$AM$13,BM.medicao-1)&gt;0),M117/$I117*100,0)))</f>
        <v>#NAME?</v>
      </c>
      <c r="K117" s="207" t="e">
        <f aca="false">L117-J117</f>
        <v>#NAME?</v>
      </c>
      <c r="L117" s="634" t="e">
        <f aca="false" t="array" ref="L117:L117">_xlfn.single(IF($A117="S",IF(CAIXA.Modo,BM.AFAcumulado,BM.MEDAcumulado),IF(AND(_xlfn.single(RegimeExecucao)="Global",$I117&gt;0,COUNTIF($AB$13:$AM$13,BM.medicao)&gt;0),O117/$I117*100,0)))</f>
        <v>#NAME?</v>
      </c>
      <c r="M117" s="635" t="n">
        <f aca="true">IF($A117="S",VTOTALBM,IF($A117=0,0,ROUND(SomaAgrupBM,15-13*ORÇAMENTO!$AF$11)))</f>
        <v>0</v>
      </c>
      <c r="N117" s="219" t="n">
        <f aca="false">O117-M117</f>
        <v>0</v>
      </c>
      <c r="O117" s="210" t="n">
        <f aca="true">IF($A117="S",VTOTALBM,IF($A117=0,0,ROUND(SomaAgrupBM,15-13*ORÇAMENTO!$AF$11)))</f>
        <v>0</v>
      </c>
      <c r="Q117" s="636"/>
      <c r="R117" s="637"/>
      <c r="T117" s="202" t="str">
        <f aca="false">IF($W117&gt;0,$D117,"")</f>
        <v/>
      </c>
      <c r="U117" s="341" t="str">
        <f aca="false">IF($W117&gt;0,$E117,"")</f>
        <v/>
      </c>
      <c r="V117" s="342" t="str">
        <f aca="true">IF(AND($W117&gt;0,RegimeExecucao="Unitário"),$F117,"")</f>
        <v/>
      </c>
      <c r="W117" s="638" t="n">
        <f aca="true">IF($Y117&gt;0,CHOOSE(MATCH(RegimeExecucao,{"Unitário","Global"},0),IF($A117="S",$Y117/$X117,""),($Y117/$X117)*100),0)</f>
        <v>0</v>
      </c>
      <c r="X117" s="639" t="str">
        <f aca="true">IF($Y117&gt;0,CHOOSE(MATCH(RegimeExecucao,{"Unitário","Global"},0),IF($A117="S",ROUND($H117,ORÇAMENTO!$AF$10),""),ROUND($I117,ORÇAMENTO!$AF$11)),"")</f>
        <v/>
      </c>
      <c r="Y117" s="639" t="n">
        <f aca="false">AO117-O117</f>
        <v>0</v>
      </c>
      <c r="Z117" s="640"/>
      <c r="AB117" s="636"/>
      <c r="AC117" s="641"/>
      <c r="AD117" s="641"/>
      <c r="AE117" s="641"/>
      <c r="AF117" s="641"/>
      <c r="AG117" s="641"/>
      <c r="AH117" s="641"/>
      <c r="AI117" s="641"/>
      <c r="AJ117" s="641"/>
      <c r="AK117" s="641"/>
      <c r="AL117" s="641"/>
      <c r="AM117" s="637"/>
      <c r="AO117" s="38" t="n">
        <f aca="true">IF($A117="S",IF(BM!$I117=0,0,CHOOSE(MATCH(RegimeExecucao,{"Global","Unitário"},0),ROUND(ROUND(BM.MEDAcumulado,15-13*BM!$A$9)/100*BM!$I117,15-13*ORÇAMENTO!$AF$11),ROUND(ROUND(BM.MEDAcumulado,15-13*BM!$A$9)*ROUND(BM!$H117,15-13*ORÇAMENTO!$AF$10),15-13*ORÇAMENTO!$AF$11))),IF($A117=0,0,ROUND(SomaAgrupBM,15-13*ORÇAMENTO!$AF$11)))</f>
        <v>0</v>
      </c>
    </row>
    <row r="118" customFormat="false" ht="12.75" hidden="false" customHeight="false" outlineLevel="0" collapsed="false">
      <c r="A118" s="1" t="n">
        <f aca="false">ORÇAMENTO!C118</f>
        <v>2</v>
      </c>
      <c r="B118" s="1" t="n">
        <f aca="false">ORÇAMENTO!D118</f>
        <v>1</v>
      </c>
      <c r="C118" s="199" t="str">
        <f aca="false">IF(OR($I118&gt;0,$A118=1,$A118=2,$A118=3,$A118=4),"F","")</f>
        <v>F</v>
      </c>
      <c r="D118" s="202" t="str">
        <f aca="false">ORÇAMENTO!O118</f>
        <v>1.34.</v>
      </c>
      <c r="E118" s="341" t="str">
        <f aca="false">ORÇAMENTO.Descricao</f>
        <v>INSTALAÇÕES</v>
      </c>
      <c r="F118" s="342" t="str">
        <f aca="true">IF(RegimeExecucao="Global","",ORÇAMENTO.Unidade)</f>
        <v/>
      </c>
      <c r="G118" s="207" t="str">
        <f aca="true">IF(RegimeExecucao="Global","",ORÇAMENTO!T118)</f>
        <v/>
      </c>
      <c r="H118" s="207" t="str">
        <f aca="true">IF(RegimeExecucao="Global","",ORÇAMENTO!W118)</f>
        <v/>
      </c>
      <c r="I118" s="210" t="n">
        <f aca="false">ORÇAMENTO!X118</f>
        <v>0</v>
      </c>
      <c r="J118" s="633" t="e">
        <f aca="false" t="array" ref="J118:J118">_xlfn.single(IF($A118="S",IF(CAIXA.Modo,BM.AFAnterior,BM.MEDAnterior),IF(AND(_xlfn.single(RegimeExecucao)="Global",$I118&gt;0,COUNTIF($AB$13:$AM$13,BM.medicao-1)&gt;0),M118/$I118*100,0)))</f>
        <v>#NAME?</v>
      </c>
      <c r="K118" s="207" t="e">
        <f aca="false">L118-J118</f>
        <v>#NAME?</v>
      </c>
      <c r="L118" s="634" t="e">
        <f aca="false" t="array" ref="L118:L118">_xlfn.single(IF($A118="S",IF(CAIXA.Modo,BM.AFAcumulado,BM.MEDAcumulado),IF(AND(_xlfn.single(RegimeExecucao)="Global",$I118&gt;0,COUNTIF($AB$13:$AM$13,BM.medicao)&gt;0),O118/$I118*100,0)))</f>
        <v>#NAME?</v>
      </c>
      <c r="M118" s="635" t="n">
        <f aca="true">IF($A118="S",VTOTALBM,IF($A118=0,0,ROUND(SomaAgrupBM,15-13*ORÇAMENTO!$AF$11)))</f>
        <v>0</v>
      </c>
      <c r="N118" s="219" t="n">
        <f aca="false">O118-M118</f>
        <v>0</v>
      </c>
      <c r="O118" s="210" t="n">
        <f aca="true">IF($A118="S",VTOTALBM,IF($A118=0,0,ROUND(SomaAgrupBM,15-13*ORÇAMENTO!$AF$11)))</f>
        <v>0</v>
      </c>
      <c r="Q118" s="636"/>
      <c r="R118" s="637"/>
      <c r="T118" s="202" t="str">
        <f aca="false">IF($W118&gt;0,$D118,"")</f>
        <v/>
      </c>
      <c r="U118" s="341" t="str">
        <f aca="false">IF($W118&gt;0,$E118,"")</f>
        <v/>
      </c>
      <c r="V118" s="342" t="str">
        <f aca="true">IF(AND($W118&gt;0,RegimeExecucao="Unitário"),$F118,"")</f>
        <v/>
      </c>
      <c r="W118" s="638" t="n">
        <f aca="true">IF($Y118&gt;0,CHOOSE(MATCH(RegimeExecucao,{"Unitário","Global"},0),IF($A118="S",$Y118/$X118,""),($Y118/$X118)*100),0)</f>
        <v>0</v>
      </c>
      <c r="X118" s="639" t="str">
        <f aca="true">IF($Y118&gt;0,CHOOSE(MATCH(RegimeExecucao,{"Unitário","Global"},0),IF($A118="S",ROUND($H118,ORÇAMENTO!$AF$10),""),ROUND($I118,ORÇAMENTO!$AF$11)),"")</f>
        <v/>
      </c>
      <c r="Y118" s="639" t="n">
        <f aca="false">AO118-O118</f>
        <v>0</v>
      </c>
      <c r="Z118" s="640"/>
      <c r="AB118" s="636"/>
      <c r="AC118" s="641"/>
      <c r="AD118" s="641"/>
      <c r="AE118" s="641"/>
      <c r="AF118" s="641"/>
      <c r="AG118" s="641"/>
      <c r="AH118" s="641"/>
      <c r="AI118" s="641"/>
      <c r="AJ118" s="641"/>
      <c r="AK118" s="641"/>
      <c r="AL118" s="641"/>
      <c r="AM118" s="637"/>
      <c r="AO118" s="38" t="n">
        <f aca="true">IF($A118="S",IF(BM!$I118=0,0,CHOOSE(MATCH(RegimeExecucao,{"Global","Unitário"},0),ROUND(ROUND(BM.MEDAcumulado,15-13*BM!$A$9)/100*BM!$I118,15-13*ORÇAMENTO!$AF$11),ROUND(ROUND(BM.MEDAcumulado,15-13*BM!$A$9)*ROUND(BM!$H118,15-13*ORÇAMENTO!$AF$10),15-13*ORÇAMENTO!$AF$11))),IF($A118=0,0,ROUND(SomaAgrupBM,15-13*ORÇAMENTO!$AF$11)))</f>
        <v>0</v>
      </c>
    </row>
    <row r="119" customFormat="false" ht="12.75" hidden="false" customHeight="false" outlineLevel="0" collapsed="false">
      <c r="A119" s="1" t="n">
        <f aca="false">ORÇAMENTO!C119</f>
        <v>2</v>
      </c>
      <c r="B119" s="1" t="n">
        <f aca="false">ORÇAMENTO!D119</f>
        <v>1</v>
      </c>
      <c r="C119" s="199" t="str">
        <f aca="false">IF(OR($I119&gt;0,$A119=1,$A119=2,$A119=3,$A119=4),"F","")</f>
        <v>F</v>
      </c>
      <c r="D119" s="202" t="str">
        <f aca="false">ORÇAMENTO!O119</f>
        <v>1.35.</v>
      </c>
      <c r="E119" s="341" t="str">
        <f aca="false">ORÇAMENTO.Descricao</f>
        <v>ELÉTRICAS / TELEFÔNICAS</v>
      </c>
      <c r="F119" s="342" t="str">
        <f aca="true">IF(RegimeExecucao="Global","",ORÇAMENTO.Unidade)</f>
        <v/>
      </c>
      <c r="G119" s="207" t="str">
        <f aca="true">IF(RegimeExecucao="Global","",ORÇAMENTO!T119)</f>
        <v/>
      </c>
      <c r="H119" s="207" t="str">
        <f aca="true">IF(RegimeExecucao="Global","",ORÇAMENTO!W119)</f>
        <v/>
      </c>
      <c r="I119" s="210" t="n">
        <f aca="false">ORÇAMENTO!X119</f>
        <v>0</v>
      </c>
      <c r="J119" s="633" t="e">
        <f aca="false" t="array" ref="J119:J119">_xlfn.single(IF($A119="S",IF(CAIXA.Modo,BM.AFAnterior,BM.MEDAnterior),IF(AND(_xlfn.single(RegimeExecucao)="Global",$I119&gt;0,COUNTIF($AB$13:$AM$13,BM.medicao-1)&gt;0),M119/$I119*100,0)))</f>
        <v>#NAME?</v>
      </c>
      <c r="K119" s="207" t="e">
        <f aca="false">L119-J119</f>
        <v>#NAME?</v>
      </c>
      <c r="L119" s="634" t="e">
        <f aca="false" t="array" ref="L119:L119">_xlfn.single(IF($A119="S",IF(CAIXA.Modo,BM.AFAcumulado,BM.MEDAcumulado),IF(AND(_xlfn.single(RegimeExecucao)="Global",$I119&gt;0,COUNTIF($AB$13:$AM$13,BM.medicao)&gt;0),O119/$I119*100,0)))</f>
        <v>#NAME?</v>
      </c>
      <c r="M119" s="635" t="n">
        <f aca="true">IF($A119="S",VTOTALBM,IF($A119=0,0,ROUND(SomaAgrupBM,15-13*ORÇAMENTO!$AF$11)))</f>
        <v>0</v>
      </c>
      <c r="N119" s="219" t="n">
        <f aca="false">O119-M119</f>
        <v>0</v>
      </c>
      <c r="O119" s="210" t="n">
        <f aca="true">IF($A119="S",VTOTALBM,IF($A119=0,0,ROUND(SomaAgrupBM,15-13*ORÇAMENTO!$AF$11)))</f>
        <v>0</v>
      </c>
      <c r="Q119" s="636"/>
      <c r="R119" s="637"/>
      <c r="T119" s="202" t="str">
        <f aca="false">IF($W119&gt;0,$D119,"")</f>
        <v/>
      </c>
      <c r="U119" s="341" t="str">
        <f aca="false">IF($W119&gt;0,$E119,"")</f>
        <v/>
      </c>
      <c r="V119" s="342" t="str">
        <f aca="true">IF(AND($W119&gt;0,RegimeExecucao="Unitário"),$F119,"")</f>
        <v/>
      </c>
      <c r="W119" s="638" t="n">
        <f aca="true">IF($Y119&gt;0,CHOOSE(MATCH(RegimeExecucao,{"Unitário","Global"},0),IF($A119="S",$Y119/$X119,""),($Y119/$X119)*100),0)</f>
        <v>0</v>
      </c>
      <c r="X119" s="639" t="str">
        <f aca="true">IF($Y119&gt;0,CHOOSE(MATCH(RegimeExecucao,{"Unitário","Global"},0),IF($A119="S",ROUND($H119,ORÇAMENTO!$AF$10),""),ROUND($I119,ORÇAMENTO!$AF$11)),"")</f>
        <v/>
      </c>
      <c r="Y119" s="639" t="n">
        <f aca="false">AO119-O119</f>
        <v>0</v>
      </c>
      <c r="Z119" s="640"/>
      <c r="AB119" s="636"/>
      <c r="AC119" s="641"/>
      <c r="AD119" s="641"/>
      <c r="AE119" s="641"/>
      <c r="AF119" s="641"/>
      <c r="AG119" s="641"/>
      <c r="AH119" s="641"/>
      <c r="AI119" s="641"/>
      <c r="AJ119" s="641"/>
      <c r="AK119" s="641"/>
      <c r="AL119" s="641"/>
      <c r="AM119" s="637"/>
      <c r="AO119" s="38" t="n">
        <f aca="true">IF($A119="S",IF(BM!$I119=0,0,CHOOSE(MATCH(RegimeExecucao,{"Global","Unitário"},0),ROUND(ROUND(BM.MEDAcumulado,15-13*BM!$A$9)/100*BM!$I119,15-13*ORÇAMENTO!$AF$11),ROUND(ROUND(BM.MEDAcumulado,15-13*BM!$A$9)*ROUND(BM!$H119,15-13*ORÇAMENTO!$AF$10),15-13*ORÇAMENTO!$AF$11))),IF($A119=0,0,ROUND(SomaAgrupBM,15-13*ORÇAMENTO!$AF$11)))</f>
        <v>0</v>
      </c>
    </row>
    <row r="120" customFormat="false" ht="12.75" hidden="false" customHeight="false" outlineLevel="0" collapsed="false">
      <c r="A120" s="1" t="n">
        <f aca="false">ORÇAMENTO!C120</f>
        <v>2</v>
      </c>
      <c r="B120" s="1" t="n">
        <f aca="false">ORÇAMENTO!D120</f>
        <v>6</v>
      </c>
      <c r="C120" s="199" t="str">
        <f aca="false">IF(OR($I120&gt;0,$A120=1,$A120=2,$A120=3,$A120=4),"F","")</f>
        <v>F</v>
      </c>
      <c r="D120" s="202" t="str">
        <f aca="false">ORÇAMENTO!O120</f>
        <v>1.36.</v>
      </c>
      <c r="E120" s="341" t="str">
        <f aca="false">ORÇAMENTO.Descricao</f>
        <v>CENTRO DE DISTRIBUIÇÃO</v>
      </c>
      <c r="F120" s="342" t="str">
        <f aca="true">IF(RegimeExecucao="Global","",ORÇAMENTO.Unidade)</f>
        <v/>
      </c>
      <c r="G120" s="207" t="str">
        <f aca="true">IF(RegimeExecucao="Global","",ORÇAMENTO!T120)</f>
        <v/>
      </c>
      <c r="H120" s="207" t="str">
        <f aca="true">IF(RegimeExecucao="Global","",ORÇAMENTO!W120)</f>
        <v/>
      </c>
      <c r="I120" s="210" t="n">
        <f aca="false">ORÇAMENTO!X120</f>
        <v>67801.5</v>
      </c>
      <c r="J120" s="633" t="e">
        <f aca="false" t="array" ref="J120:J120">_xlfn.single(IF($A120="S",IF(CAIXA.Modo,BM.AFAnterior,BM.MEDAnterior),IF(AND(_xlfn.single(RegimeExecucao)="Global",$I120&gt;0,COUNTIF($AB$13:$AM$13,BM.medicao-1)&gt;0),M120/$I120*100,0)))</f>
        <v>#NAME?</v>
      </c>
      <c r="K120" s="207" t="e">
        <f aca="false">L120-J120</f>
        <v>#NAME?</v>
      </c>
      <c r="L120" s="634" t="e">
        <f aca="false" t="array" ref="L120:L120">_xlfn.single(IF($A120="S",IF(CAIXA.Modo,BM.AFAcumulado,BM.MEDAcumulado),IF(AND(_xlfn.single(RegimeExecucao)="Global",$I120&gt;0,COUNTIF($AB$13:$AM$13,BM.medicao)&gt;0),O120/$I120*100,0)))</f>
        <v>#NAME?</v>
      </c>
      <c r="M120" s="635" t="n">
        <f aca="true">IF($A120="S",VTOTALBM,IF($A120=0,0,ROUND(SomaAgrupBM,15-13*ORÇAMENTO!$AF$11)))</f>
        <v>0</v>
      </c>
      <c r="N120" s="219" t="n">
        <f aca="false">O120-M120</f>
        <v>0</v>
      </c>
      <c r="O120" s="210" t="n">
        <f aca="true">IF($A120="S",VTOTALBM,IF($A120=0,0,ROUND(SomaAgrupBM,15-13*ORÇAMENTO!$AF$11)))</f>
        <v>0</v>
      </c>
      <c r="Q120" s="636"/>
      <c r="R120" s="637"/>
      <c r="T120" s="202" t="str">
        <f aca="false">IF($W120&gt;0,$D120,"")</f>
        <v/>
      </c>
      <c r="U120" s="341" t="str">
        <f aca="false">IF($W120&gt;0,$E120,"")</f>
        <v/>
      </c>
      <c r="V120" s="342" t="str">
        <f aca="true">IF(AND($W120&gt;0,RegimeExecucao="Unitário"),$F120,"")</f>
        <v/>
      </c>
      <c r="W120" s="638" t="n">
        <f aca="true">IF($Y120&gt;0,CHOOSE(MATCH(RegimeExecucao,{"Unitário","Global"},0),IF($A120="S",$Y120/$X120,""),($Y120/$X120)*100),0)</f>
        <v>0</v>
      </c>
      <c r="X120" s="639" t="str">
        <f aca="true">IF($Y120&gt;0,CHOOSE(MATCH(RegimeExecucao,{"Unitário","Global"},0),IF($A120="S",ROUND($H120,ORÇAMENTO!$AF$10),""),ROUND($I120,ORÇAMENTO!$AF$11)),"")</f>
        <v/>
      </c>
      <c r="Y120" s="639" t="n">
        <f aca="false">AO120-O120</f>
        <v>0</v>
      </c>
      <c r="Z120" s="640"/>
      <c r="AB120" s="636"/>
      <c r="AC120" s="641"/>
      <c r="AD120" s="641"/>
      <c r="AE120" s="641"/>
      <c r="AF120" s="641"/>
      <c r="AG120" s="641"/>
      <c r="AH120" s="641"/>
      <c r="AI120" s="641"/>
      <c r="AJ120" s="641"/>
      <c r="AK120" s="641"/>
      <c r="AL120" s="641"/>
      <c r="AM120" s="637"/>
      <c r="AO120" s="38" t="n">
        <f aca="true">IF($A120="S",IF(BM!$I120=0,0,CHOOSE(MATCH(RegimeExecucao,{"Global","Unitário"},0),ROUND(ROUND(BM.MEDAcumulado,15-13*BM!$A$9)/100*BM!$I120,15-13*ORÇAMENTO!$AF$11),ROUND(ROUND(BM.MEDAcumulado,15-13*BM!$A$9)*ROUND(BM!$H120,15-13*ORÇAMENTO!$AF$10),15-13*ORÇAMENTO!$AF$11))),IF($A120=0,0,ROUND(SomaAgrupBM,15-13*ORÇAMENTO!$AF$11)))</f>
        <v>0</v>
      </c>
    </row>
    <row r="121" customFormat="false" ht="23.85" hidden="false" customHeight="false" outlineLevel="0" collapsed="false">
      <c r="A121" s="1" t="str">
        <f aca="false">ORÇAMENTO!C121</f>
        <v>S</v>
      </c>
      <c r="B121" s="1" t="n">
        <f aca="false">ORÇAMENTO!D121</f>
        <v>0</v>
      </c>
      <c r="C121" s="199" t="str">
        <f aca="false">IF(OR($I121&gt;0,$A121=1,$A121=2,$A121=3,$A121=4),"F","")</f>
        <v>F</v>
      </c>
      <c r="D121" s="202" t="str">
        <f aca="false">ORÇAMENTO!O121</f>
        <v>1.36.1.</v>
      </c>
      <c r="E121" s="341" t="str">
        <f aca="false">ORÇAMENTO.Descricao</f>
        <v>DISJUNTOR MONOPOLAR TIPO DIN, CORRENTE NOMINAL DE 10A - FORNECIMENTO E INSTALAÇÃO. AF_07/2025</v>
      </c>
      <c r="F121" s="342" t="str">
        <f aca="true">IF(RegimeExecucao="Global","",ORÇAMENTO.Unidade)</f>
        <v/>
      </c>
      <c r="G121" s="207" t="str">
        <f aca="true">IF(RegimeExecucao="Global","",ORÇAMENTO!T121)</f>
        <v/>
      </c>
      <c r="H121" s="207" t="str">
        <f aca="true">IF(RegimeExecucao="Global","",ORÇAMENTO!W121)</f>
        <v/>
      </c>
      <c r="I121" s="210" t="n">
        <f aca="false">ORÇAMENTO!X121</f>
        <v>465.75</v>
      </c>
      <c r="J121" s="633" t="e">
        <f aca="false" t="array" ref="J121:J121">_xlfn.single(IF($A121="S",IF(CAIXA.Modo,BM.AFAnterior,BM.MEDAnterior),IF(AND(_xlfn.single(RegimeExecucao)="Global",$I121&gt;0,COUNTIF($AB$13:$AM$13,BM.medicao-1)&gt;0),M121/$I121*100,0)))</f>
        <v>#NAME?</v>
      </c>
      <c r="K121" s="207" t="e">
        <f aca="false">L121-J121</f>
        <v>#NAME?</v>
      </c>
      <c r="L121" s="634" t="e">
        <f aca="false" t="array" ref="L121:L121">_xlfn.single(IF($A121="S",IF(CAIXA.Modo,BM.AFAcumulado,BM.MEDAcumulado),IF(AND(_xlfn.single(RegimeExecucao)="Global",$I121&gt;0,COUNTIF($AB$13:$AM$13,BM.medicao)&gt;0),O121/$I121*100,0)))</f>
        <v>#NAME?</v>
      </c>
      <c r="M121" s="635" t="n">
        <f aca="true">IF($A121="S",VTOTALBM,IF($A121=0,0,ROUND(SomaAgrupBM,15-13*ORÇAMENTO!$AF$11)))</f>
        <v>0</v>
      </c>
      <c r="N121" s="219" t="n">
        <f aca="false">O121-M121</f>
        <v>0</v>
      </c>
      <c r="O121" s="210" t="n">
        <f aca="true">IF($A121="S",VTOTALBM,IF($A121=0,0,ROUND(SomaAgrupBM,15-13*ORÇAMENTO!$AF$11)))</f>
        <v>0</v>
      </c>
      <c r="Q121" s="636"/>
      <c r="R121" s="637"/>
      <c r="T121" s="202" t="str">
        <f aca="false">IF($W121&gt;0,$D121,"")</f>
        <v/>
      </c>
      <c r="U121" s="341" t="str">
        <f aca="false">IF($W121&gt;0,$E121,"")</f>
        <v/>
      </c>
      <c r="V121" s="342" t="str">
        <f aca="true">IF(AND($W121&gt;0,RegimeExecucao="Unitário"),$F121,"")</f>
        <v/>
      </c>
      <c r="W121" s="638" t="n">
        <f aca="true">IF($Y121&gt;0,CHOOSE(MATCH(RegimeExecucao,{"Unitário","Global"},0),IF($A121="S",$Y121/$X121,""),($Y121/$X121)*100),0)</f>
        <v>0</v>
      </c>
      <c r="X121" s="639" t="str">
        <f aca="true">IF($Y121&gt;0,CHOOSE(MATCH(RegimeExecucao,{"Unitário","Global"},0),IF($A121="S",ROUND($H121,ORÇAMENTO!$AF$10),""),ROUND($I121,ORÇAMENTO!$AF$11)),"")</f>
        <v/>
      </c>
      <c r="Y121" s="639" t="n">
        <f aca="false">AO121-O121</f>
        <v>0</v>
      </c>
      <c r="Z121" s="640"/>
      <c r="AB121" s="636"/>
      <c r="AC121" s="641"/>
      <c r="AD121" s="641"/>
      <c r="AE121" s="641"/>
      <c r="AF121" s="641"/>
      <c r="AG121" s="641"/>
      <c r="AH121" s="641"/>
      <c r="AI121" s="641"/>
      <c r="AJ121" s="641"/>
      <c r="AK121" s="641"/>
      <c r="AL121" s="641"/>
      <c r="AM121" s="637"/>
      <c r="AO121" s="38" t="n">
        <f aca="true">IF($A121="S",IF(BM!$I121=0,0,CHOOSE(MATCH(RegimeExecucao,{"Global","Unitário"},0),ROUND(ROUND(BM.MEDAcumulado,15-13*BM!$A$9)/100*BM!$I121,15-13*ORÇAMENTO!$AF$11),ROUND(ROUND(BM.MEDAcumulado,15-13*BM!$A$9)*ROUND(BM!$H121,15-13*ORÇAMENTO!$AF$10),15-13*ORÇAMENTO!$AF$11))),IF($A121=0,0,ROUND(SomaAgrupBM,15-13*ORÇAMENTO!$AF$11)))</f>
        <v>0</v>
      </c>
    </row>
    <row r="122" customFormat="false" ht="23.85" hidden="false" customHeight="false" outlineLevel="0" collapsed="false">
      <c r="A122" s="1" t="str">
        <f aca="false">ORÇAMENTO!C122</f>
        <v>S</v>
      </c>
      <c r="B122" s="1" t="n">
        <f aca="false">ORÇAMENTO!D122</f>
        <v>0</v>
      </c>
      <c r="C122" s="199" t="str">
        <f aca="false">IF(OR($I122&gt;0,$A122=1,$A122=2,$A122=3,$A122=4),"F","")</f>
        <v>F</v>
      </c>
      <c r="D122" s="202" t="str">
        <f aca="false">ORÇAMENTO!O122</f>
        <v>1.36.2.</v>
      </c>
      <c r="E122" s="341" t="str">
        <f aca="false">ORÇAMENTO.Descricao</f>
        <v>DISJUNTOR MONOPOLAR TIPO DIN, CORRENTE NOMINAL DE 20A - FORNECIMENTO E INSTALAÇÃO. AF_07/2025</v>
      </c>
      <c r="F122" s="342" t="str">
        <f aca="true">IF(RegimeExecucao="Global","",ORÇAMENTO.Unidade)</f>
        <v/>
      </c>
      <c r="G122" s="207" t="str">
        <f aca="true">IF(RegimeExecucao="Global","",ORÇAMENTO!T122)</f>
        <v/>
      </c>
      <c r="H122" s="207" t="str">
        <f aca="true">IF(RegimeExecucao="Global","",ORÇAMENTO!W122)</f>
        <v/>
      </c>
      <c r="I122" s="210" t="n">
        <f aca="false">ORÇAMENTO!X122</f>
        <v>1496.25</v>
      </c>
      <c r="J122" s="633" t="e">
        <f aca="false" t="array" ref="J122:J122">_xlfn.single(IF($A122="S",IF(CAIXA.Modo,BM.AFAnterior,BM.MEDAnterior),IF(AND(_xlfn.single(RegimeExecucao)="Global",$I122&gt;0,COUNTIF($AB$13:$AM$13,BM.medicao-1)&gt;0),M122/$I122*100,0)))</f>
        <v>#NAME?</v>
      </c>
      <c r="K122" s="207" t="e">
        <f aca="false">L122-J122</f>
        <v>#NAME?</v>
      </c>
      <c r="L122" s="634" t="e">
        <f aca="false" t="array" ref="L122:L122">_xlfn.single(IF($A122="S",IF(CAIXA.Modo,BM.AFAcumulado,BM.MEDAcumulado),IF(AND(_xlfn.single(RegimeExecucao)="Global",$I122&gt;0,COUNTIF($AB$13:$AM$13,BM.medicao)&gt;0),O122/$I122*100,0)))</f>
        <v>#NAME?</v>
      </c>
      <c r="M122" s="635" t="n">
        <f aca="true">IF($A122="S",VTOTALBM,IF($A122=0,0,ROUND(SomaAgrupBM,15-13*ORÇAMENTO!$AF$11)))</f>
        <v>0</v>
      </c>
      <c r="N122" s="219" t="n">
        <f aca="false">O122-M122</f>
        <v>0</v>
      </c>
      <c r="O122" s="210" t="n">
        <f aca="true">IF($A122="S",VTOTALBM,IF($A122=0,0,ROUND(SomaAgrupBM,15-13*ORÇAMENTO!$AF$11)))</f>
        <v>0</v>
      </c>
      <c r="Q122" s="636"/>
      <c r="R122" s="637"/>
      <c r="T122" s="202" t="str">
        <f aca="false">IF($W122&gt;0,$D122,"")</f>
        <v/>
      </c>
      <c r="U122" s="341" t="str">
        <f aca="false">IF($W122&gt;0,$E122,"")</f>
        <v/>
      </c>
      <c r="V122" s="342" t="str">
        <f aca="true">IF(AND($W122&gt;0,RegimeExecucao="Unitário"),$F122,"")</f>
        <v/>
      </c>
      <c r="W122" s="638" t="n">
        <f aca="true">IF($Y122&gt;0,CHOOSE(MATCH(RegimeExecucao,{"Unitário","Global"},0),IF($A122="S",$Y122/$X122,""),($Y122/$X122)*100),0)</f>
        <v>0</v>
      </c>
      <c r="X122" s="639" t="str">
        <f aca="true">IF($Y122&gt;0,CHOOSE(MATCH(RegimeExecucao,{"Unitário","Global"},0),IF($A122="S",ROUND($H122,ORÇAMENTO!$AF$10),""),ROUND($I122,ORÇAMENTO!$AF$11)),"")</f>
        <v/>
      </c>
      <c r="Y122" s="639" t="n">
        <f aca="false">AO122-O122</f>
        <v>0</v>
      </c>
      <c r="Z122" s="640"/>
      <c r="AB122" s="636"/>
      <c r="AC122" s="641"/>
      <c r="AD122" s="641"/>
      <c r="AE122" s="641"/>
      <c r="AF122" s="641"/>
      <c r="AG122" s="641"/>
      <c r="AH122" s="641"/>
      <c r="AI122" s="641"/>
      <c r="AJ122" s="641"/>
      <c r="AK122" s="641"/>
      <c r="AL122" s="641"/>
      <c r="AM122" s="637"/>
      <c r="AO122" s="38" t="n">
        <f aca="true">IF($A122="S",IF(BM!$I122=0,0,CHOOSE(MATCH(RegimeExecucao,{"Global","Unitário"},0),ROUND(ROUND(BM.MEDAcumulado,15-13*BM!$A$9)/100*BM!$I122,15-13*ORÇAMENTO!$AF$11),ROUND(ROUND(BM.MEDAcumulado,15-13*BM!$A$9)*ROUND(BM!$H122,15-13*ORÇAMENTO!$AF$10),15-13*ORÇAMENTO!$AF$11))),IF($A122=0,0,ROUND(SomaAgrupBM,15-13*ORÇAMENTO!$AF$11)))</f>
        <v>0</v>
      </c>
    </row>
    <row r="123" customFormat="false" ht="23.85" hidden="false" customHeight="false" outlineLevel="0" collapsed="false">
      <c r="A123" s="1" t="str">
        <f aca="false">ORÇAMENTO!C123</f>
        <v>S</v>
      </c>
      <c r="B123" s="1" t="n">
        <f aca="false">ORÇAMENTO!D123</f>
        <v>0</v>
      </c>
      <c r="C123" s="199" t="str">
        <f aca="false">IF(OR($I123&gt;0,$A123=1,$A123=2,$A123=3,$A123=4),"F","")</f>
        <v>F</v>
      </c>
      <c r="D123" s="202" t="str">
        <f aca="false">ORÇAMENTO!O123</f>
        <v>1.36.3.</v>
      </c>
      <c r="E123" s="341" t="str">
        <f aca="false">ORÇAMENTO.Descricao</f>
        <v>DISJUNTOR BIPOLAR TIPO DR, CORRENTE NOMINAL DE 40A - FORNECIMENTO E INSTALAÇÃO. AF_07/2025</v>
      </c>
      <c r="F123" s="342" t="str">
        <f aca="true">IF(RegimeExecucao="Global","",ORÇAMENTO.Unidade)</f>
        <v/>
      </c>
      <c r="G123" s="207" t="str">
        <f aca="true">IF(RegimeExecucao="Global","",ORÇAMENTO!T123)</f>
        <v/>
      </c>
      <c r="H123" s="207" t="str">
        <f aca="true">IF(RegimeExecucao="Global","",ORÇAMENTO!W123)</f>
        <v/>
      </c>
      <c r="I123" s="210" t="n">
        <f aca="false">ORÇAMENTO!X123</f>
        <v>6244.25</v>
      </c>
      <c r="J123" s="633" t="e">
        <f aca="false" t="array" ref="J123:J123">_xlfn.single(IF($A123="S",IF(CAIXA.Modo,BM.AFAnterior,BM.MEDAnterior),IF(AND(_xlfn.single(RegimeExecucao)="Global",$I123&gt;0,COUNTIF($AB$13:$AM$13,BM.medicao-1)&gt;0),M123/$I123*100,0)))</f>
        <v>#NAME?</v>
      </c>
      <c r="K123" s="207" t="e">
        <f aca="false">L123-J123</f>
        <v>#NAME?</v>
      </c>
      <c r="L123" s="634" t="e">
        <f aca="false" t="array" ref="L123:L123">_xlfn.single(IF($A123="S",IF(CAIXA.Modo,BM.AFAcumulado,BM.MEDAcumulado),IF(AND(_xlfn.single(RegimeExecucao)="Global",$I123&gt;0,COUNTIF($AB$13:$AM$13,BM.medicao)&gt;0),O123/$I123*100,0)))</f>
        <v>#NAME?</v>
      </c>
      <c r="M123" s="635" t="n">
        <f aca="true">IF($A123="S",VTOTALBM,IF($A123=0,0,ROUND(SomaAgrupBM,15-13*ORÇAMENTO!$AF$11)))</f>
        <v>0</v>
      </c>
      <c r="N123" s="219" t="n">
        <f aca="false">O123-M123</f>
        <v>0</v>
      </c>
      <c r="O123" s="210" t="n">
        <f aca="true">IF($A123="S",VTOTALBM,IF($A123=0,0,ROUND(SomaAgrupBM,15-13*ORÇAMENTO!$AF$11)))</f>
        <v>0</v>
      </c>
      <c r="Q123" s="636"/>
      <c r="R123" s="637"/>
      <c r="T123" s="202" t="str">
        <f aca="false">IF($W123&gt;0,$D123,"")</f>
        <v/>
      </c>
      <c r="U123" s="341" t="str">
        <f aca="false">IF($W123&gt;0,$E123,"")</f>
        <v/>
      </c>
      <c r="V123" s="342" t="str">
        <f aca="true">IF(AND($W123&gt;0,RegimeExecucao="Unitário"),$F123,"")</f>
        <v/>
      </c>
      <c r="W123" s="638" t="n">
        <f aca="true">IF($Y123&gt;0,CHOOSE(MATCH(RegimeExecucao,{"Unitário","Global"},0),IF($A123="S",$Y123/$X123,""),($Y123/$X123)*100),0)</f>
        <v>0</v>
      </c>
      <c r="X123" s="639" t="str">
        <f aca="true">IF($Y123&gt;0,CHOOSE(MATCH(RegimeExecucao,{"Unitário","Global"},0),IF($A123="S",ROUND($H123,ORÇAMENTO!$AF$10),""),ROUND($I123,ORÇAMENTO!$AF$11)),"")</f>
        <v/>
      </c>
      <c r="Y123" s="639" t="n">
        <f aca="false">AO123-O123</f>
        <v>0</v>
      </c>
      <c r="Z123" s="640"/>
      <c r="AB123" s="636"/>
      <c r="AC123" s="641"/>
      <c r="AD123" s="641"/>
      <c r="AE123" s="641"/>
      <c r="AF123" s="641"/>
      <c r="AG123" s="641"/>
      <c r="AH123" s="641"/>
      <c r="AI123" s="641"/>
      <c r="AJ123" s="641"/>
      <c r="AK123" s="641"/>
      <c r="AL123" s="641"/>
      <c r="AM123" s="637"/>
      <c r="AO123" s="38" t="n">
        <f aca="true">IF($A123="S",IF(BM!$I123=0,0,CHOOSE(MATCH(RegimeExecucao,{"Global","Unitário"},0),ROUND(ROUND(BM.MEDAcumulado,15-13*BM!$A$9)/100*BM!$I123,15-13*ORÇAMENTO!$AF$11),ROUND(ROUND(BM.MEDAcumulado,15-13*BM!$A$9)*ROUND(BM!$H123,15-13*ORÇAMENTO!$AF$10),15-13*ORÇAMENTO!$AF$11))),IF($A123=0,0,ROUND(SomaAgrupBM,15-13*ORÇAMENTO!$AF$11)))</f>
        <v>0</v>
      </c>
    </row>
    <row r="124" customFormat="false" ht="35.05" hidden="false" customHeight="false" outlineLevel="0" collapsed="false">
      <c r="A124" s="1" t="str">
        <f aca="false">ORÇAMENTO!C124</f>
        <v>S</v>
      </c>
      <c r="B124" s="1" t="n">
        <f aca="false">ORÇAMENTO!D124</f>
        <v>0</v>
      </c>
      <c r="C124" s="199" t="str">
        <f aca="false">IF(OR($I124&gt;0,$A124=1,$A124=2,$A124=3,$A124=4),"F","")</f>
        <v>F</v>
      </c>
      <c r="D124" s="202" t="str">
        <f aca="false">ORÇAMENTO!O124</f>
        <v>1.36.4.</v>
      </c>
      <c r="E124" s="341" t="str">
        <f aca="false">ORÇAMENTO.Descricao</f>
        <v>ENTRADA DE ENERGIA ELÉTRICA, AÉREA, MONOFÁSICA, COM CAIXA DE EMBUTIR, CABO DE 10 MM2 E DISJUNTOR DIN 50A (NÃO INCLUSO O POSTE DE CONCRETO). AF_07/2020_PS</v>
      </c>
      <c r="F124" s="342" t="str">
        <f aca="true">IF(RegimeExecucao="Global","",ORÇAMENTO.Unidade)</f>
        <v/>
      </c>
      <c r="G124" s="207" t="str">
        <f aca="true">IF(RegimeExecucao="Global","",ORÇAMENTO!T124)</f>
        <v/>
      </c>
      <c r="H124" s="207" t="str">
        <f aca="true">IF(RegimeExecucao="Global","",ORÇAMENTO!W124)</f>
        <v/>
      </c>
      <c r="I124" s="210" t="n">
        <f aca="false">ORÇAMENTO!X124</f>
        <v>51574</v>
      </c>
      <c r="J124" s="633" t="e">
        <f aca="false" t="array" ref="J124:J124">_xlfn.single(IF($A124="S",IF(CAIXA.Modo,BM.AFAnterior,BM.MEDAnterior),IF(AND(_xlfn.single(RegimeExecucao)="Global",$I124&gt;0,COUNTIF($AB$13:$AM$13,BM.medicao-1)&gt;0),M124/$I124*100,0)))</f>
        <v>#NAME?</v>
      </c>
      <c r="K124" s="207" t="e">
        <f aca="false">L124-J124</f>
        <v>#NAME?</v>
      </c>
      <c r="L124" s="634" t="e">
        <f aca="false" t="array" ref="L124:L124">_xlfn.single(IF($A124="S",IF(CAIXA.Modo,BM.AFAcumulado,BM.MEDAcumulado),IF(AND(_xlfn.single(RegimeExecucao)="Global",$I124&gt;0,COUNTIF($AB$13:$AM$13,BM.medicao)&gt;0),O124/$I124*100,0)))</f>
        <v>#NAME?</v>
      </c>
      <c r="M124" s="635" t="n">
        <f aca="true">IF($A124="S",VTOTALBM,IF($A124=0,0,ROUND(SomaAgrupBM,15-13*ORÇAMENTO!$AF$11)))</f>
        <v>0</v>
      </c>
      <c r="N124" s="219" t="n">
        <f aca="false">O124-M124</f>
        <v>0</v>
      </c>
      <c r="O124" s="210" t="n">
        <f aca="true">IF($A124="S",VTOTALBM,IF($A124=0,0,ROUND(SomaAgrupBM,15-13*ORÇAMENTO!$AF$11)))</f>
        <v>0</v>
      </c>
      <c r="Q124" s="636"/>
      <c r="R124" s="637"/>
      <c r="T124" s="202" t="str">
        <f aca="false">IF($W124&gt;0,$D124,"")</f>
        <v/>
      </c>
      <c r="U124" s="341" t="str">
        <f aca="false">IF($W124&gt;0,$E124,"")</f>
        <v/>
      </c>
      <c r="V124" s="342" t="str">
        <f aca="true">IF(AND($W124&gt;0,RegimeExecucao="Unitário"),$F124,"")</f>
        <v/>
      </c>
      <c r="W124" s="638" t="n">
        <f aca="true">IF($Y124&gt;0,CHOOSE(MATCH(RegimeExecucao,{"Unitário","Global"},0),IF($A124="S",$Y124/$X124,""),($Y124/$X124)*100),0)</f>
        <v>0</v>
      </c>
      <c r="X124" s="639" t="str">
        <f aca="true">IF($Y124&gt;0,CHOOSE(MATCH(RegimeExecucao,{"Unitário","Global"},0),IF($A124="S",ROUND($H124,ORÇAMENTO!$AF$10),""),ROUND($I124,ORÇAMENTO!$AF$11)),"")</f>
        <v/>
      </c>
      <c r="Y124" s="639" t="n">
        <f aca="false">AO124-O124</f>
        <v>0</v>
      </c>
      <c r="Z124" s="640"/>
      <c r="AB124" s="636"/>
      <c r="AC124" s="641"/>
      <c r="AD124" s="641"/>
      <c r="AE124" s="641"/>
      <c r="AF124" s="641"/>
      <c r="AG124" s="641"/>
      <c r="AH124" s="641"/>
      <c r="AI124" s="641"/>
      <c r="AJ124" s="641"/>
      <c r="AK124" s="641"/>
      <c r="AL124" s="641"/>
      <c r="AM124" s="637"/>
      <c r="AO124" s="38" t="n">
        <f aca="true">IF($A124="S",IF(BM!$I124=0,0,CHOOSE(MATCH(RegimeExecucao,{"Global","Unitário"},0),ROUND(ROUND(BM.MEDAcumulado,15-13*BM!$A$9)/100*BM!$I124,15-13*ORÇAMENTO!$AF$11),ROUND(ROUND(BM.MEDAcumulado,15-13*BM!$A$9)*ROUND(BM!$H124,15-13*ORÇAMENTO!$AF$10),15-13*ORÇAMENTO!$AF$11))),IF($A124=0,0,ROUND(SomaAgrupBM,15-13*ORÇAMENTO!$AF$11)))</f>
        <v>0</v>
      </c>
    </row>
    <row r="125" customFormat="false" ht="23.85" hidden="false" customHeight="false" outlineLevel="0" collapsed="false">
      <c r="A125" s="1" t="str">
        <f aca="false">ORÇAMENTO!C125</f>
        <v>S</v>
      </c>
      <c r="B125" s="1" t="n">
        <f aca="false">ORÇAMENTO!D125</f>
        <v>0</v>
      </c>
      <c r="C125" s="199" t="str">
        <f aca="false">IF(OR($I125&gt;0,$A125=1,$A125=2,$A125=3,$A125=4),"F","")</f>
        <v>F</v>
      </c>
      <c r="D125" s="202" t="str">
        <f aca="false">ORÇAMENTO!O125</f>
        <v>1.36.5.</v>
      </c>
      <c r="E125" s="341" t="str">
        <f aca="false">ORÇAMENTO.Descricao</f>
        <v>QUADRO DE DISTRIBUIÇÃO DE LUZ EM PVC PARA 12 DISJUNTORES - FORNECIMENTO E INSTALAÇÃO.</v>
      </c>
      <c r="F125" s="342" t="str">
        <f aca="true">IF(RegimeExecucao="Global","",ORÇAMENTO.Unidade)</f>
        <v/>
      </c>
      <c r="G125" s="207" t="str">
        <f aca="true">IF(RegimeExecucao="Global","",ORÇAMENTO!T125)</f>
        <v/>
      </c>
      <c r="H125" s="207" t="str">
        <f aca="true">IF(RegimeExecucao="Global","",ORÇAMENTO!W125)</f>
        <v/>
      </c>
      <c r="I125" s="210" t="n">
        <f aca="false">ORÇAMENTO!X125</f>
        <v>8021.25</v>
      </c>
      <c r="J125" s="633" t="e">
        <f aca="false" t="array" ref="J125:J125">_xlfn.single(IF($A125="S",IF(CAIXA.Modo,BM.AFAnterior,BM.MEDAnterior),IF(AND(_xlfn.single(RegimeExecucao)="Global",$I125&gt;0,COUNTIF($AB$13:$AM$13,BM.medicao-1)&gt;0),M125/$I125*100,0)))</f>
        <v>#NAME?</v>
      </c>
      <c r="K125" s="207" t="e">
        <f aca="false">L125-J125</f>
        <v>#NAME?</v>
      </c>
      <c r="L125" s="634" t="e">
        <f aca="false" t="array" ref="L125:L125">_xlfn.single(IF($A125="S",IF(CAIXA.Modo,BM.AFAcumulado,BM.MEDAcumulado),IF(AND(_xlfn.single(RegimeExecucao)="Global",$I125&gt;0,COUNTIF($AB$13:$AM$13,BM.medicao)&gt;0),O125/$I125*100,0)))</f>
        <v>#NAME?</v>
      </c>
      <c r="M125" s="635" t="n">
        <f aca="true">IF($A125="S",VTOTALBM,IF($A125=0,0,ROUND(SomaAgrupBM,15-13*ORÇAMENTO!$AF$11)))</f>
        <v>0</v>
      </c>
      <c r="N125" s="219" t="n">
        <f aca="false">O125-M125</f>
        <v>0</v>
      </c>
      <c r="O125" s="210" t="n">
        <f aca="true">IF($A125="S",VTOTALBM,IF($A125=0,0,ROUND(SomaAgrupBM,15-13*ORÇAMENTO!$AF$11)))</f>
        <v>0</v>
      </c>
      <c r="Q125" s="636"/>
      <c r="R125" s="637"/>
      <c r="T125" s="202" t="str">
        <f aca="false">IF($W125&gt;0,$D125,"")</f>
        <v/>
      </c>
      <c r="U125" s="341" t="str">
        <f aca="false">IF($W125&gt;0,$E125,"")</f>
        <v/>
      </c>
      <c r="V125" s="342" t="str">
        <f aca="true">IF(AND($W125&gt;0,RegimeExecucao="Unitário"),$F125,"")</f>
        <v/>
      </c>
      <c r="W125" s="638" t="n">
        <f aca="true">IF($Y125&gt;0,CHOOSE(MATCH(RegimeExecucao,{"Unitário","Global"},0),IF($A125="S",$Y125/$X125,""),($Y125/$X125)*100),0)</f>
        <v>0</v>
      </c>
      <c r="X125" s="639" t="str">
        <f aca="true">IF($Y125&gt;0,CHOOSE(MATCH(RegimeExecucao,{"Unitário","Global"},0),IF($A125="S",ROUND($H125,ORÇAMENTO!$AF$10),""),ROUND($I125,ORÇAMENTO!$AF$11)),"")</f>
        <v/>
      </c>
      <c r="Y125" s="639" t="n">
        <f aca="false">AO125-O125</f>
        <v>0</v>
      </c>
      <c r="Z125" s="640"/>
      <c r="AB125" s="636"/>
      <c r="AC125" s="641"/>
      <c r="AD125" s="641"/>
      <c r="AE125" s="641"/>
      <c r="AF125" s="641"/>
      <c r="AG125" s="641"/>
      <c r="AH125" s="641"/>
      <c r="AI125" s="641"/>
      <c r="AJ125" s="641"/>
      <c r="AK125" s="641"/>
      <c r="AL125" s="641"/>
      <c r="AM125" s="637"/>
      <c r="AO125" s="38" t="n">
        <f aca="true">IF($A125="S",IF(BM!$I125=0,0,CHOOSE(MATCH(RegimeExecucao,{"Global","Unitário"},0),ROUND(ROUND(BM.MEDAcumulado,15-13*BM!$A$9)/100*BM!$I125,15-13*ORÇAMENTO!$AF$11),ROUND(ROUND(BM.MEDAcumulado,15-13*BM!$A$9)*ROUND(BM!$H125,15-13*ORÇAMENTO!$AF$10),15-13*ORÇAMENTO!$AF$11))),IF($A125=0,0,ROUND(SomaAgrupBM,15-13*ORÇAMENTO!$AF$11)))</f>
        <v>0</v>
      </c>
    </row>
    <row r="126" customFormat="false" ht="12.75" hidden="false" customHeight="false" outlineLevel="0" collapsed="false">
      <c r="A126" s="1" t="n">
        <f aca="false">ORÇAMENTO!C126</f>
        <v>2</v>
      </c>
      <c r="B126" s="1" t="n">
        <f aca="false">ORÇAMENTO!D126</f>
        <v>6</v>
      </c>
      <c r="C126" s="199" t="str">
        <f aca="false">IF(OR($I126&gt;0,$A126=1,$A126=2,$A126=3,$A126=4),"F","")</f>
        <v>F</v>
      </c>
      <c r="D126" s="202" t="str">
        <f aca="false">ORÇAMENTO!O126</f>
        <v>1.37.</v>
      </c>
      <c r="E126" s="341" t="str">
        <f aca="false">ORÇAMENTO.Descricao</f>
        <v>ILUMINAÇÃO, TOMADAS E INTERRUPTORES</v>
      </c>
      <c r="F126" s="342" t="str">
        <f aca="true">IF(RegimeExecucao="Global","",ORÇAMENTO.Unidade)</f>
        <v/>
      </c>
      <c r="G126" s="207" t="str">
        <f aca="true">IF(RegimeExecucao="Global","",ORÇAMENTO!T126)</f>
        <v/>
      </c>
      <c r="H126" s="207" t="str">
        <f aca="true">IF(RegimeExecucao="Global","",ORÇAMENTO!W126)</f>
        <v/>
      </c>
      <c r="I126" s="210" t="n">
        <f aca="false">ORÇAMENTO!X126</f>
        <v>286262.25</v>
      </c>
      <c r="J126" s="633" t="e">
        <f aca="false" t="array" ref="J126:J126">_xlfn.single(IF($A126="S",IF(CAIXA.Modo,BM.AFAnterior,BM.MEDAnterior),IF(AND(_xlfn.single(RegimeExecucao)="Global",$I126&gt;0,COUNTIF($AB$13:$AM$13,BM.medicao-1)&gt;0),M126/$I126*100,0)))</f>
        <v>#NAME?</v>
      </c>
      <c r="K126" s="207" t="e">
        <f aca="false">L126-J126</f>
        <v>#NAME?</v>
      </c>
      <c r="L126" s="634" t="e">
        <f aca="false" t="array" ref="L126:L126">_xlfn.single(IF($A126="S",IF(CAIXA.Modo,BM.AFAcumulado,BM.MEDAcumulado),IF(AND(_xlfn.single(RegimeExecucao)="Global",$I126&gt;0,COUNTIF($AB$13:$AM$13,BM.medicao)&gt;0),O126/$I126*100,0)))</f>
        <v>#NAME?</v>
      </c>
      <c r="M126" s="635" t="n">
        <f aca="true">IF($A126="S",VTOTALBM,IF($A126=0,0,ROUND(SomaAgrupBM,15-13*ORÇAMENTO!$AF$11)))</f>
        <v>0</v>
      </c>
      <c r="N126" s="219" t="n">
        <f aca="false">O126-M126</f>
        <v>0</v>
      </c>
      <c r="O126" s="210" t="n">
        <f aca="true">IF($A126="S",VTOTALBM,IF($A126=0,0,ROUND(SomaAgrupBM,15-13*ORÇAMENTO!$AF$11)))</f>
        <v>0</v>
      </c>
      <c r="Q126" s="636"/>
      <c r="R126" s="637"/>
      <c r="T126" s="202" t="str">
        <f aca="false">IF($W126&gt;0,$D126,"")</f>
        <v/>
      </c>
      <c r="U126" s="341" t="str">
        <f aca="false">IF($W126&gt;0,$E126,"")</f>
        <v/>
      </c>
      <c r="V126" s="342" t="str">
        <f aca="true">IF(AND($W126&gt;0,RegimeExecucao="Unitário"),$F126,"")</f>
        <v/>
      </c>
      <c r="W126" s="638" t="n">
        <f aca="true">IF($Y126&gt;0,CHOOSE(MATCH(RegimeExecucao,{"Unitário","Global"},0),IF($A126="S",$Y126/$X126,""),($Y126/$X126)*100),0)</f>
        <v>0</v>
      </c>
      <c r="X126" s="639" t="str">
        <f aca="true">IF($Y126&gt;0,CHOOSE(MATCH(RegimeExecucao,{"Unitário","Global"},0),IF($A126="S",ROUND($H126,ORÇAMENTO!$AF$10),""),ROUND($I126,ORÇAMENTO!$AF$11)),"")</f>
        <v/>
      </c>
      <c r="Y126" s="639" t="n">
        <f aca="false">AO126-O126</f>
        <v>0</v>
      </c>
      <c r="Z126" s="640"/>
      <c r="AB126" s="636"/>
      <c r="AC126" s="641"/>
      <c r="AD126" s="641"/>
      <c r="AE126" s="641"/>
      <c r="AF126" s="641"/>
      <c r="AG126" s="641"/>
      <c r="AH126" s="641"/>
      <c r="AI126" s="641"/>
      <c r="AJ126" s="641"/>
      <c r="AK126" s="641"/>
      <c r="AL126" s="641"/>
      <c r="AM126" s="637"/>
      <c r="AO126" s="38" t="n">
        <f aca="true">IF($A126="S",IF(BM!$I126=0,0,CHOOSE(MATCH(RegimeExecucao,{"Global","Unitário"},0),ROUND(ROUND(BM.MEDAcumulado,15-13*BM!$A$9)/100*BM!$I126,15-13*ORÇAMENTO!$AF$11),ROUND(ROUND(BM.MEDAcumulado,15-13*BM!$A$9)*ROUND(BM!$H126,15-13*ORÇAMENTO!$AF$10),15-13*ORÇAMENTO!$AF$11))),IF($A126=0,0,ROUND(SomaAgrupBM,15-13*ORÇAMENTO!$AF$11)))</f>
        <v>0</v>
      </c>
    </row>
    <row r="127" customFormat="false" ht="23.85" hidden="false" customHeight="false" outlineLevel="0" collapsed="false">
      <c r="A127" s="1" t="str">
        <f aca="false">ORÇAMENTO!C127</f>
        <v>S</v>
      </c>
      <c r="B127" s="1" t="n">
        <f aca="false">ORÇAMENTO!D127</f>
        <v>0</v>
      </c>
      <c r="C127" s="199" t="str">
        <f aca="false">IF(OR($I127&gt;0,$A127=1,$A127=2,$A127=3,$A127=4),"F","")</f>
        <v>F</v>
      </c>
      <c r="D127" s="202" t="str">
        <f aca="false">ORÇAMENTO!O127</f>
        <v>1.37.1.</v>
      </c>
      <c r="E127" s="341" t="str">
        <f aca="false">ORÇAMENTO.Descricao</f>
        <v>LUMINÁRIA TIPO PLAFON CIRCULAR, DE SOBREPOR, COM LED DE 12/13 W - FORNECIMENTO E INSTALAÇÃO. AF_09/2024</v>
      </c>
      <c r="F127" s="342" t="str">
        <f aca="true">IF(RegimeExecucao="Global","",ORÇAMENTO.Unidade)</f>
        <v/>
      </c>
      <c r="G127" s="207" t="str">
        <f aca="true">IF(RegimeExecucao="Global","",ORÇAMENTO!T127)</f>
        <v/>
      </c>
      <c r="H127" s="207" t="str">
        <f aca="true">IF(RegimeExecucao="Global","",ORÇAMENTO!W127)</f>
        <v/>
      </c>
      <c r="I127" s="210" t="n">
        <f aca="false">ORÇAMENTO!X127</f>
        <v>7486</v>
      </c>
      <c r="J127" s="633" t="e">
        <f aca="false" t="array" ref="J127:J127">_xlfn.single(IF($A127="S",IF(CAIXA.Modo,BM.AFAnterior,BM.MEDAnterior),IF(AND(_xlfn.single(RegimeExecucao)="Global",$I127&gt;0,COUNTIF($AB$13:$AM$13,BM.medicao-1)&gt;0),M127/$I127*100,0)))</f>
        <v>#NAME?</v>
      </c>
      <c r="K127" s="207" t="e">
        <f aca="false">L127-J127</f>
        <v>#NAME?</v>
      </c>
      <c r="L127" s="634" t="e">
        <f aca="false" t="array" ref="L127:L127">_xlfn.single(IF($A127="S",IF(CAIXA.Modo,BM.AFAcumulado,BM.MEDAcumulado),IF(AND(_xlfn.single(RegimeExecucao)="Global",$I127&gt;0,COUNTIF($AB$13:$AM$13,BM.medicao)&gt;0),O127/$I127*100,0)))</f>
        <v>#NAME?</v>
      </c>
      <c r="M127" s="635" t="n">
        <f aca="true">IF($A127="S",VTOTALBM,IF($A127=0,0,ROUND(SomaAgrupBM,15-13*ORÇAMENTO!$AF$11)))</f>
        <v>0</v>
      </c>
      <c r="N127" s="219" t="n">
        <f aca="false">O127-M127</f>
        <v>0</v>
      </c>
      <c r="O127" s="210" t="n">
        <f aca="true">IF($A127="S",VTOTALBM,IF($A127=0,0,ROUND(SomaAgrupBM,15-13*ORÇAMENTO!$AF$11)))</f>
        <v>0</v>
      </c>
      <c r="Q127" s="636"/>
      <c r="R127" s="637"/>
      <c r="T127" s="202" t="str">
        <f aca="false">IF($W127&gt;0,$D127,"")</f>
        <v/>
      </c>
      <c r="U127" s="341" t="str">
        <f aca="false">IF($W127&gt;0,$E127,"")</f>
        <v/>
      </c>
      <c r="V127" s="342" t="str">
        <f aca="true">IF(AND($W127&gt;0,RegimeExecucao="Unitário"),$F127,"")</f>
        <v/>
      </c>
      <c r="W127" s="638" t="n">
        <f aca="true">IF($Y127&gt;0,CHOOSE(MATCH(RegimeExecucao,{"Unitário","Global"},0),IF($A127="S",$Y127/$X127,""),($Y127/$X127)*100),0)</f>
        <v>0</v>
      </c>
      <c r="X127" s="639" t="str">
        <f aca="true">IF($Y127&gt;0,CHOOSE(MATCH(RegimeExecucao,{"Unitário","Global"},0),IF($A127="S",ROUND($H127,ORÇAMENTO!$AF$10),""),ROUND($I127,ORÇAMENTO!$AF$11)),"")</f>
        <v/>
      </c>
      <c r="Y127" s="639" t="n">
        <f aca="false">AO127-O127</f>
        <v>0</v>
      </c>
      <c r="Z127" s="640"/>
      <c r="AB127" s="636"/>
      <c r="AC127" s="641"/>
      <c r="AD127" s="641"/>
      <c r="AE127" s="641"/>
      <c r="AF127" s="641"/>
      <c r="AG127" s="641"/>
      <c r="AH127" s="641"/>
      <c r="AI127" s="641"/>
      <c r="AJ127" s="641"/>
      <c r="AK127" s="641"/>
      <c r="AL127" s="641"/>
      <c r="AM127" s="637"/>
      <c r="AO127" s="38" t="n">
        <f aca="true">IF($A127="S",IF(BM!$I127=0,0,CHOOSE(MATCH(RegimeExecucao,{"Global","Unitário"},0),ROUND(ROUND(BM.MEDAcumulado,15-13*BM!$A$9)/100*BM!$I127,15-13*ORÇAMENTO!$AF$11),ROUND(ROUND(BM.MEDAcumulado,15-13*BM!$A$9)*ROUND(BM!$H127,15-13*ORÇAMENTO!$AF$10),15-13*ORÇAMENTO!$AF$11))),IF($A127=0,0,ROUND(SomaAgrupBM,15-13*ORÇAMENTO!$AF$11)))</f>
        <v>0</v>
      </c>
    </row>
    <row r="128" customFormat="false" ht="23.85" hidden="false" customHeight="false" outlineLevel="0" collapsed="false">
      <c r="A128" s="1" t="str">
        <f aca="false">ORÇAMENTO!C128</f>
        <v>S</v>
      </c>
      <c r="B128" s="1" t="n">
        <f aca="false">ORÇAMENTO!D128</f>
        <v>0</v>
      </c>
      <c r="C128" s="199" t="str">
        <f aca="false">IF(OR($I128&gt;0,$A128=1,$A128=2,$A128=3,$A128=4),"F","")</f>
        <v>F</v>
      </c>
      <c r="D128" s="202" t="str">
        <f aca="false">ORÇAMENTO!O128</f>
        <v>1.37.2.</v>
      </c>
      <c r="E128" s="341" t="str">
        <f aca="false">ORÇAMENTO.Descricao</f>
        <v>LUMINÁRIA ARANDELA TIPO MEIA LUA, DE SOBREPOR, COM 1 LÂMPADA LED DE 6W, SEM REATOR - FORNECIMENTO E INSTALAÇÃO. AF_09/2024</v>
      </c>
      <c r="F128" s="342" t="str">
        <f aca="true">IF(RegimeExecucao="Global","",ORÇAMENTO.Unidade)</f>
        <v/>
      </c>
      <c r="G128" s="207" t="str">
        <f aca="true">IF(RegimeExecucao="Global","",ORÇAMENTO!T128)</f>
        <v/>
      </c>
      <c r="H128" s="207" t="str">
        <f aca="true">IF(RegimeExecucao="Global","",ORÇAMENTO!W128)</f>
        <v/>
      </c>
      <c r="I128" s="210" t="n">
        <f aca="false">ORÇAMENTO!X128</f>
        <v>5389.5</v>
      </c>
      <c r="J128" s="633" t="e">
        <f aca="false" t="array" ref="J128:J128">_xlfn.single(IF($A128="S",IF(CAIXA.Modo,BM.AFAnterior,BM.MEDAnterior),IF(AND(_xlfn.single(RegimeExecucao)="Global",$I128&gt;0,COUNTIF($AB$13:$AM$13,BM.medicao-1)&gt;0),M128/$I128*100,0)))</f>
        <v>#NAME?</v>
      </c>
      <c r="K128" s="207" t="e">
        <f aca="false">L128-J128</f>
        <v>#NAME?</v>
      </c>
      <c r="L128" s="634" t="e">
        <f aca="false" t="array" ref="L128:L128">_xlfn.single(IF($A128="S",IF(CAIXA.Modo,BM.AFAcumulado,BM.MEDAcumulado),IF(AND(_xlfn.single(RegimeExecucao)="Global",$I128&gt;0,COUNTIF($AB$13:$AM$13,BM.medicao)&gt;0),O128/$I128*100,0)))</f>
        <v>#NAME?</v>
      </c>
      <c r="M128" s="635" t="n">
        <f aca="true">IF($A128="S",VTOTALBM,IF($A128=0,0,ROUND(SomaAgrupBM,15-13*ORÇAMENTO!$AF$11)))</f>
        <v>0</v>
      </c>
      <c r="N128" s="219" t="n">
        <f aca="false">O128-M128</f>
        <v>0</v>
      </c>
      <c r="O128" s="210" t="n">
        <f aca="true">IF($A128="S",VTOTALBM,IF($A128=0,0,ROUND(SomaAgrupBM,15-13*ORÇAMENTO!$AF$11)))</f>
        <v>0</v>
      </c>
      <c r="Q128" s="636"/>
      <c r="R128" s="637"/>
      <c r="T128" s="202" t="str">
        <f aca="false">IF($W128&gt;0,$D128,"")</f>
        <v/>
      </c>
      <c r="U128" s="341" t="str">
        <f aca="false">IF($W128&gt;0,$E128,"")</f>
        <v/>
      </c>
      <c r="V128" s="342" t="str">
        <f aca="true">IF(AND($W128&gt;0,RegimeExecucao="Unitário"),$F128,"")</f>
        <v/>
      </c>
      <c r="W128" s="638" t="n">
        <f aca="true">IF($Y128&gt;0,CHOOSE(MATCH(RegimeExecucao,{"Unitário","Global"},0),IF($A128="S",$Y128/$X128,""),($Y128/$X128)*100),0)</f>
        <v>0</v>
      </c>
      <c r="X128" s="639" t="str">
        <f aca="true">IF($Y128&gt;0,CHOOSE(MATCH(RegimeExecucao,{"Unitário","Global"},0),IF($A128="S",ROUND($H128,ORÇAMENTO!$AF$10),""),ROUND($I128,ORÇAMENTO!$AF$11)),"")</f>
        <v/>
      </c>
      <c r="Y128" s="639" t="n">
        <f aca="false">AO128-O128</f>
        <v>0</v>
      </c>
      <c r="Z128" s="640"/>
      <c r="AB128" s="636"/>
      <c r="AC128" s="641"/>
      <c r="AD128" s="641"/>
      <c r="AE128" s="641"/>
      <c r="AF128" s="641"/>
      <c r="AG128" s="641"/>
      <c r="AH128" s="641"/>
      <c r="AI128" s="641"/>
      <c r="AJ128" s="641"/>
      <c r="AK128" s="641"/>
      <c r="AL128" s="641"/>
      <c r="AM128" s="637"/>
      <c r="AO128" s="38" t="n">
        <f aca="true">IF($A128="S",IF(BM!$I128=0,0,CHOOSE(MATCH(RegimeExecucao,{"Global","Unitário"},0),ROUND(ROUND(BM.MEDAcumulado,15-13*BM!$A$9)/100*BM!$I128,15-13*ORÇAMENTO!$AF$11),ROUND(ROUND(BM.MEDAcumulado,15-13*BM!$A$9)*ROUND(BM!$H128,15-13*ORÇAMENTO!$AF$10),15-13*ORÇAMENTO!$AF$11))),IF($A128=0,0,ROUND(SomaAgrupBM,15-13*ORÇAMENTO!$AF$11)))</f>
        <v>0</v>
      </c>
    </row>
    <row r="129" customFormat="false" ht="102.2" hidden="false" customHeight="false" outlineLevel="0" collapsed="false">
      <c r="A129" s="1" t="str">
        <f aca="false">ORÇAMENTO!C129</f>
        <v>S</v>
      </c>
      <c r="B129" s="1" t="n">
        <f aca="false">ORÇAMENTO!D129</f>
        <v>0</v>
      </c>
      <c r="C129" s="199" t="str">
        <f aca="false">IF(OR($I129&gt;0,$A129=1,$A129=2,$A129=3,$A129=4),"F","")</f>
        <v>F</v>
      </c>
      <c r="D129" s="202" t="str">
        <f aca="false">ORÇAMENTO!O129</f>
        <v>1.37.3.</v>
      </c>
      <c r="E129" s="341" t="str">
        <f aca="false">ORÇAMENTO.Descricao</f>
        <v>PONTO DE EMBUTIR PARA UM (1) INTERRUPTOR SIMPLES (10A-
250V), COM PLACA 4"X2" DE UM (1) POSTO, COM ELETRODUTO
FLEXÍVEL CORRUGADO, ANTI-CHAMA, DN 25MM (3/4"), EMBUTIDO
NA ALVENARIA E CABO DE COBRE FLEXÍVEL, CLASSE 5,
ISOLAMENTO TIPO LSHF/ATOX, NÃO HALOGENADO, SEÇÃO 1,
5MM2 (70°C-450/750V), COM DISTÂNCIA DE ATÉ DEZ (10) METROS
DO PONTO DE DERIVAÇÃO, INCLUSIVE CAIXA DE LIGAÇÃO,
SUPORTE E FIXAÇÃO DO ELETRODUTO COM ENCHIMENTO DO
RASGO NA ALVENARIA/CONCRETO COM ARGAMASSA</v>
      </c>
      <c r="F129" s="342" t="str">
        <f aca="true">IF(RegimeExecucao="Global","",ORÇAMENTO.Unidade)</f>
        <v/>
      </c>
      <c r="G129" s="207" t="str">
        <f aca="true">IF(RegimeExecucao="Global","",ORÇAMENTO!T129)</f>
        <v/>
      </c>
      <c r="H129" s="207" t="str">
        <f aca="true">IF(RegimeExecucao="Global","",ORÇAMENTO!W129)</f>
        <v/>
      </c>
      <c r="I129" s="210" t="n">
        <f aca="false">ORÇAMENTO!X129</f>
        <v>98991.75</v>
      </c>
      <c r="J129" s="633" t="e">
        <f aca="false" t="array" ref="J129:J129">_xlfn.single(IF($A129="S",IF(CAIXA.Modo,BM.AFAnterior,BM.MEDAnterior),IF(AND(_xlfn.single(RegimeExecucao)="Global",$I129&gt;0,COUNTIF($AB$13:$AM$13,BM.medicao-1)&gt;0),M129/$I129*100,0)))</f>
        <v>#NAME?</v>
      </c>
      <c r="K129" s="207" t="e">
        <f aca="false">L129-J129</f>
        <v>#NAME?</v>
      </c>
      <c r="L129" s="634" t="e">
        <f aca="false" t="array" ref="L129:L129">_xlfn.single(IF($A129="S",IF(CAIXA.Modo,BM.AFAcumulado,BM.MEDAcumulado),IF(AND(_xlfn.single(RegimeExecucao)="Global",$I129&gt;0,COUNTIF($AB$13:$AM$13,BM.medicao)&gt;0),O129/$I129*100,0)))</f>
        <v>#NAME?</v>
      </c>
      <c r="M129" s="635" t="n">
        <f aca="true">IF($A129="S",VTOTALBM,IF($A129=0,0,ROUND(SomaAgrupBM,15-13*ORÇAMENTO!$AF$11)))</f>
        <v>0</v>
      </c>
      <c r="N129" s="219" t="n">
        <f aca="false">O129-M129</f>
        <v>0</v>
      </c>
      <c r="O129" s="210" t="n">
        <f aca="true">IF($A129="S",VTOTALBM,IF($A129=0,0,ROUND(SomaAgrupBM,15-13*ORÇAMENTO!$AF$11)))</f>
        <v>0</v>
      </c>
      <c r="Q129" s="636"/>
      <c r="R129" s="637"/>
      <c r="T129" s="202" t="str">
        <f aca="false">IF($W129&gt;0,$D129,"")</f>
        <v/>
      </c>
      <c r="U129" s="341" t="str">
        <f aca="false">IF($W129&gt;0,$E129,"")</f>
        <v/>
      </c>
      <c r="V129" s="342" t="str">
        <f aca="true">IF(AND($W129&gt;0,RegimeExecucao="Unitário"),$F129,"")</f>
        <v/>
      </c>
      <c r="W129" s="638" t="n">
        <f aca="true">IF($Y129&gt;0,CHOOSE(MATCH(RegimeExecucao,{"Unitário","Global"},0),IF($A129="S",$Y129/$X129,""),($Y129/$X129)*100),0)</f>
        <v>0</v>
      </c>
      <c r="X129" s="639" t="str">
        <f aca="true">IF($Y129&gt;0,CHOOSE(MATCH(RegimeExecucao,{"Unitário","Global"},0),IF($A129="S",ROUND($H129,ORÇAMENTO!$AF$10),""),ROUND($I129,ORÇAMENTO!$AF$11)),"")</f>
        <v/>
      </c>
      <c r="Y129" s="639" t="n">
        <f aca="false">AO129-O129</f>
        <v>0</v>
      </c>
      <c r="Z129" s="640"/>
      <c r="AB129" s="636"/>
      <c r="AC129" s="641"/>
      <c r="AD129" s="641"/>
      <c r="AE129" s="641"/>
      <c r="AF129" s="641"/>
      <c r="AG129" s="641"/>
      <c r="AH129" s="641"/>
      <c r="AI129" s="641"/>
      <c r="AJ129" s="641"/>
      <c r="AK129" s="641"/>
      <c r="AL129" s="641"/>
      <c r="AM129" s="637"/>
      <c r="AO129" s="38" t="n">
        <f aca="true">IF($A129="S",IF(BM!$I129=0,0,CHOOSE(MATCH(RegimeExecucao,{"Global","Unitário"},0),ROUND(ROUND(BM.MEDAcumulado,15-13*BM!$A$9)/100*BM!$I129,15-13*ORÇAMENTO!$AF$11),ROUND(ROUND(BM.MEDAcumulado,15-13*BM!$A$9)*ROUND(BM!$H129,15-13*ORÇAMENTO!$AF$10),15-13*ORÇAMENTO!$AF$11))),IF($A129=0,0,ROUND(SomaAgrupBM,15-13*ORÇAMENTO!$AF$11)))</f>
        <v>0</v>
      </c>
    </row>
    <row r="130" customFormat="false" ht="79.85" hidden="false" customHeight="false" outlineLevel="0" collapsed="false">
      <c r="A130" s="1" t="str">
        <f aca="false">ORÇAMENTO!C130</f>
        <v>S</v>
      </c>
      <c r="B130" s="1" t="n">
        <f aca="false">ORÇAMENTO!D130</f>
        <v>0</v>
      </c>
      <c r="C130" s="199" t="str">
        <f aca="false">IF(OR($I130&gt;0,$A130=1,$A130=2,$A130=3,$A130=4),"F","")</f>
        <v>F</v>
      </c>
      <c r="D130" s="202" t="str">
        <f aca="false">ORÇAMENTO!O130</f>
        <v>1.37.4.</v>
      </c>
      <c r="E130" s="341" t="str">
        <f aca="false">ORÇAMENTO.Descricao</f>
        <v>PONTO DE EMBUTIR PARA UMA (1) LUMINÁRIA,COM ELETRODUTO
DE PVC RÍGIDO ROSCÁVEL, DN 20MM (3/4"), EMBUTIDO NA LAJE E
CABO DE COBRE FLEXÍVEL, CLASSE 5, ISOLAMENTO TIPO LSHF/
ATOX, NÃO HALOGENADO, SEÇÃO 1,5MM2 (70°C-450/750V), COM
DISTÂNCIA DE ATÉ CINCO (5) METROS DO PONTO DE DERIVAÇÃO,
EXCLUSIVE LUMINÁRIA, INCLUSIVE CAIXA DE LIGAÇÃO
OCTOGONAL, SUPORTE E FIXAÇÃO DO ELETRODUTO</v>
      </c>
      <c r="F130" s="342" t="str">
        <f aca="true">IF(RegimeExecucao="Global","",ORÇAMENTO.Unidade)</f>
        <v/>
      </c>
      <c r="G130" s="207" t="str">
        <f aca="true">IF(RegimeExecucao="Global","",ORÇAMENTO!T130)</f>
        <v/>
      </c>
      <c r="H130" s="207" t="str">
        <f aca="true">IF(RegimeExecucao="Global","",ORÇAMENTO!W130)</f>
        <v/>
      </c>
      <c r="I130" s="210" t="n">
        <f aca="false">ORÇAMENTO!X130</f>
        <v>45845</v>
      </c>
      <c r="J130" s="633" t="e">
        <f aca="false" t="array" ref="J130:J130">_xlfn.single(IF($A130="S",IF(CAIXA.Modo,BM.AFAnterior,BM.MEDAnterior),IF(AND(_xlfn.single(RegimeExecucao)="Global",$I130&gt;0,COUNTIF($AB$13:$AM$13,BM.medicao-1)&gt;0),M130/$I130*100,0)))</f>
        <v>#NAME?</v>
      </c>
      <c r="K130" s="207" t="e">
        <f aca="false">L130-J130</f>
        <v>#NAME?</v>
      </c>
      <c r="L130" s="634" t="e">
        <f aca="false" t="array" ref="L130:L130">_xlfn.single(IF($A130="S",IF(CAIXA.Modo,BM.AFAcumulado,BM.MEDAcumulado),IF(AND(_xlfn.single(RegimeExecucao)="Global",$I130&gt;0,COUNTIF($AB$13:$AM$13,BM.medicao)&gt;0),O130/$I130*100,0)))</f>
        <v>#NAME?</v>
      </c>
      <c r="M130" s="635" t="n">
        <f aca="true">IF($A130="S",VTOTALBM,IF($A130=0,0,ROUND(SomaAgrupBM,15-13*ORÇAMENTO!$AF$11)))</f>
        <v>0</v>
      </c>
      <c r="N130" s="219" t="n">
        <f aca="false">O130-M130</f>
        <v>0</v>
      </c>
      <c r="O130" s="210" t="n">
        <f aca="true">IF($A130="S",VTOTALBM,IF($A130=0,0,ROUND(SomaAgrupBM,15-13*ORÇAMENTO!$AF$11)))</f>
        <v>0</v>
      </c>
      <c r="Q130" s="636"/>
      <c r="R130" s="637"/>
      <c r="T130" s="202" t="str">
        <f aca="false">IF($W130&gt;0,$D130,"")</f>
        <v/>
      </c>
      <c r="U130" s="341" t="str">
        <f aca="false">IF($W130&gt;0,$E130,"")</f>
        <v/>
      </c>
      <c r="V130" s="342" t="str">
        <f aca="true">IF(AND($W130&gt;0,RegimeExecucao="Unitário"),$F130,"")</f>
        <v/>
      </c>
      <c r="W130" s="638" t="n">
        <f aca="true">IF($Y130&gt;0,CHOOSE(MATCH(RegimeExecucao,{"Unitário","Global"},0),IF($A130="S",$Y130/$X130,""),($Y130/$X130)*100),0)</f>
        <v>0</v>
      </c>
      <c r="X130" s="639" t="str">
        <f aca="true">IF($Y130&gt;0,CHOOSE(MATCH(RegimeExecucao,{"Unitário","Global"},0),IF($A130="S",ROUND($H130,ORÇAMENTO!$AF$10),""),ROUND($I130,ORÇAMENTO!$AF$11)),"")</f>
        <v/>
      </c>
      <c r="Y130" s="639" t="n">
        <f aca="false">AO130-O130</f>
        <v>0</v>
      </c>
      <c r="Z130" s="640"/>
      <c r="AB130" s="636"/>
      <c r="AC130" s="641"/>
      <c r="AD130" s="641"/>
      <c r="AE130" s="641"/>
      <c r="AF130" s="641"/>
      <c r="AG130" s="641"/>
      <c r="AH130" s="641"/>
      <c r="AI130" s="641"/>
      <c r="AJ130" s="641"/>
      <c r="AK130" s="641"/>
      <c r="AL130" s="641"/>
      <c r="AM130" s="637"/>
      <c r="AO130" s="38" t="n">
        <f aca="true">IF($A130="S",IF(BM!$I130=0,0,CHOOSE(MATCH(RegimeExecucao,{"Global","Unitário"},0),ROUND(ROUND(BM.MEDAcumulado,15-13*BM!$A$9)/100*BM!$I130,15-13*ORÇAMENTO!$AF$11),ROUND(ROUND(BM.MEDAcumulado,15-13*BM!$A$9)*ROUND(BM!$H130,15-13*ORÇAMENTO!$AF$10),15-13*ORÇAMENTO!$AF$11))),IF($A130=0,0,ROUND(SomaAgrupBM,15-13*ORÇAMENTO!$AF$11)))</f>
        <v>0</v>
      </c>
    </row>
    <row r="131" customFormat="false" ht="102.2" hidden="false" customHeight="false" outlineLevel="0" collapsed="false">
      <c r="A131" s="1" t="str">
        <f aca="false">ORÇAMENTO!C131</f>
        <v>S</v>
      </c>
      <c r="B131" s="1" t="n">
        <f aca="false">ORÇAMENTO!D131</f>
        <v>0</v>
      </c>
      <c r="C131" s="199" t="str">
        <f aca="false">IF(OR($I131&gt;0,$A131=1,$A131=2,$A131=3,$A131=4),"F","")</f>
        <v>F</v>
      </c>
      <c r="D131" s="202" t="str">
        <f aca="false">ORÇAMENTO!O131</f>
        <v>1.37.5.</v>
      </c>
      <c r="E131" s="341" t="str">
        <f aca="false">ORÇAMENTO.Descricao</f>
        <v>PONTO DE EMBUTIR PARA UMA (1) TOMADA PADRÃO, TRÊS (3)
POLOS (2P+T/10A-250V), COM PLACA 4"X2" DE UM (1) POSTO, COM
ELETRODUTO DE PVC RÍGIDO ROSCÁVEL, DN 20MM (3/4"),
EMBUTIDO NO PISO E CABO DE COBRE FLEXÍVEL, CLASSE 5,
ISOLAMENTO TIPO LSHF/ATOX, NÃO HALOGENADO, SEÇÃO 2,
5MM2 (70°C-450/750V), COM DISTÂNCIA DE ATÉ DEZ (10) METROS
DO PONTO DE DERIVAÇÃO, INCLUSIVE CAIXA DE LIGAÇÃO,
SUPORTE E FIXAÇÃO DO ELETRODUTO COM ENCHIMENTO DO
RASGO NA ALVENARIA/CONCRETO COM ARGAMASSA</v>
      </c>
      <c r="F131" s="342" t="str">
        <f aca="true">IF(RegimeExecucao="Global","",ORÇAMENTO.Unidade)</f>
        <v/>
      </c>
      <c r="G131" s="207" t="str">
        <f aca="true">IF(RegimeExecucao="Global","",ORÇAMENTO!T131)</f>
        <v/>
      </c>
      <c r="H131" s="207" t="str">
        <f aca="true">IF(RegimeExecucao="Global","",ORÇAMENTO!W131)</f>
        <v/>
      </c>
      <c r="I131" s="210" t="n">
        <f aca="false">ORÇAMENTO!X131</f>
        <v>128550</v>
      </c>
      <c r="J131" s="633" t="e">
        <f aca="false" t="array" ref="J131:J131">_xlfn.single(IF($A131="S",IF(CAIXA.Modo,BM.AFAnterior,BM.MEDAnterior),IF(AND(_xlfn.single(RegimeExecucao)="Global",$I131&gt;0,COUNTIF($AB$13:$AM$13,BM.medicao-1)&gt;0),M131/$I131*100,0)))</f>
        <v>#NAME?</v>
      </c>
      <c r="K131" s="207" t="e">
        <f aca="false">L131-J131</f>
        <v>#NAME?</v>
      </c>
      <c r="L131" s="634" t="e">
        <f aca="false" t="array" ref="L131:L131">_xlfn.single(IF($A131="S",IF(CAIXA.Modo,BM.AFAcumulado,BM.MEDAcumulado),IF(AND(_xlfn.single(RegimeExecucao)="Global",$I131&gt;0,COUNTIF($AB$13:$AM$13,BM.medicao)&gt;0),O131/$I131*100,0)))</f>
        <v>#NAME?</v>
      </c>
      <c r="M131" s="635" t="n">
        <f aca="true">IF($A131="S",VTOTALBM,IF($A131=0,0,ROUND(SomaAgrupBM,15-13*ORÇAMENTO!$AF$11)))</f>
        <v>0</v>
      </c>
      <c r="N131" s="219" t="n">
        <f aca="false">O131-M131</f>
        <v>0</v>
      </c>
      <c r="O131" s="210" t="n">
        <f aca="true">IF($A131="S",VTOTALBM,IF($A131=0,0,ROUND(SomaAgrupBM,15-13*ORÇAMENTO!$AF$11)))</f>
        <v>0</v>
      </c>
      <c r="Q131" s="636"/>
      <c r="R131" s="637"/>
      <c r="T131" s="202" t="str">
        <f aca="false">IF($W131&gt;0,$D131,"")</f>
        <v/>
      </c>
      <c r="U131" s="341" t="str">
        <f aca="false">IF($W131&gt;0,$E131,"")</f>
        <v/>
      </c>
      <c r="V131" s="342" t="str">
        <f aca="true">IF(AND($W131&gt;0,RegimeExecucao="Unitário"),$F131,"")</f>
        <v/>
      </c>
      <c r="W131" s="638" t="n">
        <f aca="true">IF($Y131&gt;0,CHOOSE(MATCH(RegimeExecucao,{"Unitário","Global"},0),IF($A131="S",$Y131/$X131,""),($Y131/$X131)*100),0)</f>
        <v>0</v>
      </c>
      <c r="X131" s="639" t="str">
        <f aca="true">IF($Y131&gt;0,CHOOSE(MATCH(RegimeExecucao,{"Unitário","Global"},0),IF($A131="S",ROUND($H131,ORÇAMENTO!$AF$10),""),ROUND($I131,ORÇAMENTO!$AF$11)),"")</f>
        <v/>
      </c>
      <c r="Y131" s="639" t="n">
        <f aca="false">AO131-O131</f>
        <v>0</v>
      </c>
      <c r="Z131" s="640"/>
      <c r="AB131" s="636"/>
      <c r="AC131" s="641"/>
      <c r="AD131" s="641"/>
      <c r="AE131" s="641"/>
      <c r="AF131" s="641"/>
      <c r="AG131" s="641"/>
      <c r="AH131" s="641"/>
      <c r="AI131" s="641"/>
      <c r="AJ131" s="641"/>
      <c r="AK131" s="641"/>
      <c r="AL131" s="641"/>
      <c r="AM131" s="637"/>
      <c r="AO131" s="38" t="n">
        <f aca="true">IF($A131="S",IF(BM!$I131=0,0,CHOOSE(MATCH(RegimeExecucao,{"Global","Unitário"},0),ROUND(ROUND(BM.MEDAcumulado,15-13*BM!$A$9)/100*BM!$I131,15-13*ORÇAMENTO!$AF$11),ROUND(ROUND(BM.MEDAcumulado,15-13*BM!$A$9)*ROUND(BM!$H131,15-13*ORÇAMENTO!$AF$10),15-13*ORÇAMENTO!$AF$11))),IF($A131=0,0,ROUND(SomaAgrupBM,15-13*ORÇAMENTO!$AF$11)))</f>
        <v>0</v>
      </c>
    </row>
    <row r="132" customFormat="false" ht="12.75" hidden="false" customHeight="false" outlineLevel="0" collapsed="false">
      <c r="A132" s="1" t="n">
        <f aca="false">ORÇAMENTO!C132</f>
        <v>2</v>
      </c>
      <c r="B132" s="1" t="n">
        <f aca="false">ORÇAMENTO!D132</f>
        <v>3</v>
      </c>
      <c r="C132" s="199" t="str">
        <f aca="false">IF(OR($I132&gt;0,$A132=1,$A132=2,$A132=3,$A132=4),"F","")</f>
        <v>F</v>
      </c>
      <c r="D132" s="202" t="str">
        <f aca="false">ORÇAMENTO!O132</f>
        <v>1.38.</v>
      </c>
      <c r="E132" s="341" t="str">
        <f aca="false">ORÇAMENTO.Descricao</f>
        <v>FIOS E CABOS</v>
      </c>
      <c r="F132" s="342" t="str">
        <f aca="true">IF(RegimeExecucao="Global","",ORÇAMENTO.Unidade)</f>
        <v/>
      </c>
      <c r="G132" s="207" t="str">
        <f aca="true">IF(RegimeExecucao="Global","",ORÇAMENTO!T132)</f>
        <v/>
      </c>
      <c r="H132" s="207" t="str">
        <f aca="true">IF(RegimeExecucao="Global","",ORÇAMENTO!W132)</f>
        <v/>
      </c>
      <c r="I132" s="210" t="n">
        <f aca="false">ORÇAMENTO!X132</f>
        <v>32158.75</v>
      </c>
      <c r="J132" s="633" t="e">
        <f aca="false" t="array" ref="J132:J132">_xlfn.single(IF($A132="S",IF(CAIXA.Modo,BM.AFAnterior,BM.MEDAnterior),IF(AND(_xlfn.single(RegimeExecucao)="Global",$I132&gt;0,COUNTIF($AB$13:$AM$13,BM.medicao-1)&gt;0),M132/$I132*100,0)))</f>
        <v>#NAME?</v>
      </c>
      <c r="K132" s="207" t="e">
        <f aca="false">L132-J132</f>
        <v>#NAME?</v>
      </c>
      <c r="L132" s="634" t="e">
        <f aca="false" t="array" ref="L132:L132">_xlfn.single(IF($A132="S",IF(CAIXA.Modo,BM.AFAcumulado,BM.MEDAcumulado),IF(AND(_xlfn.single(RegimeExecucao)="Global",$I132&gt;0,COUNTIF($AB$13:$AM$13,BM.medicao)&gt;0),O132/$I132*100,0)))</f>
        <v>#NAME?</v>
      </c>
      <c r="M132" s="635" t="n">
        <f aca="true">IF($A132="S",VTOTALBM,IF($A132=0,0,ROUND(SomaAgrupBM,15-13*ORÇAMENTO!$AF$11)))</f>
        <v>0</v>
      </c>
      <c r="N132" s="219" t="n">
        <f aca="false">O132-M132</f>
        <v>0</v>
      </c>
      <c r="O132" s="210" t="n">
        <f aca="true">IF($A132="S",VTOTALBM,IF($A132=0,0,ROUND(SomaAgrupBM,15-13*ORÇAMENTO!$AF$11)))</f>
        <v>0</v>
      </c>
      <c r="Q132" s="636"/>
      <c r="R132" s="637"/>
      <c r="T132" s="202" t="str">
        <f aca="false">IF($W132&gt;0,$D132,"")</f>
        <v/>
      </c>
      <c r="U132" s="341" t="str">
        <f aca="false">IF($W132&gt;0,$E132,"")</f>
        <v/>
      </c>
      <c r="V132" s="342" t="str">
        <f aca="true">IF(AND($W132&gt;0,RegimeExecucao="Unitário"),$F132,"")</f>
        <v/>
      </c>
      <c r="W132" s="638" t="n">
        <f aca="true">IF($Y132&gt;0,CHOOSE(MATCH(RegimeExecucao,{"Unitário","Global"},0),IF($A132="S",$Y132/$X132,""),($Y132/$X132)*100),0)</f>
        <v>0</v>
      </c>
      <c r="X132" s="639" t="str">
        <f aca="true">IF($Y132&gt;0,CHOOSE(MATCH(RegimeExecucao,{"Unitário","Global"},0),IF($A132="S",ROUND($H132,ORÇAMENTO!$AF$10),""),ROUND($I132,ORÇAMENTO!$AF$11)),"")</f>
        <v/>
      </c>
      <c r="Y132" s="639" t="n">
        <f aca="false">AO132-O132</f>
        <v>0</v>
      </c>
      <c r="Z132" s="640"/>
      <c r="AB132" s="636"/>
      <c r="AC132" s="641"/>
      <c r="AD132" s="641"/>
      <c r="AE132" s="641"/>
      <c r="AF132" s="641"/>
      <c r="AG132" s="641"/>
      <c r="AH132" s="641"/>
      <c r="AI132" s="641"/>
      <c r="AJ132" s="641"/>
      <c r="AK132" s="641"/>
      <c r="AL132" s="641"/>
      <c r="AM132" s="637"/>
      <c r="AO132" s="38" t="n">
        <f aca="true">IF($A132="S",IF(BM!$I132=0,0,CHOOSE(MATCH(RegimeExecucao,{"Global","Unitário"},0),ROUND(ROUND(BM.MEDAcumulado,15-13*BM!$A$9)/100*BM!$I132,15-13*ORÇAMENTO!$AF$11),ROUND(ROUND(BM.MEDAcumulado,15-13*BM!$A$9)*ROUND(BM!$H132,15-13*ORÇAMENTO!$AF$10),15-13*ORÇAMENTO!$AF$11))),IF($A132=0,0,ROUND(SomaAgrupBM,15-13*ORÇAMENTO!$AF$11)))</f>
        <v>0</v>
      </c>
    </row>
    <row r="133" customFormat="false" ht="35.05" hidden="false" customHeight="false" outlineLevel="0" collapsed="false">
      <c r="A133" s="1" t="str">
        <f aca="false">ORÇAMENTO!C133</f>
        <v>S</v>
      </c>
      <c r="B133" s="1" t="n">
        <f aca="false">ORÇAMENTO!D133</f>
        <v>0</v>
      </c>
      <c r="C133" s="199" t="str">
        <f aca="false">IF(OR($I133&gt;0,$A133=1,$A133=2,$A133=3,$A133=4),"F","")</f>
        <v>F</v>
      </c>
      <c r="D133" s="202" t="str">
        <f aca="false">ORÇAMENTO!O133</f>
        <v>1.38.1.</v>
      </c>
      <c r="E133" s="341" t="str">
        <f aca="false">ORÇAMENTO.Descricao</f>
        <v>CABO DE COBRE FLEXÍVEL ISOLADO, 16 MM², 0,6/1,0 KV, PARA REDE AÉREA DE DISTRIBUIÇÃO DE ENERGIA ELÉTRICA DE BAIXA TENSÃO - FORNECIMENTO E INSTALAÇÃO. AF_07/2020</v>
      </c>
      <c r="F133" s="342" t="str">
        <f aca="true">IF(RegimeExecucao="Global","",ORÇAMENTO.Unidade)</f>
        <v/>
      </c>
      <c r="G133" s="207" t="str">
        <f aca="true">IF(RegimeExecucao="Global","",ORÇAMENTO!T133)</f>
        <v/>
      </c>
      <c r="H133" s="207" t="str">
        <f aca="true">IF(RegimeExecucao="Global","",ORÇAMENTO!W133)</f>
        <v/>
      </c>
      <c r="I133" s="210" t="n">
        <f aca="false">ORÇAMENTO!X133</f>
        <v>21664.5</v>
      </c>
      <c r="J133" s="633" t="e">
        <f aca="false" t="array" ref="J133:J133">_xlfn.single(IF($A133="S",IF(CAIXA.Modo,BM.AFAnterior,BM.MEDAnterior),IF(AND(_xlfn.single(RegimeExecucao)="Global",$I133&gt;0,COUNTIF($AB$13:$AM$13,BM.medicao-1)&gt;0),M133/$I133*100,0)))</f>
        <v>#NAME?</v>
      </c>
      <c r="K133" s="207" t="e">
        <f aca="false">L133-J133</f>
        <v>#NAME?</v>
      </c>
      <c r="L133" s="634" t="e">
        <f aca="false" t="array" ref="L133:L133">_xlfn.single(IF($A133="S",IF(CAIXA.Modo,BM.AFAcumulado,BM.MEDAcumulado),IF(AND(_xlfn.single(RegimeExecucao)="Global",$I133&gt;0,COUNTIF($AB$13:$AM$13,BM.medicao)&gt;0),O133/$I133*100,0)))</f>
        <v>#NAME?</v>
      </c>
      <c r="M133" s="635" t="n">
        <f aca="true">IF($A133="S",VTOTALBM,IF($A133=0,0,ROUND(SomaAgrupBM,15-13*ORÇAMENTO!$AF$11)))</f>
        <v>0</v>
      </c>
      <c r="N133" s="219" t="n">
        <f aca="false">O133-M133</f>
        <v>0</v>
      </c>
      <c r="O133" s="210" t="n">
        <f aca="true">IF($A133="S",VTOTALBM,IF($A133=0,0,ROUND(SomaAgrupBM,15-13*ORÇAMENTO!$AF$11)))</f>
        <v>0</v>
      </c>
      <c r="Q133" s="636"/>
      <c r="R133" s="637"/>
      <c r="T133" s="202" t="str">
        <f aca="false">IF($W133&gt;0,$D133,"")</f>
        <v/>
      </c>
      <c r="U133" s="341" t="str">
        <f aca="false">IF($W133&gt;0,$E133,"")</f>
        <v/>
      </c>
      <c r="V133" s="342" t="str">
        <f aca="true">IF(AND($W133&gt;0,RegimeExecucao="Unitário"),$F133,"")</f>
        <v/>
      </c>
      <c r="W133" s="638" t="n">
        <f aca="true">IF($Y133&gt;0,CHOOSE(MATCH(RegimeExecucao,{"Unitário","Global"},0),IF($A133="S",$Y133/$X133,""),($Y133/$X133)*100),0)</f>
        <v>0</v>
      </c>
      <c r="X133" s="639" t="str">
        <f aca="true">IF($Y133&gt;0,CHOOSE(MATCH(RegimeExecucao,{"Unitário","Global"},0),IF($A133="S",ROUND($H133,ORÇAMENTO!$AF$10),""),ROUND($I133,ORÇAMENTO!$AF$11)),"")</f>
        <v/>
      </c>
      <c r="Y133" s="639" t="n">
        <f aca="false">AO133-O133</f>
        <v>0</v>
      </c>
      <c r="Z133" s="640"/>
      <c r="AB133" s="636"/>
      <c r="AC133" s="641"/>
      <c r="AD133" s="641"/>
      <c r="AE133" s="641"/>
      <c r="AF133" s="641"/>
      <c r="AG133" s="641"/>
      <c r="AH133" s="641"/>
      <c r="AI133" s="641"/>
      <c r="AJ133" s="641"/>
      <c r="AK133" s="641"/>
      <c r="AL133" s="641"/>
      <c r="AM133" s="637"/>
      <c r="AO133" s="38" t="n">
        <f aca="true">IF($A133="S",IF(BM!$I133=0,0,CHOOSE(MATCH(RegimeExecucao,{"Global","Unitário"},0),ROUND(ROUND(BM.MEDAcumulado,15-13*BM!$A$9)/100*BM!$I133,15-13*ORÇAMENTO!$AF$11),ROUND(ROUND(BM.MEDAcumulado,15-13*BM!$A$9)*ROUND(BM!$H133,15-13*ORÇAMENTO!$AF$10),15-13*ORÇAMENTO!$AF$11))),IF($A133=0,0,ROUND(SomaAgrupBM,15-13*ORÇAMENTO!$AF$11)))</f>
        <v>0</v>
      </c>
    </row>
    <row r="134" customFormat="false" ht="35.05" hidden="false" customHeight="false" outlineLevel="0" collapsed="false">
      <c r="A134" s="1" t="str">
        <f aca="false">ORÇAMENTO!C134</f>
        <v>S</v>
      </c>
      <c r="B134" s="1" t="n">
        <f aca="false">ORÇAMENTO!D134</f>
        <v>0</v>
      </c>
      <c r="C134" s="199" t="str">
        <f aca="false">IF(OR($I134&gt;0,$A134=1,$A134=2,$A134=3,$A134=4),"F","")</f>
        <v>F</v>
      </c>
      <c r="D134" s="202" t="str">
        <f aca="false">ORÇAMENTO!O134</f>
        <v>1.38.2.</v>
      </c>
      <c r="E134" s="341" t="str">
        <f aca="false">ORÇAMENTO.Descricao</f>
        <v>ELETRODUTO FLEXÍVEL CORRUGADO REFORÇADO, PVC, DN 32 MM (1"), PARA CIRCUITOS TERMINAIS, INSTALADO EM FORRO - FORNECIMENTO E INSTALAÇÃO. AF_03/2023</v>
      </c>
      <c r="F134" s="342" t="str">
        <f aca="true">IF(RegimeExecucao="Global","",ORÇAMENTO.Unidade)</f>
        <v/>
      </c>
      <c r="G134" s="207" t="str">
        <f aca="true">IF(RegimeExecucao="Global","",ORÇAMENTO!T134)</f>
        <v/>
      </c>
      <c r="H134" s="207" t="str">
        <f aca="true">IF(RegimeExecucao="Global","",ORÇAMENTO!W134)</f>
        <v/>
      </c>
      <c r="I134" s="210" t="n">
        <f aca="false">ORÇAMENTO!X134</f>
        <v>10494.25</v>
      </c>
      <c r="J134" s="633" t="e">
        <f aca="false" t="array" ref="J134:J134">_xlfn.single(IF($A134="S",IF(CAIXA.Modo,BM.AFAnterior,BM.MEDAnterior),IF(AND(_xlfn.single(RegimeExecucao)="Global",$I134&gt;0,COUNTIF($AB$13:$AM$13,BM.medicao-1)&gt;0),M134/$I134*100,0)))</f>
        <v>#NAME?</v>
      </c>
      <c r="K134" s="207" t="e">
        <f aca="false">L134-J134</f>
        <v>#NAME?</v>
      </c>
      <c r="L134" s="634" t="e">
        <f aca="false" t="array" ref="L134:L134">_xlfn.single(IF($A134="S",IF(CAIXA.Modo,BM.AFAcumulado,BM.MEDAcumulado),IF(AND(_xlfn.single(RegimeExecucao)="Global",$I134&gt;0,COUNTIF($AB$13:$AM$13,BM.medicao)&gt;0),O134/$I134*100,0)))</f>
        <v>#NAME?</v>
      </c>
      <c r="M134" s="635" t="n">
        <f aca="true">IF($A134="S",VTOTALBM,IF($A134=0,0,ROUND(SomaAgrupBM,15-13*ORÇAMENTO!$AF$11)))</f>
        <v>0</v>
      </c>
      <c r="N134" s="219" t="n">
        <f aca="false">O134-M134</f>
        <v>0</v>
      </c>
      <c r="O134" s="210" t="n">
        <f aca="true">IF($A134="S",VTOTALBM,IF($A134=0,0,ROUND(SomaAgrupBM,15-13*ORÇAMENTO!$AF$11)))</f>
        <v>0</v>
      </c>
      <c r="Q134" s="636"/>
      <c r="R134" s="637"/>
      <c r="T134" s="202" t="str">
        <f aca="false">IF($W134&gt;0,$D134,"")</f>
        <v/>
      </c>
      <c r="U134" s="341" t="str">
        <f aca="false">IF($W134&gt;0,$E134,"")</f>
        <v/>
      </c>
      <c r="V134" s="342" t="str">
        <f aca="true">IF(AND($W134&gt;0,RegimeExecucao="Unitário"),$F134,"")</f>
        <v/>
      </c>
      <c r="W134" s="638" t="n">
        <f aca="true">IF($Y134&gt;0,CHOOSE(MATCH(RegimeExecucao,{"Unitário","Global"},0),IF($A134="S",$Y134/$X134,""),($Y134/$X134)*100),0)</f>
        <v>0</v>
      </c>
      <c r="X134" s="639" t="str">
        <f aca="true">IF($Y134&gt;0,CHOOSE(MATCH(RegimeExecucao,{"Unitário","Global"},0),IF($A134="S",ROUND($H134,ORÇAMENTO!$AF$10),""),ROUND($I134,ORÇAMENTO!$AF$11)),"")</f>
        <v/>
      </c>
      <c r="Y134" s="639" t="n">
        <f aca="false">AO134-O134</f>
        <v>0</v>
      </c>
      <c r="Z134" s="640"/>
      <c r="AB134" s="636"/>
      <c r="AC134" s="641"/>
      <c r="AD134" s="641"/>
      <c r="AE134" s="641"/>
      <c r="AF134" s="641"/>
      <c r="AG134" s="641"/>
      <c r="AH134" s="641"/>
      <c r="AI134" s="641"/>
      <c r="AJ134" s="641"/>
      <c r="AK134" s="641"/>
      <c r="AL134" s="641"/>
      <c r="AM134" s="637"/>
      <c r="AO134" s="38" t="n">
        <f aca="true">IF($A134="S",IF(BM!$I134=0,0,CHOOSE(MATCH(RegimeExecucao,{"Global","Unitário"},0),ROUND(ROUND(BM.MEDAcumulado,15-13*BM!$A$9)/100*BM!$I134,15-13*ORÇAMENTO!$AF$11),ROUND(ROUND(BM.MEDAcumulado,15-13*BM!$A$9)*ROUND(BM!$H134,15-13*ORÇAMENTO!$AF$10),15-13*ORÇAMENTO!$AF$11))),IF($A134=0,0,ROUND(SomaAgrupBM,15-13*ORÇAMENTO!$AF$11)))</f>
        <v>0</v>
      </c>
    </row>
    <row r="135" customFormat="false" ht="12.75" hidden="false" customHeight="false" outlineLevel="0" collapsed="false">
      <c r="A135" s="1" t="n">
        <f aca="false">ORÇAMENTO!C135</f>
        <v>2</v>
      </c>
      <c r="B135" s="1" t="n">
        <f aca="false">ORÇAMENTO!D135</f>
        <v>1</v>
      </c>
      <c r="C135" s="199" t="str">
        <f aca="false">IF(OR($I135&gt;0,$A135=1,$A135=2,$A135=3,$A135=4),"F","")</f>
        <v>F</v>
      </c>
      <c r="D135" s="202" t="str">
        <f aca="false">ORÇAMENTO!O135</f>
        <v>1.39.</v>
      </c>
      <c r="E135" s="341" t="str">
        <f aca="false">ORÇAMENTO.Descricao</f>
        <v>HIDRÁULICAS / GÁS / INCÊNCIO</v>
      </c>
      <c r="F135" s="342" t="str">
        <f aca="true">IF(RegimeExecucao="Global","",ORÇAMENTO.Unidade)</f>
        <v/>
      </c>
      <c r="G135" s="207" t="str">
        <f aca="true">IF(RegimeExecucao="Global","",ORÇAMENTO!T135)</f>
        <v/>
      </c>
      <c r="H135" s="207" t="str">
        <f aca="true">IF(RegimeExecucao="Global","",ORÇAMENTO!W135)</f>
        <v/>
      </c>
      <c r="I135" s="210" t="n">
        <f aca="false">ORÇAMENTO!X135</f>
        <v>0</v>
      </c>
      <c r="J135" s="633" t="e">
        <f aca="false" t="array" ref="J135:J135">_xlfn.single(IF($A135="S",IF(CAIXA.Modo,BM.AFAnterior,BM.MEDAnterior),IF(AND(_xlfn.single(RegimeExecucao)="Global",$I135&gt;0,COUNTIF($AB$13:$AM$13,BM.medicao-1)&gt;0),M135/$I135*100,0)))</f>
        <v>#NAME?</v>
      </c>
      <c r="K135" s="207" t="e">
        <f aca="false">L135-J135</f>
        <v>#NAME?</v>
      </c>
      <c r="L135" s="634" t="e">
        <f aca="false" t="array" ref="L135:L135">_xlfn.single(IF($A135="S",IF(CAIXA.Modo,BM.AFAcumulado,BM.MEDAcumulado),IF(AND(_xlfn.single(RegimeExecucao)="Global",$I135&gt;0,COUNTIF($AB$13:$AM$13,BM.medicao)&gt;0),O135/$I135*100,0)))</f>
        <v>#NAME?</v>
      </c>
      <c r="M135" s="635" t="n">
        <f aca="true">IF($A135="S",VTOTALBM,IF($A135=0,0,ROUND(SomaAgrupBM,15-13*ORÇAMENTO!$AF$11)))</f>
        <v>0</v>
      </c>
      <c r="N135" s="219" t="n">
        <f aca="false">O135-M135</f>
        <v>0</v>
      </c>
      <c r="O135" s="210" t="n">
        <f aca="true">IF($A135="S",VTOTALBM,IF($A135=0,0,ROUND(SomaAgrupBM,15-13*ORÇAMENTO!$AF$11)))</f>
        <v>0</v>
      </c>
      <c r="Q135" s="636"/>
      <c r="R135" s="637"/>
      <c r="T135" s="202" t="str">
        <f aca="false">IF($W135&gt;0,$D135,"")</f>
        <v/>
      </c>
      <c r="U135" s="341" t="str">
        <f aca="false">IF($W135&gt;0,$E135,"")</f>
        <v/>
      </c>
      <c r="V135" s="342" t="str">
        <f aca="true">IF(AND($W135&gt;0,RegimeExecucao="Unitário"),$F135,"")</f>
        <v/>
      </c>
      <c r="W135" s="638" t="n">
        <f aca="true">IF($Y135&gt;0,CHOOSE(MATCH(RegimeExecucao,{"Unitário","Global"},0),IF($A135="S",$Y135/$X135,""),($Y135/$X135)*100),0)</f>
        <v>0</v>
      </c>
      <c r="X135" s="639" t="str">
        <f aca="true">IF($Y135&gt;0,CHOOSE(MATCH(RegimeExecucao,{"Unitário","Global"},0),IF($A135="S",ROUND($H135,ORÇAMENTO!$AF$10),""),ROUND($I135,ORÇAMENTO!$AF$11)),"")</f>
        <v/>
      </c>
      <c r="Y135" s="639" t="n">
        <f aca="false">AO135-O135</f>
        <v>0</v>
      </c>
      <c r="Z135" s="640"/>
      <c r="AB135" s="636"/>
      <c r="AC135" s="641"/>
      <c r="AD135" s="641"/>
      <c r="AE135" s="641"/>
      <c r="AF135" s="641"/>
      <c r="AG135" s="641"/>
      <c r="AH135" s="641"/>
      <c r="AI135" s="641"/>
      <c r="AJ135" s="641"/>
      <c r="AK135" s="641"/>
      <c r="AL135" s="641"/>
      <c r="AM135" s="637"/>
      <c r="AO135" s="38" t="n">
        <f aca="true">IF($A135="S",IF(BM!$I135=0,0,CHOOSE(MATCH(RegimeExecucao,{"Global","Unitário"},0),ROUND(ROUND(BM.MEDAcumulado,15-13*BM!$A$9)/100*BM!$I135,15-13*ORÇAMENTO!$AF$11),ROUND(ROUND(BM.MEDAcumulado,15-13*BM!$A$9)*ROUND(BM!$H135,15-13*ORÇAMENTO!$AF$10),15-13*ORÇAMENTO!$AF$11))),IF($A135=0,0,ROUND(SomaAgrupBM,15-13*ORÇAMENTO!$AF$11)))</f>
        <v>0</v>
      </c>
    </row>
    <row r="136" customFormat="false" ht="12.75" hidden="false" customHeight="false" outlineLevel="0" collapsed="false">
      <c r="A136" s="1" t="n">
        <f aca="false">ORÇAMENTO!C136</f>
        <v>2</v>
      </c>
      <c r="B136" s="1" t="n">
        <f aca="false">ORÇAMENTO!D136</f>
        <v>7</v>
      </c>
      <c r="C136" s="199" t="str">
        <f aca="false">IF(OR($I136&gt;0,$A136=1,$A136=2,$A136=3,$A136=4),"F","")</f>
        <v>F</v>
      </c>
      <c r="D136" s="202" t="str">
        <f aca="false">ORÇAMENTO!O136</f>
        <v>1.40.</v>
      </c>
      <c r="E136" s="341" t="str">
        <f aca="false">ORÇAMENTO.Descricao</f>
        <v>TUBULAÇÕES E CONEXÕES</v>
      </c>
      <c r="F136" s="342" t="str">
        <f aca="true">IF(RegimeExecucao="Global","",ORÇAMENTO.Unidade)</f>
        <v/>
      </c>
      <c r="G136" s="207" t="str">
        <f aca="true">IF(RegimeExecucao="Global","",ORÇAMENTO!T136)</f>
        <v/>
      </c>
      <c r="H136" s="207" t="str">
        <f aca="true">IF(RegimeExecucao="Global","",ORÇAMENTO!W136)</f>
        <v/>
      </c>
      <c r="I136" s="210" t="n">
        <f aca="false">ORÇAMENTO!X136</f>
        <v>15943.25</v>
      </c>
      <c r="J136" s="633" t="e">
        <f aca="false" t="array" ref="J136:J136">_xlfn.single(IF($A136="S",IF(CAIXA.Modo,BM.AFAnterior,BM.MEDAnterior),IF(AND(_xlfn.single(RegimeExecucao)="Global",$I136&gt;0,COUNTIF($AB$13:$AM$13,BM.medicao-1)&gt;0),M136/$I136*100,0)))</f>
        <v>#NAME?</v>
      </c>
      <c r="K136" s="207" t="e">
        <f aca="false">L136-J136</f>
        <v>#NAME?</v>
      </c>
      <c r="L136" s="634" t="e">
        <f aca="false" t="array" ref="L136:L136">_xlfn.single(IF($A136="S",IF(CAIXA.Modo,BM.AFAcumulado,BM.MEDAcumulado),IF(AND(_xlfn.single(RegimeExecucao)="Global",$I136&gt;0,COUNTIF($AB$13:$AM$13,BM.medicao)&gt;0),O136/$I136*100,0)))</f>
        <v>#NAME?</v>
      </c>
      <c r="M136" s="635" t="n">
        <f aca="true">IF($A136="S",VTOTALBM,IF($A136=0,0,ROUND(SomaAgrupBM,15-13*ORÇAMENTO!$AF$11)))</f>
        <v>0</v>
      </c>
      <c r="N136" s="219" t="n">
        <f aca="false">O136-M136</f>
        <v>0</v>
      </c>
      <c r="O136" s="210" t="n">
        <f aca="true">IF($A136="S",VTOTALBM,IF($A136=0,0,ROUND(SomaAgrupBM,15-13*ORÇAMENTO!$AF$11)))</f>
        <v>0</v>
      </c>
      <c r="Q136" s="636"/>
      <c r="R136" s="637"/>
      <c r="T136" s="202" t="str">
        <f aca="false">IF($W136&gt;0,$D136,"")</f>
        <v/>
      </c>
      <c r="U136" s="341" t="str">
        <f aca="false">IF($W136&gt;0,$E136,"")</f>
        <v/>
      </c>
      <c r="V136" s="342" t="str">
        <f aca="true">IF(AND($W136&gt;0,RegimeExecucao="Unitário"),$F136,"")</f>
        <v/>
      </c>
      <c r="W136" s="638" t="n">
        <f aca="true">IF($Y136&gt;0,CHOOSE(MATCH(RegimeExecucao,{"Unitário","Global"},0),IF($A136="S",$Y136/$X136,""),($Y136/$X136)*100),0)</f>
        <v>0</v>
      </c>
      <c r="X136" s="639" t="str">
        <f aca="true">IF($Y136&gt;0,CHOOSE(MATCH(RegimeExecucao,{"Unitário","Global"},0),IF($A136="S",ROUND($H136,ORÇAMENTO!$AF$10),""),ROUND($I136,ORÇAMENTO!$AF$11)),"")</f>
        <v/>
      </c>
      <c r="Y136" s="639" t="n">
        <f aca="false">AO136-O136</f>
        <v>0</v>
      </c>
      <c r="Z136" s="640"/>
      <c r="AB136" s="636"/>
      <c r="AC136" s="641"/>
      <c r="AD136" s="641"/>
      <c r="AE136" s="641"/>
      <c r="AF136" s="641"/>
      <c r="AG136" s="641"/>
      <c r="AH136" s="641"/>
      <c r="AI136" s="641"/>
      <c r="AJ136" s="641"/>
      <c r="AK136" s="641"/>
      <c r="AL136" s="641"/>
      <c r="AM136" s="637"/>
      <c r="AO136" s="38" t="n">
        <f aca="true">IF($A136="S",IF(BM!$I136=0,0,CHOOSE(MATCH(RegimeExecucao,{"Global","Unitário"},0),ROUND(ROUND(BM.MEDAcumulado,15-13*BM!$A$9)/100*BM!$I136,15-13*ORÇAMENTO!$AF$11),ROUND(ROUND(BM.MEDAcumulado,15-13*BM!$A$9)*ROUND(BM!$H136,15-13*ORÇAMENTO!$AF$10),15-13*ORÇAMENTO!$AF$11))),IF($A136=0,0,ROUND(SomaAgrupBM,15-13*ORÇAMENTO!$AF$11)))</f>
        <v>0</v>
      </c>
    </row>
    <row r="137" customFormat="false" ht="35.05" hidden="false" customHeight="false" outlineLevel="0" collapsed="false">
      <c r="A137" s="1" t="str">
        <f aca="false">ORÇAMENTO!C137</f>
        <v>S</v>
      </c>
      <c r="B137" s="1" t="n">
        <f aca="false">ORÇAMENTO!D137</f>
        <v>0</v>
      </c>
      <c r="C137" s="199" t="str">
        <f aca="false">IF(OR($I137&gt;0,$A137=1,$A137=2,$A137=3,$A137=4),"F","")</f>
        <v>F</v>
      </c>
      <c r="D137" s="202" t="str">
        <f aca="false">ORÇAMENTO!O137</f>
        <v>1.40.1.</v>
      </c>
      <c r="E137" s="341" t="str">
        <f aca="false">ORÇAMENTO.Descricao</f>
        <v>JOELHO 90 GRAUS COM BUCHA DE LATÃO, PVC, SOLDÁVEL, DN 25MM, X 1/2 INSTALADO EM RAMAL OU SUB-RAMAL DE ÁGUA - FORNECIMENTO E INSTALAÇÃO. AF_06/2022</v>
      </c>
      <c r="F137" s="342" t="str">
        <f aca="true">IF(RegimeExecucao="Global","",ORÇAMENTO.Unidade)</f>
        <v/>
      </c>
      <c r="G137" s="207" t="str">
        <f aca="true">IF(RegimeExecucao="Global","",ORÇAMENTO!T137)</f>
        <v/>
      </c>
      <c r="H137" s="207" t="str">
        <f aca="true">IF(RegimeExecucao="Global","",ORÇAMENTO!W137)</f>
        <v/>
      </c>
      <c r="I137" s="210" t="n">
        <f aca="false">ORÇAMENTO!X137</f>
        <v>2871.75</v>
      </c>
      <c r="J137" s="633" t="e">
        <f aca="false" t="array" ref="J137:J137">_xlfn.single(IF($A137="S",IF(CAIXA.Modo,BM.AFAnterior,BM.MEDAnterior),IF(AND(_xlfn.single(RegimeExecucao)="Global",$I137&gt;0,COUNTIF($AB$13:$AM$13,BM.medicao-1)&gt;0),M137/$I137*100,0)))</f>
        <v>#NAME?</v>
      </c>
      <c r="K137" s="207" t="e">
        <f aca="false">L137-J137</f>
        <v>#NAME?</v>
      </c>
      <c r="L137" s="634" t="e">
        <f aca="false" t="array" ref="L137:L137">_xlfn.single(IF($A137="S",IF(CAIXA.Modo,BM.AFAcumulado,BM.MEDAcumulado),IF(AND(_xlfn.single(RegimeExecucao)="Global",$I137&gt;0,COUNTIF($AB$13:$AM$13,BM.medicao)&gt;0),O137/$I137*100,0)))</f>
        <v>#NAME?</v>
      </c>
      <c r="M137" s="635" t="n">
        <f aca="true">IF($A137="S",VTOTALBM,IF($A137=0,0,ROUND(SomaAgrupBM,15-13*ORÇAMENTO!$AF$11)))</f>
        <v>0</v>
      </c>
      <c r="N137" s="219" t="n">
        <f aca="false">O137-M137</f>
        <v>0</v>
      </c>
      <c r="O137" s="210" t="n">
        <f aca="true">IF($A137="S",VTOTALBM,IF($A137=0,0,ROUND(SomaAgrupBM,15-13*ORÇAMENTO!$AF$11)))</f>
        <v>0</v>
      </c>
      <c r="Q137" s="636"/>
      <c r="R137" s="637"/>
      <c r="T137" s="202" t="str">
        <f aca="false">IF($W137&gt;0,$D137,"")</f>
        <v/>
      </c>
      <c r="U137" s="341" t="str">
        <f aca="false">IF($W137&gt;0,$E137,"")</f>
        <v/>
      </c>
      <c r="V137" s="342" t="str">
        <f aca="true">IF(AND($W137&gt;0,RegimeExecucao="Unitário"),$F137,"")</f>
        <v/>
      </c>
      <c r="W137" s="638" t="n">
        <f aca="true">IF($Y137&gt;0,CHOOSE(MATCH(RegimeExecucao,{"Unitário","Global"},0),IF($A137="S",$Y137/$X137,""),($Y137/$X137)*100),0)</f>
        <v>0</v>
      </c>
      <c r="X137" s="639" t="str">
        <f aca="true">IF($Y137&gt;0,CHOOSE(MATCH(RegimeExecucao,{"Unitário","Global"},0),IF($A137="S",ROUND($H137,ORÇAMENTO!$AF$10),""),ROUND($I137,ORÇAMENTO!$AF$11)),"")</f>
        <v/>
      </c>
      <c r="Y137" s="639" t="n">
        <f aca="false">AO137-O137</f>
        <v>0</v>
      </c>
      <c r="Z137" s="640"/>
      <c r="AB137" s="636"/>
      <c r="AC137" s="641"/>
      <c r="AD137" s="641"/>
      <c r="AE137" s="641"/>
      <c r="AF137" s="641"/>
      <c r="AG137" s="641"/>
      <c r="AH137" s="641"/>
      <c r="AI137" s="641"/>
      <c r="AJ137" s="641"/>
      <c r="AK137" s="641"/>
      <c r="AL137" s="641"/>
      <c r="AM137" s="637"/>
      <c r="AO137" s="38" t="n">
        <f aca="true">IF($A137="S",IF(BM!$I137=0,0,CHOOSE(MATCH(RegimeExecucao,{"Global","Unitário"},0),ROUND(ROUND(BM.MEDAcumulado,15-13*BM!$A$9)/100*BM!$I137,15-13*ORÇAMENTO!$AF$11),ROUND(ROUND(BM.MEDAcumulado,15-13*BM!$A$9)*ROUND(BM!$H137,15-13*ORÇAMENTO!$AF$10),15-13*ORÇAMENTO!$AF$11))),IF($A137=0,0,ROUND(SomaAgrupBM,15-13*ORÇAMENTO!$AF$11)))</f>
        <v>0</v>
      </c>
    </row>
    <row r="138" customFormat="false" ht="35.05" hidden="false" customHeight="false" outlineLevel="0" collapsed="false">
      <c r="A138" s="1" t="str">
        <f aca="false">ORÇAMENTO!C138</f>
        <v>S</v>
      </c>
      <c r="B138" s="1" t="n">
        <f aca="false">ORÇAMENTO!D138</f>
        <v>0</v>
      </c>
      <c r="C138" s="199" t="str">
        <f aca="false">IF(OR($I138&gt;0,$A138=1,$A138=2,$A138=3,$A138=4),"F","")</f>
        <v>F</v>
      </c>
      <c r="D138" s="202" t="str">
        <f aca="false">ORÇAMENTO!O138</f>
        <v>1.40.2.</v>
      </c>
      <c r="E138" s="341" t="str">
        <f aca="false">ORÇAMENTO.Descricao</f>
        <v>JOELHO 90 GRAUS, PVC, SOLDÁVEL, DN 25MM, INSTALADO EM RAMAL DE DISTRIBUIÇÃO DE ÁGUA - FORNECIMENTO E INSTALAÇÃO. AF_06/2022</v>
      </c>
      <c r="F138" s="342" t="str">
        <f aca="true">IF(RegimeExecucao="Global","",ORÇAMENTO.Unidade)</f>
        <v/>
      </c>
      <c r="G138" s="207" t="str">
        <f aca="true">IF(RegimeExecucao="Global","",ORÇAMENTO!T138)</f>
        <v/>
      </c>
      <c r="H138" s="207" t="str">
        <f aca="true">IF(RegimeExecucao="Global","",ORÇAMENTO!W138)</f>
        <v/>
      </c>
      <c r="I138" s="210" t="n">
        <f aca="false">ORÇAMENTO!X138</f>
        <v>2230</v>
      </c>
      <c r="J138" s="633" t="e">
        <f aca="false" t="array" ref="J138:J138">_xlfn.single(IF($A138="S",IF(CAIXA.Modo,BM.AFAnterior,BM.MEDAnterior),IF(AND(_xlfn.single(RegimeExecucao)="Global",$I138&gt;0,COUNTIF($AB$13:$AM$13,BM.medicao-1)&gt;0),M138/$I138*100,0)))</f>
        <v>#NAME?</v>
      </c>
      <c r="K138" s="207" t="e">
        <f aca="false">L138-J138</f>
        <v>#NAME?</v>
      </c>
      <c r="L138" s="634" t="e">
        <f aca="false" t="array" ref="L138:L138">_xlfn.single(IF($A138="S",IF(CAIXA.Modo,BM.AFAcumulado,BM.MEDAcumulado),IF(AND(_xlfn.single(RegimeExecucao)="Global",$I138&gt;0,COUNTIF($AB$13:$AM$13,BM.medicao)&gt;0),O138/$I138*100,0)))</f>
        <v>#NAME?</v>
      </c>
      <c r="M138" s="635" t="n">
        <f aca="true">IF($A138="S",VTOTALBM,IF($A138=0,0,ROUND(SomaAgrupBM,15-13*ORÇAMENTO!$AF$11)))</f>
        <v>0</v>
      </c>
      <c r="N138" s="219" t="n">
        <f aca="false">O138-M138</f>
        <v>0</v>
      </c>
      <c r="O138" s="210" t="n">
        <f aca="true">IF($A138="S",VTOTALBM,IF($A138=0,0,ROUND(SomaAgrupBM,15-13*ORÇAMENTO!$AF$11)))</f>
        <v>0</v>
      </c>
      <c r="Q138" s="636"/>
      <c r="R138" s="637"/>
      <c r="T138" s="202" t="str">
        <f aca="false">IF($W138&gt;0,$D138,"")</f>
        <v/>
      </c>
      <c r="U138" s="341" t="str">
        <f aca="false">IF($W138&gt;0,$E138,"")</f>
        <v/>
      </c>
      <c r="V138" s="342" t="str">
        <f aca="true">IF(AND($W138&gt;0,RegimeExecucao="Unitário"),$F138,"")</f>
        <v/>
      </c>
      <c r="W138" s="638" t="n">
        <f aca="true">IF($Y138&gt;0,CHOOSE(MATCH(RegimeExecucao,{"Unitário","Global"},0),IF($A138="S",$Y138/$X138,""),($Y138/$X138)*100),0)</f>
        <v>0</v>
      </c>
      <c r="X138" s="639" t="str">
        <f aca="true">IF($Y138&gt;0,CHOOSE(MATCH(RegimeExecucao,{"Unitário","Global"},0),IF($A138="S",ROUND($H138,ORÇAMENTO!$AF$10),""),ROUND($I138,ORÇAMENTO!$AF$11)),"")</f>
        <v/>
      </c>
      <c r="Y138" s="639" t="n">
        <f aca="false">AO138-O138</f>
        <v>0</v>
      </c>
      <c r="Z138" s="640"/>
      <c r="AB138" s="636"/>
      <c r="AC138" s="641"/>
      <c r="AD138" s="641"/>
      <c r="AE138" s="641"/>
      <c r="AF138" s="641"/>
      <c r="AG138" s="641"/>
      <c r="AH138" s="641"/>
      <c r="AI138" s="641"/>
      <c r="AJ138" s="641"/>
      <c r="AK138" s="641"/>
      <c r="AL138" s="641"/>
      <c r="AM138" s="637"/>
      <c r="AO138" s="38" t="n">
        <f aca="true">IF($A138="S",IF(BM!$I138=0,0,CHOOSE(MATCH(RegimeExecucao,{"Global","Unitário"},0),ROUND(ROUND(BM.MEDAcumulado,15-13*BM!$A$9)/100*BM!$I138,15-13*ORÇAMENTO!$AF$11),ROUND(ROUND(BM.MEDAcumulado,15-13*BM!$A$9)*ROUND(BM!$H138,15-13*ORÇAMENTO!$AF$10),15-13*ORÇAMENTO!$AF$11))),IF($A138=0,0,ROUND(SomaAgrupBM,15-13*ORÇAMENTO!$AF$11)))</f>
        <v>0</v>
      </c>
    </row>
    <row r="139" customFormat="false" ht="23.85" hidden="false" customHeight="false" outlineLevel="0" collapsed="false">
      <c r="A139" s="1" t="str">
        <f aca="false">ORÇAMENTO!C139</f>
        <v>S</v>
      </c>
      <c r="B139" s="1" t="n">
        <f aca="false">ORÇAMENTO!D139</f>
        <v>0</v>
      </c>
      <c r="C139" s="199" t="str">
        <f aca="false">IF(OR($I139&gt;0,$A139=1,$A139=2,$A139=3,$A139=4),"F","")</f>
        <v>F</v>
      </c>
      <c r="D139" s="202" t="str">
        <f aca="false">ORÇAMENTO!O139</f>
        <v>1.40.3.</v>
      </c>
      <c r="E139" s="341" t="str">
        <f aca="false">ORÇAMENTO.Descricao</f>
        <v>TE, PVC, SOLDÁVEL, DN 25MM, INSTALADO EM RAMAL OU SUB-RAMAL DE ÁGUA - FORNECIMENTO E INSTALAÇÃO. AF_06/2022</v>
      </c>
      <c r="F139" s="342" t="str">
        <f aca="true">IF(RegimeExecucao="Global","",ORÇAMENTO.Unidade)</f>
        <v/>
      </c>
      <c r="G139" s="207" t="str">
        <f aca="true">IF(RegimeExecucao="Global","",ORÇAMENTO!T139)</f>
        <v/>
      </c>
      <c r="H139" s="207" t="str">
        <f aca="true">IF(RegimeExecucao="Global","",ORÇAMENTO!W139)</f>
        <v/>
      </c>
      <c r="I139" s="210" t="n">
        <f aca="false">ORÇAMENTO!X139</f>
        <v>1683</v>
      </c>
      <c r="J139" s="633" t="e">
        <f aca="false" t="array" ref="J139:J139">_xlfn.single(IF($A139="S",IF(CAIXA.Modo,BM.AFAnterior,BM.MEDAnterior),IF(AND(_xlfn.single(RegimeExecucao)="Global",$I139&gt;0,COUNTIF($AB$13:$AM$13,BM.medicao-1)&gt;0),M139/$I139*100,0)))</f>
        <v>#NAME?</v>
      </c>
      <c r="K139" s="207" t="e">
        <f aca="false">L139-J139</f>
        <v>#NAME?</v>
      </c>
      <c r="L139" s="634" t="e">
        <f aca="false" t="array" ref="L139:L139">_xlfn.single(IF($A139="S",IF(CAIXA.Modo,BM.AFAcumulado,BM.MEDAcumulado),IF(AND(_xlfn.single(RegimeExecucao)="Global",$I139&gt;0,COUNTIF($AB$13:$AM$13,BM.medicao)&gt;0),O139/$I139*100,0)))</f>
        <v>#NAME?</v>
      </c>
      <c r="M139" s="635" t="n">
        <f aca="true">IF($A139="S",VTOTALBM,IF($A139=0,0,ROUND(SomaAgrupBM,15-13*ORÇAMENTO!$AF$11)))</f>
        <v>0</v>
      </c>
      <c r="N139" s="219" t="n">
        <f aca="false">O139-M139</f>
        <v>0</v>
      </c>
      <c r="O139" s="210" t="n">
        <f aca="true">IF($A139="S",VTOTALBM,IF($A139=0,0,ROUND(SomaAgrupBM,15-13*ORÇAMENTO!$AF$11)))</f>
        <v>0</v>
      </c>
      <c r="Q139" s="636"/>
      <c r="R139" s="637"/>
      <c r="T139" s="202" t="str">
        <f aca="false">IF($W139&gt;0,$D139,"")</f>
        <v/>
      </c>
      <c r="U139" s="341" t="str">
        <f aca="false">IF($W139&gt;0,$E139,"")</f>
        <v/>
      </c>
      <c r="V139" s="342" t="str">
        <f aca="true">IF(AND($W139&gt;0,RegimeExecucao="Unitário"),$F139,"")</f>
        <v/>
      </c>
      <c r="W139" s="638" t="n">
        <f aca="true">IF($Y139&gt;0,CHOOSE(MATCH(RegimeExecucao,{"Unitário","Global"},0),IF($A139="S",$Y139/$X139,""),($Y139/$X139)*100),0)</f>
        <v>0</v>
      </c>
      <c r="X139" s="639" t="str">
        <f aca="true">IF($Y139&gt;0,CHOOSE(MATCH(RegimeExecucao,{"Unitário","Global"},0),IF($A139="S",ROUND($H139,ORÇAMENTO!$AF$10),""),ROUND($I139,ORÇAMENTO!$AF$11)),"")</f>
        <v/>
      </c>
      <c r="Y139" s="639" t="n">
        <f aca="false">AO139-O139</f>
        <v>0</v>
      </c>
      <c r="Z139" s="640"/>
      <c r="AB139" s="636"/>
      <c r="AC139" s="641"/>
      <c r="AD139" s="641"/>
      <c r="AE139" s="641"/>
      <c r="AF139" s="641"/>
      <c r="AG139" s="641"/>
      <c r="AH139" s="641"/>
      <c r="AI139" s="641"/>
      <c r="AJ139" s="641"/>
      <c r="AK139" s="641"/>
      <c r="AL139" s="641"/>
      <c r="AM139" s="637"/>
      <c r="AO139" s="38" t="n">
        <f aca="true">IF($A139="S",IF(BM!$I139=0,0,CHOOSE(MATCH(RegimeExecucao,{"Global","Unitário"},0),ROUND(ROUND(BM.MEDAcumulado,15-13*BM!$A$9)/100*BM!$I139,15-13*ORÇAMENTO!$AF$11),ROUND(ROUND(BM.MEDAcumulado,15-13*BM!$A$9)*ROUND(BM!$H139,15-13*ORÇAMENTO!$AF$10),15-13*ORÇAMENTO!$AF$11))),IF($A139=0,0,ROUND(SomaAgrupBM,15-13*ORÇAMENTO!$AF$11)))</f>
        <v>0</v>
      </c>
    </row>
    <row r="140" customFormat="false" ht="35.05" hidden="false" customHeight="false" outlineLevel="0" collapsed="false">
      <c r="A140" s="1" t="str">
        <f aca="false">ORÇAMENTO!C140</f>
        <v>S</v>
      </c>
      <c r="B140" s="1" t="n">
        <f aca="false">ORÇAMENTO!D140</f>
        <v>0</v>
      </c>
      <c r="C140" s="199" t="str">
        <f aca="false">IF(OR($I140&gt;0,$A140=1,$A140=2,$A140=3,$A140=4),"F","")</f>
        <v>F</v>
      </c>
      <c r="D140" s="202" t="str">
        <f aca="false">ORÇAMENTO!O140</f>
        <v>1.40.4.</v>
      </c>
      <c r="E140" s="341" t="str">
        <f aca="false">ORÇAMENTO.Descricao</f>
        <v>ADAPTADOR CURTO COM BOLSA E ROSCA PARA REGISTRO, PVC, SOLDÁVEL, DN 25MM X 3/4, INSTALADO EM RAMAL OU SUB-RAMAL DE ÁGUA - FORNECIMENTO E INSTALAÇÃO. AF_06/2022</v>
      </c>
      <c r="F140" s="342" t="str">
        <f aca="true">IF(RegimeExecucao="Global","",ORÇAMENTO.Unidade)</f>
        <v/>
      </c>
      <c r="G140" s="207" t="str">
        <f aca="true">IF(RegimeExecucao="Global","",ORÇAMENTO!T140)</f>
        <v/>
      </c>
      <c r="H140" s="207" t="str">
        <f aca="true">IF(RegimeExecucao="Global","",ORÇAMENTO!W140)</f>
        <v/>
      </c>
      <c r="I140" s="210" t="n">
        <f aca="false">ORÇAMENTO!X140</f>
        <v>1696</v>
      </c>
      <c r="J140" s="633" t="e">
        <f aca="false" t="array" ref="J140:J140">_xlfn.single(IF($A140="S",IF(CAIXA.Modo,BM.AFAnterior,BM.MEDAnterior),IF(AND(_xlfn.single(RegimeExecucao)="Global",$I140&gt;0,COUNTIF($AB$13:$AM$13,BM.medicao-1)&gt;0),M140/$I140*100,0)))</f>
        <v>#NAME?</v>
      </c>
      <c r="K140" s="207" t="e">
        <f aca="false">L140-J140</f>
        <v>#NAME?</v>
      </c>
      <c r="L140" s="634" t="e">
        <f aca="false" t="array" ref="L140:L140">_xlfn.single(IF($A140="S",IF(CAIXA.Modo,BM.AFAcumulado,BM.MEDAcumulado),IF(AND(_xlfn.single(RegimeExecucao)="Global",$I140&gt;0,COUNTIF($AB$13:$AM$13,BM.medicao)&gt;0),O140/$I140*100,0)))</f>
        <v>#NAME?</v>
      </c>
      <c r="M140" s="635" t="n">
        <f aca="true">IF($A140="S",VTOTALBM,IF($A140=0,0,ROUND(SomaAgrupBM,15-13*ORÇAMENTO!$AF$11)))</f>
        <v>0</v>
      </c>
      <c r="N140" s="219" t="n">
        <f aca="false">O140-M140</f>
        <v>0</v>
      </c>
      <c r="O140" s="210" t="n">
        <f aca="true">IF($A140="S",VTOTALBM,IF($A140=0,0,ROUND(SomaAgrupBM,15-13*ORÇAMENTO!$AF$11)))</f>
        <v>0</v>
      </c>
      <c r="Q140" s="636"/>
      <c r="R140" s="637"/>
      <c r="T140" s="202" t="str">
        <f aca="false">IF($W140&gt;0,$D140,"")</f>
        <v/>
      </c>
      <c r="U140" s="341" t="str">
        <f aca="false">IF($W140&gt;0,$E140,"")</f>
        <v/>
      </c>
      <c r="V140" s="342" t="str">
        <f aca="true">IF(AND($W140&gt;0,RegimeExecucao="Unitário"),$F140,"")</f>
        <v/>
      </c>
      <c r="W140" s="638" t="n">
        <f aca="true">IF($Y140&gt;0,CHOOSE(MATCH(RegimeExecucao,{"Unitário","Global"},0),IF($A140="S",$Y140/$X140,""),($Y140/$X140)*100),0)</f>
        <v>0</v>
      </c>
      <c r="X140" s="639" t="str">
        <f aca="true">IF($Y140&gt;0,CHOOSE(MATCH(RegimeExecucao,{"Unitário","Global"},0),IF($A140="S",ROUND($H140,ORÇAMENTO!$AF$10),""),ROUND($I140,ORÇAMENTO!$AF$11)),"")</f>
        <v/>
      </c>
      <c r="Y140" s="639" t="n">
        <f aca="false">AO140-O140</f>
        <v>0</v>
      </c>
      <c r="Z140" s="640"/>
      <c r="AB140" s="636"/>
      <c r="AC140" s="641"/>
      <c r="AD140" s="641"/>
      <c r="AE140" s="641"/>
      <c r="AF140" s="641"/>
      <c r="AG140" s="641"/>
      <c r="AH140" s="641"/>
      <c r="AI140" s="641"/>
      <c r="AJ140" s="641"/>
      <c r="AK140" s="641"/>
      <c r="AL140" s="641"/>
      <c r="AM140" s="637"/>
      <c r="AO140" s="38" t="n">
        <f aca="true">IF($A140="S",IF(BM!$I140=0,0,CHOOSE(MATCH(RegimeExecucao,{"Global","Unitário"},0),ROUND(ROUND(BM.MEDAcumulado,15-13*BM!$A$9)/100*BM!$I140,15-13*ORÇAMENTO!$AF$11),ROUND(ROUND(BM.MEDAcumulado,15-13*BM!$A$9)*ROUND(BM!$H140,15-13*ORÇAMENTO!$AF$10),15-13*ORÇAMENTO!$AF$11))),IF($A140=0,0,ROUND(SomaAgrupBM,15-13*ORÇAMENTO!$AF$11)))</f>
        <v>0</v>
      </c>
    </row>
    <row r="141" customFormat="false" ht="23.85" hidden="false" customHeight="false" outlineLevel="0" collapsed="false">
      <c r="A141" s="1" t="str">
        <f aca="false">ORÇAMENTO!C141</f>
        <v>S</v>
      </c>
      <c r="B141" s="1" t="n">
        <f aca="false">ORÇAMENTO!D141</f>
        <v>0</v>
      </c>
      <c r="C141" s="199" t="str">
        <f aca="false">IF(OR($I141&gt;0,$A141=1,$A141=2,$A141=3,$A141=4),"F","")</f>
        <v>F</v>
      </c>
      <c r="D141" s="202" t="str">
        <f aca="false">ORÇAMENTO!O141</f>
        <v>1.40.5.</v>
      </c>
      <c r="E141" s="341" t="str">
        <f aca="false">ORÇAMENTO.Descricao</f>
        <v>TUBO, PVC, SOLDÁVEL, DE 25MM, INSTALADO EM PRUMADA DE ÁGUA - FORNECIMENTO E INSTALAÇÃO. AF_06/2022</v>
      </c>
      <c r="F141" s="342" t="str">
        <f aca="true">IF(RegimeExecucao="Global","",ORÇAMENTO.Unidade)</f>
        <v/>
      </c>
      <c r="G141" s="207" t="str">
        <f aca="true">IF(RegimeExecucao="Global","",ORÇAMENTO!T141)</f>
        <v/>
      </c>
      <c r="H141" s="207" t="str">
        <f aca="true">IF(RegimeExecucao="Global","",ORÇAMENTO!W141)</f>
        <v/>
      </c>
      <c r="I141" s="210" t="n">
        <f aca="false">ORÇAMENTO!X141</f>
        <v>850.5</v>
      </c>
      <c r="J141" s="633" t="e">
        <f aca="false" t="array" ref="J141:J141">_xlfn.single(IF($A141="S",IF(CAIXA.Modo,BM.AFAnterior,BM.MEDAnterior),IF(AND(_xlfn.single(RegimeExecucao)="Global",$I141&gt;0,COUNTIF($AB$13:$AM$13,BM.medicao-1)&gt;0),M141/$I141*100,0)))</f>
        <v>#NAME?</v>
      </c>
      <c r="K141" s="207" t="e">
        <f aca="false">L141-J141</f>
        <v>#NAME?</v>
      </c>
      <c r="L141" s="634" t="e">
        <f aca="false" t="array" ref="L141:L141">_xlfn.single(IF($A141="S",IF(CAIXA.Modo,BM.AFAcumulado,BM.MEDAcumulado),IF(AND(_xlfn.single(RegimeExecucao)="Global",$I141&gt;0,COUNTIF($AB$13:$AM$13,BM.medicao)&gt;0),O141/$I141*100,0)))</f>
        <v>#NAME?</v>
      </c>
      <c r="M141" s="635" t="n">
        <f aca="true">IF($A141="S",VTOTALBM,IF($A141=0,0,ROUND(SomaAgrupBM,15-13*ORÇAMENTO!$AF$11)))</f>
        <v>0</v>
      </c>
      <c r="N141" s="219" t="n">
        <f aca="false">O141-M141</f>
        <v>0</v>
      </c>
      <c r="O141" s="210" t="n">
        <f aca="true">IF($A141="S",VTOTALBM,IF($A141=0,0,ROUND(SomaAgrupBM,15-13*ORÇAMENTO!$AF$11)))</f>
        <v>0</v>
      </c>
      <c r="Q141" s="636"/>
      <c r="R141" s="637"/>
      <c r="T141" s="202" t="str">
        <f aca="false">IF($W141&gt;0,$D141,"")</f>
        <v/>
      </c>
      <c r="U141" s="341" t="str">
        <f aca="false">IF($W141&gt;0,$E141,"")</f>
        <v/>
      </c>
      <c r="V141" s="342" t="str">
        <f aca="true">IF(AND($W141&gt;0,RegimeExecucao="Unitário"),$F141,"")</f>
        <v/>
      </c>
      <c r="W141" s="638" t="n">
        <f aca="true">IF($Y141&gt;0,CHOOSE(MATCH(RegimeExecucao,{"Unitário","Global"},0),IF($A141="S",$Y141/$X141,""),($Y141/$X141)*100),0)</f>
        <v>0</v>
      </c>
      <c r="X141" s="639" t="str">
        <f aca="true">IF($Y141&gt;0,CHOOSE(MATCH(RegimeExecucao,{"Unitário","Global"},0),IF($A141="S",ROUND($H141,ORÇAMENTO!$AF$10),""),ROUND($I141,ORÇAMENTO!$AF$11)),"")</f>
        <v/>
      </c>
      <c r="Y141" s="639" t="n">
        <f aca="false">AO141-O141</f>
        <v>0</v>
      </c>
      <c r="Z141" s="640"/>
      <c r="AB141" s="636"/>
      <c r="AC141" s="641"/>
      <c r="AD141" s="641"/>
      <c r="AE141" s="641"/>
      <c r="AF141" s="641"/>
      <c r="AG141" s="641"/>
      <c r="AH141" s="641"/>
      <c r="AI141" s="641"/>
      <c r="AJ141" s="641"/>
      <c r="AK141" s="641"/>
      <c r="AL141" s="641"/>
      <c r="AM141" s="637"/>
      <c r="AO141" s="38" t="n">
        <f aca="true">IF($A141="S",IF(BM!$I141=0,0,CHOOSE(MATCH(RegimeExecucao,{"Global","Unitário"},0),ROUND(ROUND(BM.MEDAcumulado,15-13*BM!$A$9)/100*BM!$I141,15-13*ORÇAMENTO!$AF$11),ROUND(ROUND(BM.MEDAcumulado,15-13*BM!$A$9)*ROUND(BM!$H141,15-13*ORÇAMENTO!$AF$10),15-13*ORÇAMENTO!$AF$11))),IF($A141=0,0,ROUND(SomaAgrupBM,15-13*ORÇAMENTO!$AF$11)))</f>
        <v>0</v>
      </c>
    </row>
    <row r="142" customFormat="false" ht="23.85" hidden="false" customHeight="false" outlineLevel="0" collapsed="false">
      <c r="A142" s="1" t="str">
        <f aca="false">ORÇAMENTO!C142</f>
        <v>S</v>
      </c>
      <c r="B142" s="1" t="n">
        <f aca="false">ORÇAMENTO!D142</f>
        <v>0</v>
      </c>
      <c r="C142" s="199" t="str">
        <f aca="false">IF(OR($I142&gt;0,$A142=1,$A142=2,$A142=3,$A142=4),"F","")</f>
        <v>F</v>
      </c>
      <c r="D142" s="202" t="str">
        <f aca="false">ORÇAMENTO!O142</f>
        <v>1.40.6.</v>
      </c>
      <c r="E142" s="341" t="str">
        <f aca="false">ORÇAMENTO.Descricao</f>
        <v>TUBO, PVC, SOLDÁVEL, DE 25MM, INSTALADO EM RAMAL OU SUB-RAMAL DE ÁGUA - FORNECIMENTO E INSTALAÇÃO. AF_06/2022</v>
      </c>
      <c r="F142" s="342" t="str">
        <f aca="true">IF(RegimeExecucao="Global","",ORÇAMENTO.Unidade)</f>
        <v/>
      </c>
      <c r="G142" s="207" t="str">
        <f aca="true">IF(RegimeExecucao="Global","",ORÇAMENTO!T142)</f>
        <v/>
      </c>
      <c r="H142" s="207" t="str">
        <f aca="true">IF(RegimeExecucao="Global","",ORÇAMENTO!W142)</f>
        <v/>
      </c>
      <c r="I142" s="210" t="n">
        <f aca="false">ORÇAMENTO!X142</f>
        <v>6612</v>
      </c>
      <c r="J142" s="633" t="e">
        <f aca="false" t="array" ref="J142:J142">_xlfn.single(IF($A142="S",IF(CAIXA.Modo,BM.AFAnterior,BM.MEDAnterior),IF(AND(_xlfn.single(RegimeExecucao)="Global",$I142&gt;0,COUNTIF($AB$13:$AM$13,BM.medicao-1)&gt;0),M142/$I142*100,0)))</f>
        <v>#NAME?</v>
      </c>
      <c r="K142" s="207" t="e">
        <f aca="false">L142-J142</f>
        <v>#NAME?</v>
      </c>
      <c r="L142" s="634" t="e">
        <f aca="false" t="array" ref="L142:L142">_xlfn.single(IF($A142="S",IF(CAIXA.Modo,BM.AFAcumulado,BM.MEDAcumulado),IF(AND(_xlfn.single(RegimeExecucao)="Global",$I142&gt;0,COUNTIF($AB$13:$AM$13,BM.medicao)&gt;0),O142/$I142*100,0)))</f>
        <v>#NAME?</v>
      </c>
      <c r="M142" s="635" t="n">
        <f aca="true">IF($A142="S",VTOTALBM,IF($A142=0,0,ROUND(SomaAgrupBM,15-13*ORÇAMENTO!$AF$11)))</f>
        <v>0</v>
      </c>
      <c r="N142" s="219" t="n">
        <f aca="false">O142-M142</f>
        <v>0</v>
      </c>
      <c r="O142" s="210" t="n">
        <f aca="true">IF($A142="S",VTOTALBM,IF($A142=0,0,ROUND(SomaAgrupBM,15-13*ORÇAMENTO!$AF$11)))</f>
        <v>0</v>
      </c>
      <c r="Q142" s="636"/>
      <c r="R142" s="637"/>
      <c r="T142" s="202" t="str">
        <f aca="false">IF($W142&gt;0,$D142,"")</f>
        <v/>
      </c>
      <c r="U142" s="341" t="str">
        <f aca="false">IF($W142&gt;0,$E142,"")</f>
        <v/>
      </c>
      <c r="V142" s="342" t="str">
        <f aca="true">IF(AND($W142&gt;0,RegimeExecucao="Unitário"),$F142,"")</f>
        <v/>
      </c>
      <c r="W142" s="638" t="n">
        <f aca="true">IF($Y142&gt;0,CHOOSE(MATCH(RegimeExecucao,{"Unitário","Global"},0),IF($A142="S",$Y142/$X142,""),($Y142/$X142)*100),0)</f>
        <v>0</v>
      </c>
      <c r="X142" s="639" t="str">
        <f aca="true">IF($Y142&gt;0,CHOOSE(MATCH(RegimeExecucao,{"Unitário","Global"},0),IF($A142="S",ROUND($H142,ORÇAMENTO!$AF$10),""),ROUND($I142,ORÇAMENTO!$AF$11)),"")</f>
        <v/>
      </c>
      <c r="Y142" s="639" t="n">
        <f aca="false">AO142-O142</f>
        <v>0</v>
      </c>
      <c r="Z142" s="640"/>
      <c r="AB142" s="636"/>
      <c r="AC142" s="641"/>
      <c r="AD142" s="641"/>
      <c r="AE142" s="641"/>
      <c r="AF142" s="641"/>
      <c r="AG142" s="641"/>
      <c r="AH142" s="641"/>
      <c r="AI142" s="641"/>
      <c r="AJ142" s="641"/>
      <c r="AK142" s="641"/>
      <c r="AL142" s="641"/>
      <c r="AM142" s="637"/>
      <c r="AO142" s="38" t="n">
        <f aca="true">IF($A142="S",IF(BM!$I142=0,0,CHOOSE(MATCH(RegimeExecucao,{"Global","Unitário"},0),ROUND(ROUND(BM.MEDAcumulado,15-13*BM!$A$9)/100*BM!$I142,15-13*ORÇAMENTO!$AF$11),ROUND(ROUND(BM.MEDAcumulado,15-13*BM!$A$9)*ROUND(BM!$H142,15-13*ORÇAMENTO!$AF$10),15-13*ORÇAMENTO!$AF$11))),IF($A142=0,0,ROUND(SomaAgrupBM,15-13*ORÇAMENTO!$AF$11)))</f>
        <v>0</v>
      </c>
    </row>
    <row r="143" customFormat="false" ht="12.75" hidden="false" customHeight="false" outlineLevel="0" collapsed="false">
      <c r="A143" s="1" t="n">
        <f aca="false">ORÇAMENTO!C143</f>
        <v>2</v>
      </c>
      <c r="B143" s="1" t="n">
        <f aca="false">ORÇAMENTO!D143</f>
        <v>5</v>
      </c>
      <c r="C143" s="199" t="str">
        <f aca="false">IF(OR($I143&gt;0,$A143=1,$A143=2,$A143=3,$A143=4),"F","")</f>
        <v>F</v>
      </c>
      <c r="D143" s="202" t="str">
        <f aca="false">ORÇAMENTO!O143</f>
        <v>1.41.</v>
      </c>
      <c r="E143" s="341" t="str">
        <f aca="false">ORÇAMENTO.Descricao</f>
        <v>REGISTROS </v>
      </c>
      <c r="F143" s="342" t="str">
        <f aca="true">IF(RegimeExecucao="Global","",ORÇAMENTO.Unidade)</f>
        <v/>
      </c>
      <c r="G143" s="207" t="str">
        <f aca="true">IF(RegimeExecucao="Global","",ORÇAMENTO!T143)</f>
        <v/>
      </c>
      <c r="H143" s="207" t="str">
        <f aca="true">IF(RegimeExecucao="Global","",ORÇAMENTO!W143)</f>
        <v/>
      </c>
      <c r="I143" s="210" t="n">
        <f aca="false">ORÇAMENTO!X143</f>
        <v>22576</v>
      </c>
      <c r="J143" s="633" t="e">
        <f aca="false" t="array" ref="J143:J143">_xlfn.single(IF($A143="S",IF(CAIXA.Modo,BM.AFAnterior,BM.MEDAnterior),IF(AND(_xlfn.single(RegimeExecucao)="Global",$I143&gt;0,COUNTIF($AB$13:$AM$13,BM.medicao-1)&gt;0),M143/$I143*100,0)))</f>
        <v>#NAME?</v>
      </c>
      <c r="K143" s="207" t="e">
        <f aca="false">L143-J143</f>
        <v>#NAME?</v>
      </c>
      <c r="L143" s="634" t="e">
        <f aca="false" t="array" ref="L143:L143">_xlfn.single(IF($A143="S",IF(CAIXA.Modo,BM.AFAcumulado,BM.MEDAcumulado),IF(AND(_xlfn.single(RegimeExecucao)="Global",$I143&gt;0,COUNTIF($AB$13:$AM$13,BM.medicao)&gt;0),O143/$I143*100,0)))</f>
        <v>#NAME?</v>
      </c>
      <c r="M143" s="635" t="n">
        <f aca="true">IF($A143="S",VTOTALBM,IF($A143=0,0,ROUND(SomaAgrupBM,15-13*ORÇAMENTO!$AF$11)))</f>
        <v>0</v>
      </c>
      <c r="N143" s="219" t="n">
        <f aca="false">O143-M143</f>
        <v>0</v>
      </c>
      <c r="O143" s="210" t="n">
        <f aca="true">IF($A143="S",VTOTALBM,IF($A143=0,0,ROUND(SomaAgrupBM,15-13*ORÇAMENTO!$AF$11)))</f>
        <v>0</v>
      </c>
      <c r="Q143" s="636"/>
      <c r="R143" s="637"/>
      <c r="T143" s="202" t="str">
        <f aca="false">IF($W143&gt;0,$D143,"")</f>
        <v/>
      </c>
      <c r="U143" s="341" t="str">
        <f aca="false">IF($W143&gt;0,$E143,"")</f>
        <v/>
      </c>
      <c r="V143" s="342" t="str">
        <f aca="true">IF(AND($W143&gt;0,RegimeExecucao="Unitário"),$F143,"")</f>
        <v/>
      </c>
      <c r="W143" s="638" t="n">
        <f aca="true">IF($Y143&gt;0,CHOOSE(MATCH(RegimeExecucao,{"Unitário","Global"},0),IF($A143="S",$Y143/$X143,""),($Y143/$X143)*100),0)</f>
        <v>0</v>
      </c>
      <c r="X143" s="639" t="str">
        <f aca="true">IF($Y143&gt;0,CHOOSE(MATCH(RegimeExecucao,{"Unitário","Global"},0),IF($A143="S",ROUND($H143,ORÇAMENTO!$AF$10),""),ROUND($I143,ORÇAMENTO!$AF$11)),"")</f>
        <v/>
      </c>
      <c r="Y143" s="639" t="n">
        <f aca="false">AO143-O143</f>
        <v>0</v>
      </c>
      <c r="Z143" s="640"/>
      <c r="AB143" s="636"/>
      <c r="AC143" s="641"/>
      <c r="AD143" s="641"/>
      <c r="AE143" s="641"/>
      <c r="AF143" s="641"/>
      <c r="AG143" s="641"/>
      <c r="AH143" s="641"/>
      <c r="AI143" s="641"/>
      <c r="AJ143" s="641"/>
      <c r="AK143" s="641"/>
      <c r="AL143" s="641"/>
      <c r="AM143" s="637"/>
      <c r="AO143" s="38" t="n">
        <f aca="true">IF($A143="S",IF(BM!$I143=0,0,CHOOSE(MATCH(RegimeExecucao,{"Global","Unitário"},0),ROUND(ROUND(BM.MEDAcumulado,15-13*BM!$A$9)/100*BM!$I143,15-13*ORÇAMENTO!$AF$11),ROUND(ROUND(BM.MEDAcumulado,15-13*BM!$A$9)*ROUND(BM!$H143,15-13*ORÇAMENTO!$AF$10),15-13*ORÇAMENTO!$AF$11))),IF($A143=0,0,ROUND(SomaAgrupBM,15-13*ORÇAMENTO!$AF$11)))</f>
        <v>0</v>
      </c>
    </row>
    <row r="144" customFormat="false" ht="35.05" hidden="false" customHeight="false" outlineLevel="0" collapsed="false">
      <c r="A144" s="1" t="str">
        <f aca="false">ORÇAMENTO!C144</f>
        <v>S</v>
      </c>
      <c r="B144" s="1" t="n">
        <f aca="false">ORÇAMENTO!D144</f>
        <v>0</v>
      </c>
      <c r="C144" s="199" t="str">
        <f aca="false">IF(OR($I144&gt;0,$A144=1,$A144=2,$A144=3,$A144=4),"F","")</f>
        <v>F</v>
      </c>
      <c r="D144" s="202" t="str">
        <f aca="false">ORÇAMENTO!O144</f>
        <v>1.41.1.</v>
      </c>
      <c r="E144" s="341" t="str">
        <f aca="false">ORÇAMENTO.Descricao</f>
        <v>REGISTRO DE PRESSÃO BRUTO, LATÃO, ROSCÁVEL, 3/4", COM ACABAMENTO E CANOPLA CROMADOS - FORNECIMENTO E INSTALAÇÃO. AF_08/2021</v>
      </c>
      <c r="F144" s="342" t="str">
        <f aca="true">IF(RegimeExecucao="Global","",ORÇAMENTO.Unidade)</f>
        <v/>
      </c>
      <c r="G144" s="207" t="str">
        <f aca="true">IF(RegimeExecucao="Global","",ORÇAMENTO!T144)</f>
        <v/>
      </c>
      <c r="H144" s="207" t="str">
        <f aca="true">IF(RegimeExecucao="Global","",ORÇAMENTO!W144)</f>
        <v/>
      </c>
      <c r="I144" s="210" t="n">
        <f aca="false">ORÇAMENTO!X144</f>
        <v>4548</v>
      </c>
      <c r="J144" s="633" t="e">
        <f aca="false" t="array" ref="J144:J144">_xlfn.single(IF($A144="S",IF(CAIXA.Modo,BM.AFAnterior,BM.MEDAnterior),IF(AND(_xlfn.single(RegimeExecucao)="Global",$I144&gt;0,COUNTIF($AB$13:$AM$13,BM.medicao-1)&gt;0),M144/$I144*100,0)))</f>
        <v>#NAME?</v>
      </c>
      <c r="K144" s="207" t="e">
        <f aca="false">L144-J144</f>
        <v>#NAME?</v>
      </c>
      <c r="L144" s="634" t="e">
        <f aca="false" t="array" ref="L144:L144">_xlfn.single(IF($A144="S",IF(CAIXA.Modo,BM.AFAcumulado,BM.MEDAcumulado),IF(AND(_xlfn.single(RegimeExecucao)="Global",$I144&gt;0,COUNTIF($AB$13:$AM$13,BM.medicao)&gt;0),O144/$I144*100,0)))</f>
        <v>#NAME?</v>
      </c>
      <c r="M144" s="635" t="n">
        <f aca="true">IF($A144="S",VTOTALBM,IF($A144=0,0,ROUND(SomaAgrupBM,15-13*ORÇAMENTO!$AF$11)))</f>
        <v>0</v>
      </c>
      <c r="N144" s="219" t="n">
        <f aca="false">O144-M144</f>
        <v>0</v>
      </c>
      <c r="O144" s="210" t="n">
        <f aca="true">IF($A144="S",VTOTALBM,IF($A144=0,0,ROUND(SomaAgrupBM,15-13*ORÇAMENTO!$AF$11)))</f>
        <v>0</v>
      </c>
      <c r="Q144" s="636"/>
      <c r="R144" s="637"/>
      <c r="T144" s="202" t="str">
        <f aca="false">IF($W144&gt;0,$D144,"")</f>
        <v/>
      </c>
      <c r="U144" s="341" t="str">
        <f aca="false">IF($W144&gt;0,$E144,"")</f>
        <v/>
      </c>
      <c r="V144" s="342" t="str">
        <f aca="true">IF(AND($W144&gt;0,RegimeExecucao="Unitário"),$F144,"")</f>
        <v/>
      </c>
      <c r="W144" s="638" t="n">
        <f aca="true">IF($Y144&gt;0,CHOOSE(MATCH(RegimeExecucao,{"Unitário","Global"},0),IF($A144="S",$Y144/$X144,""),($Y144/$X144)*100),0)</f>
        <v>0</v>
      </c>
      <c r="X144" s="639" t="str">
        <f aca="true">IF($Y144&gt;0,CHOOSE(MATCH(RegimeExecucao,{"Unitário","Global"},0),IF($A144="S",ROUND($H144,ORÇAMENTO!$AF$10),""),ROUND($I144,ORÇAMENTO!$AF$11)),"")</f>
        <v/>
      </c>
      <c r="Y144" s="639" t="n">
        <f aca="false">AO144-O144</f>
        <v>0</v>
      </c>
      <c r="Z144" s="640"/>
      <c r="AB144" s="636"/>
      <c r="AC144" s="641"/>
      <c r="AD144" s="641"/>
      <c r="AE144" s="641"/>
      <c r="AF144" s="641"/>
      <c r="AG144" s="641"/>
      <c r="AH144" s="641"/>
      <c r="AI144" s="641"/>
      <c r="AJ144" s="641"/>
      <c r="AK144" s="641"/>
      <c r="AL144" s="641"/>
      <c r="AM144" s="637"/>
      <c r="AO144" s="38" t="n">
        <f aca="true">IF($A144="S",IF(BM!$I144=0,0,CHOOSE(MATCH(RegimeExecucao,{"Global","Unitário"},0),ROUND(ROUND(BM.MEDAcumulado,15-13*BM!$A$9)/100*BM!$I144,15-13*ORÇAMENTO!$AF$11),ROUND(ROUND(BM.MEDAcumulado,15-13*BM!$A$9)*ROUND(BM!$H144,15-13*ORÇAMENTO!$AF$10),15-13*ORÇAMENTO!$AF$11))),IF($A144=0,0,ROUND(SomaAgrupBM,15-13*ORÇAMENTO!$AF$11)))</f>
        <v>0</v>
      </c>
    </row>
    <row r="145" customFormat="false" ht="35.05" hidden="false" customHeight="false" outlineLevel="0" collapsed="false">
      <c r="A145" s="1" t="str">
        <f aca="false">ORÇAMENTO!C145</f>
        <v>S</v>
      </c>
      <c r="B145" s="1" t="n">
        <f aca="false">ORÇAMENTO!D145</f>
        <v>0</v>
      </c>
      <c r="C145" s="199" t="str">
        <f aca="false">IF(OR($I145&gt;0,$A145=1,$A145=2,$A145=3,$A145=4),"F","")</f>
        <v>F</v>
      </c>
      <c r="D145" s="202" t="str">
        <f aca="false">ORÇAMENTO!O145</f>
        <v>1.41.2.</v>
      </c>
      <c r="E145" s="341" t="str">
        <f aca="false">ORÇAMENTO.Descricao</f>
        <v>REGISTRO DE GAVETA BRUTO, LATÃO, ROSCÁVEL, 3/4", COM ACABAMENTO E CANOPLA CROMADOS - FORNECIMENTO E INSTALAÇÃO. AF_08/2021</v>
      </c>
      <c r="F145" s="342" t="str">
        <f aca="true">IF(RegimeExecucao="Global","",ORÇAMENTO.Unidade)</f>
        <v/>
      </c>
      <c r="G145" s="207" t="str">
        <f aca="true">IF(RegimeExecucao="Global","",ORÇAMENTO!T145)</f>
        <v/>
      </c>
      <c r="H145" s="207" t="str">
        <f aca="true">IF(RegimeExecucao="Global","",ORÇAMENTO!W145)</f>
        <v/>
      </c>
      <c r="I145" s="210" t="n">
        <f aca="false">ORÇAMENTO!X145</f>
        <v>14400</v>
      </c>
      <c r="J145" s="633" t="e">
        <f aca="false" t="array" ref="J145:J145">_xlfn.single(IF($A145="S",IF(CAIXA.Modo,BM.AFAnterior,BM.MEDAnterior),IF(AND(_xlfn.single(RegimeExecucao)="Global",$I145&gt;0,COUNTIF($AB$13:$AM$13,BM.medicao-1)&gt;0),M145/$I145*100,0)))</f>
        <v>#NAME?</v>
      </c>
      <c r="K145" s="207" t="e">
        <f aca="false">L145-J145</f>
        <v>#NAME?</v>
      </c>
      <c r="L145" s="634" t="e">
        <f aca="false" t="array" ref="L145:L145">_xlfn.single(IF($A145="S",IF(CAIXA.Modo,BM.AFAcumulado,BM.MEDAcumulado),IF(AND(_xlfn.single(RegimeExecucao)="Global",$I145&gt;0,COUNTIF($AB$13:$AM$13,BM.medicao)&gt;0),O145/$I145*100,0)))</f>
        <v>#NAME?</v>
      </c>
      <c r="M145" s="635" t="n">
        <f aca="true">IF($A145="S",VTOTALBM,IF($A145=0,0,ROUND(SomaAgrupBM,15-13*ORÇAMENTO!$AF$11)))</f>
        <v>0</v>
      </c>
      <c r="N145" s="219" t="n">
        <f aca="false">O145-M145</f>
        <v>0</v>
      </c>
      <c r="O145" s="210" t="n">
        <f aca="true">IF($A145="S",VTOTALBM,IF($A145=0,0,ROUND(SomaAgrupBM,15-13*ORÇAMENTO!$AF$11)))</f>
        <v>0</v>
      </c>
      <c r="Q145" s="636"/>
      <c r="R145" s="637"/>
      <c r="T145" s="202" t="str">
        <f aca="false">IF($W145&gt;0,$D145,"")</f>
        <v/>
      </c>
      <c r="U145" s="341" t="str">
        <f aca="false">IF($W145&gt;0,$E145,"")</f>
        <v/>
      </c>
      <c r="V145" s="342" t="str">
        <f aca="true">IF(AND($W145&gt;0,RegimeExecucao="Unitário"),$F145,"")</f>
        <v/>
      </c>
      <c r="W145" s="638" t="n">
        <f aca="true">IF($Y145&gt;0,CHOOSE(MATCH(RegimeExecucao,{"Unitário","Global"},0),IF($A145="S",$Y145/$X145,""),($Y145/$X145)*100),0)</f>
        <v>0</v>
      </c>
      <c r="X145" s="639" t="str">
        <f aca="true">IF($Y145&gt;0,CHOOSE(MATCH(RegimeExecucao,{"Unitário","Global"},0),IF($A145="S",ROUND($H145,ORÇAMENTO!$AF$10),""),ROUND($I145,ORÇAMENTO!$AF$11)),"")</f>
        <v/>
      </c>
      <c r="Y145" s="639" t="n">
        <f aca="false">AO145-O145</f>
        <v>0</v>
      </c>
      <c r="Z145" s="640"/>
      <c r="AB145" s="636"/>
      <c r="AC145" s="641"/>
      <c r="AD145" s="641"/>
      <c r="AE145" s="641"/>
      <c r="AF145" s="641"/>
      <c r="AG145" s="641"/>
      <c r="AH145" s="641"/>
      <c r="AI145" s="641"/>
      <c r="AJ145" s="641"/>
      <c r="AK145" s="641"/>
      <c r="AL145" s="641"/>
      <c r="AM145" s="637"/>
      <c r="AO145" s="38" t="n">
        <f aca="true">IF($A145="S",IF(BM!$I145=0,0,CHOOSE(MATCH(RegimeExecucao,{"Global","Unitário"},0),ROUND(ROUND(BM.MEDAcumulado,15-13*BM!$A$9)/100*BM!$I145,15-13*ORÇAMENTO!$AF$11),ROUND(ROUND(BM.MEDAcumulado,15-13*BM!$A$9)*ROUND(BM!$H145,15-13*ORÇAMENTO!$AF$10),15-13*ORÇAMENTO!$AF$11))),IF($A145=0,0,ROUND(SomaAgrupBM,15-13*ORÇAMENTO!$AF$11)))</f>
        <v>0</v>
      </c>
    </row>
    <row r="146" customFormat="false" ht="23.85" hidden="false" customHeight="false" outlineLevel="0" collapsed="false">
      <c r="A146" s="1" t="str">
        <f aca="false">ORÇAMENTO!C146</f>
        <v>S</v>
      </c>
      <c r="B146" s="1" t="n">
        <f aca="false">ORÇAMENTO!D146</f>
        <v>0</v>
      </c>
      <c r="C146" s="199" t="str">
        <f aca="false">IF(OR($I146&gt;0,$A146=1,$A146=2,$A146=3,$A146=4),"F","")</f>
        <v>F</v>
      </c>
      <c r="D146" s="202" t="str">
        <f aca="false">ORÇAMENTO!O146</f>
        <v>1.41.3.</v>
      </c>
      <c r="E146" s="341" t="str">
        <f aca="false">ORÇAMENTO.Descricao</f>
        <v>REGISTRO DE ESFERA, PVC, SOLDÁVEL, COM VOLANTE, DN 32 MM - FORNECIMENTO E INSTALAÇÃO. AF_08/2021</v>
      </c>
      <c r="F146" s="342" t="str">
        <f aca="true">IF(RegimeExecucao="Global","",ORÇAMENTO.Unidade)</f>
        <v/>
      </c>
      <c r="G146" s="207" t="str">
        <f aca="true">IF(RegimeExecucao="Global","",ORÇAMENTO!T146)</f>
        <v/>
      </c>
      <c r="H146" s="207" t="str">
        <f aca="true">IF(RegimeExecucao="Global","",ORÇAMENTO!W146)</f>
        <v/>
      </c>
      <c r="I146" s="210" t="n">
        <f aca="false">ORÇAMENTO!X146</f>
        <v>1936</v>
      </c>
      <c r="J146" s="633" t="e">
        <f aca="false" t="array" ref="J146:J146">_xlfn.single(IF($A146="S",IF(CAIXA.Modo,BM.AFAnterior,BM.MEDAnterior),IF(AND(_xlfn.single(RegimeExecucao)="Global",$I146&gt;0,COUNTIF($AB$13:$AM$13,BM.medicao-1)&gt;0),M146/$I146*100,0)))</f>
        <v>#NAME?</v>
      </c>
      <c r="K146" s="207" t="e">
        <f aca="false">L146-J146</f>
        <v>#NAME?</v>
      </c>
      <c r="L146" s="634" t="e">
        <f aca="false" t="array" ref="L146:L146">_xlfn.single(IF($A146="S",IF(CAIXA.Modo,BM.AFAcumulado,BM.MEDAcumulado),IF(AND(_xlfn.single(RegimeExecucao)="Global",$I146&gt;0,COUNTIF($AB$13:$AM$13,BM.medicao)&gt;0),O146/$I146*100,0)))</f>
        <v>#NAME?</v>
      </c>
      <c r="M146" s="635" t="n">
        <f aca="true">IF($A146="S",VTOTALBM,IF($A146=0,0,ROUND(SomaAgrupBM,15-13*ORÇAMENTO!$AF$11)))</f>
        <v>0</v>
      </c>
      <c r="N146" s="219" t="n">
        <f aca="false">O146-M146</f>
        <v>0</v>
      </c>
      <c r="O146" s="210" t="n">
        <f aca="true">IF($A146="S",VTOTALBM,IF($A146=0,0,ROUND(SomaAgrupBM,15-13*ORÇAMENTO!$AF$11)))</f>
        <v>0</v>
      </c>
      <c r="Q146" s="636"/>
      <c r="R146" s="637"/>
      <c r="T146" s="202" t="str">
        <f aca="false">IF($W146&gt;0,$D146,"")</f>
        <v/>
      </c>
      <c r="U146" s="341" t="str">
        <f aca="false">IF($W146&gt;0,$E146,"")</f>
        <v/>
      </c>
      <c r="V146" s="342" t="str">
        <f aca="true">IF(AND($W146&gt;0,RegimeExecucao="Unitário"),$F146,"")</f>
        <v/>
      </c>
      <c r="W146" s="638" t="n">
        <f aca="true">IF($Y146&gt;0,CHOOSE(MATCH(RegimeExecucao,{"Unitário","Global"},0),IF($A146="S",$Y146/$X146,""),($Y146/$X146)*100),0)</f>
        <v>0</v>
      </c>
      <c r="X146" s="639" t="str">
        <f aca="true">IF($Y146&gt;0,CHOOSE(MATCH(RegimeExecucao,{"Unitário","Global"},0),IF($A146="S",ROUND($H146,ORÇAMENTO!$AF$10),""),ROUND($I146,ORÇAMENTO!$AF$11)),"")</f>
        <v/>
      </c>
      <c r="Y146" s="639" t="n">
        <f aca="false">AO146-O146</f>
        <v>0</v>
      </c>
      <c r="Z146" s="640"/>
      <c r="AB146" s="636"/>
      <c r="AC146" s="641"/>
      <c r="AD146" s="641"/>
      <c r="AE146" s="641"/>
      <c r="AF146" s="641"/>
      <c r="AG146" s="641"/>
      <c r="AH146" s="641"/>
      <c r="AI146" s="641"/>
      <c r="AJ146" s="641"/>
      <c r="AK146" s="641"/>
      <c r="AL146" s="641"/>
      <c r="AM146" s="637"/>
      <c r="AO146" s="38" t="n">
        <f aca="true">IF($A146="S",IF(BM!$I146=0,0,CHOOSE(MATCH(RegimeExecucao,{"Global","Unitário"},0),ROUND(ROUND(BM.MEDAcumulado,15-13*BM!$A$9)/100*BM!$I146,15-13*ORÇAMENTO!$AF$11),ROUND(ROUND(BM.MEDAcumulado,15-13*BM!$A$9)*ROUND(BM!$H146,15-13*ORÇAMENTO!$AF$10),15-13*ORÇAMENTO!$AF$11))),IF($A146=0,0,ROUND(SomaAgrupBM,15-13*ORÇAMENTO!$AF$11)))</f>
        <v>0</v>
      </c>
    </row>
    <row r="147" customFormat="false" ht="23.85" hidden="false" customHeight="false" outlineLevel="0" collapsed="false">
      <c r="A147" s="1" t="str">
        <f aca="false">ORÇAMENTO!C147</f>
        <v>S</v>
      </c>
      <c r="B147" s="1" t="n">
        <f aca="false">ORÇAMENTO!D147</f>
        <v>0</v>
      </c>
      <c r="C147" s="199" t="str">
        <f aca="false">IF(OR($I147&gt;0,$A147=1,$A147=2,$A147=3,$A147=4),"F","")</f>
        <v>F</v>
      </c>
      <c r="D147" s="202" t="str">
        <f aca="false">ORÇAMENTO!O147</f>
        <v>1.41.4.</v>
      </c>
      <c r="E147" s="341" t="str">
        <f aca="false">ORÇAMENTO.Descricao</f>
        <v>ENGATE FLEXÍVEL EM PLÁSTICO BRANCO, 1/2" X 40CM - FORNECIMENTO E INSTALAÇÃO. AF_01/2020</v>
      </c>
      <c r="F147" s="342" t="str">
        <f aca="true">IF(RegimeExecucao="Global","",ORÇAMENTO.Unidade)</f>
        <v/>
      </c>
      <c r="G147" s="207" t="str">
        <f aca="true">IF(RegimeExecucao="Global","",ORÇAMENTO!T147)</f>
        <v/>
      </c>
      <c r="H147" s="207" t="str">
        <f aca="true">IF(RegimeExecucao="Global","",ORÇAMENTO!W147)</f>
        <v/>
      </c>
      <c r="I147" s="210" t="n">
        <f aca="false">ORÇAMENTO!X147</f>
        <v>1692</v>
      </c>
      <c r="J147" s="633" t="e">
        <f aca="false" t="array" ref="J147:J147">_xlfn.single(IF($A147="S",IF(CAIXA.Modo,BM.AFAnterior,BM.MEDAnterior),IF(AND(_xlfn.single(RegimeExecucao)="Global",$I147&gt;0,COUNTIF($AB$13:$AM$13,BM.medicao-1)&gt;0),M147/$I147*100,0)))</f>
        <v>#NAME?</v>
      </c>
      <c r="K147" s="207" t="e">
        <f aca="false">L147-J147</f>
        <v>#NAME?</v>
      </c>
      <c r="L147" s="634" t="e">
        <f aca="false" t="array" ref="L147:L147">_xlfn.single(IF($A147="S",IF(CAIXA.Modo,BM.AFAcumulado,BM.MEDAcumulado),IF(AND(_xlfn.single(RegimeExecucao)="Global",$I147&gt;0,COUNTIF($AB$13:$AM$13,BM.medicao)&gt;0),O147/$I147*100,0)))</f>
        <v>#NAME?</v>
      </c>
      <c r="M147" s="635" t="n">
        <f aca="true">IF($A147="S",VTOTALBM,IF($A147=0,0,ROUND(SomaAgrupBM,15-13*ORÇAMENTO!$AF$11)))</f>
        <v>0</v>
      </c>
      <c r="N147" s="219" t="n">
        <f aca="false">O147-M147</f>
        <v>0</v>
      </c>
      <c r="O147" s="210" t="n">
        <f aca="true">IF($A147="S",VTOTALBM,IF($A147=0,0,ROUND(SomaAgrupBM,15-13*ORÇAMENTO!$AF$11)))</f>
        <v>0</v>
      </c>
      <c r="Q147" s="636"/>
      <c r="R147" s="637"/>
      <c r="T147" s="202" t="str">
        <f aca="false">IF($W147&gt;0,$D147,"")</f>
        <v/>
      </c>
      <c r="U147" s="341" t="str">
        <f aca="false">IF($W147&gt;0,$E147,"")</f>
        <v/>
      </c>
      <c r="V147" s="342" t="str">
        <f aca="true">IF(AND($W147&gt;0,RegimeExecucao="Unitário"),$F147,"")</f>
        <v/>
      </c>
      <c r="W147" s="638" t="n">
        <f aca="true">IF($Y147&gt;0,CHOOSE(MATCH(RegimeExecucao,{"Unitário","Global"},0),IF($A147="S",$Y147/$X147,""),($Y147/$X147)*100),0)</f>
        <v>0</v>
      </c>
      <c r="X147" s="639" t="str">
        <f aca="true">IF($Y147&gt;0,CHOOSE(MATCH(RegimeExecucao,{"Unitário","Global"},0),IF($A147="S",ROUND($H147,ORÇAMENTO!$AF$10),""),ROUND($I147,ORÇAMENTO!$AF$11)),"")</f>
        <v/>
      </c>
      <c r="Y147" s="639" t="n">
        <f aca="false">AO147-O147</f>
        <v>0</v>
      </c>
      <c r="Z147" s="640"/>
      <c r="AB147" s="636"/>
      <c r="AC147" s="641"/>
      <c r="AD147" s="641"/>
      <c r="AE147" s="641"/>
      <c r="AF147" s="641"/>
      <c r="AG147" s="641"/>
      <c r="AH147" s="641"/>
      <c r="AI147" s="641"/>
      <c r="AJ147" s="641"/>
      <c r="AK147" s="641"/>
      <c r="AL147" s="641"/>
      <c r="AM147" s="637"/>
      <c r="AO147" s="38" t="n">
        <f aca="true">IF($A147="S",IF(BM!$I147=0,0,CHOOSE(MATCH(RegimeExecucao,{"Global","Unitário"},0),ROUND(ROUND(BM.MEDAcumulado,15-13*BM!$A$9)/100*BM!$I147,15-13*ORÇAMENTO!$AF$11),ROUND(ROUND(BM.MEDAcumulado,15-13*BM!$A$9)*ROUND(BM!$H147,15-13*ORÇAMENTO!$AF$10),15-13*ORÇAMENTO!$AF$11))),IF($A147=0,0,ROUND(SomaAgrupBM,15-13*ORÇAMENTO!$AF$11)))</f>
        <v>0</v>
      </c>
    </row>
    <row r="148" customFormat="false" ht="12.75" hidden="false" customHeight="false" outlineLevel="0" collapsed="false">
      <c r="A148" s="1" t="n">
        <f aca="false">ORÇAMENTO!C148</f>
        <v>2</v>
      </c>
      <c r="B148" s="1" t="n">
        <f aca="false">ORÇAMENTO!D148</f>
        <v>8</v>
      </c>
      <c r="C148" s="199" t="str">
        <f aca="false">IF(OR($I148&gt;0,$A148=1,$A148=2,$A148=3,$A148=4),"F","")</f>
        <v>F</v>
      </c>
      <c r="D148" s="202" t="str">
        <f aca="false">ORÇAMENTO!O148</f>
        <v>1.42.</v>
      </c>
      <c r="E148" s="341" t="str">
        <f aca="false">ORÇAMENTO.Descricao</f>
        <v>ENTRADA / ALIMENTAÇÃO</v>
      </c>
      <c r="F148" s="342" t="str">
        <f aca="true">IF(RegimeExecucao="Global","",ORÇAMENTO.Unidade)</f>
        <v/>
      </c>
      <c r="G148" s="207" t="str">
        <f aca="true">IF(RegimeExecucao="Global","",ORÇAMENTO!T148)</f>
        <v/>
      </c>
      <c r="H148" s="207" t="str">
        <f aca="true">IF(RegimeExecucao="Global","",ORÇAMENTO!W148)</f>
        <v/>
      </c>
      <c r="I148" s="210" t="n">
        <f aca="false">ORÇAMENTO!X148</f>
        <v>17152</v>
      </c>
      <c r="J148" s="633" t="e">
        <f aca="false" t="array" ref="J148:J148">_xlfn.single(IF($A148="S",IF(CAIXA.Modo,BM.AFAnterior,BM.MEDAnterior),IF(AND(_xlfn.single(RegimeExecucao)="Global",$I148&gt;0,COUNTIF($AB$13:$AM$13,BM.medicao-1)&gt;0),M148/$I148*100,0)))</f>
        <v>#NAME?</v>
      </c>
      <c r="K148" s="207" t="e">
        <f aca="false">L148-J148</f>
        <v>#NAME?</v>
      </c>
      <c r="L148" s="634" t="e">
        <f aca="false" t="array" ref="L148:L148">_xlfn.single(IF($A148="S",IF(CAIXA.Modo,BM.AFAcumulado,BM.MEDAcumulado),IF(AND(_xlfn.single(RegimeExecucao)="Global",$I148&gt;0,COUNTIF($AB$13:$AM$13,BM.medicao)&gt;0),O148/$I148*100,0)))</f>
        <v>#NAME?</v>
      </c>
      <c r="M148" s="635" t="n">
        <f aca="true">IF($A148="S",VTOTALBM,IF($A148=0,0,ROUND(SomaAgrupBM,15-13*ORÇAMENTO!$AF$11)))</f>
        <v>0</v>
      </c>
      <c r="N148" s="219" t="n">
        <f aca="false">O148-M148</f>
        <v>0</v>
      </c>
      <c r="O148" s="210" t="n">
        <f aca="true">IF($A148="S",VTOTALBM,IF($A148=0,0,ROUND(SomaAgrupBM,15-13*ORÇAMENTO!$AF$11)))</f>
        <v>0</v>
      </c>
      <c r="Q148" s="636"/>
      <c r="R148" s="637"/>
      <c r="T148" s="202" t="str">
        <f aca="false">IF($W148&gt;0,$D148,"")</f>
        <v/>
      </c>
      <c r="U148" s="341" t="str">
        <f aca="false">IF($W148&gt;0,$E148,"")</f>
        <v/>
      </c>
      <c r="V148" s="342" t="str">
        <f aca="true">IF(AND($W148&gt;0,RegimeExecucao="Unitário"),$F148,"")</f>
        <v/>
      </c>
      <c r="W148" s="638" t="n">
        <f aca="true">IF($Y148&gt;0,CHOOSE(MATCH(RegimeExecucao,{"Unitário","Global"},0),IF($A148="S",$Y148/$X148,""),($Y148/$X148)*100),0)</f>
        <v>0</v>
      </c>
      <c r="X148" s="639" t="str">
        <f aca="true">IF($Y148&gt;0,CHOOSE(MATCH(RegimeExecucao,{"Unitário","Global"},0),IF($A148="S",ROUND($H148,ORÇAMENTO!$AF$10),""),ROUND($I148,ORÇAMENTO!$AF$11)),"")</f>
        <v/>
      </c>
      <c r="Y148" s="639" t="n">
        <f aca="false">AO148-O148</f>
        <v>0</v>
      </c>
      <c r="Z148" s="640"/>
      <c r="AB148" s="636"/>
      <c r="AC148" s="641"/>
      <c r="AD148" s="641"/>
      <c r="AE148" s="641"/>
      <c r="AF148" s="641"/>
      <c r="AG148" s="641"/>
      <c r="AH148" s="641"/>
      <c r="AI148" s="641"/>
      <c r="AJ148" s="641"/>
      <c r="AK148" s="641"/>
      <c r="AL148" s="641"/>
      <c r="AM148" s="637"/>
      <c r="AO148" s="38" t="n">
        <f aca="true">IF($A148="S",IF(BM!$I148=0,0,CHOOSE(MATCH(RegimeExecucao,{"Global","Unitário"},0),ROUND(ROUND(BM.MEDAcumulado,15-13*BM!$A$9)/100*BM!$I148,15-13*ORÇAMENTO!$AF$11),ROUND(ROUND(BM.MEDAcumulado,15-13*BM!$A$9)*ROUND(BM!$H148,15-13*ORÇAMENTO!$AF$10),15-13*ORÇAMENTO!$AF$11))),IF($A148=0,0,ROUND(SomaAgrupBM,15-13*ORÇAMENTO!$AF$11)))</f>
        <v>0</v>
      </c>
    </row>
    <row r="149" customFormat="false" ht="35.05" hidden="false" customHeight="false" outlineLevel="0" collapsed="false">
      <c r="A149" s="1" t="str">
        <f aca="false">ORÇAMENTO!C149</f>
        <v>S</v>
      </c>
      <c r="B149" s="1" t="n">
        <f aca="false">ORÇAMENTO!D149</f>
        <v>0</v>
      </c>
      <c r="C149" s="199" t="str">
        <f aca="false">IF(OR($I149&gt;0,$A149=1,$A149=2,$A149=3,$A149=4),"F","")</f>
        <v>F</v>
      </c>
      <c r="D149" s="202" t="str">
        <f aca="false">ORÇAMENTO!O149</f>
        <v>1.42.1.</v>
      </c>
      <c r="E149" s="341" t="str">
        <f aca="false">ORÇAMENTO.Descricao</f>
        <v>KIT CAVALETE PARA MEDIÇÃO DE ÁGUA - ENTRADA INDIVIDUALIZADA, EM PVC 25 MM (3/4"), PARA 1 MEDIDOR - FORNECIMENTO E INSTALAÇÃO (EXCLUSIVE HIDRÔMETRO). AF_03/2024</v>
      </c>
      <c r="F149" s="342" t="str">
        <f aca="true">IF(RegimeExecucao="Global","",ORÇAMENTO.Unidade)</f>
        <v/>
      </c>
      <c r="G149" s="207" t="str">
        <f aca="true">IF(RegimeExecucao="Global","",ORÇAMENTO!T149)</f>
        <v/>
      </c>
      <c r="H149" s="207" t="str">
        <f aca="true">IF(RegimeExecucao="Global","",ORÇAMENTO!W149)</f>
        <v/>
      </c>
      <c r="I149" s="210" t="n">
        <f aca="false">ORÇAMENTO!X149</f>
        <v>6065.75</v>
      </c>
      <c r="J149" s="633" t="e">
        <f aca="false" t="array" ref="J149:J149">_xlfn.single(IF($A149="S",IF(CAIXA.Modo,BM.AFAnterior,BM.MEDAnterior),IF(AND(_xlfn.single(RegimeExecucao)="Global",$I149&gt;0,COUNTIF($AB$13:$AM$13,BM.medicao-1)&gt;0),M149/$I149*100,0)))</f>
        <v>#NAME?</v>
      </c>
      <c r="K149" s="207" t="e">
        <f aca="false">L149-J149</f>
        <v>#NAME?</v>
      </c>
      <c r="L149" s="634" t="e">
        <f aca="false" t="array" ref="L149:L149">_xlfn.single(IF($A149="S",IF(CAIXA.Modo,BM.AFAcumulado,BM.MEDAcumulado),IF(AND(_xlfn.single(RegimeExecucao)="Global",$I149&gt;0,COUNTIF($AB$13:$AM$13,BM.medicao)&gt;0),O149/$I149*100,0)))</f>
        <v>#NAME?</v>
      </c>
      <c r="M149" s="635" t="n">
        <f aca="true">IF($A149="S",VTOTALBM,IF($A149=0,0,ROUND(SomaAgrupBM,15-13*ORÇAMENTO!$AF$11)))</f>
        <v>0</v>
      </c>
      <c r="N149" s="219" t="n">
        <f aca="false">O149-M149</f>
        <v>0</v>
      </c>
      <c r="O149" s="210" t="n">
        <f aca="true">IF($A149="S",VTOTALBM,IF($A149=0,0,ROUND(SomaAgrupBM,15-13*ORÇAMENTO!$AF$11)))</f>
        <v>0</v>
      </c>
      <c r="Q149" s="636"/>
      <c r="R149" s="637"/>
      <c r="T149" s="202" t="str">
        <f aca="false">IF($W149&gt;0,$D149,"")</f>
        <v/>
      </c>
      <c r="U149" s="341" t="str">
        <f aca="false">IF($W149&gt;0,$E149,"")</f>
        <v/>
      </c>
      <c r="V149" s="342" t="str">
        <f aca="true">IF(AND($W149&gt;0,RegimeExecucao="Unitário"),$F149,"")</f>
        <v/>
      </c>
      <c r="W149" s="638" t="n">
        <f aca="true">IF($Y149&gt;0,CHOOSE(MATCH(RegimeExecucao,{"Unitário","Global"},0),IF($A149="S",$Y149/$X149,""),($Y149/$X149)*100),0)</f>
        <v>0</v>
      </c>
      <c r="X149" s="639" t="str">
        <f aca="true">IF($Y149&gt;0,CHOOSE(MATCH(RegimeExecucao,{"Unitário","Global"},0),IF($A149="S",ROUND($H149,ORÇAMENTO!$AF$10),""),ROUND($I149,ORÇAMENTO!$AF$11)),"")</f>
        <v/>
      </c>
      <c r="Y149" s="639" t="n">
        <f aca="false">AO149-O149</f>
        <v>0</v>
      </c>
      <c r="Z149" s="640"/>
      <c r="AB149" s="636"/>
      <c r="AC149" s="641"/>
      <c r="AD149" s="641"/>
      <c r="AE149" s="641"/>
      <c r="AF149" s="641"/>
      <c r="AG149" s="641"/>
      <c r="AH149" s="641"/>
      <c r="AI149" s="641"/>
      <c r="AJ149" s="641"/>
      <c r="AK149" s="641"/>
      <c r="AL149" s="641"/>
      <c r="AM149" s="637"/>
      <c r="AO149" s="38" t="n">
        <f aca="true">IF($A149="S",IF(BM!$I149=0,0,CHOOSE(MATCH(RegimeExecucao,{"Global","Unitário"},0),ROUND(ROUND(BM.MEDAcumulado,15-13*BM!$A$9)/100*BM!$I149,15-13*ORÇAMENTO!$AF$11),ROUND(ROUND(BM.MEDAcumulado,15-13*BM!$A$9)*ROUND(BM!$H149,15-13*ORÇAMENTO!$AF$10),15-13*ORÇAMENTO!$AF$11))),IF($A149=0,0,ROUND(SomaAgrupBM,15-13*ORÇAMENTO!$AF$11)))</f>
        <v>0</v>
      </c>
    </row>
    <row r="150" customFormat="false" ht="35.05" hidden="false" customHeight="false" outlineLevel="0" collapsed="false">
      <c r="A150" s="1" t="str">
        <f aca="false">ORÇAMENTO!C150</f>
        <v>S</v>
      </c>
      <c r="B150" s="1" t="n">
        <f aca="false">ORÇAMENTO!D150</f>
        <v>0</v>
      </c>
      <c r="C150" s="199" t="str">
        <f aca="false">IF(OR($I150&gt;0,$A150=1,$A150=2,$A150=3,$A150=4),"F","")</f>
        <v>F</v>
      </c>
      <c r="D150" s="202" t="str">
        <f aca="false">ORÇAMENTO!O150</f>
        <v>1.42.2.</v>
      </c>
      <c r="E150" s="341" t="str">
        <f aca="false">ORÇAMENTO.Descricao</f>
        <v>CAIXA DE EMBUTIR EM POLICARBONATO PARA ABRIGO DE HIDRÔMETRO - FORNECIMENTO E INSTALAÇÃO (EXCLUSIVE HIDRÔMETRO).</v>
      </c>
      <c r="F150" s="342" t="str">
        <f aca="true">IF(RegimeExecucao="Global","",ORÇAMENTO.Unidade)</f>
        <v/>
      </c>
      <c r="G150" s="207" t="str">
        <f aca="true">IF(RegimeExecucao="Global","",ORÇAMENTO!T150)</f>
        <v/>
      </c>
      <c r="H150" s="207" t="str">
        <f aca="true">IF(RegimeExecucao="Global","",ORÇAMENTO!W150)</f>
        <v/>
      </c>
      <c r="I150" s="210" t="n">
        <f aca="false">ORÇAMENTO!X150</f>
        <v>4969.75</v>
      </c>
      <c r="J150" s="633" t="e">
        <f aca="false" t="array" ref="J150:J150">_xlfn.single(IF($A150="S",IF(CAIXA.Modo,BM.AFAnterior,BM.MEDAnterior),IF(AND(_xlfn.single(RegimeExecucao)="Global",$I150&gt;0,COUNTIF($AB$13:$AM$13,BM.medicao-1)&gt;0),M150/$I150*100,0)))</f>
        <v>#NAME?</v>
      </c>
      <c r="K150" s="207" t="e">
        <f aca="false">L150-J150</f>
        <v>#NAME?</v>
      </c>
      <c r="L150" s="634" t="e">
        <f aca="false" t="array" ref="L150:L150">_xlfn.single(IF($A150="S",IF(CAIXA.Modo,BM.AFAcumulado,BM.MEDAcumulado),IF(AND(_xlfn.single(RegimeExecucao)="Global",$I150&gt;0,COUNTIF($AB$13:$AM$13,BM.medicao)&gt;0),O150/$I150*100,0)))</f>
        <v>#NAME?</v>
      </c>
      <c r="M150" s="635" t="n">
        <f aca="true">IF($A150="S",VTOTALBM,IF($A150=0,0,ROUND(SomaAgrupBM,15-13*ORÇAMENTO!$AF$11)))</f>
        <v>0</v>
      </c>
      <c r="N150" s="219" t="n">
        <f aca="false">O150-M150</f>
        <v>0</v>
      </c>
      <c r="O150" s="210" t="n">
        <f aca="true">IF($A150="S",VTOTALBM,IF($A150=0,0,ROUND(SomaAgrupBM,15-13*ORÇAMENTO!$AF$11)))</f>
        <v>0</v>
      </c>
      <c r="Q150" s="636"/>
      <c r="R150" s="637"/>
      <c r="T150" s="202" t="str">
        <f aca="false">IF($W150&gt;0,$D150,"")</f>
        <v/>
      </c>
      <c r="U150" s="341" t="str">
        <f aca="false">IF($W150&gt;0,$E150,"")</f>
        <v/>
      </c>
      <c r="V150" s="342" t="str">
        <f aca="true">IF(AND($W150&gt;0,RegimeExecucao="Unitário"),$F150,"")</f>
        <v/>
      </c>
      <c r="W150" s="638" t="n">
        <f aca="true">IF($Y150&gt;0,CHOOSE(MATCH(RegimeExecucao,{"Unitário","Global"},0),IF($A150="S",$Y150/$X150,""),($Y150/$X150)*100),0)</f>
        <v>0</v>
      </c>
      <c r="X150" s="639" t="str">
        <f aca="true">IF($Y150&gt;0,CHOOSE(MATCH(RegimeExecucao,{"Unitário","Global"},0),IF($A150="S",ROUND($H150,ORÇAMENTO!$AF$10),""),ROUND($I150,ORÇAMENTO!$AF$11)),"")</f>
        <v/>
      </c>
      <c r="Y150" s="639" t="n">
        <f aca="false">AO150-O150</f>
        <v>0</v>
      </c>
      <c r="Z150" s="640"/>
      <c r="AB150" s="636"/>
      <c r="AC150" s="641"/>
      <c r="AD150" s="641"/>
      <c r="AE150" s="641"/>
      <c r="AF150" s="641"/>
      <c r="AG150" s="641"/>
      <c r="AH150" s="641"/>
      <c r="AI150" s="641"/>
      <c r="AJ150" s="641"/>
      <c r="AK150" s="641"/>
      <c r="AL150" s="641"/>
      <c r="AM150" s="637"/>
      <c r="AO150" s="38" t="n">
        <f aca="true">IF($A150="S",IF(BM!$I150=0,0,CHOOSE(MATCH(RegimeExecucao,{"Global","Unitário"},0),ROUND(ROUND(BM.MEDAcumulado,15-13*BM!$A$9)/100*BM!$I150,15-13*ORÇAMENTO!$AF$11),ROUND(ROUND(BM.MEDAcumulado,15-13*BM!$A$9)*ROUND(BM!$H150,15-13*ORÇAMENTO!$AF$10),15-13*ORÇAMENTO!$AF$11))),IF($A150=0,0,ROUND(SomaAgrupBM,15-13*ORÇAMENTO!$AF$11)))</f>
        <v>0</v>
      </c>
    </row>
    <row r="151" customFormat="false" ht="23.85" hidden="false" customHeight="false" outlineLevel="0" collapsed="false">
      <c r="A151" s="1" t="str">
        <f aca="false">ORÇAMENTO!C151</f>
        <v>S</v>
      </c>
      <c r="B151" s="1" t="n">
        <f aca="false">ORÇAMENTO!D151</f>
        <v>0</v>
      </c>
      <c r="C151" s="199" t="str">
        <f aca="false">IF(OR($I151&gt;0,$A151=1,$A151=2,$A151=3,$A151=4),"F","")</f>
        <v>F</v>
      </c>
      <c r="D151" s="202" t="str">
        <f aca="false">ORÇAMENTO!O151</f>
        <v>1.42.3.</v>
      </c>
      <c r="E151" s="341" t="str">
        <f aca="false">ORÇAMENTO.Descricao</f>
        <v>REGISTRO DE GAVETA BRUTO, LATÃO, ROSCÁVEL, 3/4" - FORNECIMENTO E INSTALAÇÃO. AF_08/2021</v>
      </c>
      <c r="F151" s="342" t="str">
        <f aca="true">IF(RegimeExecucao="Global","",ORÇAMENTO.Unidade)</f>
        <v/>
      </c>
      <c r="G151" s="207" t="str">
        <f aca="true">IF(RegimeExecucao="Global","",ORÇAMENTO!T151)</f>
        <v/>
      </c>
      <c r="H151" s="207" t="str">
        <f aca="true">IF(RegimeExecucao="Global","",ORÇAMENTO!W151)</f>
        <v/>
      </c>
      <c r="I151" s="210" t="n">
        <f aca="false">ORÇAMENTO!X151</f>
        <v>2002</v>
      </c>
      <c r="J151" s="633" t="e">
        <f aca="false" t="array" ref="J151:J151">_xlfn.single(IF($A151="S",IF(CAIXA.Modo,BM.AFAnterior,BM.MEDAnterior),IF(AND(_xlfn.single(RegimeExecucao)="Global",$I151&gt;0,COUNTIF($AB$13:$AM$13,BM.medicao-1)&gt;0),M151/$I151*100,0)))</f>
        <v>#NAME?</v>
      </c>
      <c r="K151" s="207" t="e">
        <f aca="false">L151-J151</f>
        <v>#NAME?</v>
      </c>
      <c r="L151" s="634" t="e">
        <f aca="false" t="array" ref="L151:L151">_xlfn.single(IF($A151="S",IF(CAIXA.Modo,BM.AFAcumulado,BM.MEDAcumulado),IF(AND(_xlfn.single(RegimeExecucao)="Global",$I151&gt;0,COUNTIF($AB$13:$AM$13,BM.medicao)&gt;0),O151/$I151*100,0)))</f>
        <v>#NAME?</v>
      </c>
      <c r="M151" s="635" t="n">
        <f aca="true">IF($A151="S",VTOTALBM,IF($A151=0,0,ROUND(SomaAgrupBM,15-13*ORÇAMENTO!$AF$11)))</f>
        <v>0</v>
      </c>
      <c r="N151" s="219" t="n">
        <f aca="false">O151-M151</f>
        <v>0</v>
      </c>
      <c r="O151" s="210" t="n">
        <f aca="true">IF($A151="S",VTOTALBM,IF($A151=0,0,ROUND(SomaAgrupBM,15-13*ORÇAMENTO!$AF$11)))</f>
        <v>0</v>
      </c>
      <c r="Q151" s="636"/>
      <c r="R151" s="637"/>
      <c r="T151" s="202" t="str">
        <f aca="false">IF($W151&gt;0,$D151,"")</f>
        <v/>
      </c>
      <c r="U151" s="341" t="str">
        <f aca="false">IF($W151&gt;0,$E151,"")</f>
        <v/>
      </c>
      <c r="V151" s="342" t="str">
        <f aca="true">IF(AND($W151&gt;0,RegimeExecucao="Unitário"),$F151,"")</f>
        <v/>
      </c>
      <c r="W151" s="638" t="n">
        <f aca="true">IF($Y151&gt;0,CHOOSE(MATCH(RegimeExecucao,{"Unitário","Global"},0),IF($A151="S",$Y151/$X151,""),($Y151/$X151)*100),0)</f>
        <v>0</v>
      </c>
      <c r="X151" s="639" t="str">
        <f aca="true">IF($Y151&gt;0,CHOOSE(MATCH(RegimeExecucao,{"Unitário","Global"},0),IF($A151="S",ROUND($H151,ORÇAMENTO!$AF$10),""),ROUND($I151,ORÇAMENTO!$AF$11)),"")</f>
        <v/>
      </c>
      <c r="Y151" s="639" t="n">
        <f aca="false">AO151-O151</f>
        <v>0</v>
      </c>
      <c r="Z151" s="640"/>
      <c r="AB151" s="636"/>
      <c r="AC151" s="641"/>
      <c r="AD151" s="641"/>
      <c r="AE151" s="641"/>
      <c r="AF151" s="641"/>
      <c r="AG151" s="641"/>
      <c r="AH151" s="641"/>
      <c r="AI151" s="641"/>
      <c r="AJ151" s="641"/>
      <c r="AK151" s="641"/>
      <c r="AL151" s="641"/>
      <c r="AM151" s="637"/>
      <c r="AO151" s="38" t="n">
        <f aca="true">IF($A151="S",IF(BM!$I151=0,0,CHOOSE(MATCH(RegimeExecucao,{"Global","Unitário"},0),ROUND(ROUND(BM.MEDAcumulado,15-13*BM!$A$9)/100*BM!$I151,15-13*ORÇAMENTO!$AF$11),ROUND(ROUND(BM.MEDAcumulado,15-13*BM!$A$9)*ROUND(BM!$H151,15-13*ORÇAMENTO!$AF$10),15-13*ORÇAMENTO!$AF$11))),IF($A151=0,0,ROUND(SomaAgrupBM,15-13*ORÇAMENTO!$AF$11)))</f>
        <v>0</v>
      </c>
    </row>
    <row r="152" customFormat="false" ht="23.85" hidden="false" customHeight="false" outlineLevel="0" collapsed="false">
      <c r="A152" s="1" t="str">
        <f aca="false">ORÇAMENTO!C152</f>
        <v>S</v>
      </c>
      <c r="B152" s="1" t="n">
        <f aca="false">ORÇAMENTO!D152</f>
        <v>0</v>
      </c>
      <c r="C152" s="199" t="str">
        <f aca="false">IF(OR($I152&gt;0,$A152=1,$A152=2,$A152=3,$A152=4),"F","")</f>
        <v>F</v>
      </c>
      <c r="D152" s="202" t="str">
        <f aca="false">ORÇAMENTO!O152</f>
        <v>1.42.4.</v>
      </c>
      <c r="E152" s="341" t="str">
        <f aca="false">ORÇAMENTO.Descricao</f>
        <v>TUBO, PVC, SOLDÁVEL, DE 25MM, INSTALADO EM RAMAL DE DISTRIBUIÇÃO DE ÁGUA - FORNECIMENTO E INSTALAÇÃO. AF_06/2022</v>
      </c>
      <c r="F152" s="342" t="str">
        <f aca="true">IF(RegimeExecucao="Global","",ORÇAMENTO.Unidade)</f>
        <v/>
      </c>
      <c r="G152" s="207" t="str">
        <f aca="true">IF(RegimeExecucao="Global","",ORÇAMENTO!T152)</f>
        <v/>
      </c>
      <c r="H152" s="207" t="str">
        <f aca="true">IF(RegimeExecucao="Global","",ORÇAMENTO!W152)</f>
        <v/>
      </c>
      <c r="I152" s="210" t="n">
        <f aca="false">ORÇAMENTO!X152</f>
        <v>2671.25</v>
      </c>
      <c r="J152" s="633" t="e">
        <f aca="false" t="array" ref="J152:J152">_xlfn.single(IF($A152="S",IF(CAIXA.Modo,BM.AFAnterior,BM.MEDAnterior),IF(AND(_xlfn.single(RegimeExecucao)="Global",$I152&gt;0,COUNTIF($AB$13:$AM$13,BM.medicao-1)&gt;0),M152/$I152*100,0)))</f>
        <v>#NAME?</v>
      </c>
      <c r="K152" s="207" t="e">
        <f aca="false">L152-J152</f>
        <v>#NAME?</v>
      </c>
      <c r="L152" s="634" t="e">
        <f aca="false" t="array" ref="L152:L152">_xlfn.single(IF($A152="S",IF(CAIXA.Modo,BM.AFAcumulado,BM.MEDAcumulado),IF(AND(_xlfn.single(RegimeExecucao)="Global",$I152&gt;0,COUNTIF($AB$13:$AM$13,BM.medicao)&gt;0),O152/$I152*100,0)))</f>
        <v>#NAME?</v>
      </c>
      <c r="M152" s="635" t="n">
        <f aca="true">IF($A152="S",VTOTALBM,IF($A152=0,0,ROUND(SomaAgrupBM,15-13*ORÇAMENTO!$AF$11)))</f>
        <v>0</v>
      </c>
      <c r="N152" s="219" t="n">
        <f aca="false">O152-M152</f>
        <v>0</v>
      </c>
      <c r="O152" s="210" t="n">
        <f aca="true">IF($A152="S",VTOTALBM,IF($A152=0,0,ROUND(SomaAgrupBM,15-13*ORÇAMENTO!$AF$11)))</f>
        <v>0</v>
      </c>
      <c r="Q152" s="636"/>
      <c r="R152" s="637"/>
      <c r="T152" s="202" t="str">
        <f aca="false">IF($W152&gt;0,$D152,"")</f>
        <v/>
      </c>
      <c r="U152" s="341" t="str">
        <f aca="false">IF($W152&gt;0,$E152,"")</f>
        <v/>
      </c>
      <c r="V152" s="342" t="str">
        <f aca="true">IF(AND($W152&gt;0,RegimeExecucao="Unitário"),$F152,"")</f>
        <v/>
      </c>
      <c r="W152" s="638" t="n">
        <f aca="true">IF($Y152&gt;0,CHOOSE(MATCH(RegimeExecucao,{"Unitário","Global"},0),IF($A152="S",$Y152/$X152,""),($Y152/$X152)*100),0)</f>
        <v>0</v>
      </c>
      <c r="X152" s="639" t="str">
        <f aca="true">IF($Y152&gt;0,CHOOSE(MATCH(RegimeExecucao,{"Unitário","Global"},0),IF($A152="S",ROUND($H152,ORÇAMENTO!$AF$10),""),ROUND($I152,ORÇAMENTO!$AF$11)),"")</f>
        <v/>
      </c>
      <c r="Y152" s="639" t="n">
        <f aca="false">AO152-O152</f>
        <v>0</v>
      </c>
      <c r="Z152" s="640"/>
      <c r="AB152" s="636"/>
      <c r="AC152" s="641"/>
      <c r="AD152" s="641"/>
      <c r="AE152" s="641"/>
      <c r="AF152" s="641"/>
      <c r="AG152" s="641"/>
      <c r="AH152" s="641"/>
      <c r="AI152" s="641"/>
      <c r="AJ152" s="641"/>
      <c r="AK152" s="641"/>
      <c r="AL152" s="641"/>
      <c r="AM152" s="637"/>
      <c r="AO152" s="38" t="n">
        <f aca="true">IF($A152="S",IF(BM!$I152=0,0,CHOOSE(MATCH(RegimeExecucao,{"Global","Unitário"},0),ROUND(ROUND(BM.MEDAcumulado,15-13*BM!$A$9)/100*BM!$I152,15-13*ORÇAMENTO!$AF$11),ROUND(ROUND(BM.MEDAcumulado,15-13*BM!$A$9)*ROUND(BM!$H152,15-13*ORÇAMENTO!$AF$10),15-13*ORÇAMENTO!$AF$11))),IF($A152=0,0,ROUND(SomaAgrupBM,15-13*ORÇAMENTO!$AF$11)))</f>
        <v>0</v>
      </c>
    </row>
    <row r="153" customFormat="false" ht="23.85" hidden="false" customHeight="false" outlineLevel="0" collapsed="false">
      <c r="A153" s="1" t="str">
        <f aca="false">ORÇAMENTO!C153</f>
        <v>S</v>
      </c>
      <c r="B153" s="1" t="n">
        <f aca="false">ORÇAMENTO!D153</f>
        <v>0</v>
      </c>
      <c r="C153" s="199" t="str">
        <f aca="false">IF(OR($I153&gt;0,$A153=1,$A153=2,$A153=3,$A153=4),"F","")</f>
        <v>F</v>
      </c>
      <c r="D153" s="202" t="str">
        <f aca="false">ORÇAMENTO!O153</f>
        <v>1.42.5.</v>
      </c>
      <c r="E153" s="341" t="str">
        <f aca="false">ORÇAMENTO.Descricao</f>
        <v>TUBO, PVC, SOLDÁVEL, DE 25MM, INSTALADO EM PRUMADA DE ÁGUA - FORNECIMENTO E INSTALAÇÃO. AF_06/2022</v>
      </c>
      <c r="F153" s="342" t="str">
        <f aca="true">IF(RegimeExecucao="Global","",ORÇAMENTO.Unidade)</f>
        <v/>
      </c>
      <c r="G153" s="207" t="str">
        <f aca="true">IF(RegimeExecucao="Global","",ORÇAMENTO!T153)</f>
        <v/>
      </c>
      <c r="H153" s="207" t="str">
        <f aca="true">IF(RegimeExecucao="Global","",ORÇAMENTO!W153)</f>
        <v/>
      </c>
      <c r="I153" s="210" t="n">
        <f aca="false">ORÇAMENTO!X153</f>
        <v>500.25</v>
      </c>
      <c r="J153" s="633" t="e">
        <f aca="false" t="array" ref="J153:J153">_xlfn.single(IF($A153="S",IF(CAIXA.Modo,BM.AFAnterior,BM.MEDAnterior),IF(AND(_xlfn.single(RegimeExecucao)="Global",$I153&gt;0,COUNTIF($AB$13:$AM$13,BM.medicao-1)&gt;0),M153/$I153*100,0)))</f>
        <v>#NAME?</v>
      </c>
      <c r="K153" s="207" t="e">
        <f aca="false">L153-J153</f>
        <v>#NAME?</v>
      </c>
      <c r="L153" s="634" t="e">
        <f aca="false" t="array" ref="L153:L153">_xlfn.single(IF($A153="S",IF(CAIXA.Modo,BM.AFAcumulado,BM.MEDAcumulado),IF(AND(_xlfn.single(RegimeExecucao)="Global",$I153&gt;0,COUNTIF($AB$13:$AM$13,BM.medicao)&gt;0),O153/$I153*100,0)))</f>
        <v>#NAME?</v>
      </c>
      <c r="M153" s="635" t="n">
        <f aca="true">IF($A153="S",VTOTALBM,IF($A153=0,0,ROUND(SomaAgrupBM,15-13*ORÇAMENTO!$AF$11)))</f>
        <v>0</v>
      </c>
      <c r="N153" s="219" t="n">
        <f aca="false">O153-M153</f>
        <v>0</v>
      </c>
      <c r="O153" s="210" t="n">
        <f aca="true">IF($A153="S",VTOTALBM,IF($A153=0,0,ROUND(SomaAgrupBM,15-13*ORÇAMENTO!$AF$11)))</f>
        <v>0</v>
      </c>
      <c r="Q153" s="636"/>
      <c r="R153" s="637"/>
      <c r="T153" s="202" t="str">
        <f aca="false">IF($W153&gt;0,$D153,"")</f>
        <v/>
      </c>
      <c r="U153" s="341" t="str">
        <f aca="false">IF($W153&gt;0,$E153,"")</f>
        <v/>
      </c>
      <c r="V153" s="342" t="str">
        <f aca="true">IF(AND($W153&gt;0,RegimeExecucao="Unitário"),$F153,"")</f>
        <v/>
      </c>
      <c r="W153" s="638" t="n">
        <f aca="true">IF($Y153&gt;0,CHOOSE(MATCH(RegimeExecucao,{"Unitário","Global"},0),IF($A153="S",$Y153/$X153,""),($Y153/$X153)*100),0)</f>
        <v>0</v>
      </c>
      <c r="X153" s="639" t="str">
        <f aca="true">IF($Y153&gt;0,CHOOSE(MATCH(RegimeExecucao,{"Unitário","Global"},0),IF($A153="S",ROUND($H153,ORÇAMENTO!$AF$10),""),ROUND($I153,ORÇAMENTO!$AF$11)),"")</f>
        <v/>
      </c>
      <c r="Y153" s="639" t="n">
        <f aca="false">AO153-O153</f>
        <v>0</v>
      </c>
      <c r="Z153" s="640"/>
      <c r="AB153" s="636"/>
      <c r="AC153" s="641"/>
      <c r="AD153" s="641"/>
      <c r="AE153" s="641"/>
      <c r="AF153" s="641"/>
      <c r="AG153" s="641"/>
      <c r="AH153" s="641"/>
      <c r="AI153" s="641"/>
      <c r="AJ153" s="641"/>
      <c r="AK153" s="641"/>
      <c r="AL153" s="641"/>
      <c r="AM153" s="637"/>
      <c r="AO153" s="38" t="n">
        <f aca="true">IF($A153="S",IF(BM!$I153=0,0,CHOOSE(MATCH(RegimeExecucao,{"Global","Unitário"},0),ROUND(ROUND(BM.MEDAcumulado,15-13*BM!$A$9)/100*BM!$I153,15-13*ORÇAMENTO!$AF$11),ROUND(ROUND(BM.MEDAcumulado,15-13*BM!$A$9)*ROUND(BM!$H153,15-13*ORÇAMENTO!$AF$10),15-13*ORÇAMENTO!$AF$11))),IF($A153=0,0,ROUND(SomaAgrupBM,15-13*ORÇAMENTO!$AF$11)))</f>
        <v>0</v>
      </c>
    </row>
    <row r="154" customFormat="false" ht="35.05" hidden="false" customHeight="false" outlineLevel="0" collapsed="false">
      <c r="A154" s="1" t="str">
        <f aca="false">ORÇAMENTO!C154</f>
        <v>S</v>
      </c>
      <c r="B154" s="1" t="n">
        <f aca="false">ORÇAMENTO!D154</f>
        <v>0</v>
      </c>
      <c r="C154" s="199" t="str">
        <f aca="false">IF(OR($I154&gt;0,$A154=1,$A154=2,$A154=3,$A154=4),"F","")</f>
        <v>F</v>
      </c>
      <c r="D154" s="202" t="str">
        <f aca="false">ORÇAMENTO!O154</f>
        <v>1.42.6.</v>
      </c>
      <c r="E154" s="341" t="str">
        <f aca="false">ORÇAMENTO.Descricao</f>
        <v>JOELHO 90 GRAUS, PVC, SOLDÁVEL, DN 25MM, INSTALADO EM RAMAL DE DISTRIBUIÇÃO DE ÁGUA - FORNECIMENTO E INSTALAÇÃO. AF_06/2022</v>
      </c>
      <c r="F154" s="342" t="str">
        <f aca="true">IF(RegimeExecucao="Global","",ORÇAMENTO.Unidade)</f>
        <v/>
      </c>
      <c r="G154" s="207" t="str">
        <f aca="true">IF(RegimeExecucao="Global","",ORÇAMENTO!T154)</f>
        <v/>
      </c>
      <c r="H154" s="207" t="str">
        <f aca="true">IF(RegimeExecucao="Global","",ORÇAMENTO!W154)</f>
        <v/>
      </c>
      <c r="I154" s="210" t="n">
        <f aca="false">ORÇAMENTO!X154</f>
        <v>557.5</v>
      </c>
      <c r="J154" s="633" t="e">
        <f aca="false" t="array" ref="J154:J154">_xlfn.single(IF($A154="S",IF(CAIXA.Modo,BM.AFAnterior,BM.MEDAnterior),IF(AND(_xlfn.single(RegimeExecucao)="Global",$I154&gt;0,COUNTIF($AB$13:$AM$13,BM.medicao-1)&gt;0),M154/$I154*100,0)))</f>
        <v>#NAME?</v>
      </c>
      <c r="K154" s="207" t="e">
        <f aca="false">L154-J154</f>
        <v>#NAME?</v>
      </c>
      <c r="L154" s="634" t="e">
        <f aca="false" t="array" ref="L154:L154">_xlfn.single(IF($A154="S",IF(CAIXA.Modo,BM.AFAcumulado,BM.MEDAcumulado),IF(AND(_xlfn.single(RegimeExecucao)="Global",$I154&gt;0,COUNTIF($AB$13:$AM$13,BM.medicao)&gt;0),O154/$I154*100,0)))</f>
        <v>#NAME?</v>
      </c>
      <c r="M154" s="635" t="n">
        <f aca="true">IF($A154="S",VTOTALBM,IF($A154=0,0,ROUND(SomaAgrupBM,15-13*ORÇAMENTO!$AF$11)))</f>
        <v>0</v>
      </c>
      <c r="N154" s="219" t="n">
        <f aca="false">O154-M154</f>
        <v>0</v>
      </c>
      <c r="O154" s="210" t="n">
        <f aca="true">IF($A154="S",VTOTALBM,IF($A154=0,0,ROUND(SomaAgrupBM,15-13*ORÇAMENTO!$AF$11)))</f>
        <v>0</v>
      </c>
      <c r="Q154" s="636"/>
      <c r="R154" s="637"/>
      <c r="T154" s="202" t="str">
        <f aca="false">IF($W154&gt;0,$D154,"")</f>
        <v/>
      </c>
      <c r="U154" s="341" t="str">
        <f aca="false">IF($W154&gt;0,$E154,"")</f>
        <v/>
      </c>
      <c r="V154" s="342" t="str">
        <f aca="true">IF(AND($W154&gt;0,RegimeExecucao="Unitário"),$F154,"")</f>
        <v/>
      </c>
      <c r="W154" s="638" t="n">
        <f aca="true">IF($Y154&gt;0,CHOOSE(MATCH(RegimeExecucao,{"Unitário","Global"},0),IF($A154="S",$Y154/$X154,""),($Y154/$X154)*100),0)</f>
        <v>0</v>
      </c>
      <c r="X154" s="639" t="str">
        <f aca="true">IF($Y154&gt;0,CHOOSE(MATCH(RegimeExecucao,{"Unitário","Global"},0),IF($A154="S",ROUND($H154,ORÇAMENTO!$AF$10),""),ROUND($I154,ORÇAMENTO!$AF$11)),"")</f>
        <v/>
      </c>
      <c r="Y154" s="639" t="n">
        <f aca="false">AO154-O154</f>
        <v>0</v>
      </c>
      <c r="Z154" s="640"/>
      <c r="AB154" s="636"/>
      <c r="AC154" s="641"/>
      <c r="AD154" s="641"/>
      <c r="AE154" s="641"/>
      <c r="AF154" s="641"/>
      <c r="AG154" s="641"/>
      <c r="AH154" s="641"/>
      <c r="AI154" s="641"/>
      <c r="AJ154" s="641"/>
      <c r="AK154" s="641"/>
      <c r="AL154" s="641"/>
      <c r="AM154" s="637"/>
      <c r="AO154" s="38" t="n">
        <f aca="true">IF($A154="S",IF(BM!$I154=0,0,CHOOSE(MATCH(RegimeExecucao,{"Global","Unitário"},0),ROUND(ROUND(BM.MEDAcumulado,15-13*BM!$A$9)/100*BM!$I154,15-13*ORÇAMENTO!$AF$11),ROUND(ROUND(BM.MEDAcumulado,15-13*BM!$A$9)*ROUND(BM!$H154,15-13*ORÇAMENTO!$AF$10),15-13*ORÇAMENTO!$AF$11))),IF($A154=0,0,ROUND(SomaAgrupBM,15-13*ORÇAMENTO!$AF$11)))</f>
        <v>0</v>
      </c>
    </row>
    <row r="155" customFormat="false" ht="23.85" hidden="false" customHeight="false" outlineLevel="0" collapsed="false">
      <c r="A155" s="1" t="str">
        <f aca="false">ORÇAMENTO!C155</f>
        <v>S</v>
      </c>
      <c r="B155" s="1" t="n">
        <f aca="false">ORÇAMENTO!D155</f>
        <v>0</v>
      </c>
      <c r="C155" s="199" t="str">
        <f aca="false">IF(OR($I155&gt;0,$A155=1,$A155=2,$A155=3,$A155=4),"F","")</f>
        <v>F</v>
      </c>
      <c r="D155" s="202" t="str">
        <f aca="false">ORÇAMENTO!O155</f>
        <v>1.42.7.</v>
      </c>
      <c r="E155" s="341" t="str">
        <f aca="false">ORÇAMENTO.Descricao</f>
        <v>TE, PVC, SOLDÁVEL, DN 25MM, INSTALADO EM RAMAL DE DISTRIBUIÇÃO DE ÁGUA - FORNECIMENTO E INSTALAÇÃO. AF_06/2022</v>
      </c>
      <c r="F155" s="342" t="str">
        <f aca="true">IF(RegimeExecucao="Global","",ORÇAMENTO.Unidade)</f>
        <v/>
      </c>
      <c r="G155" s="207" t="str">
        <f aca="true">IF(RegimeExecucao="Global","",ORÇAMENTO!T155)</f>
        <v/>
      </c>
      <c r="H155" s="207" t="str">
        <f aca="true">IF(RegimeExecucao="Global","",ORÇAMENTO!W155)</f>
        <v/>
      </c>
      <c r="I155" s="210" t="n">
        <f aca="false">ORÇAMENTO!X155</f>
        <v>385.5</v>
      </c>
      <c r="J155" s="633" t="e">
        <f aca="false" t="array" ref="J155:J155">_xlfn.single(IF($A155="S",IF(CAIXA.Modo,BM.AFAnterior,BM.MEDAnterior),IF(AND(_xlfn.single(RegimeExecucao)="Global",$I155&gt;0,COUNTIF($AB$13:$AM$13,BM.medicao-1)&gt;0),M155/$I155*100,0)))</f>
        <v>#NAME?</v>
      </c>
      <c r="K155" s="207" t="e">
        <f aca="false">L155-J155</f>
        <v>#NAME?</v>
      </c>
      <c r="L155" s="634" t="e">
        <f aca="false" t="array" ref="L155:L155">_xlfn.single(IF($A155="S",IF(CAIXA.Modo,BM.AFAcumulado,BM.MEDAcumulado),IF(AND(_xlfn.single(RegimeExecucao)="Global",$I155&gt;0,COUNTIF($AB$13:$AM$13,BM.medicao)&gt;0),O155/$I155*100,0)))</f>
        <v>#NAME?</v>
      </c>
      <c r="M155" s="635" t="n">
        <f aca="true">IF($A155="S",VTOTALBM,IF($A155=0,0,ROUND(SomaAgrupBM,15-13*ORÇAMENTO!$AF$11)))</f>
        <v>0</v>
      </c>
      <c r="N155" s="219" t="n">
        <f aca="false">O155-M155</f>
        <v>0</v>
      </c>
      <c r="O155" s="210" t="n">
        <f aca="true">IF($A155="S",VTOTALBM,IF($A155=0,0,ROUND(SomaAgrupBM,15-13*ORÇAMENTO!$AF$11)))</f>
        <v>0</v>
      </c>
      <c r="Q155" s="636"/>
      <c r="R155" s="637"/>
      <c r="T155" s="202" t="str">
        <f aca="false">IF($W155&gt;0,$D155,"")</f>
        <v/>
      </c>
      <c r="U155" s="341" t="str">
        <f aca="false">IF($W155&gt;0,$E155,"")</f>
        <v/>
      </c>
      <c r="V155" s="342" t="str">
        <f aca="true">IF(AND($W155&gt;0,RegimeExecucao="Unitário"),$F155,"")</f>
        <v/>
      </c>
      <c r="W155" s="638" t="n">
        <f aca="true">IF($Y155&gt;0,CHOOSE(MATCH(RegimeExecucao,{"Unitário","Global"},0),IF($A155="S",$Y155/$X155,""),($Y155/$X155)*100),0)</f>
        <v>0</v>
      </c>
      <c r="X155" s="639" t="str">
        <f aca="true">IF($Y155&gt;0,CHOOSE(MATCH(RegimeExecucao,{"Unitário","Global"},0),IF($A155="S",ROUND($H155,ORÇAMENTO!$AF$10),""),ROUND($I155,ORÇAMENTO!$AF$11)),"")</f>
        <v/>
      </c>
      <c r="Y155" s="639" t="n">
        <f aca="false">AO155-O155</f>
        <v>0</v>
      </c>
      <c r="Z155" s="640"/>
      <c r="AB155" s="636"/>
      <c r="AC155" s="641"/>
      <c r="AD155" s="641"/>
      <c r="AE155" s="641"/>
      <c r="AF155" s="641"/>
      <c r="AG155" s="641"/>
      <c r="AH155" s="641"/>
      <c r="AI155" s="641"/>
      <c r="AJ155" s="641"/>
      <c r="AK155" s="641"/>
      <c r="AL155" s="641"/>
      <c r="AM155" s="637"/>
      <c r="AO155" s="38" t="n">
        <f aca="true">IF($A155="S",IF(BM!$I155=0,0,CHOOSE(MATCH(RegimeExecucao,{"Global","Unitário"},0),ROUND(ROUND(BM.MEDAcumulado,15-13*BM!$A$9)/100*BM!$I155,15-13*ORÇAMENTO!$AF$11),ROUND(ROUND(BM.MEDAcumulado,15-13*BM!$A$9)*ROUND(BM!$H155,15-13*ORÇAMENTO!$AF$10),15-13*ORÇAMENTO!$AF$11))),IF($A155=0,0,ROUND(SomaAgrupBM,15-13*ORÇAMENTO!$AF$11)))</f>
        <v>0</v>
      </c>
    </row>
    <row r="156" customFormat="false" ht="12.75" hidden="false" customHeight="false" outlineLevel="0" collapsed="false">
      <c r="A156" s="1" t="n">
        <f aca="false">ORÇAMENTO!C156</f>
        <v>2</v>
      </c>
      <c r="B156" s="1" t="n">
        <f aca="false">ORÇAMENTO!D156</f>
        <v>15</v>
      </c>
      <c r="C156" s="199" t="str">
        <f aca="false">IF(OR($I156&gt;0,$A156=1,$A156=2,$A156=3,$A156=4),"F","")</f>
        <v>F</v>
      </c>
      <c r="D156" s="202" t="str">
        <f aca="false">ORÇAMENTO!O156</f>
        <v>1.43.</v>
      </c>
      <c r="E156" s="341" t="str">
        <f aca="false">ORÇAMENTO.Descricao</f>
        <v>CAIXA D'ÁGUA E BARRILETE</v>
      </c>
      <c r="F156" s="342" t="str">
        <f aca="true">IF(RegimeExecucao="Global","",ORÇAMENTO.Unidade)</f>
        <v/>
      </c>
      <c r="G156" s="207" t="str">
        <f aca="true">IF(RegimeExecucao="Global","",ORÇAMENTO!T156)</f>
        <v/>
      </c>
      <c r="H156" s="207" t="str">
        <f aca="true">IF(RegimeExecucao="Global","",ORÇAMENTO!W156)</f>
        <v/>
      </c>
      <c r="I156" s="210" t="n">
        <f aca="false">ORÇAMENTO!X156</f>
        <v>28628</v>
      </c>
      <c r="J156" s="633" t="e">
        <f aca="false" t="array" ref="J156:J156">_xlfn.single(IF($A156="S",IF(CAIXA.Modo,BM.AFAnterior,BM.MEDAnterior),IF(AND(_xlfn.single(RegimeExecucao)="Global",$I156&gt;0,COUNTIF($AB$13:$AM$13,BM.medicao-1)&gt;0),M156/$I156*100,0)))</f>
        <v>#NAME?</v>
      </c>
      <c r="K156" s="207" t="e">
        <f aca="false">L156-J156</f>
        <v>#NAME?</v>
      </c>
      <c r="L156" s="634" t="e">
        <f aca="false" t="array" ref="L156:L156">_xlfn.single(IF($A156="S",IF(CAIXA.Modo,BM.AFAcumulado,BM.MEDAcumulado),IF(AND(_xlfn.single(RegimeExecucao)="Global",$I156&gt;0,COUNTIF($AB$13:$AM$13,BM.medicao)&gt;0),O156/$I156*100,0)))</f>
        <v>#NAME?</v>
      </c>
      <c r="M156" s="635" t="n">
        <f aca="true">IF($A156="S",VTOTALBM,IF($A156=0,0,ROUND(SomaAgrupBM,15-13*ORÇAMENTO!$AF$11)))</f>
        <v>0</v>
      </c>
      <c r="N156" s="219" t="n">
        <f aca="false">O156-M156</f>
        <v>0</v>
      </c>
      <c r="O156" s="210" t="n">
        <f aca="true">IF($A156="S",VTOTALBM,IF($A156=0,0,ROUND(SomaAgrupBM,15-13*ORÇAMENTO!$AF$11)))</f>
        <v>0</v>
      </c>
      <c r="Q156" s="636"/>
      <c r="R156" s="637"/>
      <c r="T156" s="202" t="str">
        <f aca="false">IF($W156&gt;0,$D156,"")</f>
        <v/>
      </c>
      <c r="U156" s="341" t="str">
        <f aca="false">IF($W156&gt;0,$E156,"")</f>
        <v/>
      </c>
      <c r="V156" s="342" t="str">
        <f aca="true">IF(AND($W156&gt;0,RegimeExecucao="Unitário"),$F156,"")</f>
        <v/>
      </c>
      <c r="W156" s="638" t="n">
        <f aca="true">IF($Y156&gt;0,CHOOSE(MATCH(RegimeExecucao,{"Unitário","Global"},0),IF($A156="S",$Y156/$X156,""),($Y156/$X156)*100),0)</f>
        <v>0</v>
      </c>
      <c r="X156" s="639" t="str">
        <f aca="true">IF($Y156&gt;0,CHOOSE(MATCH(RegimeExecucao,{"Unitário","Global"},0),IF($A156="S",ROUND($H156,ORÇAMENTO!$AF$10),""),ROUND($I156,ORÇAMENTO!$AF$11)),"")</f>
        <v/>
      </c>
      <c r="Y156" s="639" t="n">
        <f aca="false">AO156-O156</f>
        <v>0</v>
      </c>
      <c r="Z156" s="640"/>
      <c r="AB156" s="636"/>
      <c r="AC156" s="641"/>
      <c r="AD156" s="641"/>
      <c r="AE156" s="641"/>
      <c r="AF156" s="641"/>
      <c r="AG156" s="641"/>
      <c r="AH156" s="641"/>
      <c r="AI156" s="641"/>
      <c r="AJ156" s="641"/>
      <c r="AK156" s="641"/>
      <c r="AL156" s="641"/>
      <c r="AM156" s="637"/>
      <c r="AO156" s="38" t="n">
        <f aca="true">IF($A156="S",IF(BM!$I156=0,0,CHOOSE(MATCH(RegimeExecucao,{"Global","Unitário"},0),ROUND(ROUND(BM.MEDAcumulado,15-13*BM!$A$9)/100*BM!$I156,15-13*ORÇAMENTO!$AF$11),ROUND(ROUND(BM.MEDAcumulado,15-13*BM!$A$9)*ROUND(BM!$H156,15-13*ORÇAMENTO!$AF$10),15-13*ORÇAMENTO!$AF$11))),IF($A156=0,0,ROUND(SomaAgrupBM,15-13*ORÇAMENTO!$AF$11)))</f>
        <v>0</v>
      </c>
    </row>
    <row r="157" customFormat="false" ht="23.85" hidden="false" customHeight="false" outlineLevel="0" collapsed="false">
      <c r="A157" s="1" t="str">
        <f aca="false">ORÇAMENTO!C157</f>
        <v>S</v>
      </c>
      <c r="B157" s="1" t="n">
        <f aca="false">ORÇAMENTO!D157</f>
        <v>0</v>
      </c>
      <c r="C157" s="199" t="str">
        <f aca="false">IF(OR($I157&gt;0,$A157=1,$A157=2,$A157=3,$A157=4),"F","")</f>
        <v>F</v>
      </c>
      <c r="D157" s="202" t="str">
        <f aca="false">ORÇAMENTO!O157</f>
        <v>1.43.1.</v>
      </c>
      <c r="E157" s="341" t="str">
        <f aca="false">ORÇAMENTO.Descricao</f>
        <v>CAIXA D´ÁGUA EM POLIETILENO, 500 LITROS - FORNECIMENTO E INSTALAÇÃO. AF_06/2021</v>
      </c>
      <c r="F157" s="342" t="str">
        <f aca="true">IF(RegimeExecucao="Global","",ORÇAMENTO.Unidade)</f>
        <v/>
      </c>
      <c r="G157" s="207" t="str">
        <f aca="true">IF(RegimeExecucao="Global","",ORÇAMENTO!T157)</f>
        <v/>
      </c>
      <c r="H157" s="207" t="str">
        <f aca="true">IF(RegimeExecucao="Global","",ORÇAMENTO!W157)</f>
        <v/>
      </c>
      <c r="I157" s="210" t="n">
        <f aca="false">ORÇAMENTO!X157</f>
        <v>9749.5</v>
      </c>
      <c r="J157" s="633" t="e">
        <f aca="false" t="array" ref="J157:J157">_xlfn.single(IF($A157="S",IF(CAIXA.Modo,BM.AFAnterior,BM.MEDAnterior),IF(AND(_xlfn.single(RegimeExecucao)="Global",$I157&gt;0,COUNTIF($AB$13:$AM$13,BM.medicao-1)&gt;0),M157/$I157*100,0)))</f>
        <v>#NAME?</v>
      </c>
      <c r="K157" s="207" t="e">
        <f aca="false">L157-J157</f>
        <v>#NAME?</v>
      </c>
      <c r="L157" s="634" t="e">
        <f aca="false" t="array" ref="L157:L157">_xlfn.single(IF($A157="S",IF(CAIXA.Modo,BM.AFAcumulado,BM.MEDAcumulado),IF(AND(_xlfn.single(RegimeExecucao)="Global",$I157&gt;0,COUNTIF($AB$13:$AM$13,BM.medicao)&gt;0),O157/$I157*100,0)))</f>
        <v>#NAME?</v>
      </c>
      <c r="M157" s="635" t="n">
        <f aca="true">IF($A157="S",VTOTALBM,IF($A157=0,0,ROUND(SomaAgrupBM,15-13*ORÇAMENTO!$AF$11)))</f>
        <v>0</v>
      </c>
      <c r="N157" s="219" t="n">
        <f aca="false">O157-M157</f>
        <v>0</v>
      </c>
      <c r="O157" s="210" t="n">
        <f aca="true">IF($A157="S",VTOTALBM,IF($A157=0,0,ROUND(SomaAgrupBM,15-13*ORÇAMENTO!$AF$11)))</f>
        <v>0</v>
      </c>
      <c r="Q157" s="636"/>
      <c r="R157" s="637"/>
      <c r="T157" s="202" t="str">
        <f aca="false">IF($W157&gt;0,$D157,"")</f>
        <v/>
      </c>
      <c r="U157" s="341" t="str">
        <f aca="false">IF($W157&gt;0,$E157,"")</f>
        <v/>
      </c>
      <c r="V157" s="342" t="str">
        <f aca="true">IF(AND($W157&gt;0,RegimeExecucao="Unitário"),$F157,"")</f>
        <v/>
      </c>
      <c r="W157" s="638" t="n">
        <f aca="true">IF($Y157&gt;0,CHOOSE(MATCH(RegimeExecucao,{"Unitário","Global"},0),IF($A157="S",$Y157/$X157,""),($Y157/$X157)*100),0)</f>
        <v>0</v>
      </c>
      <c r="X157" s="639" t="str">
        <f aca="true">IF($Y157&gt;0,CHOOSE(MATCH(RegimeExecucao,{"Unitário","Global"},0),IF($A157="S",ROUND($H157,ORÇAMENTO!$AF$10),""),ROUND($I157,ORÇAMENTO!$AF$11)),"")</f>
        <v/>
      </c>
      <c r="Y157" s="639" t="n">
        <f aca="false">AO157-O157</f>
        <v>0</v>
      </c>
      <c r="Z157" s="640"/>
      <c r="AB157" s="636"/>
      <c r="AC157" s="641"/>
      <c r="AD157" s="641"/>
      <c r="AE157" s="641"/>
      <c r="AF157" s="641"/>
      <c r="AG157" s="641"/>
      <c r="AH157" s="641"/>
      <c r="AI157" s="641"/>
      <c r="AJ157" s="641"/>
      <c r="AK157" s="641"/>
      <c r="AL157" s="641"/>
      <c r="AM157" s="637"/>
      <c r="AO157" s="38" t="n">
        <f aca="true">IF($A157="S",IF(BM!$I157=0,0,CHOOSE(MATCH(RegimeExecucao,{"Global","Unitário"},0),ROUND(ROUND(BM.MEDAcumulado,15-13*BM!$A$9)/100*BM!$I157,15-13*ORÇAMENTO!$AF$11),ROUND(ROUND(BM.MEDAcumulado,15-13*BM!$A$9)*ROUND(BM!$H157,15-13*ORÇAMENTO!$AF$10),15-13*ORÇAMENTO!$AF$11))),IF($A157=0,0,ROUND(SomaAgrupBM,15-13*ORÇAMENTO!$AF$11)))</f>
        <v>0</v>
      </c>
    </row>
    <row r="158" customFormat="false" ht="23.85" hidden="false" customHeight="false" outlineLevel="0" collapsed="false">
      <c r="A158" s="1" t="str">
        <f aca="false">ORÇAMENTO!C158</f>
        <v>S</v>
      </c>
      <c r="B158" s="1" t="n">
        <f aca="false">ORÇAMENTO!D158</f>
        <v>0</v>
      </c>
      <c r="C158" s="199" t="str">
        <f aca="false">IF(OR($I158&gt;0,$A158=1,$A158=2,$A158=3,$A158=4),"F","")</f>
        <v>F</v>
      </c>
      <c r="D158" s="202" t="str">
        <f aca="false">ORÇAMENTO!O158</f>
        <v>1.43.2.</v>
      </c>
      <c r="E158" s="341" t="str">
        <f aca="false">ORÇAMENTO.Descricao</f>
        <v>FURO EM CAIXA D'ÁGUA COM ESPESSURA DE 2 ATÉ 5 MM E DIÂMETRO DE 25 MM. AF_06/2021</v>
      </c>
      <c r="F158" s="342" t="str">
        <f aca="true">IF(RegimeExecucao="Global","",ORÇAMENTO.Unidade)</f>
        <v/>
      </c>
      <c r="G158" s="207" t="str">
        <f aca="true">IF(RegimeExecucao="Global","",ORÇAMENTO!T158)</f>
        <v/>
      </c>
      <c r="H158" s="207" t="str">
        <f aca="true">IF(RegimeExecucao="Global","",ORÇAMENTO!W158)</f>
        <v/>
      </c>
      <c r="I158" s="210" t="n">
        <f aca="false">ORÇAMENTO!X158</f>
        <v>138.75</v>
      </c>
      <c r="J158" s="633" t="e">
        <f aca="false" t="array" ref="J158:J158">_xlfn.single(IF($A158="S",IF(CAIXA.Modo,BM.AFAnterior,BM.MEDAnterior),IF(AND(_xlfn.single(RegimeExecucao)="Global",$I158&gt;0,COUNTIF($AB$13:$AM$13,BM.medicao-1)&gt;0),M158/$I158*100,0)))</f>
        <v>#NAME?</v>
      </c>
      <c r="K158" s="207" t="e">
        <f aca="false">L158-J158</f>
        <v>#NAME?</v>
      </c>
      <c r="L158" s="634" t="e">
        <f aca="false" t="array" ref="L158:L158">_xlfn.single(IF($A158="S",IF(CAIXA.Modo,BM.AFAcumulado,BM.MEDAcumulado),IF(AND(_xlfn.single(RegimeExecucao)="Global",$I158&gt;0,COUNTIF($AB$13:$AM$13,BM.medicao)&gt;0),O158/$I158*100,0)))</f>
        <v>#NAME?</v>
      </c>
      <c r="M158" s="635" t="n">
        <f aca="true">IF($A158="S",VTOTALBM,IF($A158=0,0,ROUND(SomaAgrupBM,15-13*ORÇAMENTO!$AF$11)))</f>
        <v>0</v>
      </c>
      <c r="N158" s="219" t="n">
        <f aca="false">O158-M158</f>
        <v>0</v>
      </c>
      <c r="O158" s="210" t="n">
        <f aca="true">IF($A158="S",VTOTALBM,IF($A158=0,0,ROUND(SomaAgrupBM,15-13*ORÇAMENTO!$AF$11)))</f>
        <v>0</v>
      </c>
      <c r="Q158" s="636"/>
      <c r="R158" s="637"/>
      <c r="T158" s="202" t="str">
        <f aca="false">IF($W158&gt;0,$D158,"")</f>
        <v/>
      </c>
      <c r="U158" s="341" t="str">
        <f aca="false">IF($W158&gt;0,$E158,"")</f>
        <v/>
      </c>
      <c r="V158" s="342" t="str">
        <f aca="true">IF(AND($W158&gt;0,RegimeExecucao="Unitário"),$F158,"")</f>
        <v/>
      </c>
      <c r="W158" s="638" t="n">
        <f aca="true">IF($Y158&gt;0,CHOOSE(MATCH(RegimeExecucao,{"Unitário","Global"},0),IF($A158="S",$Y158/$X158,""),($Y158/$X158)*100),0)</f>
        <v>0</v>
      </c>
      <c r="X158" s="639" t="str">
        <f aca="true">IF($Y158&gt;0,CHOOSE(MATCH(RegimeExecucao,{"Unitário","Global"},0),IF($A158="S",ROUND($H158,ORÇAMENTO!$AF$10),""),ROUND($I158,ORÇAMENTO!$AF$11)),"")</f>
        <v/>
      </c>
      <c r="Y158" s="639" t="n">
        <f aca="false">AO158-O158</f>
        <v>0</v>
      </c>
      <c r="Z158" s="640"/>
      <c r="AB158" s="636"/>
      <c r="AC158" s="641"/>
      <c r="AD158" s="641"/>
      <c r="AE158" s="641"/>
      <c r="AF158" s="641"/>
      <c r="AG158" s="641"/>
      <c r="AH158" s="641"/>
      <c r="AI158" s="641"/>
      <c r="AJ158" s="641"/>
      <c r="AK158" s="641"/>
      <c r="AL158" s="641"/>
      <c r="AM158" s="637"/>
      <c r="AO158" s="38" t="n">
        <f aca="true">IF($A158="S",IF(BM!$I158=0,0,CHOOSE(MATCH(RegimeExecucao,{"Global","Unitário"},0),ROUND(ROUND(BM.MEDAcumulado,15-13*BM!$A$9)/100*BM!$I158,15-13*ORÇAMENTO!$AF$11),ROUND(ROUND(BM.MEDAcumulado,15-13*BM!$A$9)*ROUND(BM!$H158,15-13*ORÇAMENTO!$AF$10),15-13*ORÇAMENTO!$AF$11))),IF($A158=0,0,ROUND(SomaAgrupBM,15-13*ORÇAMENTO!$AF$11)))</f>
        <v>0</v>
      </c>
    </row>
    <row r="159" customFormat="false" ht="23.85" hidden="false" customHeight="false" outlineLevel="0" collapsed="false">
      <c r="A159" s="1" t="str">
        <f aca="false">ORÇAMENTO!C159</f>
        <v>S</v>
      </c>
      <c r="B159" s="1" t="n">
        <f aca="false">ORÇAMENTO!D159</f>
        <v>0</v>
      </c>
      <c r="C159" s="199" t="str">
        <f aca="false">IF(OR($I159&gt;0,$A159=1,$A159=2,$A159=3,$A159=4),"F","")</f>
        <v>F</v>
      </c>
      <c r="D159" s="202" t="str">
        <f aca="false">ORÇAMENTO!O159</f>
        <v>1.43.3.</v>
      </c>
      <c r="E159" s="341" t="str">
        <f aca="false">ORÇAMENTO.Descricao</f>
        <v>FURO EM CAIXA D'ÁGUA COM ESPESSURA DE 2 ATÉ 5 MM E DIÂMETRO DE 32 MM. AF_06/2021</v>
      </c>
      <c r="F159" s="342" t="str">
        <f aca="true">IF(RegimeExecucao="Global","",ORÇAMENTO.Unidade)</f>
        <v/>
      </c>
      <c r="G159" s="207" t="str">
        <f aca="true">IF(RegimeExecucao="Global","",ORÇAMENTO!T159)</f>
        <v/>
      </c>
      <c r="H159" s="207" t="str">
        <f aca="true">IF(RegimeExecucao="Global","",ORÇAMENTO!W159)</f>
        <v/>
      </c>
      <c r="I159" s="210" t="n">
        <f aca="false">ORÇAMENTO!X159</f>
        <v>313.5</v>
      </c>
      <c r="J159" s="633" t="e">
        <f aca="false" t="array" ref="J159:J159">_xlfn.single(IF($A159="S",IF(CAIXA.Modo,BM.AFAnterior,BM.MEDAnterior),IF(AND(_xlfn.single(RegimeExecucao)="Global",$I159&gt;0,COUNTIF($AB$13:$AM$13,BM.medicao-1)&gt;0),M159/$I159*100,0)))</f>
        <v>#NAME?</v>
      </c>
      <c r="K159" s="207" t="e">
        <f aca="false">L159-J159</f>
        <v>#NAME?</v>
      </c>
      <c r="L159" s="634" t="e">
        <f aca="false" t="array" ref="L159:L159">_xlfn.single(IF($A159="S",IF(CAIXA.Modo,BM.AFAcumulado,BM.MEDAcumulado),IF(AND(_xlfn.single(RegimeExecucao)="Global",$I159&gt;0,COUNTIF($AB$13:$AM$13,BM.medicao)&gt;0),O159/$I159*100,0)))</f>
        <v>#NAME?</v>
      </c>
      <c r="M159" s="635" t="n">
        <f aca="true">IF($A159="S",VTOTALBM,IF($A159=0,0,ROUND(SomaAgrupBM,15-13*ORÇAMENTO!$AF$11)))</f>
        <v>0</v>
      </c>
      <c r="N159" s="219" t="n">
        <f aca="false">O159-M159</f>
        <v>0</v>
      </c>
      <c r="O159" s="210" t="n">
        <f aca="true">IF($A159="S",VTOTALBM,IF($A159=0,0,ROUND(SomaAgrupBM,15-13*ORÇAMENTO!$AF$11)))</f>
        <v>0</v>
      </c>
      <c r="Q159" s="636"/>
      <c r="R159" s="637"/>
      <c r="T159" s="202" t="str">
        <f aca="false">IF($W159&gt;0,$D159,"")</f>
        <v/>
      </c>
      <c r="U159" s="341" t="str">
        <f aca="false">IF($W159&gt;0,$E159,"")</f>
        <v/>
      </c>
      <c r="V159" s="342" t="str">
        <f aca="true">IF(AND($W159&gt;0,RegimeExecucao="Unitário"),$F159,"")</f>
        <v/>
      </c>
      <c r="W159" s="638" t="n">
        <f aca="true">IF($Y159&gt;0,CHOOSE(MATCH(RegimeExecucao,{"Unitário","Global"},0),IF($A159="S",$Y159/$X159,""),($Y159/$X159)*100),0)</f>
        <v>0</v>
      </c>
      <c r="X159" s="639" t="str">
        <f aca="true">IF($Y159&gt;0,CHOOSE(MATCH(RegimeExecucao,{"Unitário","Global"},0),IF($A159="S",ROUND($H159,ORÇAMENTO!$AF$10),""),ROUND($I159,ORÇAMENTO!$AF$11)),"")</f>
        <v/>
      </c>
      <c r="Y159" s="639" t="n">
        <f aca="false">AO159-O159</f>
        <v>0</v>
      </c>
      <c r="Z159" s="640"/>
      <c r="AB159" s="636"/>
      <c r="AC159" s="641"/>
      <c r="AD159" s="641"/>
      <c r="AE159" s="641"/>
      <c r="AF159" s="641"/>
      <c r="AG159" s="641"/>
      <c r="AH159" s="641"/>
      <c r="AI159" s="641"/>
      <c r="AJ159" s="641"/>
      <c r="AK159" s="641"/>
      <c r="AL159" s="641"/>
      <c r="AM159" s="637"/>
      <c r="AO159" s="38" t="n">
        <f aca="true">IF($A159="S",IF(BM!$I159=0,0,CHOOSE(MATCH(RegimeExecucao,{"Global","Unitário"},0),ROUND(ROUND(BM.MEDAcumulado,15-13*BM!$A$9)/100*BM!$I159,15-13*ORÇAMENTO!$AF$11),ROUND(ROUND(BM.MEDAcumulado,15-13*BM!$A$9)*ROUND(BM!$H159,15-13*ORÇAMENTO!$AF$10),15-13*ORÇAMENTO!$AF$11))),IF($A159=0,0,ROUND(SomaAgrupBM,15-13*ORÇAMENTO!$AF$11)))</f>
        <v>0</v>
      </c>
    </row>
    <row r="160" customFormat="false" ht="35.05" hidden="false" customHeight="false" outlineLevel="0" collapsed="false">
      <c r="A160" s="1" t="str">
        <f aca="false">ORÇAMENTO!C160</f>
        <v>S</v>
      </c>
      <c r="B160" s="1" t="n">
        <f aca="false">ORÇAMENTO!D160</f>
        <v>0</v>
      </c>
      <c r="C160" s="199" t="str">
        <f aca="false">IF(OR($I160&gt;0,$A160=1,$A160=2,$A160=3,$A160=4),"F","")</f>
        <v>F</v>
      </c>
      <c r="D160" s="202" t="str">
        <f aca="false">ORÇAMENTO!O160</f>
        <v>1.43.4.</v>
      </c>
      <c r="E160" s="341" t="str">
        <f aca="false">ORÇAMENTO.Descricao</f>
        <v>ADAPTADOR COM FLANGE E ANEL DE VEDAÇÃO, PVC, SOLDÁVEL, DN 25 MM X 3/4", INSTALADO EM RESERVAÇÃO PREDIAL DE ÁGUA - FORNECIMENTO E INSTALAÇÃO. AF_04/2024</v>
      </c>
      <c r="F160" s="342" t="str">
        <f aca="true">IF(RegimeExecucao="Global","",ORÇAMENTO.Unidade)</f>
        <v/>
      </c>
      <c r="G160" s="207" t="str">
        <f aca="true">IF(RegimeExecucao="Global","",ORÇAMENTO!T160)</f>
        <v/>
      </c>
      <c r="H160" s="207" t="str">
        <f aca="true">IF(RegimeExecucao="Global","",ORÇAMENTO!W160)</f>
        <v/>
      </c>
      <c r="I160" s="210" t="n">
        <f aca="false">ORÇAMENTO!X160</f>
        <v>616.75</v>
      </c>
      <c r="J160" s="633" t="e">
        <f aca="false" t="array" ref="J160:J160">_xlfn.single(IF($A160="S",IF(CAIXA.Modo,BM.AFAnterior,BM.MEDAnterior),IF(AND(_xlfn.single(RegimeExecucao)="Global",$I160&gt;0,COUNTIF($AB$13:$AM$13,BM.medicao-1)&gt;0),M160/$I160*100,0)))</f>
        <v>#NAME?</v>
      </c>
      <c r="K160" s="207" t="e">
        <f aca="false">L160-J160</f>
        <v>#NAME?</v>
      </c>
      <c r="L160" s="634" t="e">
        <f aca="false" t="array" ref="L160:L160">_xlfn.single(IF($A160="S",IF(CAIXA.Modo,BM.AFAcumulado,BM.MEDAcumulado),IF(AND(_xlfn.single(RegimeExecucao)="Global",$I160&gt;0,COUNTIF($AB$13:$AM$13,BM.medicao)&gt;0),O160/$I160*100,0)))</f>
        <v>#NAME?</v>
      </c>
      <c r="M160" s="635" t="n">
        <f aca="true">IF($A160="S",VTOTALBM,IF($A160=0,0,ROUND(SomaAgrupBM,15-13*ORÇAMENTO!$AF$11)))</f>
        <v>0</v>
      </c>
      <c r="N160" s="219" t="n">
        <f aca="false">O160-M160</f>
        <v>0</v>
      </c>
      <c r="O160" s="210" t="n">
        <f aca="true">IF($A160="S",VTOTALBM,IF($A160=0,0,ROUND(SomaAgrupBM,15-13*ORÇAMENTO!$AF$11)))</f>
        <v>0</v>
      </c>
      <c r="Q160" s="636"/>
      <c r="R160" s="637"/>
      <c r="T160" s="202" t="str">
        <f aca="false">IF($W160&gt;0,$D160,"")</f>
        <v/>
      </c>
      <c r="U160" s="341" t="str">
        <f aca="false">IF($W160&gt;0,$E160,"")</f>
        <v/>
      </c>
      <c r="V160" s="342" t="str">
        <f aca="true">IF(AND($W160&gt;0,RegimeExecucao="Unitário"),$F160,"")</f>
        <v/>
      </c>
      <c r="W160" s="638" t="n">
        <f aca="true">IF($Y160&gt;0,CHOOSE(MATCH(RegimeExecucao,{"Unitário","Global"},0),IF($A160="S",$Y160/$X160,""),($Y160/$X160)*100),0)</f>
        <v>0</v>
      </c>
      <c r="X160" s="639" t="str">
        <f aca="true">IF($Y160&gt;0,CHOOSE(MATCH(RegimeExecucao,{"Unitário","Global"},0),IF($A160="S",ROUND($H160,ORÇAMENTO!$AF$10),""),ROUND($I160,ORÇAMENTO!$AF$11)),"")</f>
        <v/>
      </c>
      <c r="Y160" s="639" t="n">
        <f aca="false">AO160-O160</f>
        <v>0</v>
      </c>
      <c r="Z160" s="640"/>
      <c r="AB160" s="636"/>
      <c r="AC160" s="641"/>
      <c r="AD160" s="641"/>
      <c r="AE160" s="641"/>
      <c r="AF160" s="641"/>
      <c r="AG160" s="641"/>
      <c r="AH160" s="641"/>
      <c r="AI160" s="641"/>
      <c r="AJ160" s="641"/>
      <c r="AK160" s="641"/>
      <c r="AL160" s="641"/>
      <c r="AM160" s="637"/>
      <c r="AO160" s="38" t="n">
        <f aca="true">IF($A160="S",IF(BM!$I160=0,0,CHOOSE(MATCH(RegimeExecucao,{"Global","Unitário"},0),ROUND(ROUND(BM.MEDAcumulado,15-13*BM!$A$9)/100*BM!$I160,15-13*ORÇAMENTO!$AF$11),ROUND(ROUND(BM.MEDAcumulado,15-13*BM!$A$9)*ROUND(BM!$H160,15-13*ORÇAMENTO!$AF$10),15-13*ORÇAMENTO!$AF$11))),IF($A160=0,0,ROUND(SomaAgrupBM,15-13*ORÇAMENTO!$AF$11)))</f>
        <v>0</v>
      </c>
    </row>
    <row r="161" customFormat="false" ht="35.05" hidden="false" customHeight="false" outlineLevel="0" collapsed="false">
      <c r="A161" s="1" t="str">
        <f aca="false">ORÇAMENTO!C161</f>
        <v>S</v>
      </c>
      <c r="B161" s="1" t="n">
        <f aca="false">ORÇAMENTO!D161</f>
        <v>0</v>
      </c>
      <c r="C161" s="199" t="str">
        <f aca="false">IF(OR($I161&gt;0,$A161=1,$A161=2,$A161=3,$A161=4),"F","")</f>
        <v>F</v>
      </c>
      <c r="D161" s="202" t="str">
        <f aca="false">ORÇAMENTO!O161</f>
        <v>1.43.5.</v>
      </c>
      <c r="E161" s="341" t="str">
        <f aca="false">ORÇAMENTO.Descricao</f>
        <v>ADAPTADOR COM FLANGE E ANEL DE VEDAÇÃO, PVC, SOLDÁVEL, DN 32 MM X 1", INSTALADO EM RESERVAÇÃO PREDIAL DE ÁGUA - FORNECIMENTO E INSTALAÇÃO. AF_04/2024</v>
      </c>
      <c r="F161" s="342" t="str">
        <f aca="true">IF(RegimeExecucao="Global","",ORÇAMENTO.Unidade)</f>
        <v/>
      </c>
      <c r="G161" s="207" t="str">
        <f aca="true">IF(RegimeExecucao="Global","",ORÇAMENTO!T161)</f>
        <v/>
      </c>
      <c r="H161" s="207" t="str">
        <f aca="true">IF(RegimeExecucao="Global","",ORÇAMENTO!W161)</f>
        <v/>
      </c>
      <c r="I161" s="210" t="n">
        <f aca="false">ORÇAMENTO!X161</f>
        <v>1643.5</v>
      </c>
      <c r="J161" s="633" t="e">
        <f aca="false" t="array" ref="J161:J161">_xlfn.single(IF($A161="S",IF(CAIXA.Modo,BM.AFAnterior,BM.MEDAnterior),IF(AND(_xlfn.single(RegimeExecucao)="Global",$I161&gt;0,COUNTIF($AB$13:$AM$13,BM.medicao-1)&gt;0),M161/$I161*100,0)))</f>
        <v>#NAME?</v>
      </c>
      <c r="K161" s="207" t="e">
        <f aca="false">L161-J161</f>
        <v>#NAME?</v>
      </c>
      <c r="L161" s="634" t="e">
        <f aca="false" t="array" ref="L161:L161">_xlfn.single(IF($A161="S",IF(CAIXA.Modo,BM.AFAcumulado,BM.MEDAcumulado),IF(AND(_xlfn.single(RegimeExecucao)="Global",$I161&gt;0,COUNTIF($AB$13:$AM$13,BM.medicao)&gt;0),O161/$I161*100,0)))</f>
        <v>#NAME?</v>
      </c>
      <c r="M161" s="635" t="n">
        <f aca="true">IF($A161="S",VTOTALBM,IF($A161=0,0,ROUND(SomaAgrupBM,15-13*ORÇAMENTO!$AF$11)))</f>
        <v>0</v>
      </c>
      <c r="N161" s="219" t="n">
        <f aca="false">O161-M161</f>
        <v>0</v>
      </c>
      <c r="O161" s="210" t="n">
        <f aca="true">IF($A161="S",VTOTALBM,IF($A161=0,0,ROUND(SomaAgrupBM,15-13*ORÇAMENTO!$AF$11)))</f>
        <v>0</v>
      </c>
      <c r="Q161" s="636"/>
      <c r="R161" s="637"/>
      <c r="T161" s="202" t="str">
        <f aca="false">IF($W161&gt;0,$D161,"")</f>
        <v/>
      </c>
      <c r="U161" s="341" t="str">
        <f aca="false">IF($W161&gt;0,$E161,"")</f>
        <v/>
      </c>
      <c r="V161" s="342" t="str">
        <f aca="true">IF(AND($W161&gt;0,RegimeExecucao="Unitário"),$F161,"")</f>
        <v/>
      </c>
      <c r="W161" s="638" t="n">
        <f aca="true">IF($Y161&gt;0,CHOOSE(MATCH(RegimeExecucao,{"Unitário","Global"},0),IF($A161="S",$Y161/$X161,""),($Y161/$X161)*100),0)</f>
        <v>0</v>
      </c>
      <c r="X161" s="639" t="str">
        <f aca="true">IF($Y161&gt;0,CHOOSE(MATCH(RegimeExecucao,{"Unitário","Global"},0),IF($A161="S",ROUND($H161,ORÇAMENTO!$AF$10),""),ROUND($I161,ORÇAMENTO!$AF$11)),"")</f>
        <v/>
      </c>
      <c r="Y161" s="639" t="n">
        <f aca="false">AO161-O161</f>
        <v>0</v>
      </c>
      <c r="Z161" s="640"/>
      <c r="AB161" s="636"/>
      <c r="AC161" s="641"/>
      <c r="AD161" s="641"/>
      <c r="AE161" s="641"/>
      <c r="AF161" s="641"/>
      <c r="AG161" s="641"/>
      <c r="AH161" s="641"/>
      <c r="AI161" s="641"/>
      <c r="AJ161" s="641"/>
      <c r="AK161" s="641"/>
      <c r="AL161" s="641"/>
      <c r="AM161" s="637"/>
      <c r="AO161" s="38" t="n">
        <f aca="true">IF($A161="S",IF(BM!$I161=0,0,CHOOSE(MATCH(RegimeExecucao,{"Global","Unitário"},0),ROUND(ROUND(BM.MEDAcumulado,15-13*BM!$A$9)/100*BM!$I161,15-13*ORÇAMENTO!$AF$11),ROUND(ROUND(BM.MEDAcumulado,15-13*BM!$A$9)*ROUND(BM!$H161,15-13*ORÇAMENTO!$AF$10),15-13*ORÇAMENTO!$AF$11))),IF($A161=0,0,ROUND(SomaAgrupBM,15-13*ORÇAMENTO!$AF$11)))</f>
        <v>0</v>
      </c>
    </row>
    <row r="162" customFormat="false" ht="23.85" hidden="false" customHeight="false" outlineLevel="0" collapsed="false">
      <c r="A162" s="1" t="str">
        <f aca="false">ORÇAMENTO!C162</f>
        <v>S</v>
      </c>
      <c r="B162" s="1" t="n">
        <f aca="false">ORÇAMENTO!D162</f>
        <v>0</v>
      </c>
      <c r="C162" s="199" t="str">
        <f aca="false">IF(OR($I162&gt;0,$A162=1,$A162=2,$A162=3,$A162=4),"F","")</f>
        <v>F</v>
      </c>
      <c r="D162" s="202" t="str">
        <f aca="false">ORÇAMENTO!O162</f>
        <v>1.43.6.</v>
      </c>
      <c r="E162" s="341" t="str">
        <f aca="false">ORÇAMENTO.Descricao</f>
        <v>TORNEIRA DE BOIA PARA CAIXA D'ÁGUA, ROSCÁVEL, 3/4" - FORNECIMENTO E INSTALAÇÃO. AF_08/2021</v>
      </c>
      <c r="F162" s="342" t="str">
        <f aca="true">IF(RegimeExecucao="Global","",ORÇAMENTO.Unidade)</f>
        <v/>
      </c>
      <c r="G162" s="207" t="str">
        <f aca="true">IF(RegimeExecucao="Global","",ORÇAMENTO!T162)</f>
        <v/>
      </c>
      <c r="H162" s="207" t="str">
        <f aca="true">IF(RegimeExecucao="Global","",ORÇAMENTO!W162)</f>
        <v/>
      </c>
      <c r="I162" s="210" t="n">
        <f aca="false">ORÇAMENTO!X162</f>
        <v>1173</v>
      </c>
      <c r="J162" s="633" t="e">
        <f aca="false" t="array" ref="J162:J162">_xlfn.single(IF($A162="S",IF(CAIXA.Modo,BM.AFAnterior,BM.MEDAnterior),IF(AND(_xlfn.single(RegimeExecucao)="Global",$I162&gt;0,COUNTIF($AB$13:$AM$13,BM.medicao-1)&gt;0),M162/$I162*100,0)))</f>
        <v>#NAME?</v>
      </c>
      <c r="K162" s="207" t="e">
        <f aca="false">L162-J162</f>
        <v>#NAME?</v>
      </c>
      <c r="L162" s="634" t="e">
        <f aca="false" t="array" ref="L162:L162">_xlfn.single(IF($A162="S",IF(CAIXA.Modo,BM.AFAcumulado,BM.MEDAcumulado),IF(AND(_xlfn.single(RegimeExecucao)="Global",$I162&gt;0,COUNTIF($AB$13:$AM$13,BM.medicao)&gt;0),O162/$I162*100,0)))</f>
        <v>#NAME?</v>
      </c>
      <c r="M162" s="635" t="n">
        <f aca="true">IF($A162="S",VTOTALBM,IF($A162=0,0,ROUND(SomaAgrupBM,15-13*ORÇAMENTO!$AF$11)))</f>
        <v>0</v>
      </c>
      <c r="N162" s="219" t="n">
        <f aca="false">O162-M162</f>
        <v>0</v>
      </c>
      <c r="O162" s="210" t="n">
        <f aca="true">IF($A162="S",VTOTALBM,IF($A162=0,0,ROUND(SomaAgrupBM,15-13*ORÇAMENTO!$AF$11)))</f>
        <v>0</v>
      </c>
      <c r="Q162" s="636"/>
      <c r="R162" s="637"/>
      <c r="T162" s="202" t="str">
        <f aca="false">IF($W162&gt;0,$D162,"")</f>
        <v/>
      </c>
      <c r="U162" s="341" t="str">
        <f aca="false">IF($W162&gt;0,$E162,"")</f>
        <v/>
      </c>
      <c r="V162" s="342" t="str">
        <f aca="true">IF(AND($W162&gt;0,RegimeExecucao="Unitário"),$F162,"")</f>
        <v/>
      </c>
      <c r="W162" s="638" t="n">
        <f aca="true">IF($Y162&gt;0,CHOOSE(MATCH(RegimeExecucao,{"Unitário","Global"},0),IF($A162="S",$Y162/$X162,""),($Y162/$X162)*100),0)</f>
        <v>0</v>
      </c>
      <c r="X162" s="639" t="str">
        <f aca="true">IF($Y162&gt;0,CHOOSE(MATCH(RegimeExecucao,{"Unitário","Global"},0),IF($A162="S",ROUND($H162,ORÇAMENTO!$AF$10),""),ROUND($I162,ORÇAMENTO!$AF$11)),"")</f>
        <v/>
      </c>
      <c r="Y162" s="639" t="n">
        <f aca="false">AO162-O162</f>
        <v>0</v>
      </c>
      <c r="Z162" s="640"/>
      <c r="AB162" s="636"/>
      <c r="AC162" s="641"/>
      <c r="AD162" s="641"/>
      <c r="AE162" s="641"/>
      <c r="AF162" s="641"/>
      <c r="AG162" s="641"/>
      <c r="AH162" s="641"/>
      <c r="AI162" s="641"/>
      <c r="AJ162" s="641"/>
      <c r="AK162" s="641"/>
      <c r="AL162" s="641"/>
      <c r="AM162" s="637"/>
      <c r="AO162" s="38" t="n">
        <f aca="true">IF($A162="S",IF(BM!$I162=0,0,CHOOSE(MATCH(RegimeExecucao,{"Global","Unitário"},0),ROUND(ROUND(BM.MEDAcumulado,15-13*BM!$A$9)/100*BM!$I162,15-13*ORÇAMENTO!$AF$11),ROUND(ROUND(BM.MEDAcumulado,15-13*BM!$A$9)*ROUND(BM!$H162,15-13*ORÇAMENTO!$AF$10),15-13*ORÇAMENTO!$AF$11))),IF($A162=0,0,ROUND(SomaAgrupBM,15-13*ORÇAMENTO!$AF$11)))</f>
        <v>0</v>
      </c>
    </row>
    <row r="163" customFormat="false" ht="35.05" hidden="false" customHeight="false" outlineLevel="0" collapsed="false">
      <c r="A163" s="1" t="str">
        <f aca="false">ORÇAMENTO!C163</f>
        <v>S</v>
      </c>
      <c r="B163" s="1" t="n">
        <f aca="false">ORÇAMENTO!D163</f>
        <v>0</v>
      </c>
      <c r="C163" s="199" t="str">
        <f aca="false">IF(OR($I163&gt;0,$A163=1,$A163=2,$A163=3,$A163=4),"F","")</f>
        <v>F</v>
      </c>
      <c r="D163" s="202" t="str">
        <f aca="false">ORÇAMENTO!O163</f>
        <v>1.43.7.</v>
      </c>
      <c r="E163" s="341" t="str">
        <f aca="false">ORÇAMENTO.Descricao</f>
        <v>JOELHO 90 GRAUS, PVC, SOLDÁVEL, DN 25MM, INSTALADO EM RAMAL DE DISTRIBUIÇÃO DE ÁGUA - FORNECIMENTO E INSTALAÇÃO. AF_06/2022</v>
      </c>
      <c r="F163" s="342" t="str">
        <f aca="true">IF(RegimeExecucao="Global","",ORÇAMENTO.Unidade)</f>
        <v/>
      </c>
      <c r="G163" s="207" t="str">
        <f aca="true">IF(RegimeExecucao="Global","",ORÇAMENTO!T163)</f>
        <v/>
      </c>
      <c r="H163" s="207" t="str">
        <f aca="true">IF(RegimeExecucao="Global","",ORÇAMENTO!W163)</f>
        <v/>
      </c>
      <c r="I163" s="210" t="n">
        <f aca="false">ORÇAMENTO!X163</f>
        <v>2230</v>
      </c>
      <c r="J163" s="633" t="e">
        <f aca="false" t="array" ref="J163:J163">_xlfn.single(IF($A163="S",IF(CAIXA.Modo,BM.AFAnterior,BM.MEDAnterior),IF(AND(_xlfn.single(RegimeExecucao)="Global",$I163&gt;0,COUNTIF($AB$13:$AM$13,BM.medicao-1)&gt;0),M163/$I163*100,0)))</f>
        <v>#NAME?</v>
      </c>
      <c r="K163" s="207" t="e">
        <f aca="false">L163-J163</f>
        <v>#NAME?</v>
      </c>
      <c r="L163" s="634" t="e">
        <f aca="false" t="array" ref="L163:L163">_xlfn.single(IF($A163="S",IF(CAIXA.Modo,BM.AFAcumulado,BM.MEDAcumulado),IF(AND(_xlfn.single(RegimeExecucao)="Global",$I163&gt;0,COUNTIF($AB$13:$AM$13,BM.medicao)&gt;0),O163/$I163*100,0)))</f>
        <v>#NAME?</v>
      </c>
      <c r="M163" s="635" t="n">
        <f aca="true">IF($A163="S",VTOTALBM,IF($A163=0,0,ROUND(SomaAgrupBM,15-13*ORÇAMENTO!$AF$11)))</f>
        <v>0</v>
      </c>
      <c r="N163" s="219" t="n">
        <f aca="false">O163-M163</f>
        <v>0</v>
      </c>
      <c r="O163" s="210" t="n">
        <f aca="true">IF($A163="S",VTOTALBM,IF($A163=0,0,ROUND(SomaAgrupBM,15-13*ORÇAMENTO!$AF$11)))</f>
        <v>0</v>
      </c>
      <c r="Q163" s="636"/>
      <c r="R163" s="637"/>
      <c r="T163" s="202" t="str">
        <f aca="false">IF($W163&gt;0,$D163,"")</f>
        <v/>
      </c>
      <c r="U163" s="341" t="str">
        <f aca="false">IF($W163&gt;0,$E163,"")</f>
        <v/>
      </c>
      <c r="V163" s="342" t="str">
        <f aca="true">IF(AND($W163&gt;0,RegimeExecucao="Unitário"),$F163,"")</f>
        <v/>
      </c>
      <c r="W163" s="638" t="n">
        <f aca="true">IF($Y163&gt;0,CHOOSE(MATCH(RegimeExecucao,{"Unitário","Global"},0),IF($A163="S",$Y163/$X163,""),($Y163/$X163)*100),0)</f>
        <v>0</v>
      </c>
      <c r="X163" s="639" t="str">
        <f aca="true">IF($Y163&gt;0,CHOOSE(MATCH(RegimeExecucao,{"Unitário","Global"},0),IF($A163="S",ROUND($H163,ORÇAMENTO!$AF$10),""),ROUND($I163,ORÇAMENTO!$AF$11)),"")</f>
        <v/>
      </c>
      <c r="Y163" s="639" t="n">
        <f aca="false">AO163-O163</f>
        <v>0</v>
      </c>
      <c r="Z163" s="640"/>
      <c r="AB163" s="636"/>
      <c r="AC163" s="641"/>
      <c r="AD163" s="641"/>
      <c r="AE163" s="641"/>
      <c r="AF163" s="641"/>
      <c r="AG163" s="641"/>
      <c r="AH163" s="641"/>
      <c r="AI163" s="641"/>
      <c r="AJ163" s="641"/>
      <c r="AK163" s="641"/>
      <c r="AL163" s="641"/>
      <c r="AM163" s="637"/>
      <c r="AO163" s="38" t="n">
        <f aca="true">IF($A163="S",IF(BM!$I163=0,0,CHOOSE(MATCH(RegimeExecucao,{"Global","Unitário"},0),ROUND(ROUND(BM.MEDAcumulado,15-13*BM!$A$9)/100*BM!$I163,15-13*ORÇAMENTO!$AF$11),ROUND(ROUND(BM.MEDAcumulado,15-13*BM!$A$9)*ROUND(BM!$H163,15-13*ORÇAMENTO!$AF$10),15-13*ORÇAMENTO!$AF$11))),IF($A163=0,0,ROUND(SomaAgrupBM,15-13*ORÇAMENTO!$AF$11)))</f>
        <v>0</v>
      </c>
    </row>
    <row r="164" customFormat="false" ht="35.05" hidden="false" customHeight="false" outlineLevel="0" collapsed="false">
      <c r="A164" s="1" t="str">
        <f aca="false">ORÇAMENTO!C164</f>
        <v>S</v>
      </c>
      <c r="B164" s="1" t="n">
        <f aca="false">ORÇAMENTO!D164</f>
        <v>0</v>
      </c>
      <c r="C164" s="199" t="str">
        <f aca="false">IF(OR($I164&gt;0,$A164=1,$A164=2,$A164=3,$A164=4),"F","")</f>
        <v>F</v>
      </c>
      <c r="D164" s="202" t="str">
        <f aca="false">ORÇAMENTO!O164</f>
        <v>1.43.8.</v>
      </c>
      <c r="E164" s="341" t="str">
        <f aca="false">ORÇAMENTO.Descricao</f>
        <v>JOELHO 90 GRAUS, PVC, SOLDÁVEL, DN 32MM, INSTALADO EM RAMAL DE DISTRIBUIÇÃO DE ÁGUA - FORNECIMENTO E INSTALAÇÃO. AF_06/2022</v>
      </c>
      <c r="F164" s="342" t="str">
        <f aca="true">IF(RegimeExecucao="Global","",ORÇAMENTO.Unidade)</f>
        <v/>
      </c>
      <c r="G164" s="207" t="str">
        <f aca="true">IF(RegimeExecucao="Global","",ORÇAMENTO!T164)</f>
        <v/>
      </c>
      <c r="H164" s="207" t="str">
        <f aca="true">IF(RegimeExecucao="Global","",ORÇAMENTO!W164)</f>
        <v/>
      </c>
      <c r="I164" s="210" t="n">
        <f aca="false">ORÇAMENTO!X164</f>
        <v>1546</v>
      </c>
      <c r="J164" s="633" t="e">
        <f aca="false" t="array" ref="J164:J164">_xlfn.single(IF($A164="S",IF(CAIXA.Modo,BM.AFAnterior,BM.MEDAnterior),IF(AND(_xlfn.single(RegimeExecucao)="Global",$I164&gt;0,COUNTIF($AB$13:$AM$13,BM.medicao-1)&gt;0),M164/$I164*100,0)))</f>
        <v>#NAME?</v>
      </c>
      <c r="K164" s="207" t="e">
        <f aca="false">L164-J164</f>
        <v>#NAME?</v>
      </c>
      <c r="L164" s="634" t="e">
        <f aca="false" t="array" ref="L164:L164">_xlfn.single(IF($A164="S",IF(CAIXA.Modo,BM.AFAcumulado,BM.MEDAcumulado),IF(AND(_xlfn.single(RegimeExecucao)="Global",$I164&gt;0,COUNTIF($AB$13:$AM$13,BM.medicao)&gt;0),O164/$I164*100,0)))</f>
        <v>#NAME?</v>
      </c>
      <c r="M164" s="635" t="n">
        <f aca="true">IF($A164="S",VTOTALBM,IF($A164=0,0,ROUND(SomaAgrupBM,15-13*ORÇAMENTO!$AF$11)))</f>
        <v>0</v>
      </c>
      <c r="N164" s="219" t="n">
        <f aca="false">O164-M164</f>
        <v>0</v>
      </c>
      <c r="O164" s="210" t="n">
        <f aca="true">IF($A164="S",VTOTALBM,IF($A164=0,0,ROUND(SomaAgrupBM,15-13*ORÇAMENTO!$AF$11)))</f>
        <v>0</v>
      </c>
      <c r="Q164" s="636"/>
      <c r="R164" s="637"/>
      <c r="T164" s="202" t="str">
        <f aca="false">IF($W164&gt;0,$D164,"")</f>
        <v/>
      </c>
      <c r="U164" s="341" t="str">
        <f aca="false">IF($W164&gt;0,$E164,"")</f>
        <v/>
      </c>
      <c r="V164" s="342" t="str">
        <f aca="true">IF(AND($W164&gt;0,RegimeExecucao="Unitário"),$F164,"")</f>
        <v/>
      </c>
      <c r="W164" s="638" t="n">
        <f aca="true">IF($Y164&gt;0,CHOOSE(MATCH(RegimeExecucao,{"Unitário","Global"},0),IF($A164="S",$Y164/$X164,""),($Y164/$X164)*100),0)</f>
        <v>0</v>
      </c>
      <c r="X164" s="639" t="str">
        <f aca="true">IF($Y164&gt;0,CHOOSE(MATCH(RegimeExecucao,{"Unitário","Global"},0),IF($A164="S",ROUND($H164,ORÇAMENTO!$AF$10),""),ROUND($I164,ORÇAMENTO!$AF$11)),"")</f>
        <v/>
      </c>
      <c r="Y164" s="639" t="n">
        <f aca="false">AO164-O164</f>
        <v>0</v>
      </c>
      <c r="Z164" s="640"/>
      <c r="AB164" s="636"/>
      <c r="AC164" s="641"/>
      <c r="AD164" s="641"/>
      <c r="AE164" s="641"/>
      <c r="AF164" s="641"/>
      <c r="AG164" s="641"/>
      <c r="AH164" s="641"/>
      <c r="AI164" s="641"/>
      <c r="AJ164" s="641"/>
      <c r="AK164" s="641"/>
      <c r="AL164" s="641"/>
      <c r="AM164" s="637"/>
      <c r="AO164" s="38" t="n">
        <f aca="true">IF($A164="S",IF(BM!$I164=0,0,CHOOSE(MATCH(RegimeExecucao,{"Global","Unitário"},0),ROUND(ROUND(BM.MEDAcumulado,15-13*BM!$A$9)/100*BM!$I164,15-13*ORÇAMENTO!$AF$11),ROUND(ROUND(BM.MEDAcumulado,15-13*BM!$A$9)*ROUND(BM!$H164,15-13*ORÇAMENTO!$AF$10),15-13*ORÇAMENTO!$AF$11))),IF($A164=0,0,ROUND(SomaAgrupBM,15-13*ORÇAMENTO!$AF$11)))</f>
        <v>0</v>
      </c>
    </row>
    <row r="165" customFormat="false" ht="35.05" hidden="false" customHeight="false" outlineLevel="0" collapsed="false">
      <c r="A165" s="1" t="str">
        <f aca="false">ORÇAMENTO!C165</f>
        <v>S</v>
      </c>
      <c r="B165" s="1" t="n">
        <f aca="false">ORÇAMENTO!D165</f>
        <v>0</v>
      </c>
      <c r="C165" s="199" t="str">
        <f aca="false">IF(OR($I165&gt;0,$A165=1,$A165=2,$A165=3,$A165=4),"F","")</f>
        <v>F</v>
      </c>
      <c r="D165" s="202" t="str">
        <f aca="false">ORÇAMENTO!O165</f>
        <v>1.43.9.</v>
      </c>
      <c r="E165" s="341" t="str">
        <f aca="false">ORÇAMENTO.Descricao</f>
        <v>JOELHO 45 GRAUS, PVC, SOLDÁVEL, DN 32MM, INSTALADO EM RAMAL DE DISTRIBUIÇÃO DE ÁGUA - FORNECIMENTO E INSTALAÇÃO. AF_06/2022</v>
      </c>
      <c r="F165" s="342" t="str">
        <f aca="true">IF(RegimeExecucao="Global","",ORÇAMENTO.Unidade)</f>
        <v/>
      </c>
      <c r="G165" s="207" t="str">
        <f aca="true">IF(RegimeExecucao="Global","",ORÇAMENTO!T165)</f>
        <v/>
      </c>
      <c r="H165" s="207" t="str">
        <f aca="true">IF(RegimeExecucao="Global","",ORÇAMENTO!W165)</f>
        <v/>
      </c>
      <c r="I165" s="210" t="n">
        <f aca="false">ORÇAMENTO!X165</f>
        <v>440</v>
      </c>
      <c r="J165" s="633" t="e">
        <f aca="false" t="array" ref="J165:J165">_xlfn.single(IF($A165="S",IF(CAIXA.Modo,BM.AFAnterior,BM.MEDAnterior),IF(AND(_xlfn.single(RegimeExecucao)="Global",$I165&gt;0,COUNTIF($AB$13:$AM$13,BM.medicao-1)&gt;0),M165/$I165*100,0)))</f>
        <v>#NAME?</v>
      </c>
      <c r="K165" s="207" t="e">
        <f aca="false">L165-J165</f>
        <v>#NAME?</v>
      </c>
      <c r="L165" s="634" t="e">
        <f aca="false" t="array" ref="L165:L165">_xlfn.single(IF($A165="S",IF(CAIXA.Modo,BM.AFAcumulado,BM.MEDAcumulado),IF(AND(_xlfn.single(RegimeExecucao)="Global",$I165&gt;0,COUNTIF($AB$13:$AM$13,BM.medicao)&gt;0),O165/$I165*100,0)))</f>
        <v>#NAME?</v>
      </c>
      <c r="M165" s="635" t="n">
        <f aca="true">IF($A165="S",VTOTALBM,IF($A165=0,0,ROUND(SomaAgrupBM,15-13*ORÇAMENTO!$AF$11)))</f>
        <v>0</v>
      </c>
      <c r="N165" s="219" t="n">
        <f aca="false">O165-M165</f>
        <v>0</v>
      </c>
      <c r="O165" s="210" t="n">
        <f aca="true">IF($A165="S",VTOTALBM,IF($A165=0,0,ROUND(SomaAgrupBM,15-13*ORÇAMENTO!$AF$11)))</f>
        <v>0</v>
      </c>
      <c r="Q165" s="636"/>
      <c r="R165" s="637"/>
      <c r="T165" s="202" t="str">
        <f aca="false">IF($W165&gt;0,$D165,"")</f>
        <v/>
      </c>
      <c r="U165" s="341" t="str">
        <f aca="false">IF($W165&gt;0,$E165,"")</f>
        <v/>
      </c>
      <c r="V165" s="342" t="str">
        <f aca="true">IF(AND($W165&gt;0,RegimeExecucao="Unitário"),$F165,"")</f>
        <v/>
      </c>
      <c r="W165" s="638" t="n">
        <f aca="true">IF($Y165&gt;0,CHOOSE(MATCH(RegimeExecucao,{"Unitário","Global"},0),IF($A165="S",$Y165/$X165,""),($Y165/$X165)*100),0)</f>
        <v>0</v>
      </c>
      <c r="X165" s="639" t="str">
        <f aca="true">IF($Y165&gt;0,CHOOSE(MATCH(RegimeExecucao,{"Unitário","Global"},0),IF($A165="S",ROUND($H165,ORÇAMENTO!$AF$10),""),ROUND($I165,ORÇAMENTO!$AF$11)),"")</f>
        <v/>
      </c>
      <c r="Y165" s="639" t="n">
        <f aca="false">AO165-O165</f>
        <v>0</v>
      </c>
      <c r="Z165" s="640"/>
      <c r="AB165" s="636"/>
      <c r="AC165" s="641"/>
      <c r="AD165" s="641"/>
      <c r="AE165" s="641"/>
      <c r="AF165" s="641"/>
      <c r="AG165" s="641"/>
      <c r="AH165" s="641"/>
      <c r="AI165" s="641"/>
      <c r="AJ165" s="641"/>
      <c r="AK165" s="641"/>
      <c r="AL165" s="641"/>
      <c r="AM165" s="637"/>
      <c r="AO165" s="38" t="n">
        <f aca="true">IF($A165="S",IF(BM!$I165=0,0,CHOOSE(MATCH(RegimeExecucao,{"Global","Unitário"},0),ROUND(ROUND(BM.MEDAcumulado,15-13*BM!$A$9)/100*BM!$I165,15-13*ORÇAMENTO!$AF$11),ROUND(ROUND(BM.MEDAcumulado,15-13*BM!$A$9)*ROUND(BM!$H165,15-13*ORÇAMENTO!$AF$10),15-13*ORÇAMENTO!$AF$11))),IF($A165=0,0,ROUND(SomaAgrupBM,15-13*ORÇAMENTO!$AF$11)))</f>
        <v>0</v>
      </c>
    </row>
    <row r="166" customFormat="false" ht="35.05" hidden="false" customHeight="false" outlineLevel="0" collapsed="false">
      <c r="A166" s="1" t="str">
        <f aca="false">ORÇAMENTO!C166</f>
        <v>S</v>
      </c>
      <c r="B166" s="1" t="n">
        <f aca="false">ORÇAMENTO!D166</f>
        <v>0</v>
      </c>
      <c r="C166" s="199" t="str">
        <f aca="false">IF(OR($I166&gt;0,$A166=1,$A166=2,$A166=3,$A166=4),"F","")</f>
        <v>F</v>
      </c>
      <c r="D166" s="202" t="str">
        <f aca="false">ORÇAMENTO!O166</f>
        <v>1.43.10.</v>
      </c>
      <c r="E166" s="341" t="str">
        <f aca="false">ORÇAMENTO.Descricao</f>
        <v>BUCHA DE REDUÇÃO, CURTA, PVC, SOLDÁVEL, DN 32 X 25 MM, INSTALADO EM RAMAL DE DISTRIBUIÇÃO DE ÁGUA - FORNECIMENTO E INSTALAÇÃO. AF_06/2022</v>
      </c>
      <c r="F166" s="342" t="str">
        <f aca="true">IF(RegimeExecucao="Global","",ORÇAMENTO.Unidade)</f>
        <v/>
      </c>
      <c r="G166" s="207" t="str">
        <f aca="true">IF(RegimeExecucao="Global","",ORÇAMENTO!T166)</f>
        <v/>
      </c>
      <c r="H166" s="207" t="str">
        <f aca="true">IF(RegimeExecucao="Global","",ORÇAMENTO!W166)</f>
        <v/>
      </c>
      <c r="I166" s="210" t="n">
        <f aca="false">ORÇAMENTO!X166</f>
        <v>465</v>
      </c>
      <c r="J166" s="633" t="e">
        <f aca="false" t="array" ref="J166:J166">_xlfn.single(IF($A166="S",IF(CAIXA.Modo,BM.AFAnterior,BM.MEDAnterior),IF(AND(_xlfn.single(RegimeExecucao)="Global",$I166&gt;0,COUNTIF($AB$13:$AM$13,BM.medicao-1)&gt;0),M166/$I166*100,0)))</f>
        <v>#NAME?</v>
      </c>
      <c r="K166" s="207" t="e">
        <f aca="false">L166-J166</f>
        <v>#NAME?</v>
      </c>
      <c r="L166" s="634" t="e">
        <f aca="false" t="array" ref="L166:L166">_xlfn.single(IF($A166="S",IF(CAIXA.Modo,BM.AFAcumulado,BM.MEDAcumulado),IF(AND(_xlfn.single(RegimeExecucao)="Global",$I166&gt;0,COUNTIF($AB$13:$AM$13,BM.medicao)&gt;0),O166/$I166*100,0)))</f>
        <v>#NAME?</v>
      </c>
      <c r="M166" s="635" t="n">
        <f aca="true">IF($A166="S",VTOTALBM,IF($A166=0,0,ROUND(SomaAgrupBM,15-13*ORÇAMENTO!$AF$11)))</f>
        <v>0</v>
      </c>
      <c r="N166" s="219" t="n">
        <f aca="false">O166-M166</f>
        <v>0</v>
      </c>
      <c r="O166" s="210" t="n">
        <f aca="true">IF($A166="S",VTOTALBM,IF($A166=0,0,ROUND(SomaAgrupBM,15-13*ORÇAMENTO!$AF$11)))</f>
        <v>0</v>
      </c>
      <c r="Q166" s="636"/>
      <c r="R166" s="637"/>
      <c r="T166" s="202" t="str">
        <f aca="false">IF($W166&gt;0,$D166,"")</f>
        <v/>
      </c>
      <c r="U166" s="341" t="str">
        <f aca="false">IF($W166&gt;0,$E166,"")</f>
        <v/>
      </c>
      <c r="V166" s="342" t="str">
        <f aca="true">IF(AND($W166&gt;0,RegimeExecucao="Unitário"),$F166,"")</f>
        <v/>
      </c>
      <c r="W166" s="638" t="n">
        <f aca="true">IF($Y166&gt;0,CHOOSE(MATCH(RegimeExecucao,{"Unitário","Global"},0),IF($A166="S",$Y166/$X166,""),($Y166/$X166)*100),0)</f>
        <v>0</v>
      </c>
      <c r="X166" s="639" t="str">
        <f aca="true">IF($Y166&gt;0,CHOOSE(MATCH(RegimeExecucao,{"Unitário","Global"},0),IF($A166="S",ROUND($H166,ORÇAMENTO!$AF$10),""),ROUND($I166,ORÇAMENTO!$AF$11)),"")</f>
        <v/>
      </c>
      <c r="Y166" s="639" t="n">
        <f aca="false">AO166-O166</f>
        <v>0</v>
      </c>
      <c r="Z166" s="640"/>
      <c r="AB166" s="636"/>
      <c r="AC166" s="641"/>
      <c r="AD166" s="641"/>
      <c r="AE166" s="641"/>
      <c r="AF166" s="641"/>
      <c r="AG166" s="641"/>
      <c r="AH166" s="641"/>
      <c r="AI166" s="641"/>
      <c r="AJ166" s="641"/>
      <c r="AK166" s="641"/>
      <c r="AL166" s="641"/>
      <c r="AM166" s="637"/>
      <c r="AO166" s="38" t="n">
        <f aca="true">IF($A166="S",IF(BM!$I166=0,0,CHOOSE(MATCH(RegimeExecucao,{"Global","Unitário"},0),ROUND(ROUND(BM.MEDAcumulado,15-13*BM!$A$9)/100*BM!$I166,15-13*ORÇAMENTO!$AF$11),ROUND(ROUND(BM.MEDAcumulado,15-13*BM!$A$9)*ROUND(BM!$H166,15-13*ORÇAMENTO!$AF$10),15-13*ORÇAMENTO!$AF$11))),IF($A166=0,0,ROUND(SomaAgrupBM,15-13*ORÇAMENTO!$AF$11)))</f>
        <v>0</v>
      </c>
    </row>
    <row r="167" customFormat="false" ht="23.85" hidden="false" customHeight="false" outlineLevel="0" collapsed="false">
      <c r="A167" s="1" t="str">
        <f aca="false">ORÇAMENTO!C167</f>
        <v>S</v>
      </c>
      <c r="B167" s="1" t="n">
        <f aca="false">ORÇAMENTO!D167</f>
        <v>0</v>
      </c>
      <c r="C167" s="199" t="str">
        <f aca="false">IF(OR($I167&gt;0,$A167=1,$A167=2,$A167=3,$A167=4),"F","")</f>
        <v>F</v>
      </c>
      <c r="D167" s="202" t="str">
        <f aca="false">ORÇAMENTO!O167</f>
        <v>1.43.11.</v>
      </c>
      <c r="E167" s="341" t="str">
        <f aca="false">ORÇAMENTO.Descricao</f>
        <v>TE, PVC, SOLDÁVEL, DN 32MM, INSTALADO EM RAMAL DE DISTRIBUIÇÃO DE ÁGUA - FORNECIMENTO E INSTALAÇÃO. AF_06/2022</v>
      </c>
      <c r="F167" s="342" t="str">
        <f aca="true">IF(RegimeExecucao="Global","",ORÇAMENTO.Unidade)</f>
        <v/>
      </c>
      <c r="G167" s="207" t="str">
        <f aca="true">IF(RegimeExecucao="Global","",ORÇAMENTO!T167)</f>
        <v/>
      </c>
      <c r="H167" s="207" t="str">
        <f aca="true">IF(RegimeExecucao="Global","",ORÇAMENTO!W167)</f>
        <v/>
      </c>
      <c r="I167" s="210" t="n">
        <f aca="false">ORÇAMENTO!X167</f>
        <v>1620.75</v>
      </c>
      <c r="J167" s="633" t="e">
        <f aca="false" t="array" ref="J167:J167">_xlfn.single(IF($A167="S",IF(CAIXA.Modo,BM.AFAnterior,BM.MEDAnterior),IF(AND(_xlfn.single(RegimeExecucao)="Global",$I167&gt;0,COUNTIF($AB$13:$AM$13,BM.medicao-1)&gt;0),M167/$I167*100,0)))</f>
        <v>#NAME?</v>
      </c>
      <c r="K167" s="207" t="e">
        <f aca="false">L167-J167</f>
        <v>#NAME?</v>
      </c>
      <c r="L167" s="634" t="e">
        <f aca="false" t="array" ref="L167:L167">_xlfn.single(IF($A167="S",IF(CAIXA.Modo,BM.AFAcumulado,BM.MEDAcumulado),IF(AND(_xlfn.single(RegimeExecucao)="Global",$I167&gt;0,COUNTIF($AB$13:$AM$13,BM.medicao)&gt;0),O167/$I167*100,0)))</f>
        <v>#NAME?</v>
      </c>
      <c r="M167" s="635" t="n">
        <f aca="true">IF($A167="S",VTOTALBM,IF($A167=0,0,ROUND(SomaAgrupBM,15-13*ORÇAMENTO!$AF$11)))</f>
        <v>0</v>
      </c>
      <c r="N167" s="219" t="n">
        <f aca="false">O167-M167</f>
        <v>0</v>
      </c>
      <c r="O167" s="210" t="n">
        <f aca="true">IF($A167="S",VTOTALBM,IF($A167=0,0,ROUND(SomaAgrupBM,15-13*ORÇAMENTO!$AF$11)))</f>
        <v>0</v>
      </c>
      <c r="Q167" s="636"/>
      <c r="R167" s="637"/>
      <c r="T167" s="202" t="str">
        <f aca="false">IF($W167&gt;0,$D167,"")</f>
        <v/>
      </c>
      <c r="U167" s="341" t="str">
        <f aca="false">IF($W167&gt;0,$E167,"")</f>
        <v/>
      </c>
      <c r="V167" s="342" t="str">
        <f aca="true">IF(AND($W167&gt;0,RegimeExecucao="Unitário"),$F167,"")</f>
        <v/>
      </c>
      <c r="W167" s="638" t="n">
        <f aca="true">IF($Y167&gt;0,CHOOSE(MATCH(RegimeExecucao,{"Unitário","Global"},0),IF($A167="S",$Y167/$X167,""),($Y167/$X167)*100),0)</f>
        <v>0</v>
      </c>
      <c r="X167" s="639" t="str">
        <f aca="true">IF($Y167&gt;0,CHOOSE(MATCH(RegimeExecucao,{"Unitário","Global"},0),IF($A167="S",ROUND($H167,ORÇAMENTO!$AF$10),""),ROUND($I167,ORÇAMENTO!$AF$11)),"")</f>
        <v/>
      </c>
      <c r="Y167" s="639" t="n">
        <f aca="false">AO167-O167</f>
        <v>0</v>
      </c>
      <c r="Z167" s="640"/>
      <c r="AB167" s="636"/>
      <c r="AC167" s="641"/>
      <c r="AD167" s="641"/>
      <c r="AE167" s="641"/>
      <c r="AF167" s="641"/>
      <c r="AG167" s="641"/>
      <c r="AH167" s="641"/>
      <c r="AI167" s="641"/>
      <c r="AJ167" s="641"/>
      <c r="AK167" s="641"/>
      <c r="AL167" s="641"/>
      <c r="AM167" s="637"/>
      <c r="AO167" s="38" t="n">
        <f aca="true">IF($A167="S",IF(BM!$I167=0,0,CHOOSE(MATCH(RegimeExecucao,{"Global","Unitário"},0),ROUND(ROUND(BM.MEDAcumulado,15-13*BM!$A$9)/100*BM!$I167,15-13*ORÇAMENTO!$AF$11),ROUND(ROUND(BM.MEDAcumulado,15-13*BM!$A$9)*ROUND(BM!$H167,15-13*ORÇAMENTO!$AF$10),15-13*ORÇAMENTO!$AF$11))),IF($A167=0,0,ROUND(SomaAgrupBM,15-13*ORÇAMENTO!$AF$11)))</f>
        <v>0</v>
      </c>
    </row>
    <row r="168" customFormat="false" ht="35.05" hidden="false" customHeight="false" outlineLevel="0" collapsed="false">
      <c r="A168" s="1" t="str">
        <f aca="false">ORÇAMENTO!C168</f>
        <v>S</v>
      </c>
      <c r="B168" s="1" t="n">
        <f aca="false">ORÇAMENTO!D168</f>
        <v>0</v>
      </c>
      <c r="C168" s="199" t="str">
        <f aca="false">IF(OR($I168&gt;0,$A168=1,$A168=2,$A168=3,$A168=4),"F","")</f>
        <v>F</v>
      </c>
      <c r="D168" s="202" t="str">
        <f aca="false">ORÇAMENTO!O168</f>
        <v>1.43.12.</v>
      </c>
      <c r="E168" s="341" t="str">
        <f aca="false">ORÇAMENTO.Descricao</f>
        <v>TÊ DE REDUÇÃO, PVC, SOLDÁVEL, DN 32MM X 25MM, INSTALADO EM RAMAL DE DISTRIBUIÇÃO DE ÁGUA - FORNECIMENTO E INSTALAÇÃO. AF_06/2022</v>
      </c>
      <c r="F168" s="342" t="str">
        <f aca="true">IF(RegimeExecucao="Global","",ORÇAMENTO.Unidade)</f>
        <v/>
      </c>
      <c r="G168" s="207" t="str">
        <f aca="true">IF(RegimeExecucao="Global","",ORÇAMENTO!T168)</f>
        <v/>
      </c>
      <c r="H168" s="207" t="str">
        <f aca="true">IF(RegimeExecucao="Global","",ORÇAMENTO!W168)</f>
        <v/>
      </c>
      <c r="I168" s="210" t="n">
        <f aca="false">ORÇAMENTO!X168</f>
        <v>593.5</v>
      </c>
      <c r="J168" s="633" t="e">
        <f aca="false" t="array" ref="J168:J168">_xlfn.single(IF($A168="S",IF(CAIXA.Modo,BM.AFAnterior,BM.MEDAnterior),IF(AND(_xlfn.single(RegimeExecucao)="Global",$I168&gt;0,COUNTIF($AB$13:$AM$13,BM.medicao-1)&gt;0),M168/$I168*100,0)))</f>
        <v>#NAME?</v>
      </c>
      <c r="K168" s="207" t="e">
        <f aca="false">L168-J168</f>
        <v>#NAME?</v>
      </c>
      <c r="L168" s="634" t="e">
        <f aca="false" t="array" ref="L168:L168">_xlfn.single(IF($A168="S",IF(CAIXA.Modo,BM.AFAcumulado,BM.MEDAcumulado),IF(AND(_xlfn.single(RegimeExecucao)="Global",$I168&gt;0,COUNTIF($AB$13:$AM$13,BM.medicao)&gt;0),O168/$I168*100,0)))</f>
        <v>#NAME?</v>
      </c>
      <c r="M168" s="635" t="n">
        <f aca="true">IF($A168="S",VTOTALBM,IF($A168=0,0,ROUND(SomaAgrupBM,15-13*ORÇAMENTO!$AF$11)))</f>
        <v>0</v>
      </c>
      <c r="N168" s="219" t="n">
        <f aca="false">O168-M168</f>
        <v>0</v>
      </c>
      <c r="O168" s="210" t="n">
        <f aca="true">IF($A168="S",VTOTALBM,IF($A168=0,0,ROUND(SomaAgrupBM,15-13*ORÇAMENTO!$AF$11)))</f>
        <v>0</v>
      </c>
      <c r="Q168" s="636"/>
      <c r="R168" s="637"/>
      <c r="T168" s="202" t="str">
        <f aca="false">IF($W168&gt;0,$D168,"")</f>
        <v/>
      </c>
      <c r="U168" s="341" t="str">
        <f aca="false">IF($W168&gt;0,$E168,"")</f>
        <v/>
      </c>
      <c r="V168" s="342" t="str">
        <f aca="true">IF(AND($W168&gt;0,RegimeExecucao="Unitário"),$F168,"")</f>
        <v/>
      </c>
      <c r="W168" s="638" t="n">
        <f aca="true">IF($Y168&gt;0,CHOOSE(MATCH(RegimeExecucao,{"Unitário","Global"},0),IF($A168="S",$Y168/$X168,""),($Y168/$X168)*100),0)</f>
        <v>0</v>
      </c>
      <c r="X168" s="639" t="str">
        <f aca="true">IF($Y168&gt;0,CHOOSE(MATCH(RegimeExecucao,{"Unitário","Global"},0),IF($A168="S",ROUND($H168,ORÇAMENTO!$AF$10),""),ROUND($I168,ORÇAMENTO!$AF$11)),"")</f>
        <v/>
      </c>
      <c r="Y168" s="639" t="n">
        <f aca="false">AO168-O168</f>
        <v>0</v>
      </c>
      <c r="Z168" s="640"/>
      <c r="AB168" s="636"/>
      <c r="AC168" s="641"/>
      <c r="AD168" s="641"/>
      <c r="AE168" s="641"/>
      <c r="AF168" s="641"/>
      <c r="AG168" s="641"/>
      <c r="AH168" s="641"/>
      <c r="AI168" s="641"/>
      <c r="AJ168" s="641"/>
      <c r="AK168" s="641"/>
      <c r="AL168" s="641"/>
      <c r="AM168" s="637"/>
      <c r="AO168" s="38" t="n">
        <f aca="true">IF($A168="S",IF(BM!$I168=0,0,CHOOSE(MATCH(RegimeExecucao,{"Global","Unitário"},0),ROUND(ROUND(BM.MEDAcumulado,15-13*BM!$A$9)/100*BM!$I168,15-13*ORÇAMENTO!$AF$11),ROUND(ROUND(BM.MEDAcumulado,15-13*BM!$A$9)*ROUND(BM!$H168,15-13*ORÇAMENTO!$AF$10),15-13*ORÇAMENTO!$AF$11))),IF($A168=0,0,ROUND(SomaAgrupBM,15-13*ORÇAMENTO!$AF$11)))</f>
        <v>0</v>
      </c>
    </row>
    <row r="169" customFormat="false" ht="23.85" hidden="false" customHeight="false" outlineLevel="0" collapsed="false">
      <c r="A169" s="1" t="str">
        <f aca="false">ORÇAMENTO!C169</f>
        <v>S</v>
      </c>
      <c r="B169" s="1" t="n">
        <f aca="false">ORÇAMENTO!D169</f>
        <v>0</v>
      </c>
      <c r="C169" s="199" t="str">
        <f aca="false">IF(OR($I169&gt;0,$A169=1,$A169=2,$A169=3,$A169=4),"F","")</f>
        <v>F</v>
      </c>
      <c r="D169" s="202" t="str">
        <f aca="false">ORÇAMENTO!O169</f>
        <v>1.43.13.</v>
      </c>
      <c r="E169" s="341" t="str">
        <f aca="false">ORÇAMENTO.Descricao</f>
        <v>TUBO, PVC, SOLDÁVEL, DE 25MM, INSTALADO EM RAMAL DE DISTRIBUIÇÃO DE ÁGUA - FORNECIMENTO E INSTALAÇÃO. AF_06/2022</v>
      </c>
      <c r="F169" s="342" t="str">
        <f aca="true">IF(RegimeExecucao="Global","",ORÇAMENTO.Unidade)</f>
        <v/>
      </c>
      <c r="G169" s="207" t="str">
        <f aca="true">IF(RegimeExecucao="Global","",ORÇAMENTO!T169)</f>
        <v/>
      </c>
      <c r="H169" s="207" t="str">
        <f aca="true">IF(RegimeExecucao="Global","",ORÇAMENTO!W169)</f>
        <v/>
      </c>
      <c r="I169" s="210" t="n">
        <f aca="false">ORÇAMENTO!X169</f>
        <v>1741.25</v>
      </c>
      <c r="J169" s="633" t="e">
        <f aca="false" t="array" ref="J169:J169">_xlfn.single(IF($A169="S",IF(CAIXA.Modo,BM.AFAnterior,BM.MEDAnterior),IF(AND(_xlfn.single(RegimeExecucao)="Global",$I169&gt;0,COUNTIF($AB$13:$AM$13,BM.medicao-1)&gt;0),M169/$I169*100,0)))</f>
        <v>#NAME?</v>
      </c>
      <c r="K169" s="207" t="e">
        <f aca="false">L169-J169</f>
        <v>#NAME?</v>
      </c>
      <c r="L169" s="634" t="e">
        <f aca="false" t="array" ref="L169:L169">_xlfn.single(IF($A169="S",IF(CAIXA.Modo,BM.AFAcumulado,BM.MEDAcumulado),IF(AND(_xlfn.single(RegimeExecucao)="Global",$I169&gt;0,COUNTIF($AB$13:$AM$13,BM.medicao)&gt;0),O169/$I169*100,0)))</f>
        <v>#NAME?</v>
      </c>
      <c r="M169" s="635" t="n">
        <f aca="true">IF($A169="S",VTOTALBM,IF($A169=0,0,ROUND(SomaAgrupBM,15-13*ORÇAMENTO!$AF$11)))</f>
        <v>0</v>
      </c>
      <c r="N169" s="219" t="n">
        <f aca="false">O169-M169</f>
        <v>0</v>
      </c>
      <c r="O169" s="210" t="n">
        <f aca="true">IF($A169="S",VTOTALBM,IF($A169=0,0,ROUND(SomaAgrupBM,15-13*ORÇAMENTO!$AF$11)))</f>
        <v>0</v>
      </c>
      <c r="Q169" s="636"/>
      <c r="R169" s="637"/>
      <c r="T169" s="202" t="str">
        <f aca="false">IF($W169&gt;0,$D169,"")</f>
        <v/>
      </c>
      <c r="U169" s="341" t="str">
        <f aca="false">IF($W169&gt;0,$E169,"")</f>
        <v/>
      </c>
      <c r="V169" s="342" t="str">
        <f aca="true">IF(AND($W169&gt;0,RegimeExecucao="Unitário"),$F169,"")</f>
        <v/>
      </c>
      <c r="W169" s="638" t="n">
        <f aca="true">IF($Y169&gt;0,CHOOSE(MATCH(RegimeExecucao,{"Unitário","Global"},0),IF($A169="S",$Y169/$X169,""),($Y169/$X169)*100),0)</f>
        <v>0</v>
      </c>
      <c r="X169" s="639" t="str">
        <f aca="true">IF($Y169&gt;0,CHOOSE(MATCH(RegimeExecucao,{"Unitário","Global"},0),IF($A169="S",ROUND($H169,ORÇAMENTO!$AF$10),""),ROUND($I169,ORÇAMENTO!$AF$11)),"")</f>
        <v/>
      </c>
      <c r="Y169" s="639" t="n">
        <f aca="false">AO169-O169</f>
        <v>0</v>
      </c>
      <c r="Z169" s="640"/>
      <c r="AB169" s="636"/>
      <c r="AC169" s="641"/>
      <c r="AD169" s="641"/>
      <c r="AE169" s="641"/>
      <c r="AF169" s="641"/>
      <c r="AG169" s="641"/>
      <c r="AH169" s="641"/>
      <c r="AI169" s="641"/>
      <c r="AJ169" s="641"/>
      <c r="AK169" s="641"/>
      <c r="AL169" s="641"/>
      <c r="AM169" s="637"/>
      <c r="AO169" s="38" t="n">
        <f aca="true">IF($A169="S",IF(BM!$I169=0,0,CHOOSE(MATCH(RegimeExecucao,{"Global","Unitário"},0),ROUND(ROUND(BM.MEDAcumulado,15-13*BM!$A$9)/100*BM!$I169,15-13*ORÇAMENTO!$AF$11),ROUND(ROUND(BM.MEDAcumulado,15-13*BM!$A$9)*ROUND(BM!$H169,15-13*ORÇAMENTO!$AF$10),15-13*ORÇAMENTO!$AF$11))),IF($A169=0,0,ROUND(SomaAgrupBM,15-13*ORÇAMENTO!$AF$11)))</f>
        <v>0</v>
      </c>
    </row>
    <row r="170" customFormat="false" ht="23.85" hidden="false" customHeight="false" outlineLevel="0" collapsed="false">
      <c r="A170" s="1" t="str">
        <f aca="false">ORÇAMENTO!C170</f>
        <v>S</v>
      </c>
      <c r="B170" s="1" t="n">
        <f aca="false">ORÇAMENTO!D170</f>
        <v>0</v>
      </c>
      <c r="C170" s="199" t="str">
        <f aca="false">IF(OR($I170&gt;0,$A170=1,$A170=2,$A170=3,$A170=4),"F","")</f>
        <v>F</v>
      </c>
      <c r="D170" s="202" t="str">
        <f aca="false">ORÇAMENTO!O170</f>
        <v>1.43.14.</v>
      </c>
      <c r="E170" s="341" t="str">
        <f aca="false">ORÇAMENTO.Descricao</f>
        <v>TUBO, PVC, SOLDÁVEL, DE 32MM, INSTALADO EM RAMAL DE DISTRIBUIÇÃO DE ÁGUA - FORNECIMENTO E INSTALAÇÃO. AF_06/2022</v>
      </c>
      <c r="F170" s="342" t="str">
        <f aca="true">IF(RegimeExecucao="Global","",ORÇAMENTO.Unidade)</f>
        <v/>
      </c>
      <c r="G170" s="207" t="str">
        <f aca="true">IF(RegimeExecucao="Global","",ORÇAMENTO!T170)</f>
        <v/>
      </c>
      <c r="H170" s="207" t="str">
        <f aca="true">IF(RegimeExecucao="Global","",ORÇAMENTO!W170)</f>
        <v/>
      </c>
      <c r="I170" s="210" t="n">
        <f aca="false">ORÇAMENTO!X170</f>
        <v>6356.5</v>
      </c>
      <c r="J170" s="633" t="e">
        <f aca="false" t="array" ref="J170:J170">_xlfn.single(IF($A170="S",IF(CAIXA.Modo,BM.AFAnterior,BM.MEDAnterior),IF(AND(_xlfn.single(RegimeExecucao)="Global",$I170&gt;0,COUNTIF($AB$13:$AM$13,BM.medicao-1)&gt;0),M170/$I170*100,0)))</f>
        <v>#NAME?</v>
      </c>
      <c r="K170" s="207" t="e">
        <f aca="false">L170-J170</f>
        <v>#NAME?</v>
      </c>
      <c r="L170" s="634" t="e">
        <f aca="false" t="array" ref="L170:L170">_xlfn.single(IF($A170="S",IF(CAIXA.Modo,BM.AFAcumulado,BM.MEDAcumulado),IF(AND(_xlfn.single(RegimeExecucao)="Global",$I170&gt;0,COUNTIF($AB$13:$AM$13,BM.medicao)&gt;0),O170/$I170*100,0)))</f>
        <v>#NAME?</v>
      </c>
      <c r="M170" s="635" t="n">
        <f aca="true">IF($A170="S",VTOTALBM,IF($A170=0,0,ROUND(SomaAgrupBM,15-13*ORÇAMENTO!$AF$11)))</f>
        <v>0</v>
      </c>
      <c r="N170" s="219" t="n">
        <f aca="false">O170-M170</f>
        <v>0</v>
      </c>
      <c r="O170" s="210" t="n">
        <f aca="true">IF($A170="S",VTOTALBM,IF($A170=0,0,ROUND(SomaAgrupBM,15-13*ORÇAMENTO!$AF$11)))</f>
        <v>0</v>
      </c>
      <c r="Q170" s="636"/>
      <c r="R170" s="637"/>
      <c r="T170" s="202" t="str">
        <f aca="false">IF($W170&gt;0,$D170,"")</f>
        <v/>
      </c>
      <c r="U170" s="341" t="str">
        <f aca="false">IF($W170&gt;0,$E170,"")</f>
        <v/>
      </c>
      <c r="V170" s="342" t="str">
        <f aca="true">IF(AND($W170&gt;0,RegimeExecucao="Unitário"),$F170,"")</f>
        <v/>
      </c>
      <c r="W170" s="638" t="n">
        <f aca="true">IF($Y170&gt;0,CHOOSE(MATCH(RegimeExecucao,{"Unitário","Global"},0),IF($A170="S",$Y170/$X170,""),($Y170/$X170)*100),0)</f>
        <v>0</v>
      </c>
      <c r="X170" s="639" t="str">
        <f aca="true">IF($Y170&gt;0,CHOOSE(MATCH(RegimeExecucao,{"Unitário","Global"},0),IF($A170="S",ROUND($H170,ORÇAMENTO!$AF$10),""),ROUND($I170,ORÇAMENTO!$AF$11)),"")</f>
        <v/>
      </c>
      <c r="Y170" s="639" t="n">
        <f aca="false">AO170-O170</f>
        <v>0</v>
      </c>
      <c r="Z170" s="640"/>
      <c r="AB170" s="636"/>
      <c r="AC170" s="641"/>
      <c r="AD170" s="641"/>
      <c r="AE170" s="641"/>
      <c r="AF170" s="641"/>
      <c r="AG170" s="641"/>
      <c r="AH170" s="641"/>
      <c r="AI170" s="641"/>
      <c r="AJ170" s="641"/>
      <c r="AK170" s="641"/>
      <c r="AL170" s="641"/>
      <c r="AM170" s="637"/>
      <c r="AO170" s="38" t="n">
        <f aca="true">IF($A170="S",IF(BM!$I170=0,0,CHOOSE(MATCH(RegimeExecucao,{"Global","Unitário"},0),ROUND(ROUND(BM.MEDAcumulado,15-13*BM!$A$9)/100*BM!$I170,15-13*ORÇAMENTO!$AF$11),ROUND(ROUND(BM.MEDAcumulado,15-13*BM!$A$9)*ROUND(BM!$H170,15-13*ORÇAMENTO!$AF$10),15-13*ORÇAMENTO!$AF$11))),IF($A170=0,0,ROUND(SomaAgrupBM,15-13*ORÇAMENTO!$AF$11)))</f>
        <v>0</v>
      </c>
    </row>
    <row r="171" customFormat="false" ht="12.75" hidden="false" customHeight="false" outlineLevel="0" collapsed="false">
      <c r="A171" s="1" t="n">
        <f aca="false">ORÇAMENTO!C171</f>
        <v>2</v>
      </c>
      <c r="B171" s="1" t="n">
        <f aca="false">ORÇAMENTO!D171</f>
        <v>1</v>
      </c>
      <c r="C171" s="199" t="str">
        <f aca="false">IF(OR($I171&gt;0,$A171=1,$A171=2,$A171=3,$A171=4),"F","")</f>
        <v>F</v>
      </c>
      <c r="D171" s="202" t="str">
        <f aca="false">ORÇAMENTO!O171</f>
        <v>1.44.</v>
      </c>
      <c r="E171" s="341" t="str">
        <f aca="false">ORÇAMENTO.Descricao</f>
        <v>SANITÁRIAS / PLUVIAL</v>
      </c>
      <c r="F171" s="342" t="str">
        <f aca="true">IF(RegimeExecucao="Global","",ORÇAMENTO.Unidade)</f>
        <v/>
      </c>
      <c r="G171" s="207" t="str">
        <f aca="true">IF(RegimeExecucao="Global","",ORÇAMENTO!T171)</f>
        <v/>
      </c>
      <c r="H171" s="207" t="str">
        <f aca="true">IF(RegimeExecucao="Global","",ORÇAMENTO!W171)</f>
        <v/>
      </c>
      <c r="I171" s="210" t="n">
        <f aca="false">ORÇAMENTO!X171</f>
        <v>0</v>
      </c>
      <c r="J171" s="633" t="e">
        <f aca="false" t="array" ref="J171:J171">_xlfn.single(IF($A171="S",IF(CAIXA.Modo,BM.AFAnterior,BM.MEDAnterior),IF(AND(_xlfn.single(RegimeExecucao)="Global",$I171&gt;0,COUNTIF($AB$13:$AM$13,BM.medicao-1)&gt;0),M171/$I171*100,0)))</f>
        <v>#NAME?</v>
      </c>
      <c r="K171" s="207" t="e">
        <f aca="false">L171-J171</f>
        <v>#NAME?</v>
      </c>
      <c r="L171" s="634" t="e">
        <f aca="false" t="array" ref="L171:L171">_xlfn.single(IF($A171="S",IF(CAIXA.Modo,BM.AFAcumulado,BM.MEDAcumulado),IF(AND(_xlfn.single(RegimeExecucao)="Global",$I171&gt;0,COUNTIF($AB$13:$AM$13,BM.medicao)&gt;0),O171/$I171*100,0)))</f>
        <v>#NAME?</v>
      </c>
      <c r="M171" s="635" t="n">
        <f aca="true">IF($A171="S",VTOTALBM,IF($A171=0,0,ROUND(SomaAgrupBM,15-13*ORÇAMENTO!$AF$11)))</f>
        <v>0</v>
      </c>
      <c r="N171" s="219" t="n">
        <f aca="false">O171-M171</f>
        <v>0</v>
      </c>
      <c r="O171" s="210" t="n">
        <f aca="true">IF($A171="S",VTOTALBM,IF($A171=0,0,ROUND(SomaAgrupBM,15-13*ORÇAMENTO!$AF$11)))</f>
        <v>0</v>
      </c>
      <c r="Q171" s="636"/>
      <c r="R171" s="637"/>
      <c r="T171" s="202" t="str">
        <f aca="false">IF($W171&gt;0,$D171,"")</f>
        <v/>
      </c>
      <c r="U171" s="341" t="str">
        <f aca="false">IF($W171&gt;0,$E171,"")</f>
        <v/>
      </c>
      <c r="V171" s="342" t="str">
        <f aca="true">IF(AND($W171&gt;0,RegimeExecucao="Unitário"),$F171,"")</f>
        <v/>
      </c>
      <c r="W171" s="638" t="n">
        <f aca="true">IF($Y171&gt;0,CHOOSE(MATCH(RegimeExecucao,{"Unitário","Global"},0),IF($A171="S",$Y171/$X171,""),($Y171/$X171)*100),0)</f>
        <v>0</v>
      </c>
      <c r="X171" s="639" t="str">
        <f aca="true">IF($Y171&gt;0,CHOOSE(MATCH(RegimeExecucao,{"Unitário","Global"},0),IF($A171="S",ROUND($H171,ORÇAMENTO!$AF$10),""),ROUND($I171,ORÇAMENTO!$AF$11)),"")</f>
        <v/>
      </c>
      <c r="Y171" s="639" t="n">
        <f aca="false">AO171-O171</f>
        <v>0</v>
      </c>
      <c r="Z171" s="640"/>
      <c r="AB171" s="636"/>
      <c r="AC171" s="641"/>
      <c r="AD171" s="641"/>
      <c r="AE171" s="641"/>
      <c r="AF171" s="641"/>
      <c r="AG171" s="641"/>
      <c r="AH171" s="641"/>
      <c r="AI171" s="641"/>
      <c r="AJ171" s="641"/>
      <c r="AK171" s="641"/>
      <c r="AL171" s="641"/>
      <c r="AM171" s="637"/>
      <c r="AO171" s="38" t="n">
        <f aca="true">IF($A171="S",IF(BM!$I171=0,0,CHOOSE(MATCH(RegimeExecucao,{"Global","Unitário"},0),ROUND(ROUND(BM.MEDAcumulado,15-13*BM!$A$9)/100*BM!$I171,15-13*ORÇAMENTO!$AF$11),ROUND(ROUND(BM.MEDAcumulado,15-13*BM!$A$9)*ROUND(BM!$H171,15-13*ORÇAMENTO!$AF$10),15-13*ORÇAMENTO!$AF$11))),IF($A171=0,0,ROUND(SomaAgrupBM,15-13*ORÇAMENTO!$AF$11)))</f>
        <v>0</v>
      </c>
    </row>
    <row r="172" customFormat="false" ht="12.75" hidden="false" customHeight="false" outlineLevel="0" collapsed="false">
      <c r="A172" s="1" t="n">
        <f aca="false">ORÇAMENTO!C172</f>
        <v>2</v>
      </c>
      <c r="B172" s="1" t="n">
        <f aca="false">ORÇAMENTO!D172</f>
        <v>13</v>
      </c>
      <c r="C172" s="199" t="str">
        <f aca="false">IF(OR($I172&gt;0,$A172=1,$A172=2,$A172=3,$A172=4),"F","")</f>
        <v>F</v>
      </c>
      <c r="D172" s="202" t="str">
        <f aca="false">ORÇAMENTO!O172</f>
        <v>1.45.</v>
      </c>
      <c r="E172" s="341" t="str">
        <f aca="false">ORÇAMENTO.Descricao</f>
        <v>TUBULAÇÕES E CONEXÕES</v>
      </c>
      <c r="F172" s="342" t="str">
        <f aca="true">IF(RegimeExecucao="Global","",ORÇAMENTO.Unidade)</f>
        <v/>
      </c>
      <c r="G172" s="207" t="str">
        <f aca="true">IF(RegimeExecucao="Global","",ORÇAMENTO!T172)</f>
        <v/>
      </c>
      <c r="H172" s="207" t="str">
        <f aca="true">IF(RegimeExecucao="Global","",ORÇAMENTO!W172)</f>
        <v/>
      </c>
      <c r="I172" s="210" t="n">
        <f aca="false">ORÇAMENTO!X172</f>
        <v>43092.25</v>
      </c>
      <c r="J172" s="633" t="e">
        <f aca="false" t="array" ref="J172:J172">_xlfn.single(IF($A172="S",IF(CAIXA.Modo,BM.AFAnterior,BM.MEDAnterior),IF(AND(_xlfn.single(RegimeExecucao)="Global",$I172&gt;0,COUNTIF($AB$13:$AM$13,BM.medicao-1)&gt;0),M172/$I172*100,0)))</f>
        <v>#NAME?</v>
      </c>
      <c r="K172" s="207" t="e">
        <f aca="false">L172-J172</f>
        <v>#NAME?</v>
      </c>
      <c r="L172" s="634" t="e">
        <f aca="false" t="array" ref="L172:L172">_xlfn.single(IF($A172="S",IF(CAIXA.Modo,BM.AFAcumulado,BM.MEDAcumulado),IF(AND(_xlfn.single(RegimeExecucao)="Global",$I172&gt;0,COUNTIF($AB$13:$AM$13,BM.medicao)&gt;0),O172/$I172*100,0)))</f>
        <v>#NAME?</v>
      </c>
      <c r="M172" s="635" t="n">
        <f aca="true">IF($A172="S",VTOTALBM,IF($A172=0,0,ROUND(SomaAgrupBM,15-13*ORÇAMENTO!$AF$11)))</f>
        <v>0</v>
      </c>
      <c r="N172" s="219" t="n">
        <f aca="false">O172-M172</f>
        <v>0</v>
      </c>
      <c r="O172" s="210" t="n">
        <f aca="true">IF($A172="S",VTOTALBM,IF($A172=0,0,ROUND(SomaAgrupBM,15-13*ORÇAMENTO!$AF$11)))</f>
        <v>0</v>
      </c>
      <c r="Q172" s="636"/>
      <c r="R172" s="637"/>
      <c r="T172" s="202" t="str">
        <f aca="false">IF($W172&gt;0,$D172,"")</f>
        <v/>
      </c>
      <c r="U172" s="341" t="str">
        <f aca="false">IF($W172&gt;0,$E172,"")</f>
        <v/>
      </c>
      <c r="V172" s="342" t="str">
        <f aca="true">IF(AND($W172&gt;0,RegimeExecucao="Unitário"),$F172,"")</f>
        <v/>
      </c>
      <c r="W172" s="638" t="n">
        <f aca="true">IF($Y172&gt;0,CHOOSE(MATCH(RegimeExecucao,{"Unitário","Global"},0),IF($A172="S",$Y172/$X172,""),($Y172/$X172)*100),0)</f>
        <v>0</v>
      </c>
      <c r="X172" s="639" t="str">
        <f aca="true">IF($Y172&gt;0,CHOOSE(MATCH(RegimeExecucao,{"Unitário","Global"},0),IF($A172="S",ROUND($H172,ORÇAMENTO!$AF$10),""),ROUND($I172,ORÇAMENTO!$AF$11)),"")</f>
        <v/>
      </c>
      <c r="Y172" s="639" t="n">
        <f aca="false">AO172-O172</f>
        <v>0</v>
      </c>
      <c r="Z172" s="640"/>
      <c r="AB172" s="636"/>
      <c r="AC172" s="641"/>
      <c r="AD172" s="641"/>
      <c r="AE172" s="641"/>
      <c r="AF172" s="641"/>
      <c r="AG172" s="641"/>
      <c r="AH172" s="641"/>
      <c r="AI172" s="641"/>
      <c r="AJ172" s="641"/>
      <c r="AK172" s="641"/>
      <c r="AL172" s="641"/>
      <c r="AM172" s="637"/>
      <c r="AO172" s="38" t="n">
        <f aca="true">IF($A172="S",IF(BM!$I172=0,0,CHOOSE(MATCH(RegimeExecucao,{"Global","Unitário"},0),ROUND(ROUND(BM.MEDAcumulado,15-13*BM!$A$9)/100*BM!$I172,15-13*ORÇAMENTO!$AF$11),ROUND(ROUND(BM.MEDAcumulado,15-13*BM!$A$9)*ROUND(BM!$H172,15-13*ORÇAMENTO!$AF$10),15-13*ORÇAMENTO!$AF$11))),IF($A172=0,0,ROUND(SomaAgrupBM,15-13*ORÇAMENTO!$AF$11)))</f>
        <v>0</v>
      </c>
    </row>
    <row r="173" customFormat="false" ht="35.05" hidden="false" customHeight="false" outlineLevel="0" collapsed="false">
      <c r="A173" s="1" t="str">
        <f aca="false">ORÇAMENTO!C173</f>
        <v>S</v>
      </c>
      <c r="B173" s="1" t="n">
        <f aca="false">ORÇAMENTO!D173</f>
        <v>0</v>
      </c>
      <c r="C173" s="199" t="str">
        <f aca="false">IF(OR($I173&gt;0,$A173=1,$A173=2,$A173=3,$A173=4),"F","")</f>
        <v>F</v>
      </c>
      <c r="D173" s="202" t="str">
        <f aca="false">ORÇAMENTO!O173</f>
        <v>1.45.1.</v>
      </c>
      <c r="E173" s="341" t="str">
        <f aca="false">ORÇAMENTO.Descricao</f>
        <v>JOELHO 45 GRAUS, PVC, SERIE NORMAL, ESGOTO PREDIAL, DN 40 MM, JUNTA SOLDÁVEL, FORNECIDO E INSTALADO EM RAMAL DE DESCARGA OU RAMAL DE ESGOTO SANITÁRIO. AF_08/2022</v>
      </c>
      <c r="F173" s="342" t="str">
        <f aca="true">IF(RegimeExecucao="Global","",ORÇAMENTO.Unidade)</f>
        <v/>
      </c>
      <c r="G173" s="207" t="str">
        <f aca="true">IF(RegimeExecucao="Global","",ORÇAMENTO!T173)</f>
        <v/>
      </c>
      <c r="H173" s="207" t="str">
        <f aca="true">IF(RegimeExecucao="Global","",ORÇAMENTO!W173)</f>
        <v/>
      </c>
      <c r="I173" s="210" t="n">
        <f aca="false">ORÇAMENTO!X173</f>
        <v>1009.5</v>
      </c>
      <c r="J173" s="633" t="e">
        <f aca="false" t="array" ref="J173:J173">_xlfn.single(IF($A173="S",IF(CAIXA.Modo,BM.AFAnterior,BM.MEDAnterior),IF(AND(_xlfn.single(RegimeExecucao)="Global",$I173&gt;0,COUNTIF($AB$13:$AM$13,BM.medicao-1)&gt;0),M173/$I173*100,0)))</f>
        <v>#NAME?</v>
      </c>
      <c r="K173" s="207" t="e">
        <f aca="false">L173-J173</f>
        <v>#NAME?</v>
      </c>
      <c r="L173" s="634" t="e">
        <f aca="false" t="array" ref="L173:L173">_xlfn.single(IF($A173="S",IF(CAIXA.Modo,BM.AFAcumulado,BM.MEDAcumulado),IF(AND(_xlfn.single(RegimeExecucao)="Global",$I173&gt;0,COUNTIF($AB$13:$AM$13,BM.medicao)&gt;0),O173/$I173*100,0)))</f>
        <v>#NAME?</v>
      </c>
      <c r="M173" s="635" t="n">
        <f aca="true">IF($A173="S",VTOTALBM,IF($A173=0,0,ROUND(SomaAgrupBM,15-13*ORÇAMENTO!$AF$11)))</f>
        <v>0</v>
      </c>
      <c r="N173" s="219" t="n">
        <f aca="false">O173-M173</f>
        <v>0</v>
      </c>
      <c r="O173" s="210" t="n">
        <f aca="true">IF($A173="S",VTOTALBM,IF($A173=0,0,ROUND(SomaAgrupBM,15-13*ORÇAMENTO!$AF$11)))</f>
        <v>0</v>
      </c>
      <c r="Q173" s="636"/>
      <c r="R173" s="637"/>
      <c r="T173" s="202" t="str">
        <f aca="false">IF($W173&gt;0,$D173,"")</f>
        <v/>
      </c>
      <c r="U173" s="341" t="str">
        <f aca="false">IF($W173&gt;0,$E173,"")</f>
        <v/>
      </c>
      <c r="V173" s="342" t="str">
        <f aca="true">IF(AND($W173&gt;0,RegimeExecucao="Unitário"),$F173,"")</f>
        <v/>
      </c>
      <c r="W173" s="638" t="n">
        <f aca="true">IF($Y173&gt;0,CHOOSE(MATCH(RegimeExecucao,{"Unitário","Global"},0),IF($A173="S",$Y173/$X173,""),($Y173/$X173)*100),0)</f>
        <v>0</v>
      </c>
      <c r="X173" s="639" t="str">
        <f aca="true">IF($Y173&gt;0,CHOOSE(MATCH(RegimeExecucao,{"Unitário","Global"},0),IF($A173="S",ROUND($H173,ORÇAMENTO!$AF$10),""),ROUND($I173,ORÇAMENTO!$AF$11)),"")</f>
        <v/>
      </c>
      <c r="Y173" s="639" t="n">
        <f aca="false">AO173-O173</f>
        <v>0</v>
      </c>
      <c r="Z173" s="640"/>
      <c r="AB173" s="636"/>
      <c r="AC173" s="641"/>
      <c r="AD173" s="641"/>
      <c r="AE173" s="641"/>
      <c r="AF173" s="641"/>
      <c r="AG173" s="641"/>
      <c r="AH173" s="641"/>
      <c r="AI173" s="641"/>
      <c r="AJ173" s="641"/>
      <c r="AK173" s="641"/>
      <c r="AL173" s="641"/>
      <c r="AM173" s="637"/>
      <c r="AO173" s="38" t="n">
        <f aca="true">IF($A173="S",IF(BM!$I173=0,0,CHOOSE(MATCH(RegimeExecucao,{"Global","Unitário"},0),ROUND(ROUND(BM.MEDAcumulado,15-13*BM!$A$9)/100*BM!$I173,15-13*ORÇAMENTO!$AF$11),ROUND(ROUND(BM.MEDAcumulado,15-13*BM!$A$9)*ROUND(BM!$H173,15-13*ORÇAMENTO!$AF$10),15-13*ORÇAMENTO!$AF$11))),IF($A173=0,0,ROUND(SomaAgrupBM,15-13*ORÇAMENTO!$AF$11)))</f>
        <v>0</v>
      </c>
    </row>
    <row r="174" customFormat="false" ht="35.05" hidden="false" customHeight="false" outlineLevel="0" collapsed="false">
      <c r="A174" s="1" t="str">
        <f aca="false">ORÇAMENTO!C174</f>
        <v>S</v>
      </c>
      <c r="B174" s="1" t="n">
        <f aca="false">ORÇAMENTO!D174</f>
        <v>0</v>
      </c>
      <c r="C174" s="199" t="str">
        <f aca="false">IF(OR($I174&gt;0,$A174=1,$A174=2,$A174=3,$A174=4),"F","")</f>
        <v>F</v>
      </c>
      <c r="D174" s="202" t="str">
        <f aca="false">ORÇAMENTO!O174</f>
        <v>1.45.2.</v>
      </c>
      <c r="E174" s="341" t="str">
        <f aca="false">ORÇAMENTO.Descricao</f>
        <v>JOELHO 45 GRAUS, PVC, SERIE NORMAL, ESGOTO PREDIAL, DN 50 MM, JUNTA ELÁSTICA, FORNECIDO E INSTALADO EM RAMAL DE DESCARGA OU RAMAL DE ESGOTO SANITÁRIO. AF_08/2022</v>
      </c>
      <c r="F174" s="342" t="str">
        <f aca="true">IF(RegimeExecucao="Global","",ORÇAMENTO.Unidade)</f>
        <v/>
      </c>
      <c r="G174" s="207" t="str">
        <f aca="true">IF(RegimeExecucao="Global","",ORÇAMENTO!T174)</f>
        <v/>
      </c>
      <c r="H174" s="207" t="str">
        <f aca="true">IF(RegimeExecucao="Global","",ORÇAMENTO!W174)</f>
        <v/>
      </c>
      <c r="I174" s="210" t="n">
        <f aca="false">ORÇAMENTO!X174</f>
        <v>986.5</v>
      </c>
      <c r="J174" s="633" t="e">
        <f aca="false" t="array" ref="J174:J174">_xlfn.single(IF($A174="S",IF(CAIXA.Modo,BM.AFAnterior,BM.MEDAnterior),IF(AND(_xlfn.single(RegimeExecucao)="Global",$I174&gt;0,COUNTIF($AB$13:$AM$13,BM.medicao-1)&gt;0),M174/$I174*100,0)))</f>
        <v>#NAME?</v>
      </c>
      <c r="K174" s="207" t="e">
        <f aca="false">L174-J174</f>
        <v>#NAME?</v>
      </c>
      <c r="L174" s="634" t="e">
        <f aca="false" t="array" ref="L174:L174">_xlfn.single(IF($A174="S",IF(CAIXA.Modo,BM.AFAcumulado,BM.MEDAcumulado),IF(AND(_xlfn.single(RegimeExecucao)="Global",$I174&gt;0,COUNTIF($AB$13:$AM$13,BM.medicao)&gt;0),O174/$I174*100,0)))</f>
        <v>#NAME?</v>
      </c>
      <c r="M174" s="635" t="n">
        <f aca="true">IF($A174="S",VTOTALBM,IF($A174=0,0,ROUND(SomaAgrupBM,15-13*ORÇAMENTO!$AF$11)))</f>
        <v>0</v>
      </c>
      <c r="N174" s="219" t="n">
        <f aca="false">O174-M174</f>
        <v>0</v>
      </c>
      <c r="O174" s="210" t="n">
        <f aca="true">IF($A174="S",VTOTALBM,IF($A174=0,0,ROUND(SomaAgrupBM,15-13*ORÇAMENTO!$AF$11)))</f>
        <v>0</v>
      </c>
      <c r="Q174" s="636"/>
      <c r="R174" s="637"/>
      <c r="T174" s="202" t="str">
        <f aca="false">IF($W174&gt;0,$D174,"")</f>
        <v/>
      </c>
      <c r="U174" s="341" t="str">
        <f aca="false">IF($W174&gt;0,$E174,"")</f>
        <v/>
      </c>
      <c r="V174" s="342" t="str">
        <f aca="true">IF(AND($W174&gt;0,RegimeExecucao="Unitário"),$F174,"")</f>
        <v/>
      </c>
      <c r="W174" s="638" t="n">
        <f aca="true">IF($Y174&gt;0,CHOOSE(MATCH(RegimeExecucao,{"Unitário","Global"},0),IF($A174="S",$Y174/$X174,""),($Y174/$X174)*100),0)</f>
        <v>0</v>
      </c>
      <c r="X174" s="639" t="str">
        <f aca="true">IF($Y174&gt;0,CHOOSE(MATCH(RegimeExecucao,{"Unitário","Global"},0),IF($A174="S",ROUND($H174,ORÇAMENTO!$AF$10),""),ROUND($I174,ORÇAMENTO!$AF$11)),"")</f>
        <v/>
      </c>
      <c r="Y174" s="639" t="n">
        <f aca="false">AO174-O174</f>
        <v>0</v>
      </c>
      <c r="Z174" s="640"/>
      <c r="AB174" s="636"/>
      <c r="AC174" s="641"/>
      <c r="AD174" s="641"/>
      <c r="AE174" s="641"/>
      <c r="AF174" s="641"/>
      <c r="AG174" s="641"/>
      <c r="AH174" s="641"/>
      <c r="AI174" s="641"/>
      <c r="AJ174" s="641"/>
      <c r="AK174" s="641"/>
      <c r="AL174" s="641"/>
      <c r="AM174" s="637"/>
      <c r="AO174" s="38" t="n">
        <f aca="true">IF($A174="S",IF(BM!$I174=0,0,CHOOSE(MATCH(RegimeExecucao,{"Global","Unitário"},0),ROUND(ROUND(BM.MEDAcumulado,15-13*BM!$A$9)/100*BM!$I174,15-13*ORÇAMENTO!$AF$11),ROUND(ROUND(BM.MEDAcumulado,15-13*BM!$A$9)*ROUND(BM!$H174,15-13*ORÇAMENTO!$AF$10),15-13*ORÇAMENTO!$AF$11))),IF($A174=0,0,ROUND(SomaAgrupBM,15-13*ORÇAMENTO!$AF$11)))</f>
        <v>0</v>
      </c>
    </row>
    <row r="175" customFormat="false" ht="35.05" hidden="false" customHeight="false" outlineLevel="0" collapsed="false">
      <c r="A175" s="1" t="str">
        <f aca="false">ORÇAMENTO!C175</f>
        <v>S</v>
      </c>
      <c r="B175" s="1" t="n">
        <f aca="false">ORÇAMENTO!D175</f>
        <v>0</v>
      </c>
      <c r="C175" s="199" t="str">
        <f aca="false">IF(OR($I175&gt;0,$A175=1,$A175=2,$A175=3,$A175=4),"F","")</f>
        <v>F</v>
      </c>
      <c r="D175" s="202" t="str">
        <f aca="false">ORÇAMENTO!O175</f>
        <v>1.45.3.</v>
      </c>
      <c r="E175" s="341" t="str">
        <f aca="false">ORÇAMENTO.Descricao</f>
        <v>JOELHO 90 GRAUS, PVC, SERIE NORMAL, ESGOTO PREDIAL, DN 40 MM, JUNTA SOLDÁVEL, FORNECIDO E INSTALADO EM RAMAL DE DESCARGA OU RAMAL DE ESGOTO SANITÁRIO. AF_08/2022</v>
      </c>
      <c r="F175" s="342" t="str">
        <f aca="true">IF(RegimeExecucao="Global","",ORÇAMENTO.Unidade)</f>
        <v/>
      </c>
      <c r="G175" s="207" t="str">
        <f aca="true">IF(RegimeExecucao="Global","",ORÇAMENTO!T175)</f>
        <v/>
      </c>
      <c r="H175" s="207" t="str">
        <f aca="true">IF(RegimeExecucao="Global","",ORÇAMENTO!W175)</f>
        <v/>
      </c>
      <c r="I175" s="210" t="n">
        <f aca="false">ORÇAMENTO!X175</f>
        <v>658.5</v>
      </c>
      <c r="J175" s="633" t="e">
        <f aca="false" t="array" ref="J175:J175">_xlfn.single(IF($A175="S",IF(CAIXA.Modo,BM.AFAnterior,BM.MEDAnterior),IF(AND(_xlfn.single(RegimeExecucao)="Global",$I175&gt;0,COUNTIF($AB$13:$AM$13,BM.medicao-1)&gt;0),M175/$I175*100,0)))</f>
        <v>#NAME?</v>
      </c>
      <c r="K175" s="207" t="e">
        <f aca="false">L175-J175</f>
        <v>#NAME?</v>
      </c>
      <c r="L175" s="634" t="e">
        <f aca="false" t="array" ref="L175:L175">_xlfn.single(IF($A175="S",IF(CAIXA.Modo,BM.AFAcumulado,BM.MEDAcumulado),IF(AND(_xlfn.single(RegimeExecucao)="Global",$I175&gt;0,COUNTIF($AB$13:$AM$13,BM.medicao)&gt;0),O175/$I175*100,0)))</f>
        <v>#NAME?</v>
      </c>
      <c r="M175" s="635" t="n">
        <f aca="true">IF($A175="S",VTOTALBM,IF($A175=0,0,ROUND(SomaAgrupBM,15-13*ORÇAMENTO!$AF$11)))</f>
        <v>0</v>
      </c>
      <c r="N175" s="219" t="n">
        <f aca="false">O175-M175</f>
        <v>0</v>
      </c>
      <c r="O175" s="210" t="n">
        <f aca="true">IF($A175="S",VTOTALBM,IF($A175=0,0,ROUND(SomaAgrupBM,15-13*ORÇAMENTO!$AF$11)))</f>
        <v>0</v>
      </c>
      <c r="Q175" s="636"/>
      <c r="R175" s="637"/>
      <c r="T175" s="202" t="str">
        <f aca="false">IF($W175&gt;0,$D175,"")</f>
        <v/>
      </c>
      <c r="U175" s="341" t="str">
        <f aca="false">IF($W175&gt;0,$E175,"")</f>
        <v/>
      </c>
      <c r="V175" s="342" t="str">
        <f aca="true">IF(AND($W175&gt;0,RegimeExecucao="Unitário"),$F175,"")</f>
        <v/>
      </c>
      <c r="W175" s="638" t="n">
        <f aca="true">IF($Y175&gt;0,CHOOSE(MATCH(RegimeExecucao,{"Unitário","Global"},0),IF($A175="S",$Y175/$X175,""),($Y175/$X175)*100),0)</f>
        <v>0</v>
      </c>
      <c r="X175" s="639" t="str">
        <f aca="true">IF($Y175&gt;0,CHOOSE(MATCH(RegimeExecucao,{"Unitário","Global"},0),IF($A175="S",ROUND($H175,ORÇAMENTO!$AF$10),""),ROUND($I175,ORÇAMENTO!$AF$11)),"")</f>
        <v/>
      </c>
      <c r="Y175" s="639" t="n">
        <f aca="false">AO175-O175</f>
        <v>0</v>
      </c>
      <c r="Z175" s="640"/>
      <c r="AB175" s="636"/>
      <c r="AC175" s="641"/>
      <c r="AD175" s="641"/>
      <c r="AE175" s="641"/>
      <c r="AF175" s="641"/>
      <c r="AG175" s="641"/>
      <c r="AH175" s="641"/>
      <c r="AI175" s="641"/>
      <c r="AJ175" s="641"/>
      <c r="AK175" s="641"/>
      <c r="AL175" s="641"/>
      <c r="AM175" s="637"/>
      <c r="AO175" s="38" t="n">
        <f aca="true">IF($A175="S",IF(BM!$I175=0,0,CHOOSE(MATCH(RegimeExecucao,{"Global","Unitário"},0),ROUND(ROUND(BM.MEDAcumulado,15-13*BM!$A$9)/100*BM!$I175,15-13*ORÇAMENTO!$AF$11),ROUND(ROUND(BM.MEDAcumulado,15-13*BM!$A$9)*ROUND(BM!$H175,15-13*ORÇAMENTO!$AF$10),15-13*ORÇAMENTO!$AF$11))),IF($A175=0,0,ROUND(SomaAgrupBM,15-13*ORÇAMENTO!$AF$11)))</f>
        <v>0</v>
      </c>
    </row>
    <row r="176" customFormat="false" ht="35.05" hidden="false" customHeight="false" outlineLevel="0" collapsed="false">
      <c r="A176" s="1" t="str">
        <f aca="false">ORÇAMENTO!C176</f>
        <v>S</v>
      </c>
      <c r="B176" s="1" t="n">
        <f aca="false">ORÇAMENTO!D176</f>
        <v>0</v>
      </c>
      <c r="C176" s="199" t="str">
        <f aca="false">IF(OR($I176&gt;0,$A176=1,$A176=2,$A176=3,$A176=4),"F","")</f>
        <v>F</v>
      </c>
      <c r="D176" s="202" t="str">
        <f aca="false">ORÇAMENTO!O176</f>
        <v>1.45.4.</v>
      </c>
      <c r="E176" s="341" t="str">
        <f aca="false">ORÇAMENTO.Descricao</f>
        <v>JOELHO 90 GRAUS, PVC, SERIE NORMAL, ESGOTO PREDIAL, DN 50 MM, JUNTA ELÁSTICA, FORNECIDO E INSTALADO EM RAMAL DE DESCARGA OU RAMAL DE ESGOTO SANITÁRIO. AF_08/2022</v>
      </c>
      <c r="F176" s="342" t="str">
        <f aca="true">IF(RegimeExecucao="Global","",ORÇAMENTO.Unidade)</f>
        <v/>
      </c>
      <c r="G176" s="207" t="str">
        <f aca="true">IF(RegimeExecucao="Global","",ORÇAMENTO!T176)</f>
        <v/>
      </c>
      <c r="H176" s="207" t="str">
        <f aca="true">IF(RegimeExecucao="Global","",ORÇAMENTO!W176)</f>
        <v/>
      </c>
      <c r="I176" s="210" t="n">
        <f aca="false">ORÇAMENTO!X176</f>
        <v>4230</v>
      </c>
      <c r="J176" s="633" t="e">
        <f aca="false" t="array" ref="J176:J176">_xlfn.single(IF($A176="S",IF(CAIXA.Modo,BM.AFAnterior,BM.MEDAnterior),IF(AND(_xlfn.single(RegimeExecucao)="Global",$I176&gt;0,COUNTIF($AB$13:$AM$13,BM.medicao-1)&gt;0),M176/$I176*100,0)))</f>
        <v>#NAME?</v>
      </c>
      <c r="K176" s="207" t="e">
        <f aca="false">L176-J176</f>
        <v>#NAME?</v>
      </c>
      <c r="L176" s="634" t="e">
        <f aca="false" t="array" ref="L176:L176">_xlfn.single(IF($A176="S",IF(CAIXA.Modo,BM.AFAcumulado,BM.MEDAcumulado),IF(AND(_xlfn.single(RegimeExecucao)="Global",$I176&gt;0,COUNTIF($AB$13:$AM$13,BM.medicao)&gt;0),O176/$I176*100,0)))</f>
        <v>#NAME?</v>
      </c>
      <c r="M176" s="635" t="n">
        <f aca="true">IF($A176="S",VTOTALBM,IF($A176=0,0,ROUND(SomaAgrupBM,15-13*ORÇAMENTO!$AF$11)))</f>
        <v>0</v>
      </c>
      <c r="N176" s="219" t="n">
        <f aca="false">O176-M176</f>
        <v>0</v>
      </c>
      <c r="O176" s="210" t="n">
        <f aca="true">IF($A176="S",VTOTALBM,IF($A176=0,0,ROUND(SomaAgrupBM,15-13*ORÇAMENTO!$AF$11)))</f>
        <v>0</v>
      </c>
      <c r="Q176" s="636"/>
      <c r="R176" s="637"/>
      <c r="T176" s="202" t="str">
        <f aca="false">IF($W176&gt;0,$D176,"")</f>
        <v/>
      </c>
      <c r="U176" s="341" t="str">
        <f aca="false">IF($W176&gt;0,$E176,"")</f>
        <v/>
      </c>
      <c r="V176" s="342" t="str">
        <f aca="true">IF(AND($W176&gt;0,RegimeExecucao="Unitário"),$F176,"")</f>
        <v/>
      </c>
      <c r="W176" s="638" t="n">
        <f aca="true">IF($Y176&gt;0,CHOOSE(MATCH(RegimeExecucao,{"Unitário","Global"},0),IF($A176="S",$Y176/$X176,""),($Y176/$X176)*100),0)</f>
        <v>0</v>
      </c>
      <c r="X176" s="639" t="str">
        <f aca="true">IF($Y176&gt;0,CHOOSE(MATCH(RegimeExecucao,{"Unitário","Global"},0),IF($A176="S",ROUND($H176,ORÇAMENTO!$AF$10),""),ROUND($I176,ORÇAMENTO!$AF$11)),"")</f>
        <v/>
      </c>
      <c r="Y176" s="639" t="n">
        <f aca="false">AO176-O176</f>
        <v>0</v>
      </c>
      <c r="Z176" s="640"/>
      <c r="AB176" s="636"/>
      <c r="AC176" s="641"/>
      <c r="AD176" s="641"/>
      <c r="AE176" s="641"/>
      <c r="AF176" s="641"/>
      <c r="AG176" s="641"/>
      <c r="AH176" s="641"/>
      <c r="AI176" s="641"/>
      <c r="AJ176" s="641"/>
      <c r="AK176" s="641"/>
      <c r="AL176" s="641"/>
      <c r="AM176" s="637"/>
      <c r="AO176" s="38" t="n">
        <f aca="true">IF($A176="S",IF(BM!$I176=0,0,CHOOSE(MATCH(RegimeExecucao,{"Global","Unitário"},0),ROUND(ROUND(BM.MEDAcumulado,15-13*BM!$A$9)/100*BM!$I176,15-13*ORÇAMENTO!$AF$11),ROUND(ROUND(BM.MEDAcumulado,15-13*BM!$A$9)*ROUND(BM!$H176,15-13*ORÇAMENTO!$AF$10),15-13*ORÇAMENTO!$AF$11))),IF($A176=0,0,ROUND(SomaAgrupBM,15-13*ORÇAMENTO!$AF$11)))</f>
        <v>0</v>
      </c>
    </row>
    <row r="177" customFormat="false" ht="35.05" hidden="false" customHeight="false" outlineLevel="0" collapsed="false">
      <c r="A177" s="1" t="str">
        <f aca="false">ORÇAMENTO!C177</f>
        <v>S</v>
      </c>
      <c r="B177" s="1" t="n">
        <f aca="false">ORÇAMENTO!D177</f>
        <v>0</v>
      </c>
      <c r="C177" s="199" t="str">
        <f aca="false">IF(OR($I177&gt;0,$A177=1,$A177=2,$A177=3,$A177=4),"F","")</f>
        <v>F</v>
      </c>
      <c r="D177" s="202" t="str">
        <f aca="false">ORÇAMENTO!O177</f>
        <v>1.45.5.</v>
      </c>
      <c r="E177" s="341" t="str">
        <f aca="false">ORÇAMENTO.Descricao</f>
        <v>JOELHO 90 GRAUS, PVC, SERIE NORMAL, ESGOTO PREDIAL, DN 100 MM, JUNTA ELÁSTICA, FORNECIDO E INSTALADO EM RAMAL DE DESCARGA OU RAMAL DE ESGOTO SANITÁRIO. AF_08/2022</v>
      </c>
      <c r="F177" s="342" t="str">
        <f aca="true">IF(RegimeExecucao="Global","",ORÇAMENTO.Unidade)</f>
        <v/>
      </c>
      <c r="G177" s="207" t="str">
        <f aca="true">IF(RegimeExecucao="Global","",ORÇAMENTO!T177)</f>
        <v/>
      </c>
      <c r="H177" s="207" t="str">
        <f aca="true">IF(RegimeExecucao="Global","",ORÇAMENTO!W177)</f>
        <v/>
      </c>
      <c r="I177" s="210" t="n">
        <f aca="false">ORÇAMENTO!X177</f>
        <v>864</v>
      </c>
      <c r="J177" s="633" t="e">
        <f aca="false" t="array" ref="J177:J177">_xlfn.single(IF($A177="S",IF(CAIXA.Modo,BM.AFAnterior,BM.MEDAnterior),IF(AND(_xlfn.single(RegimeExecucao)="Global",$I177&gt;0,COUNTIF($AB$13:$AM$13,BM.medicao-1)&gt;0),M177/$I177*100,0)))</f>
        <v>#NAME?</v>
      </c>
      <c r="K177" s="207" t="e">
        <f aca="false">L177-J177</f>
        <v>#NAME?</v>
      </c>
      <c r="L177" s="634" t="e">
        <f aca="false" t="array" ref="L177:L177">_xlfn.single(IF($A177="S",IF(CAIXA.Modo,BM.AFAcumulado,BM.MEDAcumulado),IF(AND(_xlfn.single(RegimeExecucao)="Global",$I177&gt;0,COUNTIF($AB$13:$AM$13,BM.medicao)&gt;0),O177/$I177*100,0)))</f>
        <v>#NAME?</v>
      </c>
      <c r="M177" s="635" t="n">
        <f aca="true">IF($A177="S",VTOTALBM,IF($A177=0,0,ROUND(SomaAgrupBM,15-13*ORÇAMENTO!$AF$11)))</f>
        <v>0</v>
      </c>
      <c r="N177" s="219" t="n">
        <f aca="false">O177-M177</f>
        <v>0</v>
      </c>
      <c r="O177" s="210" t="n">
        <f aca="true">IF($A177="S",VTOTALBM,IF($A177=0,0,ROUND(SomaAgrupBM,15-13*ORÇAMENTO!$AF$11)))</f>
        <v>0</v>
      </c>
      <c r="Q177" s="636"/>
      <c r="R177" s="637"/>
      <c r="T177" s="202" t="str">
        <f aca="false">IF($W177&gt;0,$D177,"")</f>
        <v/>
      </c>
      <c r="U177" s="341" t="str">
        <f aca="false">IF($W177&gt;0,$E177,"")</f>
        <v/>
      </c>
      <c r="V177" s="342" t="str">
        <f aca="true">IF(AND($W177&gt;0,RegimeExecucao="Unitário"),$F177,"")</f>
        <v/>
      </c>
      <c r="W177" s="638" t="n">
        <f aca="true">IF($Y177&gt;0,CHOOSE(MATCH(RegimeExecucao,{"Unitário","Global"},0),IF($A177="S",$Y177/$X177,""),($Y177/$X177)*100),0)</f>
        <v>0</v>
      </c>
      <c r="X177" s="639" t="str">
        <f aca="true">IF($Y177&gt;0,CHOOSE(MATCH(RegimeExecucao,{"Unitário","Global"},0),IF($A177="S",ROUND($H177,ORÇAMENTO!$AF$10),""),ROUND($I177,ORÇAMENTO!$AF$11)),"")</f>
        <v/>
      </c>
      <c r="Y177" s="639" t="n">
        <f aca="false">AO177-O177</f>
        <v>0</v>
      </c>
      <c r="Z177" s="640"/>
      <c r="AB177" s="636"/>
      <c r="AC177" s="641"/>
      <c r="AD177" s="641"/>
      <c r="AE177" s="641"/>
      <c r="AF177" s="641"/>
      <c r="AG177" s="641"/>
      <c r="AH177" s="641"/>
      <c r="AI177" s="641"/>
      <c r="AJ177" s="641"/>
      <c r="AK177" s="641"/>
      <c r="AL177" s="641"/>
      <c r="AM177" s="637"/>
      <c r="AO177" s="38" t="n">
        <f aca="true">IF($A177="S",IF(BM!$I177=0,0,CHOOSE(MATCH(RegimeExecucao,{"Global","Unitário"},0),ROUND(ROUND(BM.MEDAcumulado,15-13*BM!$A$9)/100*BM!$I177,15-13*ORÇAMENTO!$AF$11),ROUND(ROUND(BM.MEDAcumulado,15-13*BM!$A$9)*ROUND(BM!$H177,15-13*ORÇAMENTO!$AF$10),15-13*ORÇAMENTO!$AF$11))),IF($A177=0,0,ROUND(SomaAgrupBM,15-13*ORÇAMENTO!$AF$11)))</f>
        <v>0</v>
      </c>
    </row>
    <row r="178" customFormat="false" ht="35.05" hidden="false" customHeight="false" outlineLevel="0" collapsed="false">
      <c r="A178" s="1" t="str">
        <f aca="false">ORÇAMENTO!C178</f>
        <v>S</v>
      </c>
      <c r="B178" s="1" t="n">
        <f aca="false">ORÇAMENTO!D178</f>
        <v>0</v>
      </c>
      <c r="C178" s="199" t="str">
        <f aca="false">IF(OR($I178&gt;0,$A178=1,$A178=2,$A178=3,$A178=4),"F","")</f>
        <v>F</v>
      </c>
      <c r="D178" s="202" t="str">
        <f aca="false">ORÇAMENTO!O178</f>
        <v>1.45.6.</v>
      </c>
      <c r="E178" s="341" t="str">
        <f aca="false">ORÇAMENTO.Descricao</f>
        <v>TE, PVC, SERIE NORMAL, ESGOTO PREDIAL, DN 50 X 50 MM, JUNTA ELÁSTICA, FORNECIDO E INSTALADO EM RAMAL DE DESCARGA OU RAMAL DE ESGOTO SANITÁRIO. AF_08/2022</v>
      </c>
      <c r="F178" s="342" t="str">
        <f aca="true">IF(RegimeExecucao="Global","",ORÇAMENTO.Unidade)</f>
        <v/>
      </c>
      <c r="G178" s="207" t="str">
        <f aca="true">IF(RegimeExecucao="Global","",ORÇAMENTO!T178)</f>
        <v/>
      </c>
      <c r="H178" s="207" t="str">
        <f aca="true">IF(RegimeExecucao="Global","",ORÇAMENTO!W178)</f>
        <v/>
      </c>
      <c r="I178" s="210" t="n">
        <f aca="false">ORÇAMENTO!X178</f>
        <v>761</v>
      </c>
      <c r="J178" s="633" t="e">
        <f aca="false" t="array" ref="J178:J178">_xlfn.single(IF($A178="S",IF(CAIXA.Modo,BM.AFAnterior,BM.MEDAnterior),IF(AND(_xlfn.single(RegimeExecucao)="Global",$I178&gt;0,COUNTIF($AB$13:$AM$13,BM.medicao-1)&gt;0),M178/$I178*100,0)))</f>
        <v>#NAME?</v>
      </c>
      <c r="K178" s="207" t="e">
        <f aca="false">L178-J178</f>
        <v>#NAME?</v>
      </c>
      <c r="L178" s="634" t="e">
        <f aca="false" t="array" ref="L178:L178">_xlfn.single(IF($A178="S",IF(CAIXA.Modo,BM.AFAcumulado,BM.MEDAcumulado),IF(AND(_xlfn.single(RegimeExecucao)="Global",$I178&gt;0,COUNTIF($AB$13:$AM$13,BM.medicao)&gt;0),O178/$I178*100,0)))</f>
        <v>#NAME?</v>
      </c>
      <c r="M178" s="635" t="n">
        <f aca="true">IF($A178="S",VTOTALBM,IF($A178=0,0,ROUND(SomaAgrupBM,15-13*ORÇAMENTO!$AF$11)))</f>
        <v>0</v>
      </c>
      <c r="N178" s="219" t="n">
        <f aca="false">O178-M178</f>
        <v>0</v>
      </c>
      <c r="O178" s="210" t="n">
        <f aca="true">IF($A178="S",VTOTALBM,IF($A178=0,0,ROUND(SomaAgrupBM,15-13*ORÇAMENTO!$AF$11)))</f>
        <v>0</v>
      </c>
      <c r="Q178" s="636"/>
      <c r="R178" s="637"/>
      <c r="T178" s="202" t="str">
        <f aca="false">IF($W178&gt;0,$D178,"")</f>
        <v/>
      </c>
      <c r="U178" s="341" t="str">
        <f aca="false">IF($W178&gt;0,$E178,"")</f>
        <v/>
      </c>
      <c r="V178" s="342" t="str">
        <f aca="true">IF(AND($W178&gt;0,RegimeExecucao="Unitário"),$F178,"")</f>
        <v/>
      </c>
      <c r="W178" s="638" t="n">
        <f aca="true">IF($Y178&gt;0,CHOOSE(MATCH(RegimeExecucao,{"Unitário","Global"},0),IF($A178="S",$Y178/$X178,""),($Y178/$X178)*100),0)</f>
        <v>0</v>
      </c>
      <c r="X178" s="639" t="str">
        <f aca="true">IF($Y178&gt;0,CHOOSE(MATCH(RegimeExecucao,{"Unitário","Global"},0),IF($A178="S",ROUND($H178,ORÇAMENTO!$AF$10),""),ROUND($I178,ORÇAMENTO!$AF$11)),"")</f>
        <v/>
      </c>
      <c r="Y178" s="639" t="n">
        <f aca="false">AO178-O178</f>
        <v>0</v>
      </c>
      <c r="Z178" s="640"/>
      <c r="AB178" s="636"/>
      <c r="AC178" s="641"/>
      <c r="AD178" s="641"/>
      <c r="AE178" s="641"/>
      <c r="AF178" s="641"/>
      <c r="AG178" s="641"/>
      <c r="AH178" s="641"/>
      <c r="AI178" s="641"/>
      <c r="AJ178" s="641"/>
      <c r="AK178" s="641"/>
      <c r="AL178" s="641"/>
      <c r="AM178" s="637"/>
      <c r="AO178" s="38" t="n">
        <f aca="true">IF($A178="S",IF(BM!$I178=0,0,CHOOSE(MATCH(RegimeExecucao,{"Global","Unitário"},0),ROUND(ROUND(BM.MEDAcumulado,15-13*BM!$A$9)/100*BM!$I178,15-13*ORÇAMENTO!$AF$11),ROUND(ROUND(BM.MEDAcumulado,15-13*BM!$A$9)*ROUND(BM!$H178,15-13*ORÇAMENTO!$AF$10),15-13*ORÇAMENTO!$AF$11))),IF($A178=0,0,ROUND(SomaAgrupBM,15-13*ORÇAMENTO!$AF$11)))</f>
        <v>0</v>
      </c>
    </row>
    <row r="179" customFormat="false" ht="46.25" hidden="false" customHeight="false" outlineLevel="0" collapsed="false">
      <c r="A179" s="1" t="str">
        <f aca="false">ORÇAMENTO!C179</f>
        <v>S</v>
      </c>
      <c r="B179" s="1" t="n">
        <f aca="false">ORÇAMENTO!D179</f>
        <v>0</v>
      </c>
      <c r="C179" s="199" t="str">
        <f aca="false">IF(OR($I179&gt;0,$A179=1,$A179=2,$A179=3,$A179=4),"F","")</f>
        <v>F</v>
      </c>
      <c r="D179" s="202" t="str">
        <f aca="false">ORÇAMENTO!O179</f>
        <v>1.45.7.</v>
      </c>
      <c r="E179" s="341" t="str">
        <f aca="false">ORÇAMENTO.Descricao</f>
        <v>JUNÇÃO DE REDUÇÃO INVERTIDA, PVC, SÉRIE NORMAL, ESGOTO PREDIAL, DN 100 X 50 MM, JUNTA ELÁSTICA, FORNECIDO E INSTALADO EM RAMAL DE DESCARGA OU RAMAL DE ESGOTO SANITÁRIO. AF_08/2022</v>
      </c>
      <c r="F179" s="342" t="str">
        <f aca="true">IF(RegimeExecucao="Global","",ORÇAMENTO.Unidade)</f>
        <v/>
      </c>
      <c r="G179" s="207" t="str">
        <f aca="true">IF(RegimeExecucao="Global","",ORÇAMENTO!T179)</f>
        <v/>
      </c>
      <c r="H179" s="207" t="str">
        <f aca="true">IF(RegimeExecucao="Global","",ORÇAMENTO!W179)</f>
        <v/>
      </c>
      <c r="I179" s="210" t="n">
        <f aca="false">ORÇAMENTO!X179</f>
        <v>1345.5</v>
      </c>
      <c r="J179" s="633" t="e">
        <f aca="false" t="array" ref="J179:J179">_xlfn.single(IF($A179="S",IF(CAIXA.Modo,BM.AFAnterior,BM.MEDAnterior),IF(AND(_xlfn.single(RegimeExecucao)="Global",$I179&gt;0,COUNTIF($AB$13:$AM$13,BM.medicao-1)&gt;0),M179/$I179*100,0)))</f>
        <v>#NAME?</v>
      </c>
      <c r="K179" s="207" t="e">
        <f aca="false">L179-J179</f>
        <v>#NAME?</v>
      </c>
      <c r="L179" s="634" t="e">
        <f aca="false" t="array" ref="L179:L179">_xlfn.single(IF($A179="S",IF(CAIXA.Modo,BM.AFAcumulado,BM.MEDAcumulado),IF(AND(_xlfn.single(RegimeExecucao)="Global",$I179&gt;0,COUNTIF($AB$13:$AM$13,BM.medicao)&gt;0),O179/$I179*100,0)))</f>
        <v>#NAME?</v>
      </c>
      <c r="M179" s="635" t="n">
        <f aca="true">IF($A179="S",VTOTALBM,IF($A179=0,0,ROUND(SomaAgrupBM,15-13*ORÇAMENTO!$AF$11)))</f>
        <v>0</v>
      </c>
      <c r="N179" s="219" t="n">
        <f aca="false">O179-M179</f>
        <v>0</v>
      </c>
      <c r="O179" s="210" t="n">
        <f aca="true">IF($A179="S",VTOTALBM,IF($A179=0,0,ROUND(SomaAgrupBM,15-13*ORÇAMENTO!$AF$11)))</f>
        <v>0</v>
      </c>
      <c r="Q179" s="636"/>
      <c r="R179" s="637"/>
      <c r="T179" s="202" t="str">
        <f aca="false">IF($W179&gt;0,$D179,"")</f>
        <v/>
      </c>
      <c r="U179" s="341" t="str">
        <f aca="false">IF($W179&gt;0,$E179,"")</f>
        <v/>
      </c>
      <c r="V179" s="342" t="str">
        <f aca="true">IF(AND($W179&gt;0,RegimeExecucao="Unitário"),$F179,"")</f>
        <v/>
      </c>
      <c r="W179" s="638" t="n">
        <f aca="true">IF($Y179&gt;0,CHOOSE(MATCH(RegimeExecucao,{"Unitário","Global"},0),IF($A179="S",$Y179/$X179,""),($Y179/$X179)*100),0)</f>
        <v>0</v>
      </c>
      <c r="X179" s="639" t="str">
        <f aca="true">IF($Y179&gt;0,CHOOSE(MATCH(RegimeExecucao,{"Unitário","Global"},0),IF($A179="S",ROUND($H179,ORÇAMENTO!$AF$10),""),ROUND($I179,ORÇAMENTO!$AF$11)),"")</f>
        <v/>
      </c>
      <c r="Y179" s="639" t="n">
        <f aca="false">AO179-O179</f>
        <v>0</v>
      </c>
      <c r="Z179" s="640"/>
      <c r="AB179" s="636"/>
      <c r="AC179" s="641"/>
      <c r="AD179" s="641"/>
      <c r="AE179" s="641"/>
      <c r="AF179" s="641"/>
      <c r="AG179" s="641"/>
      <c r="AH179" s="641"/>
      <c r="AI179" s="641"/>
      <c r="AJ179" s="641"/>
      <c r="AK179" s="641"/>
      <c r="AL179" s="641"/>
      <c r="AM179" s="637"/>
      <c r="AO179" s="38" t="n">
        <f aca="true">IF($A179="S",IF(BM!$I179=0,0,CHOOSE(MATCH(RegimeExecucao,{"Global","Unitário"},0),ROUND(ROUND(BM.MEDAcumulado,15-13*BM!$A$9)/100*BM!$I179,15-13*ORÇAMENTO!$AF$11),ROUND(ROUND(BM.MEDAcumulado,15-13*BM!$A$9)*ROUND(BM!$H179,15-13*ORÇAMENTO!$AF$10),15-13*ORÇAMENTO!$AF$11))),IF($A179=0,0,ROUND(SomaAgrupBM,15-13*ORÇAMENTO!$AF$11)))</f>
        <v>0</v>
      </c>
    </row>
    <row r="180" customFormat="false" ht="35.05" hidden="false" customHeight="false" outlineLevel="0" collapsed="false">
      <c r="A180" s="1" t="str">
        <f aca="false">ORÇAMENTO!C180</f>
        <v>S</v>
      </c>
      <c r="B180" s="1" t="n">
        <f aca="false">ORÇAMENTO!D180</f>
        <v>0</v>
      </c>
      <c r="C180" s="199" t="str">
        <f aca="false">IF(OR($I180&gt;0,$A180=1,$A180=2,$A180=3,$A180=4),"F","")</f>
        <v>F</v>
      </c>
      <c r="D180" s="202" t="str">
        <f aca="false">ORÇAMENTO!O180</f>
        <v>1.45.8.</v>
      </c>
      <c r="E180" s="341" t="str">
        <f aca="false">ORÇAMENTO.Descricao</f>
        <v>TERMINAL DE VENTILAÇÃO, PVC, SÉRIE NORMAL, ESGOTO PREDIAL, DN 50 MM, JUNTA SOLDÁVEL, FORNECIDO E INSTALADO EM PRUMADA DE ESGOTO SANITÁRIO OU VENTILAÇÃO. AF_08/2022</v>
      </c>
      <c r="F180" s="342" t="str">
        <f aca="true">IF(RegimeExecucao="Global","",ORÇAMENTO.Unidade)</f>
        <v/>
      </c>
      <c r="G180" s="207" t="str">
        <f aca="true">IF(RegimeExecucao="Global","",ORÇAMENTO!T180)</f>
        <v/>
      </c>
      <c r="H180" s="207" t="str">
        <f aca="true">IF(RegimeExecucao="Global","",ORÇAMENTO!W180)</f>
        <v/>
      </c>
      <c r="I180" s="210" t="n">
        <f aca="false">ORÇAMENTO!X180</f>
        <v>349</v>
      </c>
      <c r="J180" s="633" t="e">
        <f aca="false" t="array" ref="J180:J180">_xlfn.single(IF($A180="S",IF(CAIXA.Modo,BM.AFAnterior,BM.MEDAnterior),IF(AND(_xlfn.single(RegimeExecucao)="Global",$I180&gt;0,COUNTIF($AB$13:$AM$13,BM.medicao-1)&gt;0),M180/$I180*100,0)))</f>
        <v>#NAME?</v>
      </c>
      <c r="K180" s="207" t="e">
        <f aca="false">L180-J180</f>
        <v>#NAME?</v>
      </c>
      <c r="L180" s="634" t="e">
        <f aca="false" t="array" ref="L180:L180">_xlfn.single(IF($A180="S",IF(CAIXA.Modo,BM.AFAcumulado,BM.MEDAcumulado),IF(AND(_xlfn.single(RegimeExecucao)="Global",$I180&gt;0,COUNTIF($AB$13:$AM$13,BM.medicao)&gt;0),O180/$I180*100,0)))</f>
        <v>#NAME?</v>
      </c>
      <c r="M180" s="635" t="n">
        <f aca="true">IF($A180="S",VTOTALBM,IF($A180=0,0,ROUND(SomaAgrupBM,15-13*ORÇAMENTO!$AF$11)))</f>
        <v>0</v>
      </c>
      <c r="N180" s="219" t="n">
        <f aca="false">O180-M180</f>
        <v>0</v>
      </c>
      <c r="O180" s="210" t="n">
        <f aca="true">IF($A180="S",VTOTALBM,IF($A180=0,0,ROUND(SomaAgrupBM,15-13*ORÇAMENTO!$AF$11)))</f>
        <v>0</v>
      </c>
      <c r="Q180" s="636"/>
      <c r="R180" s="637"/>
      <c r="T180" s="202" t="str">
        <f aca="false">IF($W180&gt;0,$D180,"")</f>
        <v/>
      </c>
      <c r="U180" s="341" t="str">
        <f aca="false">IF($W180&gt;0,$E180,"")</f>
        <v/>
      </c>
      <c r="V180" s="342" t="str">
        <f aca="true">IF(AND($W180&gt;0,RegimeExecucao="Unitário"),$F180,"")</f>
        <v/>
      </c>
      <c r="W180" s="638" t="n">
        <f aca="true">IF($Y180&gt;0,CHOOSE(MATCH(RegimeExecucao,{"Unitário","Global"},0),IF($A180="S",$Y180/$X180,""),($Y180/$X180)*100),0)</f>
        <v>0</v>
      </c>
      <c r="X180" s="639" t="str">
        <f aca="true">IF($Y180&gt;0,CHOOSE(MATCH(RegimeExecucao,{"Unitário","Global"},0),IF($A180="S",ROUND($H180,ORÇAMENTO!$AF$10),""),ROUND($I180,ORÇAMENTO!$AF$11)),"")</f>
        <v/>
      </c>
      <c r="Y180" s="639" t="n">
        <f aca="false">AO180-O180</f>
        <v>0</v>
      </c>
      <c r="Z180" s="640"/>
      <c r="AB180" s="636"/>
      <c r="AC180" s="641"/>
      <c r="AD180" s="641"/>
      <c r="AE180" s="641"/>
      <c r="AF180" s="641"/>
      <c r="AG180" s="641"/>
      <c r="AH180" s="641"/>
      <c r="AI180" s="641"/>
      <c r="AJ180" s="641"/>
      <c r="AK180" s="641"/>
      <c r="AL180" s="641"/>
      <c r="AM180" s="637"/>
      <c r="AO180" s="38" t="n">
        <f aca="true">IF($A180="S",IF(BM!$I180=0,0,CHOOSE(MATCH(RegimeExecucao,{"Global","Unitário"},0),ROUND(ROUND(BM.MEDAcumulado,15-13*BM!$A$9)/100*BM!$I180,15-13*ORÇAMENTO!$AF$11),ROUND(ROUND(BM.MEDAcumulado,15-13*BM!$A$9)*ROUND(BM!$H180,15-13*ORÇAMENTO!$AF$10),15-13*ORÇAMENTO!$AF$11))),IF($A180=0,0,ROUND(SomaAgrupBM,15-13*ORÇAMENTO!$AF$11)))</f>
        <v>0</v>
      </c>
    </row>
    <row r="181" customFormat="false" ht="35.05" hidden="false" customHeight="false" outlineLevel="0" collapsed="false">
      <c r="A181" s="1" t="str">
        <f aca="false">ORÇAMENTO!C181</f>
        <v>S</v>
      </c>
      <c r="B181" s="1" t="n">
        <f aca="false">ORÇAMENTO!D181</f>
        <v>0</v>
      </c>
      <c r="C181" s="199" t="str">
        <f aca="false">IF(OR($I181&gt;0,$A181=1,$A181=2,$A181=3,$A181=4),"F","")</f>
        <v>F</v>
      </c>
      <c r="D181" s="202" t="str">
        <f aca="false">ORÇAMENTO!O181</f>
        <v>1.45.9.</v>
      </c>
      <c r="E181" s="341" t="str">
        <f aca="false">ORÇAMENTO.Descricao</f>
        <v>TUBO PVC, SERIE NORMAL, ESGOTO PREDIAL, DN 40 MM, FORNECIDO E INSTALADO EM RAMAL DE DESCARGA OU RAMAL DE ESGOTO SANITÁRIO. AF_08/2022</v>
      </c>
      <c r="F181" s="342" t="str">
        <f aca="true">IF(RegimeExecucao="Global","",ORÇAMENTO.Unidade)</f>
        <v/>
      </c>
      <c r="G181" s="207" t="str">
        <f aca="true">IF(RegimeExecucao="Global","",ORÇAMENTO!T181)</f>
        <v/>
      </c>
      <c r="H181" s="207" t="str">
        <f aca="true">IF(RegimeExecucao="Global","",ORÇAMENTO!W181)</f>
        <v/>
      </c>
      <c r="I181" s="210" t="n">
        <f aca="false">ORÇAMENTO!X181</f>
        <v>2329</v>
      </c>
      <c r="J181" s="633" t="e">
        <f aca="false" t="array" ref="J181:J181">_xlfn.single(IF($A181="S",IF(CAIXA.Modo,BM.AFAnterior,BM.MEDAnterior),IF(AND(_xlfn.single(RegimeExecucao)="Global",$I181&gt;0,COUNTIF($AB$13:$AM$13,BM.medicao-1)&gt;0),M181/$I181*100,0)))</f>
        <v>#NAME?</v>
      </c>
      <c r="K181" s="207" t="e">
        <f aca="false">L181-J181</f>
        <v>#NAME?</v>
      </c>
      <c r="L181" s="634" t="e">
        <f aca="false" t="array" ref="L181:L181">_xlfn.single(IF($A181="S",IF(CAIXA.Modo,BM.AFAcumulado,BM.MEDAcumulado),IF(AND(_xlfn.single(RegimeExecucao)="Global",$I181&gt;0,COUNTIF($AB$13:$AM$13,BM.medicao)&gt;0),O181/$I181*100,0)))</f>
        <v>#NAME?</v>
      </c>
      <c r="M181" s="635" t="n">
        <f aca="true">IF($A181="S",VTOTALBM,IF($A181=0,0,ROUND(SomaAgrupBM,15-13*ORÇAMENTO!$AF$11)))</f>
        <v>0</v>
      </c>
      <c r="N181" s="219" t="n">
        <f aca="false">O181-M181</f>
        <v>0</v>
      </c>
      <c r="O181" s="210" t="n">
        <f aca="true">IF($A181="S",VTOTALBM,IF($A181=0,0,ROUND(SomaAgrupBM,15-13*ORÇAMENTO!$AF$11)))</f>
        <v>0</v>
      </c>
      <c r="Q181" s="636"/>
      <c r="R181" s="637"/>
      <c r="T181" s="202" t="str">
        <f aca="false">IF($W181&gt;0,$D181,"")</f>
        <v/>
      </c>
      <c r="U181" s="341" t="str">
        <f aca="false">IF($W181&gt;0,$E181,"")</f>
        <v/>
      </c>
      <c r="V181" s="342" t="str">
        <f aca="true">IF(AND($W181&gt;0,RegimeExecucao="Unitário"),$F181,"")</f>
        <v/>
      </c>
      <c r="W181" s="638" t="n">
        <f aca="true">IF($Y181&gt;0,CHOOSE(MATCH(RegimeExecucao,{"Unitário","Global"},0),IF($A181="S",$Y181/$X181,""),($Y181/$X181)*100),0)</f>
        <v>0</v>
      </c>
      <c r="X181" s="639" t="str">
        <f aca="true">IF($Y181&gt;0,CHOOSE(MATCH(RegimeExecucao,{"Unitário","Global"},0),IF($A181="S",ROUND($H181,ORÇAMENTO!$AF$10),""),ROUND($I181,ORÇAMENTO!$AF$11)),"")</f>
        <v/>
      </c>
      <c r="Y181" s="639" t="n">
        <f aca="false">AO181-O181</f>
        <v>0</v>
      </c>
      <c r="Z181" s="640"/>
      <c r="AB181" s="636"/>
      <c r="AC181" s="641"/>
      <c r="AD181" s="641"/>
      <c r="AE181" s="641"/>
      <c r="AF181" s="641"/>
      <c r="AG181" s="641"/>
      <c r="AH181" s="641"/>
      <c r="AI181" s="641"/>
      <c r="AJ181" s="641"/>
      <c r="AK181" s="641"/>
      <c r="AL181" s="641"/>
      <c r="AM181" s="637"/>
      <c r="AO181" s="38" t="n">
        <f aca="true">IF($A181="S",IF(BM!$I181=0,0,CHOOSE(MATCH(RegimeExecucao,{"Global","Unitário"},0),ROUND(ROUND(BM.MEDAcumulado,15-13*BM!$A$9)/100*BM!$I181,15-13*ORÇAMENTO!$AF$11),ROUND(ROUND(BM.MEDAcumulado,15-13*BM!$A$9)*ROUND(BM!$H181,15-13*ORÇAMENTO!$AF$10),15-13*ORÇAMENTO!$AF$11))),IF($A181=0,0,ROUND(SomaAgrupBM,15-13*ORÇAMENTO!$AF$11)))</f>
        <v>0</v>
      </c>
    </row>
    <row r="182" customFormat="false" ht="35.05" hidden="false" customHeight="false" outlineLevel="0" collapsed="false">
      <c r="A182" s="1" t="str">
        <f aca="false">ORÇAMENTO!C182</f>
        <v>S</v>
      </c>
      <c r="B182" s="1" t="n">
        <f aca="false">ORÇAMENTO!D182</f>
        <v>0</v>
      </c>
      <c r="C182" s="199" t="str">
        <f aca="false">IF(OR($I182&gt;0,$A182=1,$A182=2,$A182=3,$A182=4),"F","")</f>
        <v>F</v>
      </c>
      <c r="D182" s="202" t="str">
        <f aca="false">ORÇAMENTO!O182</f>
        <v>1.45.10.</v>
      </c>
      <c r="E182" s="341" t="str">
        <f aca="false">ORÇAMENTO.Descricao</f>
        <v>TUBO PVC, SERIE NORMAL, ESGOTO PREDIAL, DN 50 MM, FORNECIDO E INSTALADO EM RAMAL DE DESCARGA OU RAMAL DE ESGOTO SANITÁRIO. AF_08/2022</v>
      </c>
      <c r="F182" s="342" t="str">
        <f aca="true">IF(RegimeExecucao="Global","",ORÇAMENTO.Unidade)</f>
        <v/>
      </c>
      <c r="G182" s="207" t="str">
        <f aca="true">IF(RegimeExecucao="Global","",ORÇAMENTO!T182)</f>
        <v/>
      </c>
      <c r="H182" s="207" t="str">
        <f aca="true">IF(RegimeExecucao="Global","",ORÇAMENTO!W182)</f>
        <v/>
      </c>
      <c r="I182" s="210" t="n">
        <f aca="false">ORÇAMENTO!X182</f>
        <v>8969.5</v>
      </c>
      <c r="J182" s="633" t="e">
        <f aca="false" t="array" ref="J182:J182">_xlfn.single(IF($A182="S",IF(CAIXA.Modo,BM.AFAnterior,BM.MEDAnterior),IF(AND(_xlfn.single(RegimeExecucao)="Global",$I182&gt;0,COUNTIF($AB$13:$AM$13,BM.medicao-1)&gt;0),M182/$I182*100,0)))</f>
        <v>#NAME?</v>
      </c>
      <c r="K182" s="207" t="e">
        <f aca="false">L182-J182</f>
        <v>#NAME?</v>
      </c>
      <c r="L182" s="634" t="e">
        <f aca="false" t="array" ref="L182:L182">_xlfn.single(IF($A182="S",IF(CAIXA.Modo,BM.AFAcumulado,BM.MEDAcumulado),IF(AND(_xlfn.single(RegimeExecucao)="Global",$I182&gt;0,COUNTIF($AB$13:$AM$13,BM.medicao)&gt;0),O182/$I182*100,0)))</f>
        <v>#NAME?</v>
      </c>
      <c r="M182" s="635" t="n">
        <f aca="true">IF($A182="S",VTOTALBM,IF($A182=0,0,ROUND(SomaAgrupBM,15-13*ORÇAMENTO!$AF$11)))</f>
        <v>0</v>
      </c>
      <c r="N182" s="219" t="n">
        <f aca="false">O182-M182</f>
        <v>0</v>
      </c>
      <c r="O182" s="210" t="n">
        <f aca="true">IF($A182="S",VTOTALBM,IF($A182=0,0,ROUND(SomaAgrupBM,15-13*ORÇAMENTO!$AF$11)))</f>
        <v>0</v>
      </c>
      <c r="Q182" s="636"/>
      <c r="R182" s="637"/>
      <c r="T182" s="202" t="str">
        <f aca="false">IF($W182&gt;0,$D182,"")</f>
        <v/>
      </c>
      <c r="U182" s="341" t="str">
        <f aca="false">IF($W182&gt;0,$E182,"")</f>
        <v/>
      </c>
      <c r="V182" s="342" t="str">
        <f aca="true">IF(AND($W182&gt;0,RegimeExecucao="Unitário"),$F182,"")</f>
        <v/>
      </c>
      <c r="W182" s="638" t="n">
        <f aca="true">IF($Y182&gt;0,CHOOSE(MATCH(RegimeExecucao,{"Unitário","Global"},0),IF($A182="S",$Y182/$X182,""),($Y182/$X182)*100),0)</f>
        <v>0</v>
      </c>
      <c r="X182" s="639" t="str">
        <f aca="true">IF($Y182&gt;0,CHOOSE(MATCH(RegimeExecucao,{"Unitário","Global"},0),IF($A182="S",ROUND($H182,ORÇAMENTO!$AF$10),""),ROUND($I182,ORÇAMENTO!$AF$11)),"")</f>
        <v/>
      </c>
      <c r="Y182" s="639" t="n">
        <f aca="false">AO182-O182</f>
        <v>0</v>
      </c>
      <c r="Z182" s="640"/>
      <c r="AB182" s="636"/>
      <c r="AC182" s="641"/>
      <c r="AD182" s="641"/>
      <c r="AE182" s="641"/>
      <c r="AF182" s="641"/>
      <c r="AG182" s="641"/>
      <c r="AH182" s="641"/>
      <c r="AI182" s="641"/>
      <c r="AJ182" s="641"/>
      <c r="AK182" s="641"/>
      <c r="AL182" s="641"/>
      <c r="AM182" s="637"/>
      <c r="AO182" s="38" t="n">
        <f aca="true">IF($A182="S",IF(BM!$I182=0,0,CHOOSE(MATCH(RegimeExecucao,{"Global","Unitário"},0),ROUND(ROUND(BM.MEDAcumulado,15-13*BM!$A$9)/100*BM!$I182,15-13*ORÇAMENTO!$AF$11),ROUND(ROUND(BM.MEDAcumulado,15-13*BM!$A$9)*ROUND(BM!$H182,15-13*ORÇAMENTO!$AF$10),15-13*ORÇAMENTO!$AF$11))),IF($A182=0,0,ROUND(SomaAgrupBM,15-13*ORÇAMENTO!$AF$11)))</f>
        <v>0</v>
      </c>
    </row>
    <row r="183" customFormat="false" ht="35.05" hidden="false" customHeight="false" outlineLevel="0" collapsed="false">
      <c r="A183" s="1" t="str">
        <f aca="false">ORÇAMENTO!C183</f>
        <v>S</v>
      </c>
      <c r="B183" s="1" t="n">
        <f aca="false">ORÇAMENTO!D183</f>
        <v>0</v>
      </c>
      <c r="C183" s="199" t="str">
        <f aca="false">IF(OR($I183&gt;0,$A183=1,$A183=2,$A183=3,$A183=4),"F","")</f>
        <v>F</v>
      </c>
      <c r="D183" s="202" t="str">
        <f aca="false">ORÇAMENTO!O183</f>
        <v>1.45.11.</v>
      </c>
      <c r="E183" s="341" t="str">
        <f aca="false">ORÇAMENTO.Descricao</f>
        <v>TUBO PVC, SERIE NORMAL, ESGOTO PREDIAL, DN 50 MM, FORNECIDO E INSTALADO EM PRUMADA DE ESGOTO SANITÁRIO OU VENTILAÇÃO. AF_08/2022</v>
      </c>
      <c r="F183" s="342" t="str">
        <f aca="true">IF(RegimeExecucao="Global","",ORÇAMENTO.Unidade)</f>
        <v/>
      </c>
      <c r="G183" s="207" t="str">
        <f aca="true">IF(RegimeExecucao="Global","",ORÇAMENTO!T183)</f>
        <v/>
      </c>
      <c r="H183" s="207" t="str">
        <f aca="true">IF(RegimeExecucao="Global","",ORÇAMENTO!W183)</f>
        <v/>
      </c>
      <c r="I183" s="210" t="n">
        <f aca="false">ORÇAMENTO!X183</f>
        <v>1716</v>
      </c>
      <c r="J183" s="633" t="e">
        <f aca="false" t="array" ref="J183:J183">_xlfn.single(IF($A183="S",IF(CAIXA.Modo,BM.AFAnterior,BM.MEDAnterior),IF(AND(_xlfn.single(RegimeExecucao)="Global",$I183&gt;0,COUNTIF($AB$13:$AM$13,BM.medicao-1)&gt;0),M183/$I183*100,0)))</f>
        <v>#NAME?</v>
      </c>
      <c r="K183" s="207" t="e">
        <f aca="false">L183-J183</f>
        <v>#NAME?</v>
      </c>
      <c r="L183" s="634" t="e">
        <f aca="false" t="array" ref="L183:L183">_xlfn.single(IF($A183="S",IF(CAIXA.Modo,BM.AFAcumulado,BM.MEDAcumulado),IF(AND(_xlfn.single(RegimeExecucao)="Global",$I183&gt;0,COUNTIF($AB$13:$AM$13,BM.medicao)&gt;0),O183/$I183*100,0)))</f>
        <v>#NAME?</v>
      </c>
      <c r="M183" s="635" t="n">
        <f aca="true">IF($A183="S",VTOTALBM,IF($A183=0,0,ROUND(SomaAgrupBM,15-13*ORÇAMENTO!$AF$11)))</f>
        <v>0</v>
      </c>
      <c r="N183" s="219" t="n">
        <f aca="false">O183-M183</f>
        <v>0</v>
      </c>
      <c r="O183" s="210" t="n">
        <f aca="true">IF($A183="S",VTOTALBM,IF($A183=0,0,ROUND(SomaAgrupBM,15-13*ORÇAMENTO!$AF$11)))</f>
        <v>0</v>
      </c>
      <c r="Q183" s="636"/>
      <c r="R183" s="637"/>
      <c r="T183" s="202" t="str">
        <f aca="false">IF($W183&gt;0,$D183,"")</f>
        <v/>
      </c>
      <c r="U183" s="341" t="str">
        <f aca="false">IF($W183&gt;0,$E183,"")</f>
        <v/>
      </c>
      <c r="V183" s="342" t="str">
        <f aca="true">IF(AND($W183&gt;0,RegimeExecucao="Unitário"),$F183,"")</f>
        <v/>
      </c>
      <c r="W183" s="638" t="n">
        <f aca="true">IF($Y183&gt;0,CHOOSE(MATCH(RegimeExecucao,{"Unitário","Global"},0),IF($A183="S",$Y183/$X183,""),($Y183/$X183)*100),0)</f>
        <v>0</v>
      </c>
      <c r="X183" s="639" t="str">
        <f aca="true">IF($Y183&gt;0,CHOOSE(MATCH(RegimeExecucao,{"Unitário","Global"},0),IF($A183="S",ROUND($H183,ORÇAMENTO!$AF$10),""),ROUND($I183,ORÇAMENTO!$AF$11)),"")</f>
        <v/>
      </c>
      <c r="Y183" s="639" t="n">
        <f aca="false">AO183-O183</f>
        <v>0</v>
      </c>
      <c r="Z183" s="640"/>
      <c r="AB183" s="636"/>
      <c r="AC183" s="641"/>
      <c r="AD183" s="641"/>
      <c r="AE183" s="641"/>
      <c r="AF183" s="641"/>
      <c r="AG183" s="641"/>
      <c r="AH183" s="641"/>
      <c r="AI183" s="641"/>
      <c r="AJ183" s="641"/>
      <c r="AK183" s="641"/>
      <c r="AL183" s="641"/>
      <c r="AM183" s="637"/>
      <c r="AO183" s="38" t="n">
        <f aca="true">IF($A183="S",IF(BM!$I183=0,0,CHOOSE(MATCH(RegimeExecucao,{"Global","Unitário"},0),ROUND(ROUND(BM.MEDAcumulado,15-13*BM!$A$9)/100*BM!$I183,15-13*ORÇAMENTO!$AF$11),ROUND(ROUND(BM.MEDAcumulado,15-13*BM!$A$9)*ROUND(BM!$H183,15-13*ORÇAMENTO!$AF$10),15-13*ORÇAMENTO!$AF$11))),IF($A183=0,0,ROUND(SomaAgrupBM,15-13*ORÇAMENTO!$AF$11)))</f>
        <v>0</v>
      </c>
    </row>
    <row r="184" customFormat="false" ht="35.05" hidden="false" customHeight="false" outlineLevel="0" collapsed="false">
      <c r="A184" s="1" t="str">
        <f aca="false">ORÇAMENTO!C184</f>
        <v>S</v>
      </c>
      <c r="B184" s="1" t="n">
        <f aca="false">ORÇAMENTO!D184</f>
        <v>0</v>
      </c>
      <c r="C184" s="199" t="str">
        <f aca="false">IF(OR($I184&gt;0,$A184=1,$A184=2,$A184=3,$A184=4),"F","")</f>
        <v>F</v>
      </c>
      <c r="D184" s="202" t="str">
        <f aca="false">ORÇAMENTO!O184</f>
        <v>1.45.12.</v>
      </c>
      <c r="E184" s="341" t="str">
        <f aca="false">ORÇAMENTO.Descricao</f>
        <v>TUBO PVC, SERIE NORMAL, ESGOTO PREDIAL, DN 100 MM, FORNECIDO E INSTALADO EM RAMAL DE DESCARGA OU RAMAL DE ESGOTO SANITÁRIO. AF_08/2022</v>
      </c>
      <c r="F184" s="342" t="str">
        <f aca="true">IF(RegimeExecucao="Global","",ORÇAMENTO.Unidade)</f>
        <v/>
      </c>
      <c r="G184" s="207" t="str">
        <f aca="true">IF(RegimeExecucao="Global","",ORÇAMENTO!T184)</f>
        <v/>
      </c>
      <c r="H184" s="207" t="str">
        <f aca="true">IF(RegimeExecucao="Global","",ORÇAMENTO!W184)</f>
        <v/>
      </c>
      <c r="I184" s="210" t="n">
        <f aca="false">ORÇAMENTO!X184</f>
        <v>19873.75</v>
      </c>
      <c r="J184" s="633" t="e">
        <f aca="false" t="array" ref="J184:J184">_xlfn.single(IF($A184="S",IF(CAIXA.Modo,BM.AFAnterior,BM.MEDAnterior),IF(AND(_xlfn.single(RegimeExecucao)="Global",$I184&gt;0,COUNTIF($AB$13:$AM$13,BM.medicao-1)&gt;0),M184/$I184*100,0)))</f>
        <v>#NAME?</v>
      </c>
      <c r="K184" s="207" t="e">
        <f aca="false">L184-J184</f>
        <v>#NAME?</v>
      </c>
      <c r="L184" s="634" t="e">
        <f aca="false" t="array" ref="L184:L184">_xlfn.single(IF($A184="S",IF(CAIXA.Modo,BM.AFAcumulado,BM.MEDAcumulado),IF(AND(_xlfn.single(RegimeExecucao)="Global",$I184&gt;0,COUNTIF($AB$13:$AM$13,BM.medicao)&gt;0),O184/$I184*100,0)))</f>
        <v>#NAME?</v>
      </c>
      <c r="M184" s="635" t="n">
        <f aca="true">IF($A184="S",VTOTALBM,IF($A184=0,0,ROUND(SomaAgrupBM,15-13*ORÇAMENTO!$AF$11)))</f>
        <v>0</v>
      </c>
      <c r="N184" s="219" t="n">
        <f aca="false">O184-M184</f>
        <v>0</v>
      </c>
      <c r="O184" s="210" t="n">
        <f aca="true">IF($A184="S",VTOTALBM,IF($A184=0,0,ROUND(SomaAgrupBM,15-13*ORÇAMENTO!$AF$11)))</f>
        <v>0</v>
      </c>
      <c r="Q184" s="636"/>
      <c r="R184" s="637"/>
      <c r="T184" s="202" t="str">
        <f aca="false">IF($W184&gt;0,$D184,"")</f>
        <v/>
      </c>
      <c r="U184" s="341" t="str">
        <f aca="false">IF($W184&gt;0,$E184,"")</f>
        <v/>
      </c>
      <c r="V184" s="342" t="str">
        <f aca="true">IF(AND($W184&gt;0,RegimeExecucao="Unitário"),$F184,"")</f>
        <v/>
      </c>
      <c r="W184" s="638" t="n">
        <f aca="true">IF($Y184&gt;0,CHOOSE(MATCH(RegimeExecucao,{"Unitário","Global"},0),IF($A184="S",$Y184/$X184,""),($Y184/$X184)*100),0)</f>
        <v>0</v>
      </c>
      <c r="X184" s="639" t="str">
        <f aca="true">IF($Y184&gt;0,CHOOSE(MATCH(RegimeExecucao,{"Unitário","Global"},0),IF($A184="S",ROUND($H184,ORÇAMENTO!$AF$10),""),ROUND($I184,ORÇAMENTO!$AF$11)),"")</f>
        <v/>
      </c>
      <c r="Y184" s="639" t="n">
        <f aca="false">AO184-O184</f>
        <v>0</v>
      </c>
      <c r="Z184" s="640"/>
      <c r="AB184" s="636"/>
      <c r="AC184" s="641"/>
      <c r="AD184" s="641"/>
      <c r="AE184" s="641"/>
      <c r="AF184" s="641"/>
      <c r="AG184" s="641"/>
      <c r="AH184" s="641"/>
      <c r="AI184" s="641"/>
      <c r="AJ184" s="641"/>
      <c r="AK184" s="641"/>
      <c r="AL184" s="641"/>
      <c r="AM184" s="637"/>
      <c r="AO184" s="38" t="n">
        <f aca="true">IF($A184="S",IF(BM!$I184=0,0,CHOOSE(MATCH(RegimeExecucao,{"Global","Unitário"},0),ROUND(ROUND(BM.MEDAcumulado,15-13*BM!$A$9)/100*BM!$I184,15-13*ORÇAMENTO!$AF$11),ROUND(ROUND(BM.MEDAcumulado,15-13*BM!$A$9)*ROUND(BM!$H184,15-13*ORÇAMENTO!$AF$10),15-13*ORÇAMENTO!$AF$11))),IF($A184=0,0,ROUND(SomaAgrupBM,15-13*ORÇAMENTO!$AF$11)))</f>
        <v>0</v>
      </c>
    </row>
    <row r="185" customFormat="false" ht="12.75" hidden="false" customHeight="false" outlineLevel="0" collapsed="false">
      <c r="A185" s="1" t="n">
        <f aca="false">ORÇAMENTO!C185</f>
        <v>2</v>
      </c>
      <c r="B185" s="1" t="n">
        <f aca="false">ORÇAMENTO!D185</f>
        <v>4</v>
      </c>
      <c r="C185" s="199" t="str">
        <f aca="false">IF(OR($I185&gt;0,$A185=1,$A185=2,$A185=3,$A185=4),"F","")</f>
        <v>F</v>
      </c>
      <c r="D185" s="202" t="str">
        <f aca="false">ORÇAMENTO!O185</f>
        <v>1.46.</v>
      </c>
      <c r="E185" s="341" t="str">
        <f aca="false">ORÇAMENTO.Descricao</f>
        <v>ACESSÓRIOS/CAIXAS</v>
      </c>
      <c r="F185" s="342" t="str">
        <f aca="true">IF(RegimeExecucao="Global","",ORÇAMENTO.Unidade)</f>
        <v/>
      </c>
      <c r="G185" s="207" t="str">
        <f aca="true">IF(RegimeExecucao="Global","",ORÇAMENTO!T185)</f>
        <v/>
      </c>
      <c r="H185" s="207" t="str">
        <f aca="true">IF(RegimeExecucao="Global","",ORÇAMENTO!W185)</f>
        <v/>
      </c>
      <c r="I185" s="210" t="n">
        <f aca="false">ORÇAMENTO!X185</f>
        <v>13832.5</v>
      </c>
      <c r="J185" s="633" t="e">
        <f aca="false" t="array" ref="J185:J185">_xlfn.single(IF($A185="S",IF(CAIXA.Modo,BM.AFAnterior,BM.MEDAnterior),IF(AND(_xlfn.single(RegimeExecucao)="Global",$I185&gt;0,COUNTIF($AB$13:$AM$13,BM.medicao-1)&gt;0),M185/$I185*100,0)))</f>
        <v>#NAME?</v>
      </c>
      <c r="K185" s="207" t="e">
        <f aca="false">L185-J185</f>
        <v>#NAME?</v>
      </c>
      <c r="L185" s="634" t="e">
        <f aca="false" t="array" ref="L185:L185">_xlfn.single(IF($A185="S",IF(CAIXA.Modo,BM.AFAcumulado,BM.MEDAcumulado),IF(AND(_xlfn.single(RegimeExecucao)="Global",$I185&gt;0,COUNTIF($AB$13:$AM$13,BM.medicao)&gt;0),O185/$I185*100,0)))</f>
        <v>#NAME?</v>
      </c>
      <c r="M185" s="635" t="n">
        <f aca="true">IF($A185="S",VTOTALBM,IF($A185=0,0,ROUND(SomaAgrupBM,15-13*ORÇAMENTO!$AF$11)))</f>
        <v>0</v>
      </c>
      <c r="N185" s="219" t="n">
        <f aca="false">O185-M185</f>
        <v>0</v>
      </c>
      <c r="O185" s="210" t="n">
        <f aca="true">IF($A185="S",VTOTALBM,IF($A185=0,0,ROUND(SomaAgrupBM,15-13*ORÇAMENTO!$AF$11)))</f>
        <v>0</v>
      </c>
      <c r="Q185" s="636"/>
      <c r="R185" s="637"/>
      <c r="T185" s="202" t="str">
        <f aca="false">IF($W185&gt;0,$D185,"")</f>
        <v/>
      </c>
      <c r="U185" s="341" t="str">
        <f aca="false">IF($W185&gt;0,$E185,"")</f>
        <v/>
      </c>
      <c r="V185" s="342" t="str">
        <f aca="true">IF(AND($W185&gt;0,RegimeExecucao="Unitário"),$F185,"")</f>
        <v/>
      </c>
      <c r="W185" s="638" t="n">
        <f aca="true">IF($Y185&gt;0,CHOOSE(MATCH(RegimeExecucao,{"Unitário","Global"},0),IF($A185="S",$Y185/$X185,""),($Y185/$X185)*100),0)</f>
        <v>0</v>
      </c>
      <c r="X185" s="639" t="str">
        <f aca="true">IF($Y185&gt;0,CHOOSE(MATCH(RegimeExecucao,{"Unitário","Global"},0),IF($A185="S",ROUND($H185,ORÇAMENTO!$AF$10),""),ROUND($I185,ORÇAMENTO!$AF$11)),"")</f>
        <v/>
      </c>
      <c r="Y185" s="639" t="n">
        <f aca="false">AO185-O185</f>
        <v>0</v>
      </c>
      <c r="Z185" s="640"/>
      <c r="AB185" s="636"/>
      <c r="AC185" s="641"/>
      <c r="AD185" s="641"/>
      <c r="AE185" s="641"/>
      <c r="AF185" s="641"/>
      <c r="AG185" s="641"/>
      <c r="AH185" s="641"/>
      <c r="AI185" s="641"/>
      <c r="AJ185" s="641"/>
      <c r="AK185" s="641"/>
      <c r="AL185" s="641"/>
      <c r="AM185" s="637"/>
      <c r="AO185" s="38" t="n">
        <f aca="true">IF($A185="S",IF(BM!$I185=0,0,CHOOSE(MATCH(RegimeExecucao,{"Global","Unitário"},0),ROUND(ROUND(BM.MEDAcumulado,15-13*BM!$A$9)/100*BM!$I185,15-13*ORÇAMENTO!$AF$11),ROUND(ROUND(BM.MEDAcumulado,15-13*BM!$A$9)*ROUND(BM!$H185,15-13*ORÇAMENTO!$AF$10),15-13*ORÇAMENTO!$AF$11))),IF($A185=0,0,ROUND(SomaAgrupBM,15-13*ORÇAMENTO!$AF$11)))</f>
        <v>0</v>
      </c>
    </row>
    <row r="186" customFormat="false" ht="35.05" hidden="false" customHeight="false" outlineLevel="0" collapsed="false">
      <c r="A186" s="1" t="str">
        <f aca="false">ORÇAMENTO!C186</f>
        <v>S</v>
      </c>
      <c r="B186" s="1" t="n">
        <f aca="false">ORÇAMENTO!D186</f>
        <v>0</v>
      </c>
      <c r="C186" s="199" t="str">
        <f aca="false">IF(OR($I186&gt;0,$A186=1,$A186=2,$A186=3,$A186=4),"F","")</f>
        <v>F</v>
      </c>
      <c r="D186" s="202" t="str">
        <f aca="false">ORÇAMENTO!O186</f>
        <v>1.46.1.</v>
      </c>
      <c r="E186" s="341" t="str">
        <f aca="false">ORÇAMENTO.Descricao</f>
        <v>CAIXA SIFONADA, PVC, DN 100 X 100 X 50 MM, JUNTA ELÁSTICA, FORNECIDA E INSTALADA EM RAMAL DE DESCARGA OU EM RAMAL DE ESGOTO SANITÁRIO. AF_08/2022</v>
      </c>
      <c r="F186" s="342" t="str">
        <f aca="true">IF(RegimeExecucao="Global","",ORÇAMENTO.Unidade)</f>
        <v/>
      </c>
      <c r="G186" s="207" t="str">
        <f aca="true">IF(RegimeExecucao="Global","",ORÇAMENTO!T186)</f>
        <v/>
      </c>
      <c r="H186" s="207" t="str">
        <f aca="true">IF(RegimeExecucao="Global","",ORÇAMENTO!W186)</f>
        <v/>
      </c>
      <c r="I186" s="210" t="n">
        <f aca="false">ORÇAMENTO!X186</f>
        <v>1500.5</v>
      </c>
      <c r="J186" s="633" t="e">
        <f aca="false" t="array" ref="J186:J186">_xlfn.single(IF($A186="S",IF(CAIXA.Modo,BM.AFAnterior,BM.MEDAnterior),IF(AND(_xlfn.single(RegimeExecucao)="Global",$I186&gt;0,COUNTIF($AB$13:$AM$13,BM.medicao-1)&gt;0),M186/$I186*100,0)))</f>
        <v>#NAME?</v>
      </c>
      <c r="K186" s="207" t="e">
        <f aca="false">L186-J186</f>
        <v>#NAME?</v>
      </c>
      <c r="L186" s="634" t="e">
        <f aca="false" t="array" ref="L186:L186">_xlfn.single(IF($A186="S",IF(CAIXA.Modo,BM.AFAcumulado,BM.MEDAcumulado),IF(AND(_xlfn.single(RegimeExecucao)="Global",$I186&gt;0,COUNTIF($AB$13:$AM$13,BM.medicao)&gt;0),O186/$I186*100,0)))</f>
        <v>#NAME?</v>
      </c>
      <c r="M186" s="635" t="n">
        <f aca="true">IF($A186="S",VTOTALBM,IF($A186=0,0,ROUND(SomaAgrupBM,15-13*ORÇAMENTO!$AF$11)))</f>
        <v>0</v>
      </c>
      <c r="N186" s="219" t="n">
        <f aca="false">O186-M186</f>
        <v>0</v>
      </c>
      <c r="O186" s="210" t="n">
        <f aca="true">IF($A186="S",VTOTALBM,IF($A186=0,0,ROUND(SomaAgrupBM,15-13*ORÇAMENTO!$AF$11)))</f>
        <v>0</v>
      </c>
      <c r="Q186" s="636"/>
      <c r="R186" s="637"/>
      <c r="T186" s="202" t="str">
        <f aca="false">IF($W186&gt;0,$D186,"")</f>
        <v/>
      </c>
      <c r="U186" s="341" t="str">
        <f aca="false">IF($W186&gt;0,$E186,"")</f>
        <v/>
      </c>
      <c r="V186" s="342" t="str">
        <f aca="true">IF(AND($W186&gt;0,RegimeExecucao="Unitário"),$F186,"")</f>
        <v/>
      </c>
      <c r="W186" s="638" t="n">
        <f aca="true">IF($Y186&gt;0,CHOOSE(MATCH(RegimeExecucao,{"Unitário","Global"},0),IF($A186="S",$Y186/$X186,""),($Y186/$X186)*100),0)</f>
        <v>0</v>
      </c>
      <c r="X186" s="639" t="str">
        <f aca="true">IF($Y186&gt;0,CHOOSE(MATCH(RegimeExecucao,{"Unitário","Global"},0),IF($A186="S",ROUND($H186,ORÇAMENTO!$AF$10),""),ROUND($I186,ORÇAMENTO!$AF$11)),"")</f>
        <v/>
      </c>
      <c r="Y186" s="639" t="n">
        <f aca="false">AO186-O186</f>
        <v>0</v>
      </c>
      <c r="Z186" s="640"/>
      <c r="AB186" s="636"/>
      <c r="AC186" s="641"/>
      <c r="AD186" s="641"/>
      <c r="AE186" s="641"/>
      <c r="AF186" s="641"/>
      <c r="AG186" s="641"/>
      <c r="AH186" s="641"/>
      <c r="AI186" s="641"/>
      <c r="AJ186" s="641"/>
      <c r="AK186" s="641"/>
      <c r="AL186" s="641"/>
      <c r="AM186" s="637"/>
      <c r="AO186" s="38" t="n">
        <f aca="true">IF($A186="S",IF(BM!$I186=0,0,CHOOSE(MATCH(RegimeExecucao,{"Global","Unitário"},0),ROUND(ROUND(BM.MEDAcumulado,15-13*BM!$A$9)/100*BM!$I186,15-13*ORÇAMENTO!$AF$11),ROUND(ROUND(BM.MEDAcumulado,15-13*BM!$A$9)*ROUND(BM!$H186,15-13*ORÇAMENTO!$AF$10),15-13*ORÇAMENTO!$AF$11))),IF($A186=0,0,ROUND(SomaAgrupBM,15-13*ORÇAMENTO!$AF$11)))</f>
        <v>0</v>
      </c>
    </row>
    <row r="187" customFormat="false" ht="35.05" hidden="false" customHeight="false" outlineLevel="0" collapsed="false">
      <c r="A187" s="1" t="str">
        <f aca="false">ORÇAMENTO!C187</f>
        <v>S</v>
      </c>
      <c r="B187" s="1" t="n">
        <f aca="false">ORÇAMENTO!D187</f>
        <v>0</v>
      </c>
      <c r="C187" s="199" t="str">
        <f aca="false">IF(OR($I187&gt;0,$A187=1,$A187=2,$A187=3,$A187=4),"F","")</f>
        <v>F</v>
      </c>
      <c r="D187" s="202" t="str">
        <f aca="false">ORÇAMENTO!O187</f>
        <v>1.46.2.</v>
      </c>
      <c r="E187" s="341" t="str">
        <f aca="false">ORÇAMENTO.Descricao</f>
        <v>RALO SIFONADO REDONDO, PVC, DN 100 X 40 MM, JUNTA SOLDÁVEL, FORNECIDO E INSTALADO EM RAMAL DE DESCARGA OU EM RAMAL DE ESGOTO SANITÁRIO. AF_08/2022</v>
      </c>
      <c r="F187" s="342" t="str">
        <f aca="true">IF(RegimeExecucao="Global","",ORÇAMENTO.Unidade)</f>
        <v/>
      </c>
      <c r="G187" s="207" t="str">
        <f aca="true">IF(RegimeExecucao="Global","",ORÇAMENTO!T187)</f>
        <v/>
      </c>
      <c r="H187" s="207" t="str">
        <f aca="true">IF(RegimeExecucao="Global","",ORÇAMENTO!W187)</f>
        <v/>
      </c>
      <c r="I187" s="210" t="n">
        <f aca="false">ORÇAMENTO!X187</f>
        <v>588.5</v>
      </c>
      <c r="J187" s="633" t="e">
        <f aca="false" t="array" ref="J187:J187">_xlfn.single(IF($A187="S",IF(CAIXA.Modo,BM.AFAnterior,BM.MEDAnterior),IF(AND(_xlfn.single(RegimeExecucao)="Global",$I187&gt;0,COUNTIF($AB$13:$AM$13,BM.medicao-1)&gt;0),M187/$I187*100,0)))</f>
        <v>#NAME?</v>
      </c>
      <c r="K187" s="207" t="e">
        <f aca="false">L187-J187</f>
        <v>#NAME?</v>
      </c>
      <c r="L187" s="634" t="e">
        <f aca="false" t="array" ref="L187:L187">_xlfn.single(IF($A187="S",IF(CAIXA.Modo,BM.AFAcumulado,BM.MEDAcumulado),IF(AND(_xlfn.single(RegimeExecucao)="Global",$I187&gt;0,COUNTIF($AB$13:$AM$13,BM.medicao)&gt;0),O187/$I187*100,0)))</f>
        <v>#NAME?</v>
      </c>
      <c r="M187" s="635" t="n">
        <f aca="true">IF($A187="S",VTOTALBM,IF($A187=0,0,ROUND(SomaAgrupBM,15-13*ORÇAMENTO!$AF$11)))</f>
        <v>0</v>
      </c>
      <c r="N187" s="219" t="n">
        <f aca="false">O187-M187</f>
        <v>0</v>
      </c>
      <c r="O187" s="210" t="n">
        <f aca="true">IF($A187="S",VTOTALBM,IF($A187=0,0,ROUND(SomaAgrupBM,15-13*ORÇAMENTO!$AF$11)))</f>
        <v>0</v>
      </c>
      <c r="Q187" s="636"/>
      <c r="R187" s="637"/>
      <c r="T187" s="202" t="str">
        <f aca="false">IF($W187&gt;0,$D187,"")</f>
        <v/>
      </c>
      <c r="U187" s="341" t="str">
        <f aca="false">IF($W187&gt;0,$E187,"")</f>
        <v/>
      </c>
      <c r="V187" s="342" t="str">
        <f aca="true">IF(AND($W187&gt;0,RegimeExecucao="Unitário"),$F187,"")</f>
        <v/>
      </c>
      <c r="W187" s="638" t="n">
        <f aca="true">IF($Y187&gt;0,CHOOSE(MATCH(RegimeExecucao,{"Unitário","Global"},0),IF($A187="S",$Y187/$X187,""),($Y187/$X187)*100),0)</f>
        <v>0</v>
      </c>
      <c r="X187" s="639" t="str">
        <f aca="true">IF($Y187&gt;0,CHOOSE(MATCH(RegimeExecucao,{"Unitário","Global"},0),IF($A187="S",ROUND($H187,ORÇAMENTO!$AF$10),""),ROUND($I187,ORÇAMENTO!$AF$11)),"")</f>
        <v/>
      </c>
      <c r="Y187" s="639" t="n">
        <f aca="false">AO187-O187</f>
        <v>0</v>
      </c>
      <c r="Z187" s="640"/>
      <c r="AB187" s="636"/>
      <c r="AC187" s="641"/>
      <c r="AD187" s="641"/>
      <c r="AE187" s="641"/>
      <c r="AF187" s="641"/>
      <c r="AG187" s="641"/>
      <c r="AH187" s="641"/>
      <c r="AI187" s="641"/>
      <c r="AJ187" s="641"/>
      <c r="AK187" s="641"/>
      <c r="AL187" s="641"/>
      <c r="AM187" s="637"/>
      <c r="AO187" s="38" t="n">
        <f aca="true">IF($A187="S",IF(BM!$I187=0,0,CHOOSE(MATCH(RegimeExecucao,{"Global","Unitário"},0),ROUND(ROUND(BM.MEDAcumulado,15-13*BM!$A$9)/100*BM!$I187,15-13*ORÇAMENTO!$AF$11),ROUND(ROUND(BM.MEDAcumulado,15-13*BM!$A$9)*ROUND(BM!$H187,15-13*ORÇAMENTO!$AF$10),15-13*ORÇAMENTO!$AF$11))),IF($A187=0,0,ROUND(SomaAgrupBM,15-13*ORÇAMENTO!$AF$11)))</f>
        <v>0</v>
      </c>
    </row>
    <row r="188" customFormat="false" ht="35.05" hidden="false" customHeight="false" outlineLevel="0" collapsed="false">
      <c r="A188" s="1" t="str">
        <f aca="false">ORÇAMENTO!C188</f>
        <v>S</v>
      </c>
      <c r="B188" s="1" t="n">
        <f aca="false">ORÇAMENTO!D188</f>
        <v>0</v>
      </c>
      <c r="C188" s="199" t="str">
        <f aca="false">IF(OR($I188&gt;0,$A188=1,$A188=2,$A188=3,$A188=4),"F","")</f>
        <v>F</v>
      </c>
      <c r="D188" s="202" t="str">
        <f aca="false">ORÇAMENTO!O188</f>
        <v>1.46.3.</v>
      </c>
      <c r="E188" s="341" t="str">
        <f aca="false">ORÇAMENTO.Descricao</f>
        <v>CAIXA DE GORDURA SIMPLES (CAPACIDADE: 36L), RETANGULAR, EM ALVENARIA COM TIJOLOS CERÂMICOS MACIÇOS, DIMENSÕES INTERNAS = 0,2X0,4 M, ALTURA INTERNA = 0,8 M. AF_12/2020</v>
      </c>
      <c r="F188" s="342" t="str">
        <f aca="true">IF(RegimeExecucao="Global","",ORÇAMENTO.Unidade)</f>
        <v/>
      </c>
      <c r="G188" s="207" t="str">
        <f aca="true">IF(RegimeExecucao="Global","",ORÇAMENTO!T188)</f>
        <v/>
      </c>
      <c r="H188" s="207" t="str">
        <f aca="true">IF(RegimeExecucao="Global","",ORÇAMENTO!W188)</f>
        <v/>
      </c>
      <c r="I188" s="210" t="n">
        <f aca="false">ORÇAMENTO!X188</f>
        <v>11743.5</v>
      </c>
      <c r="J188" s="633" t="e">
        <f aca="false" t="array" ref="J188:J188">_xlfn.single(IF($A188="S",IF(CAIXA.Modo,BM.AFAnterior,BM.MEDAnterior),IF(AND(_xlfn.single(RegimeExecucao)="Global",$I188&gt;0,COUNTIF($AB$13:$AM$13,BM.medicao-1)&gt;0),M188/$I188*100,0)))</f>
        <v>#NAME?</v>
      </c>
      <c r="K188" s="207" t="e">
        <f aca="false">L188-J188</f>
        <v>#NAME?</v>
      </c>
      <c r="L188" s="634" t="e">
        <f aca="false" t="array" ref="L188:L188">_xlfn.single(IF($A188="S",IF(CAIXA.Modo,BM.AFAcumulado,BM.MEDAcumulado),IF(AND(_xlfn.single(RegimeExecucao)="Global",$I188&gt;0,COUNTIF($AB$13:$AM$13,BM.medicao)&gt;0),O188/$I188*100,0)))</f>
        <v>#NAME?</v>
      </c>
      <c r="M188" s="635" t="n">
        <f aca="true">IF($A188="S",VTOTALBM,IF($A188=0,0,ROUND(SomaAgrupBM,15-13*ORÇAMENTO!$AF$11)))</f>
        <v>0</v>
      </c>
      <c r="N188" s="219" t="n">
        <f aca="false">O188-M188</f>
        <v>0</v>
      </c>
      <c r="O188" s="210" t="n">
        <f aca="true">IF($A188="S",VTOTALBM,IF($A188=0,0,ROUND(SomaAgrupBM,15-13*ORÇAMENTO!$AF$11)))</f>
        <v>0</v>
      </c>
      <c r="Q188" s="636"/>
      <c r="R188" s="637"/>
      <c r="T188" s="202" t="str">
        <f aca="false">IF($W188&gt;0,$D188,"")</f>
        <v/>
      </c>
      <c r="U188" s="341" t="str">
        <f aca="false">IF($W188&gt;0,$E188,"")</f>
        <v/>
      </c>
      <c r="V188" s="342" t="str">
        <f aca="true">IF(AND($W188&gt;0,RegimeExecucao="Unitário"),$F188,"")</f>
        <v/>
      </c>
      <c r="W188" s="638" t="n">
        <f aca="true">IF($Y188&gt;0,CHOOSE(MATCH(RegimeExecucao,{"Unitário","Global"},0),IF($A188="S",$Y188/$X188,""),($Y188/$X188)*100),0)</f>
        <v>0</v>
      </c>
      <c r="X188" s="639" t="str">
        <f aca="true">IF($Y188&gt;0,CHOOSE(MATCH(RegimeExecucao,{"Unitário","Global"},0),IF($A188="S",ROUND($H188,ORÇAMENTO!$AF$10),""),ROUND($I188,ORÇAMENTO!$AF$11)),"")</f>
        <v/>
      </c>
      <c r="Y188" s="639" t="n">
        <f aca="false">AO188-O188</f>
        <v>0</v>
      </c>
      <c r="Z188" s="640"/>
      <c r="AB188" s="636"/>
      <c r="AC188" s="641"/>
      <c r="AD188" s="641"/>
      <c r="AE188" s="641"/>
      <c r="AF188" s="641"/>
      <c r="AG188" s="641"/>
      <c r="AH188" s="641"/>
      <c r="AI188" s="641"/>
      <c r="AJ188" s="641"/>
      <c r="AK188" s="641"/>
      <c r="AL188" s="641"/>
      <c r="AM188" s="637"/>
      <c r="AO188" s="38" t="n">
        <f aca="true">IF($A188="S",IF(BM!$I188=0,0,CHOOSE(MATCH(RegimeExecucao,{"Global","Unitário"},0),ROUND(ROUND(BM.MEDAcumulado,15-13*BM!$A$9)/100*BM!$I188,15-13*ORÇAMENTO!$AF$11),ROUND(ROUND(BM.MEDAcumulado,15-13*BM!$A$9)*ROUND(BM!$H188,15-13*ORÇAMENTO!$AF$10),15-13*ORÇAMENTO!$AF$11))),IF($A188=0,0,ROUND(SomaAgrupBM,15-13*ORÇAMENTO!$AF$11)))</f>
        <v>0</v>
      </c>
    </row>
    <row r="189" customFormat="false" ht="12.75" hidden="false" customHeight="false" outlineLevel="0" collapsed="false">
      <c r="A189" s="1" t="n">
        <f aca="false">ORÇAMENTO!C189</f>
        <v>2</v>
      </c>
      <c r="B189" s="1" t="n">
        <f aca="false">ORÇAMENTO!D189</f>
        <v>7</v>
      </c>
      <c r="C189" s="199" t="str">
        <f aca="false">IF(OR($I189&gt;0,$A189=1,$A189=2,$A189=3,$A189=4),"F","")</f>
        <v>F</v>
      </c>
      <c r="D189" s="202" t="str">
        <f aca="false">ORÇAMENTO!O189</f>
        <v>1.47.</v>
      </c>
      <c r="E189" s="341" t="str">
        <f aca="false">ORÇAMENTO.Descricao</f>
        <v>APARELHOS, METAIS E BANCADAS</v>
      </c>
      <c r="F189" s="342" t="str">
        <f aca="true">IF(RegimeExecucao="Global","",ORÇAMENTO.Unidade)</f>
        <v/>
      </c>
      <c r="G189" s="207" t="str">
        <f aca="true">IF(RegimeExecucao="Global","",ORÇAMENTO!T189)</f>
        <v/>
      </c>
      <c r="H189" s="207" t="str">
        <f aca="true">IF(RegimeExecucao="Global","",ORÇAMENTO!W189)</f>
        <v/>
      </c>
      <c r="I189" s="210" t="n">
        <f aca="false">ORÇAMENTO!X189</f>
        <v>70970.5</v>
      </c>
      <c r="J189" s="633" t="e">
        <f aca="false" t="array" ref="J189:J189">_xlfn.single(IF($A189="S",IF(CAIXA.Modo,BM.AFAnterior,BM.MEDAnterior),IF(AND(_xlfn.single(RegimeExecucao)="Global",$I189&gt;0,COUNTIF($AB$13:$AM$13,BM.medicao-1)&gt;0),M189/$I189*100,0)))</f>
        <v>#NAME?</v>
      </c>
      <c r="K189" s="207" t="e">
        <f aca="false">L189-J189</f>
        <v>#NAME?</v>
      </c>
      <c r="L189" s="634" t="e">
        <f aca="false" t="array" ref="L189:L189">_xlfn.single(IF($A189="S",IF(CAIXA.Modo,BM.AFAcumulado,BM.MEDAcumulado),IF(AND(_xlfn.single(RegimeExecucao)="Global",$I189&gt;0,COUNTIF($AB$13:$AM$13,BM.medicao)&gt;0),O189/$I189*100,0)))</f>
        <v>#NAME?</v>
      </c>
      <c r="M189" s="635" t="n">
        <f aca="true">IF($A189="S",VTOTALBM,IF($A189=0,0,ROUND(SomaAgrupBM,15-13*ORÇAMENTO!$AF$11)))</f>
        <v>0</v>
      </c>
      <c r="N189" s="219" t="n">
        <f aca="false">O189-M189</f>
        <v>0</v>
      </c>
      <c r="O189" s="210" t="n">
        <f aca="true">IF($A189="S",VTOTALBM,IF($A189=0,0,ROUND(SomaAgrupBM,15-13*ORÇAMENTO!$AF$11)))</f>
        <v>0</v>
      </c>
      <c r="Q189" s="636"/>
      <c r="R189" s="637"/>
      <c r="T189" s="202" t="str">
        <f aca="false">IF($W189&gt;0,$D189,"")</f>
        <v/>
      </c>
      <c r="U189" s="341" t="str">
        <f aca="false">IF($W189&gt;0,$E189,"")</f>
        <v/>
      </c>
      <c r="V189" s="342" t="str">
        <f aca="true">IF(AND($W189&gt;0,RegimeExecucao="Unitário"),$F189,"")</f>
        <v/>
      </c>
      <c r="W189" s="638" t="n">
        <f aca="true">IF($Y189&gt;0,CHOOSE(MATCH(RegimeExecucao,{"Unitário","Global"},0),IF($A189="S",$Y189/$X189,""),($Y189/$X189)*100),0)</f>
        <v>0</v>
      </c>
      <c r="X189" s="639" t="str">
        <f aca="true">IF($Y189&gt;0,CHOOSE(MATCH(RegimeExecucao,{"Unitário","Global"},0),IF($A189="S",ROUND($H189,ORÇAMENTO!$AF$10),""),ROUND($I189,ORÇAMENTO!$AF$11)),"")</f>
        <v/>
      </c>
      <c r="Y189" s="639" t="n">
        <f aca="false">AO189-O189</f>
        <v>0</v>
      </c>
      <c r="Z189" s="640"/>
      <c r="AB189" s="636"/>
      <c r="AC189" s="641"/>
      <c r="AD189" s="641"/>
      <c r="AE189" s="641"/>
      <c r="AF189" s="641"/>
      <c r="AG189" s="641"/>
      <c r="AH189" s="641"/>
      <c r="AI189" s="641"/>
      <c r="AJ189" s="641"/>
      <c r="AK189" s="641"/>
      <c r="AL189" s="641"/>
      <c r="AM189" s="637"/>
      <c r="AO189" s="38" t="n">
        <f aca="true">IF($A189="S",IF(BM!$I189=0,0,CHOOSE(MATCH(RegimeExecucao,{"Global","Unitário"},0),ROUND(ROUND(BM.MEDAcumulado,15-13*BM!$A$9)/100*BM!$I189,15-13*ORÇAMENTO!$AF$11),ROUND(ROUND(BM.MEDAcumulado,15-13*BM!$A$9)*ROUND(BM!$H189,15-13*ORÇAMENTO!$AF$10),15-13*ORÇAMENTO!$AF$11))),IF($A189=0,0,ROUND(SomaAgrupBM,15-13*ORÇAMENTO!$AF$11)))</f>
        <v>0</v>
      </c>
    </row>
    <row r="190" customFormat="false" ht="35.05" hidden="false" customHeight="false" outlineLevel="0" collapsed="false">
      <c r="A190" s="1" t="str">
        <f aca="false">ORÇAMENTO!C190</f>
        <v>S</v>
      </c>
      <c r="B190" s="1" t="n">
        <f aca="false">ORÇAMENTO!D190</f>
        <v>0</v>
      </c>
      <c r="C190" s="199" t="str">
        <f aca="false">IF(OR($I190&gt;0,$A190=1,$A190=2,$A190=3,$A190=4),"F","")</f>
        <v>F</v>
      </c>
      <c r="D190" s="202" t="str">
        <f aca="false">ORÇAMENTO!O190</f>
        <v>1.47.1.</v>
      </c>
      <c r="E190" s="341" t="str">
        <f aca="false">ORÇAMENTO.Descricao</f>
        <v>VASO SANITÁRIO SIFONADO COM CAIXA ACOPLADA LOUÇA BRANCA, INCLUSO ENGATE FLEXÍVEL EM PLÁSTICO BRANCO, 1/2 X 40CM - FORNECIMENTO E INSTALAÇÃO. AF_01/2020</v>
      </c>
      <c r="F190" s="342" t="str">
        <f aca="true">IF(RegimeExecucao="Global","",ORÇAMENTO.Unidade)</f>
        <v/>
      </c>
      <c r="G190" s="207" t="str">
        <f aca="true">IF(RegimeExecucao="Global","",ORÇAMENTO!T190)</f>
        <v/>
      </c>
      <c r="H190" s="207" t="str">
        <f aca="true">IF(RegimeExecucao="Global","",ORÇAMENTO!W190)</f>
        <v/>
      </c>
      <c r="I190" s="210" t="n">
        <f aca="false">ORÇAMENTO!X190</f>
        <v>18197.75</v>
      </c>
      <c r="J190" s="633" t="e">
        <f aca="false" t="array" ref="J190:J190">_xlfn.single(IF($A190="S",IF(CAIXA.Modo,BM.AFAnterior,BM.MEDAnterior),IF(AND(_xlfn.single(RegimeExecucao)="Global",$I190&gt;0,COUNTIF($AB$13:$AM$13,BM.medicao-1)&gt;0),M190/$I190*100,0)))</f>
        <v>#NAME?</v>
      </c>
      <c r="K190" s="207" t="e">
        <f aca="false">L190-J190</f>
        <v>#NAME?</v>
      </c>
      <c r="L190" s="634" t="e">
        <f aca="false" t="array" ref="L190:L190">_xlfn.single(IF($A190="S",IF(CAIXA.Modo,BM.AFAcumulado,BM.MEDAcumulado),IF(AND(_xlfn.single(RegimeExecucao)="Global",$I190&gt;0,COUNTIF($AB$13:$AM$13,BM.medicao)&gt;0),O190/$I190*100,0)))</f>
        <v>#NAME?</v>
      </c>
      <c r="M190" s="635" t="n">
        <f aca="true">IF($A190="S",VTOTALBM,IF($A190=0,0,ROUND(SomaAgrupBM,15-13*ORÇAMENTO!$AF$11)))</f>
        <v>0</v>
      </c>
      <c r="N190" s="219" t="n">
        <f aca="false">O190-M190</f>
        <v>0</v>
      </c>
      <c r="O190" s="210" t="n">
        <f aca="true">IF($A190="S",VTOTALBM,IF($A190=0,0,ROUND(SomaAgrupBM,15-13*ORÇAMENTO!$AF$11)))</f>
        <v>0</v>
      </c>
      <c r="Q190" s="636"/>
      <c r="R190" s="637"/>
      <c r="T190" s="202" t="str">
        <f aca="false">IF($W190&gt;0,$D190,"")</f>
        <v/>
      </c>
      <c r="U190" s="341" t="str">
        <f aca="false">IF($W190&gt;0,$E190,"")</f>
        <v/>
      </c>
      <c r="V190" s="342" t="str">
        <f aca="true">IF(AND($W190&gt;0,RegimeExecucao="Unitário"),$F190,"")</f>
        <v/>
      </c>
      <c r="W190" s="638" t="n">
        <f aca="true">IF($Y190&gt;0,CHOOSE(MATCH(RegimeExecucao,{"Unitário","Global"},0),IF($A190="S",$Y190/$X190,""),($Y190/$X190)*100),0)</f>
        <v>0</v>
      </c>
      <c r="X190" s="639" t="str">
        <f aca="true">IF($Y190&gt;0,CHOOSE(MATCH(RegimeExecucao,{"Unitário","Global"},0),IF($A190="S",ROUND($H190,ORÇAMENTO!$AF$10),""),ROUND($I190,ORÇAMENTO!$AF$11)),"")</f>
        <v/>
      </c>
      <c r="Y190" s="639" t="n">
        <f aca="false">AO190-O190</f>
        <v>0</v>
      </c>
      <c r="Z190" s="640"/>
      <c r="AB190" s="636"/>
      <c r="AC190" s="641"/>
      <c r="AD190" s="641"/>
      <c r="AE190" s="641"/>
      <c r="AF190" s="641"/>
      <c r="AG190" s="641"/>
      <c r="AH190" s="641"/>
      <c r="AI190" s="641"/>
      <c r="AJ190" s="641"/>
      <c r="AK190" s="641"/>
      <c r="AL190" s="641"/>
      <c r="AM190" s="637"/>
      <c r="AO190" s="38" t="n">
        <f aca="true">IF($A190="S",IF(BM!$I190=0,0,CHOOSE(MATCH(RegimeExecucao,{"Global","Unitário"},0),ROUND(ROUND(BM.MEDAcumulado,15-13*BM!$A$9)/100*BM!$I190,15-13*ORÇAMENTO!$AF$11),ROUND(ROUND(BM.MEDAcumulado,15-13*BM!$A$9)*ROUND(BM!$H190,15-13*ORÇAMENTO!$AF$10),15-13*ORÇAMENTO!$AF$11))),IF($A190=0,0,ROUND(SomaAgrupBM,15-13*ORÇAMENTO!$AF$11)))</f>
        <v>0</v>
      </c>
    </row>
    <row r="191" customFormat="false" ht="46.25" hidden="false" customHeight="false" outlineLevel="0" collapsed="false">
      <c r="A191" s="1" t="str">
        <f aca="false">ORÇAMENTO!C191</f>
        <v>S</v>
      </c>
      <c r="B191" s="1" t="n">
        <f aca="false">ORÇAMENTO!D191</f>
        <v>0</v>
      </c>
      <c r="C191" s="199" t="str">
        <f aca="false">IF(OR($I191&gt;0,$A191=1,$A191=2,$A191=3,$A191=4),"F","")</f>
        <v>F</v>
      </c>
      <c r="D191" s="202" t="str">
        <f aca="false">ORÇAMENTO!O191</f>
        <v>1.47.2.</v>
      </c>
      <c r="E191" s="341" t="str">
        <f aca="false">ORÇAMENTO.Descricao</f>
        <v>LAVATÓRIO LOUÇA BRANCA SUSPENSO, 29,5 X 39CM OU EQUIVALENTE, PADRÃO POPULAR, INCLUSO SIFÃO FLEXÍVEL EM PVC, VÁLVULA E ENGATE FLEXÍVEL 30CM EM PLÁSTICO E TORNEIRA CROMADA DE MESA, PADRÃO POPULAR - FORNECIMENTO E INSTALAÇÃO. AF_01/2020</v>
      </c>
      <c r="F191" s="342" t="str">
        <f aca="true">IF(RegimeExecucao="Global","",ORÇAMENTO.Unidade)</f>
        <v/>
      </c>
      <c r="G191" s="207" t="str">
        <f aca="true">IF(RegimeExecucao="Global","",ORÇAMENTO!T191)</f>
        <v/>
      </c>
      <c r="H191" s="207" t="str">
        <f aca="true">IF(RegimeExecucao="Global","",ORÇAMENTO!W191)</f>
        <v/>
      </c>
      <c r="I191" s="210" t="n">
        <f aca="false">ORÇAMENTO!X191</f>
        <v>8920.25</v>
      </c>
      <c r="J191" s="633" t="e">
        <f aca="false" t="array" ref="J191:J191">_xlfn.single(IF($A191="S",IF(CAIXA.Modo,BM.AFAnterior,BM.MEDAnterior),IF(AND(_xlfn.single(RegimeExecucao)="Global",$I191&gt;0,COUNTIF($AB$13:$AM$13,BM.medicao-1)&gt;0),M191/$I191*100,0)))</f>
        <v>#NAME?</v>
      </c>
      <c r="K191" s="207" t="e">
        <f aca="false">L191-J191</f>
        <v>#NAME?</v>
      </c>
      <c r="L191" s="634" t="e">
        <f aca="false" t="array" ref="L191:L191">_xlfn.single(IF($A191="S",IF(CAIXA.Modo,BM.AFAcumulado,BM.MEDAcumulado),IF(AND(_xlfn.single(RegimeExecucao)="Global",$I191&gt;0,COUNTIF($AB$13:$AM$13,BM.medicao)&gt;0),O191/$I191*100,0)))</f>
        <v>#NAME?</v>
      </c>
      <c r="M191" s="635" t="n">
        <f aca="true">IF($A191="S",VTOTALBM,IF($A191=0,0,ROUND(SomaAgrupBM,15-13*ORÇAMENTO!$AF$11)))</f>
        <v>0</v>
      </c>
      <c r="N191" s="219" t="n">
        <f aca="false">O191-M191</f>
        <v>0</v>
      </c>
      <c r="O191" s="210" t="n">
        <f aca="true">IF($A191="S",VTOTALBM,IF($A191=0,0,ROUND(SomaAgrupBM,15-13*ORÇAMENTO!$AF$11)))</f>
        <v>0</v>
      </c>
      <c r="Q191" s="636"/>
      <c r="R191" s="637"/>
      <c r="T191" s="202" t="str">
        <f aca="false">IF($W191&gt;0,$D191,"")</f>
        <v/>
      </c>
      <c r="U191" s="341" t="str">
        <f aca="false">IF($W191&gt;0,$E191,"")</f>
        <v/>
      </c>
      <c r="V191" s="342" t="str">
        <f aca="true">IF(AND($W191&gt;0,RegimeExecucao="Unitário"),$F191,"")</f>
        <v/>
      </c>
      <c r="W191" s="638" t="n">
        <f aca="true">IF($Y191&gt;0,CHOOSE(MATCH(RegimeExecucao,{"Unitário","Global"},0),IF($A191="S",$Y191/$X191,""),($Y191/$X191)*100),0)</f>
        <v>0</v>
      </c>
      <c r="X191" s="639" t="str">
        <f aca="true">IF($Y191&gt;0,CHOOSE(MATCH(RegimeExecucao,{"Unitário","Global"},0),IF($A191="S",ROUND($H191,ORÇAMENTO!$AF$10),""),ROUND($I191,ORÇAMENTO!$AF$11)),"")</f>
        <v/>
      </c>
      <c r="Y191" s="639" t="n">
        <f aca="false">AO191-O191</f>
        <v>0</v>
      </c>
      <c r="Z191" s="640"/>
      <c r="AB191" s="636"/>
      <c r="AC191" s="641"/>
      <c r="AD191" s="641"/>
      <c r="AE191" s="641"/>
      <c r="AF191" s="641"/>
      <c r="AG191" s="641"/>
      <c r="AH191" s="641"/>
      <c r="AI191" s="641"/>
      <c r="AJ191" s="641"/>
      <c r="AK191" s="641"/>
      <c r="AL191" s="641"/>
      <c r="AM191" s="637"/>
      <c r="AO191" s="38" t="n">
        <f aca="true">IF($A191="S",IF(BM!$I191=0,0,CHOOSE(MATCH(RegimeExecucao,{"Global","Unitário"},0),ROUND(ROUND(BM.MEDAcumulado,15-13*BM!$A$9)/100*BM!$I191,15-13*ORÇAMENTO!$AF$11),ROUND(ROUND(BM.MEDAcumulado,15-13*BM!$A$9)*ROUND(BM!$H191,15-13*ORÇAMENTO!$AF$10),15-13*ORÇAMENTO!$AF$11))),IF($A191=0,0,ROUND(SomaAgrupBM,15-13*ORÇAMENTO!$AF$11)))</f>
        <v>0</v>
      </c>
    </row>
    <row r="192" customFormat="false" ht="57.45" hidden="false" customHeight="false" outlineLevel="0" collapsed="false">
      <c r="A192" s="1" t="str">
        <f aca="false">ORÇAMENTO!C192</f>
        <v>S</v>
      </c>
      <c r="B192" s="1" t="n">
        <f aca="false">ORÇAMENTO!D192</f>
        <v>0</v>
      </c>
      <c r="C192" s="199" t="str">
        <f aca="false">IF(OR($I192&gt;0,$A192=1,$A192=2,$A192=3,$A192=4),"F","")</f>
        <v>F</v>
      </c>
      <c r="D192" s="202" t="str">
        <f aca="false">ORÇAMENTO!O192</f>
        <v>1.47.3.</v>
      </c>
      <c r="E192" s="341" t="str">
        <f aca="false">ORÇAMENTO.Descricao</f>
        <v>BANCADA DE MÁRMORE SINTÉTICO 120 X 60CM, COM CUBA INTEGRADA, INCLUSO SIFÃO TIPO FLEXÍVEL EM PVC, VÁLVULA EM PLÁSTICO CROMADO TIPO AMERICANA E TORNEIRA CROMADA LONGA, DE PAREDE, PADRÃO POPULAR - FORNECIMENTO E INSTALAÇÃO. AF_01/2020</v>
      </c>
      <c r="F192" s="342" t="str">
        <f aca="true">IF(RegimeExecucao="Global","",ORÇAMENTO.Unidade)</f>
        <v/>
      </c>
      <c r="G192" s="207" t="str">
        <f aca="true">IF(RegimeExecucao="Global","",ORÇAMENTO!T192)</f>
        <v/>
      </c>
      <c r="H192" s="207" t="str">
        <f aca="true">IF(RegimeExecucao="Global","",ORÇAMENTO!W192)</f>
        <v/>
      </c>
      <c r="I192" s="210" t="n">
        <f aca="false">ORÇAMENTO!X192</f>
        <v>14304</v>
      </c>
      <c r="J192" s="633" t="e">
        <f aca="false" t="array" ref="J192:J192">_xlfn.single(IF($A192="S",IF(CAIXA.Modo,BM.AFAnterior,BM.MEDAnterior),IF(AND(_xlfn.single(RegimeExecucao)="Global",$I192&gt;0,COUNTIF($AB$13:$AM$13,BM.medicao-1)&gt;0),M192/$I192*100,0)))</f>
        <v>#NAME?</v>
      </c>
      <c r="K192" s="207" t="e">
        <f aca="false">L192-J192</f>
        <v>#NAME?</v>
      </c>
      <c r="L192" s="634" t="e">
        <f aca="false" t="array" ref="L192:L192">_xlfn.single(IF($A192="S",IF(CAIXA.Modo,BM.AFAcumulado,BM.MEDAcumulado),IF(AND(_xlfn.single(RegimeExecucao)="Global",$I192&gt;0,COUNTIF($AB$13:$AM$13,BM.medicao)&gt;0),O192/$I192*100,0)))</f>
        <v>#NAME?</v>
      </c>
      <c r="M192" s="635" t="n">
        <f aca="true">IF($A192="S",VTOTALBM,IF($A192=0,0,ROUND(SomaAgrupBM,15-13*ORÇAMENTO!$AF$11)))</f>
        <v>0</v>
      </c>
      <c r="N192" s="219" t="n">
        <f aca="false">O192-M192</f>
        <v>0</v>
      </c>
      <c r="O192" s="210" t="n">
        <f aca="true">IF($A192="S",VTOTALBM,IF($A192=0,0,ROUND(SomaAgrupBM,15-13*ORÇAMENTO!$AF$11)))</f>
        <v>0</v>
      </c>
      <c r="Q192" s="636"/>
      <c r="R192" s="637"/>
      <c r="T192" s="202" t="str">
        <f aca="false">IF($W192&gt;0,$D192,"")</f>
        <v/>
      </c>
      <c r="U192" s="341" t="str">
        <f aca="false">IF($W192&gt;0,$E192,"")</f>
        <v/>
      </c>
      <c r="V192" s="342" t="str">
        <f aca="true">IF(AND($W192&gt;0,RegimeExecucao="Unitário"),$F192,"")</f>
        <v/>
      </c>
      <c r="W192" s="638" t="n">
        <f aca="true">IF($Y192&gt;0,CHOOSE(MATCH(RegimeExecucao,{"Unitário","Global"},0),IF($A192="S",$Y192/$X192,""),($Y192/$X192)*100),0)</f>
        <v>0</v>
      </c>
      <c r="X192" s="639" t="str">
        <f aca="true">IF($Y192&gt;0,CHOOSE(MATCH(RegimeExecucao,{"Unitário","Global"},0),IF($A192="S",ROUND($H192,ORÇAMENTO!$AF$10),""),ROUND($I192,ORÇAMENTO!$AF$11)),"")</f>
        <v/>
      </c>
      <c r="Y192" s="639" t="n">
        <f aca="false">AO192-O192</f>
        <v>0</v>
      </c>
      <c r="Z192" s="640"/>
      <c r="AB192" s="636"/>
      <c r="AC192" s="641"/>
      <c r="AD192" s="641"/>
      <c r="AE192" s="641"/>
      <c r="AF192" s="641"/>
      <c r="AG192" s="641"/>
      <c r="AH192" s="641"/>
      <c r="AI192" s="641"/>
      <c r="AJ192" s="641"/>
      <c r="AK192" s="641"/>
      <c r="AL192" s="641"/>
      <c r="AM192" s="637"/>
      <c r="AO192" s="38" t="n">
        <f aca="true">IF($A192="S",IF(BM!$I192=0,0,CHOOSE(MATCH(RegimeExecucao,{"Global","Unitário"},0),ROUND(ROUND(BM.MEDAcumulado,15-13*BM!$A$9)/100*BM!$I192,15-13*ORÇAMENTO!$AF$11),ROUND(ROUND(BM.MEDAcumulado,15-13*BM!$A$9)*ROUND(BM!$H192,15-13*ORÇAMENTO!$AF$10),15-13*ORÇAMENTO!$AF$11))),IF($A192=0,0,ROUND(SomaAgrupBM,15-13*ORÇAMENTO!$AF$11)))</f>
        <v>0</v>
      </c>
    </row>
    <row r="193" customFormat="false" ht="46.25" hidden="false" customHeight="false" outlineLevel="0" collapsed="false">
      <c r="A193" s="1" t="str">
        <f aca="false">ORÇAMENTO!C193</f>
        <v>S</v>
      </c>
      <c r="B193" s="1" t="n">
        <f aca="false">ORÇAMENTO!D193</f>
        <v>0</v>
      </c>
      <c r="C193" s="199" t="str">
        <f aca="false">IF(OR($I193&gt;0,$A193=1,$A193=2,$A193=3,$A193=4),"F","")</f>
        <v>F</v>
      </c>
      <c r="D193" s="202" t="str">
        <f aca="false">ORÇAMENTO!O193</f>
        <v>1.47.4.</v>
      </c>
      <c r="E193" s="341" t="str">
        <f aca="false">ORÇAMENTO.Descricao</f>
        <v>TANQUE DE MÁRMORE SINTÉTICO COM COLUNA, 22L OU EQUIVALENTE, INCLUSO SIFÃO FLEXÍVEL EM PVC, VÁLVULA PLÁSTICA E TORNEIRA DE METAL CROMADO PADRÃO POPULAR - FORNECIMENTO E INSTALAÇÃO. AF_01/2020</v>
      </c>
      <c r="F193" s="342" t="str">
        <f aca="true">IF(RegimeExecucao="Global","",ORÇAMENTO.Unidade)</f>
        <v/>
      </c>
      <c r="G193" s="207" t="str">
        <f aca="true">IF(RegimeExecucao="Global","",ORÇAMENTO!T193)</f>
        <v/>
      </c>
      <c r="H193" s="207" t="str">
        <f aca="true">IF(RegimeExecucao="Global","",ORÇAMENTO!W193)</f>
        <v/>
      </c>
      <c r="I193" s="210" t="n">
        <f aca="false">ORÇAMENTO!X193</f>
        <v>21517.75</v>
      </c>
      <c r="J193" s="633" t="e">
        <f aca="false" t="array" ref="J193:J193">_xlfn.single(IF($A193="S",IF(CAIXA.Modo,BM.AFAnterior,BM.MEDAnterior),IF(AND(_xlfn.single(RegimeExecucao)="Global",$I193&gt;0,COUNTIF($AB$13:$AM$13,BM.medicao-1)&gt;0),M193/$I193*100,0)))</f>
        <v>#NAME?</v>
      </c>
      <c r="K193" s="207" t="e">
        <f aca="false">L193-J193</f>
        <v>#NAME?</v>
      </c>
      <c r="L193" s="634" t="e">
        <f aca="false" t="array" ref="L193:L193">_xlfn.single(IF($A193="S",IF(CAIXA.Modo,BM.AFAcumulado,BM.MEDAcumulado),IF(AND(_xlfn.single(RegimeExecucao)="Global",$I193&gt;0,COUNTIF($AB$13:$AM$13,BM.medicao)&gt;0),O193/$I193*100,0)))</f>
        <v>#NAME?</v>
      </c>
      <c r="M193" s="635" t="n">
        <f aca="true">IF($A193="S",VTOTALBM,IF($A193=0,0,ROUND(SomaAgrupBM,15-13*ORÇAMENTO!$AF$11)))</f>
        <v>0</v>
      </c>
      <c r="N193" s="219" t="n">
        <f aca="false">O193-M193</f>
        <v>0</v>
      </c>
      <c r="O193" s="210" t="n">
        <f aca="true">IF($A193="S",VTOTALBM,IF($A193=0,0,ROUND(SomaAgrupBM,15-13*ORÇAMENTO!$AF$11)))</f>
        <v>0</v>
      </c>
      <c r="Q193" s="636"/>
      <c r="R193" s="637"/>
      <c r="T193" s="202" t="str">
        <f aca="false">IF($W193&gt;0,$D193,"")</f>
        <v/>
      </c>
      <c r="U193" s="341" t="str">
        <f aca="false">IF($W193&gt;0,$E193,"")</f>
        <v/>
      </c>
      <c r="V193" s="342" t="str">
        <f aca="true">IF(AND($W193&gt;0,RegimeExecucao="Unitário"),$F193,"")</f>
        <v/>
      </c>
      <c r="W193" s="638" t="n">
        <f aca="true">IF($Y193&gt;0,CHOOSE(MATCH(RegimeExecucao,{"Unitário","Global"},0),IF($A193="S",$Y193/$X193,""),($Y193/$X193)*100),0)</f>
        <v>0</v>
      </c>
      <c r="X193" s="639" t="str">
        <f aca="true">IF($Y193&gt;0,CHOOSE(MATCH(RegimeExecucao,{"Unitário","Global"},0),IF($A193="S",ROUND($H193,ORÇAMENTO!$AF$10),""),ROUND($I193,ORÇAMENTO!$AF$11)),"")</f>
        <v/>
      </c>
      <c r="Y193" s="639" t="n">
        <f aca="false">AO193-O193</f>
        <v>0</v>
      </c>
      <c r="Z193" s="640"/>
      <c r="AB193" s="636"/>
      <c r="AC193" s="641"/>
      <c r="AD193" s="641"/>
      <c r="AE193" s="641"/>
      <c r="AF193" s="641"/>
      <c r="AG193" s="641"/>
      <c r="AH193" s="641"/>
      <c r="AI193" s="641"/>
      <c r="AJ193" s="641"/>
      <c r="AK193" s="641"/>
      <c r="AL193" s="641"/>
      <c r="AM193" s="637"/>
      <c r="AO193" s="38" t="n">
        <f aca="true">IF($A193="S",IF(BM!$I193=0,0,CHOOSE(MATCH(RegimeExecucao,{"Global","Unitário"},0),ROUND(ROUND(BM.MEDAcumulado,15-13*BM!$A$9)/100*BM!$I193,15-13*ORÇAMENTO!$AF$11),ROUND(ROUND(BM.MEDAcumulado,15-13*BM!$A$9)*ROUND(BM!$H193,15-13*ORÇAMENTO!$AF$10),15-13*ORÇAMENTO!$AF$11))),IF($A193=0,0,ROUND(SomaAgrupBM,15-13*ORÇAMENTO!$AF$11)))</f>
        <v>0</v>
      </c>
    </row>
    <row r="194" customFormat="false" ht="23.85" hidden="false" customHeight="false" outlineLevel="0" collapsed="false">
      <c r="A194" s="1" t="str">
        <f aca="false">ORÇAMENTO!C194</f>
        <v>S</v>
      </c>
      <c r="B194" s="1" t="n">
        <f aca="false">ORÇAMENTO!D194</f>
        <v>0</v>
      </c>
      <c r="C194" s="199" t="str">
        <f aca="false">IF(OR($I194&gt;0,$A194=1,$A194=2,$A194=3,$A194=4),"F","")</f>
        <v>F</v>
      </c>
      <c r="D194" s="202" t="str">
        <f aca="false">ORÇAMENTO!O194</f>
        <v>1.47.5.</v>
      </c>
      <c r="E194" s="341" t="str">
        <f aca="false">ORÇAMENTO.Descricao</f>
        <v>CHUVEIRO ELÉTRICO COMUM CORPO PLÁSTICO, TIPO DUCHA - FORNECIMENTO E INSTALAÇÃO. AF_01/2020</v>
      </c>
      <c r="F194" s="342" t="str">
        <f aca="true">IF(RegimeExecucao="Global","",ORÇAMENTO.Unidade)</f>
        <v/>
      </c>
      <c r="G194" s="207" t="str">
        <f aca="true">IF(RegimeExecucao="Global","",ORÇAMENTO!T194)</f>
        <v/>
      </c>
      <c r="H194" s="207" t="str">
        <f aca="true">IF(RegimeExecucao="Global","",ORÇAMENTO!W194)</f>
        <v/>
      </c>
      <c r="I194" s="210" t="n">
        <f aca="false">ORÇAMENTO!X194</f>
        <v>3370.25</v>
      </c>
      <c r="J194" s="633" t="e">
        <f aca="false" t="array" ref="J194:J194">_xlfn.single(IF($A194="S",IF(CAIXA.Modo,BM.AFAnterior,BM.MEDAnterior),IF(AND(_xlfn.single(RegimeExecucao)="Global",$I194&gt;0,COUNTIF($AB$13:$AM$13,BM.medicao-1)&gt;0),M194/$I194*100,0)))</f>
        <v>#NAME?</v>
      </c>
      <c r="K194" s="207" t="e">
        <f aca="false">L194-J194</f>
        <v>#NAME?</v>
      </c>
      <c r="L194" s="634" t="e">
        <f aca="false" t="array" ref="L194:L194">_xlfn.single(IF($A194="S",IF(CAIXA.Modo,BM.AFAcumulado,BM.MEDAcumulado),IF(AND(_xlfn.single(RegimeExecucao)="Global",$I194&gt;0,COUNTIF($AB$13:$AM$13,BM.medicao)&gt;0),O194/$I194*100,0)))</f>
        <v>#NAME?</v>
      </c>
      <c r="M194" s="635" t="n">
        <f aca="true">IF($A194="S",VTOTALBM,IF($A194=0,0,ROUND(SomaAgrupBM,15-13*ORÇAMENTO!$AF$11)))</f>
        <v>0</v>
      </c>
      <c r="N194" s="219" t="n">
        <f aca="false">O194-M194</f>
        <v>0</v>
      </c>
      <c r="O194" s="210" t="n">
        <f aca="true">IF($A194="S",VTOTALBM,IF($A194=0,0,ROUND(SomaAgrupBM,15-13*ORÇAMENTO!$AF$11)))</f>
        <v>0</v>
      </c>
      <c r="Q194" s="636"/>
      <c r="R194" s="637"/>
      <c r="T194" s="202" t="str">
        <f aca="false">IF($W194&gt;0,$D194,"")</f>
        <v/>
      </c>
      <c r="U194" s="341" t="str">
        <f aca="false">IF($W194&gt;0,$E194,"")</f>
        <v/>
      </c>
      <c r="V194" s="342" t="str">
        <f aca="true">IF(AND($W194&gt;0,RegimeExecucao="Unitário"),$F194,"")</f>
        <v/>
      </c>
      <c r="W194" s="638" t="n">
        <f aca="true">IF($Y194&gt;0,CHOOSE(MATCH(RegimeExecucao,{"Unitário","Global"},0),IF($A194="S",$Y194/$X194,""),($Y194/$X194)*100),0)</f>
        <v>0</v>
      </c>
      <c r="X194" s="639" t="str">
        <f aca="true">IF($Y194&gt;0,CHOOSE(MATCH(RegimeExecucao,{"Unitário","Global"},0),IF($A194="S",ROUND($H194,ORÇAMENTO!$AF$10),""),ROUND($I194,ORÇAMENTO!$AF$11)),"")</f>
        <v/>
      </c>
      <c r="Y194" s="639" t="n">
        <f aca="false">AO194-O194</f>
        <v>0</v>
      </c>
      <c r="Z194" s="640"/>
      <c r="AB194" s="636"/>
      <c r="AC194" s="641"/>
      <c r="AD194" s="641"/>
      <c r="AE194" s="641"/>
      <c r="AF194" s="641"/>
      <c r="AG194" s="641"/>
      <c r="AH194" s="641"/>
      <c r="AI194" s="641"/>
      <c r="AJ194" s="641"/>
      <c r="AK194" s="641"/>
      <c r="AL194" s="641"/>
      <c r="AM194" s="637"/>
      <c r="AO194" s="38" t="n">
        <f aca="true">IF($A194="S",IF(BM!$I194=0,0,CHOOSE(MATCH(RegimeExecucao,{"Global","Unitário"},0),ROUND(ROUND(BM.MEDAcumulado,15-13*BM!$A$9)/100*BM!$I194,15-13*ORÇAMENTO!$AF$11),ROUND(ROUND(BM.MEDAcumulado,15-13*BM!$A$9)*ROUND(BM!$H194,15-13*ORÇAMENTO!$AF$10),15-13*ORÇAMENTO!$AF$11))),IF($A194=0,0,ROUND(SomaAgrupBM,15-13*ORÇAMENTO!$AF$11)))</f>
        <v>0</v>
      </c>
    </row>
    <row r="195" customFormat="false" ht="23.85" hidden="false" customHeight="false" outlineLevel="0" collapsed="false">
      <c r="A195" s="1" t="str">
        <f aca="false">ORÇAMENTO!C195</f>
        <v>S</v>
      </c>
      <c r="B195" s="1" t="n">
        <f aca="false">ORÇAMENTO!D195</f>
        <v>0</v>
      </c>
      <c r="C195" s="199" t="str">
        <f aca="false">IF(OR($I195&gt;0,$A195=1,$A195=2,$A195=3,$A195=4),"F","")</f>
        <v>F</v>
      </c>
      <c r="D195" s="202" t="str">
        <f aca="false">ORÇAMENTO!O195</f>
        <v>1.47.6.</v>
      </c>
      <c r="E195" s="341" t="str">
        <f aca="false">ORÇAMENTO.Descricao</f>
        <v>KIT DE ACESSORIOS PARA BANHEIRO EM METAL CROMADO, 5 PECAS, INCLUSO FIXAÇÃO. AF_01/2020</v>
      </c>
      <c r="F195" s="342" t="str">
        <f aca="true">IF(RegimeExecucao="Global","",ORÇAMENTO.Unidade)</f>
        <v/>
      </c>
      <c r="G195" s="207" t="str">
        <f aca="true">IF(RegimeExecucao="Global","",ORÇAMENTO!T195)</f>
        <v/>
      </c>
      <c r="H195" s="207" t="str">
        <f aca="true">IF(RegimeExecucao="Global","",ORÇAMENTO!W195)</f>
        <v/>
      </c>
      <c r="I195" s="210" t="n">
        <f aca="false">ORÇAMENTO!X195</f>
        <v>4660.5</v>
      </c>
      <c r="J195" s="633" t="e">
        <f aca="false" t="array" ref="J195:J195">_xlfn.single(IF($A195="S",IF(CAIXA.Modo,BM.AFAnterior,BM.MEDAnterior),IF(AND(_xlfn.single(RegimeExecucao)="Global",$I195&gt;0,COUNTIF($AB$13:$AM$13,BM.medicao-1)&gt;0),M195/$I195*100,0)))</f>
        <v>#NAME?</v>
      </c>
      <c r="K195" s="207" t="e">
        <f aca="false">L195-J195</f>
        <v>#NAME?</v>
      </c>
      <c r="L195" s="634" t="e">
        <f aca="false" t="array" ref="L195:L195">_xlfn.single(IF($A195="S",IF(CAIXA.Modo,BM.AFAcumulado,BM.MEDAcumulado),IF(AND(_xlfn.single(RegimeExecucao)="Global",$I195&gt;0,COUNTIF($AB$13:$AM$13,BM.medicao)&gt;0),O195/$I195*100,0)))</f>
        <v>#NAME?</v>
      </c>
      <c r="M195" s="635" t="n">
        <f aca="true">IF($A195="S",VTOTALBM,IF($A195=0,0,ROUND(SomaAgrupBM,15-13*ORÇAMENTO!$AF$11)))</f>
        <v>0</v>
      </c>
      <c r="N195" s="219" t="n">
        <f aca="false">O195-M195</f>
        <v>0</v>
      </c>
      <c r="O195" s="210" t="n">
        <f aca="true">IF($A195="S",VTOTALBM,IF($A195=0,0,ROUND(SomaAgrupBM,15-13*ORÇAMENTO!$AF$11)))</f>
        <v>0</v>
      </c>
      <c r="Q195" s="636"/>
      <c r="R195" s="637"/>
      <c r="T195" s="202" t="str">
        <f aca="false">IF($W195&gt;0,$D195,"")</f>
        <v/>
      </c>
      <c r="U195" s="341" t="str">
        <f aca="false">IF($W195&gt;0,$E195,"")</f>
        <v/>
      </c>
      <c r="V195" s="342" t="str">
        <f aca="true">IF(AND($W195&gt;0,RegimeExecucao="Unitário"),$F195,"")</f>
        <v/>
      </c>
      <c r="W195" s="638" t="n">
        <f aca="true">IF($Y195&gt;0,CHOOSE(MATCH(RegimeExecucao,{"Unitário","Global"},0),IF($A195="S",$Y195/$X195,""),($Y195/$X195)*100),0)</f>
        <v>0</v>
      </c>
      <c r="X195" s="639" t="str">
        <f aca="true">IF($Y195&gt;0,CHOOSE(MATCH(RegimeExecucao,{"Unitário","Global"},0),IF($A195="S",ROUND($H195,ORÇAMENTO!$AF$10),""),ROUND($I195,ORÇAMENTO!$AF$11)),"")</f>
        <v/>
      </c>
      <c r="Y195" s="639" t="n">
        <f aca="false">AO195-O195</f>
        <v>0</v>
      </c>
      <c r="Z195" s="640"/>
      <c r="AB195" s="636"/>
      <c r="AC195" s="641"/>
      <c r="AD195" s="641"/>
      <c r="AE195" s="641"/>
      <c r="AF195" s="641"/>
      <c r="AG195" s="641"/>
      <c r="AH195" s="641"/>
      <c r="AI195" s="641"/>
      <c r="AJ195" s="641"/>
      <c r="AK195" s="641"/>
      <c r="AL195" s="641"/>
      <c r="AM195" s="637"/>
      <c r="AO195" s="38" t="n">
        <f aca="true">IF($A195="S",IF(BM!$I195=0,0,CHOOSE(MATCH(RegimeExecucao,{"Global","Unitário"},0),ROUND(ROUND(BM.MEDAcumulado,15-13*BM!$A$9)/100*BM!$I195,15-13*ORÇAMENTO!$AF$11),ROUND(ROUND(BM.MEDAcumulado,15-13*BM!$A$9)*ROUND(BM!$H195,15-13*ORÇAMENTO!$AF$10),15-13*ORÇAMENTO!$AF$11))),IF($A195=0,0,ROUND(SomaAgrupBM,15-13*ORÇAMENTO!$AF$11)))</f>
        <v>0</v>
      </c>
    </row>
    <row r="196" customFormat="false" ht="12.75" hidden="false" customHeight="false" outlineLevel="0" collapsed="false">
      <c r="A196" s="1" t="n">
        <f aca="false">ORÇAMENTO!C196</f>
        <v>2</v>
      </c>
      <c r="B196" s="1" t="n">
        <f aca="false">ORÇAMENTO!D196</f>
        <v>1</v>
      </c>
      <c r="C196" s="199" t="str">
        <f aca="false">IF(OR($I196&gt;0,$A196=1,$A196=2,$A196=3,$A196=4),"F","")</f>
        <v>F</v>
      </c>
      <c r="D196" s="202" t="str">
        <f aca="false">ORÇAMENTO!O196</f>
        <v>1.48.</v>
      </c>
      <c r="E196" s="341" t="str">
        <f aca="false">ORÇAMENTO.Descricao</f>
        <v>ELEVADORES / BOMBAS</v>
      </c>
      <c r="F196" s="342" t="str">
        <f aca="true">IF(RegimeExecucao="Global","",ORÇAMENTO.Unidade)</f>
        <v/>
      </c>
      <c r="G196" s="207" t="str">
        <f aca="true">IF(RegimeExecucao="Global","",ORÇAMENTO!T196)</f>
        <v/>
      </c>
      <c r="H196" s="207" t="str">
        <f aca="true">IF(RegimeExecucao="Global","",ORÇAMENTO!W196)</f>
        <v/>
      </c>
      <c r="I196" s="210" t="n">
        <f aca="false">ORÇAMENTO!X196</f>
        <v>0</v>
      </c>
      <c r="J196" s="633" t="e">
        <f aca="false" t="array" ref="J196:J196">_xlfn.single(IF($A196="S",IF(CAIXA.Modo,BM.AFAnterior,BM.MEDAnterior),IF(AND(_xlfn.single(RegimeExecucao)="Global",$I196&gt;0,COUNTIF($AB$13:$AM$13,BM.medicao-1)&gt;0),M196/$I196*100,0)))</f>
        <v>#NAME?</v>
      </c>
      <c r="K196" s="207" t="e">
        <f aca="false">L196-J196</f>
        <v>#NAME?</v>
      </c>
      <c r="L196" s="634" t="e">
        <f aca="false" t="array" ref="L196:L196">_xlfn.single(IF($A196="S",IF(CAIXA.Modo,BM.AFAcumulado,BM.MEDAcumulado),IF(AND(_xlfn.single(RegimeExecucao)="Global",$I196&gt;0,COUNTIF($AB$13:$AM$13,BM.medicao)&gt;0),O196/$I196*100,0)))</f>
        <v>#NAME?</v>
      </c>
      <c r="M196" s="635" t="n">
        <f aca="true">IF($A196="S",VTOTALBM,IF($A196=0,0,ROUND(SomaAgrupBM,15-13*ORÇAMENTO!$AF$11)))</f>
        <v>0</v>
      </c>
      <c r="N196" s="219" t="n">
        <f aca="false">O196-M196</f>
        <v>0</v>
      </c>
      <c r="O196" s="210" t="n">
        <f aca="true">IF($A196="S",VTOTALBM,IF($A196=0,0,ROUND(SomaAgrupBM,15-13*ORÇAMENTO!$AF$11)))</f>
        <v>0</v>
      </c>
      <c r="Q196" s="636"/>
      <c r="R196" s="637"/>
      <c r="T196" s="202" t="str">
        <f aca="false">IF($W196&gt;0,$D196,"")</f>
        <v/>
      </c>
      <c r="U196" s="341" t="str">
        <f aca="false">IF($W196&gt;0,$E196,"")</f>
        <v/>
      </c>
      <c r="V196" s="342" t="str">
        <f aca="true">IF(AND($W196&gt;0,RegimeExecucao="Unitário"),$F196,"")</f>
        <v/>
      </c>
      <c r="W196" s="638" t="n">
        <f aca="true">IF($Y196&gt;0,CHOOSE(MATCH(RegimeExecucao,{"Unitário","Global"},0),IF($A196="S",$Y196/$X196,""),($Y196/$X196)*100),0)</f>
        <v>0</v>
      </c>
      <c r="X196" s="639" t="str">
        <f aca="true">IF($Y196&gt;0,CHOOSE(MATCH(RegimeExecucao,{"Unitário","Global"},0),IF($A196="S",ROUND($H196,ORÇAMENTO!$AF$10),""),ROUND($I196,ORÇAMENTO!$AF$11)),"")</f>
        <v/>
      </c>
      <c r="Y196" s="639" t="n">
        <f aca="false">AO196-O196</f>
        <v>0</v>
      </c>
      <c r="Z196" s="640"/>
      <c r="AB196" s="636"/>
      <c r="AC196" s="641"/>
      <c r="AD196" s="641"/>
      <c r="AE196" s="641"/>
      <c r="AF196" s="641"/>
      <c r="AG196" s="641"/>
      <c r="AH196" s="641"/>
      <c r="AI196" s="641"/>
      <c r="AJ196" s="641"/>
      <c r="AK196" s="641"/>
      <c r="AL196" s="641"/>
      <c r="AM196" s="637"/>
      <c r="AO196" s="38" t="n">
        <f aca="true">IF($A196="S",IF(BM!$I196=0,0,CHOOSE(MATCH(RegimeExecucao,{"Global","Unitário"},0),ROUND(ROUND(BM.MEDAcumulado,15-13*BM!$A$9)/100*BM!$I196,15-13*ORÇAMENTO!$AF$11),ROUND(ROUND(BM.MEDAcumulado,15-13*BM!$A$9)*ROUND(BM!$H196,15-13*ORÇAMENTO!$AF$10),15-13*ORÇAMENTO!$AF$11))),IF($A196=0,0,ROUND(SomaAgrupBM,15-13*ORÇAMENTO!$AF$11)))</f>
        <v>0</v>
      </c>
    </row>
    <row r="197" customFormat="false" ht="12.75" hidden="false" customHeight="false" outlineLevel="0" collapsed="false">
      <c r="A197" s="1" t="n">
        <f aca="false">ORÇAMENTO!C197</f>
        <v>2</v>
      </c>
      <c r="B197" s="1" t="n">
        <f aca="false">ORÇAMENTO!D197</f>
        <v>1</v>
      </c>
      <c r="C197" s="199" t="str">
        <f aca="false">IF(OR($I197&gt;0,$A197=1,$A197=2,$A197=3,$A197=4),"F","")</f>
        <v>F</v>
      </c>
      <c r="D197" s="202" t="str">
        <f aca="false">ORÇAMENTO!O197</f>
        <v>1.49.</v>
      </c>
      <c r="E197" s="341" t="str">
        <f aca="false">ORÇAMENTO.Descricao</f>
        <v>CLIMATIZAÇÃO</v>
      </c>
      <c r="F197" s="342" t="str">
        <f aca="true">IF(RegimeExecucao="Global","",ORÇAMENTO.Unidade)</f>
        <v/>
      </c>
      <c r="G197" s="207" t="str">
        <f aca="true">IF(RegimeExecucao="Global","",ORÇAMENTO!T197)</f>
        <v/>
      </c>
      <c r="H197" s="207" t="str">
        <f aca="true">IF(RegimeExecucao="Global","",ORÇAMENTO!W197)</f>
        <v/>
      </c>
      <c r="I197" s="210" t="n">
        <f aca="false">ORÇAMENTO!X197</f>
        <v>0</v>
      </c>
      <c r="J197" s="633" t="e">
        <f aca="false" t="array" ref="J197:J197">_xlfn.single(IF($A197="S",IF(CAIXA.Modo,BM.AFAnterior,BM.MEDAnterior),IF(AND(_xlfn.single(RegimeExecucao)="Global",$I197&gt;0,COUNTIF($AB$13:$AM$13,BM.medicao-1)&gt;0),M197/$I197*100,0)))</f>
        <v>#NAME?</v>
      </c>
      <c r="K197" s="207" t="e">
        <f aca="false">L197-J197</f>
        <v>#NAME?</v>
      </c>
      <c r="L197" s="634" t="e">
        <f aca="false" t="array" ref="L197:L197">_xlfn.single(IF($A197="S",IF(CAIXA.Modo,BM.AFAcumulado,BM.MEDAcumulado),IF(AND(_xlfn.single(RegimeExecucao)="Global",$I197&gt;0,COUNTIF($AB$13:$AM$13,BM.medicao)&gt;0),O197/$I197*100,0)))</f>
        <v>#NAME?</v>
      </c>
      <c r="M197" s="635" t="n">
        <f aca="true">IF($A197="S",VTOTALBM,IF($A197=0,0,ROUND(SomaAgrupBM,15-13*ORÇAMENTO!$AF$11)))</f>
        <v>0</v>
      </c>
      <c r="N197" s="219" t="n">
        <f aca="false">O197-M197</f>
        <v>0</v>
      </c>
      <c r="O197" s="210" t="n">
        <f aca="true">IF($A197="S",VTOTALBM,IF($A197=0,0,ROUND(SomaAgrupBM,15-13*ORÇAMENTO!$AF$11)))</f>
        <v>0</v>
      </c>
      <c r="Q197" s="636"/>
      <c r="R197" s="637"/>
      <c r="T197" s="202" t="str">
        <f aca="false">IF($W197&gt;0,$D197,"")</f>
        <v/>
      </c>
      <c r="U197" s="341" t="str">
        <f aca="false">IF($W197&gt;0,$E197,"")</f>
        <v/>
      </c>
      <c r="V197" s="342" t="str">
        <f aca="true">IF(AND($W197&gt;0,RegimeExecucao="Unitário"),$F197,"")</f>
        <v/>
      </c>
      <c r="W197" s="638" t="n">
        <f aca="true">IF($Y197&gt;0,CHOOSE(MATCH(RegimeExecucao,{"Unitário","Global"},0),IF($A197="S",$Y197/$X197,""),($Y197/$X197)*100),0)</f>
        <v>0</v>
      </c>
      <c r="X197" s="639" t="str">
        <f aca="true">IF($Y197&gt;0,CHOOSE(MATCH(RegimeExecucao,{"Unitário","Global"},0),IF($A197="S",ROUND($H197,ORÇAMENTO!$AF$10),""),ROUND($I197,ORÇAMENTO!$AF$11)),"")</f>
        <v/>
      </c>
      <c r="Y197" s="639" t="n">
        <f aca="false">AO197-O197</f>
        <v>0</v>
      </c>
      <c r="Z197" s="640"/>
      <c r="AB197" s="636"/>
      <c r="AC197" s="641"/>
      <c r="AD197" s="641"/>
      <c r="AE197" s="641"/>
      <c r="AF197" s="641"/>
      <c r="AG197" s="641"/>
      <c r="AH197" s="641"/>
      <c r="AI197" s="641"/>
      <c r="AJ197" s="641"/>
      <c r="AK197" s="641"/>
      <c r="AL197" s="641"/>
      <c r="AM197" s="637"/>
      <c r="AO197" s="38" t="n">
        <f aca="true">IF($A197="S",IF(BM!$I197=0,0,CHOOSE(MATCH(RegimeExecucao,{"Global","Unitário"},0),ROUND(ROUND(BM.MEDAcumulado,15-13*BM!$A$9)/100*BM!$I197,15-13*ORÇAMENTO!$AF$11),ROUND(ROUND(BM.MEDAcumulado,15-13*BM!$A$9)*ROUND(BM!$H197,15-13*ORÇAMENTO!$AF$10),15-13*ORÇAMENTO!$AF$11))),IF($A197=0,0,ROUND(SomaAgrupBM,15-13*ORÇAMENTO!$AF$11)))</f>
        <v>0</v>
      </c>
    </row>
    <row r="198" customFormat="false" ht="12.75" hidden="false" customHeight="false" outlineLevel="0" collapsed="false">
      <c r="A198" s="1" t="n">
        <f aca="false">ORÇAMENTO!C198</f>
        <v>2</v>
      </c>
      <c r="B198" s="1" t="n">
        <f aca="false">ORÇAMENTO!D198</f>
        <v>1</v>
      </c>
      <c r="C198" s="199" t="str">
        <f aca="false">IF(OR($I198&gt;0,$A198=1,$A198=2,$A198=3,$A198=4),"F","")</f>
        <v>F</v>
      </c>
      <c r="D198" s="202" t="str">
        <f aca="false">ORÇAMENTO!O198</f>
        <v>1.50.</v>
      </c>
      <c r="E198" s="341" t="str">
        <f aca="false">ORÇAMENTO.Descricao</f>
        <v>LÓGICA</v>
      </c>
      <c r="F198" s="342" t="str">
        <f aca="true">IF(RegimeExecucao="Global","",ORÇAMENTO.Unidade)</f>
        <v/>
      </c>
      <c r="G198" s="207" t="str">
        <f aca="true">IF(RegimeExecucao="Global","",ORÇAMENTO!T198)</f>
        <v/>
      </c>
      <c r="H198" s="207" t="str">
        <f aca="true">IF(RegimeExecucao="Global","",ORÇAMENTO!W198)</f>
        <v/>
      </c>
      <c r="I198" s="210" t="n">
        <f aca="false">ORÇAMENTO!X198</f>
        <v>0</v>
      </c>
      <c r="J198" s="633" t="e">
        <f aca="false" t="array" ref="J198:J198">_xlfn.single(IF($A198="S",IF(CAIXA.Modo,BM.AFAnterior,BM.MEDAnterior),IF(AND(_xlfn.single(RegimeExecucao)="Global",$I198&gt;0,COUNTIF($AB$13:$AM$13,BM.medicao-1)&gt;0),M198/$I198*100,0)))</f>
        <v>#NAME?</v>
      </c>
      <c r="K198" s="207" t="e">
        <f aca="false">L198-J198</f>
        <v>#NAME?</v>
      </c>
      <c r="L198" s="634" t="e">
        <f aca="false" t="array" ref="L198:L198">_xlfn.single(IF($A198="S",IF(CAIXA.Modo,BM.AFAcumulado,BM.MEDAcumulado),IF(AND(_xlfn.single(RegimeExecucao)="Global",$I198&gt;0,COUNTIF($AB$13:$AM$13,BM.medicao)&gt;0),O198/$I198*100,0)))</f>
        <v>#NAME?</v>
      </c>
      <c r="M198" s="635" t="n">
        <f aca="true">IF($A198="S",VTOTALBM,IF($A198=0,0,ROUND(SomaAgrupBM,15-13*ORÇAMENTO!$AF$11)))</f>
        <v>0</v>
      </c>
      <c r="N198" s="219" t="n">
        <f aca="false">O198-M198</f>
        <v>0</v>
      </c>
      <c r="O198" s="210" t="n">
        <f aca="true">IF($A198="S",VTOTALBM,IF($A198=0,0,ROUND(SomaAgrupBM,15-13*ORÇAMENTO!$AF$11)))</f>
        <v>0</v>
      </c>
      <c r="Q198" s="636"/>
      <c r="R198" s="637"/>
      <c r="T198" s="202" t="str">
        <f aca="false">IF($W198&gt;0,$D198,"")</f>
        <v/>
      </c>
      <c r="U198" s="341" t="str">
        <f aca="false">IF($W198&gt;0,$E198,"")</f>
        <v/>
      </c>
      <c r="V198" s="342" t="str">
        <f aca="true">IF(AND($W198&gt;0,RegimeExecucao="Unitário"),$F198,"")</f>
        <v/>
      </c>
      <c r="W198" s="638" t="n">
        <f aca="true">IF($Y198&gt;0,CHOOSE(MATCH(RegimeExecucao,{"Unitário","Global"},0),IF($A198="S",$Y198/$X198,""),($Y198/$X198)*100),0)</f>
        <v>0</v>
      </c>
      <c r="X198" s="639" t="str">
        <f aca="true">IF($Y198&gt;0,CHOOSE(MATCH(RegimeExecucao,{"Unitário","Global"},0),IF($A198="S",ROUND($H198,ORÇAMENTO!$AF$10),""),ROUND($I198,ORÇAMENTO!$AF$11)),"")</f>
        <v/>
      </c>
      <c r="Y198" s="639" t="n">
        <f aca="false">AO198-O198</f>
        <v>0</v>
      </c>
      <c r="Z198" s="640"/>
      <c r="AB198" s="636"/>
      <c r="AC198" s="641"/>
      <c r="AD198" s="641"/>
      <c r="AE198" s="641"/>
      <c r="AF198" s="641"/>
      <c r="AG198" s="641"/>
      <c r="AH198" s="641"/>
      <c r="AI198" s="641"/>
      <c r="AJ198" s="641"/>
      <c r="AK198" s="641"/>
      <c r="AL198" s="641"/>
      <c r="AM198" s="637"/>
      <c r="AO198" s="38" t="n">
        <f aca="true">IF($A198="S",IF(BM!$I198=0,0,CHOOSE(MATCH(RegimeExecucao,{"Global","Unitário"},0),ROUND(ROUND(BM.MEDAcumulado,15-13*BM!$A$9)/100*BM!$I198,15-13*ORÇAMENTO!$AF$11),ROUND(ROUND(BM.MEDAcumulado,15-13*BM!$A$9)*ROUND(BM!$H198,15-13*ORÇAMENTO!$AF$10),15-13*ORÇAMENTO!$AF$11))),IF($A198=0,0,ROUND(SomaAgrupBM,15-13*ORÇAMENTO!$AF$11)))</f>
        <v>0</v>
      </c>
    </row>
    <row r="199" customFormat="false" ht="12.75" hidden="false" customHeight="false" outlineLevel="0" collapsed="false">
      <c r="A199" s="1" t="n">
        <f aca="false">ORÇAMENTO!C199</f>
        <v>2</v>
      </c>
      <c r="B199" s="1" t="n">
        <f aca="false">ORÇAMENTO!D199</f>
        <v>1</v>
      </c>
      <c r="C199" s="199" t="str">
        <f aca="false">IF(OR($I199&gt;0,$A199=1,$A199=2,$A199=3,$A199=4),"F","")</f>
        <v>F</v>
      </c>
      <c r="D199" s="202" t="str">
        <f aca="false">ORÇAMENTO!O199</f>
        <v>1.51.</v>
      </c>
      <c r="E199" s="341" t="str">
        <f aca="false">ORÇAMENTO.Descricao</f>
        <v>ESPECIAIS</v>
      </c>
      <c r="F199" s="342" t="str">
        <f aca="true">IF(RegimeExecucao="Global","",ORÇAMENTO.Unidade)</f>
        <v/>
      </c>
      <c r="G199" s="207" t="str">
        <f aca="true">IF(RegimeExecucao="Global","",ORÇAMENTO!T199)</f>
        <v/>
      </c>
      <c r="H199" s="207" t="str">
        <f aca="true">IF(RegimeExecucao="Global","",ORÇAMENTO!W199)</f>
        <v/>
      </c>
      <c r="I199" s="210" t="n">
        <f aca="false">ORÇAMENTO!X199</f>
        <v>0</v>
      </c>
      <c r="J199" s="633" t="e">
        <f aca="false" t="array" ref="J199:J199">_xlfn.single(IF($A199="S",IF(CAIXA.Modo,BM.AFAnterior,BM.MEDAnterior),IF(AND(_xlfn.single(RegimeExecucao)="Global",$I199&gt;0,COUNTIF($AB$13:$AM$13,BM.medicao-1)&gt;0),M199/$I199*100,0)))</f>
        <v>#NAME?</v>
      </c>
      <c r="K199" s="207" t="e">
        <f aca="false">L199-J199</f>
        <v>#NAME?</v>
      </c>
      <c r="L199" s="634" t="e">
        <f aca="false" t="array" ref="L199:L199">_xlfn.single(IF($A199="S",IF(CAIXA.Modo,BM.AFAcumulado,BM.MEDAcumulado),IF(AND(_xlfn.single(RegimeExecucao)="Global",$I199&gt;0,COUNTIF($AB$13:$AM$13,BM.medicao)&gt;0),O199/$I199*100,0)))</f>
        <v>#NAME?</v>
      </c>
      <c r="M199" s="635" t="n">
        <f aca="true">IF($A199="S",VTOTALBM,IF($A199=0,0,ROUND(SomaAgrupBM,15-13*ORÇAMENTO!$AF$11)))</f>
        <v>0</v>
      </c>
      <c r="N199" s="219" t="n">
        <f aca="false">O199-M199</f>
        <v>0</v>
      </c>
      <c r="O199" s="210" t="n">
        <f aca="true">IF($A199="S",VTOTALBM,IF($A199=0,0,ROUND(SomaAgrupBM,15-13*ORÇAMENTO!$AF$11)))</f>
        <v>0</v>
      </c>
      <c r="Q199" s="636"/>
      <c r="R199" s="637"/>
      <c r="T199" s="202" t="str">
        <f aca="false">IF($W199&gt;0,$D199,"")</f>
        <v/>
      </c>
      <c r="U199" s="341" t="str">
        <f aca="false">IF($W199&gt;0,$E199,"")</f>
        <v/>
      </c>
      <c r="V199" s="342" t="str">
        <f aca="true">IF(AND($W199&gt;0,RegimeExecucao="Unitário"),$F199,"")</f>
        <v/>
      </c>
      <c r="W199" s="638" t="n">
        <f aca="true">IF($Y199&gt;0,CHOOSE(MATCH(RegimeExecucao,{"Unitário","Global"},0),IF($A199="S",$Y199/$X199,""),($Y199/$X199)*100),0)</f>
        <v>0</v>
      </c>
      <c r="X199" s="639" t="str">
        <f aca="true">IF($Y199&gt;0,CHOOSE(MATCH(RegimeExecucao,{"Unitário","Global"},0),IF($A199="S",ROUND($H199,ORÇAMENTO!$AF$10),""),ROUND($I199,ORÇAMENTO!$AF$11)),"")</f>
        <v/>
      </c>
      <c r="Y199" s="639" t="n">
        <f aca="false">AO199-O199</f>
        <v>0</v>
      </c>
      <c r="Z199" s="640"/>
      <c r="AB199" s="636"/>
      <c r="AC199" s="641"/>
      <c r="AD199" s="641"/>
      <c r="AE199" s="641"/>
      <c r="AF199" s="641"/>
      <c r="AG199" s="641"/>
      <c r="AH199" s="641"/>
      <c r="AI199" s="641"/>
      <c r="AJ199" s="641"/>
      <c r="AK199" s="641"/>
      <c r="AL199" s="641"/>
      <c r="AM199" s="637"/>
      <c r="AO199" s="38" t="n">
        <f aca="true">IF($A199="S",IF(BM!$I199=0,0,CHOOSE(MATCH(RegimeExecucao,{"Global","Unitário"},0),ROUND(ROUND(BM.MEDAcumulado,15-13*BM!$A$9)/100*BM!$I199,15-13*ORÇAMENTO!$AF$11),ROUND(ROUND(BM.MEDAcumulado,15-13*BM!$A$9)*ROUND(BM!$H199,15-13*ORÇAMENTO!$AF$10),15-13*ORÇAMENTO!$AF$11))),IF($A199=0,0,ROUND(SomaAgrupBM,15-13*ORÇAMENTO!$AF$11)))</f>
        <v>0</v>
      </c>
    </row>
    <row r="200" customFormat="false" ht="12.75" hidden="false" customHeight="false" outlineLevel="0" collapsed="false">
      <c r="A200" s="1" t="n">
        <f aca="false">ORÇAMENTO!C200</f>
        <v>2</v>
      </c>
      <c r="B200" s="1" t="n">
        <f aca="false">ORÇAMENTO!D200</f>
        <v>1</v>
      </c>
      <c r="C200" s="199" t="str">
        <f aca="false">IF(OR($I200&gt;0,$A200=1,$A200=2,$A200=3,$A200=4),"F","")</f>
        <v>F</v>
      </c>
      <c r="D200" s="202" t="str">
        <f aca="false">ORÇAMENTO!O200</f>
        <v>1.52.</v>
      </c>
      <c r="E200" s="341" t="str">
        <f aca="false">ORÇAMENTO.Descricao</f>
        <v>COMPLEMENTAÇÕES</v>
      </c>
      <c r="F200" s="342" t="str">
        <f aca="true">IF(RegimeExecucao="Global","",ORÇAMENTO.Unidade)</f>
        <v/>
      </c>
      <c r="G200" s="207" t="str">
        <f aca="true">IF(RegimeExecucao="Global","",ORÇAMENTO!T200)</f>
        <v/>
      </c>
      <c r="H200" s="207" t="str">
        <f aca="true">IF(RegimeExecucao="Global","",ORÇAMENTO!W200)</f>
        <v/>
      </c>
      <c r="I200" s="210" t="n">
        <f aca="false">ORÇAMENTO!X200</f>
        <v>0</v>
      </c>
      <c r="J200" s="633" t="e">
        <f aca="false" t="array" ref="J200:J200">_xlfn.single(IF($A200="S",IF(CAIXA.Modo,BM.AFAnterior,BM.MEDAnterior),IF(AND(_xlfn.single(RegimeExecucao)="Global",$I200&gt;0,COUNTIF($AB$13:$AM$13,BM.medicao-1)&gt;0),M200/$I200*100,0)))</f>
        <v>#NAME?</v>
      </c>
      <c r="K200" s="207" t="e">
        <f aca="false">L200-J200</f>
        <v>#NAME?</v>
      </c>
      <c r="L200" s="634" t="e">
        <f aca="false" t="array" ref="L200:L200">_xlfn.single(IF($A200="S",IF(CAIXA.Modo,BM.AFAcumulado,BM.MEDAcumulado),IF(AND(_xlfn.single(RegimeExecucao)="Global",$I200&gt;0,COUNTIF($AB$13:$AM$13,BM.medicao)&gt;0),O200/$I200*100,0)))</f>
        <v>#NAME?</v>
      </c>
      <c r="M200" s="635" t="n">
        <f aca="true">IF($A200="S",VTOTALBM,IF($A200=0,0,ROUND(SomaAgrupBM,15-13*ORÇAMENTO!$AF$11)))</f>
        <v>0</v>
      </c>
      <c r="N200" s="219" t="n">
        <f aca="false">O200-M200</f>
        <v>0</v>
      </c>
      <c r="O200" s="210" t="n">
        <f aca="true">IF($A200="S",VTOTALBM,IF($A200=0,0,ROUND(SomaAgrupBM,15-13*ORÇAMENTO!$AF$11)))</f>
        <v>0</v>
      </c>
      <c r="Q200" s="636"/>
      <c r="R200" s="637"/>
      <c r="T200" s="202" t="str">
        <f aca="false">IF($W200&gt;0,$D200,"")</f>
        <v/>
      </c>
      <c r="U200" s="341" t="str">
        <f aca="false">IF($W200&gt;0,$E200,"")</f>
        <v/>
      </c>
      <c r="V200" s="342" t="str">
        <f aca="true">IF(AND($W200&gt;0,RegimeExecucao="Unitário"),$F200,"")</f>
        <v/>
      </c>
      <c r="W200" s="638" t="n">
        <f aca="true">IF($Y200&gt;0,CHOOSE(MATCH(RegimeExecucao,{"Unitário","Global"},0),IF($A200="S",$Y200/$X200,""),($Y200/$X200)*100),0)</f>
        <v>0</v>
      </c>
      <c r="X200" s="639" t="str">
        <f aca="true">IF($Y200&gt;0,CHOOSE(MATCH(RegimeExecucao,{"Unitário","Global"},0),IF($A200="S",ROUND($H200,ORÇAMENTO!$AF$10),""),ROUND($I200,ORÇAMENTO!$AF$11)),"")</f>
        <v/>
      </c>
      <c r="Y200" s="639" t="n">
        <f aca="false">AO200-O200</f>
        <v>0</v>
      </c>
      <c r="Z200" s="640"/>
      <c r="AB200" s="636"/>
      <c r="AC200" s="641"/>
      <c r="AD200" s="641"/>
      <c r="AE200" s="641"/>
      <c r="AF200" s="641"/>
      <c r="AG200" s="641"/>
      <c r="AH200" s="641"/>
      <c r="AI200" s="641"/>
      <c r="AJ200" s="641"/>
      <c r="AK200" s="641"/>
      <c r="AL200" s="641"/>
      <c r="AM200" s="637"/>
      <c r="AO200" s="38" t="n">
        <f aca="true">IF($A200="S",IF(BM!$I200=0,0,CHOOSE(MATCH(RegimeExecucao,{"Global","Unitário"},0),ROUND(ROUND(BM.MEDAcumulado,15-13*BM!$A$9)/100*BM!$I200,15-13*ORÇAMENTO!$AF$11),ROUND(ROUND(BM.MEDAcumulado,15-13*BM!$A$9)*ROUND(BM!$H200,15-13*ORÇAMENTO!$AF$10),15-13*ORÇAMENTO!$AF$11))),IF($A200=0,0,ROUND(SomaAgrupBM,15-13*ORÇAMENTO!$AF$11)))</f>
        <v>0</v>
      </c>
    </row>
    <row r="201" customFormat="false" ht="12.75" hidden="false" customHeight="false" outlineLevel="0" collapsed="false">
      <c r="A201" s="1" t="n">
        <f aca="false">ORÇAMENTO!C201</f>
        <v>2</v>
      </c>
      <c r="B201" s="1" t="n">
        <f aca="false">ORÇAMENTO!D201</f>
        <v>2</v>
      </c>
      <c r="C201" s="199" t="str">
        <f aca="false">IF(OR($I201&gt;0,$A201=1,$A201=2,$A201=3,$A201=4),"F","")</f>
        <v>F</v>
      </c>
      <c r="D201" s="202" t="str">
        <f aca="false">ORÇAMENTO!O201</f>
        <v>1.53.</v>
      </c>
      <c r="E201" s="341" t="str">
        <f aca="false">ORÇAMENTO.Descricao</f>
        <v>CALAFETE / LIMPEZA</v>
      </c>
      <c r="F201" s="342" t="str">
        <f aca="true">IF(RegimeExecucao="Global","",ORÇAMENTO.Unidade)</f>
        <v/>
      </c>
      <c r="G201" s="207" t="str">
        <f aca="true">IF(RegimeExecucao="Global","",ORÇAMENTO!T201)</f>
        <v/>
      </c>
      <c r="H201" s="207" t="str">
        <f aca="true">IF(RegimeExecucao="Global","",ORÇAMENTO!W201)</f>
        <v/>
      </c>
      <c r="I201" s="210" t="n">
        <f aca="false">ORÇAMENTO!X201</f>
        <v>13446</v>
      </c>
      <c r="J201" s="633" t="e">
        <f aca="false" t="array" ref="J201:J201">_xlfn.single(IF($A201="S",IF(CAIXA.Modo,BM.AFAnterior,BM.MEDAnterior),IF(AND(_xlfn.single(RegimeExecucao)="Global",$I201&gt;0,COUNTIF($AB$13:$AM$13,BM.medicao-1)&gt;0),M201/$I201*100,0)))</f>
        <v>#NAME?</v>
      </c>
      <c r="K201" s="207" t="e">
        <f aca="false">L201-J201</f>
        <v>#NAME?</v>
      </c>
      <c r="L201" s="634" t="e">
        <f aca="false" t="array" ref="L201:L201">_xlfn.single(IF($A201="S",IF(CAIXA.Modo,BM.AFAcumulado,BM.MEDAcumulado),IF(AND(_xlfn.single(RegimeExecucao)="Global",$I201&gt;0,COUNTIF($AB$13:$AM$13,BM.medicao)&gt;0),O201/$I201*100,0)))</f>
        <v>#NAME?</v>
      </c>
      <c r="M201" s="635" t="n">
        <f aca="true">IF($A201="S",VTOTALBM,IF($A201=0,0,ROUND(SomaAgrupBM,15-13*ORÇAMENTO!$AF$11)))</f>
        <v>0</v>
      </c>
      <c r="N201" s="219" t="n">
        <f aca="false">O201-M201</f>
        <v>0</v>
      </c>
      <c r="O201" s="210" t="n">
        <f aca="true">IF($A201="S",VTOTALBM,IF($A201=0,0,ROUND(SomaAgrupBM,15-13*ORÇAMENTO!$AF$11)))</f>
        <v>0</v>
      </c>
      <c r="Q201" s="636"/>
      <c r="R201" s="637"/>
      <c r="T201" s="202" t="str">
        <f aca="false">IF($W201&gt;0,$D201,"")</f>
        <v/>
      </c>
      <c r="U201" s="341" t="str">
        <f aca="false">IF($W201&gt;0,$E201,"")</f>
        <v/>
      </c>
      <c r="V201" s="342" t="str">
        <f aca="true">IF(AND($W201&gt;0,RegimeExecucao="Unitário"),$F201,"")</f>
        <v/>
      </c>
      <c r="W201" s="638" t="n">
        <f aca="true">IF($Y201&gt;0,CHOOSE(MATCH(RegimeExecucao,{"Unitário","Global"},0),IF($A201="S",$Y201/$X201,""),($Y201/$X201)*100),0)</f>
        <v>0</v>
      </c>
      <c r="X201" s="639" t="str">
        <f aca="true">IF($Y201&gt;0,CHOOSE(MATCH(RegimeExecucao,{"Unitário","Global"},0),IF($A201="S",ROUND($H201,ORÇAMENTO!$AF$10),""),ROUND($I201,ORÇAMENTO!$AF$11)),"")</f>
        <v/>
      </c>
      <c r="Y201" s="639" t="n">
        <f aca="false">AO201-O201</f>
        <v>0</v>
      </c>
      <c r="Z201" s="640"/>
      <c r="AB201" s="636"/>
      <c r="AC201" s="641"/>
      <c r="AD201" s="641"/>
      <c r="AE201" s="641"/>
      <c r="AF201" s="641"/>
      <c r="AG201" s="641"/>
      <c r="AH201" s="641"/>
      <c r="AI201" s="641"/>
      <c r="AJ201" s="641"/>
      <c r="AK201" s="641"/>
      <c r="AL201" s="641"/>
      <c r="AM201" s="637"/>
      <c r="AO201" s="38" t="n">
        <f aca="true">IF($A201="S",IF(BM!$I201=0,0,CHOOSE(MATCH(RegimeExecucao,{"Global","Unitário"},0),ROUND(ROUND(BM.MEDAcumulado,15-13*BM!$A$9)/100*BM!$I201,15-13*ORÇAMENTO!$AF$11),ROUND(ROUND(BM.MEDAcumulado,15-13*BM!$A$9)*ROUND(BM!$H201,15-13*ORÇAMENTO!$AF$10),15-13*ORÇAMENTO!$AF$11))),IF($A201=0,0,ROUND(SomaAgrupBM,15-13*ORÇAMENTO!$AF$11)))</f>
        <v>0</v>
      </c>
    </row>
    <row r="202" customFormat="false" ht="12.75" hidden="false" customHeight="false" outlineLevel="0" collapsed="false">
      <c r="A202" s="1" t="str">
        <f aca="false">ORÇAMENTO!C202</f>
        <v>S</v>
      </c>
      <c r="B202" s="1" t="n">
        <f aca="false">ORÇAMENTO!D202</f>
        <v>0</v>
      </c>
      <c r="C202" s="199" t="str">
        <f aca="false">IF(OR($I202&gt;0,$A202=1,$A202=2,$A202=3,$A202=4),"F","")</f>
        <v>F</v>
      </c>
      <c r="D202" s="202" t="str">
        <f aca="false">ORÇAMENTO!O202</f>
        <v>1.53.1.</v>
      </c>
      <c r="E202" s="341" t="str">
        <f aca="false">ORÇAMENTO.Descricao</f>
        <v>LIMPEZA FINAL DE OBRA</v>
      </c>
      <c r="F202" s="342" t="str">
        <f aca="true">IF(RegimeExecucao="Global","",ORÇAMENTO.Unidade)</f>
        <v/>
      </c>
      <c r="G202" s="207" t="str">
        <f aca="true">IF(RegimeExecucao="Global","",ORÇAMENTO!T202)</f>
        <v/>
      </c>
      <c r="H202" s="207" t="str">
        <f aca="true">IF(RegimeExecucao="Global","",ORÇAMENTO!W202)</f>
        <v/>
      </c>
      <c r="I202" s="210" t="n">
        <f aca="false">ORÇAMENTO!X202</f>
        <v>13446</v>
      </c>
      <c r="J202" s="633" t="e">
        <f aca="false" t="array" ref="J202:J202">_xlfn.single(IF($A202="S",IF(CAIXA.Modo,BM.AFAnterior,BM.MEDAnterior),IF(AND(_xlfn.single(RegimeExecucao)="Global",$I202&gt;0,COUNTIF($AB$13:$AM$13,BM.medicao-1)&gt;0),M202/$I202*100,0)))</f>
        <v>#NAME?</v>
      </c>
      <c r="K202" s="207" t="e">
        <f aca="false">L202-J202</f>
        <v>#NAME?</v>
      </c>
      <c r="L202" s="634" t="e">
        <f aca="false" t="array" ref="L202:L202">_xlfn.single(IF($A202="S",IF(CAIXA.Modo,BM.AFAcumulado,BM.MEDAcumulado),IF(AND(_xlfn.single(RegimeExecucao)="Global",$I202&gt;0,COUNTIF($AB$13:$AM$13,BM.medicao)&gt;0),O202/$I202*100,0)))</f>
        <v>#NAME?</v>
      </c>
      <c r="M202" s="635" t="n">
        <f aca="true">IF($A202="S",VTOTALBM,IF($A202=0,0,ROUND(SomaAgrupBM,15-13*ORÇAMENTO!$AF$11)))</f>
        <v>0</v>
      </c>
      <c r="N202" s="219" t="n">
        <f aca="false">O202-M202</f>
        <v>0</v>
      </c>
      <c r="O202" s="210" t="n">
        <f aca="true">IF($A202="S",VTOTALBM,IF($A202=0,0,ROUND(SomaAgrupBM,15-13*ORÇAMENTO!$AF$11)))</f>
        <v>0</v>
      </c>
      <c r="Q202" s="636"/>
      <c r="R202" s="637"/>
      <c r="T202" s="202" t="str">
        <f aca="false">IF($W202&gt;0,$D202,"")</f>
        <v/>
      </c>
      <c r="U202" s="341" t="str">
        <f aca="false">IF($W202&gt;0,$E202,"")</f>
        <v/>
      </c>
      <c r="V202" s="342" t="str">
        <f aca="true">IF(AND($W202&gt;0,RegimeExecucao="Unitário"),$F202,"")</f>
        <v/>
      </c>
      <c r="W202" s="638" t="n">
        <f aca="true">IF($Y202&gt;0,CHOOSE(MATCH(RegimeExecucao,{"Unitário","Global"},0),IF($A202="S",$Y202/$X202,""),($Y202/$X202)*100),0)</f>
        <v>0</v>
      </c>
      <c r="X202" s="639" t="str">
        <f aca="true">IF($Y202&gt;0,CHOOSE(MATCH(RegimeExecucao,{"Unitário","Global"},0),IF($A202="S",ROUND($H202,ORÇAMENTO!$AF$10),""),ROUND($I202,ORÇAMENTO!$AF$11)),"")</f>
        <v/>
      </c>
      <c r="Y202" s="639" t="n">
        <f aca="false">AO202-O202</f>
        <v>0</v>
      </c>
      <c r="Z202" s="640"/>
      <c r="AB202" s="636"/>
      <c r="AC202" s="641"/>
      <c r="AD202" s="641"/>
      <c r="AE202" s="641"/>
      <c r="AF202" s="641"/>
      <c r="AG202" s="641"/>
      <c r="AH202" s="641"/>
      <c r="AI202" s="641"/>
      <c r="AJ202" s="641"/>
      <c r="AK202" s="641"/>
      <c r="AL202" s="641"/>
      <c r="AM202" s="637"/>
      <c r="AO202" s="38" t="n">
        <f aca="true">IF($A202="S",IF(BM!$I202=0,0,CHOOSE(MATCH(RegimeExecucao,{"Global","Unitário"},0),ROUND(ROUND(BM.MEDAcumulado,15-13*BM!$A$9)/100*BM!$I202,15-13*ORÇAMENTO!$AF$11),ROUND(ROUND(BM.MEDAcumulado,15-13*BM!$A$9)*ROUND(BM!$H202,15-13*ORÇAMENTO!$AF$10),15-13*ORÇAMENTO!$AF$11))),IF($A202=0,0,ROUND(SomaAgrupBM,15-13*ORÇAMENTO!$AF$11)))</f>
        <v>0</v>
      </c>
    </row>
    <row r="203" customFormat="false" ht="12.75" hidden="false" customHeight="false" outlineLevel="0" collapsed="false">
      <c r="A203" s="1" t="n">
        <f aca="false">ORÇAMENTO!C203</f>
        <v>2</v>
      </c>
      <c r="B203" s="1" t="n">
        <f aca="false">ORÇAMENTO!D203</f>
        <v>1</v>
      </c>
      <c r="C203" s="199" t="str">
        <f aca="false">IF(OR($I203&gt;0,$A203=1,$A203=2,$A203=3,$A203=4),"F","")</f>
        <v>F</v>
      </c>
      <c r="D203" s="202" t="str">
        <f aca="false">ORÇAMENTO!O203</f>
        <v>1.54.</v>
      </c>
      <c r="E203" s="341" t="str">
        <f aca="false">ORÇAMENTO.Descricao</f>
        <v>LIGAÇÕES DEFINITIVAS</v>
      </c>
      <c r="F203" s="342" t="str">
        <f aca="true">IF(RegimeExecucao="Global","",ORÇAMENTO.Unidade)</f>
        <v/>
      </c>
      <c r="G203" s="207" t="str">
        <f aca="true">IF(RegimeExecucao="Global","",ORÇAMENTO!T203)</f>
        <v/>
      </c>
      <c r="H203" s="207" t="str">
        <f aca="true">IF(RegimeExecucao="Global","",ORÇAMENTO!W203)</f>
        <v/>
      </c>
      <c r="I203" s="210" t="n">
        <f aca="false">ORÇAMENTO!X203</f>
        <v>0</v>
      </c>
      <c r="J203" s="633" t="e">
        <f aca="false" t="array" ref="J203:J203">_xlfn.single(IF($A203="S",IF(CAIXA.Modo,BM.AFAnterior,BM.MEDAnterior),IF(AND(_xlfn.single(RegimeExecucao)="Global",$I203&gt;0,COUNTIF($AB$13:$AM$13,BM.medicao-1)&gt;0),M203/$I203*100,0)))</f>
        <v>#NAME?</v>
      </c>
      <c r="K203" s="207" t="e">
        <f aca="false">L203-J203</f>
        <v>#NAME?</v>
      </c>
      <c r="L203" s="634" t="e">
        <f aca="false" t="array" ref="L203:L203">_xlfn.single(IF($A203="S",IF(CAIXA.Modo,BM.AFAcumulado,BM.MEDAcumulado),IF(AND(_xlfn.single(RegimeExecucao)="Global",$I203&gt;0,COUNTIF($AB$13:$AM$13,BM.medicao)&gt;0),O203/$I203*100,0)))</f>
        <v>#NAME?</v>
      </c>
      <c r="M203" s="635" t="n">
        <f aca="true">IF($A203="S",VTOTALBM,IF($A203=0,0,ROUND(SomaAgrupBM,15-13*ORÇAMENTO!$AF$11)))</f>
        <v>0</v>
      </c>
      <c r="N203" s="219" t="n">
        <f aca="false">O203-M203</f>
        <v>0</v>
      </c>
      <c r="O203" s="210" t="n">
        <f aca="true">IF($A203="S",VTOTALBM,IF($A203=0,0,ROUND(SomaAgrupBM,15-13*ORÇAMENTO!$AF$11)))</f>
        <v>0</v>
      </c>
      <c r="Q203" s="636"/>
      <c r="R203" s="637"/>
      <c r="T203" s="202" t="str">
        <f aca="false">IF($W203&gt;0,$D203,"")</f>
        <v/>
      </c>
      <c r="U203" s="341" t="str">
        <f aca="false">IF($W203&gt;0,$E203,"")</f>
        <v/>
      </c>
      <c r="V203" s="342" t="str">
        <f aca="true">IF(AND($W203&gt;0,RegimeExecucao="Unitário"),$F203,"")</f>
        <v/>
      </c>
      <c r="W203" s="638" t="n">
        <f aca="true">IF($Y203&gt;0,CHOOSE(MATCH(RegimeExecucao,{"Unitário","Global"},0),IF($A203="S",$Y203/$X203,""),($Y203/$X203)*100),0)</f>
        <v>0</v>
      </c>
      <c r="X203" s="639" t="str">
        <f aca="true">IF($Y203&gt;0,CHOOSE(MATCH(RegimeExecucao,{"Unitário","Global"},0),IF($A203="S",ROUND($H203,ORÇAMENTO!$AF$10),""),ROUND($I203,ORÇAMENTO!$AF$11)),"")</f>
        <v/>
      </c>
      <c r="Y203" s="639" t="n">
        <f aca="false">AO203-O203</f>
        <v>0</v>
      </c>
      <c r="Z203" s="640"/>
      <c r="AB203" s="636"/>
      <c r="AC203" s="641"/>
      <c r="AD203" s="641"/>
      <c r="AE203" s="641"/>
      <c r="AF203" s="641"/>
      <c r="AG203" s="641"/>
      <c r="AH203" s="641"/>
      <c r="AI203" s="641"/>
      <c r="AJ203" s="641"/>
      <c r="AK203" s="641"/>
      <c r="AL203" s="641"/>
      <c r="AM203" s="637"/>
      <c r="AO203" s="38" t="n">
        <f aca="true">IF($A203="S",IF(BM!$I203=0,0,CHOOSE(MATCH(RegimeExecucao,{"Global","Unitário"},0),ROUND(ROUND(BM.MEDAcumulado,15-13*BM!$A$9)/100*BM!$I203,15-13*ORÇAMENTO!$AF$11),ROUND(ROUND(BM.MEDAcumulado,15-13*BM!$A$9)*ROUND(BM!$H203,15-13*ORÇAMENTO!$AF$10),15-13*ORÇAMENTO!$AF$11))),IF($A203=0,0,ROUND(SomaAgrupBM,15-13*ORÇAMENTO!$AF$11)))</f>
        <v>0</v>
      </c>
    </row>
    <row r="204" customFormat="false" ht="12.75" hidden="false" customHeight="false" outlineLevel="0" collapsed="false">
      <c r="A204" s="1" t="n">
        <f aca="false">ORÇAMENTO!C204</f>
        <v>2</v>
      </c>
      <c r="B204" s="1" t="n">
        <f aca="false">ORÇAMENTO!D204</f>
        <v>1</v>
      </c>
      <c r="C204" s="199" t="str">
        <f aca="false">IF(OR($I204&gt;0,$A204=1,$A204=2,$A204=3,$A204=4),"F","")</f>
        <v>F</v>
      </c>
      <c r="D204" s="202" t="str">
        <f aca="false">ORÇAMENTO!O204</f>
        <v>1.55.</v>
      </c>
      <c r="E204" s="341" t="str">
        <f aca="false">ORÇAMENTO.Descricao</f>
        <v>OUTROS</v>
      </c>
      <c r="F204" s="342" t="str">
        <f aca="true">IF(RegimeExecucao="Global","",ORÇAMENTO.Unidade)</f>
        <v/>
      </c>
      <c r="G204" s="207" t="str">
        <f aca="true">IF(RegimeExecucao="Global","",ORÇAMENTO!T204)</f>
        <v/>
      </c>
      <c r="H204" s="207" t="str">
        <f aca="true">IF(RegimeExecucao="Global","",ORÇAMENTO!W204)</f>
        <v/>
      </c>
      <c r="I204" s="210" t="n">
        <f aca="false">ORÇAMENTO!X204</f>
        <v>0</v>
      </c>
      <c r="J204" s="633" t="e">
        <f aca="false" t="array" ref="J204:J204">_xlfn.single(IF($A204="S",IF(CAIXA.Modo,BM.AFAnterior,BM.MEDAnterior),IF(AND(_xlfn.single(RegimeExecucao)="Global",$I204&gt;0,COUNTIF($AB$13:$AM$13,BM.medicao-1)&gt;0),M204/$I204*100,0)))</f>
        <v>#NAME?</v>
      </c>
      <c r="K204" s="207" t="e">
        <f aca="false">L204-J204</f>
        <v>#NAME?</v>
      </c>
      <c r="L204" s="634" t="e">
        <f aca="false" t="array" ref="L204:L204">_xlfn.single(IF($A204="S",IF(CAIXA.Modo,BM.AFAcumulado,BM.MEDAcumulado),IF(AND(_xlfn.single(RegimeExecucao)="Global",$I204&gt;0,COUNTIF($AB$13:$AM$13,BM.medicao)&gt;0),O204/$I204*100,0)))</f>
        <v>#NAME?</v>
      </c>
      <c r="M204" s="635" t="n">
        <f aca="true">IF($A204="S",VTOTALBM,IF($A204=0,0,ROUND(SomaAgrupBM,15-13*ORÇAMENTO!$AF$11)))</f>
        <v>0</v>
      </c>
      <c r="N204" s="219" t="n">
        <f aca="false">O204-M204</f>
        <v>0</v>
      </c>
      <c r="O204" s="210" t="n">
        <f aca="true">IF($A204="S",VTOTALBM,IF($A204=0,0,ROUND(SomaAgrupBM,15-13*ORÇAMENTO!$AF$11)))</f>
        <v>0</v>
      </c>
      <c r="Q204" s="636"/>
      <c r="R204" s="637"/>
      <c r="T204" s="202" t="str">
        <f aca="false">IF($W204&gt;0,$D204,"")</f>
        <v/>
      </c>
      <c r="U204" s="341" t="str">
        <f aca="false">IF($W204&gt;0,$E204,"")</f>
        <v/>
      </c>
      <c r="V204" s="342" t="str">
        <f aca="true">IF(AND($W204&gt;0,RegimeExecucao="Unitário"),$F204,"")</f>
        <v/>
      </c>
      <c r="W204" s="638" t="n">
        <f aca="true">IF($Y204&gt;0,CHOOSE(MATCH(RegimeExecucao,{"Unitário","Global"},0),IF($A204="S",$Y204/$X204,""),($Y204/$X204)*100),0)</f>
        <v>0</v>
      </c>
      <c r="X204" s="639" t="str">
        <f aca="true">IF($Y204&gt;0,CHOOSE(MATCH(RegimeExecucao,{"Unitário","Global"},0),IF($A204="S",ROUND($H204,ORÇAMENTO!$AF$10),""),ROUND($I204,ORÇAMENTO!$AF$11)),"")</f>
        <v/>
      </c>
      <c r="Y204" s="639" t="n">
        <f aca="false">AO204-O204</f>
        <v>0</v>
      </c>
      <c r="Z204" s="640"/>
      <c r="AB204" s="636"/>
      <c r="AC204" s="641"/>
      <c r="AD204" s="641"/>
      <c r="AE204" s="641"/>
      <c r="AF204" s="641"/>
      <c r="AG204" s="641"/>
      <c r="AH204" s="641"/>
      <c r="AI204" s="641"/>
      <c r="AJ204" s="641"/>
      <c r="AK204" s="641"/>
      <c r="AL204" s="641"/>
      <c r="AM204" s="637"/>
      <c r="AO204" s="38" t="n">
        <f aca="true">IF($A204="S",IF(BM!$I204=0,0,CHOOSE(MATCH(RegimeExecucao,{"Global","Unitário"},0),ROUND(ROUND(BM.MEDAcumulado,15-13*BM!$A$9)/100*BM!$I204,15-13*ORÇAMENTO!$AF$11),ROUND(ROUND(BM.MEDAcumulado,15-13*BM!$A$9)*ROUND(BM!$H204,15-13*ORÇAMENTO!$AF$10),15-13*ORÇAMENTO!$AF$11))),IF($A204=0,0,ROUND(SomaAgrupBM,15-13*ORÇAMENTO!$AF$11)))</f>
        <v>0</v>
      </c>
    </row>
    <row r="205" customFormat="false" ht="4.5" hidden="false" customHeight="true" outlineLevel="0" collapsed="false">
      <c r="C205" s="199" t="s">
        <v>563</v>
      </c>
      <c r="D205" s="241"/>
      <c r="E205" s="244"/>
      <c r="F205" s="244"/>
      <c r="G205" s="244"/>
      <c r="H205" s="244"/>
      <c r="I205" s="242"/>
      <c r="J205" s="241"/>
      <c r="K205" s="244"/>
      <c r="L205" s="242"/>
      <c r="M205" s="653"/>
      <c r="N205" s="654"/>
      <c r="O205" s="655"/>
      <c r="Q205" s="241"/>
      <c r="R205" s="242"/>
      <c r="T205" s="241"/>
      <c r="U205" s="244"/>
      <c r="V205" s="244"/>
      <c r="W205" s="244"/>
      <c r="X205" s="244"/>
      <c r="Y205" s="244"/>
      <c r="Z205" s="242"/>
      <c r="AB205" s="241"/>
      <c r="AC205" s="244"/>
      <c r="AD205" s="244"/>
      <c r="AE205" s="244"/>
      <c r="AF205" s="244"/>
      <c r="AG205" s="244"/>
      <c r="AH205" s="244"/>
      <c r="AI205" s="244"/>
      <c r="AJ205" s="244"/>
      <c r="AK205" s="244"/>
      <c r="AL205" s="244"/>
      <c r="AM205" s="242"/>
    </row>
    <row r="207" customFormat="false" ht="13.8" hidden="false" customHeight="false" outlineLevel="0" collapsed="false">
      <c r="D207" s="656" t="s">
        <v>718</v>
      </c>
      <c r="E207" s="656"/>
      <c r="F207" s="656"/>
      <c r="G207" s="656"/>
      <c r="H207" s="656"/>
      <c r="I207" s="656"/>
      <c r="J207" s="656"/>
      <c r="K207" s="656"/>
      <c r="L207" s="656"/>
      <c r="M207" s="656"/>
      <c r="N207" s="656"/>
      <c r="O207" s="656"/>
      <c r="T207" s="657" t="s">
        <v>1077</v>
      </c>
      <c r="U207" s="657"/>
      <c r="V207" s="657"/>
      <c r="W207" s="657"/>
      <c r="X207" s="657"/>
      <c r="Y207" s="657"/>
      <c r="Z207" s="657"/>
    </row>
    <row r="208" customFormat="false" ht="12.75" hidden="false" customHeight="true" outlineLevel="0" collapsed="false">
      <c r="D208" s="248"/>
      <c r="E208" s="248"/>
      <c r="F208" s="248"/>
      <c r="G208" s="248"/>
      <c r="H208" s="248"/>
      <c r="I208" s="248"/>
      <c r="J208" s="248"/>
      <c r="K208" s="248"/>
      <c r="L208" s="248"/>
      <c r="M208" s="248"/>
      <c r="N208" s="248"/>
      <c r="O208" s="248"/>
      <c r="T208" s="658"/>
      <c r="U208" s="658"/>
      <c r="V208" s="658"/>
      <c r="W208" s="658"/>
      <c r="X208" s="658"/>
      <c r="Y208" s="658"/>
      <c r="Z208" s="658"/>
    </row>
    <row r="209" customFormat="false" ht="12.75" hidden="false" customHeight="true" outlineLevel="0" collapsed="false">
      <c r="D209" s="248"/>
      <c r="E209" s="248"/>
      <c r="F209" s="248"/>
      <c r="G209" s="248"/>
      <c r="H209" s="248"/>
      <c r="I209" s="248"/>
      <c r="J209" s="248"/>
      <c r="K209" s="248"/>
      <c r="L209" s="248"/>
      <c r="M209" s="248"/>
      <c r="N209" s="248"/>
      <c r="O209" s="248"/>
      <c r="T209" s="658"/>
      <c r="U209" s="658"/>
      <c r="V209" s="658"/>
      <c r="W209" s="658"/>
      <c r="X209" s="658"/>
      <c r="Y209" s="658"/>
      <c r="Z209" s="658"/>
    </row>
    <row r="210" customFormat="false" ht="12.75" hidden="false" customHeight="true" outlineLevel="0" collapsed="false">
      <c r="D210" s="248"/>
      <c r="E210" s="248"/>
      <c r="F210" s="248"/>
      <c r="G210" s="248"/>
      <c r="H210" s="248"/>
      <c r="I210" s="248"/>
      <c r="J210" s="248"/>
      <c r="K210" s="248"/>
      <c r="L210" s="248"/>
      <c r="M210" s="248"/>
      <c r="N210" s="248"/>
      <c r="O210" s="248"/>
      <c r="T210" s="658"/>
      <c r="U210" s="658"/>
      <c r="V210" s="658"/>
      <c r="W210" s="658"/>
      <c r="X210" s="658"/>
      <c r="Y210" s="658"/>
      <c r="Z210" s="658"/>
    </row>
    <row r="211" customFormat="false" ht="13.8" hidden="false" customHeight="false" outlineLevel="0" collapsed="false">
      <c r="D211" s="249"/>
      <c r="E211" s="249"/>
      <c r="F211" s="249"/>
      <c r="G211" s="249"/>
      <c r="H211" s="249"/>
      <c r="I211" s="249"/>
      <c r="J211" s="249"/>
      <c r="K211" s="249"/>
      <c r="L211" s="249"/>
      <c r="M211" s="249"/>
      <c r="N211" s="249"/>
      <c r="O211" s="249"/>
    </row>
    <row r="212" customFormat="false" ht="15" hidden="false" customHeight="true" outlineLevel="0" collapsed="false">
      <c r="D212" s="251" t="str">
        <f aca="true">IF(OR(AND(ORÇAMENTO!$AF$7=FALSE(),ORÇAMENTO!$AF$10=FALSE(),RegimeExecucao="Global"),AND(ORÇAMENTO!$AF$7=FALSE(),ORÇAMENTO!$AF$10=FALSE(),ORÇAMENTO!$AF$11=FALSE(),BM!$A$9=FALSE())),"Não foi considerado arredondamento nos valores da planilha.",CONCATENATE("Foi considerado arredondamento de duas casas decimais para ",IF(AND(RegimeExecucao="Unitário",ORÇAMENTO!$AF$7=TRUE()),"Quantidade; ",""),IF(AND(RegimeExecucao="Unitário",ORÇAMENTO!$AF$10=TRUE()),"Preço unitário; ",""),IF(ORÇAMENTO!$AF$11=TRUE(),"Preço total; ",""),,IF(BM!$A$9=TRUE(),"Medição.","")))</f>
        <v>Foi considerado arredondamento de duas casas decimais para Preço total; Medição.</v>
      </c>
      <c r="E212" s="251"/>
      <c r="F212" s="251"/>
      <c r="G212" s="251"/>
      <c r="H212" s="251"/>
      <c r="I212" s="251"/>
      <c r="J212" s="251"/>
      <c r="K212" s="251"/>
      <c r="L212" s="251"/>
    </row>
    <row r="213" customFormat="false" ht="12.75" hidden="false" customHeight="false" outlineLevel="0" collapsed="false">
      <c r="D213" s="659"/>
      <c r="E213" s="659"/>
      <c r="F213" s="659"/>
      <c r="G213" s="659"/>
      <c r="H213" s="659"/>
      <c r="I213" s="659"/>
    </row>
    <row r="214" customFormat="false" ht="12.75" hidden="false" customHeight="false" outlineLevel="0" collapsed="false">
      <c r="D214" s="660" t="str">
        <f aca="false"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214" s="660"/>
      <c r="F214" s="660"/>
      <c r="G214" s="660"/>
      <c r="H214" s="660"/>
      <c r="I214" s="660"/>
      <c r="J214" s="660"/>
      <c r="K214" s="660"/>
      <c r="L214" s="660"/>
      <c r="M214" s="660"/>
      <c r="N214" s="660"/>
      <c r="O214" s="660"/>
    </row>
    <row r="215" customFormat="false" ht="39.75" hidden="false" customHeight="true" outlineLevel="0" collapsed="false">
      <c r="E215" s="254" t="str">
        <f aca="false">Import.Município</f>
        <v>SALINAS</v>
      </c>
      <c r="J215" s="661" t="str">
        <f aca="false">IF(DADOS!$D$50&lt;&gt;"","Preencher os Dados do Responsável pela Fiscalização, na aba DADOS.","")</f>
        <v/>
      </c>
      <c r="K215" s="661"/>
      <c r="L215" s="661"/>
      <c r="M215" s="661"/>
      <c r="W215" s="662"/>
      <c r="X215" s="662"/>
      <c r="Y215" s="662"/>
      <c r="Z215" s="662"/>
    </row>
    <row r="216" customFormat="false" ht="12.75" hidden="false" customHeight="false" outlineLevel="0" collapsed="false">
      <c r="E216" s="58" t="s">
        <v>722</v>
      </c>
      <c r="J216" s="256" t="s">
        <v>1053</v>
      </c>
      <c r="W216" s="256" t="s">
        <v>1078</v>
      </c>
    </row>
    <row r="217" customFormat="false" ht="12.75" hidden="false" customHeight="false" outlineLevel="0" collapsed="false">
      <c r="J217" s="150" t="s">
        <v>261</v>
      </c>
      <c r="K217" s="609" t="n">
        <f aca="false" t="array" ref="K217:K220">Import.RespFiscalização</f>
        <v>0</v>
      </c>
      <c r="L217" s="151"/>
      <c r="W217" s="150" t="s">
        <v>261</v>
      </c>
      <c r="X217" s="663"/>
      <c r="Y217" s="663"/>
      <c r="Z217" s="663"/>
    </row>
    <row r="218" customFormat="false" ht="12.75" hidden="false" customHeight="false" outlineLevel="0" collapsed="false">
      <c r="E218" s="302" t="n">
        <f aca="false">DADOS!$C$48</f>
        <v>0</v>
      </c>
      <c r="J218" s="150" t="s">
        <v>346</v>
      </c>
      <c r="K218" s="609" t="n">
        <v>0</v>
      </c>
      <c r="L218" s="151"/>
      <c r="W218" s="150" t="s">
        <v>1079</v>
      </c>
      <c r="X218" s="663"/>
      <c r="Y218" s="663"/>
      <c r="Z218" s="663"/>
    </row>
    <row r="219" customFormat="false" ht="12.75" hidden="false" customHeight="false" outlineLevel="0" collapsed="false">
      <c r="E219" s="258" t="s">
        <v>723</v>
      </c>
      <c r="J219" s="150" t="s">
        <v>265</v>
      </c>
      <c r="K219" s="609" t="n">
        <v>0</v>
      </c>
      <c r="L219" s="151"/>
      <c r="W219" s="150" t="s">
        <v>265</v>
      </c>
      <c r="X219" s="663"/>
      <c r="Y219" s="663"/>
      <c r="Z219" s="663"/>
    </row>
    <row r="220" customFormat="false" ht="12.75" hidden="false" customHeight="false" outlineLevel="0" collapsed="false">
      <c r="J220" s="150" t="s">
        <v>269</v>
      </c>
      <c r="K220" s="65" t="n">
        <v>0</v>
      </c>
      <c r="W220" s="150"/>
      <c r="X220" s="65"/>
    </row>
  </sheetData>
  <sheetProtection algorithmName="SHA-512" hashValue="eH071+3AEa5TfBwihNaw4iGIvckomiRpv/axKBo0fXCyJw9dhrRkeNHiZic8/LGv0UiysjZk2SMTFFqW67ErdQ==" saltValue="T/m0jDt5nVgMRuzdlf5Kpg==" spinCount="100000" sheet="true" objects="true" scenarios="true" autoFilter="false"/>
  <autoFilter ref="C15:C205"/>
  <mergeCells count="33">
    <mergeCell ref="A3:B3"/>
    <mergeCell ref="D4:E4"/>
    <mergeCell ref="F4:H4"/>
    <mergeCell ref="J4:N4"/>
    <mergeCell ref="D5:E5"/>
    <mergeCell ref="F5:H5"/>
    <mergeCell ref="J5:N5"/>
    <mergeCell ref="F7:H7"/>
    <mergeCell ref="I7:L7"/>
    <mergeCell ref="M7:N7"/>
    <mergeCell ref="C8:C12"/>
    <mergeCell ref="F8:H8"/>
    <mergeCell ref="I8:L8"/>
    <mergeCell ref="M8:N8"/>
    <mergeCell ref="F10:I11"/>
    <mergeCell ref="T11:U11"/>
    <mergeCell ref="AB11:AM11"/>
    <mergeCell ref="J12:L12"/>
    <mergeCell ref="M12:O12"/>
    <mergeCell ref="Q12:R12"/>
    <mergeCell ref="D15:E15"/>
    <mergeCell ref="AB15:AM15"/>
    <mergeCell ref="D207:O207"/>
    <mergeCell ref="T207:Z207"/>
    <mergeCell ref="D208:O210"/>
    <mergeCell ref="T208:Z210"/>
    <mergeCell ref="D212:L212"/>
    <mergeCell ref="D213:I213"/>
    <mergeCell ref="D214:O214"/>
    <mergeCell ref="W215:Z215"/>
    <mergeCell ref="X217:Z217"/>
    <mergeCell ref="X218:Z218"/>
    <mergeCell ref="X219:Z219"/>
  </mergeCells>
  <conditionalFormatting sqref="D51:O51 T51:Z51">
    <cfRule type="expression" priority="2" aboveAverage="0" equalAverage="0" bottom="0" percent="0" rank="0" text="" dxfId="626">
      <formula>OR(ACOMPANHAMENTO="PLE",TIPOORCAMENTO="Proposto",$L51&lt;0,AND($L51&gt;100,RegimeExecucao="Global"),$O51&gt;$I51,$O51&lt;0)</formula>
    </cfRule>
    <cfRule type="expression" priority="3" aboveAverage="0" equalAverage="0" bottom="0" percent="0" rank="0" text="" dxfId="627">
      <formula>$A51=1</formula>
    </cfRule>
    <cfRule type="expression" priority="4" aboveAverage="0" equalAverage="0" bottom="0" percent="0" rank="0" text="" dxfId="628">
      <formula>$A51&lt;&gt;"S"</formula>
    </cfRule>
  </conditionalFormatting>
  <conditionalFormatting sqref="Q51:R51 AB51:AM51">
    <cfRule type="expression" priority="5" aboveAverage="0" equalAverage="0" bottom="0" percent="0" rank="0" text="" dxfId="629">
      <formula>$A51=1</formula>
    </cfRule>
    <cfRule type="expression" priority="6" aboveAverage="0" equalAverage="0" bottom="0" percent="0" rank="0" text="" dxfId="630">
      <formula>$A51&lt;&gt;"S"</formula>
    </cfRule>
  </conditionalFormatting>
  <conditionalFormatting sqref="D23:O23 T23:Z23">
    <cfRule type="expression" priority="7" aboveAverage="0" equalAverage="0" bottom="0" percent="0" rank="0" text="" dxfId="631">
      <formula>OR(ACOMPANHAMENTO="PLE",TIPOORCAMENTO="Proposto",$L23&lt;0,AND($L23&gt;100,RegimeExecucao="Global"),$O23&gt;$I23,$O23&lt;0)</formula>
    </cfRule>
    <cfRule type="expression" priority="8" aboveAverage="0" equalAverage="0" bottom="0" percent="0" rank="0" text="" dxfId="632">
      <formula>$A23=1</formula>
    </cfRule>
    <cfRule type="expression" priority="9" aboveAverage="0" equalAverage="0" bottom="0" percent="0" rank="0" text="" dxfId="633">
      <formula>$A23&lt;&gt;"S"</formula>
    </cfRule>
  </conditionalFormatting>
  <conditionalFormatting sqref="Q23:R23 AB23:AM23">
    <cfRule type="expression" priority="10" aboveAverage="0" equalAverage="0" bottom="0" percent="0" rank="0" text="" dxfId="634">
      <formula>$A23=1</formula>
    </cfRule>
    <cfRule type="expression" priority="11" aboveAverage="0" equalAverage="0" bottom="0" percent="0" rank="0" text="" dxfId="635">
      <formula>$A23&lt;&gt;"S"</formula>
    </cfRule>
  </conditionalFormatting>
  <conditionalFormatting sqref="D25:O26 T25:Z26">
    <cfRule type="expression" priority="12" aboveAverage="0" equalAverage="0" bottom="0" percent="0" rank="0" text="" dxfId="636">
      <formula>OR(ACOMPANHAMENTO="PLE",TIPOORCAMENTO="Proposto",$L25&lt;0,AND($L25&gt;100,RegimeExecucao="Global"),$O25&gt;$I25,$O25&lt;0)</formula>
    </cfRule>
    <cfRule type="expression" priority="13" aboveAverage="0" equalAverage="0" bottom="0" percent="0" rank="0" text="" dxfId="637">
      <formula>$A25=1</formula>
    </cfRule>
    <cfRule type="expression" priority="14" aboveAverage="0" equalAverage="0" bottom="0" percent="0" rank="0" text="" dxfId="638">
      <formula>$A25&lt;&gt;"S"</formula>
    </cfRule>
  </conditionalFormatting>
  <conditionalFormatting sqref="Q25:R26 AB25:AM26">
    <cfRule type="expression" priority="15" aboveAverage="0" equalAverage="0" bottom="0" percent="0" rank="0" text="" dxfId="639">
      <formula>$A25=1</formula>
    </cfRule>
    <cfRule type="expression" priority="16" aboveAverage="0" equalAverage="0" bottom="0" percent="0" rank="0" text="" dxfId="640">
      <formula>$A25&lt;&gt;"S"</formula>
    </cfRule>
  </conditionalFormatting>
  <conditionalFormatting sqref="D67:O67 T67:Z67">
    <cfRule type="expression" priority="17" aboveAverage="0" equalAverage="0" bottom="0" percent="0" rank="0" text="" dxfId="641">
      <formula>OR(ACOMPANHAMENTO="PLE",TIPOORCAMENTO="Proposto",$L67&lt;0,AND($L67&gt;100,RegimeExecucao="Global"),$O67&gt;$I67,$O67&lt;0)</formula>
    </cfRule>
    <cfRule type="expression" priority="18" aboveAverage="0" equalAverage="0" bottom="0" percent="0" rank="0" text="" dxfId="642">
      <formula>$A67=1</formula>
    </cfRule>
    <cfRule type="expression" priority="19" aboveAverage="0" equalAverage="0" bottom="0" percent="0" rank="0" text="" dxfId="643">
      <formula>$A67&lt;&gt;"S"</formula>
    </cfRule>
  </conditionalFormatting>
  <conditionalFormatting sqref="Q67:R67 AB67:AM67">
    <cfRule type="expression" priority="20" aboveAverage="0" equalAverage="0" bottom="0" percent="0" rank="0" text="" dxfId="644">
      <formula>$A67=1</formula>
    </cfRule>
    <cfRule type="expression" priority="21" aboveAverage="0" equalAverage="0" bottom="0" percent="0" rank="0" text="" dxfId="645">
      <formula>$A67&lt;&gt;"S"</formula>
    </cfRule>
  </conditionalFormatting>
  <conditionalFormatting sqref="D66:O66 T66:Z66">
    <cfRule type="expression" priority="22" aboveAverage="0" equalAverage="0" bottom="0" percent="0" rank="0" text="" dxfId="646">
      <formula>OR(ACOMPANHAMENTO="PLE",TIPOORCAMENTO="Proposto",$L66&lt;0,AND($L66&gt;100,RegimeExecucao="Global"),$O66&gt;$I66,$O66&lt;0)</formula>
    </cfRule>
    <cfRule type="expression" priority="23" aboveAverage="0" equalAverage="0" bottom="0" percent="0" rank="0" text="" dxfId="647">
      <formula>$A66=1</formula>
    </cfRule>
    <cfRule type="expression" priority="24" aboveAverage="0" equalAverage="0" bottom="0" percent="0" rank="0" text="" dxfId="648">
      <formula>$A66&lt;&gt;"S"</formula>
    </cfRule>
  </conditionalFormatting>
  <conditionalFormatting sqref="Q66:R66 AB66:AM66">
    <cfRule type="expression" priority="25" aboveAverage="0" equalAverage="0" bottom="0" percent="0" rank="0" text="" dxfId="649">
      <formula>$A66=1</formula>
    </cfRule>
    <cfRule type="expression" priority="26" aboveAverage="0" equalAverage="0" bottom="0" percent="0" rank="0" text="" dxfId="650">
      <formula>$A66&lt;&gt;"S"</formula>
    </cfRule>
  </conditionalFormatting>
  <conditionalFormatting sqref="D45:O45 T45:Z45">
    <cfRule type="expression" priority="27" aboveAverage="0" equalAverage="0" bottom="0" percent="0" rank="0" text="" dxfId="651">
      <formula>OR(ACOMPANHAMENTO="PLE",TIPOORCAMENTO="Proposto",$L45&lt;0,AND($L45&gt;100,RegimeExecucao="Global"),$O45&gt;$I45,$O45&lt;0)</formula>
    </cfRule>
    <cfRule type="expression" priority="28" aboveAverage="0" equalAverage="0" bottom="0" percent="0" rank="0" text="" dxfId="652">
      <formula>$A45=1</formula>
    </cfRule>
    <cfRule type="expression" priority="29" aboveAverage="0" equalAverage="0" bottom="0" percent="0" rank="0" text="" dxfId="653">
      <formula>$A45&lt;&gt;"S"</formula>
    </cfRule>
  </conditionalFormatting>
  <conditionalFormatting sqref="Q45:R45 AB45:AM45">
    <cfRule type="expression" priority="30" aboveAverage="0" equalAverage="0" bottom="0" percent="0" rank="0" text="" dxfId="654">
      <formula>$A45=1</formula>
    </cfRule>
    <cfRule type="expression" priority="31" aboveAverage="0" equalAverage="0" bottom="0" percent="0" rank="0" text="" dxfId="655">
      <formula>$A45&lt;&gt;"S"</formula>
    </cfRule>
  </conditionalFormatting>
  <conditionalFormatting sqref="D60:O60 T60:Z60">
    <cfRule type="expression" priority="32" aboveAverage="0" equalAverage="0" bottom="0" percent="0" rank="0" text="" dxfId="656">
      <formula>OR(ACOMPANHAMENTO="PLE",TIPOORCAMENTO="Proposto",$L60&lt;0,AND($L60&gt;100,RegimeExecucao="Global"),$O60&gt;$I60,$O60&lt;0)</formula>
    </cfRule>
    <cfRule type="expression" priority="33" aboveAverage="0" equalAverage="0" bottom="0" percent="0" rank="0" text="" dxfId="657">
      <formula>$A60=1</formula>
    </cfRule>
    <cfRule type="expression" priority="34" aboveAverage="0" equalAverage="0" bottom="0" percent="0" rank="0" text="" dxfId="658">
      <formula>$A60&lt;&gt;"S"</formula>
    </cfRule>
  </conditionalFormatting>
  <conditionalFormatting sqref="Q60:R60 AB60:AM60">
    <cfRule type="expression" priority="35" aboveAverage="0" equalAverage="0" bottom="0" percent="0" rank="0" text="" dxfId="659">
      <formula>$A60=1</formula>
    </cfRule>
    <cfRule type="expression" priority="36" aboveAverage="0" equalAverage="0" bottom="0" percent="0" rank="0" text="" dxfId="660">
      <formula>$A60&lt;&gt;"S"</formula>
    </cfRule>
  </conditionalFormatting>
  <conditionalFormatting sqref="D57:O57 T57:Z57">
    <cfRule type="expression" priority="37" aboveAverage="0" equalAverage="0" bottom="0" percent="0" rank="0" text="" dxfId="661">
      <formula>OR(ACOMPANHAMENTO="PLE",TIPOORCAMENTO="Proposto",$L57&lt;0,AND($L57&gt;100,RegimeExecucao="Global"),$O57&gt;$I57,$O57&lt;0)</formula>
    </cfRule>
    <cfRule type="expression" priority="38" aboveAverage="0" equalAverage="0" bottom="0" percent="0" rank="0" text="" dxfId="662">
      <formula>$A57=1</formula>
    </cfRule>
    <cfRule type="expression" priority="39" aboveAverage="0" equalAverage="0" bottom="0" percent="0" rank="0" text="" dxfId="663">
      <formula>$A57&lt;&gt;"S"</formula>
    </cfRule>
  </conditionalFormatting>
  <conditionalFormatting sqref="Q57:R57 AB57:AM57">
    <cfRule type="expression" priority="40" aboveAverage="0" equalAverage="0" bottom="0" percent="0" rank="0" text="" dxfId="664">
      <formula>$A57=1</formula>
    </cfRule>
    <cfRule type="expression" priority="41" aboveAverage="0" equalAverage="0" bottom="0" percent="0" rank="0" text="" dxfId="665">
      <formula>$A57&lt;&gt;"S"</formula>
    </cfRule>
  </conditionalFormatting>
  <conditionalFormatting sqref="D49:O49 T49:Z49">
    <cfRule type="expression" priority="42" aboveAverage="0" equalAverage="0" bottom="0" percent="0" rank="0" text="" dxfId="666">
      <formula>OR(ACOMPANHAMENTO="PLE",TIPOORCAMENTO="Proposto",$L49&lt;0,AND($L49&gt;100,RegimeExecucao="Global"),$O49&gt;$I49,$O49&lt;0)</formula>
    </cfRule>
    <cfRule type="expression" priority="43" aboveAverage="0" equalAverage="0" bottom="0" percent="0" rank="0" text="" dxfId="667">
      <formula>$A49=1</formula>
    </cfRule>
    <cfRule type="expression" priority="44" aboveAverage="0" equalAverage="0" bottom="0" percent="0" rank="0" text="" dxfId="668">
      <formula>$A49&lt;&gt;"S"</formula>
    </cfRule>
  </conditionalFormatting>
  <conditionalFormatting sqref="Q49:R49 AB49:AM49">
    <cfRule type="expression" priority="45" aboveAverage="0" equalAverage="0" bottom="0" percent="0" rank="0" text="" dxfId="669">
      <formula>$A49=1</formula>
    </cfRule>
    <cfRule type="expression" priority="46" aboveAverage="0" equalAverage="0" bottom="0" percent="0" rank="0" text="" dxfId="670">
      <formula>$A49&lt;&gt;"S"</formula>
    </cfRule>
  </conditionalFormatting>
  <conditionalFormatting sqref="D46:O47 T46:Z47">
    <cfRule type="expression" priority="47" aboveAverage="0" equalAverage="0" bottom="0" percent="0" rank="0" text="" dxfId="671">
      <formula>OR(ACOMPANHAMENTO="PLE",TIPOORCAMENTO="Proposto",$L46&lt;0,AND($L46&gt;100,RegimeExecucao="Global"),$O46&gt;$I46,$O46&lt;0)</formula>
    </cfRule>
    <cfRule type="expression" priority="48" aboveAverage="0" equalAverage="0" bottom="0" percent="0" rank="0" text="" dxfId="672">
      <formula>$A46=1</formula>
    </cfRule>
    <cfRule type="expression" priority="49" aboveAverage="0" equalAverage="0" bottom="0" percent="0" rank="0" text="" dxfId="673">
      <formula>$A46&lt;&gt;"S"</formula>
    </cfRule>
  </conditionalFormatting>
  <conditionalFormatting sqref="Q46:R47 AB46:AM47">
    <cfRule type="expression" priority="50" aboveAverage="0" equalAverage="0" bottom="0" percent="0" rank="0" text="" dxfId="674">
      <formula>$A46=1</formula>
    </cfRule>
    <cfRule type="expression" priority="51" aboveAverage="0" equalAverage="0" bottom="0" percent="0" rank="0" text="" dxfId="675">
      <formula>$A46&lt;&gt;"S"</formula>
    </cfRule>
  </conditionalFormatting>
  <conditionalFormatting sqref="D44:O44 T44:Z44">
    <cfRule type="expression" priority="52" aboveAverage="0" equalAverage="0" bottom="0" percent="0" rank="0" text="" dxfId="676">
      <formula>OR(ACOMPANHAMENTO="PLE",TIPOORCAMENTO="Proposto",$L44&lt;0,AND($L44&gt;100,RegimeExecucao="Global"),$O44&gt;$I44,$O44&lt;0)</formula>
    </cfRule>
    <cfRule type="expression" priority="53" aboveAverage="0" equalAverage="0" bottom="0" percent="0" rank="0" text="" dxfId="677">
      <formula>$A44=1</formula>
    </cfRule>
    <cfRule type="expression" priority="54" aboveAverage="0" equalAverage="0" bottom="0" percent="0" rank="0" text="" dxfId="678">
      <formula>$A44&lt;&gt;"S"</formula>
    </cfRule>
  </conditionalFormatting>
  <conditionalFormatting sqref="Q44:R44 AB44:AM44">
    <cfRule type="expression" priority="55" aboveAverage="0" equalAverage="0" bottom="0" percent="0" rank="0" text="" dxfId="679">
      <formula>$A44=1</formula>
    </cfRule>
    <cfRule type="expression" priority="56" aboveAverage="0" equalAverage="0" bottom="0" percent="0" rank="0" text="" dxfId="680">
      <formula>$A44&lt;&gt;"S"</formula>
    </cfRule>
  </conditionalFormatting>
  <conditionalFormatting sqref="D24:O24 T24:Z24">
    <cfRule type="expression" priority="57" aboveAverage="0" equalAverage="0" bottom="0" percent="0" rank="0" text="" dxfId="681">
      <formula>OR(ACOMPANHAMENTO="PLE",TIPOORCAMENTO="Proposto",$L24&lt;0,AND($L24&gt;100,RegimeExecucao="Global"),$O24&gt;$I24,$O24&lt;0)</formula>
    </cfRule>
    <cfRule type="expression" priority="58" aboveAverage="0" equalAverage="0" bottom="0" percent="0" rank="0" text="" dxfId="682">
      <formula>$A24=1</formula>
    </cfRule>
    <cfRule type="expression" priority="59" aboveAverage="0" equalAverage="0" bottom="0" percent="0" rank="0" text="" dxfId="683">
      <formula>$A24&lt;&gt;"S"</formula>
    </cfRule>
  </conditionalFormatting>
  <conditionalFormatting sqref="Q24:R24 AB24:AM24">
    <cfRule type="expression" priority="60" aboveAverage="0" equalAverage="0" bottom="0" percent="0" rank="0" text="" dxfId="684">
      <formula>$A24=1</formula>
    </cfRule>
    <cfRule type="expression" priority="61" aboveAverage="0" equalAverage="0" bottom="0" percent="0" rank="0" text="" dxfId="685">
      <formula>$A24&lt;&gt;"S"</formula>
    </cfRule>
  </conditionalFormatting>
  <conditionalFormatting sqref="D89:O97 T89:Z97">
    <cfRule type="expression" priority="62" aboveAverage="0" equalAverage="0" bottom="0" percent="0" rank="0" text="" dxfId="686">
      <formula>OR(ACOMPANHAMENTO="PLE",TIPOORCAMENTO="Proposto",$L89&lt;0,AND($L89&gt;100,RegimeExecucao="Global"),$O89&gt;$I89,$O89&lt;0)</formula>
    </cfRule>
    <cfRule type="expression" priority="63" aboveAverage="0" equalAverage="0" bottom="0" percent="0" rank="0" text="" dxfId="687">
      <formula>$A89=1</formula>
    </cfRule>
    <cfRule type="expression" priority="64" aboveAverage="0" equalAverage="0" bottom="0" percent="0" rank="0" text="" dxfId="688">
      <formula>$A89&lt;&gt;"S"</formula>
    </cfRule>
  </conditionalFormatting>
  <conditionalFormatting sqref="Q89:R97 AB89:AM97">
    <cfRule type="expression" priority="65" aboveAverage="0" equalAverage="0" bottom="0" percent="0" rank="0" text="" dxfId="689">
      <formula>$A89=1</formula>
    </cfRule>
    <cfRule type="expression" priority="66" aboveAverage="0" equalAverage="0" bottom="0" percent="0" rank="0" text="" dxfId="690">
      <formula>$A89&lt;&gt;"S"</formula>
    </cfRule>
  </conditionalFormatting>
  <conditionalFormatting sqref="D74:O81 T74:Z81">
    <cfRule type="expression" priority="67" aboveAverage="0" equalAverage="0" bottom="0" percent="0" rank="0" text="" dxfId="691">
      <formula>OR(ACOMPANHAMENTO="PLE",TIPOORCAMENTO="Proposto",$L74&lt;0,AND($L74&gt;100,RegimeExecucao="Global"),$O74&gt;$I74,$O74&lt;0)</formula>
    </cfRule>
    <cfRule type="expression" priority="68" aboveAverage="0" equalAverage="0" bottom="0" percent="0" rank="0" text="" dxfId="692">
      <formula>$A74=1</formula>
    </cfRule>
    <cfRule type="expression" priority="69" aboveAverage="0" equalAverage="0" bottom="0" percent="0" rank="0" text="" dxfId="693">
      <formula>$A74&lt;&gt;"S"</formula>
    </cfRule>
  </conditionalFormatting>
  <conditionalFormatting sqref="Q74:R81 AB74:AM81">
    <cfRule type="expression" priority="70" aboveAverage="0" equalAverage="0" bottom="0" percent="0" rank="0" text="" dxfId="694">
      <formula>$A74=1</formula>
    </cfRule>
    <cfRule type="expression" priority="71" aboveAverage="0" equalAverage="0" bottom="0" percent="0" rank="0" text="" dxfId="695">
      <formula>$A74&lt;&gt;"S"</formula>
    </cfRule>
  </conditionalFormatting>
  <conditionalFormatting sqref="T56:Z56 D56:O56 D65:O65 T65:Z65">
    <cfRule type="expression" priority="72" aboveAverage="0" equalAverage="0" bottom="0" percent="0" rank="0" text="" dxfId="696">
      <formula>OR(ACOMPANHAMENTO="PLE",TIPOORCAMENTO="Proposto",$L56&lt;0,AND($L56&gt;100,RegimeExecucao="Global"),$O56&gt;$I56,$O56&lt;0)</formula>
    </cfRule>
    <cfRule type="expression" priority="73" aboveAverage="0" equalAverage="0" bottom="0" percent="0" rank="0" text="" dxfId="697">
      <formula>$A56=1</formula>
    </cfRule>
    <cfRule type="expression" priority="74" aboveAverage="0" equalAverage="0" bottom="0" percent="0" rank="0" text="" dxfId="698">
      <formula>$A56&lt;&gt;"S"</formula>
    </cfRule>
  </conditionalFormatting>
  <conditionalFormatting sqref="AB56:AM56 Q56:R56 Q65:R65 AB65:AM65">
    <cfRule type="expression" priority="75" aboveAverage="0" equalAverage="0" bottom="0" percent="0" rank="0" text="" dxfId="699">
      <formula>$A56=1</formula>
    </cfRule>
    <cfRule type="expression" priority="76" aboveAverage="0" equalAverage="0" bottom="0" percent="0" rank="0" text="" dxfId="700">
      <formula>$A56&lt;&gt;"S"</formula>
    </cfRule>
  </conditionalFormatting>
  <conditionalFormatting sqref="T48:Z48 D48:O48 D50:O50 T50:Z50 T52:Z52 D52:O52">
    <cfRule type="expression" priority="77" aboveAverage="0" equalAverage="0" bottom="0" percent="0" rank="0" text="" dxfId="701">
      <formula>OR(ACOMPANHAMENTO="PLE",TIPOORCAMENTO="Proposto",$L48&lt;0,AND($L48&gt;100,RegimeExecucao="Global"),$O48&gt;$I48,$O48&lt;0)</formula>
    </cfRule>
    <cfRule type="expression" priority="78" aboveAverage="0" equalAverage="0" bottom="0" percent="0" rank="0" text="" dxfId="702">
      <formula>$A48=1</formula>
    </cfRule>
    <cfRule type="expression" priority="79" aboveAverage="0" equalAverage="0" bottom="0" percent="0" rank="0" text="" dxfId="703">
      <formula>$A48&lt;&gt;"S"</formula>
    </cfRule>
  </conditionalFormatting>
  <conditionalFormatting sqref="AB48:AM48 Q48:R48 Q50:R50 AB50:AM50 AB52:AM52 Q52:R52">
    <cfRule type="expression" priority="80" aboveAverage="0" equalAverage="0" bottom="0" percent="0" rank="0" text="" dxfId="704">
      <formula>$A48=1</formula>
    </cfRule>
    <cfRule type="expression" priority="81" aboveAverage="0" equalAverage="0" bottom="0" percent="0" rank="0" text="" dxfId="705">
      <formula>$A48&lt;&gt;"S"</formula>
    </cfRule>
  </conditionalFormatting>
  <conditionalFormatting sqref="D16:O22 T16:Z22">
    <cfRule type="expression" priority="82" aboveAverage="0" equalAverage="0" bottom="0" percent="0" rank="0" text="" dxfId="706">
      <formula>OR(ACOMPANHAMENTO="PLE",TIPOORCAMENTO="Proposto",$L16&lt;0,AND($L16&gt;100,RegimeExecucao="Global"),$O16&gt;$I16,$O16&lt;0)</formula>
    </cfRule>
    <cfRule type="expression" priority="83" aboveAverage="0" equalAverage="0" bottom="0" percent="0" rank="0" text="" dxfId="707">
      <formula>$A16=1</formula>
    </cfRule>
    <cfRule type="expression" priority="84" aboveAverage="0" equalAverage="0" bottom="0" percent="0" rank="0" text="" dxfId="708">
      <formula>$A16&lt;&gt;"S"</formula>
    </cfRule>
  </conditionalFormatting>
  <conditionalFormatting sqref="Q16:R22 AB16:AM22">
    <cfRule type="expression" priority="85" aboveAverage="0" equalAverage="0" bottom="0" percent="0" rank="0" text="" dxfId="709">
      <formula>$A16=1</formula>
    </cfRule>
    <cfRule type="expression" priority="86" aboveAverage="0" equalAverage="0" bottom="0" percent="0" rank="0" text="" dxfId="710">
      <formula>$A16&lt;&gt;"S"</formula>
    </cfRule>
  </conditionalFormatting>
  <conditionalFormatting sqref="O11">
    <cfRule type="expression" priority="87" aboveAverage="0" equalAverage="0" bottom="0" percent="0" rank="0" text="" dxfId="711">
      <formula>ROUND($P$11,4)&gt;ROUND($P$10,4)</formula>
    </cfRule>
  </conditionalFormatting>
  <conditionalFormatting sqref="D14:O14 T14:Z14 D68:O73 T68:Z73 D53:O55 T53:Z55 D58:O59 T58:Z59 D61:O64 T61:Z64 D82:O88 T82:Z88 D98:O204 T98:Z204 D27:O43 T27:Z43">
    <cfRule type="expression" priority="88" aboveAverage="0" equalAverage="0" bottom="0" percent="0" rank="0" text="" dxfId="712">
      <formula>OR(ACOMPANHAMENTO="PLE",TIPOORCAMENTO="Proposto",$L14&lt;0,AND($L14&gt;100,RegimeExecucao="Global"),$O14&gt;$I14,$O14&lt;0)</formula>
    </cfRule>
    <cfRule type="expression" priority="89" aboveAverage="0" equalAverage="0" bottom="0" percent="0" rank="0" text="" dxfId="713">
      <formula>$A14=1</formula>
    </cfRule>
    <cfRule type="expression" priority="90" aboveAverage="0" equalAverage="0" bottom="0" percent="0" rank="0" text="" dxfId="714">
      <formula>$A14&lt;&gt;"S"</formula>
    </cfRule>
  </conditionalFormatting>
  <conditionalFormatting sqref="Q14:R14 AB14:AM14 Q68:R73 AB68:AM73 Q53:R55 AB53:AM55 Q58:R59 AB58:AM59 Q61:R64 AB61:AM64 Q82:R88 AB82:AM88 Q98:R204 AB98:AM204 Q27:R43 AB27:AM43">
    <cfRule type="expression" priority="91" aboveAverage="0" equalAverage="0" bottom="0" percent="0" rank="0" text="" dxfId="715">
      <formula>$A14=1</formula>
    </cfRule>
    <cfRule type="expression" priority="92" aboveAverage="0" equalAverage="0" bottom="0" percent="0" rank="0" text="" dxfId="716">
      <formula>$A14&lt;&gt;"S"</formula>
    </cfRule>
  </conditionalFormatting>
  <conditionalFormatting sqref="E2">
    <cfRule type="expression" priority="93" aboveAverage="0" equalAverage="0" bottom="0" percent="0" rank="0" text="" dxfId="717">
      <formula>Import.RegimeExecução="(SELECIONAR)"</formula>
    </cfRule>
  </conditionalFormatting>
  <conditionalFormatting sqref="F13:H13">
    <cfRule type="expression" priority="94" aboveAverage="0" equalAverage="0" bottom="0" percent="0" rank="0" text="" dxfId="718">
      <formula>RegimeExecucao="Global"</formula>
    </cfRule>
  </conditionalFormatting>
  <conditionalFormatting sqref="D15:O15">
    <cfRule type="expression" priority="95" aboveAverage="0" equalAverage="0" bottom="0" percent="0" rank="0" text="" dxfId="719">
      <formula>OR(ACOMPANHAMENTO="PLE",TIPOORCAMENTO="Proposto")</formula>
    </cfRule>
  </conditionalFormatting>
  <conditionalFormatting sqref="AB13">
    <cfRule type="cellIs" priority="96" operator="notEqual" aboveAverage="0" equalAverage="0" bottom="0" percent="0" rank="0" text="" dxfId="720">
      <formula>1</formula>
    </cfRule>
  </conditionalFormatting>
  <dataValidations count="4">
    <dataValidation allowBlank="true" errorStyle="stop" operator="between" showDropDown="false" showErrorMessage="true" showInputMessage="false" sqref="Z14 Z16:Z204" type="list">
      <formula1>"não executado,não previsto no orçamento,material inadequado,desacordo com os projetos,não atende as observações,qualidade insatisfatória,ver observações abaixo"</formula1>
      <formula2>0</formula2>
    </dataValidation>
    <dataValidation allowBlank="true" error="Digite somente valores entre 0 e a Medição Acumulada." errorStyle="warning" errorTitle="Atenção!" operator="between" showDropDown="false" showErrorMessage="true" showInputMessage="false" sqref="Q14:R14 Q16:R204" type="decimal">
      <formula1>0</formula1>
      <formula2>BM.MEDAcumulado</formula2>
    </dataValidation>
    <dataValidation allowBlank="true" errorStyle="stop" operator="greaterThan" showDropDown="false" showErrorMessage="true" showInputMessage="true" sqref="O8" type="whole">
      <formula1>0</formula1>
      <formula2>0</formula2>
    </dataValidation>
    <dataValidation allowBlank="true" error="% medido é superior a 100% (Global)&#10;ou&#10;Quantidade é superior a contratada  (P. Unit)&#10;ou&#10;Evolução acumulada negativa" errorStyle="warning" errorTitle="Atenção!" operator="between" showDropDown="false" showErrorMessage="true" showInputMessage="false" sqref="AB14:AM14 AB16:AM204" type="decimal">
      <formula1>BM.MinMed</formula1>
      <formula2>BM.MaxMed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&amp;LPMv3.12&amp;R&amp;P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4" name=" ">
              <controlPr defaultSize="0" locked="1" autoFill="0" autoLine="0" autoPict="0" print="true" altText="CaixaArredMed">
                <anchor moveWithCells="true" sizeWithCells="false">
                  <from>
                    <xdr:col>3</xdr:col>
                    <xdr:colOff>9088560</xdr:colOff>
                    <xdr:row>6</xdr:row>
                    <xdr:rowOff>73800</xdr:rowOff>
                  </from>
                  <to>
                    <xdr:col>4</xdr:col>
                    <xdr:colOff>186480</xdr:colOff>
                    <xdr:row>7</xdr:row>
                    <xdr:rowOff>127080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O4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6" ySplit="13" topLeftCell="G14" activePane="bottomRight" state="frozen"/>
      <selection pane="topLeft" activeCell="A1" activeCellId="0" sqref="A1"/>
      <selection pane="topRight" activeCell="G1" activeCellId="0" sqref="G1"/>
      <selection pane="bottomLeft" activeCell="A14" activeCellId="0" sqref="A14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true" outlineLevel="0" max="3" min="1" style="1" width="9.14"/>
    <col collapsed="false" customWidth="true" hidden="false" outlineLevel="0" max="4" min="4" style="1" width="3.57"/>
    <col collapsed="false" customWidth="true" hidden="false" outlineLevel="0" max="5" min="5" style="1" width="7.57"/>
    <col collapsed="false" customWidth="true" hidden="false" outlineLevel="0" max="6" min="6" style="1" width="35.57"/>
    <col collapsed="false" customWidth="true" hidden="false" outlineLevel="0" max="7" min="7" style="1" width="15.57"/>
    <col collapsed="false" customWidth="true" hidden="false" outlineLevel="0" max="8" min="8" style="1" width="12.57"/>
    <col collapsed="false" customWidth="true" hidden="false" outlineLevel="0" max="9" min="9" style="1" width="7.57"/>
    <col collapsed="false" customWidth="true" hidden="false" outlineLevel="0" max="10" min="10" style="1" width="16.57"/>
    <col collapsed="false" customWidth="true" hidden="false" outlineLevel="0" max="11" min="11" style="1" width="5.57"/>
    <col collapsed="false" customWidth="true" hidden="false" outlineLevel="0" max="15" min="12" style="1" width="16.57"/>
    <col collapsed="false" customWidth="true" hidden="false" outlineLevel="0" max="16" min="16" style="1" width="11.57"/>
    <col collapsed="false" customWidth="true" hidden="true" outlineLevel="0" max="21" min="17" style="1" width="9.14"/>
    <col collapsed="false" customWidth="true" hidden="true" outlineLevel="0" max="22" min="22" style="1" width="12.15"/>
    <col collapsed="false" customWidth="true" hidden="false" outlineLevel="0" max="24" min="23" style="1" width="5.57"/>
    <col collapsed="false" customWidth="true" hidden="false" outlineLevel="0" max="26" min="25" style="1" width="16.57"/>
    <col collapsed="false" customWidth="true" hidden="false" outlineLevel="0" max="27" min="27" style="1" width="1.57"/>
    <col collapsed="false" customWidth="true" hidden="true" outlineLevel="0" max="41" min="29" style="1" width="9.14"/>
  </cols>
  <sheetData>
    <row r="1" customFormat="false" ht="30" hidden="false" customHeight="true" outlineLevel="0" collapsed="false">
      <c r="F1" s="664" t="str">
        <f aca="false">CONCATENATE("RRE - RELATÓRIO RESUMO DO EMPREENDIMENTO - ",IF(CAIXA.Modo,"CAIXA","TOMADOR"))</f>
        <v>RRE - RELATÓRIO RESUMO DO EMPREENDIMENTO - TOMADOR</v>
      </c>
      <c r="H1" s="51"/>
      <c r="I1" s="51"/>
      <c r="P1" s="665" t="s">
        <v>1080</v>
      </c>
      <c r="AD1" s="666" t="s">
        <v>1081</v>
      </c>
      <c r="AE1" s="667" t="s">
        <v>1082</v>
      </c>
    </row>
    <row r="2" customFormat="false" ht="12.75" hidden="false" customHeight="false" outlineLevel="0" collapsed="false">
      <c r="AC2" s="668" t="str">
        <f aca="false">J16</f>
        <v>Repasse</v>
      </c>
      <c r="AD2" s="669" t="e">
        <f aca="false">AD6-AD4-AD3</f>
        <v>#NAME?</v>
      </c>
      <c r="AE2" s="669" t="e">
        <f aca="false">AE6-AE4-AE3</f>
        <v>#NAME?</v>
      </c>
    </row>
    <row r="3" customFormat="false" ht="12.75" hidden="false" customHeight="false" outlineLevel="0" collapsed="false">
      <c r="E3" s="172" t="s">
        <v>679</v>
      </c>
      <c r="F3" s="172"/>
      <c r="G3" s="172"/>
      <c r="H3" s="172"/>
      <c r="I3" s="103" t="s">
        <v>677</v>
      </c>
      <c r="J3" s="103"/>
      <c r="K3" s="103"/>
      <c r="L3" s="162" t="s">
        <v>737</v>
      </c>
      <c r="M3" s="312"/>
      <c r="O3" s="670"/>
      <c r="P3" s="517" t="s">
        <v>745</v>
      </c>
      <c r="R3" s="312"/>
      <c r="S3" s="312"/>
      <c r="T3" s="312"/>
      <c r="U3" s="312"/>
      <c r="AC3" s="668" t="s">
        <v>483</v>
      </c>
      <c r="AD3" s="669" t="e">
        <f aca="true">SUM(T13:OFFSET(T15,-1,0))</f>
        <v>#NAME?</v>
      </c>
      <c r="AE3" s="669" t="e">
        <f aca="false">IF(OR($O$19&lt;$M$19,$M$17&gt;$AD$3),MIN($M$17,$L$17),MIN($AD$3,$N$19-$N$18+$M$17))</f>
        <v>#NAME?</v>
      </c>
    </row>
    <row r="4" customFormat="false" ht="12.75" hidden="false" customHeight="true" outlineLevel="0" collapsed="false">
      <c r="E4" s="179" t="str">
        <f aca="false">Import.Proponente</f>
        <v>PREFEITURA MUNICIPAL DE SALINAS</v>
      </c>
      <c r="F4" s="179"/>
      <c r="G4" s="179"/>
      <c r="H4" s="179"/>
      <c r="I4" s="104" t="str">
        <f aca="false">Import.CR</f>
        <v>1100251-88</v>
      </c>
      <c r="J4" s="104"/>
      <c r="K4" s="104"/>
      <c r="L4" s="104" t="str">
        <f aca="false">Import.TransfereGOV</f>
        <v>974240/2024</v>
      </c>
      <c r="M4" s="514" t="s">
        <v>1020</v>
      </c>
      <c r="N4" s="514"/>
      <c r="O4" s="514"/>
      <c r="P4" s="671" t="str">
        <f aca="false">import.recurso</f>
        <v>OGU</v>
      </c>
      <c r="R4" s="312"/>
      <c r="S4" s="312"/>
      <c r="T4" s="670"/>
      <c r="U4" s="670"/>
      <c r="AC4" s="668" t="s">
        <v>1083</v>
      </c>
      <c r="AD4" s="669" t="e">
        <f aca="true">SUM(U13:OFFSET(U15,-1,0))</f>
        <v>#NAME?</v>
      </c>
      <c r="AE4" s="669" t="e">
        <f aca="false">IF(OR($O$19&lt;$M$19,$M$18&gt;$AD$4),MIN($M$18,$L$18),MIN($AD$4,$N$19+$M$18))</f>
        <v>#NAME?</v>
      </c>
    </row>
    <row r="5" customFormat="false" ht="4.5" hidden="false" customHeight="true" outlineLevel="0" collapsed="false">
      <c r="H5" s="520"/>
      <c r="I5" s="520"/>
      <c r="J5" s="520"/>
      <c r="K5" s="520"/>
      <c r="L5" s="520"/>
      <c r="M5" s="672"/>
      <c r="N5" s="36"/>
      <c r="O5" s="9"/>
      <c r="R5" s="312"/>
      <c r="S5" s="312"/>
      <c r="T5" s="312"/>
      <c r="U5" s="312"/>
    </row>
    <row r="6" customFormat="false" ht="12.75" hidden="false" customHeight="true" outlineLevel="0" collapsed="false">
      <c r="E6" s="103" t="s">
        <v>738</v>
      </c>
      <c r="F6" s="103"/>
      <c r="G6" s="103"/>
      <c r="H6" s="103"/>
      <c r="I6" s="673" t="s">
        <v>1019</v>
      </c>
      <c r="J6" s="673"/>
      <c r="K6" s="673"/>
      <c r="L6" s="673"/>
      <c r="M6" s="103" t="str">
        <f aca="false">IF(import.recurso="FGTS","FINANCIAMENTO","REPASSE")</f>
        <v>REPASSE</v>
      </c>
      <c r="N6" s="172" t="s">
        <v>1021</v>
      </c>
      <c r="O6" s="103" t="s">
        <v>1022</v>
      </c>
      <c r="P6" s="313" t="s">
        <v>1084</v>
      </c>
      <c r="R6" s="312"/>
      <c r="S6" s="312"/>
      <c r="T6" s="312"/>
      <c r="U6" s="312"/>
      <c r="AC6" s="668" t="s">
        <v>1085</v>
      </c>
      <c r="AD6" s="669" t="e">
        <f aca="false">$O$19</f>
        <v>#NAME?</v>
      </c>
      <c r="AE6" s="669" t="e">
        <f aca="false">AD6</f>
        <v>#NAME?</v>
      </c>
    </row>
    <row r="7" customFormat="false" ht="12.75" hidden="false" customHeight="true" outlineLevel="0" collapsed="false">
      <c r="D7" s="105" t="s">
        <v>682</v>
      </c>
      <c r="E7" s="104" t="str">
        <f aca="false">Import.Apelido</f>
        <v>CONSTRUÇÃO DE UNIDADES HABITACIONAIS EM ÁREAS URBANAS</v>
      </c>
      <c r="F7" s="104"/>
      <c r="G7" s="104"/>
      <c r="H7" s="104"/>
      <c r="I7" s="674" t="str">
        <f aca="false">Import.Município</f>
        <v>SALINAS</v>
      </c>
      <c r="J7" s="674"/>
      <c r="K7" s="674"/>
      <c r="L7" s="674"/>
      <c r="M7" s="675" t="n">
        <f aca="false">Import.Repasse</f>
        <v>3250000</v>
      </c>
      <c r="N7" s="676" t="n">
        <f aca="false">Import.Contrapartida</f>
        <v>405717.06</v>
      </c>
      <c r="O7" s="675" t="n">
        <f aca="false">M7+N7</f>
        <v>3655717.06</v>
      </c>
      <c r="P7" s="677" t="n">
        <f aca="true">IF(ACOMPANHAMENTO="PLE",PLE.Medicao,BM.medicao)</f>
        <v>1</v>
      </c>
      <c r="R7" s="312"/>
      <c r="S7" s="312"/>
      <c r="T7" s="312"/>
      <c r="U7" s="312"/>
    </row>
    <row r="8" customFormat="false" ht="12.75" hidden="false" customHeight="false" outlineLevel="0" collapsed="false">
      <c r="D8" s="10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R8" s="312"/>
      <c r="S8" s="312"/>
      <c r="T8" s="312"/>
      <c r="U8" s="312"/>
    </row>
    <row r="9" customFormat="false" ht="12.75" hidden="false" customHeight="true" outlineLevel="0" collapsed="false">
      <c r="D9" s="105"/>
      <c r="G9" s="314" t="s">
        <v>1086</v>
      </c>
      <c r="H9" s="314"/>
      <c r="I9" s="314" t="s">
        <v>1087</v>
      </c>
      <c r="J9" s="314"/>
      <c r="K9" s="678"/>
      <c r="L9" s="679" t="s">
        <v>1026</v>
      </c>
      <c r="M9" s="680" t="s">
        <v>1029</v>
      </c>
      <c r="N9" s="525" t="s">
        <v>771</v>
      </c>
      <c r="P9" s="681"/>
      <c r="R9" s="312"/>
      <c r="S9" s="312"/>
      <c r="T9" s="312"/>
      <c r="U9" s="312"/>
      <c r="V9" s="50" t="s">
        <v>1088</v>
      </c>
    </row>
    <row r="10" customFormat="false" ht="12.75" hidden="false" customHeight="true" outlineLevel="0" collapsed="false">
      <c r="D10" s="105"/>
      <c r="G10" s="60" t="e">
        <f aca="false">IF(J10="-","-",IF($P$15&lt;J10,"Atrasada",IF($P$15&gt;J10,"Adiantada","Normal")))</f>
        <v>#NAME?</v>
      </c>
      <c r="H10" s="60"/>
      <c r="I10" s="682" t="n">
        <f aca="false">DATE(YEAR($L$26),MONTH($L$26),1)</f>
        <v>1</v>
      </c>
      <c r="J10" s="683" t="n">
        <f aca="true">IF($I$10&lt;DATE(YEAR(CRONO!$U$13),MONTH(CRONO!$U$13),1),0,IF($I$10&gt;OFFSET(CRONO!$BE$13,0,-1),1,INDEX(CRONO!$T$188:$BF$188,MATCH(RRE!$I$10,CRONO!$T$13:$BE$13,0))))</f>
        <v>0</v>
      </c>
      <c r="K10" s="678"/>
      <c r="L10" s="679"/>
      <c r="M10" s="684" t="n">
        <f aca="false">QCI!L10</f>
        <v>0</v>
      </c>
      <c r="N10" s="529" t="n">
        <f aca="false">QCI!M10</f>
        <v>0</v>
      </c>
      <c r="P10" s="681"/>
      <c r="R10" s="312"/>
      <c r="S10" s="312"/>
      <c r="T10" s="312"/>
      <c r="U10" s="312"/>
      <c r="AC10" s="685" t="s">
        <v>76</v>
      </c>
      <c r="AD10" s="685"/>
      <c r="AE10" s="685"/>
      <c r="AF10" s="685"/>
      <c r="AG10" s="685"/>
      <c r="AH10" s="685"/>
      <c r="AJ10" s="685" t="s">
        <v>78</v>
      </c>
      <c r="AK10" s="685"/>
      <c r="AL10" s="685"/>
      <c r="AM10" s="685"/>
      <c r="AN10" s="685"/>
      <c r="AO10" s="685"/>
    </row>
    <row r="11" customFormat="false" ht="19.5" hidden="false" customHeight="true" outlineLevel="0" collapsed="false">
      <c r="D11" s="105"/>
      <c r="M11" s="686" t="str">
        <f aca="false">IF(CAIXA.Modo,"Valores Aferidos (R$)","Valores Medidos (R$)")</f>
        <v>Valores Medidos (R$)</v>
      </c>
      <c r="N11" s="686"/>
      <c r="O11" s="686"/>
      <c r="R11" s="687"/>
      <c r="S11" s="687"/>
      <c r="T11" s="686"/>
      <c r="U11" s="686"/>
      <c r="V11" s="688" t="s">
        <v>1089</v>
      </c>
      <c r="Y11" s="689" t="str">
        <f aca="false">IF(CAIXA.Modo,"Valores Aferidos (R$)","Valores Medidos (R$)")</f>
        <v>Valores Medidos (R$)</v>
      </c>
      <c r="Z11" s="689"/>
      <c r="AC11" s="191" t="s">
        <v>1090</v>
      </c>
      <c r="AD11" s="191"/>
      <c r="AE11" s="191"/>
      <c r="AF11" s="191" t="s">
        <v>1091</v>
      </c>
      <c r="AG11" s="191"/>
      <c r="AH11" s="191"/>
      <c r="AJ11" s="191" t="s">
        <v>1090</v>
      </c>
      <c r="AK11" s="191"/>
      <c r="AL11" s="191"/>
      <c r="AM11" s="191" t="s">
        <v>1091</v>
      </c>
      <c r="AN11" s="191"/>
      <c r="AO11" s="191"/>
    </row>
    <row r="12" customFormat="false" ht="30" hidden="true" customHeight="true" outlineLevel="0" collapsed="false">
      <c r="A12" s="1" t="e">
        <f aca="false">MATCH(E12,ORÇAMENTO!$E$15:$E$205,0)-1</f>
        <v>#N/A</v>
      </c>
      <c r="B12" s="1" t="e">
        <f aca="true">IF(ISERROR($A12),NA(),OFFSET(ORÇAMENTO!$D$15,$A12,0))</f>
        <v>#N/A</v>
      </c>
      <c r="C12" s="1" t="str">
        <f aca="false">QCI!B12</f>
        <v>Branco</v>
      </c>
      <c r="D12" s="1" t="str">
        <f aca="false">IF(L12&gt;0,"F","")</f>
        <v/>
      </c>
      <c r="E12" s="532" t="n">
        <f aca="false">QCI!D12</f>
        <v>-1</v>
      </c>
      <c r="F12" s="690" t="str">
        <f aca="false">QCI!G12</f>
        <v/>
      </c>
      <c r="G12" s="691" t="n">
        <f aca="false">QCI!H12</f>
        <v>0</v>
      </c>
      <c r="H12" s="535" t="n">
        <f aca="false">QCI!I12</f>
        <v>0</v>
      </c>
      <c r="I12" s="535" t="str">
        <f aca="false">QCI!J12</f>
        <v/>
      </c>
      <c r="J12" s="692" t="str">
        <f aca="false">QCI!K12</f>
        <v/>
      </c>
      <c r="K12" s="693" t="e">
        <f aca="false">_xlfn.single(IF($C12="Automático",IF(_xlfn.single(ACOMPANHAMENTO)="BM",BM.medicao,PLE.Medicao),IF(ISBLANK($X12),"",$X12)))</f>
        <v>#NAME?</v>
      </c>
      <c r="L12" s="540" t="n">
        <f aca="false">QCI!$O12</f>
        <v>0</v>
      </c>
      <c r="M12" s="537" t="n">
        <f aca="false">ROUND(IF(C12="Automático",AE12+AL12,Y12),2)</f>
        <v>0</v>
      </c>
      <c r="N12" s="538" t="n">
        <f aca="false">O12-M12</f>
        <v>0</v>
      </c>
      <c r="O12" s="539" t="n">
        <f aca="false">ROUND(IF(C12="Automático",AH12+AO12,Z12),2)</f>
        <v>0</v>
      </c>
      <c r="P12" s="694" t="n">
        <f aca="false">O12/(L12+10^-12)</f>
        <v>0</v>
      </c>
      <c r="R12" s="695" t="n">
        <f aca="false">ROUND(IF($C12="Automático",AC12+AJ12,$Y12*IF(ISERROR(QCI!$AA12/QCI!$O12),0,QCI!$AA12/QCI!$O12)),2)</f>
        <v>0</v>
      </c>
      <c r="S12" s="695" t="n">
        <f aca="false">ROUND(IF($C12="Automático",AD12+AK12,$Y12*IF(ISERROR(QCI!$AB12/QCI!$O12),0,QCI!$AB12/QCI!$O12)),2)</f>
        <v>0</v>
      </c>
      <c r="T12" s="695" t="n">
        <f aca="false">ROUND(IF($C12="Automático",AF12+AM12,$Z12*IF(ISERROR(QCI!$AA12/QCI!$O12),0,QCI!$AA12/QCI!$O12)),2)</f>
        <v>0</v>
      </c>
      <c r="U12" s="695" t="n">
        <f aca="false">ROUND(IF($C12="Automático",AG12+AN12,$Z12*IF(ISERROR(QCI!$AB12/QCI!$O12),0,QCI!$AB12/QCI!$O12)),2)</f>
        <v>0</v>
      </c>
      <c r="V12" s="100" t="str">
        <f aca="true">IF(AND($L12&gt;0,$J12&lt;&gt;0,$J12&lt;&gt;"",COUNTIF($J12:$J$13,$J12)=1),OFFSET(V12,-1,0)+1,OFFSET(V12,-1,0))</f>
        <v>Lista CTEFs</v>
      </c>
      <c r="X12" s="696"/>
      <c r="Y12" s="697"/>
      <c r="Z12" s="698"/>
      <c r="AC12" s="263" t="e">
        <f aca="false">IF(_xlfn.single(ACOMPANHAMENTO)&lt;&gt;"PLE",0,SUMPRODUCT((OFFSET(CÁLCULO!$CT$15:$DT$15,$A12,0,$B12)&lt;=(PLE.Medicao-1))*OFFSET(CÁLCULO!$AR$15:$BR$15,$A12,0,$B12)*OFFSET(ORÇAMENTO!$AA$15,$A12,0,$B12)/(OFFSET(ORÇAMENTO!$X$15,$A12,0,$B12)+10^-12))+IF(AUTOEVENTO="Manual",SUMPRODUCT((OFFSET(CÁLCULO!$M$15,$A12,0,$B12)=1)*OFFSET(ORÇAMENTO!$AA$15,$A12,0,$B12)*(PLE!$AE$9-PLE!$Y$9)),0))</f>
        <v>#NAME?</v>
      </c>
      <c r="AD12" s="263" t="e">
        <f aca="false">IF(_xlfn.single(ACOMPANHAMENTO)&lt;&gt;"PLE",0,SUMPRODUCT((OFFSET(CÁLCULO!$CT$15:$DT$15,$A12,0,$B12)&lt;=(PLE.Medicao-1))*OFFSET(CÁLCULO!$AR$15:$BR$15,$A12,0,$B12)*OFFSET(ORÇAMENTO!$AB$15,$A12,0,$B12)/(OFFSET(ORÇAMENTO!$X$15,$A12,0,$B12)+10^-12))+IF(AUTOEVENTO="Manual",SUMPRODUCT((OFFSET(CÁLCULO!$M$15,$A12,0,$B12)=1)*OFFSET(ORÇAMENTO!$AB$15,$A12,0,$B12)*(PLE!$AE$9-PLE!$Y$9)),0))</f>
        <v>#NAME?</v>
      </c>
      <c r="AE12" s="263" t="e">
        <f aca="false">ROUND(IF(_xlfn.single(ACOMPANHAMENTO)&lt;&gt;"PLE",0,SUMIF(OFFSET(CÁLCULO!$CT$15:$DT$15,$A12,0,$B12),"&lt;="&amp;(PLE.Medicao-1),OFFSET(CÁLCULO!$AR$15:$BR$15,$A12,0,$B12))+IF(AUTOEVENTO="Manual",SUMIF(OFFSET(CÁLCULO!$M$15,$A12,0,$B12),1,OFFSET(ORÇAMENTO!$X$15,$A12,0,$B12))*(PLE!$AE$9-PLE!$Y$9),0)),2)</f>
        <v>#NAME?</v>
      </c>
      <c r="AF12" s="263" t="e">
        <f aca="false">IF(_xlfn.single(ACOMPANHAMENTO)&lt;&gt;"PLE",0,SUMPRODUCT((OFFSET(CÁLCULO!$CT$15:$DT$15,$A12,0,$B12)&lt;=PLE.Medicao)*OFFSET(CÁLCULO!$AR$15:$BR$15,$A12,0,$B12)*OFFSET(ORÇAMENTO!$AA$15,$A12,0,$B12)/(OFFSET(ORÇAMENTO!$X$15,$A12,0,$B12)+10^-12))+IF(AUTOEVENTO="Manual",SUMPRODUCT((OFFSET(CÁLCULO!$M$15,$A12,0,$B12)=1)*OFFSET(ORÇAMENTO!$AA$15,$A12,0,$B12)*PLE!$AE$9),0))</f>
        <v>#NAME?</v>
      </c>
      <c r="AG12" s="263" t="e">
        <f aca="false">IF(_xlfn.single(ACOMPANHAMENTO)&lt;&gt;"PLE",0,SUMPRODUCT((OFFSET(CÁLCULO!$CT$15:$DT$15,$A12,0,$B12)&lt;=PLE.Medicao)*OFFSET(CÁLCULO!$AR$15:$BR$15,$A12,0,$B12)*OFFSET(ORÇAMENTO!$AB$15,$A12,0,$B12)/(OFFSET(ORÇAMENTO!$X$15,$A12,0,$B12)+10^-12))+IF(AUTOEVENTO="Manual",SUMPRODUCT((OFFSET(CÁLCULO!$M$15,$A12,0,$B12)=1)*OFFSET(ORÇAMENTO!$AB$15,$A12,0,$B12)*PLE!$AE$9),0))</f>
        <v>#NAME?</v>
      </c>
      <c r="AH12" s="263" t="e">
        <f aca="false">ROUND(IF(_xlfn.single(ACOMPANHAMENTO)&lt;&gt;"PLE",0,SUMIF(OFFSET(CÁLCULO!$CT$15:$DT$15,$A12,0,$B12),"&lt;="&amp;PLE.Medicao,OFFSET(CÁLCULO!$AR$15:$BR$15,$A12,0,$B12))+IF(AUTOEVENTO="Manual",SUMIF(OFFSET(CÁLCULO!$M$15,$A12,0,$B12),1,OFFSET(ORÇAMENTO!$X$15,$A12,0,$B12))*PLE!$AE$9,0)),2)</f>
        <v>#NAME?</v>
      </c>
      <c r="AJ12" s="263" t="e">
        <f aca="false">IF(_xlfn.single(ACOMPANHAMENTO)&lt;&gt;"BM",0,SUMPRODUCT(OFFSET(BM!$M$15,$A12,0,$B12)*(OFFSET(BM!$A$15,$A12,0,$B12)="S")*OFFSET(ORÇAMENTO!AA$15,$A12,0,$B12)/(OFFSET(ORÇAMENTO!$X$15,$A12,0,$B12)+10^-12)))</f>
        <v>#NAME?</v>
      </c>
      <c r="AK12" s="263" t="e">
        <f aca="false">IF(_xlfn.single(ACOMPANHAMENTO)&lt;&gt;"BM",0,SUMPRODUCT(OFFSET(BM!$M$15,$A12,0,$B12)*(OFFSET(BM!$A$15,$A12,0,$B12)="S")*OFFSET(ORÇAMENTO!AB$15,$A12,0,$B12)/(OFFSET(ORÇAMENTO!$X$15,$A12,0,$B12)+10^-12)))</f>
        <v>#NAME?</v>
      </c>
      <c r="AL12" s="263" t="e">
        <f aca="false">IF(_xlfn.single(ACOMPANHAMENTO)&lt;&gt;"BM",0,OFFSET(BM!$M$15,$A12,0))</f>
        <v>#NAME?</v>
      </c>
      <c r="AM12" s="263" t="e">
        <f aca="false">IF(_xlfn.single(ACOMPANHAMENTO)&lt;&gt;"BM",0,SUMPRODUCT(OFFSET(BM!$O$15,$A12,0,$B12)*(OFFSET(BM!$A$15,$A12,0,$B12)="S")*OFFSET(ORÇAMENTO!AA$15,$A12,0,$B12)/(OFFSET(ORÇAMENTO!$X$15,$A12,0,$B12)+10^-12)))</f>
        <v>#NAME?</v>
      </c>
      <c r="AN12" s="263" t="e">
        <f aca="false">IF(_xlfn.single(ACOMPANHAMENTO)&lt;&gt;"BM",0,SUMPRODUCT(OFFSET(BM!$O$15,$A12,0,$B12)*(OFFSET(BM!$A$15,$A12,0,$B12)="S")*OFFSET(ORÇAMENTO!AB$15,$A12,0,$B12)/(OFFSET(ORÇAMENTO!$X$15,$A12,0,$B12)+10^-12)))</f>
        <v>#NAME?</v>
      </c>
      <c r="AO12" s="263" t="e">
        <f aca="false">IF(_xlfn.single(ACOMPANHAMENTO)&lt;&gt;"BM",0,OFFSET(BM!$O$15,$A12,0))</f>
        <v>#NAME?</v>
      </c>
    </row>
    <row r="13" customFormat="false" ht="39.75" hidden="false" customHeight="true" outlineLevel="0" collapsed="false">
      <c r="A13" s="550" t="s">
        <v>1092</v>
      </c>
      <c r="B13" s="58" t="s">
        <v>755</v>
      </c>
      <c r="C13" s="550" t="s">
        <v>1031</v>
      </c>
      <c r="D13" s="112" t="s">
        <v>687</v>
      </c>
      <c r="E13" s="189" t="s">
        <v>731</v>
      </c>
      <c r="F13" s="189" t="s">
        <v>1034</v>
      </c>
      <c r="G13" s="189" t="s">
        <v>695</v>
      </c>
      <c r="H13" s="189" t="s">
        <v>742</v>
      </c>
      <c r="I13" s="189" t="s">
        <v>1035</v>
      </c>
      <c r="J13" s="189" t="s">
        <v>1036</v>
      </c>
      <c r="K13" s="551" t="s">
        <v>1093</v>
      </c>
      <c r="L13" s="189" t="s">
        <v>1094</v>
      </c>
      <c r="M13" s="551" t="s">
        <v>1090</v>
      </c>
      <c r="N13" s="552" t="s">
        <v>1095</v>
      </c>
      <c r="O13" s="553" t="s">
        <v>1091</v>
      </c>
      <c r="P13" s="189" t="s">
        <v>1096</v>
      </c>
      <c r="R13" s="699" t="s">
        <v>1097</v>
      </c>
      <c r="S13" s="699" t="s">
        <v>1098</v>
      </c>
      <c r="T13" s="699" t="s">
        <v>1099</v>
      </c>
      <c r="U13" s="699" t="s">
        <v>1100</v>
      </c>
      <c r="V13" s="317"/>
      <c r="X13" s="551" t="s">
        <v>1093</v>
      </c>
      <c r="Y13" s="195" t="s">
        <v>1090</v>
      </c>
      <c r="Z13" s="198" t="s">
        <v>1091</v>
      </c>
      <c r="AC13" s="191" t="s">
        <v>483</v>
      </c>
      <c r="AD13" s="191" t="s">
        <v>1083</v>
      </c>
      <c r="AE13" s="191" t="s">
        <v>1085</v>
      </c>
      <c r="AF13" s="191" t="s">
        <v>483</v>
      </c>
      <c r="AG13" s="191" t="s">
        <v>1083</v>
      </c>
      <c r="AH13" s="191" t="s">
        <v>1085</v>
      </c>
      <c r="AJ13" s="191" t="s">
        <v>483</v>
      </c>
      <c r="AK13" s="191" t="s">
        <v>1083</v>
      </c>
      <c r="AL13" s="191" t="s">
        <v>1085</v>
      </c>
      <c r="AM13" s="191" t="s">
        <v>483</v>
      </c>
      <c r="AN13" s="191" t="s">
        <v>1083</v>
      </c>
      <c r="AO13" s="191" t="s">
        <v>1085</v>
      </c>
    </row>
    <row r="14" customFormat="false" ht="30" hidden="false" customHeight="true" outlineLevel="0" collapsed="false">
      <c r="A14" s="1" t="n">
        <f aca="false">MATCH(E14,ORÇAMENTO!$E$15:$E$205,0)-1</f>
        <v>1</v>
      </c>
      <c r="B14" s="1" t="n">
        <f aca="true">IF(ISERROR($A14),NA(),OFFSET(ORÇAMENTO!$D$15,$A14,0))</f>
        <v>189</v>
      </c>
      <c r="C14" s="1" t="str">
        <f aca="false">QCI!B14</f>
        <v>Automático</v>
      </c>
      <c r="D14" s="1" t="str">
        <f aca="false">IF(L14&gt;0,"F","")</f>
        <v>F</v>
      </c>
      <c r="E14" s="532" t="n">
        <f aca="false">QCI!D14</f>
        <v>1</v>
      </c>
      <c r="F14" s="690" t="str">
        <f aca="false">QCI!G14</f>
        <v>CONSTRUÇÃO DE CASAS POPULARES</v>
      </c>
      <c r="G14" s="691" t="str">
        <f aca="false">QCI!H14</f>
        <v>Em Análise</v>
      </c>
      <c r="H14" s="535" t="n">
        <f aca="false">QCI!I14</f>
        <v>25</v>
      </c>
      <c r="I14" s="535" t="str">
        <f aca="false">QCI!J14</f>
        <v>un</v>
      </c>
      <c r="J14" s="692" t="str">
        <f aca="false">QCI!K14</f>
        <v>LOTE 1</v>
      </c>
      <c r="K14" s="693" t="e">
        <f aca="false">_xlfn.single(IF($C14="Automático",IF(_xlfn.single(ACOMPANHAMENTO)="BM",BM.medicao,PLE.Medicao),IF(ISBLANK($X14),"",$X14)))</f>
        <v>#NAME?</v>
      </c>
      <c r="L14" s="540" t="n">
        <f aca="false">QCI!$O14</f>
        <v>3655717.06</v>
      </c>
      <c r="M14" s="537" t="e">
        <f aca="false">ROUND(IF(C14="Automático",AE14+AL14,Y14),2)</f>
        <v>#NAME?</v>
      </c>
      <c r="N14" s="538" t="e">
        <f aca="false">O14-M14</f>
        <v>#NAME?</v>
      </c>
      <c r="O14" s="539" t="e">
        <f aca="false">ROUND(IF(C14="Automático",AH14+AO14,Z14),2)</f>
        <v>#NAME?</v>
      </c>
      <c r="P14" s="694" t="e">
        <f aca="false">O14/(L14+10^-12)</f>
        <v>#NAME?</v>
      </c>
      <c r="R14" s="695" t="e">
        <f aca="false">ROUND(IF($C14="Automático",AC14+AJ14,$Y14*IF(ISERROR(QCI!$AA14/QCI!$O14),0,QCI!$AA14/QCI!$O14)),2)</f>
        <v>#NAME?</v>
      </c>
      <c r="S14" s="695" t="e">
        <f aca="false">ROUND(IF($C14="Automático",AD14+AK14,$Y14*IF(ISERROR(QCI!$AB14/QCI!$O14),0,QCI!$AB14/QCI!$O14)),2)</f>
        <v>#NAME?</v>
      </c>
      <c r="T14" s="695" t="e">
        <f aca="false">ROUND(IF($C14="Automático",AF14+AM14,$Z14*IF(ISERROR(QCI!$AA14/QCI!$O14),0,QCI!$AA14/QCI!$O14)),2)</f>
        <v>#NAME?</v>
      </c>
      <c r="U14" s="695" t="e">
        <f aca="false">ROUND(IF($C14="Automático",AG14+AN14,$Z14*IF(ISERROR(QCI!$AB14/QCI!$O14),0,QCI!$AB14/QCI!$O14)),2)</f>
        <v>#NAME?</v>
      </c>
      <c r="V14" s="100" t="n">
        <f aca="true">IF(AND($L14&gt;0,$J14&lt;&gt;0,$J14&lt;&gt;"",COUNTIF($J$13:$J14,$J14)=1),OFFSET(V14,-1,0)+1,OFFSET(V14,-1,0))</f>
        <v>1</v>
      </c>
      <c r="X14" s="696"/>
      <c r="Y14" s="697"/>
      <c r="Z14" s="698"/>
      <c r="AC14" s="263" t="e">
        <f aca="false">IF(_xlfn.single(ACOMPANHAMENTO)&lt;&gt;"PLE",0,SUMPRODUCT((OFFSET(CÁLCULO!$CT$15:$DT$15,$A14,0,$B14)&lt;=(PLE.Medicao-1))*OFFSET(CÁLCULO!$AR$15:$BR$15,$A14,0,$B14)*OFFSET(ORÇAMENTO!$AA$15,$A14,0,$B14)/(OFFSET(ORÇAMENTO!$X$15,$A14,0,$B14)+10^-12))+IF(AUTOEVENTO="Manual",SUMPRODUCT((OFFSET(CÁLCULO!$M$15,$A14,0,$B14)=1)*OFFSET(ORÇAMENTO!$AA$15,$A14,0,$B14)*(PLE!$AE$9-PLE!$Y$9)),0))</f>
        <v>#NAME?</v>
      </c>
      <c r="AD14" s="263" t="e">
        <f aca="false">IF(_xlfn.single(ACOMPANHAMENTO)&lt;&gt;"PLE",0,SUMPRODUCT((OFFSET(CÁLCULO!$CT$15:$DT$15,$A14,0,$B14)&lt;=(PLE.Medicao-1))*OFFSET(CÁLCULO!$AR$15:$BR$15,$A14,0,$B14)*OFFSET(ORÇAMENTO!$AB$15,$A14,0,$B14)/(OFFSET(ORÇAMENTO!$X$15,$A14,0,$B14)+10^-12))+IF(AUTOEVENTO="Manual",SUMPRODUCT((OFFSET(CÁLCULO!$M$15,$A14,0,$B14)=1)*OFFSET(ORÇAMENTO!$AB$15,$A14,0,$B14)*(PLE!$AE$9-PLE!$Y$9)),0))</f>
        <v>#NAME?</v>
      </c>
      <c r="AE14" s="263" t="e">
        <f aca="false">ROUND(IF(_xlfn.single(ACOMPANHAMENTO)&lt;&gt;"PLE",0,SUMIF(OFFSET(CÁLCULO!$CT$15:$DT$15,$A14,0,$B14),"&lt;="&amp;(PLE.Medicao-1),OFFSET(CÁLCULO!$AR$15:$BR$15,$A14,0,$B14))+IF(AUTOEVENTO="Manual",SUMIF(OFFSET(CÁLCULO!$M$15,$A14,0,$B14),1,OFFSET(ORÇAMENTO!$X$15,$A14,0,$B14))*(PLE!$AE$9-PLE!$Y$9),0)),2)</f>
        <v>#NAME?</v>
      </c>
      <c r="AF14" s="263" t="e">
        <f aca="false">IF(_xlfn.single(ACOMPANHAMENTO)&lt;&gt;"PLE",0,SUMPRODUCT((OFFSET(CÁLCULO!$CT$15:$DT$15,$A14,0,$B14)&lt;=PLE.Medicao)*OFFSET(CÁLCULO!$AR$15:$BR$15,$A14,0,$B14)*OFFSET(ORÇAMENTO!$AA$15,$A14,0,$B14)/(OFFSET(ORÇAMENTO!$X$15,$A14,0,$B14)+10^-12))+IF(AUTOEVENTO="Manual",SUMPRODUCT((OFFSET(CÁLCULO!$M$15,$A14,0,$B14)=1)*OFFSET(ORÇAMENTO!$AA$15,$A14,0,$B14)*PLE!$AE$9),0))</f>
        <v>#NAME?</v>
      </c>
      <c r="AG14" s="263" t="e">
        <f aca="false">IF(_xlfn.single(ACOMPANHAMENTO)&lt;&gt;"PLE",0,SUMPRODUCT((OFFSET(CÁLCULO!$CT$15:$DT$15,$A14,0,$B14)&lt;=PLE.Medicao)*OFFSET(CÁLCULO!$AR$15:$BR$15,$A14,0,$B14)*OFFSET(ORÇAMENTO!$AB$15,$A14,0,$B14)/(OFFSET(ORÇAMENTO!$X$15,$A14,0,$B14)+10^-12))+IF(AUTOEVENTO="Manual",SUMPRODUCT((OFFSET(CÁLCULO!$M$15,$A14,0,$B14)=1)*OFFSET(ORÇAMENTO!$AB$15,$A14,0,$B14)*PLE!$AE$9),0))</f>
        <v>#NAME?</v>
      </c>
      <c r="AH14" s="263" t="e">
        <f aca="false">ROUND(IF(_xlfn.single(ACOMPANHAMENTO)&lt;&gt;"PLE",0,SUMIF(OFFSET(CÁLCULO!$CT$15:$DT$15,$A14,0,$B14),"&lt;="&amp;PLE.Medicao,OFFSET(CÁLCULO!$AR$15:$BR$15,$A14,0,$B14))+IF(AUTOEVENTO="Manual",SUMIF(OFFSET(CÁLCULO!$M$15,$A14,0,$B14),1,OFFSET(ORÇAMENTO!$X$15,$A14,0,$B14))*PLE!$AE$9,0)),2)</f>
        <v>#NAME?</v>
      </c>
      <c r="AJ14" s="263" t="e">
        <f aca="false">IF(_xlfn.single(ACOMPANHAMENTO)&lt;&gt;"BM",0,SUMPRODUCT(OFFSET(BM!$M$15,$A14,0,$B14)*(OFFSET(BM!$A$15,$A14,0,$B14)="S")*OFFSET(ORÇAMENTO!AA$15,$A14,0,$B14)/(OFFSET(ORÇAMENTO!$X$15,$A14,0,$B14)+10^-12)))</f>
        <v>#NAME?</v>
      </c>
      <c r="AK14" s="263" t="e">
        <f aca="false">IF(_xlfn.single(ACOMPANHAMENTO)&lt;&gt;"BM",0,SUMPRODUCT(OFFSET(BM!$M$15,$A14,0,$B14)*(OFFSET(BM!$A$15,$A14,0,$B14)="S")*OFFSET(ORÇAMENTO!AB$15,$A14,0,$B14)/(OFFSET(ORÇAMENTO!$X$15,$A14,0,$B14)+10^-12)))</f>
        <v>#NAME?</v>
      </c>
      <c r="AL14" s="263" t="e">
        <f aca="false">IF(_xlfn.single(ACOMPANHAMENTO)&lt;&gt;"BM",0,OFFSET(BM!$M$15,$A14,0))</f>
        <v>#NAME?</v>
      </c>
      <c r="AM14" s="263" t="e">
        <f aca="false">IF(_xlfn.single(ACOMPANHAMENTO)&lt;&gt;"BM",0,SUMPRODUCT(OFFSET(BM!$O$15,$A14,0,$B14)*(OFFSET(BM!$A$15,$A14,0,$B14)="S")*OFFSET(ORÇAMENTO!AA$15,$A14,0,$B14)/(OFFSET(ORÇAMENTO!$X$15,$A14,0,$B14)+10^-12)))</f>
        <v>#NAME?</v>
      </c>
      <c r="AN14" s="263" t="e">
        <f aca="false">IF(_xlfn.single(ACOMPANHAMENTO)&lt;&gt;"BM",0,SUMPRODUCT(OFFSET(BM!$O$15,$A14,0,$B14)*(OFFSET(BM!$A$15,$A14,0,$B14)="S")*OFFSET(ORÇAMENTO!AB$15,$A14,0,$B14)/(OFFSET(ORÇAMENTO!$X$15,$A14,0,$B14)+10^-12)))</f>
        <v>#NAME?</v>
      </c>
      <c r="AO14" s="263" t="e">
        <f aca="false">IF(_xlfn.single(ACOMPANHAMENTO)&lt;&gt;"BM",0,OFFSET(BM!$O$15,$A14,0))</f>
        <v>#NAME?</v>
      </c>
    </row>
    <row r="15" customFormat="false" ht="12.75" hidden="false" customHeight="true" outlineLevel="0" collapsed="false">
      <c r="D15" s="1" t="s">
        <v>563</v>
      </c>
      <c r="E15" s="33"/>
      <c r="F15" s="33"/>
      <c r="G15" s="33"/>
      <c r="H15" s="33"/>
      <c r="I15" s="34"/>
      <c r="J15" s="700" t="s">
        <v>1101</v>
      </c>
      <c r="K15" s="700"/>
      <c r="L15" s="701" t="n">
        <f aca="false">IF(ISERROR(L19/$L19),0,ROUND(L19/$L19,4))</f>
        <v>1</v>
      </c>
      <c r="M15" s="702" t="n">
        <f aca="false">IF(ISERROR(M19/$L19),0,ROUND(M19/$L19,4))</f>
        <v>0</v>
      </c>
      <c r="N15" s="703" t="n">
        <f aca="false">IF(ISERROR(N19/$L19),0,ROUND(N19/$L19,4))</f>
        <v>0</v>
      </c>
      <c r="O15" s="704" t="n">
        <f aca="false">IF(ISERROR(O19/$L19),0,ROUND(O19/$L19,4))</f>
        <v>0</v>
      </c>
      <c r="P15" s="705" t="e">
        <f aca="false">O19/(L19+10^-12)</f>
        <v>#NAME?</v>
      </c>
      <c r="X15" s="564"/>
      <c r="Y15" s="566"/>
      <c r="Z15" s="567"/>
    </row>
    <row r="16" customFormat="false" ht="12.75" hidden="false" customHeight="true" outlineLevel="0" collapsed="false">
      <c r="D16" s="1" t="s">
        <v>563</v>
      </c>
      <c r="I16" s="9"/>
      <c r="J16" s="706" t="str">
        <f aca="false">IF(import.recurso="FGTS","Financiamento","Repasse")</f>
        <v>Repasse</v>
      </c>
      <c r="K16" s="706"/>
      <c r="L16" s="540" t="n">
        <f aca="false">QCI!L15</f>
        <v>3250000</v>
      </c>
      <c r="M16" s="537" t="e">
        <f aca="false">M19-M18-M17</f>
        <v>#NAME?</v>
      </c>
      <c r="N16" s="538" t="e">
        <f aca="false">O16-M16</f>
        <v>#NAME?</v>
      </c>
      <c r="O16" s="539" t="e">
        <f aca="false">O19-O18-O17</f>
        <v>#NAME?</v>
      </c>
      <c r="P16" s="705"/>
      <c r="X16" s="707"/>
      <c r="Y16" s="708" t="s">
        <v>1102</v>
      </c>
      <c r="Z16" s="709" t="s">
        <v>1103</v>
      </c>
      <c r="AC16" s="710" t="s">
        <v>1104</v>
      </c>
      <c r="AD16" s="710" t="s">
        <v>1105</v>
      </c>
    </row>
    <row r="17" customFormat="false" ht="12.75" hidden="false" customHeight="true" outlineLevel="0" collapsed="false">
      <c r="D17" s="1" t="s">
        <v>563</v>
      </c>
      <c r="I17" s="9"/>
      <c r="J17" s="711" t="s">
        <v>1106</v>
      </c>
      <c r="K17" s="711"/>
      <c r="L17" s="712" t="n">
        <f aca="false">QCI!M15</f>
        <v>405717.06</v>
      </c>
      <c r="M17" s="713" t="e">
        <f aca="true">ROUND(IF(OFFSET($X$17,0,1)&lt;&gt;"",OFFSET($X$17,0,1),SUM(R13:OFFSET(R15,-1,0))),2)</f>
        <v>#NAME?</v>
      </c>
      <c r="N17" s="714" t="e">
        <f aca="false">O17-M17</f>
        <v>#NAME?</v>
      </c>
      <c r="O17" s="715" t="e">
        <f aca="true">IF(OFFSET($X$17,0,2)&lt;&gt;"",OFFSET($X$17,0,2),$AE$3)</f>
        <v>#NAME?</v>
      </c>
      <c r="P17" s="705"/>
      <c r="X17" s="716" t="s">
        <v>483</v>
      </c>
      <c r="Y17" s="717"/>
      <c r="Z17" s="718"/>
      <c r="AC17" s="719" t="e">
        <f aca="true">MIN($L17,$O$19-OFFSET($X$18,0,1))</f>
        <v>#NAME?</v>
      </c>
      <c r="AD17" s="719" t="e">
        <f aca="true">MIN($L17,$O$19-OFFSET($X$18,0,2))</f>
        <v>#NAME?</v>
      </c>
    </row>
    <row r="18" customFormat="false" ht="12.75" hidden="false" customHeight="true" outlineLevel="0" collapsed="false">
      <c r="D18" s="1" t="s">
        <v>563</v>
      </c>
      <c r="I18" s="9"/>
      <c r="J18" s="720" t="s">
        <v>1083</v>
      </c>
      <c r="K18" s="720"/>
      <c r="L18" s="721" t="n">
        <f aca="false">QCI!N15</f>
        <v>0</v>
      </c>
      <c r="M18" s="722" t="e">
        <f aca="true">ROUND(IF(OFFSET($X$18,0,1)&lt;&gt;"",OFFSET($X$18,0,1),SUM(S13:OFFSET(S15,-1,0))),2)</f>
        <v>#NAME?</v>
      </c>
      <c r="N18" s="723" t="e">
        <f aca="false">O18-M18</f>
        <v>#NAME?</v>
      </c>
      <c r="O18" s="724" t="e">
        <f aca="true">IF(OFFSET($X$18,0,2)&lt;&gt;"",OFFSET($X$18,0,2),$AE$4)</f>
        <v>#NAME?</v>
      </c>
      <c r="P18" s="705"/>
      <c r="X18" s="725" t="s">
        <v>1005</v>
      </c>
      <c r="Y18" s="726"/>
      <c r="Z18" s="727"/>
      <c r="AC18" s="719" t="e">
        <f aca="true">MIN($L18,$O$19-OFFSET($X$17,0,1))</f>
        <v>#NAME?</v>
      </c>
      <c r="AD18" s="719" t="e">
        <f aca="true">MIN($L18,$O$19-OFFSET($X$17,0,2))</f>
        <v>#NAME?</v>
      </c>
    </row>
    <row r="19" customFormat="false" ht="14.15" hidden="false" customHeight="false" outlineLevel="0" collapsed="false">
      <c r="D19" s="1" t="s">
        <v>563</v>
      </c>
      <c r="I19" s="9"/>
      <c r="J19" s="728" t="s">
        <v>1085</v>
      </c>
      <c r="K19" s="728"/>
      <c r="L19" s="729" t="n">
        <f aca="true">SUM(L13:OFFSET(L15,-1,0))</f>
        <v>3655717.06</v>
      </c>
      <c r="M19" s="730" t="e">
        <f aca="true">ROUND(SUM(M13:OFFSET(M15,-1,0)),2)</f>
        <v>#NAME?</v>
      </c>
      <c r="N19" s="731" t="e">
        <f aca="false">O19-M19</f>
        <v>#NAME?</v>
      </c>
      <c r="O19" s="732" t="e">
        <f aca="true">SUM(O13:OFFSET(O15,-1,0))</f>
        <v>#NAME?</v>
      </c>
      <c r="P19" s="705"/>
      <c r="X19" s="576"/>
      <c r="Y19" s="578"/>
      <c r="Z19" s="579"/>
    </row>
    <row r="20" customFormat="false" ht="12.75" hidden="false" customHeight="false" outlineLevel="0" collapsed="false">
      <c r="O20" s="733" t="e">
        <f aca="false">"Acumulado Anterior:  "&amp;TEXT($M$19/($L$19+10^-12),"0,00%")</f>
        <v>#NAME?</v>
      </c>
      <c r="P20" s="733"/>
    </row>
    <row r="21" customFormat="false" ht="13.8" hidden="false" customHeight="false" outlineLevel="0" collapsed="false">
      <c r="E21" s="247" t="s">
        <v>718</v>
      </c>
      <c r="P21" s="9"/>
    </row>
    <row r="22" customFormat="false" ht="12.75" hidden="false" customHeight="true" outlineLevel="0" collapsed="false"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</row>
    <row r="23" customFormat="false" ht="12.75" hidden="false" customHeight="true" outlineLevel="0" collapsed="false">
      <c r="E23" s="248"/>
      <c r="F23" s="248"/>
      <c r="G23" s="248"/>
      <c r="H23" s="248"/>
      <c r="I23" s="248"/>
      <c r="J23" s="248"/>
      <c r="K23" s="248"/>
      <c r="L23" s="248"/>
      <c r="M23" s="248"/>
      <c r="N23" s="248"/>
      <c r="O23" s="248"/>
      <c r="P23" s="248"/>
      <c r="Y23" s="734"/>
      <c r="Z23" s="734"/>
    </row>
    <row r="24" customFormat="false" ht="12.75" hidden="false" customHeight="true" outlineLevel="0" collapsed="false">
      <c r="E24" s="248"/>
      <c r="F24" s="248"/>
      <c r="G24" s="248"/>
      <c r="H24" s="248"/>
      <c r="I24" s="248"/>
      <c r="J24" s="248"/>
      <c r="K24" s="248"/>
      <c r="L24" s="248"/>
      <c r="M24" s="248"/>
      <c r="N24" s="248"/>
      <c r="O24" s="248"/>
      <c r="P24" s="248"/>
    </row>
    <row r="25" customFormat="false" ht="12.75" hidden="false" customHeight="false" outlineLevel="0" collapsed="false">
      <c r="L25" s="111" t="str">
        <f aca="false">IF(L26=0,"Preencher a data de fechamento do RRE na aba DADOS (célula "&amp;ADDRESS(ROW(Import.DataFechaRRE),COLUMN(Import.DataFechaRRE),4)&amp;")","")</f>
        <v>Preencher a data de fechamento do RRE na aba DADOS (célula C48)</v>
      </c>
    </row>
    <row r="26" customFormat="false" ht="13.8" hidden="false" customHeight="false" outlineLevel="0" collapsed="false">
      <c r="E26" s="254" t="str">
        <f aca="false">Import.Município</f>
        <v>SALINAS</v>
      </c>
      <c r="F26" s="254"/>
      <c r="G26" s="254"/>
      <c r="I26" s="735"/>
      <c r="K26" s="736"/>
      <c r="L26" s="302" t="n">
        <f aca="false">DADOS!$C$48</f>
        <v>0</v>
      </c>
      <c r="M26" s="302"/>
      <c r="N26" s="302"/>
      <c r="O26" s="302"/>
    </row>
    <row r="27" customFormat="false" ht="12.75" hidden="false" customHeight="false" outlineLevel="0" collapsed="false">
      <c r="E27" s="58" t="s">
        <v>722</v>
      </c>
      <c r="L27" s="58" t="s">
        <v>723</v>
      </c>
    </row>
    <row r="29" customFormat="false" ht="12.75" hidden="false" customHeight="false" outlineLevel="0" collapsed="false">
      <c r="E29" s="48"/>
      <c r="F29" s="48"/>
      <c r="G29" s="48"/>
      <c r="L29" s="48"/>
      <c r="M29" s="48"/>
      <c r="N29" s="48"/>
      <c r="O29" s="48"/>
    </row>
    <row r="30" customFormat="false" ht="12.75" hidden="false" customHeight="false" outlineLevel="0" collapsed="false">
      <c r="E30" s="737" t="str">
        <f aca="false">IF(CAIXA.Modo,"Responsável Gerencial CAIXA","Representante Tomador")</f>
        <v>Representante Tomador</v>
      </c>
      <c r="F30" s="50"/>
      <c r="L30" s="737" t="str">
        <f aca="false">IF(CAIXA.Modo,"Responsável Técnico CAIXA","Responsável Técnico pela Fiscalização")</f>
        <v>Responsável Técnico pela Fiscalização</v>
      </c>
    </row>
    <row r="31" customFormat="false" ht="12.75" hidden="false" customHeight="false" outlineLevel="0" collapsed="false">
      <c r="E31" s="150" t="s">
        <v>261</v>
      </c>
      <c r="F31" s="609" t="str">
        <f aca="false">IF(CAIXA.Modo,DADOS!C60,DADOS!C28)</f>
        <v>JOAQIMNERES XAVIER DIAS</v>
      </c>
      <c r="L31" s="150" t="s">
        <v>261</v>
      </c>
      <c r="M31" s="660" t="n">
        <f aca="false">IF(CAIXA.Modo,BM!X217,DADOS!C51)</f>
        <v>0</v>
      </c>
      <c r="N31" s="660"/>
      <c r="O31" s="660"/>
    </row>
    <row r="32" customFormat="false" ht="12.75" hidden="false" customHeight="false" outlineLevel="0" collapsed="false">
      <c r="E32" s="150" t="str">
        <f aca="false">IF(CAIXA.Modo,"Função:","Cargo:")</f>
        <v>Cargo:</v>
      </c>
      <c r="F32" s="609" t="str">
        <f aca="false">IF(CAIXA.Modo,DADOS!C61,DADOS!C29)</f>
        <v>PREFEITO MUNICIPAL</v>
      </c>
      <c r="L32" s="150" t="str">
        <f aca="false">IF(CAIXA.Modo,"Matrícula:","Profissão:")</f>
        <v>Profissão:</v>
      </c>
      <c r="M32" s="660" t="n">
        <f aca="false">IF(CAIXA.Modo,BM!X218,DADOS!C52)</f>
        <v>0</v>
      </c>
      <c r="N32" s="660"/>
      <c r="O32" s="660"/>
    </row>
    <row r="33" customFormat="false" ht="12.75" hidden="false" customHeight="false" outlineLevel="0" collapsed="false">
      <c r="L33" s="150" t="s">
        <v>265</v>
      </c>
      <c r="M33" s="660" t="n">
        <f aca="false">IF(CAIXA.Modo,BM!X219,DADOS!C53)</f>
        <v>0</v>
      </c>
      <c r="N33" s="660"/>
      <c r="O33" s="660"/>
    </row>
    <row r="34" customFormat="false" ht="12.75" hidden="false" customHeight="false" outlineLevel="0" collapsed="false">
      <c r="L34" s="150" t="str">
        <f aca="false">IF(CAIXA.Modo,"","ART/RRT:")</f>
        <v>ART/RRT:</v>
      </c>
      <c r="M34" s="65" t="n">
        <f aca="false">IF(CAIXA.Modo,"",DADOS!C54)</f>
        <v>0</v>
      </c>
    </row>
    <row r="36" customFormat="false" ht="12.75" hidden="false" customHeight="false" outlineLevel="0" collapsed="false">
      <c r="E36" s="48"/>
      <c r="F36" s="48"/>
      <c r="G36" s="48"/>
      <c r="L36" s="48"/>
      <c r="M36" s="48"/>
      <c r="N36" s="48"/>
      <c r="O36" s="48"/>
    </row>
    <row r="37" customFormat="false" ht="12.75" hidden="false" customHeight="false" outlineLevel="0" collapsed="false">
      <c r="E37" s="1" t="str">
        <f aca="false">IF(CAIXA.Modo,"Responsável Social CAIXA","Responsável Social")</f>
        <v>Responsável Social</v>
      </c>
      <c r="L37" s="1" t="str">
        <f aca="false">IF(CAIXA.Modo,"Responsável Operacional CAIXA","Responsável Financeiro")</f>
        <v>Responsável Financeiro</v>
      </c>
    </row>
    <row r="38" customFormat="false" ht="12.75" hidden="false" customHeight="false" outlineLevel="0" collapsed="false">
      <c r="E38" s="150" t="s">
        <v>261</v>
      </c>
      <c r="F38" s="663"/>
      <c r="G38" s="663"/>
      <c r="L38" s="150" t="s">
        <v>261</v>
      </c>
      <c r="M38" s="663"/>
      <c r="N38" s="663"/>
      <c r="O38" s="663"/>
    </row>
    <row r="39" customFormat="false" ht="12.75" hidden="false" customHeight="false" outlineLevel="0" collapsed="false">
      <c r="E39" s="150" t="str">
        <f aca="false">IF(CAIXA.Modo,"Função:","Cargo:")</f>
        <v>Cargo:</v>
      </c>
      <c r="F39" s="663"/>
      <c r="G39" s="663"/>
      <c r="L39" s="150" t="str">
        <f aca="false">IF(CAIXA.Modo,"Função:","Cargo:")</f>
        <v>Cargo:</v>
      </c>
      <c r="M39" s="663"/>
      <c r="N39" s="663"/>
      <c r="O39" s="663"/>
    </row>
    <row r="40" customFormat="false" ht="12.75" hidden="false" customHeight="false" outlineLevel="0" collapsed="false">
      <c r="E40" s="150" t="str">
        <f aca="false">IF(CAIXA.Modo,"Matr:","")</f>
        <v/>
      </c>
      <c r="F40" s="663"/>
      <c r="G40" s="663"/>
      <c r="L40" s="150" t="str">
        <f aca="false">IF(CAIXA.Modo,"Matrícula:","")</f>
        <v/>
      </c>
      <c r="M40" s="663"/>
      <c r="N40" s="663"/>
      <c r="O40" s="663"/>
    </row>
  </sheetData>
  <sheetProtection algorithmName="SHA-512" hashValue="IMZj5ofpkl0SfBMcYJXpiHX9p7wO4LlXJeehLxAxjfcFiG5SseD1UUFwR3k0XMyy5jAqpJlVMIF3d1imfWRVwQ==" saltValue="JTK/B4GX8mzpx72SjN7DWw==" spinCount="100000" sheet="true" objects="true" scenarios="true" autoFilter="false"/>
  <autoFilter ref="D13:D21"/>
  <mergeCells count="40">
    <mergeCell ref="E3:H3"/>
    <mergeCell ref="I3:K3"/>
    <mergeCell ref="E4:H4"/>
    <mergeCell ref="I4:K4"/>
    <mergeCell ref="M4:O4"/>
    <mergeCell ref="E6:H6"/>
    <mergeCell ref="I6:L6"/>
    <mergeCell ref="D7:D11"/>
    <mergeCell ref="E7:H7"/>
    <mergeCell ref="I7:L7"/>
    <mergeCell ref="G9:H9"/>
    <mergeCell ref="I9:J9"/>
    <mergeCell ref="L9:L10"/>
    <mergeCell ref="G10:H10"/>
    <mergeCell ref="AC10:AH10"/>
    <mergeCell ref="AJ10:AO10"/>
    <mergeCell ref="Y11:Z11"/>
    <mergeCell ref="AC11:AE11"/>
    <mergeCell ref="AF11:AH11"/>
    <mergeCell ref="AJ11:AL11"/>
    <mergeCell ref="AM11:AO11"/>
    <mergeCell ref="J15:K15"/>
    <mergeCell ref="P15:P19"/>
    <mergeCell ref="J16:K16"/>
    <mergeCell ref="J17:K17"/>
    <mergeCell ref="J18:K18"/>
    <mergeCell ref="J19:K19"/>
    <mergeCell ref="O20:P20"/>
    <mergeCell ref="E22:P24"/>
    <mergeCell ref="E26:G26"/>
    <mergeCell ref="L26:O26"/>
    <mergeCell ref="M31:O31"/>
    <mergeCell ref="M32:O32"/>
    <mergeCell ref="M33:O33"/>
    <mergeCell ref="F38:G38"/>
    <mergeCell ref="M38:O38"/>
    <mergeCell ref="F39:G39"/>
    <mergeCell ref="M39:O39"/>
    <mergeCell ref="F40:G40"/>
    <mergeCell ref="M40:O40"/>
  </mergeCells>
  <conditionalFormatting sqref="X12:Z12 X14:Z14">
    <cfRule type="expression" priority="2" aboveAverage="0" equalAverage="0" bottom="0" percent="0" rank="0" text="" dxfId="721">
      <formula>OR($C12="Automático",$C12="Branco")</formula>
    </cfRule>
  </conditionalFormatting>
  <conditionalFormatting sqref="F40:G40 M40:O40">
    <cfRule type="expression" priority="3" aboveAverage="0" equalAverage="0" bottom="0" percent="0" rank="0" text="" dxfId="722">
      <formula>CAIXA.Modo=0</formula>
    </cfRule>
  </conditionalFormatting>
  <conditionalFormatting sqref="M12 M16:M19 O12 O16:O19 M14 O14">
    <cfRule type="cellIs" priority="4" operator="notBetween" aboveAverage="0" equalAverage="0" bottom="0" percent="0" rank="0" text="" dxfId="723">
      <formula>0</formula>
      <formula>$L12</formula>
    </cfRule>
  </conditionalFormatting>
  <conditionalFormatting sqref="M10:N10">
    <cfRule type="cellIs" priority="5" operator="lessThan" aboveAverage="0" equalAverage="0" bottom="0" percent="0" rank="0" text="" dxfId="724">
      <formula>0</formula>
    </cfRule>
  </conditionalFormatting>
  <dataValidations count="5"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CP diferentes do previsto." promptTitle="Contrapartida Anterior:" showDropDown="false" showErrorMessage="true" showInputMessage="true" sqref="Y17" type="decimal">
      <formula1>0</formula1>
      <formula2>RRE.MaxCPAnt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CP diferentes do previsto." promptTitle="Contrapartida Acumulada:" showDropDown="false" showErrorMessage="true" showInputMessage="true" sqref="Z17" type="decimal">
      <formula1>0</formula1>
      <formula2>RRE.MaxCPAcum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Outros diferentes do previsto." promptTitle="Outros Anterior:" showDropDown="false" showErrorMessage="true" showInputMessage="true" sqref="Y18" type="decimal">
      <formula1>0</formula1>
      <formula2>RRE.MaxOUAnt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Outros diferentes do previsto." promptTitle="Outros Acumulada:" showDropDown="false" showErrorMessage="true" showInputMessage="true" sqref="Z18" type="decimal">
      <formula1>0</formula1>
      <formula2>RRE.MaxOUAcum</formula2>
    </dataValidation>
    <dataValidation allowBlank="true" errorStyle="stop" operator="between" showDropDown="false" showErrorMessage="true" showInputMessage="true" sqref="Y12:Z12 Y14:Z14" type="decimal">
      <formula1>0</formula1>
      <formula2>RRE.VIMeta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&amp;LPMv3.12&amp;R&amp;P / &amp;N</oddFooter>
  </headerFooter>
  <colBreaks count="1" manualBreakCount="1">
    <brk id="15" man="true" max="65535" min="0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M5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15.57"/>
    <col collapsed="false" customWidth="true" hidden="false" outlineLevel="0" max="3" min="3" style="1" width="6.57"/>
    <col collapsed="false" customWidth="true" hidden="false" outlineLevel="0" max="5" min="4" style="1" width="20.57"/>
    <col collapsed="false" customWidth="true" hidden="false" outlineLevel="0" max="6" min="6" style="1" width="8.57"/>
    <col collapsed="false" customWidth="true" hidden="false" outlineLevel="0" max="7" min="7" style="1" width="12.57"/>
    <col collapsed="false" customWidth="true" hidden="false" outlineLevel="0" max="8" min="8" style="1" width="20.57"/>
    <col collapsed="false" customWidth="true" hidden="false" outlineLevel="0" max="10" min="10" style="1" width="14.14"/>
  </cols>
  <sheetData>
    <row r="1" customFormat="false" ht="12.75" hidden="false" customHeight="false" outlineLevel="0" collapsed="false">
      <c r="B1" s="738"/>
      <c r="C1" s="738"/>
      <c r="D1" s="97"/>
      <c r="E1" s="97"/>
      <c r="F1" s="97"/>
      <c r="G1" s="100" t="s">
        <v>671</v>
      </c>
    </row>
    <row r="2" customFormat="false" ht="12.75" hidden="false" customHeight="false" outlineLevel="0" collapsed="false">
      <c r="B2" s="738"/>
      <c r="C2" s="738"/>
      <c r="D2" s="97"/>
      <c r="E2" s="97"/>
      <c r="F2" s="97"/>
      <c r="G2" s="60" t="s">
        <v>1107</v>
      </c>
    </row>
    <row r="3" customFormat="false" ht="25.5" hidden="false" customHeight="true" outlineLevel="0" collapsed="false">
      <c r="B3" s="738"/>
      <c r="C3" s="738"/>
      <c r="D3" s="97"/>
      <c r="E3" s="97"/>
      <c r="F3" s="97"/>
      <c r="G3" s="739"/>
    </row>
    <row r="4" customFormat="false" ht="12.75" hidden="false" customHeight="true" outlineLevel="0" collapsed="false">
      <c r="B4" s="738"/>
      <c r="C4" s="738"/>
      <c r="D4" s="97"/>
      <c r="E4" s="97"/>
      <c r="F4" s="97"/>
      <c r="G4" s="97"/>
    </row>
    <row r="5" customFormat="false" ht="12.75" hidden="false" customHeight="false" outlineLevel="0" collapsed="false">
      <c r="C5" s="111" t="str">
        <f aca="false">IF(Import.Ofício.Num=0,"Preencher o número do Ofício","")</f>
        <v>Preencher o número do Ofício</v>
      </c>
    </row>
    <row r="6" customFormat="false" ht="12.75" hidden="false" customHeight="false" outlineLevel="0" collapsed="false">
      <c r="B6" s="740" t="s">
        <v>1108</v>
      </c>
      <c r="C6" s="741"/>
      <c r="D6" s="741"/>
      <c r="E6" s="740"/>
      <c r="F6" s="740"/>
      <c r="G6" s="97"/>
      <c r="J6" s="58"/>
    </row>
    <row r="7" customFormat="false" ht="12.75" hidden="false" customHeight="false" outlineLevel="0" collapsed="false">
      <c r="B7" s="97"/>
      <c r="C7" s="97"/>
      <c r="D7" s="97"/>
      <c r="E7" s="97"/>
      <c r="F7" s="97"/>
      <c r="G7" s="97"/>
    </row>
    <row r="8" customFormat="false" ht="12.75" hidden="false" customHeight="false" outlineLevel="0" collapsed="false">
      <c r="B8" s="742" t="str">
        <f aca="false">CONCATENATE(RRE!$E$26,", ",TEXT(RRE!$L$26,"dd"" de ""mmmm"" de ""aaaa"))</f>
        <v>SALINAS, 00 de janeiro de 1900</v>
      </c>
      <c r="C8" s="742"/>
      <c r="D8" s="742"/>
      <c r="E8" s="742"/>
      <c r="F8" s="742"/>
      <c r="G8" s="742"/>
      <c r="H8" s="743"/>
      <c r="J8" s="743"/>
      <c r="K8" s="743"/>
      <c r="L8" s="743"/>
      <c r="M8" s="743"/>
    </row>
    <row r="9" customFormat="false" ht="12.75" hidden="false" customHeight="false" outlineLevel="0" collapsed="false">
      <c r="B9" s="744" t="s">
        <v>1109</v>
      </c>
      <c r="C9" s="97"/>
      <c r="D9" s="97"/>
      <c r="G9" s="97"/>
      <c r="H9" s="743"/>
      <c r="J9" s="743"/>
      <c r="K9" s="743"/>
      <c r="L9" s="743"/>
      <c r="M9" s="743"/>
    </row>
    <row r="10" customFormat="false" ht="12.75" hidden="false" customHeight="false" outlineLevel="0" collapsed="false">
      <c r="B10" s="745" t="s">
        <v>1110</v>
      </c>
      <c r="C10" s="745"/>
      <c r="D10" s="745"/>
      <c r="G10" s="97"/>
      <c r="H10" s="743"/>
      <c r="J10" s="743"/>
      <c r="K10" s="743"/>
      <c r="L10" s="743"/>
      <c r="M10" s="743"/>
    </row>
    <row r="11" customFormat="false" ht="12.75" hidden="false" customHeight="false" outlineLevel="0" collapsed="false">
      <c r="B11" s="746" t="s">
        <v>1111</v>
      </c>
      <c r="C11" s="663"/>
      <c r="D11" s="663"/>
      <c r="G11" s="97"/>
      <c r="H11" s="743"/>
      <c r="J11" s="743"/>
      <c r="K11" s="743"/>
      <c r="L11" s="743"/>
      <c r="M11" s="743"/>
    </row>
    <row r="12" customFormat="false" ht="12.75" hidden="false" customHeight="false" outlineLevel="0" collapsed="false">
      <c r="B12" s="301"/>
      <c r="C12" s="301"/>
      <c r="D12" s="301"/>
      <c r="E12" s="301"/>
      <c r="F12" s="301"/>
      <c r="G12" s="97"/>
      <c r="H12" s="743"/>
      <c r="J12" s="743"/>
      <c r="K12" s="743"/>
      <c r="L12" s="743"/>
      <c r="M12" s="743"/>
    </row>
    <row r="13" customFormat="false" ht="12.75" hidden="false" customHeight="false" outlineLevel="0" collapsed="false">
      <c r="B13" s="97"/>
      <c r="C13" s="97"/>
      <c r="D13" s="97"/>
      <c r="E13" s="97"/>
      <c r="F13" s="97"/>
      <c r="G13" s="97"/>
    </row>
    <row r="14" customFormat="false" ht="12.75" hidden="false" customHeight="false" outlineLevel="0" collapsed="false">
      <c r="B14" s="744" t="s">
        <v>1112</v>
      </c>
      <c r="C14" s="745" t="str">
        <f aca="true">CONCATENATE(RRE.Numero,"ª"," Solicitação de ",IF(import.recurso="OGU","Desbloqueio","Desembolso")," de Recursos.")</f>
        <v>1ª Solicitação de Desbloqueio de Recursos.</v>
      </c>
      <c r="D14" s="745"/>
      <c r="E14" s="745"/>
      <c r="F14" s="745"/>
      <c r="G14" s="745"/>
    </row>
    <row r="15" customFormat="false" ht="12.75" hidden="false" customHeight="true" outlineLevel="0" collapsed="false">
      <c r="B15" s="744" t="s">
        <v>1113</v>
      </c>
      <c r="C15" s="747" t="str">
        <f aca="false">CONCATENATE("Contrato de ",IF(import.recurso="OGU","Repasse","Financiamento")," - Operação nº ",Import.CR,IF(Import.TransfereGOV="","",CONCATENATE(" - TransfereGOV nº ",Import.TransfereGOV)))</f>
        <v>Contrato de Repasse - Operação nº 1100251-88 - TransfereGOV nº 974240/2024</v>
      </c>
      <c r="D15" s="747"/>
      <c r="E15" s="747"/>
      <c r="F15" s="747"/>
      <c r="G15" s="747"/>
    </row>
    <row r="16" customFormat="false" ht="12.75" hidden="false" customHeight="false" outlineLevel="0" collapsed="false">
      <c r="B16" s="744"/>
      <c r="C16" s="747"/>
      <c r="D16" s="747"/>
      <c r="E16" s="747"/>
      <c r="F16" s="747"/>
      <c r="G16" s="747"/>
    </row>
    <row r="17" customFormat="false" ht="12.75" hidden="false" customHeight="false" outlineLevel="0" collapsed="false">
      <c r="B17" s="97"/>
      <c r="C17" s="97"/>
      <c r="D17" s="97"/>
      <c r="E17" s="97"/>
      <c r="F17" s="97"/>
      <c r="G17" s="97"/>
    </row>
    <row r="18" customFormat="false" ht="12.75" hidden="false" customHeight="true" outlineLevel="0" collapsed="false">
      <c r="B18" s="609" t="s">
        <v>1114</v>
      </c>
      <c r="C18" s="748" t="str">
        <f aca="false">Import.DescLote</f>
        <v>CONSTRUÇÃO DE UNIDADES HABITACIONAIS EM ÁREAS URBANAS, NO MUNICIPIO DE SALINAS/MG, UTILIZANDO RECURSOS DO FNHIS, PELO PROGRAMA MINHA CASA MINHA VIDA</v>
      </c>
      <c r="D18" s="748"/>
      <c r="E18" s="748"/>
      <c r="F18" s="748"/>
      <c r="G18" s="748"/>
    </row>
    <row r="19" customFormat="false" ht="12.75" hidden="false" customHeight="true" outlineLevel="0" collapsed="false">
      <c r="B19" s="749" t="s">
        <v>1115</v>
      </c>
      <c r="C19" s="750" t="str">
        <f aca="false">Import.Proponente</f>
        <v>PREFEITURA MUNICIPAL DE SALINAS</v>
      </c>
      <c r="D19" s="750"/>
      <c r="E19" s="750"/>
      <c r="F19" s="750"/>
      <c r="G19" s="750"/>
    </row>
    <row r="20" customFormat="false" ht="12.75" hidden="false" customHeight="false" outlineLevel="0" collapsed="false">
      <c r="B20" s="749"/>
      <c r="C20" s="750"/>
      <c r="D20" s="750"/>
      <c r="E20" s="750"/>
      <c r="F20" s="750"/>
      <c r="G20" s="750"/>
    </row>
    <row r="21" customFormat="false" ht="12.75" hidden="false" customHeight="false" outlineLevel="0" collapsed="false">
      <c r="B21" s="97"/>
      <c r="C21" s="97"/>
      <c r="D21" s="97"/>
      <c r="E21" s="97"/>
      <c r="F21" s="97"/>
      <c r="G21" s="97"/>
    </row>
    <row r="22" customFormat="false" ht="12.75" hidden="false" customHeight="false" outlineLevel="0" collapsed="false">
      <c r="B22" s="1" t="str">
        <f aca="false">IF(B11="GIGOV","Senhor Gerente","Senhor Superintendente")</f>
        <v>Senhor Gerente</v>
      </c>
      <c r="D22" s="97"/>
      <c r="E22" s="97"/>
      <c r="F22" s="97"/>
      <c r="G22" s="97"/>
    </row>
    <row r="23" customFormat="false" ht="12.75" hidden="false" customHeight="false" outlineLevel="0" collapsed="false">
      <c r="B23" s="97"/>
      <c r="C23" s="97"/>
      <c r="D23" s="97"/>
      <c r="E23" s="97"/>
      <c r="F23" s="97"/>
      <c r="G23" s="97"/>
    </row>
    <row r="24" customFormat="false" ht="12.75" hidden="false" customHeight="true" outlineLevel="0" collapsed="false">
      <c r="B24" s="748" t="str">
        <f aca="false"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748"/>
      <c r="D24" s="748"/>
      <c r="E24" s="748"/>
      <c r="F24" s="748"/>
      <c r="G24" s="748"/>
    </row>
    <row r="25" customFormat="false" ht="12.75" hidden="false" customHeight="false" outlineLevel="0" collapsed="false">
      <c r="B25" s="748"/>
      <c r="C25" s="748"/>
      <c r="D25" s="748"/>
      <c r="E25" s="748"/>
      <c r="F25" s="748"/>
      <c r="G25" s="748"/>
    </row>
    <row r="26" customFormat="false" ht="12.75" hidden="false" customHeight="false" outlineLevel="0" collapsed="false">
      <c r="B26" s="748"/>
      <c r="C26" s="748"/>
      <c r="D26" s="748"/>
      <c r="E26" s="748"/>
      <c r="F26" s="748"/>
      <c r="G26" s="748"/>
    </row>
    <row r="27" customFormat="false" ht="12.75" hidden="false" customHeight="false" outlineLevel="0" collapsed="false">
      <c r="B27" s="97"/>
      <c r="C27" s="97"/>
      <c r="D27" s="97"/>
      <c r="E27" s="97"/>
      <c r="F27" s="97"/>
      <c r="G27" s="97"/>
    </row>
    <row r="28" customFormat="false" ht="12.75" hidden="false" customHeight="true" outlineLevel="0" collapsed="false">
      <c r="B28" s="751"/>
      <c r="C28" s="751"/>
      <c r="D28" s="752" t="s">
        <v>1116</v>
      </c>
      <c r="E28" s="752" t="str">
        <f aca="true">"Evolução da "&amp;RRE.Numero&amp;"ª Medição"</f>
        <v>Evolução da 1ª Medição</v>
      </c>
      <c r="F28" s="753" t="s">
        <v>1117</v>
      </c>
      <c r="G28" s="753"/>
    </row>
    <row r="29" customFormat="false" ht="12.75" hidden="false" customHeight="false" outlineLevel="0" collapsed="false">
      <c r="B29" s="751"/>
      <c r="C29" s="751"/>
      <c r="D29" s="752"/>
      <c r="E29" s="752"/>
      <c r="F29" s="753"/>
      <c r="G29" s="753"/>
    </row>
    <row r="30" customFormat="false" ht="12.75" hidden="false" customHeight="false" outlineLevel="0" collapsed="false">
      <c r="B30" s="754" t="str">
        <f aca="false">IF(import.recurso="FGTS","Financiamento:","Repasse:")</f>
        <v>Repasse:</v>
      </c>
      <c r="C30" s="754"/>
      <c r="D30" s="755" t="n">
        <f aca="false">RRE!L16</f>
        <v>3250000</v>
      </c>
      <c r="E30" s="755" t="e">
        <f aca="false">RRE!N16</f>
        <v>#NAME?</v>
      </c>
      <c r="F30" s="756" t="e">
        <f aca="false">RRE!O16</f>
        <v>#NAME?</v>
      </c>
      <c r="G30" s="756"/>
    </row>
    <row r="31" customFormat="false" ht="12.75" hidden="false" customHeight="false" outlineLevel="0" collapsed="false">
      <c r="B31" s="754" t="s">
        <v>1118</v>
      </c>
      <c r="C31" s="754"/>
      <c r="D31" s="755" t="n">
        <f aca="false">RRE!L17</f>
        <v>405717.06</v>
      </c>
      <c r="E31" s="755" t="e">
        <f aca="false">RRE!N17</f>
        <v>#NAME?</v>
      </c>
      <c r="F31" s="756" t="e">
        <f aca="false">RRE!O17</f>
        <v>#NAME?</v>
      </c>
      <c r="G31" s="756"/>
    </row>
    <row r="32" customFormat="false" ht="12.75" hidden="false" customHeight="false" outlineLevel="0" collapsed="false">
      <c r="B32" s="754" t="s">
        <v>1012</v>
      </c>
      <c r="C32" s="754"/>
      <c r="D32" s="755" t="n">
        <f aca="false">RRE!L18</f>
        <v>0</v>
      </c>
      <c r="E32" s="755" t="e">
        <f aca="false">RRE!N18</f>
        <v>#NAME?</v>
      </c>
      <c r="F32" s="756" t="e">
        <f aca="false">RRE!O18</f>
        <v>#NAME?</v>
      </c>
      <c r="G32" s="756"/>
    </row>
    <row r="33" customFormat="false" ht="12.75" hidden="false" customHeight="false" outlineLevel="0" collapsed="false">
      <c r="B33" s="754" t="s">
        <v>1013</v>
      </c>
      <c r="C33" s="754"/>
      <c r="D33" s="755" t="n">
        <f aca="false">RRE!L19</f>
        <v>3655717.06</v>
      </c>
      <c r="E33" s="755" t="e">
        <f aca="false">RRE!N19</f>
        <v>#NAME?</v>
      </c>
      <c r="F33" s="756" t="e">
        <f aca="false">RRE!O19</f>
        <v>#NAME?</v>
      </c>
      <c r="G33" s="756"/>
    </row>
    <row r="34" customFormat="false" ht="12.75" hidden="false" customHeight="false" outlineLevel="0" collapsed="false">
      <c r="B34" s="757" t="s">
        <v>1119</v>
      </c>
      <c r="C34" s="757"/>
      <c r="D34" s="758" t="s">
        <v>717</v>
      </c>
      <c r="E34" s="759" t="e">
        <f aca="false">RRE!$N$19/(RRE!$L$19+10^-12)</f>
        <v>#NAME?</v>
      </c>
      <c r="F34" s="760" t="e">
        <f aca="false">RRE!P15</f>
        <v>#NAME?</v>
      </c>
      <c r="G34" s="760"/>
    </row>
    <row r="35" customFormat="false" ht="12.75" hidden="false" customHeight="false" outlineLevel="0" collapsed="false">
      <c r="B35" s="256"/>
      <c r="C35" s="97"/>
      <c r="D35" s="97"/>
      <c r="E35" s="97"/>
      <c r="F35" s="97"/>
      <c r="G35" s="97"/>
    </row>
    <row r="36" customFormat="false" ht="12.75" hidden="false" customHeight="false" outlineLevel="0" collapsed="false">
      <c r="B36" s="256"/>
      <c r="C36" s="256"/>
      <c r="D36" s="256"/>
      <c r="E36" s="256"/>
      <c r="F36" s="256"/>
      <c r="G36" s="97"/>
    </row>
    <row r="37" customFormat="false" ht="12.75" hidden="false" customHeight="false" outlineLevel="0" collapsed="false">
      <c r="B37" s="761" t="str">
        <f aca="true">IF(RRE.Numero&gt;1,"2. Encaminhamos ainda a documentação relativa à prestação de contas da etapa físico-financeira anterior.","")</f>
        <v/>
      </c>
      <c r="C37" s="761"/>
      <c r="D37" s="761"/>
      <c r="E37" s="761"/>
      <c r="F37" s="761"/>
      <c r="G37" s="761"/>
    </row>
    <row r="38" customFormat="false" ht="12.75" hidden="false" customHeight="false" outlineLevel="0" collapsed="false">
      <c r="B38" s="761"/>
      <c r="C38" s="761"/>
      <c r="D38" s="761"/>
      <c r="E38" s="761"/>
      <c r="F38" s="761"/>
      <c r="G38" s="761"/>
    </row>
    <row r="39" customFormat="false" ht="12.75" hidden="false" customHeight="true" outlineLevel="0" collapsed="false">
      <c r="B39" s="761" t="str">
        <f aca="true">IF(AND(RRE.Numero&gt;1,NOT(ISBLANK(Import.TransfereGOV))),"3. Na oportunidade, informamos que a execução financeira da parcela anterior está devidamente comprovada no TransfereGOV.","")</f>
        <v/>
      </c>
      <c r="C39" s="761"/>
      <c r="D39" s="761"/>
      <c r="E39" s="761"/>
      <c r="F39" s="761"/>
      <c r="G39" s="761"/>
    </row>
    <row r="40" customFormat="false" ht="12.75" hidden="false" customHeight="false" outlineLevel="0" collapsed="false">
      <c r="B40" s="761"/>
      <c r="C40" s="761"/>
      <c r="D40" s="761"/>
      <c r="E40" s="761"/>
      <c r="F40" s="761"/>
      <c r="G40" s="761"/>
    </row>
    <row r="41" customFormat="false" ht="12.75" hidden="false" customHeight="false" outlineLevel="0" collapsed="false">
      <c r="B41" s="762"/>
      <c r="C41" s="746"/>
      <c r="D41" s="746"/>
      <c r="E41" s="746"/>
      <c r="F41" s="746"/>
      <c r="G41" s="746"/>
    </row>
    <row r="42" customFormat="false" ht="12.75" hidden="false" customHeight="true" outlineLevel="0" collapsed="false">
      <c r="B42" s="761" t="str">
        <f aca="false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61"/>
      <c r="D42" s="761"/>
      <c r="E42" s="761"/>
      <c r="F42" s="761"/>
      <c r="G42" s="761"/>
    </row>
    <row r="43" customFormat="false" ht="12.75" hidden="false" customHeight="false" outlineLevel="0" collapsed="false">
      <c r="B43" s="761"/>
      <c r="C43" s="761"/>
      <c r="D43" s="761"/>
      <c r="E43" s="761"/>
      <c r="F43" s="761"/>
      <c r="G43" s="761"/>
    </row>
    <row r="44" customFormat="false" ht="12.75" hidden="false" customHeight="false" outlineLevel="0" collapsed="false">
      <c r="B44" s="761"/>
      <c r="C44" s="761"/>
      <c r="D44" s="761"/>
      <c r="E44" s="761"/>
      <c r="F44" s="761"/>
      <c r="G44" s="761"/>
    </row>
    <row r="45" customFormat="false" ht="12.75" hidden="false" customHeight="false" outlineLevel="0" collapsed="false">
      <c r="B45" s="761"/>
      <c r="C45" s="761"/>
      <c r="D45" s="761"/>
      <c r="E45" s="761"/>
      <c r="F45" s="761"/>
      <c r="G45" s="761"/>
    </row>
    <row r="46" customFormat="false" ht="12.75" hidden="false" customHeight="false" outlineLevel="0" collapsed="false">
      <c r="B46" s="761"/>
      <c r="C46" s="761"/>
      <c r="D46" s="761"/>
      <c r="E46" s="761"/>
      <c r="F46" s="761"/>
      <c r="G46" s="761"/>
    </row>
    <row r="47" customFormat="false" ht="12.75" hidden="false" customHeight="false" outlineLevel="0" collapsed="false">
      <c r="G47" s="520"/>
    </row>
    <row r="48" customFormat="false" ht="12.75" hidden="false" customHeight="false" outlineLevel="0" collapsed="false">
      <c r="G48" s="520"/>
    </row>
    <row r="49" customFormat="false" ht="12.75" hidden="false" customHeight="false" outlineLevel="0" collapsed="false">
      <c r="B49" s="97" t="s">
        <v>1120</v>
      </c>
      <c r="G49" s="520"/>
    </row>
    <row r="50" customFormat="false" ht="12.75" hidden="false" customHeight="false" outlineLevel="0" collapsed="false">
      <c r="B50" s="520"/>
      <c r="C50" s="520"/>
      <c r="D50" s="520"/>
      <c r="E50" s="520"/>
      <c r="F50" s="520"/>
      <c r="G50" s="520"/>
    </row>
    <row r="51" customFormat="false" ht="12.75" hidden="false" customHeight="false" outlineLevel="0" collapsed="false">
      <c r="B51" s="97"/>
      <c r="C51" s="97"/>
      <c r="D51" s="97"/>
      <c r="E51" s="97"/>
      <c r="F51" s="97"/>
      <c r="G51" s="97"/>
    </row>
    <row r="52" customFormat="false" ht="12.75" hidden="false" customHeight="false" outlineLevel="0" collapsed="false">
      <c r="B52" s="97"/>
      <c r="C52" s="97"/>
      <c r="D52" s="97"/>
      <c r="E52" s="97"/>
      <c r="F52" s="97"/>
      <c r="G52" s="97"/>
    </row>
    <row r="53" customFormat="false" ht="12.75" hidden="false" customHeight="false" outlineLevel="0" collapsed="false">
      <c r="B53" s="763"/>
      <c r="C53" s="763"/>
      <c r="D53" s="763"/>
      <c r="E53" s="97"/>
      <c r="F53" s="97"/>
      <c r="G53" s="97"/>
    </row>
    <row r="54" customFormat="false" ht="12.75" hidden="false" customHeight="false" outlineLevel="0" collapsed="false">
      <c r="B54" s="764" t="str">
        <f aca="false">DADOS!$C$28</f>
        <v>JOAQIMNERES XAVIER DIAS</v>
      </c>
      <c r="C54" s="764"/>
      <c r="D54" s="764"/>
      <c r="E54" s="764"/>
      <c r="F54" s="764"/>
      <c r="G54" s="764"/>
    </row>
    <row r="55" customFormat="false" ht="12.75" hidden="false" customHeight="false" outlineLevel="0" collapsed="false">
      <c r="B55" s="764" t="str">
        <f aca="false">DADOS!$C$29</f>
        <v>PREFEITO MUNICIPAL</v>
      </c>
      <c r="C55" s="764"/>
      <c r="D55" s="764"/>
      <c r="E55" s="764"/>
      <c r="F55" s="764"/>
      <c r="G55" s="764"/>
    </row>
    <row r="56" customFormat="false" ht="12.75" hidden="false" customHeight="false" outlineLevel="0" collapsed="false">
      <c r="B56" s="764"/>
      <c r="C56" s="764"/>
      <c r="D56" s="764"/>
      <c r="E56" s="764"/>
      <c r="F56" s="764"/>
      <c r="G56" s="764"/>
    </row>
  </sheetData>
  <sheetProtection algorithmName="SHA-512" hashValue="+jaLXEkKT76gDCvRstelxL9Pr5jJnm41XIaZzCb+p9E78Or6oB9QHIbrSjrMKj/ru1tXWigZE6xoZM3/Dy61Yw==" saltValue="UH1glfTcOt0fAElIFSN7OQ==" spinCount="100000" sheet="true" objects="true" scenarios="true" autoFilter="false"/>
  <mergeCells count="30">
    <mergeCell ref="B1:C4"/>
    <mergeCell ref="C6:D6"/>
    <mergeCell ref="B8:G8"/>
    <mergeCell ref="B10:D10"/>
    <mergeCell ref="C11:D11"/>
    <mergeCell ref="C14:G14"/>
    <mergeCell ref="C15:G16"/>
    <mergeCell ref="C18:G18"/>
    <mergeCell ref="B19:B20"/>
    <mergeCell ref="C19:G20"/>
    <mergeCell ref="B24:G26"/>
    <mergeCell ref="B28:C29"/>
    <mergeCell ref="D28:D29"/>
    <mergeCell ref="E28:E29"/>
    <mergeCell ref="F28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7:G38"/>
    <mergeCell ref="B39:G40"/>
    <mergeCell ref="B42:G46"/>
    <mergeCell ref="B54:G54"/>
    <mergeCell ref="B55:G56"/>
  </mergeCells>
  <conditionalFormatting sqref="D30:D33 F30:G33">
    <cfRule type="cellIs" priority="2" operator="notBetween" aboveAverage="0" equalAverage="0" bottom="0" percent="0" rank="0" text="" dxfId="725">
      <formula>0</formula>
      <formula>D$33</formula>
    </cfRule>
  </conditionalFormatting>
  <dataValidations count="1">
    <dataValidation allowBlank="true" errorStyle="stop" operator="between" showDropDown="false" showErrorMessage="true" showInputMessage="false" sqref="B11" type="list">
      <formula1>"GIGOV,SR"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97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9.1484375" defaultRowHeight="15" customHeight="true" zeroHeight="false" outlineLevelRow="0" outlineLevelCol="0"/>
  <cols>
    <col collapsed="false" customWidth="true" hidden="false" outlineLevel="0" max="1" min="1" style="765" width="15"/>
    <col collapsed="false" customWidth="true" hidden="false" outlineLevel="0" max="2" min="2" style="765" width="25"/>
    <col collapsed="false" customWidth="true" hidden="false" outlineLevel="0" max="3" min="3" style="765" width="12"/>
    <col collapsed="false" customWidth="true" hidden="false" outlineLevel="0" max="4" min="4" style="766" width="15.57"/>
    <col collapsed="false" customWidth="true" hidden="false" outlineLevel="0" max="5" min="5" style="765" width="70"/>
    <col collapsed="false" customWidth="true" hidden="false" outlineLevel="0" max="6" min="6" style="765" width="20"/>
    <col collapsed="false" customWidth="true" hidden="false" outlineLevel="0" max="7" min="7" style="765" width="10"/>
    <col collapsed="false" customWidth="true" hidden="false" outlineLevel="0" max="8" min="8" style="765" width="25"/>
    <col collapsed="false" customWidth="true" hidden="false" outlineLevel="0" max="9" min="9" style="765" width="15"/>
    <col collapsed="false" customWidth="true" hidden="false" outlineLevel="0" max="10" min="10" style="765" width="13"/>
    <col collapsed="false" customWidth="true" hidden="false" outlineLevel="0" max="12" min="11" style="765" width="35"/>
    <col collapsed="false" customWidth="true" hidden="false" outlineLevel="0" max="13" min="13" style="765" width="20"/>
    <col collapsed="false" customWidth="true" hidden="false" outlineLevel="0" max="14" min="14" style="765" width="15"/>
    <col collapsed="false" customWidth="true" hidden="false" outlineLevel="0" max="15" min="15" style="765" width="50"/>
    <col collapsed="false" customWidth="true" hidden="false" outlineLevel="0" max="16" min="16" style="765" width="20"/>
    <col collapsed="false" customWidth="true" hidden="false" outlineLevel="0" max="17" min="17" style="765" width="50"/>
    <col collapsed="false" customWidth="true" hidden="false" outlineLevel="0" max="18" min="18" style="765" width="15"/>
    <col collapsed="false" customWidth="true" hidden="false" outlineLevel="0" max="19" min="19" style="765" width="17.57"/>
    <col collapsed="false" customWidth="false" hidden="false" outlineLevel="0" max="16384" min="20" style="765" width="9.14"/>
  </cols>
  <sheetData>
    <row r="1" customFormat="false" ht="15" hidden="false" customHeight="false" outlineLevel="0" collapsed="false">
      <c r="A1" s="767" t="s">
        <v>1121</v>
      </c>
      <c r="B1" s="767" t="s">
        <v>1122</v>
      </c>
      <c r="C1" s="767" t="s">
        <v>766</v>
      </c>
      <c r="D1" s="768" t="s">
        <v>767</v>
      </c>
      <c r="E1" s="767" t="s">
        <v>1123</v>
      </c>
      <c r="F1" s="767" t="s">
        <v>1124</v>
      </c>
      <c r="G1" s="767" t="s">
        <v>1125</v>
      </c>
      <c r="H1" s="767" t="s">
        <v>1126</v>
      </c>
      <c r="I1" s="767" t="s">
        <v>1127</v>
      </c>
      <c r="J1" s="767" t="s">
        <v>23</v>
      </c>
      <c r="K1" s="767" t="s">
        <v>1128</v>
      </c>
      <c r="L1" s="767" t="s">
        <v>1129</v>
      </c>
      <c r="M1" s="767" t="s">
        <v>1130</v>
      </c>
      <c r="N1" s="767" t="s">
        <v>1131</v>
      </c>
      <c r="O1" s="767" t="s">
        <v>1132</v>
      </c>
      <c r="P1" s="767" t="s">
        <v>1133</v>
      </c>
      <c r="Q1" s="767" t="s">
        <v>1134</v>
      </c>
      <c r="R1" s="767" t="s">
        <v>1135</v>
      </c>
      <c r="S1" s="767" t="s">
        <v>1136</v>
      </c>
    </row>
    <row r="2" customFormat="false" ht="45" hidden="false" customHeight="true" outlineLevel="0" collapsed="false">
      <c r="A2" s="769"/>
      <c r="B2" s="769"/>
      <c r="C2" s="769"/>
      <c r="D2" s="769"/>
      <c r="E2" s="769"/>
      <c r="F2" s="770"/>
      <c r="G2" s="769"/>
      <c r="H2" s="771"/>
      <c r="I2" s="771"/>
      <c r="J2" s="772"/>
      <c r="K2" s="773"/>
      <c r="L2" s="774"/>
      <c r="M2" s="769"/>
      <c r="N2" s="775"/>
      <c r="O2" s="769"/>
      <c r="P2" s="775"/>
      <c r="Q2" s="769"/>
      <c r="R2" s="776"/>
      <c r="S2" s="773"/>
    </row>
  </sheetData>
  <sheetProtection algorithmName="SHA-512" hashValue="eqFo/ov0/lP2KbDNapLqgRxPGHUXDg+ZvZZQMoMfrfcqb+tO7F371WGXOLt9sxfAzjx/EFG8WVIVSsoaqjCDlA==" saltValue="G21NXo8S2LspBN5u9HAZNw==" spinCount="100000" sheet="true" objects="true" scenarios="true"/>
  <conditionalFormatting sqref="R2">
    <cfRule type="expression" priority="2" aboveAverage="0" equalAverage="0" bottom="0" percent="0" rank="0" text="" dxfId="726">
      <formula>IF($A2="Macrosserviço",R2&lt;&gt;"",OR(NOT(ISNUMBER(R2)),R2&lt;&gt;ROUND(R2,2),R2&lt;=0,R2&gt;99999999.99))</formula>
    </cfRule>
  </conditionalFormatting>
  <conditionalFormatting sqref="B2">
    <cfRule type="cellIs" priority="3" operator="equal" aboveAverage="0" equalAverage="0" bottom="0" percent="0" rank="0" text="" dxfId="727">
      <formula>""</formula>
    </cfRule>
  </conditionalFormatting>
  <conditionalFormatting sqref="Q2">
    <cfRule type="expression" priority="4" aboveAverage="0" equalAverage="0" bottom="0" percent="0" rank="0" text="" dxfId="728">
      <formula>IF($A2="Macrosserviço",Q2&lt;&gt;"",OR(Q2="",LEN(Q2)&gt;100))</formula>
    </cfRule>
  </conditionalFormatting>
  <conditionalFormatting sqref="P2">
    <cfRule type="expression" priority="5" aboveAverage="0" equalAverage="0" bottom="0" percent="0" rank="0" text="" dxfId="729">
      <formula>IF($A2="Macrosserviço",P2&lt;&gt;"",OR(NOT(ISNUMBER(P2)),P2&lt;&gt;ROUND(P2,0),P2&lt;1,P2&gt;999))</formula>
    </cfRule>
  </conditionalFormatting>
  <conditionalFormatting sqref="O2">
    <cfRule type="expression" priority="6" aboveAverage="0" equalAverage="0" bottom="0" percent="0" rank="0" text="" dxfId="730">
      <formula>IF($A2="Serviço",OR(O2="",LEN(O2)&gt;100),O2&lt;&gt;"")</formula>
    </cfRule>
  </conditionalFormatting>
  <conditionalFormatting sqref="N2">
    <cfRule type="expression" priority="7" aboveAverage="0" equalAverage="0" bottom="0" percent="0" rank="0" text="" dxfId="731">
      <formula>IF($A2="Serviço",OR(NOT(ISNUMBER(N2)),N2&lt;&gt;ROUND(N2,0),N2&lt;1,N2&gt;999),N2&lt;&gt;"")</formula>
    </cfRule>
  </conditionalFormatting>
  <conditionalFormatting sqref="J2">
    <cfRule type="expression" priority="8" aboveAverage="0" equalAverage="0" bottom="0" percent="0" rank="0" text="" dxfId="732">
      <formula>IF($A2="Serviço",OR(NOT(ISNUMBER(VALUE(J2))),VALUE(J2)&lt;&gt;ROUND(VALUE(J2),4),VALUE(J2)&lt;=0,VALUE(J2)&gt;100%),J2&lt;&gt;"")</formula>
    </cfRule>
  </conditionalFormatting>
  <conditionalFormatting sqref="I2">
    <cfRule type="expression" priority="9" aboveAverage="0" equalAverage="0" bottom="0" percent="0" rank="0" text="" dxfId="733">
      <formula>IF($A2="Serviço",OR(NOT(ISNUMBER(I2)),I2&lt;&gt;ROUND(I2,2),I2&lt;=0,I2&gt;9999999999.99),I2&lt;&gt;"")</formula>
    </cfRule>
  </conditionalFormatting>
  <conditionalFormatting sqref="H2">
    <cfRule type="expression" priority="10" aboveAverage="0" equalAverage="0" bottom="0" percent="0" rank="0" text="" dxfId="734">
      <formula>IF(A2="Serviço",OR(NOT(ISNUMBER(H2)),H2&lt;&gt;ROUND(H2,2),AND(C2&lt;&gt;"SINAPI",H2=0),H2&lt;0,H2&gt;9999999999.99),H2&lt;&gt;"")</formula>
    </cfRule>
  </conditionalFormatting>
  <conditionalFormatting sqref="D2">
    <cfRule type="expression" priority="11" aboveAverage="0" equalAverage="0" bottom="0" percent="0" rank="0" text="" dxfId="735">
      <formula>IF($A2="Serviço",OR(D2="",LEN($D2)&gt;13),D2&lt;&gt;"")</formula>
    </cfRule>
  </conditionalFormatting>
  <conditionalFormatting sqref="C2">
    <cfRule type="expression" priority="12" aboveAverage="0" equalAverage="0" bottom="0" percent="0" rank="0" text="" dxfId="736">
      <formula>IF($A2="Serviço",AND(C2&lt;&gt;"Composição",C2&lt;&gt;"Cotação",C2&lt;&gt;"SINAPI",C2&lt;&gt;"Outros"),C2&lt;&gt;"")</formula>
    </cfRule>
  </conditionalFormatting>
  <conditionalFormatting sqref="A2">
    <cfRule type="expression" priority="13" aboveAverage="0" equalAverage="0" bottom="0" percent="0" rank="0" text="" dxfId="737">
      <formula>AND(A2&lt;&gt;"Macrosserviço",A2&lt;&gt;"Serviço")</formula>
    </cfRule>
  </conditionalFormatting>
  <conditionalFormatting sqref="A2:S2">
    <cfRule type="expression" priority="14" aboveAverage="0" equalAverage="0" bottom="0" percent="0" rank="0" text="" dxfId="738">
      <formula>$A2="Macrosserviço"</formula>
    </cfRule>
  </conditionalFormatting>
  <conditionalFormatting sqref="M2">
    <cfRule type="expression" priority="15" aboveAverage="0" equalAverage="0" bottom="0" percent="0" rank="0" text="" dxfId="739">
      <formula>IF($A2="Serviço",LEN(M2)&gt;500,M2&lt;&gt;"")</formula>
    </cfRule>
  </conditionalFormatting>
  <conditionalFormatting sqref="E2">
    <cfRule type="expression" priority="16" aboveAverage="0" equalAverage="0" bottom="0" percent="0" rank="0" text="" dxfId="740">
      <formula>OR(E2="",IF($A2="Macrosserviço",LEN($E2)&gt;100,LEN($E2)&gt;500))</formula>
    </cfRule>
  </conditionalFormatting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A43C95B5-7894-46C4-931A-3D154A41DD27}">
            <xm:f>AND($A2="Serviço",OR($G2="",ISNA(MATCH($G2,DADOS!$AQ$3:$AQ$221,0))))</xm:f>
            <x14:dxf>
              <fill>
                <patternFill>
                  <bgColor rgb="FFFF0000"/>
                </patternFill>
              </fill>
            </x14:dxf>
          </x14:cfRule>
          <xm:sqref>G2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customHeight="true" zeroHeight="false" outlineLevelRow="0" outlineLevelCol="0"/>
  <cols>
    <col collapsed="false" customWidth="true" hidden="false" outlineLevel="0" max="1" min="1" style="765" width="15"/>
    <col collapsed="false" customWidth="true" hidden="false" outlineLevel="0" max="2" min="2" style="765" width="50"/>
    <col collapsed="false" customWidth="true" hidden="false" outlineLevel="0" max="3" min="3" style="765" width="20"/>
    <col collapsed="false" customWidth="true" hidden="false" outlineLevel="0" max="4" min="4" style="765" width="50"/>
    <col collapsed="false" customWidth="true" hidden="false" outlineLevel="0" max="5" min="5" style="765" width="35"/>
    <col collapsed="false" customWidth="false" hidden="false" outlineLevel="0" max="16384" min="6" style="765" width="9.14"/>
  </cols>
  <sheetData>
    <row r="1" customFormat="false" ht="15" hidden="false" customHeight="false" outlineLevel="0" collapsed="false">
      <c r="A1" s="767" t="s">
        <v>1137</v>
      </c>
      <c r="B1" s="767" t="s">
        <v>873</v>
      </c>
      <c r="C1" s="767" t="s">
        <v>1138</v>
      </c>
      <c r="D1" s="767" t="s">
        <v>1134</v>
      </c>
      <c r="E1" s="767" t="s">
        <v>1139</v>
      </c>
    </row>
    <row r="2" customFormat="false" ht="45" hidden="false" customHeight="true" outlineLevel="0" collapsed="false">
      <c r="A2" s="777"/>
      <c r="B2" s="777"/>
      <c r="C2" s="778"/>
      <c r="D2" s="778"/>
      <c r="E2" s="778"/>
    </row>
  </sheetData>
  <sheetProtection algorithmName="SHA-512" hashValue="p0GpaIikg4f4bIirZ5/SMeQmY4cV5KwjD4/DTTsL9gm15aCevloAf30cn0ERpGg70jpWy7+s9nUEkJ51qnpafQ==" saltValue="0KZTnRB43pcFj8MYyPbxuA==" spinCount="100000" sheet="true" objects="true" scenarios="true"/>
  <conditionalFormatting sqref="E2">
    <cfRule type="expression" priority="2" aboveAverage="0" equalAverage="0" bottom="0" percent="0" rank="0" text="" dxfId="742">
      <formula>OR(NOT(ISNUMBER(E2)),E2&lt;&gt;ROUND(E2,0),E2&lt;1,E2&gt;120)</formula>
    </cfRule>
  </conditionalFormatting>
  <conditionalFormatting sqref="D2">
    <cfRule type="expression" priority="3" aboveAverage="0" equalAverage="0" bottom="0" percent="0" rank="0" text="" dxfId="743">
      <formula>OR(D2="",LEN(D2)&gt;100)</formula>
    </cfRule>
  </conditionalFormatting>
  <conditionalFormatting sqref="C2">
    <cfRule type="expression" priority="4" aboveAverage="0" equalAverage="0" bottom="0" percent="0" rank="0" text="" dxfId="744">
      <formula>OR(NOT(ISNUMBER(C2)),C2&lt;&gt;ROUND(C2,0),C2&lt;1,C2&gt;999)</formula>
    </cfRule>
  </conditionalFormatting>
  <conditionalFormatting sqref="B2">
    <cfRule type="expression" priority="5" aboveAverage="0" equalAverage="0" bottom="0" percent="0" rank="0" text="" dxfId="745">
      <formula>OR(B2="",LEN(B2)&gt;100)</formula>
    </cfRule>
  </conditionalFormatting>
  <conditionalFormatting sqref="A2">
    <cfRule type="expression" priority="6" aboveAverage="0" equalAverage="0" bottom="0" percent="0" rank="0" text="" dxfId="746">
      <formula>OR(NOT(ISNUMBER(A2)),A2&lt;&gt;ROUND(A2,0),A2&lt;1,A2&gt;999)</formula>
    </cfRule>
  </conditionalFormatting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9.1484375" defaultRowHeight="15" customHeight="true" zeroHeight="false" outlineLevelRow="0" outlineLevelCol="0"/>
  <cols>
    <col collapsed="false" customWidth="true" hidden="false" outlineLevel="0" max="1" min="1" style="765" width="15"/>
    <col collapsed="false" customWidth="true" hidden="false" outlineLevel="0" max="2" min="2" style="765" width="25"/>
    <col collapsed="false" customWidth="true" hidden="false" outlineLevel="0" max="3" min="3" style="765" width="12"/>
    <col collapsed="false" customWidth="true" hidden="false" outlineLevel="0" max="4" min="4" style="766" width="15.57"/>
    <col collapsed="false" customWidth="true" hidden="false" outlineLevel="0" max="5" min="5" style="765" width="70"/>
    <col collapsed="false" customWidth="true" hidden="false" outlineLevel="0" max="6" min="6" style="765" width="20"/>
    <col collapsed="false" customWidth="true" hidden="false" outlineLevel="0" max="7" min="7" style="765" width="10"/>
    <col collapsed="false" customWidth="true" hidden="false" outlineLevel="0" max="8" min="8" style="765" width="25"/>
    <col collapsed="false" customWidth="true" hidden="false" outlineLevel="0" max="9" min="9" style="765" width="15"/>
    <col collapsed="false" customWidth="true" hidden="false" outlineLevel="0" max="10" min="10" style="765" width="13"/>
    <col collapsed="false" customWidth="true" hidden="false" outlineLevel="0" max="12" min="11" style="765" width="35"/>
    <col collapsed="false" customWidth="true" hidden="false" outlineLevel="0" max="14" min="13" style="765" width="20"/>
    <col collapsed="false" customWidth="true" hidden="false" outlineLevel="0" max="15" min="15" style="765" width="50"/>
    <col collapsed="false" customWidth="true" hidden="false" outlineLevel="0" max="16" min="16" style="765" width="15"/>
    <col collapsed="false" customWidth="true" hidden="false" outlineLevel="0" max="17" min="17" style="765" width="17.57"/>
    <col collapsed="false" customWidth="false" hidden="false" outlineLevel="0" max="16384" min="18" style="765" width="9.14"/>
  </cols>
  <sheetData>
    <row r="1" customFormat="false" ht="15" hidden="false" customHeight="false" outlineLevel="0" collapsed="false">
      <c r="A1" s="767" t="s">
        <v>1121</v>
      </c>
      <c r="B1" s="767" t="s">
        <v>1122</v>
      </c>
      <c r="C1" s="767" t="s">
        <v>766</v>
      </c>
      <c r="D1" s="768" t="s">
        <v>767</v>
      </c>
      <c r="E1" s="767" t="s">
        <v>1123</v>
      </c>
      <c r="F1" s="767" t="s">
        <v>1124</v>
      </c>
      <c r="G1" s="767" t="s">
        <v>1125</v>
      </c>
      <c r="H1" s="767" t="s">
        <v>1126</v>
      </c>
      <c r="I1" s="767" t="s">
        <v>1127</v>
      </c>
      <c r="J1" s="767" t="s">
        <v>23</v>
      </c>
      <c r="K1" s="767" t="s">
        <v>1128</v>
      </c>
      <c r="L1" s="767" t="s">
        <v>1129</v>
      </c>
      <c r="M1" s="767" t="s">
        <v>1130</v>
      </c>
      <c r="N1" s="767" t="s">
        <v>1133</v>
      </c>
      <c r="O1" s="767" t="s">
        <v>1134</v>
      </c>
      <c r="P1" s="767" t="s">
        <v>1135</v>
      </c>
      <c r="Q1" s="767" t="s">
        <v>1136</v>
      </c>
    </row>
    <row r="2" customFormat="false" ht="45" hidden="false" customHeight="true" outlineLevel="0" collapsed="false">
      <c r="A2" s="769"/>
      <c r="B2" s="769"/>
      <c r="C2" s="769"/>
      <c r="D2" s="769"/>
      <c r="E2" s="769"/>
      <c r="F2" s="770"/>
      <c r="G2" s="769"/>
      <c r="H2" s="771"/>
      <c r="I2" s="771"/>
      <c r="J2" s="779"/>
      <c r="K2" s="773"/>
      <c r="L2" s="773"/>
      <c r="M2" s="769"/>
      <c r="N2" s="775"/>
      <c r="O2" s="769"/>
      <c r="P2" s="776"/>
      <c r="Q2" s="773"/>
    </row>
  </sheetData>
  <sheetProtection algorithmName="SHA-512" hashValue="dQ8df/XHmLmb7cIxtZxe7rpl/Crc8aZyYsAbrtBUgK/B5mC1vpWIMgftwymB87mPe3STL/FSVnjPEbUhbBF1kA==" saltValue="LB0IlpFxTreG7vRduSuf4Q==" spinCount="100000" sheet="true" objects="true" scenarios="true"/>
  <conditionalFormatting sqref="P2">
    <cfRule type="expression" priority="2" aboveAverage="0" equalAverage="0" bottom="0" percent="0" rank="0" text="" dxfId="747">
      <formula>IF($A2="Macrosserviço",P2&lt;&gt;"",OR(NOT(ISNUMBER(P2)),P2&lt;&gt;ROUND(P2,2),P2&lt;=0,P2&gt;99999999.99))</formula>
    </cfRule>
  </conditionalFormatting>
  <conditionalFormatting sqref="O2">
    <cfRule type="expression" priority="3" aboveAverage="0" equalAverage="0" bottom="0" percent="0" rank="0" text="" dxfId="748">
      <formula>IF($A2="Macrosserviço",O2&lt;&gt;"",OR(O2="",LEN(O2)&gt;100))</formula>
    </cfRule>
  </conditionalFormatting>
  <conditionalFormatting sqref="N2">
    <cfRule type="expression" priority="4" aboveAverage="0" equalAverage="0" bottom="0" percent="0" rank="0" text="" dxfId="749">
      <formula>IF($A2="Macrosserviço",N2&lt;&gt;"",OR(NOT(ISNUMBER(N2)),N2&lt;&gt;ROUND(N2,0),N2&lt;1,N2&gt;999))</formula>
    </cfRule>
  </conditionalFormatting>
  <conditionalFormatting sqref="B2">
    <cfRule type="cellIs" priority="5" operator="equal" aboveAverage="0" equalAverage="0" bottom="0" percent="0" rank="0" text="" dxfId="750">
      <formula>""</formula>
    </cfRule>
  </conditionalFormatting>
  <conditionalFormatting sqref="J2">
    <cfRule type="expression" priority="6" aboveAverage="0" equalAverage="0" bottom="0" percent="0" rank="0" text="" dxfId="751">
      <formula>IF($A2="Serviço",OR(NOT(ISNUMBER(VALUE(J2))),VALUE(J2)&lt;&gt;ROUND(VALUE(J2),4),VALUE(J2)&lt;=0,VALUE(J2)&gt;100%),J2&lt;&gt;"")</formula>
    </cfRule>
  </conditionalFormatting>
  <conditionalFormatting sqref="I2">
    <cfRule type="expression" priority="7" aboveAverage="0" equalAverage="0" bottom="0" percent="0" rank="0" text="" dxfId="752">
      <formula>IF($A2="Serviço",OR(NOT(ISNUMBER(I2)),I2&lt;&gt;ROUND(I2,2),I2&lt;=0,I2&gt;9999999999.99),I2&lt;&gt;"")</formula>
    </cfRule>
  </conditionalFormatting>
  <conditionalFormatting sqref="H2">
    <cfRule type="expression" priority="8" aboveAverage="0" equalAverage="0" bottom="0" percent="0" rank="0" text="" dxfId="753">
      <formula>IF(A2="Serviço",OR(NOT(ISNUMBER(H2)),H2&lt;&gt;ROUND(H2,2),AND(C2&lt;&gt;"SINAPI",H2=0),H2&lt;0,H2&gt;9999999999.99),H2&lt;&gt;"")</formula>
    </cfRule>
  </conditionalFormatting>
  <conditionalFormatting sqref="D2">
    <cfRule type="expression" priority="9" aboveAverage="0" equalAverage="0" bottom="0" percent="0" rank="0" text="" dxfId="754">
      <formula>IF($A2="Serviço",OR(D2="",LEN($D2)&gt;13),D2&lt;&gt;"")</formula>
    </cfRule>
  </conditionalFormatting>
  <conditionalFormatting sqref="C2">
    <cfRule type="expression" priority="10" aboveAverage="0" equalAverage="0" bottom="0" percent="0" rank="0" text="" dxfId="755">
      <formula>IF($A2="Serviço",AND(C2&lt;&gt;"Composição",C2&lt;&gt;"Cotação",C2&lt;&gt;"SINAPI",C2&lt;&gt;"Outros"),C2&lt;&gt;"")</formula>
    </cfRule>
  </conditionalFormatting>
  <conditionalFormatting sqref="A2">
    <cfRule type="expression" priority="11" aboveAverage="0" equalAverage="0" bottom="0" percent="0" rank="0" text="" dxfId="756">
      <formula>AND(A2&lt;&gt;"Macrosserviço",A2&lt;&gt;"Serviço")</formula>
    </cfRule>
  </conditionalFormatting>
  <conditionalFormatting sqref="A2:Q2">
    <cfRule type="expression" priority="12" aboveAverage="0" equalAverage="0" bottom="0" percent="0" rank="0" text="" dxfId="757">
      <formula>$A2="Macrosserviço"</formula>
    </cfRule>
  </conditionalFormatting>
  <conditionalFormatting sqref="M2">
    <cfRule type="expression" priority="13" aboveAverage="0" equalAverage="0" bottom="0" percent="0" rank="0" text="" dxfId="758">
      <formula>IF($A2="Serviço",LEN(M2)&gt;500,M2&lt;&gt;"")</formula>
    </cfRule>
  </conditionalFormatting>
  <conditionalFormatting sqref="E2">
    <cfRule type="expression" priority="14" aboveAverage="0" equalAverage="0" bottom="0" percent="0" rank="0" text="" dxfId="759">
      <formula>OR(E2="",IF($A2="Macrosserviço",LEN($E2)&gt;100,LEN($E2)&gt;500))</formula>
    </cfRule>
  </conditionalFormatting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6939C671-9AAE-4E6A-BE5D-922FF7CB9F37}">
            <xm:f>AND($A2="Serviço",OR($G2="",ISNA(MATCH($G2,DADOS!$AQ$3:$AQ$221,0))))</xm:f>
            <x14:dxf>
              <fill>
                <patternFill>
                  <bgColor rgb="FFFF0000"/>
                </patternFill>
              </fill>
            </x14:dxf>
          </x14:cfRule>
          <xm:sqref>G2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customHeight="true" zeroHeight="false" outlineLevelRow="0" outlineLevelCol="0"/>
  <cols>
    <col collapsed="false" customWidth="true" hidden="false" outlineLevel="0" max="1" min="1" style="765" width="15"/>
    <col collapsed="false" customWidth="true" hidden="false" outlineLevel="0" max="2" min="2" style="765" width="70"/>
    <col collapsed="false" customWidth="true" hidden="false" outlineLevel="0" max="3" min="3" style="765" width="10"/>
    <col collapsed="false" customWidth="true" hidden="false" outlineLevel="0" max="4" min="4" style="765" width="20"/>
    <col collapsed="false" customWidth="false" hidden="false" outlineLevel="0" max="16384" min="5" style="765" width="9.14"/>
  </cols>
  <sheetData>
    <row r="1" customFormat="false" ht="15" hidden="false" customHeight="false" outlineLevel="0" collapsed="false">
      <c r="A1" s="767" t="s">
        <v>1140</v>
      </c>
      <c r="B1" s="767" t="s">
        <v>1141</v>
      </c>
      <c r="C1" s="767" t="s">
        <v>991</v>
      </c>
      <c r="D1" s="767" t="s">
        <v>1142</v>
      </c>
    </row>
    <row r="2" customFormat="false" ht="45" hidden="false" customHeight="true" outlineLevel="0" collapsed="false">
      <c r="A2" s="777"/>
      <c r="B2" s="777"/>
      <c r="C2" s="778"/>
      <c r="D2" s="772"/>
    </row>
  </sheetData>
  <sheetProtection algorithmName="SHA-512" hashValue="L5qC7ZcSRJhNxTdLWk+2nOzCwXfX+85RlN8Qvc/LnHxagaV7oNy/Dpl+/8vXqmSUDcAu/7NOjEL81bTTvuqI7g==" saltValue="jMy7D0apw59F5g9m/ZTAaQ==" spinCount="100000" sheet="true" objects="true" scenarios="true"/>
  <conditionalFormatting sqref="D2">
    <cfRule type="expression" priority="2" aboveAverage="0" equalAverage="0" bottom="0" percent="0" rank="0" text="" dxfId="761">
      <formula>OR(NOT(ISNUMBER(D2)),D2&lt;&gt;ROUND(D2,2),D2&lt;=0,D2&gt;100)</formula>
    </cfRule>
  </conditionalFormatting>
  <conditionalFormatting sqref="D2">
    <cfRule type="expression" priority="3" aboveAverage="0" equalAverage="0" bottom="0" percent="0" rank="0" text="" dxfId="762">
      <formula>$A2="Macrosserviço"</formula>
    </cfRule>
  </conditionalFormatting>
  <conditionalFormatting sqref="B2">
    <cfRule type="expression" priority="4" aboveAverage="0" equalAverage="0" bottom="0" percent="0" rank="0" text="" dxfId="763">
      <formula>OR(B2="",LEN(B2)&gt;100)</formula>
    </cfRule>
  </conditionalFormatting>
  <conditionalFormatting sqref="A2 C2">
    <cfRule type="expression" priority="5" aboveAverage="0" equalAverage="0" bottom="0" percent="0" rank="0" text="" dxfId="764">
      <formula>OR(NOT(ISNUMBER(A2)),A2&lt;&gt;ROUND(A2,0),A2&lt;1,A2&gt;999)</formula>
    </cfRule>
  </conditionalFormatting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&amp;LPMv3.12&amp;R&amp;P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1997-01-10T22:22:50Z</dcterms:created>
  <dc:creator>CAIXA - GN Padronização e normas técnicas</dc:creator>
  <dc:description/>
  <dc:language>pt-BR</dc:language>
  <cp:lastModifiedBy>Usuario</cp:lastModifiedBy>
  <cp:lastPrinted>2025-12-19T14:01:38Z</cp:lastPrinted>
  <dcterms:modified xsi:type="dcterms:W3CDTF">2025-12-19T14:01:47Z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ActionId">
    <vt:lpwstr>a35afa61-0e86-4f3f-84ac-6edb60dde1d6</vt:lpwstr>
  </property>
  <property fmtid="{D5CDD505-2E9C-101B-9397-08002B2CF9AE}" pid="3" name="MSIP_Label_fde7aacd-7cc4-4c31-9e6f-7ef306428f09_ContentBits">
    <vt:lpwstr>1</vt:lpwstr>
  </property>
  <property fmtid="{D5CDD505-2E9C-101B-9397-08002B2CF9AE}" pid="4" name="MSIP_Label_fde7aacd-7cc4-4c31-9e6f-7ef306428f09_Enabled">
    <vt:lpwstr>true</vt:lpwstr>
  </property>
  <property fmtid="{D5CDD505-2E9C-101B-9397-08002B2CF9AE}" pid="5" name="MSIP_Label_fde7aacd-7cc4-4c31-9e6f-7ef306428f09_Method">
    <vt:lpwstr>Privileged</vt:lpwstr>
  </property>
  <property fmtid="{D5CDD505-2E9C-101B-9397-08002B2CF9AE}" pid="6" name="MSIP_Label_fde7aacd-7cc4-4c31-9e6f-7ef306428f09_Name">
    <vt:lpwstr>_PUBLICO</vt:lpwstr>
  </property>
  <property fmtid="{D5CDD505-2E9C-101B-9397-08002B2CF9AE}" pid="7" name="MSIP_Label_fde7aacd-7cc4-4c31-9e6f-7ef306428f09_SetDate">
    <vt:lpwstr>2023-11-21T19:16:23Z</vt:lpwstr>
  </property>
  <property fmtid="{D5CDD505-2E9C-101B-9397-08002B2CF9AE}" pid="8" name="MSIP_Label_fde7aacd-7cc4-4c31-9e6f-7ef306428f09_SiteId">
    <vt:lpwstr>ab9bba98-684a-43fb-add8-9c2bebede229</vt:lpwstr>
  </property>
</Properties>
</file>